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66514DAB-5D7C-42E5-BE71-9357CAA3BB84}" xr6:coauthVersionLast="47" xr6:coauthVersionMax="47" xr10:uidLastSave="{00000000-0000-0000-0000-000000000000}"/>
  <bookViews>
    <workbookView xWindow="-108" yWindow="-108" windowWidth="23256" windowHeight="12456" xr2:uid="{7CE4DED3-E051-4A3D-AD15-CA4FB6405C3A}"/>
  </bookViews>
  <sheets>
    <sheet name="Sheet1" sheetId="1" r:id="rId1"/>
    <sheet name="Sheet3" sheetId="3" r:id="rId2"/>
    <sheet name="Sheet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1" l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A701" i="1"/>
  <c r="B701" i="1"/>
  <c r="C701" i="1"/>
  <c r="D701" i="1"/>
  <c r="E701" i="1"/>
  <c r="F701" i="1"/>
  <c r="G701" i="1"/>
  <c r="AE701" i="1" s="1"/>
  <c r="AG701" i="1" s="1"/>
  <c r="H701" i="1"/>
  <c r="I701" i="1"/>
  <c r="J701" i="1"/>
  <c r="K701" i="1"/>
  <c r="L701" i="1"/>
  <c r="M701" i="1"/>
  <c r="N701" i="1"/>
  <c r="O701" i="1"/>
  <c r="P701" i="1"/>
  <c r="Q701" i="1"/>
  <c r="R701" i="1"/>
  <c r="A702" i="1"/>
  <c r="B702" i="1"/>
  <c r="C702" i="1"/>
  <c r="D702" i="1"/>
  <c r="E702" i="1"/>
  <c r="F702" i="1"/>
  <c r="G702" i="1"/>
  <c r="AE702" i="1" s="1"/>
  <c r="AG702" i="1" s="1"/>
  <c r="H702" i="1"/>
  <c r="I702" i="1"/>
  <c r="J702" i="1"/>
  <c r="K702" i="1"/>
  <c r="L702" i="1"/>
  <c r="M702" i="1"/>
  <c r="N702" i="1"/>
  <c r="O702" i="1"/>
  <c r="P702" i="1"/>
  <c r="Q702" i="1"/>
  <c r="R702" i="1"/>
  <c r="A703" i="1"/>
  <c r="B703" i="1"/>
  <c r="C703" i="1"/>
  <c r="D703" i="1"/>
  <c r="E703" i="1"/>
  <c r="F703" i="1"/>
  <c r="Z703" i="1" s="1"/>
  <c r="G703" i="1"/>
  <c r="AE703" i="1" s="1"/>
  <c r="AG703" i="1" s="1"/>
  <c r="H703" i="1"/>
  <c r="I703" i="1"/>
  <c r="J703" i="1"/>
  <c r="K703" i="1"/>
  <c r="L703" i="1"/>
  <c r="M703" i="1"/>
  <c r="N703" i="1"/>
  <c r="O703" i="1"/>
  <c r="P703" i="1"/>
  <c r="Q703" i="1"/>
  <c r="R703" i="1"/>
  <c r="W703" i="1" s="1"/>
  <c r="AA703" i="1" s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U227" i="1" s="1"/>
  <c r="V227" i="1" s="1"/>
  <c r="A704" i="1"/>
  <c r="B704" i="1"/>
  <c r="C704" i="1"/>
  <c r="D704" i="1"/>
  <c r="E704" i="1"/>
  <c r="F704" i="1"/>
  <c r="Z704" i="1" s="1"/>
  <c r="G704" i="1"/>
  <c r="AE704" i="1" s="1"/>
  <c r="AG704" i="1" s="1"/>
  <c r="H704" i="1"/>
  <c r="I704" i="1"/>
  <c r="J704" i="1"/>
  <c r="K704" i="1"/>
  <c r="L704" i="1"/>
  <c r="M704" i="1"/>
  <c r="N704" i="1"/>
  <c r="O704" i="1"/>
  <c r="P704" i="1"/>
  <c r="Q704" i="1"/>
  <c r="R704" i="1"/>
  <c r="A705" i="1"/>
  <c r="B705" i="1"/>
  <c r="C705" i="1"/>
  <c r="D705" i="1"/>
  <c r="E705" i="1"/>
  <c r="F705" i="1"/>
  <c r="Z705" i="1" s="1"/>
  <c r="G705" i="1"/>
  <c r="AE705" i="1" s="1"/>
  <c r="AG705" i="1" s="1"/>
  <c r="H705" i="1"/>
  <c r="I705" i="1"/>
  <c r="J705" i="1"/>
  <c r="K705" i="1"/>
  <c r="L705" i="1"/>
  <c r="M705" i="1"/>
  <c r="N705" i="1"/>
  <c r="O705" i="1"/>
  <c r="P705" i="1"/>
  <c r="Q705" i="1"/>
  <c r="R705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U1537" i="1" s="1"/>
  <c r="A706" i="1"/>
  <c r="B706" i="1"/>
  <c r="C706" i="1"/>
  <c r="D706" i="1"/>
  <c r="E706" i="1"/>
  <c r="F706" i="1"/>
  <c r="G706" i="1"/>
  <c r="AE706" i="1" s="1"/>
  <c r="AG706" i="1" s="1"/>
  <c r="H706" i="1"/>
  <c r="I706" i="1"/>
  <c r="J706" i="1"/>
  <c r="K706" i="1"/>
  <c r="L706" i="1"/>
  <c r="M706" i="1"/>
  <c r="N706" i="1"/>
  <c r="O706" i="1"/>
  <c r="P706" i="1"/>
  <c r="Q706" i="1"/>
  <c r="R706" i="1"/>
  <c r="A707" i="1"/>
  <c r="B707" i="1"/>
  <c r="C707" i="1"/>
  <c r="D707" i="1"/>
  <c r="E707" i="1"/>
  <c r="F707" i="1"/>
  <c r="G707" i="1"/>
  <c r="AE707" i="1" s="1"/>
  <c r="AG707" i="1" s="1"/>
  <c r="H707" i="1"/>
  <c r="I707" i="1"/>
  <c r="J707" i="1"/>
  <c r="K707" i="1"/>
  <c r="L707" i="1"/>
  <c r="M707" i="1"/>
  <c r="N707" i="1"/>
  <c r="O707" i="1"/>
  <c r="P707" i="1"/>
  <c r="Q707" i="1"/>
  <c r="R707" i="1"/>
  <c r="T707" i="1" s="1"/>
  <c r="A708" i="1"/>
  <c r="B708" i="1"/>
  <c r="C708" i="1"/>
  <c r="D708" i="1"/>
  <c r="E708" i="1"/>
  <c r="F708" i="1"/>
  <c r="Z708" i="1" s="1"/>
  <c r="G708" i="1"/>
  <c r="H708" i="1"/>
  <c r="I708" i="1"/>
  <c r="J708" i="1"/>
  <c r="K708" i="1"/>
  <c r="L708" i="1"/>
  <c r="M708" i="1"/>
  <c r="N708" i="1"/>
  <c r="O708" i="1"/>
  <c r="P708" i="1"/>
  <c r="Q708" i="1"/>
  <c r="R708" i="1"/>
  <c r="A709" i="1"/>
  <c r="B709" i="1"/>
  <c r="C709" i="1"/>
  <c r="D709" i="1"/>
  <c r="E709" i="1"/>
  <c r="F709" i="1"/>
  <c r="G709" i="1"/>
  <c r="AE709" i="1" s="1"/>
  <c r="AG709" i="1" s="1"/>
  <c r="H709" i="1"/>
  <c r="I709" i="1"/>
  <c r="J709" i="1"/>
  <c r="K709" i="1"/>
  <c r="L709" i="1"/>
  <c r="M709" i="1"/>
  <c r="N709" i="1"/>
  <c r="O709" i="1"/>
  <c r="P709" i="1"/>
  <c r="Q709" i="1"/>
  <c r="R709" i="1"/>
  <c r="W709" i="1" s="1"/>
  <c r="Y709" i="1" s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W1701" i="1" s="1"/>
  <c r="A710" i="1"/>
  <c r="B710" i="1"/>
  <c r="C710" i="1"/>
  <c r="D710" i="1"/>
  <c r="E710" i="1"/>
  <c r="F710" i="1"/>
  <c r="Z710" i="1" s="1"/>
  <c r="G710" i="1"/>
  <c r="AE710" i="1" s="1"/>
  <c r="AG710" i="1" s="1"/>
  <c r="H710" i="1"/>
  <c r="I710" i="1"/>
  <c r="J710" i="1"/>
  <c r="K710" i="1"/>
  <c r="L710" i="1"/>
  <c r="M710" i="1"/>
  <c r="N710" i="1"/>
  <c r="O710" i="1"/>
  <c r="P710" i="1"/>
  <c r="Q710" i="1"/>
  <c r="R710" i="1"/>
  <c r="W710" i="1" s="1"/>
  <c r="A711" i="1"/>
  <c r="B711" i="1"/>
  <c r="C711" i="1"/>
  <c r="D711" i="1"/>
  <c r="E711" i="1"/>
  <c r="F711" i="1"/>
  <c r="Z711" i="1" s="1"/>
  <c r="G711" i="1"/>
  <c r="AE711" i="1" s="1"/>
  <c r="AG711" i="1" s="1"/>
  <c r="H711" i="1"/>
  <c r="I711" i="1"/>
  <c r="J711" i="1"/>
  <c r="K711" i="1"/>
  <c r="L711" i="1"/>
  <c r="M711" i="1"/>
  <c r="N711" i="1"/>
  <c r="O711" i="1"/>
  <c r="P711" i="1"/>
  <c r="Q711" i="1"/>
  <c r="R711" i="1"/>
  <c r="W711" i="1" s="1"/>
  <c r="A712" i="1"/>
  <c r="B712" i="1"/>
  <c r="C712" i="1"/>
  <c r="D712" i="1"/>
  <c r="E712" i="1"/>
  <c r="F712" i="1"/>
  <c r="Z712" i="1" s="1"/>
  <c r="G712" i="1"/>
  <c r="AE712" i="1" s="1"/>
  <c r="AG712" i="1" s="1"/>
  <c r="H712" i="1"/>
  <c r="I712" i="1"/>
  <c r="J712" i="1"/>
  <c r="K712" i="1"/>
  <c r="L712" i="1"/>
  <c r="M712" i="1"/>
  <c r="N712" i="1"/>
  <c r="O712" i="1"/>
  <c r="P712" i="1"/>
  <c r="Q712" i="1"/>
  <c r="R712" i="1"/>
  <c r="A713" i="1"/>
  <c r="B713" i="1"/>
  <c r="C713" i="1"/>
  <c r="D713" i="1"/>
  <c r="E713" i="1"/>
  <c r="F713" i="1"/>
  <c r="G713" i="1"/>
  <c r="AE713" i="1" s="1"/>
  <c r="AG713" i="1" s="1"/>
  <c r="H713" i="1"/>
  <c r="I713" i="1"/>
  <c r="J713" i="1"/>
  <c r="K713" i="1"/>
  <c r="L713" i="1"/>
  <c r="M713" i="1"/>
  <c r="N713" i="1"/>
  <c r="O713" i="1"/>
  <c r="P713" i="1"/>
  <c r="Q713" i="1"/>
  <c r="R713" i="1"/>
  <c r="W713" i="1" s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U365" i="1" s="1"/>
  <c r="V365" i="1" s="1"/>
  <c r="A714" i="1"/>
  <c r="B714" i="1"/>
  <c r="C714" i="1"/>
  <c r="D714" i="1"/>
  <c r="E714" i="1"/>
  <c r="F714" i="1"/>
  <c r="Z714" i="1" s="1"/>
  <c r="G714" i="1"/>
  <c r="AE714" i="1" s="1"/>
  <c r="AG714" i="1" s="1"/>
  <c r="H714" i="1"/>
  <c r="I714" i="1"/>
  <c r="J714" i="1"/>
  <c r="K714" i="1"/>
  <c r="L714" i="1"/>
  <c r="M714" i="1"/>
  <c r="N714" i="1"/>
  <c r="O714" i="1"/>
  <c r="P714" i="1"/>
  <c r="Q714" i="1"/>
  <c r="R714" i="1"/>
  <c r="U714" i="1" s="1"/>
  <c r="A715" i="1"/>
  <c r="B715" i="1"/>
  <c r="C715" i="1"/>
  <c r="D715" i="1"/>
  <c r="E715" i="1"/>
  <c r="F715" i="1"/>
  <c r="G715" i="1"/>
  <c r="AE715" i="1" s="1"/>
  <c r="AG715" i="1" s="1"/>
  <c r="H715" i="1"/>
  <c r="I715" i="1"/>
  <c r="J715" i="1"/>
  <c r="K715" i="1"/>
  <c r="L715" i="1"/>
  <c r="M715" i="1"/>
  <c r="N715" i="1"/>
  <c r="O715" i="1"/>
  <c r="P715" i="1"/>
  <c r="Q715" i="1"/>
  <c r="R715" i="1"/>
  <c r="A716" i="1"/>
  <c r="B716" i="1"/>
  <c r="C716" i="1"/>
  <c r="D716" i="1"/>
  <c r="E716" i="1"/>
  <c r="F716" i="1"/>
  <c r="G716" i="1"/>
  <c r="AE716" i="1" s="1"/>
  <c r="AG716" i="1" s="1"/>
  <c r="H716" i="1"/>
  <c r="I716" i="1"/>
  <c r="J716" i="1"/>
  <c r="K716" i="1"/>
  <c r="L716" i="1"/>
  <c r="M716" i="1"/>
  <c r="N716" i="1"/>
  <c r="O716" i="1"/>
  <c r="P716" i="1"/>
  <c r="Q716" i="1"/>
  <c r="R716" i="1"/>
  <c r="A717" i="1"/>
  <c r="B717" i="1"/>
  <c r="C717" i="1"/>
  <c r="D717" i="1"/>
  <c r="E717" i="1"/>
  <c r="F717" i="1"/>
  <c r="Z717" i="1" s="1"/>
  <c r="G717" i="1"/>
  <c r="AE717" i="1" s="1"/>
  <c r="AG717" i="1" s="1"/>
  <c r="H717" i="1"/>
  <c r="I717" i="1"/>
  <c r="J717" i="1"/>
  <c r="K717" i="1"/>
  <c r="L717" i="1"/>
  <c r="M717" i="1"/>
  <c r="N717" i="1"/>
  <c r="O717" i="1"/>
  <c r="P717" i="1"/>
  <c r="Q717" i="1"/>
  <c r="R717" i="1"/>
  <c r="A718" i="1"/>
  <c r="B718" i="1"/>
  <c r="C718" i="1"/>
  <c r="D718" i="1"/>
  <c r="E718" i="1"/>
  <c r="F718" i="1"/>
  <c r="G718" i="1"/>
  <c r="AE718" i="1" s="1"/>
  <c r="AG718" i="1" s="1"/>
  <c r="H718" i="1"/>
  <c r="I718" i="1"/>
  <c r="J718" i="1"/>
  <c r="K718" i="1"/>
  <c r="L718" i="1"/>
  <c r="M718" i="1"/>
  <c r="N718" i="1"/>
  <c r="O718" i="1"/>
  <c r="P718" i="1"/>
  <c r="Q718" i="1"/>
  <c r="R718" i="1"/>
  <c r="A719" i="1"/>
  <c r="B719" i="1"/>
  <c r="C719" i="1"/>
  <c r="D719" i="1"/>
  <c r="E719" i="1"/>
  <c r="F719" i="1"/>
  <c r="Z719" i="1" s="1"/>
  <c r="G719" i="1"/>
  <c r="AE719" i="1" s="1"/>
  <c r="AG719" i="1" s="1"/>
  <c r="H719" i="1"/>
  <c r="I719" i="1"/>
  <c r="J719" i="1"/>
  <c r="K719" i="1"/>
  <c r="L719" i="1"/>
  <c r="M719" i="1"/>
  <c r="N719" i="1"/>
  <c r="O719" i="1"/>
  <c r="P719" i="1"/>
  <c r="Q719" i="1"/>
  <c r="R719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A720" i="1"/>
  <c r="B720" i="1"/>
  <c r="C720" i="1"/>
  <c r="D720" i="1"/>
  <c r="E720" i="1"/>
  <c r="F720" i="1"/>
  <c r="G720" i="1"/>
  <c r="AE720" i="1" s="1"/>
  <c r="AG720" i="1" s="1"/>
  <c r="H720" i="1"/>
  <c r="I720" i="1"/>
  <c r="J720" i="1"/>
  <c r="K720" i="1"/>
  <c r="L720" i="1"/>
  <c r="M720" i="1"/>
  <c r="N720" i="1"/>
  <c r="O720" i="1"/>
  <c r="P720" i="1"/>
  <c r="Q720" i="1"/>
  <c r="R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A722" i="1"/>
  <c r="B722" i="1"/>
  <c r="C722" i="1"/>
  <c r="D722" i="1"/>
  <c r="E722" i="1"/>
  <c r="F722" i="1"/>
  <c r="G722" i="1"/>
  <c r="AE722" i="1" s="1"/>
  <c r="AG722" i="1" s="1"/>
  <c r="H722" i="1"/>
  <c r="I722" i="1"/>
  <c r="J722" i="1"/>
  <c r="K722" i="1"/>
  <c r="L722" i="1"/>
  <c r="M722" i="1"/>
  <c r="N722" i="1"/>
  <c r="O722" i="1"/>
  <c r="P722" i="1"/>
  <c r="Q722" i="1"/>
  <c r="R722" i="1"/>
  <c r="U722" i="1" s="1"/>
  <c r="V722" i="1" s="1"/>
  <c r="A723" i="1"/>
  <c r="B723" i="1"/>
  <c r="C723" i="1"/>
  <c r="D723" i="1"/>
  <c r="E723" i="1"/>
  <c r="F723" i="1"/>
  <c r="G723" i="1"/>
  <c r="AE723" i="1" s="1"/>
  <c r="AG723" i="1" s="1"/>
  <c r="H723" i="1"/>
  <c r="I723" i="1"/>
  <c r="J723" i="1"/>
  <c r="K723" i="1"/>
  <c r="L723" i="1"/>
  <c r="M723" i="1"/>
  <c r="N723" i="1"/>
  <c r="O723" i="1"/>
  <c r="P723" i="1"/>
  <c r="Q723" i="1"/>
  <c r="R723" i="1"/>
  <c r="A724" i="1"/>
  <c r="B724" i="1"/>
  <c r="C724" i="1"/>
  <c r="D724" i="1"/>
  <c r="E724" i="1"/>
  <c r="F724" i="1"/>
  <c r="G724" i="1"/>
  <c r="AE724" i="1" s="1"/>
  <c r="AG724" i="1" s="1"/>
  <c r="H724" i="1"/>
  <c r="I724" i="1"/>
  <c r="J724" i="1"/>
  <c r="K724" i="1"/>
  <c r="L724" i="1"/>
  <c r="M724" i="1"/>
  <c r="N724" i="1"/>
  <c r="O724" i="1"/>
  <c r="P724" i="1"/>
  <c r="Q724" i="1"/>
  <c r="R724" i="1"/>
  <c r="A725" i="1"/>
  <c r="B725" i="1"/>
  <c r="C725" i="1"/>
  <c r="D725" i="1"/>
  <c r="E725" i="1"/>
  <c r="F725" i="1"/>
  <c r="Z725" i="1" s="1"/>
  <c r="G725" i="1"/>
  <c r="AE725" i="1" s="1"/>
  <c r="AG725" i="1" s="1"/>
  <c r="H725" i="1"/>
  <c r="I725" i="1"/>
  <c r="J725" i="1"/>
  <c r="K725" i="1"/>
  <c r="L725" i="1"/>
  <c r="M725" i="1"/>
  <c r="N725" i="1"/>
  <c r="O725" i="1"/>
  <c r="P725" i="1"/>
  <c r="Q725" i="1"/>
  <c r="R725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A726" i="1"/>
  <c r="B726" i="1"/>
  <c r="C726" i="1"/>
  <c r="D726" i="1"/>
  <c r="E726" i="1"/>
  <c r="F726" i="1"/>
  <c r="Z726" i="1" s="1"/>
  <c r="G726" i="1"/>
  <c r="AE726" i="1" s="1"/>
  <c r="AG726" i="1" s="1"/>
  <c r="H726" i="1"/>
  <c r="I726" i="1"/>
  <c r="J726" i="1"/>
  <c r="K726" i="1"/>
  <c r="L726" i="1"/>
  <c r="M726" i="1"/>
  <c r="N726" i="1"/>
  <c r="O726" i="1"/>
  <c r="P726" i="1"/>
  <c r="Q726" i="1"/>
  <c r="R726" i="1"/>
  <c r="W726" i="1" s="1"/>
  <c r="A727" i="1"/>
  <c r="B727" i="1"/>
  <c r="C727" i="1"/>
  <c r="D727" i="1"/>
  <c r="E727" i="1"/>
  <c r="F727" i="1"/>
  <c r="Z727" i="1" s="1"/>
  <c r="G727" i="1"/>
  <c r="H727" i="1"/>
  <c r="I727" i="1"/>
  <c r="J727" i="1"/>
  <c r="K727" i="1"/>
  <c r="L727" i="1"/>
  <c r="M727" i="1"/>
  <c r="N727" i="1"/>
  <c r="O727" i="1"/>
  <c r="P727" i="1"/>
  <c r="Q727" i="1"/>
  <c r="R727" i="1"/>
  <c r="A728" i="1"/>
  <c r="B728" i="1"/>
  <c r="C728" i="1"/>
  <c r="D728" i="1"/>
  <c r="E728" i="1"/>
  <c r="F728" i="1"/>
  <c r="G728" i="1"/>
  <c r="AE728" i="1" s="1"/>
  <c r="AG728" i="1" s="1"/>
  <c r="H728" i="1"/>
  <c r="I728" i="1"/>
  <c r="J728" i="1"/>
  <c r="K728" i="1"/>
  <c r="L728" i="1"/>
  <c r="M728" i="1"/>
  <c r="N728" i="1"/>
  <c r="O728" i="1"/>
  <c r="P728" i="1"/>
  <c r="Q728" i="1"/>
  <c r="R728" i="1"/>
  <c r="A729" i="1"/>
  <c r="B729" i="1"/>
  <c r="C729" i="1"/>
  <c r="D729" i="1"/>
  <c r="E729" i="1"/>
  <c r="F729" i="1"/>
  <c r="G729" i="1"/>
  <c r="AE729" i="1" s="1"/>
  <c r="AG729" i="1" s="1"/>
  <c r="H729" i="1"/>
  <c r="I729" i="1"/>
  <c r="J729" i="1"/>
  <c r="K729" i="1"/>
  <c r="L729" i="1"/>
  <c r="M729" i="1"/>
  <c r="N729" i="1"/>
  <c r="O729" i="1"/>
  <c r="P729" i="1"/>
  <c r="Q729" i="1"/>
  <c r="R729" i="1"/>
  <c r="A730" i="1"/>
  <c r="B730" i="1"/>
  <c r="C730" i="1"/>
  <c r="D730" i="1"/>
  <c r="E730" i="1"/>
  <c r="F730" i="1"/>
  <c r="G730" i="1"/>
  <c r="AE730" i="1" s="1"/>
  <c r="AG730" i="1" s="1"/>
  <c r="H730" i="1"/>
  <c r="I730" i="1"/>
  <c r="J730" i="1"/>
  <c r="K730" i="1"/>
  <c r="L730" i="1"/>
  <c r="M730" i="1"/>
  <c r="N730" i="1"/>
  <c r="O730" i="1"/>
  <c r="P730" i="1"/>
  <c r="Q730" i="1"/>
  <c r="R730" i="1"/>
  <c r="A731" i="1"/>
  <c r="B731" i="1"/>
  <c r="C731" i="1"/>
  <c r="D731" i="1"/>
  <c r="E731" i="1"/>
  <c r="F731" i="1"/>
  <c r="Z731" i="1" s="1"/>
  <c r="G731" i="1"/>
  <c r="H731" i="1"/>
  <c r="I731" i="1"/>
  <c r="J731" i="1"/>
  <c r="K731" i="1"/>
  <c r="L731" i="1"/>
  <c r="M731" i="1"/>
  <c r="N731" i="1"/>
  <c r="O731" i="1"/>
  <c r="P731" i="1"/>
  <c r="Q731" i="1"/>
  <c r="R731" i="1"/>
  <c r="T731" i="1" s="1"/>
  <c r="A732" i="1"/>
  <c r="B732" i="1"/>
  <c r="C732" i="1"/>
  <c r="D732" i="1"/>
  <c r="E732" i="1"/>
  <c r="F732" i="1"/>
  <c r="G732" i="1"/>
  <c r="AE732" i="1" s="1"/>
  <c r="AG732" i="1" s="1"/>
  <c r="H732" i="1"/>
  <c r="I732" i="1"/>
  <c r="J732" i="1"/>
  <c r="K732" i="1"/>
  <c r="L732" i="1"/>
  <c r="M732" i="1"/>
  <c r="N732" i="1"/>
  <c r="O732" i="1"/>
  <c r="P732" i="1"/>
  <c r="Q732" i="1"/>
  <c r="R732" i="1"/>
  <c r="A733" i="1"/>
  <c r="B733" i="1"/>
  <c r="C733" i="1"/>
  <c r="D733" i="1"/>
  <c r="E733" i="1"/>
  <c r="F733" i="1"/>
  <c r="G733" i="1"/>
  <c r="AE733" i="1" s="1"/>
  <c r="AG733" i="1" s="1"/>
  <c r="H733" i="1"/>
  <c r="I733" i="1"/>
  <c r="J733" i="1"/>
  <c r="K733" i="1"/>
  <c r="L733" i="1"/>
  <c r="M733" i="1"/>
  <c r="N733" i="1"/>
  <c r="O733" i="1"/>
  <c r="P733" i="1"/>
  <c r="Q733" i="1"/>
  <c r="R733" i="1"/>
  <c r="A734" i="1"/>
  <c r="B734" i="1"/>
  <c r="C734" i="1"/>
  <c r="D734" i="1"/>
  <c r="E734" i="1"/>
  <c r="F734" i="1"/>
  <c r="Z734" i="1" s="1"/>
  <c r="G734" i="1"/>
  <c r="AE734" i="1" s="1"/>
  <c r="AG734" i="1" s="1"/>
  <c r="H734" i="1"/>
  <c r="I734" i="1"/>
  <c r="J734" i="1"/>
  <c r="K734" i="1"/>
  <c r="L734" i="1"/>
  <c r="M734" i="1"/>
  <c r="N734" i="1"/>
  <c r="O734" i="1"/>
  <c r="P734" i="1"/>
  <c r="Q734" i="1"/>
  <c r="R734" i="1"/>
  <c r="A735" i="1"/>
  <c r="B735" i="1"/>
  <c r="C735" i="1"/>
  <c r="D735" i="1"/>
  <c r="E735" i="1"/>
  <c r="F735" i="1"/>
  <c r="G735" i="1"/>
  <c r="AE735" i="1" s="1"/>
  <c r="AG735" i="1" s="1"/>
  <c r="H735" i="1"/>
  <c r="I735" i="1"/>
  <c r="J735" i="1"/>
  <c r="K735" i="1"/>
  <c r="L735" i="1"/>
  <c r="M735" i="1"/>
  <c r="N735" i="1"/>
  <c r="O735" i="1"/>
  <c r="P735" i="1"/>
  <c r="Q735" i="1"/>
  <c r="R735" i="1"/>
  <c r="W735" i="1" s="1"/>
  <c r="A736" i="1"/>
  <c r="B736" i="1"/>
  <c r="C736" i="1"/>
  <c r="D736" i="1"/>
  <c r="E736" i="1"/>
  <c r="F736" i="1"/>
  <c r="G736" i="1"/>
  <c r="AE736" i="1" s="1"/>
  <c r="AG736" i="1" s="1"/>
  <c r="H736" i="1"/>
  <c r="I736" i="1"/>
  <c r="J736" i="1"/>
  <c r="K736" i="1"/>
  <c r="L736" i="1"/>
  <c r="M736" i="1"/>
  <c r="N736" i="1"/>
  <c r="O736" i="1"/>
  <c r="P736" i="1"/>
  <c r="Q736" i="1"/>
  <c r="R736" i="1"/>
  <c r="A737" i="1"/>
  <c r="B737" i="1"/>
  <c r="C737" i="1"/>
  <c r="D737" i="1"/>
  <c r="E737" i="1"/>
  <c r="F737" i="1"/>
  <c r="G737" i="1"/>
  <c r="AE737" i="1" s="1"/>
  <c r="AG737" i="1" s="1"/>
  <c r="H737" i="1"/>
  <c r="I737" i="1"/>
  <c r="J737" i="1"/>
  <c r="K737" i="1"/>
  <c r="L737" i="1"/>
  <c r="M737" i="1"/>
  <c r="N737" i="1"/>
  <c r="O737" i="1"/>
  <c r="P737" i="1"/>
  <c r="Q737" i="1"/>
  <c r="R737" i="1"/>
  <c r="A738" i="1"/>
  <c r="B738" i="1"/>
  <c r="C738" i="1"/>
  <c r="D738" i="1"/>
  <c r="E738" i="1"/>
  <c r="F738" i="1"/>
  <c r="G738" i="1"/>
  <c r="AE738" i="1" s="1"/>
  <c r="AG738" i="1" s="1"/>
  <c r="H738" i="1"/>
  <c r="I738" i="1"/>
  <c r="J738" i="1"/>
  <c r="K738" i="1"/>
  <c r="L738" i="1"/>
  <c r="M738" i="1"/>
  <c r="N738" i="1"/>
  <c r="O738" i="1"/>
  <c r="P738" i="1"/>
  <c r="Q738" i="1"/>
  <c r="R738" i="1"/>
  <c r="A739" i="1"/>
  <c r="B739" i="1"/>
  <c r="C739" i="1"/>
  <c r="D739" i="1"/>
  <c r="E739" i="1"/>
  <c r="F739" i="1"/>
  <c r="Z739" i="1" s="1"/>
  <c r="G739" i="1"/>
  <c r="AE739" i="1" s="1"/>
  <c r="AG739" i="1" s="1"/>
  <c r="H739" i="1"/>
  <c r="I739" i="1"/>
  <c r="J739" i="1"/>
  <c r="K739" i="1"/>
  <c r="L739" i="1"/>
  <c r="M739" i="1"/>
  <c r="N739" i="1"/>
  <c r="O739" i="1"/>
  <c r="P739" i="1"/>
  <c r="Q739" i="1"/>
  <c r="R739" i="1"/>
  <c r="A740" i="1"/>
  <c r="B740" i="1"/>
  <c r="C740" i="1"/>
  <c r="D740" i="1"/>
  <c r="E740" i="1"/>
  <c r="F740" i="1"/>
  <c r="G740" i="1"/>
  <c r="AE740" i="1" s="1"/>
  <c r="AG740" i="1" s="1"/>
  <c r="H740" i="1"/>
  <c r="I740" i="1"/>
  <c r="J740" i="1"/>
  <c r="K740" i="1"/>
  <c r="L740" i="1"/>
  <c r="M740" i="1"/>
  <c r="N740" i="1"/>
  <c r="O740" i="1"/>
  <c r="P740" i="1"/>
  <c r="Q740" i="1"/>
  <c r="R740" i="1"/>
  <c r="U740" i="1" s="1"/>
  <c r="A741" i="1"/>
  <c r="B741" i="1"/>
  <c r="C741" i="1"/>
  <c r="D741" i="1"/>
  <c r="E741" i="1"/>
  <c r="F741" i="1"/>
  <c r="Z741" i="1" s="1"/>
  <c r="G741" i="1"/>
  <c r="AE741" i="1" s="1"/>
  <c r="AG741" i="1" s="1"/>
  <c r="H741" i="1"/>
  <c r="I741" i="1"/>
  <c r="J741" i="1"/>
  <c r="K741" i="1"/>
  <c r="L741" i="1"/>
  <c r="M741" i="1"/>
  <c r="N741" i="1"/>
  <c r="O741" i="1"/>
  <c r="P741" i="1"/>
  <c r="Q741" i="1"/>
  <c r="R741" i="1"/>
  <c r="A742" i="1"/>
  <c r="B742" i="1"/>
  <c r="C742" i="1"/>
  <c r="D742" i="1"/>
  <c r="E742" i="1"/>
  <c r="F742" i="1"/>
  <c r="Z742" i="1" s="1"/>
  <c r="G742" i="1"/>
  <c r="H742" i="1"/>
  <c r="I742" i="1"/>
  <c r="J742" i="1"/>
  <c r="K742" i="1"/>
  <c r="L742" i="1"/>
  <c r="M742" i="1"/>
  <c r="N742" i="1"/>
  <c r="O742" i="1"/>
  <c r="P742" i="1"/>
  <c r="Q742" i="1"/>
  <c r="R742" i="1"/>
  <c r="U742" i="1" s="1"/>
  <c r="A743" i="1"/>
  <c r="B743" i="1"/>
  <c r="C743" i="1"/>
  <c r="D743" i="1"/>
  <c r="E743" i="1"/>
  <c r="F743" i="1"/>
  <c r="G743" i="1"/>
  <c r="AE743" i="1" s="1"/>
  <c r="AG743" i="1" s="1"/>
  <c r="H743" i="1"/>
  <c r="I743" i="1"/>
  <c r="J743" i="1"/>
  <c r="K743" i="1"/>
  <c r="L743" i="1"/>
  <c r="M743" i="1"/>
  <c r="N743" i="1"/>
  <c r="O743" i="1"/>
  <c r="P743" i="1"/>
  <c r="Q743" i="1"/>
  <c r="R743" i="1"/>
  <c r="A744" i="1"/>
  <c r="B744" i="1"/>
  <c r="C744" i="1"/>
  <c r="D744" i="1"/>
  <c r="E744" i="1"/>
  <c r="F744" i="1"/>
  <c r="G744" i="1"/>
  <c r="AE744" i="1" s="1"/>
  <c r="AG744" i="1" s="1"/>
  <c r="H744" i="1"/>
  <c r="I744" i="1"/>
  <c r="J744" i="1"/>
  <c r="K744" i="1"/>
  <c r="L744" i="1"/>
  <c r="M744" i="1"/>
  <c r="N744" i="1"/>
  <c r="O744" i="1"/>
  <c r="P744" i="1"/>
  <c r="Q744" i="1"/>
  <c r="R744" i="1"/>
  <c r="A745" i="1"/>
  <c r="B745" i="1"/>
  <c r="C745" i="1"/>
  <c r="D745" i="1"/>
  <c r="E745" i="1"/>
  <c r="F745" i="1"/>
  <c r="G745" i="1"/>
  <c r="AE745" i="1" s="1"/>
  <c r="AG745" i="1" s="1"/>
  <c r="H745" i="1"/>
  <c r="I745" i="1"/>
  <c r="J745" i="1"/>
  <c r="K745" i="1"/>
  <c r="L745" i="1"/>
  <c r="M745" i="1"/>
  <c r="N745" i="1"/>
  <c r="O745" i="1"/>
  <c r="P745" i="1"/>
  <c r="Q745" i="1"/>
  <c r="R745" i="1"/>
  <c r="A746" i="1"/>
  <c r="B746" i="1"/>
  <c r="C746" i="1"/>
  <c r="D746" i="1"/>
  <c r="E746" i="1"/>
  <c r="F746" i="1"/>
  <c r="Z746" i="1" s="1"/>
  <c r="G746" i="1"/>
  <c r="AE746" i="1" s="1"/>
  <c r="AG746" i="1" s="1"/>
  <c r="H746" i="1"/>
  <c r="I746" i="1"/>
  <c r="J746" i="1"/>
  <c r="K746" i="1"/>
  <c r="L746" i="1"/>
  <c r="M746" i="1"/>
  <c r="N746" i="1"/>
  <c r="O746" i="1"/>
  <c r="P746" i="1"/>
  <c r="Q746" i="1"/>
  <c r="R746" i="1"/>
  <c r="A747" i="1"/>
  <c r="B747" i="1"/>
  <c r="C747" i="1"/>
  <c r="D747" i="1"/>
  <c r="E747" i="1"/>
  <c r="F747" i="1"/>
  <c r="Z747" i="1" s="1"/>
  <c r="G747" i="1"/>
  <c r="AE747" i="1" s="1"/>
  <c r="AG747" i="1" s="1"/>
  <c r="H747" i="1"/>
  <c r="I747" i="1"/>
  <c r="J747" i="1"/>
  <c r="K747" i="1"/>
  <c r="L747" i="1"/>
  <c r="M747" i="1"/>
  <c r="N747" i="1"/>
  <c r="O747" i="1"/>
  <c r="P747" i="1"/>
  <c r="Q747" i="1"/>
  <c r="R747" i="1"/>
  <c r="A748" i="1"/>
  <c r="B748" i="1"/>
  <c r="C748" i="1"/>
  <c r="D748" i="1"/>
  <c r="E748" i="1"/>
  <c r="F748" i="1"/>
  <c r="Z748" i="1" s="1"/>
  <c r="G748" i="1"/>
  <c r="AE748" i="1" s="1"/>
  <c r="AG748" i="1" s="1"/>
  <c r="H748" i="1"/>
  <c r="I748" i="1"/>
  <c r="J748" i="1"/>
  <c r="K748" i="1"/>
  <c r="L748" i="1"/>
  <c r="M748" i="1"/>
  <c r="N748" i="1"/>
  <c r="O748" i="1"/>
  <c r="P748" i="1"/>
  <c r="Q748" i="1"/>
  <c r="R748" i="1"/>
  <c r="A749" i="1"/>
  <c r="B749" i="1"/>
  <c r="C749" i="1"/>
  <c r="D749" i="1"/>
  <c r="E749" i="1"/>
  <c r="F749" i="1"/>
  <c r="G749" i="1"/>
  <c r="AE749" i="1" s="1"/>
  <c r="AG749" i="1" s="1"/>
  <c r="H749" i="1"/>
  <c r="I749" i="1"/>
  <c r="J749" i="1"/>
  <c r="K749" i="1"/>
  <c r="L749" i="1"/>
  <c r="M749" i="1"/>
  <c r="N749" i="1"/>
  <c r="O749" i="1"/>
  <c r="P749" i="1"/>
  <c r="Q749" i="1"/>
  <c r="R749" i="1"/>
  <c r="A750" i="1"/>
  <c r="B750" i="1"/>
  <c r="C750" i="1"/>
  <c r="D750" i="1"/>
  <c r="E750" i="1"/>
  <c r="F750" i="1"/>
  <c r="Z750" i="1" s="1"/>
  <c r="G750" i="1"/>
  <c r="H750" i="1"/>
  <c r="I750" i="1"/>
  <c r="J750" i="1"/>
  <c r="K750" i="1"/>
  <c r="L750" i="1"/>
  <c r="M750" i="1"/>
  <c r="N750" i="1"/>
  <c r="O750" i="1"/>
  <c r="P750" i="1"/>
  <c r="Q750" i="1"/>
  <c r="R750" i="1"/>
  <c r="T750" i="1" s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A752" i="1"/>
  <c r="B752" i="1"/>
  <c r="C752" i="1"/>
  <c r="D752" i="1"/>
  <c r="E752" i="1"/>
  <c r="F752" i="1"/>
  <c r="G752" i="1"/>
  <c r="AE752" i="1" s="1"/>
  <c r="AG752" i="1" s="1"/>
  <c r="H752" i="1"/>
  <c r="I752" i="1"/>
  <c r="J752" i="1"/>
  <c r="K752" i="1"/>
  <c r="L752" i="1"/>
  <c r="M752" i="1"/>
  <c r="N752" i="1"/>
  <c r="O752" i="1"/>
  <c r="P752" i="1"/>
  <c r="Q752" i="1"/>
  <c r="R752" i="1"/>
  <c r="A753" i="1"/>
  <c r="B753" i="1"/>
  <c r="C753" i="1"/>
  <c r="D753" i="1"/>
  <c r="E753" i="1"/>
  <c r="F753" i="1"/>
  <c r="Z753" i="1" s="1"/>
  <c r="G753" i="1"/>
  <c r="AE753" i="1" s="1"/>
  <c r="AG753" i="1" s="1"/>
  <c r="H753" i="1"/>
  <c r="I753" i="1"/>
  <c r="J753" i="1"/>
  <c r="K753" i="1"/>
  <c r="L753" i="1"/>
  <c r="M753" i="1"/>
  <c r="N753" i="1"/>
  <c r="O753" i="1"/>
  <c r="P753" i="1"/>
  <c r="Q753" i="1"/>
  <c r="R753" i="1"/>
  <c r="A754" i="1"/>
  <c r="B754" i="1"/>
  <c r="C754" i="1"/>
  <c r="D754" i="1"/>
  <c r="E754" i="1"/>
  <c r="F754" i="1"/>
  <c r="G754" i="1"/>
  <c r="AE754" i="1" s="1"/>
  <c r="AG754" i="1" s="1"/>
  <c r="H754" i="1"/>
  <c r="I754" i="1"/>
  <c r="J754" i="1"/>
  <c r="K754" i="1"/>
  <c r="L754" i="1"/>
  <c r="M754" i="1"/>
  <c r="N754" i="1"/>
  <c r="O754" i="1"/>
  <c r="P754" i="1"/>
  <c r="Q754" i="1"/>
  <c r="R754" i="1"/>
  <c r="T754" i="1" s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W1590" i="1" s="1"/>
  <c r="A755" i="1"/>
  <c r="B755" i="1"/>
  <c r="C755" i="1"/>
  <c r="D755" i="1"/>
  <c r="E755" i="1"/>
  <c r="F755" i="1"/>
  <c r="Z755" i="1" s="1"/>
  <c r="G755" i="1"/>
  <c r="AE755" i="1" s="1"/>
  <c r="AG755" i="1" s="1"/>
  <c r="H755" i="1"/>
  <c r="I755" i="1"/>
  <c r="J755" i="1"/>
  <c r="K755" i="1"/>
  <c r="L755" i="1"/>
  <c r="M755" i="1"/>
  <c r="N755" i="1"/>
  <c r="O755" i="1"/>
  <c r="P755" i="1"/>
  <c r="Q755" i="1"/>
  <c r="R755" i="1"/>
  <c r="A756" i="1"/>
  <c r="B756" i="1"/>
  <c r="C756" i="1"/>
  <c r="D756" i="1"/>
  <c r="E756" i="1"/>
  <c r="F756" i="1"/>
  <c r="G756" i="1"/>
  <c r="AE756" i="1" s="1"/>
  <c r="AG756" i="1" s="1"/>
  <c r="H756" i="1"/>
  <c r="I756" i="1"/>
  <c r="J756" i="1"/>
  <c r="K756" i="1"/>
  <c r="L756" i="1"/>
  <c r="M756" i="1"/>
  <c r="N756" i="1"/>
  <c r="O756" i="1"/>
  <c r="P756" i="1"/>
  <c r="Q756" i="1"/>
  <c r="R756" i="1"/>
  <c r="W756" i="1" s="1"/>
  <c r="A757" i="1"/>
  <c r="B757" i="1"/>
  <c r="C757" i="1"/>
  <c r="D757" i="1"/>
  <c r="E757" i="1"/>
  <c r="F757" i="1"/>
  <c r="Z757" i="1" s="1"/>
  <c r="G757" i="1"/>
  <c r="H757" i="1"/>
  <c r="I757" i="1"/>
  <c r="J757" i="1"/>
  <c r="K757" i="1"/>
  <c r="L757" i="1"/>
  <c r="M757" i="1"/>
  <c r="N757" i="1"/>
  <c r="O757" i="1"/>
  <c r="P757" i="1"/>
  <c r="Q757" i="1"/>
  <c r="R757" i="1"/>
  <c r="U757" i="1" s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T758" i="1" s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A759" i="1"/>
  <c r="B759" i="1"/>
  <c r="C759" i="1"/>
  <c r="D759" i="1"/>
  <c r="E759" i="1"/>
  <c r="F759" i="1"/>
  <c r="Z759" i="1" s="1"/>
  <c r="G759" i="1"/>
  <c r="AE759" i="1" s="1"/>
  <c r="AG759" i="1" s="1"/>
  <c r="H759" i="1"/>
  <c r="I759" i="1"/>
  <c r="J759" i="1"/>
  <c r="K759" i="1"/>
  <c r="L759" i="1"/>
  <c r="M759" i="1"/>
  <c r="N759" i="1"/>
  <c r="O759" i="1"/>
  <c r="P759" i="1"/>
  <c r="Q759" i="1"/>
  <c r="R759" i="1"/>
  <c r="A760" i="1"/>
  <c r="B760" i="1"/>
  <c r="C760" i="1"/>
  <c r="D760" i="1"/>
  <c r="E760" i="1"/>
  <c r="F760" i="1"/>
  <c r="G760" i="1"/>
  <c r="AE760" i="1" s="1"/>
  <c r="AG760" i="1" s="1"/>
  <c r="H760" i="1"/>
  <c r="I760" i="1"/>
  <c r="J760" i="1"/>
  <c r="K760" i="1"/>
  <c r="L760" i="1"/>
  <c r="M760" i="1"/>
  <c r="N760" i="1"/>
  <c r="O760" i="1"/>
  <c r="P760" i="1"/>
  <c r="Q760" i="1"/>
  <c r="R760" i="1"/>
  <c r="A761" i="1"/>
  <c r="B761" i="1"/>
  <c r="C761" i="1"/>
  <c r="D761" i="1"/>
  <c r="E761" i="1"/>
  <c r="F761" i="1"/>
  <c r="Z761" i="1" s="1"/>
  <c r="G761" i="1"/>
  <c r="AE761" i="1" s="1"/>
  <c r="AG761" i="1" s="1"/>
  <c r="H761" i="1"/>
  <c r="I761" i="1"/>
  <c r="J761" i="1"/>
  <c r="K761" i="1"/>
  <c r="L761" i="1"/>
  <c r="M761" i="1"/>
  <c r="N761" i="1"/>
  <c r="O761" i="1"/>
  <c r="P761" i="1"/>
  <c r="Q761" i="1"/>
  <c r="R761" i="1"/>
  <c r="T761" i="1" s="1"/>
  <c r="A762" i="1"/>
  <c r="B762" i="1"/>
  <c r="C762" i="1"/>
  <c r="D762" i="1"/>
  <c r="E762" i="1"/>
  <c r="F762" i="1"/>
  <c r="G762" i="1"/>
  <c r="AE762" i="1" s="1"/>
  <c r="AG762" i="1" s="1"/>
  <c r="H762" i="1"/>
  <c r="I762" i="1"/>
  <c r="J762" i="1"/>
  <c r="K762" i="1"/>
  <c r="L762" i="1"/>
  <c r="M762" i="1"/>
  <c r="N762" i="1"/>
  <c r="O762" i="1"/>
  <c r="P762" i="1"/>
  <c r="Q762" i="1"/>
  <c r="R762" i="1"/>
  <c r="T762" i="1" s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U1497" i="1" s="1"/>
  <c r="A763" i="1"/>
  <c r="B763" i="1"/>
  <c r="C763" i="1"/>
  <c r="D763" i="1"/>
  <c r="E763" i="1"/>
  <c r="F763" i="1"/>
  <c r="Z763" i="1" s="1"/>
  <c r="G763" i="1"/>
  <c r="H763" i="1"/>
  <c r="I763" i="1"/>
  <c r="J763" i="1"/>
  <c r="K763" i="1"/>
  <c r="L763" i="1"/>
  <c r="M763" i="1"/>
  <c r="N763" i="1"/>
  <c r="O763" i="1"/>
  <c r="P763" i="1"/>
  <c r="Q763" i="1"/>
  <c r="R763" i="1"/>
  <c r="U763" i="1" s="1"/>
  <c r="A764" i="1"/>
  <c r="B764" i="1"/>
  <c r="C764" i="1"/>
  <c r="D764" i="1"/>
  <c r="E764" i="1"/>
  <c r="F764" i="1"/>
  <c r="G764" i="1"/>
  <c r="AE764" i="1" s="1"/>
  <c r="AG764" i="1" s="1"/>
  <c r="H764" i="1"/>
  <c r="I764" i="1"/>
  <c r="J764" i="1"/>
  <c r="K764" i="1"/>
  <c r="L764" i="1"/>
  <c r="M764" i="1"/>
  <c r="N764" i="1"/>
  <c r="O764" i="1"/>
  <c r="P764" i="1"/>
  <c r="Q764" i="1"/>
  <c r="R764" i="1"/>
  <c r="W764" i="1" s="1"/>
  <c r="A765" i="1"/>
  <c r="B765" i="1"/>
  <c r="C765" i="1"/>
  <c r="D765" i="1"/>
  <c r="E765" i="1"/>
  <c r="F765" i="1"/>
  <c r="G765" i="1"/>
  <c r="AE765" i="1" s="1"/>
  <c r="AG765" i="1" s="1"/>
  <c r="H765" i="1"/>
  <c r="I765" i="1"/>
  <c r="J765" i="1"/>
  <c r="K765" i="1"/>
  <c r="L765" i="1"/>
  <c r="M765" i="1"/>
  <c r="N765" i="1"/>
  <c r="O765" i="1"/>
  <c r="P765" i="1"/>
  <c r="Q765" i="1"/>
  <c r="R765" i="1"/>
  <c r="T765" i="1" s="1"/>
  <c r="A766" i="1"/>
  <c r="B766" i="1"/>
  <c r="C766" i="1"/>
  <c r="D766" i="1"/>
  <c r="E766" i="1"/>
  <c r="F766" i="1"/>
  <c r="Z766" i="1" s="1"/>
  <c r="G766" i="1"/>
  <c r="AE766" i="1" s="1"/>
  <c r="AG766" i="1" s="1"/>
  <c r="H766" i="1"/>
  <c r="I766" i="1"/>
  <c r="J766" i="1"/>
  <c r="K766" i="1"/>
  <c r="L766" i="1"/>
  <c r="M766" i="1"/>
  <c r="N766" i="1"/>
  <c r="O766" i="1"/>
  <c r="P766" i="1"/>
  <c r="Q766" i="1"/>
  <c r="R766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T89" i="1" s="1"/>
  <c r="A767" i="1"/>
  <c r="B767" i="1"/>
  <c r="C767" i="1"/>
  <c r="D767" i="1"/>
  <c r="E767" i="1"/>
  <c r="F767" i="1"/>
  <c r="G767" i="1"/>
  <c r="AE767" i="1" s="1"/>
  <c r="AG767" i="1" s="1"/>
  <c r="H767" i="1"/>
  <c r="I767" i="1"/>
  <c r="J767" i="1"/>
  <c r="K767" i="1"/>
  <c r="L767" i="1"/>
  <c r="M767" i="1"/>
  <c r="N767" i="1"/>
  <c r="O767" i="1"/>
  <c r="P767" i="1"/>
  <c r="Q767" i="1"/>
  <c r="R767" i="1"/>
  <c r="A768" i="1"/>
  <c r="B768" i="1"/>
  <c r="C768" i="1"/>
  <c r="D768" i="1"/>
  <c r="E768" i="1"/>
  <c r="F768" i="1"/>
  <c r="Z768" i="1" s="1"/>
  <c r="G768" i="1"/>
  <c r="AE768" i="1" s="1"/>
  <c r="AG768" i="1" s="1"/>
  <c r="H768" i="1"/>
  <c r="I768" i="1"/>
  <c r="J768" i="1"/>
  <c r="K768" i="1"/>
  <c r="L768" i="1"/>
  <c r="M768" i="1"/>
  <c r="N768" i="1"/>
  <c r="O768" i="1"/>
  <c r="P768" i="1"/>
  <c r="Q768" i="1"/>
  <c r="R768" i="1"/>
  <c r="A769" i="1"/>
  <c r="B769" i="1"/>
  <c r="C769" i="1"/>
  <c r="D769" i="1"/>
  <c r="E769" i="1"/>
  <c r="F769" i="1"/>
  <c r="Z769" i="1" s="1"/>
  <c r="G769" i="1"/>
  <c r="AE769" i="1" s="1"/>
  <c r="AG769" i="1" s="1"/>
  <c r="H769" i="1"/>
  <c r="I769" i="1"/>
  <c r="J769" i="1"/>
  <c r="K769" i="1"/>
  <c r="L769" i="1"/>
  <c r="M769" i="1"/>
  <c r="N769" i="1"/>
  <c r="O769" i="1"/>
  <c r="P769" i="1"/>
  <c r="Q769" i="1"/>
  <c r="R769" i="1"/>
  <c r="T769" i="1" s="1"/>
  <c r="A770" i="1"/>
  <c r="B770" i="1"/>
  <c r="C770" i="1"/>
  <c r="D770" i="1"/>
  <c r="E770" i="1"/>
  <c r="F770" i="1"/>
  <c r="G770" i="1"/>
  <c r="AE770" i="1" s="1"/>
  <c r="AG770" i="1" s="1"/>
  <c r="H770" i="1"/>
  <c r="I770" i="1"/>
  <c r="J770" i="1"/>
  <c r="K770" i="1"/>
  <c r="L770" i="1"/>
  <c r="M770" i="1"/>
  <c r="N770" i="1"/>
  <c r="O770" i="1"/>
  <c r="P770" i="1"/>
  <c r="Q770" i="1"/>
  <c r="R770" i="1"/>
  <c r="T770" i="1" s="1"/>
  <c r="A771" i="1"/>
  <c r="B771" i="1"/>
  <c r="C771" i="1"/>
  <c r="D771" i="1"/>
  <c r="E771" i="1"/>
  <c r="F771" i="1"/>
  <c r="G771" i="1"/>
  <c r="AE771" i="1" s="1"/>
  <c r="AG771" i="1" s="1"/>
  <c r="H771" i="1"/>
  <c r="I771" i="1"/>
  <c r="J771" i="1"/>
  <c r="K771" i="1"/>
  <c r="L771" i="1"/>
  <c r="M771" i="1"/>
  <c r="N771" i="1"/>
  <c r="O771" i="1"/>
  <c r="P771" i="1"/>
  <c r="Q771" i="1"/>
  <c r="R771" i="1"/>
  <c r="T771" i="1" s="1"/>
  <c r="A772" i="1"/>
  <c r="B772" i="1"/>
  <c r="C772" i="1"/>
  <c r="D772" i="1"/>
  <c r="E772" i="1"/>
  <c r="F772" i="1"/>
  <c r="Z772" i="1" s="1"/>
  <c r="G772" i="1"/>
  <c r="AE772" i="1" s="1"/>
  <c r="AG772" i="1" s="1"/>
  <c r="H772" i="1"/>
  <c r="I772" i="1"/>
  <c r="J772" i="1"/>
  <c r="K772" i="1"/>
  <c r="L772" i="1"/>
  <c r="M772" i="1"/>
  <c r="N772" i="1"/>
  <c r="O772" i="1"/>
  <c r="P772" i="1"/>
  <c r="Q772" i="1"/>
  <c r="R772" i="1"/>
  <c r="A773" i="1"/>
  <c r="B773" i="1"/>
  <c r="C773" i="1"/>
  <c r="D773" i="1"/>
  <c r="E773" i="1"/>
  <c r="F773" i="1"/>
  <c r="Z773" i="1" s="1"/>
  <c r="G773" i="1"/>
  <c r="AE773" i="1" s="1"/>
  <c r="AG773" i="1" s="1"/>
  <c r="H773" i="1"/>
  <c r="I773" i="1"/>
  <c r="J773" i="1"/>
  <c r="K773" i="1"/>
  <c r="L773" i="1"/>
  <c r="M773" i="1"/>
  <c r="N773" i="1"/>
  <c r="O773" i="1"/>
  <c r="P773" i="1"/>
  <c r="Q773" i="1"/>
  <c r="R773" i="1"/>
  <c r="A774" i="1"/>
  <c r="B774" i="1"/>
  <c r="C774" i="1"/>
  <c r="D774" i="1"/>
  <c r="E774" i="1"/>
  <c r="F774" i="1"/>
  <c r="Z774" i="1" s="1"/>
  <c r="G774" i="1"/>
  <c r="AE774" i="1" s="1"/>
  <c r="AG774" i="1" s="1"/>
  <c r="H774" i="1"/>
  <c r="I774" i="1"/>
  <c r="J774" i="1"/>
  <c r="K774" i="1"/>
  <c r="L774" i="1"/>
  <c r="M774" i="1"/>
  <c r="N774" i="1"/>
  <c r="O774" i="1"/>
  <c r="P774" i="1"/>
  <c r="Q774" i="1"/>
  <c r="R774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T230" i="1" s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W612" i="1" s="1"/>
  <c r="A775" i="1"/>
  <c r="B775" i="1"/>
  <c r="C775" i="1"/>
  <c r="D775" i="1"/>
  <c r="E775" i="1"/>
  <c r="F775" i="1"/>
  <c r="Z775" i="1" s="1"/>
  <c r="G775" i="1"/>
  <c r="AE775" i="1" s="1"/>
  <c r="AG775" i="1" s="1"/>
  <c r="H775" i="1"/>
  <c r="I775" i="1"/>
  <c r="J775" i="1"/>
  <c r="K775" i="1"/>
  <c r="L775" i="1"/>
  <c r="M775" i="1"/>
  <c r="N775" i="1"/>
  <c r="O775" i="1"/>
  <c r="P775" i="1"/>
  <c r="Q775" i="1"/>
  <c r="R775" i="1"/>
  <c r="T775" i="1" s="1"/>
  <c r="A776" i="1"/>
  <c r="B776" i="1"/>
  <c r="C776" i="1"/>
  <c r="D776" i="1"/>
  <c r="E776" i="1"/>
  <c r="F776" i="1"/>
  <c r="G776" i="1"/>
  <c r="AE776" i="1" s="1"/>
  <c r="AG776" i="1" s="1"/>
  <c r="H776" i="1"/>
  <c r="I776" i="1"/>
  <c r="J776" i="1"/>
  <c r="K776" i="1"/>
  <c r="L776" i="1"/>
  <c r="M776" i="1"/>
  <c r="N776" i="1"/>
  <c r="O776" i="1"/>
  <c r="P776" i="1"/>
  <c r="Q776" i="1"/>
  <c r="R776" i="1"/>
  <c r="W776" i="1" s="1"/>
  <c r="A777" i="1"/>
  <c r="B777" i="1"/>
  <c r="C777" i="1"/>
  <c r="D777" i="1"/>
  <c r="E777" i="1"/>
  <c r="F777" i="1"/>
  <c r="G777" i="1"/>
  <c r="AE777" i="1" s="1"/>
  <c r="AG777" i="1" s="1"/>
  <c r="H777" i="1"/>
  <c r="I777" i="1"/>
  <c r="J777" i="1"/>
  <c r="K777" i="1"/>
  <c r="L777" i="1"/>
  <c r="M777" i="1"/>
  <c r="N777" i="1"/>
  <c r="O777" i="1"/>
  <c r="P777" i="1"/>
  <c r="Q777" i="1"/>
  <c r="R777" i="1"/>
  <c r="A778" i="1"/>
  <c r="B778" i="1"/>
  <c r="C778" i="1"/>
  <c r="D778" i="1"/>
  <c r="E778" i="1"/>
  <c r="F778" i="1"/>
  <c r="G778" i="1"/>
  <c r="AE778" i="1" s="1"/>
  <c r="AG778" i="1" s="1"/>
  <c r="H778" i="1"/>
  <c r="I778" i="1"/>
  <c r="J778" i="1"/>
  <c r="K778" i="1"/>
  <c r="L778" i="1"/>
  <c r="M778" i="1"/>
  <c r="N778" i="1"/>
  <c r="O778" i="1"/>
  <c r="P778" i="1"/>
  <c r="Q778" i="1"/>
  <c r="R778" i="1"/>
  <c r="A779" i="1"/>
  <c r="B779" i="1"/>
  <c r="C779" i="1"/>
  <c r="D779" i="1"/>
  <c r="E779" i="1"/>
  <c r="F779" i="1"/>
  <c r="G779" i="1"/>
  <c r="AE779" i="1" s="1"/>
  <c r="AG779" i="1" s="1"/>
  <c r="H779" i="1"/>
  <c r="I779" i="1"/>
  <c r="J779" i="1"/>
  <c r="K779" i="1"/>
  <c r="L779" i="1"/>
  <c r="M779" i="1"/>
  <c r="N779" i="1"/>
  <c r="O779" i="1"/>
  <c r="P779" i="1"/>
  <c r="Q779" i="1"/>
  <c r="R779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A780" i="1"/>
  <c r="B780" i="1"/>
  <c r="C780" i="1"/>
  <c r="D780" i="1"/>
  <c r="E780" i="1"/>
  <c r="F780" i="1"/>
  <c r="G780" i="1"/>
  <c r="AE780" i="1" s="1"/>
  <c r="AG780" i="1" s="1"/>
  <c r="H780" i="1"/>
  <c r="I780" i="1"/>
  <c r="J780" i="1"/>
  <c r="K780" i="1"/>
  <c r="L780" i="1"/>
  <c r="M780" i="1"/>
  <c r="N780" i="1"/>
  <c r="O780" i="1"/>
  <c r="P780" i="1"/>
  <c r="Q780" i="1"/>
  <c r="R780" i="1"/>
  <c r="T780" i="1" s="1"/>
  <c r="A781" i="1"/>
  <c r="B781" i="1"/>
  <c r="C781" i="1"/>
  <c r="D781" i="1"/>
  <c r="E781" i="1"/>
  <c r="F781" i="1"/>
  <c r="Z781" i="1" s="1"/>
  <c r="G781" i="1"/>
  <c r="AE781" i="1" s="1"/>
  <c r="AG781" i="1" s="1"/>
  <c r="H781" i="1"/>
  <c r="I781" i="1"/>
  <c r="J781" i="1"/>
  <c r="K781" i="1"/>
  <c r="L781" i="1"/>
  <c r="M781" i="1"/>
  <c r="N781" i="1"/>
  <c r="O781" i="1"/>
  <c r="P781" i="1"/>
  <c r="Q781" i="1"/>
  <c r="R781" i="1"/>
  <c r="A782" i="1"/>
  <c r="B782" i="1"/>
  <c r="C782" i="1"/>
  <c r="D782" i="1"/>
  <c r="E782" i="1"/>
  <c r="F782" i="1"/>
  <c r="Z782" i="1" s="1"/>
  <c r="G782" i="1"/>
  <c r="AE782" i="1" s="1"/>
  <c r="AG782" i="1" s="1"/>
  <c r="H782" i="1"/>
  <c r="I782" i="1"/>
  <c r="J782" i="1"/>
  <c r="K782" i="1"/>
  <c r="L782" i="1"/>
  <c r="M782" i="1"/>
  <c r="N782" i="1"/>
  <c r="O782" i="1"/>
  <c r="P782" i="1"/>
  <c r="Q782" i="1"/>
  <c r="R782" i="1"/>
  <c r="T782" i="1" s="1"/>
  <c r="A783" i="1"/>
  <c r="B783" i="1"/>
  <c r="C783" i="1"/>
  <c r="D783" i="1"/>
  <c r="E783" i="1"/>
  <c r="F783" i="1"/>
  <c r="G783" i="1"/>
  <c r="AE783" i="1" s="1"/>
  <c r="AG783" i="1" s="1"/>
  <c r="H783" i="1"/>
  <c r="I783" i="1"/>
  <c r="J783" i="1"/>
  <c r="K783" i="1"/>
  <c r="L783" i="1"/>
  <c r="M783" i="1"/>
  <c r="N783" i="1"/>
  <c r="O783" i="1"/>
  <c r="P783" i="1"/>
  <c r="Q783" i="1"/>
  <c r="R783" i="1"/>
  <c r="A784" i="1"/>
  <c r="B784" i="1"/>
  <c r="C784" i="1"/>
  <c r="D784" i="1"/>
  <c r="E784" i="1"/>
  <c r="F784" i="1"/>
  <c r="G784" i="1"/>
  <c r="AE784" i="1" s="1"/>
  <c r="AG784" i="1" s="1"/>
  <c r="H784" i="1"/>
  <c r="I784" i="1"/>
  <c r="J784" i="1"/>
  <c r="K784" i="1"/>
  <c r="L784" i="1"/>
  <c r="M784" i="1"/>
  <c r="N784" i="1"/>
  <c r="O784" i="1"/>
  <c r="P784" i="1"/>
  <c r="Q784" i="1"/>
  <c r="R784" i="1"/>
  <c r="A785" i="1"/>
  <c r="B785" i="1"/>
  <c r="C785" i="1"/>
  <c r="D785" i="1"/>
  <c r="E785" i="1"/>
  <c r="F785" i="1"/>
  <c r="G785" i="1"/>
  <c r="AE785" i="1" s="1"/>
  <c r="AG785" i="1" s="1"/>
  <c r="H785" i="1"/>
  <c r="I785" i="1"/>
  <c r="J785" i="1"/>
  <c r="K785" i="1"/>
  <c r="L785" i="1"/>
  <c r="M785" i="1"/>
  <c r="N785" i="1"/>
  <c r="O785" i="1"/>
  <c r="P785" i="1"/>
  <c r="Q785" i="1"/>
  <c r="R785" i="1"/>
  <c r="A786" i="1"/>
  <c r="B786" i="1"/>
  <c r="C786" i="1"/>
  <c r="D786" i="1"/>
  <c r="E786" i="1"/>
  <c r="F786" i="1"/>
  <c r="G786" i="1"/>
  <c r="AE786" i="1" s="1"/>
  <c r="AG786" i="1" s="1"/>
  <c r="H786" i="1"/>
  <c r="I786" i="1"/>
  <c r="J786" i="1"/>
  <c r="K786" i="1"/>
  <c r="L786" i="1"/>
  <c r="M786" i="1"/>
  <c r="N786" i="1"/>
  <c r="O786" i="1"/>
  <c r="P786" i="1"/>
  <c r="Q786" i="1"/>
  <c r="R786" i="1"/>
  <c r="A787" i="1"/>
  <c r="B787" i="1"/>
  <c r="C787" i="1"/>
  <c r="D787" i="1"/>
  <c r="E787" i="1"/>
  <c r="F787" i="1"/>
  <c r="G787" i="1"/>
  <c r="AE787" i="1" s="1"/>
  <c r="AG787" i="1" s="1"/>
  <c r="H787" i="1"/>
  <c r="I787" i="1"/>
  <c r="J787" i="1"/>
  <c r="K787" i="1"/>
  <c r="L787" i="1"/>
  <c r="M787" i="1"/>
  <c r="N787" i="1"/>
  <c r="O787" i="1"/>
  <c r="P787" i="1"/>
  <c r="Q787" i="1"/>
  <c r="R787" i="1"/>
  <c r="W787" i="1" s="1"/>
  <c r="A788" i="1"/>
  <c r="B788" i="1"/>
  <c r="C788" i="1"/>
  <c r="D788" i="1"/>
  <c r="E788" i="1"/>
  <c r="F788" i="1"/>
  <c r="Z788" i="1" s="1"/>
  <c r="G788" i="1"/>
  <c r="AE788" i="1" s="1"/>
  <c r="AG788" i="1" s="1"/>
  <c r="H788" i="1"/>
  <c r="I788" i="1"/>
  <c r="J788" i="1"/>
  <c r="K788" i="1"/>
  <c r="L788" i="1"/>
  <c r="M788" i="1"/>
  <c r="N788" i="1"/>
  <c r="O788" i="1"/>
  <c r="P788" i="1"/>
  <c r="Q788" i="1"/>
  <c r="R788" i="1"/>
  <c r="A789" i="1"/>
  <c r="B789" i="1"/>
  <c r="C789" i="1"/>
  <c r="D789" i="1"/>
  <c r="E789" i="1"/>
  <c r="F789" i="1"/>
  <c r="G789" i="1"/>
  <c r="AE789" i="1" s="1"/>
  <c r="AG789" i="1" s="1"/>
  <c r="H789" i="1"/>
  <c r="I789" i="1"/>
  <c r="J789" i="1"/>
  <c r="K789" i="1"/>
  <c r="L789" i="1"/>
  <c r="M789" i="1"/>
  <c r="N789" i="1"/>
  <c r="O789" i="1"/>
  <c r="P789" i="1"/>
  <c r="Q789" i="1"/>
  <c r="R789" i="1"/>
  <c r="A790" i="1"/>
  <c r="B790" i="1"/>
  <c r="C790" i="1"/>
  <c r="D790" i="1"/>
  <c r="E790" i="1"/>
  <c r="F790" i="1"/>
  <c r="G790" i="1"/>
  <c r="AE790" i="1" s="1"/>
  <c r="AG790" i="1" s="1"/>
  <c r="H790" i="1"/>
  <c r="I790" i="1"/>
  <c r="J790" i="1"/>
  <c r="K790" i="1"/>
  <c r="L790" i="1"/>
  <c r="M790" i="1"/>
  <c r="N790" i="1"/>
  <c r="O790" i="1"/>
  <c r="P790" i="1"/>
  <c r="Q790" i="1"/>
  <c r="R790" i="1"/>
  <c r="U790" i="1" s="1"/>
  <c r="A791" i="1"/>
  <c r="B791" i="1"/>
  <c r="C791" i="1"/>
  <c r="D791" i="1"/>
  <c r="E791" i="1"/>
  <c r="F791" i="1"/>
  <c r="G791" i="1"/>
  <c r="AE791" i="1" s="1"/>
  <c r="AG791" i="1" s="1"/>
  <c r="H791" i="1"/>
  <c r="I791" i="1"/>
  <c r="J791" i="1"/>
  <c r="K791" i="1"/>
  <c r="L791" i="1"/>
  <c r="M791" i="1"/>
  <c r="N791" i="1"/>
  <c r="O791" i="1"/>
  <c r="P791" i="1"/>
  <c r="Q791" i="1"/>
  <c r="R791" i="1"/>
  <c r="A792" i="1"/>
  <c r="B792" i="1"/>
  <c r="C792" i="1"/>
  <c r="D792" i="1"/>
  <c r="E792" i="1"/>
  <c r="F792" i="1"/>
  <c r="G792" i="1"/>
  <c r="AE792" i="1" s="1"/>
  <c r="AG792" i="1" s="1"/>
  <c r="H792" i="1"/>
  <c r="I792" i="1"/>
  <c r="J792" i="1"/>
  <c r="K792" i="1"/>
  <c r="L792" i="1"/>
  <c r="M792" i="1"/>
  <c r="N792" i="1"/>
  <c r="O792" i="1"/>
  <c r="P792" i="1"/>
  <c r="Q792" i="1"/>
  <c r="R792" i="1"/>
  <c r="A793" i="1"/>
  <c r="B793" i="1"/>
  <c r="C793" i="1"/>
  <c r="D793" i="1"/>
  <c r="E793" i="1"/>
  <c r="F793" i="1"/>
  <c r="G793" i="1"/>
  <c r="AE793" i="1" s="1"/>
  <c r="AG793" i="1" s="1"/>
  <c r="H793" i="1"/>
  <c r="I793" i="1"/>
  <c r="J793" i="1"/>
  <c r="K793" i="1"/>
  <c r="L793" i="1"/>
  <c r="M793" i="1"/>
  <c r="N793" i="1"/>
  <c r="O793" i="1"/>
  <c r="P793" i="1"/>
  <c r="Q793" i="1"/>
  <c r="R793" i="1"/>
  <c r="A794" i="1"/>
  <c r="B794" i="1"/>
  <c r="C794" i="1"/>
  <c r="D794" i="1"/>
  <c r="E794" i="1"/>
  <c r="F794" i="1"/>
  <c r="G794" i="1"/>
  <c r="AE794" i="1" s="1"/>
  <c r="AG794" i="1" s="1"/>
  <c r="H794" i="1"/>
  <c r="I794" i="1"/>
  <c r="J794" i="1"/>
  <c r="K794" i="1"/>
  <c r="L794" i="1"/>
  <c r="M794" i="1"/>
  <c r="N794" i="1"/>
  <c r="O794" i="1"/>
  <c r="P794" i="1"/>
  <c r="Q794" i="1"/>
  <c r="R794" i="1"/>
  <c r="A795" i="1"/>
  <c r="B795" i="1"/>
  <c r="C795" i="1"/>
  <c r="D795" i="1"/>
  <c r="E795" i="1"/>
  <c r="F795" i="1"/>
  <c r="G795" i="1"/>
  <c r="AE795" i="1" s="1"/>
  <c r="AG795" i="1" s="1"/>
  <c r="H795" i="1"/>
  <c r="I795" i="1"/>
  <c r="J795" i="1"/>
  <c r="K795" i="1"/>
  <c r="L795" i="1"/>
  <c r="M795" i="1"/>
  <c r="N795" i="1"/>
  <c r="O795" i="1"/>
  <c r="P795" i="1"/>
  <c r="Q795" i="1"/>
  <c r="R795" i="1"/>
  <c r="A796" i="1"/>
  <c r="B796" i="1"/>
  <c r="C796" i="1"/>
  <c r="D796" i="1"/>
  <c r="E796" i="1"/>
  <c r="F796" i="1"/>
  <c r="G796" i="1"/>
  <c r="AE796" i="1" s="1"/>
  <c r="AG796" i="1" s="1"/>
  <c r="H796" i="1"/>
  <c r="I796" i="1"/>
  <c r="J796" i="1"/>
  <c r="K796" i="1"/>
  <c r="L796" i="1"/>
  <c r="M796" i="1"/>
  <c r="N796" i="1"/>
  <c r="O796" i="1"/>
  <c r="P796" i="1"/>
  <c r="Q796" i="1"/>
  <c r="R796" i="1"/>
  <c r="A797" i="1"/>
  <c r="B797" i="1"/>
  <c r="C797" i="1"/>
  <c r="D797" i="1"/>
  <c r="E797" i="1"/>
  <c r="F797" i="1"/>
  <c r="G797" i="1"/>
  <c r="AE797" i="1" s="1"/>
  <c r="AG797" i="1" s="1"/>
  <c r="H797" i="1"/>
  <c r="I797" i="1"/>
  <c r="J797" i="1"/>
  <c r="K797" i="1"/>
  <c r="L797" i="1"/>
  <c r="M797" i="1"/>
  <c r="N797" i="1"/>
  <c r="O797" i="1"/>
  <c r="P797" i="1"/>
  <c r="Q797" i="1"/>
  <c r="R797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T1556" i="1" s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A798" i="1"/>
  <c r="B798" i="1"/>
  <c r="C798" i="1"/>
  <c r="D798" i="1"/>
  <c r="E798" i="1"/>
  <c r="F798" i="1"/>
  <c r="G798" i="1"/>
  <c r="AE798" i="1" s="1"/>
  <c r="AG798" i="1" s="1"/>
  <c r="H798" i="1"/>
  <c r="I798" i="1"/>
  <c r="J798" i="1"/>
  <c r="K798" i="1"/>
  <c r="L798" i="1"/>
  <c r="M798" i="1"/>
  <c r="N798" i="1"/>
  <c r="O798" i="1"/>
  <c r="P798" i="1"/>
  <c r="Q798" i="1"/>
  <c r="R798" i="1"/>
  <c r="A799" i="1"/>
  <c r="B799" i="1"/>
  <c r="C799" i="1"/>
  <c r="D799" i="1"/>
  <c r="E799" i="1"/>
  <c r="F799" i="1"/>
  <c r="Z799" i="1" s="1"/>
  <c r="G799" i="1"/>
  <c r="AE799" i="1" s="1"/>
  <c r="AG799" i="1" s="1"/>
  <c r="H799" i="1"/>
  <c r="I799" i="1"/>
  <c r="J799" i="1"/>
  <c r="K799" i="1"/>
  <c r="L799" i="1"/>
  <c r="M799" i="1"/>
  <c r="N799" i="1"/>
  <c r="O799" i="1"/>
  <c r="P799" i="1"/>
  <c r="Q799" i="1"/>
  <c r="R799" i="1"/>
  <c r="A800" i="1"/>
  <c r="B800" i="1"/>
  <c r="C800" i="1"/>
  <c r="D800" i="1"/>
  <c r="E800" i="1"/>
  <c r="F800" i="1"/>
  <c r="G800" i="1"/>
  <c r="AE800" i="1" s="1"/>
  <c r="AG800" i="1" s="1"/>
  <c r="H800" i="1"/>
  <c r="I800" i="1"/>
  <c r="J800" i="1"/>
  <c r="K800" i="1"/>
  <c r="L800" i="1"/>
  <c r="M800" i="1"/>
  <c r="N800" i="1"/>
  <c r="O800" i="1"/>
  <c r="P800" i="1"/>
  <c r="Q800" i="1"/>
  <c r="R800" i="1"/>
  <c r="A801" i="1"/>
  <c r="B801" i="1"/>
  <c r="C801" i="1"/>
  <c r="D801" i="1"/>
  <c r="E801" i="1"/>
  <c r="F801" i="1"/>
  <c r="Z801" i="1" s="1"/>
  <c r="G801" i="1"/>
  <c r="AE801" i="1" s="1"/>
  <c r="AG801" i="1" s="1"/>
  <c r="H801" i="1"/>
  <c r="I801" i="1"/>
  <c r="J801" i="1"/>
  <c r="K801" i="1"/>
  <c r="L801" i="1"/>
  <c r="M801" i="1"/>
  <c r="N801" i="1"/>
  <c r="O801" i="1"/>
  <c r="P801" i="1"/>
  <c r="Q801" i="1"/>
  <c r="R801" i="1"/>
  <c r="W801" i="1" s="1"/>
  <c r="A802" i="1"/>
  <c r="B802" i="1"/>
  <c r="C802" i="1"/>
  <c r="D802" i="1"/>
  <c r="E802" i="1"/>
  <c r="F802" i="1"/>
  <c r="Z802" i="1" s="1"/>
  <c r="G802" i="1"/>
  <c r="AE802" i="1" s="1"/>
  <c r="AG802" i="1" s="1"/>
  <c r="H802" i="1"/>
  <c r="I802" i="1"/>
  <c r="J802" i="1"/>
  <c r="K802" i="1"/>
  <c r="L802" i="1"/>
  <c r="M802" i="1"/>
  <c r="N802" i="1"/>
  <c r="O802" i="1"/>
  <c r="P802" i="1"/>
  <c r="Q802" i="1"/>
  <c r="R802" i="1"/>
  <c r="A30" i="1"/>
  <c r="B30" i="1"/>
  <c r="C30" i="1"/>
  <c r="D30" i="1"/>
  <c r="E30" i="1"/>
  <c r="F30" i="1"/>
  <c r="G30" i="1"/>
  <c r="AE30" i="1" s="1"/>
  <c r="AG30" i="1" s="1"/>
  <c r="H30" i="1"/>
  <c r="I30" i="1"/>
  <c r="J30" i="1"/>
  <c r="K30" i="1"/>
  <c r="L30" i="1"/>
  <c r="M30" i="1"/>
  <c r="N30" i="1"/>
  <c r="O30" i="1"/>
  <c r="P30" i="1"/>
  <c r="Q30" i="1"/>
  <c r="R30" i="1"/>
  <c r="A803" i="1"/>
  <c r="B803" i="1"/>
  <c r="C803" i="1"/>
  <c r="D803" i="1"/>
  <c r="E803" i="1"/>
  <c r="F803" i="1"/>
  <c r="Z803" i="1" s="1"/>
  <c r="G803" i="1"/>
  <c r="H803" i="1"/>
  <c r="I803" i="1"/>
  <c r="J803" i="1"/>
  <c r="K803" i="1"/>
  <c r="L803" i="1"/>
  <c r="M803" i="1"/>
  <c r="N803" i="1"/>
  <c r="O803" i="1"/>
  <c r="P803" i="1"/>
  <c r="Q803" i="1"/>
  <c r="R803" i="1"/>
  <c r="T803" i="1" s="1"/>
  <c r="A804" i="1"/>
  <c r="B804" i="1"/>
  <c r="C804" i="1"/>
  <c r="D804" i="1"/>
  <c r="E804" i="1"/>
  <c r="F804" i="1"/>
  <c r="G804" i="1"/>
  <c r="AE804" i="1" s="1"/>
  <c r="AG804" i="1" s="1"/>
  <c r="H804" i="1"/>
  <c r="I804" i="1"/>
  <c r="J804" i="1"/>
  <c r="K804" i="1"/>
  <c r="L804" i="1"/>
  <c r="M804" i="1"/>
  <c r="N804" i="1"/>
  <c r="O804" i="1"/>
  <c r="P804" i="1"/>
  <c r="Q804" i="1"/>
  <c r="R804" i="1"/>
  <c r="A805" i="1"/>
  <c r="B805" i="1"/>
  <c r="C805" i="1"/>
  <c r="D805" i="1"/>
  <c r="E805" i="1"/>
  <c r="F805" i="1"/>
  <c r="G805" i="1"/>
  <c r="AE805" i="1" s="1"/>
  <c r="AG805" i="1" s="1"/>
  <c r="H805" i="1"/>
  <c r="I805" i="1"/>
  <c r="J805" i="1"/>
  <c r="K805" i="1"/>
  <c r="L805" i="1"/>
  <c r="M805" i="1"/>
  <c r="N805" i="1"/>
  <c r="O805" i="1"/>
  <c r="P805" i="1"/>
  <c r="Q805" i="1"/>
  <c r="R805" i="1"/>
  <c r="W805" i="1" s="1"/>
  <c r="A806" i="1"/>
  <c r="B806" i="1"/>
  <c r="C806" i="1"/>
  <c r="D806" i="1"/>
  <c r="E806" i="1"/>
  <c r="F806" i="1"/>
  <c r="G806" i="1"/>
  <c r="AE806" i="1" s="1"/>
  <c r="AG806" i="1" s="1"/>
  <c r="H806" i="1"/>
  <c r="I806" i="1"/>
  <c r="J806" i="1"/>
  <c r="K806" i="1"/>
  <c r="L806" i="1"/>
  <c r="M806" i="1"/>
  <c r="N806" i="1"/>
  <c r="O806" i="1"/>
  <c r="P806" i="1"/>
  <c r="Q806" i="1"/>
  <c r="R806" i="1"/>
  <c r="A807" i="1"/>
  <c r="B807" i="1"/>
  <c r="C807" i="1"/>
  <c r="D807" i="1"/>
  <c r="E807" i="1"/>
  <c r="F807" i="1"/>
  <c r="Z807" i="1" s="1"/>
  <c r="G807" i="1"/>
  <c r="AE807" i="1" s="1"/>
  <c r="AG807" i="1" s="1"/>
  <c r="H807" i="1"/>
  <c r="I807" i="1"/>
  <c r="J807" i="1"/>
  <c r="K807" i="1"/>
  <c r="L807" i="1"/>
  <c r="M807" i="1"/>
  <c r="N807" i="1"/>
  <c r="O807" i="1"/>
  <c r="P807" i="1"/>
  <c r="Q807" i="1"/>
  <c r="R807" i="1"/>
  <c r="A808" i="1"/>
  <c r="B808" i="1"/>
  <c r="C808" i="1"/>
  <c r="D808" i="1"/>
  <c r="E808" i="1"/>
  <c r="F808" i="1"/>
  <c r="Z808" i="1" s="1"/>
  <c r="G808" i="1"/>
  <c r="AE808" i="1" s="1"/>
  <c r="AG808" i="1" s="1"/>
  <c r="H808" i="1"/>
  <c r="I808" i="1"/>
  <c r="J808" i="1"/>
  <c r="K808" i="1"/>
  <c r="L808" i="1"/>
  <c r="M808" i="1"/>
  <c r="N808" i="1"/>
  <c r="O808" i="1"/>
  <c r="P808" i="1"/>
  <c r="Q808" i="1"/>
  <c r="R808" i="1"/>
  <c r="A809" i="1"/>
  <c r="B809" i="1"/>
  <c r="C809" i="1"/>
  <c r="D809" i="1"/>
  <c r="E809" i="1"/>
  <c r="F809" i="1"/>
  <c r="G809" i="1"/>
  <c r="AE809" i="1" s="1"/>
  <c r="AG809" i="1" s="1"/>
  <c r="H809" i="1"/>
  <c r="I809" i="1"/>
  <c r="J809" i="1"/>
  <c r="K809" i="1"/>
  <c r="L809" i="1"/>
  <c r="M809" i="1"/>
  <c r="N809" i="1"/>
  <c r="O809" i="1"/>
  <c r="P809" i="1"/>
  <c r="Q809" i="1"/>
  <c r="R809" i="1"/>
  <c r="T809" i="1" s="1"/>
  <c r="A810" i="1"/>
  <c r="B810" i="1"/>
  <c r="C810" i="1"/>
  <c r="D810" i="1"/>
  <c r="E810" i="1"/>
  <c r="F810" i="1"/>
  <c r="Z810" i="1" s="1"/>
  <c r="G810" i="1"/>
  <c r="AE810" i="1" s="1"/>
  <c r="AG810" i="1" s="1"/>
  <c r="H810" i="1"/>
  <c r="I810" i="1"/>
  <c r="J810" i="1"/>
  <c r="K810" i="1"/>
  <c r="L810" i="1"/>
  <c r="M810" i="1"/>
  <c r="N810" i="1"/>
  <c r="O810" i="1"/>
  <c r="P810" i="1"/>
  <c r="Q810" i="1"/>
  <c r="R810" i="1"/>
  <c r="A811" i="1"/>
  <c r="B811" i="1"/>
  <c r="C811" i="1"/>
  <c r="D811" i="1"/>
  <c r="E811" i="1"/>
  <c r="F811" i="1"/>
  <c r="Z811" i="1" s="1"/>
  <c r="G811" i="1"/>
  <c r="H811" i="1"/>
  <c r="I811" i="1"/>
  <c r="J811" i="1"/>
  <c r="K811" i="1"/>
  <c r="L811" i="1"/>
  <c r="M811" i="1"/>
  <c r="N811" i="1"/>
  <c r="O811" i="1"/>
  <c r="P811" i="1"/>
  <c r="Q811" i="1"/>
  <c r="R811" i="1"/>
  <c r="A812" i="1"/>
  <c r="B812" i="1"/>
  <c r="C812" i="1"/>
  <c r="D812" i="1"/>
  <c r="E812" i="1"/>
  <c r="F812" i="1"/>
  <c r="G812" i="1"/>
  <c r="AE812" i="1" s="1"/>
  <c r="AG812" i="1" s="1"/>
  <c r="H812" i="1"/>
  <c r="I812" i="1"/>
  <c r="J812" i="1"/>
  <c r="K812" i="1"/>
  <c r="L812" i="1"/>
  <c r="M812" i="1"/>
  <c r="N812" i="1"/>
  <c r="O812" i="1"/>
  <c r="P812" i="1"/>
  <c r="Q812" i="1"/>
  <c r="R812" i="1"/>
  <c r="W812" i="1" s="1"/>
  <c r="A813" i="1"/>
  <c r="B813" i="1"/>
  <c r="C813" i="1"/>
  <c r="D813" i="1"/>
  <c r="E813" i="1"/>
  <c r="F813" i="1"/>
  <c r="G813" i="1"/>
  <c r="AE813" i="1" s="1"/>
  <c r="AG813" i="1" s="1"/>
  <c r="H813" i="1"/>
  <c r="I813" i="1"/>
  <c r="J813" i="1"/>
  <c r="K813" i="1"/>
  <c r="L813" i="1"/>
  <c r="M813" i="1"/>
  <c r="N813" i="1"/>
  <c r="O813" i="1"/>
  <c r="P813" i="1"/>
  <c r="Q813" i="1"/>
  <c r="R813" i="1"/>
  <c r="A814" i="1"/>
  <c r="B814" i="1"/>
  <c r="C814" i="1"/>
  <c r="D814" i="1"/>
  <c r="E814" i="1"/>
  <c r="F814" i="1"/>
  <c r="G814" i="1"/>
  <c r="AE814" i="1" s="1"/>
  <c r="AG814" i="1" s="1"/>
  <c r="H814" i="1"/>
  <c r="I814" i="1"/>
  <c r="J814" i="1"/>
  <c r="K814" i="1"/>
  <c r="L814" i="1"/>
  <c r="M814" i="1"/>
  <c r="N814" i="1"/>
  <c r="O814" i="1"/>
  <c r="P814" i="1"/>
  <c r="Q814" i="1"/>
  <c r="R814" i="1"/>
  <c r="A815" i="1"/>
  <c r="B815" i="1"/>
  <c r="C815" i="1"/>
  <c r="D815" i="1"/>
  <c r="E815" i="1"/>
  <c r="F815" i="1"/>
  <c r="Z815" i="1" s="1"/>
  <c r="G815" i="1"/>
  <c r="AE815" i="1" s="1"/>
  <c r="AG815" i="1" s="1"/>
  <c r="H815" i="1"/>
  <c r="I815" i="1"/>
  <c r="J815" i="1"/>
  <c r="K815" i="1"/>
  <c r="L815" i="1"/>
  <c r="M815" i="1"/>
  <c r="N815" i="1"/>
  <c r="O815" i="1"/>
  <c r="P815" i="1"/>
  <c r="Q815" i="1"/>
  <c r="R815" i="1"/>
  <c r="A816" i="1"/>
  <c r="B816" i="1"/>
  <c r="C816" i="1"/>
  <c r="D816" i="1"/>
  <c r="E816" i="1"/>
  <c r="F816" i="1"/>
  <c r="Z816" i="1" s="1"/>
  <c r="G816" i="1"/>
  <c r="AE816" i="1" s="1"/>
  <c r="AG816" i="1" s="1"/>
  <c r="H816" i="1"/>
  <c r="I816" i="1"/>
  <c r="J816" i="1"/>
  <c r="K816" i="1"/>
  <c r="L816" i="1"/>
  <c r="M816" i="1"/>
  <c r="N816" i="1"/>
  <c r="O816" i="1"/>
  <c r="P816" i="1"/>
  <c r="Q816" i="1"/>
  <c r="R816" i="1"/>
  <c r="A817" i="1"/>
  <c r="B817" i="1"/>
  <c r="C817" i="1"/>
  <c r="D817" i="1"/>
  <c r="E817" i="1"/>
  <c r="F817" i="1"/>
  <c r="G817" i="1"/>
  <c r="AE817" i="1" s="1"/>
  <c r="AG817" i="1" s="1"/>
  <c r="H817" i="1"/>
  <c r="I817" i="1"/>
  <c r="J817" i="1"/>
  <c r="K817" i="1"/>
  <c r="L817" i="1"/>
  <c r="M817" i="1"/>
  <c r="N817" i="1"/>
  <c r="O817" i="1"/>
  <c r="P817" i="1"/>
  <c r="Q817" i="1"/>
  <c r="R817" i="1"/>
  <c r="A818" i="1"/>
  <c r="B818" i="1"/>
  <c r="C818" i="1"/>
  <c r="D818" i="1"/>
  <c r="E818" i="1"/>
  <c r="F818" i="1"/>
  <c r="Z818" i="1" s="1"/>
  <c r="G818" i="1"/>
  <c r="AE818" i="1" s="1"/>
  <c r="AG818" i="1" s="1"/>
  <c r="H818" i="1"/>
  <c r="I818" i="1"/>
  <c r="J818" i="1"/>
  <c r="K818" i="1"/>
  <c r="L818" i="1"/>
  <c r="M818" i="1"/>
  <c r="N818" i="1"/>
  <c r="O818" i="1"/>
  <c r="P818" i="1"/>
  <c r="Q818" i="1"/>
  <c r="R818" i="1"/>
  <c r="U818" i="1" s="1"/>
  <c r="X818" i="1" s="1"/>
  <c r="A819" i="1"/>
  <c r="B819" i="1"/>
  <c r="C819" i="1"/>
  <c r="D819" i="1"/>
  <c r="E819" i="1"/>
  <c r="F819" i="1"/>
  <c r="Z819" i="1" s="1"/>
  <c r="G819" i="1"/>
  <c r="AE819" i="1" s="1"/>
  <c r="AG819" i="1" s="1"/>
  <c r="H819" i="1"/>
  <c r="I819" i="1"/>
  <c r="J819" i="1"/>
  <c r="K819" i="1"/>
  <c r="L819" i="1"/>
  <c r="M819" i="1"/>
  <c r="N819" i="1"/>
  <c r="O819" i="1"/>
  <c r="P819" i="1"/>
  <c r="Q819" i="1"/>
  <c r="R819" i="1"/>
  <c r="T819" i="1" s="1"/>
  <c r="A820" i="1"/>
  <c r="B820" i="1"/>
  <c r="C820" i="1"/>
  <c r="D820" i="1"/>
  <c r="E820" i="1"/>
  <c r="F820" i="1"/>
  <c r="Z820" i="1" s="1"/>
  <c r="G820" i="1"/>
  <c r="AE820" i="1" s="1"/>
  <c r="AG820" i="1" s="1"/>
  <c r="H820" i="1"/>
  <c r="I820" i="1"/>
  <c r="J820" i="1"/>
  <c r="K820" i="1"/>
  <c r="L820" i="1"/>
  <c r="M820" i="1"/>
  <c r="N820" i="1"/>
  <c r="O820" i="1"/>
  <c r="P820" i="1"/>
  <c r="Q820" i="1"/>
  <c r="R820" i="1"/>
  <c r="A821" i="1"/>
  <c r="B821" i="1"/>
  <c r="C821" i="1"/>
  <c r="D821" i="1"/>
  <c r="E821" i="1"/>
  <c r="F821" i="1"/>
  <c r="G821" i="1"/>
  <c r="AE821" i="1" s="1"/>
  <c r="AG821" i="1" s="1"/>
  <c r="H821" i="1"/>
  <c r="I821" i="1"/>
  <c r="J821" i="1"/>
  <c r="K821" i="1"/>
  <c r="L821" i="1"/>
  <c r="M821" i="1"/>
  <c r="N821" i="1"/>
  <c r="O821" i="1"/>
  <c r="P821" i="1"/>
  <c r="Q821" i="1"/>
  <c r="R821" i="1"/>
  <c r="A822" i="1"/>
  <c r="B822" i="1"/>
  <c r="C822" i="1"/>
  <c r="D822" i="1"/>
  <c r="E822" i="1"/>
  <c r="F822" i="1"/>
  <c r="Z822" i="1" s="1"/>
  <c r="G822" i="1"/>
  <c r="AE822" i="1" s="1"/>
  <c r="AG822" i="1" s="1"/>
  <c r="H822" i="1"/>
  <c r="I822" i="1"/>
  <c r="J822" i="1"/>
  <c r="K822" i="1"/>
  <c r="L822" i="1"/>
  <c r="M822" i="1"/>
  <c r="N822" i="1"/>
  <c r="O822" i="1"/>
  <c r="P822" i="1"/>
  <c r="Q822" i="1"/>
  <c r="R822" i="1"/>
  <c r="A823" i="1"/>
  <c r="B823" i="1"/>
  <c r="C823" i="1"/>
  <c r="D823" i="1"/>
  <c r="E823" i="1"/>
  <c r="F823" i="1"/>
  <c r="G823" i="1"/>
  <c r="AE823" i="1" s="1"/>
  <c r="AG823" i="1" s="1"/>
  <c r="H823" i="1"/>
  <c r="I823" i="1"/>
  <c r="J823" i="1"/>
  <c r="K823" i="1"/>
  <c r="L823" i="1"/>
  <c r="M823" i="1"/>
  <c r="N823" i="1"/>
  <c r="O823" i="1"/>
  <c r="P823" i="1"/>
  <c r="Q823" i="1"/>
  <c r="R823" i="1"/>
  <c r="A824" i="1"/>
  <c r="B824" i="1"/>
  <c r="C824" i="1"/>
  <c r="D824" i="1"/>
  <c r="E824" i="1"/>
  <c r="F824" i="1"/>
  <c r="Z824" i="1" s="1"/>
  <c r="G824" i="1"/>
  <c r="AE824" i="1" s="1"/>
  <c r="AG824" i="1" s="1"/>
  <c r="H824" i="1"/>
  <c r="I824" i="1"/>
  <c r="J824" i="1"/>
  <c r="K824" i="1"/>
  <c r="L824" i="1"/>
  <c r="M824" i="1"/>
  <c r="N824" i="1"/>
  <c r="O824" i="1"/>
  <c r="P824" i="1"/>
  <c r="Q824" i="1"/>
  <c r="R824" i="1"/>
  <c r="T824" i="1" s="1"/>
  <c r="A825" i="1"/>
  <c r="B825" i="1"/>
  <c r="C825" i="1"/>
  <c r="D825" i="1"/>
  <c r="E825" i="1"/>
  <c r="F825" i="1"/>
  <c r="G825" i="1"/>
  <c r="AE825" i="1" s="1"/>
  <c r="AG825" i="1" s="1"/>
  <c r="H825" i="1"/>
  <c r="I825" i="1"/>
  <c r="J825" i="1"/>
  <c r="K825" i="1"/>
  <c r="L825" i="1"/>
  <c r="M825" i="1"/>
  <c r="N825" i="1"/>
  <c r="O825" i="1"/>
  <c r="P825" i="1"/>
  <c r="Q825" i="1"/>
  <c r="R825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A826" i="1"/>
  <c r="B826" i="1"/>
  <c r="C826" i="1"/>
  <c r="D826" i="1"/>
  <c r="E826" i="1"/>
  <c r="F826" i="1"/>
  <c r="G826" i="1"/>
  <c r="AE826" i="1" s="1"/>
  <c r="AG826" i="1" s="1"/>
  <c r="H826" i="1"/>
  <c r="I826" i="1"/>
  <c r="J826" i="1"/>
  <c r="K826" i="1"/>
  <c r="L826" i="1"/>
  <c r="M826" i="1"/>
  <c r="N826" i="1"/>
  <c r="O826" i="1"/>
  <c r="P826" i="1"/>
  <c r="Q826" i="1"/>
  <c r="R826" i="1"/>
  <c r="U826" i="1" s="1"/>
  <c r="X826" i="1" s="1"/>
  <c r="A827" i="1"/>
  <c r="B827" i="1"/>
  <c r="C827" i="1"/>
  <c r="D827" i="1"/>
  <c r="E827" i="1"/>
  <c r="F827" i="1"/>
  <c r="G827" i="1"/>
  <c r="AE827" i="1" s="1"/>
  <c r="AG827" i="1" s="1"/>
  <c r="H827" i="1"/>
  <c r="I827" i="1"/>
  <c r="J827" i="1"/>
  <c r="K827" i="1"/>
  <c r="L827" i="1"/>
  <c r="M827" i="1"/>
  <c r="N827" i="1"/>
  <c r="O827" i="1"/>
  <c r="P827" i="1"/>
  <c r="Q827" i="1"/>
  <c r="R827" i="1"/>
  <c r="T827" i="1" s="1"/>
  <c r="A828" i="1"/>
  <c r="B828" i="1"/>
  <c r="C828" i="1"/>
  <c r="D828" i="1"/>
  <c r="E828" i="1"/>
  <c r="F828" i="1"/>
  <c r="G828" i="1"/>
  <c r="AE828" i="1" s="1"/>
  <c r="AG828" i="1" s="1"/>
  <c r="H828" i="1"/>
  <c r="I828" i="1"/>
  <c r="J828" i="1"/>
  <c r="K828" i="1"/>
  <c r="L828" i="1"/>
  <c r="M828" i="1"/>
  <c r="N828" i="1"/>
  <c r="O828" i="1"/>
  <c r="P828" i="1"/>
  <c r="Q828" i="1"/>
  <c r="R828" i="1"/>
  <c r="T828" i="1" s="1"/>
  <c r="A829" i="1"/>
  <c r="B829" i="1"/>
  <c r="C829" i="1"/>
  <c r="D829" i="1"/>
  <c r="E829" i="1"/>
  <c r="F829" i="1"/>
  <c r="G829" i="1"/>
  <c r="AE829" i="1" s="1"/>
  <c r="AG829" i="1" s="1"/>
  <c r="H829" i="1"/>
  <c r="I829" i="1"/>
  <c r="J829" i="1"/>
  <c r="K829" i="1"/>
  <c r="L829" i="1"/>
  <c r="M829" i="1"/>
  <c r="N829" i="1"/>
  <c r="O829" i="1"/>
  <c r="P829" i="1"/>
  <c r="Q829" i="1"/>
  <c r="R829" i="1"/>
  <c r="U829" i="1" s="1"/>
  <c r="X829" i="1" s="1"/>
  <c r="A830" i="1"/>
  <c r="B830" i="1"/>
  <c r="C830" i="1"/>
  <c r="D830" i="1"/>
  <c r="E830" i="1"/>
  <c r="F830" i="1"/>
  <c r="Z830" i="1" s="1"/>
  <c r="G830" i="1"/>
  <c r="AE830" i="1" s="1"/>
  <c r="AG830" i="1" s="1"/>
  <c r="H830" i="1"/>
  <c r="I830" i="1"/>
  <c r="J830" i="1"/>
  <c r="K830" i="1"/>
  <c r="L830" i="1"/>
  <c r="M830" i="1"/>
  <c r="N830" i="1"/>
  <c r="O830" i="1"/>
  <c r="P830" i="1"/>
  <c r="Q830" i="1"/>
  <c r="R830" i="1"/>
  <c r="A831" i="1"/>
  <c r="B831" i="1"/>
  <c r="C831" i="1"/>
  <c r="D831" i="1"/>
  <c r="E831" i="1"/>
  <c r="F831" i="1"/>
  <c r="G831" i="1"/>
  <c r="AE831" i="1" s="1"/>
  <c r="AG831" i="1" s="1"/>
  <c r="H831" i="1"/>
  <c r="I831" i="1"/>
  <c r="J831" i="1"/>
  <c r="K831" i="1"/>
  <c r="L831" i="1"/>
  <c r="M831" i="1"/>
  <c r="N831" i="1"/>
  <c r="O831" i="1"/>
  <c r="P831" i="1"/>
  <c r="Q831" i="1"/>
  <c r="R831" i="1"/>
  <c r="A832" i="1"/>
  <c r="B832" i="1"/>
  <c r="C832" i="1"/>
  <c r="D832" i="1"/>
  <c r="E832" i="1"/>
  <c r="F832" i="1"/>
  <c r="G832" i="1"/>
  <c r="AE832" i="1" s="1"/>
  <c r="AG832" i="1" s="1"/>
  <c r="H832" i="1"/>
  <c r="I832" i="1"/>
  <c r="J832" i="1"/>
  <c r="K832" i="1"/>
  <c r="L832" i="1"/>
  <c r="M832" i="1"/>
  <c r="N832" i="1"/>
  <c r="O832" i="1"/>
  <c r="P832" i="1"/>
  <c r="Q832" i="1"/>
  <c r="R832" i="1"/>
  <c r="A833" i="1"/>
  <c r="B833" i="1"/>
  <c r="C833" i="1"/>
  <c r="D833" i="1"/>
  <c r="E833" i="1"/>
  <c r="F833" i="1"/>
  <c r="G833" i="1"/>
  <c r="AE833" i="1" s="1"/>
  <c r="AG833" i="1" s="1"/>
  <c r="H833" i="1"/>
  <c r="I833" i="1"/>
  <c r="J833" i="1"/>
  <c r="K833" i="1"/>
  <c r="L833" i="1"/>
  <c r="M833" i="1"/>
  <c r="N833" i="1"/>
  <c r="O833" i="1"/>
  <c r="P833" i="1"/>
  <c r="Q833" i="1"/>
  <c r="R833" i="1"/>
  <c r="A834" i="1"/>
  <c r="B834" i="1"/>
  <c r="C834" i="1"/>
  <c r="D834" i="1"/>
  <c r="E834" i="1"/>
  <c r="F834" i="1"/>
  <c r="Z834" i="1" s="1"/>
  <c r="G834" i="1"/>
  <c r="AE834" i="1" s="1"/>
  <c r="AG834" i="1" s="1"/>
  <c r="H834" i="1"/>
  <c r="I834" i="1"/>
  <c r="J834" i="1"/>
  <c r="K834" i="1"/>
  <c r="L834" i="1"/>
  <c r="M834" i="1"/>
  <c r="N834" i="1"/>
  <c r="O834" i="1"/>
  <c r="P834" i="1"/>
  <c r="Q834" i="1"/>
  <c r="R834" i="1"/>
  <c r="A835" i="1"/>
  <c r="B835" i="1"/>
  <c r="C835" i="1"/>
  <c r="D835" i="1"/>
  <c r="E835" i="1"/>
  <c r="F835" i="1"/>
  <c r="G835" i="1"/>
  <c r="AE835" i="1" s="1"/>
  <c r="AG835" i="1" s="1"/>
  <c r="H835" i="1"/>
  <c r="I835" i="1"/>
  <c r="J835" i="1"/>
  <c r="K835" i="1"/>
  <c r="L835" i="1"/>
  <c r="M835" i="1"/>
  <c r="N835" i="1"/>
  <c r="O835" i="1"/>
  <c r="P835" i="1"/>
  <c r="Q835" i="1"/>
  <c r="R835" i="1"/>
  <c r="A836" i="1"/>
  <c r="B836" i="1"/>
  <c r="C836" i="1"/>
  <c r="D836" i="1"/>
  <c r="E836" i="1"/>
  <c r="F836" i="1"/>
  <c r="G836" i="1"/>
  <c r="AE836" i="1" s="1"/>
  <c r="AG836" i="1" s="1"/>
  <c r="H836" i="1"/>
  <c r="I836" i="1"/>
  <c r="J836" i="1"/>
  <c r="K836" i="1"/>
  <c r="L836" i="1"/>
  <c r="M836" i="1"/>
  <c r="N836" i="1"/>
  <c r="O836" i="1"/>
  <c r="P836" i="1"/>
  <c r="Q836" i="1"/>
  <c r="R836" i="1"/>
  <c r="A837" i="1"/>
  <c r="B837" i="1"/>
  <c r="C837" i="1"/>
  <c r="D837" i="1"/>
  <c r="E837" i="1"/>
  <c r="F837" i="1"/>
  <c r="Z837" i="1" s="1"/>
  <c r="G837" i="1"/>
  <c r="AE837" i="1" s="1"/>
  <c r="AG837" i="1" s="1"/>
  <c r="H837" i="1"/>
  <c r="I837" i="1"/>
  <c r="J837" i="1"/>
  <c r="K837" i="1"/>
  <c r="L837" i="1"/>
  <c r="M837" i="1"/>
  <c r="N837" i="1"/>
  <c r="O837" i="1"/>
  <c r="P837" i="1"/>
  <c r="Q837" i="1"/>
  <c r="R837" i="1"/>
  <c r="A838" i="1"/>
  <c r="B838" i="1"/>
  <c r="C838" i="1"/>
  <c r="D838" i="1"/>
  <c r="E838" i="1"/>
  <c r="F838" i="1"/>
  <c r="G838" i="1"/>
  <c r="AE838" i="1" s="1"/>
  <c r="AG838" i="1" s="1"/>
  <c r="H838" i="1"/>
  <c r="I838" i="1"/>
  <c r="J838" i="1"/>
  <c r="K838" i="1"/>
  <c r="L838" i="1"/>
  <c r="M838" i="1"/>
  <c r="N838" i="1"/>
  <c r="O838" i="1"/>
  <c r="P838" i="1"/>
  <c r="Q838" i="1"/>
  <c r="R838" i="1"/>
  <c r="A839" i="1"/>
  <c r="B839" i="1"/>
  <c r="C839" i="1"/>
  <c r="D839" i="1"/>
  <c r="E839" i="1"/>
  <c r="F839" i="1"/>
  <c r="G839" i="1"/>
  <c r="AE839" i="1" s="1"/>
  <c r="AG839" i="1" s="1"/>
  <c r="H839" i="1"/>
  <c r="I839" i="1"/>
  <c r="J839" i="1"/>
  <c r="K839" i="1"/>
  <c r="L839" i="1"/>
  <c r="M839" i="1"/>
  <c r="N839" i="1"/>
  <c r="O839" i="1"/>
  <c r="P839" i="1"/>
  <c r="Q839" i="1"/>
  <c r="R839" i="1"/>
  <c r="A840" i="1"/>
  <c r="B840" i="1"/>
  <c r="C840" i="1"/>
  <c r="D840" i="1"/>
  <c r="E840" i="1"/>
  <c r="F840" i="1"/>
  <c r="G840" i="1"/>
  <c r="AE840" i="1" s="1"/>
  <c r="AG840" i="1" s="1"/>
  <c r="H840" i="1"/>
  <c r="I840" i="1"/>
  <c r="J840" i="1"/>
  <c r="K840" i="1"/>
  <c r="L840" i="1"/>
  <c r="M840" i="1"/>
  <c r="N840" i="1"/>
  <c r="O840" i="1"/>
  <c r="P840" i="1"/>
  <c r="Q840" i="1"/>
  <c r="R840" i="1"/>
  <c r="A841" i="1"/>
  <c r="B841" i="1"/>
  <c r="C841" i="1"/>
  <c r="D841" i="1"/>
  <c r="E841" i="1"/>
  <c r="F841" i="1"/>
  <c r="Z841" i="1" s="1"/>
  <c r="G841" i="1"/>
  <c r="AE841" i="1" s="1"/>
  <c r="AG841" i="1" s="1"/>
  <c r="H841" i="1"/>
  <c r="I841" i="1"/>
  <c r="J841" i="1"/>
  <c r="K841" i="1"/>
  <c r="L841" i="1"/>
  <c r="M841" i="1"/>
  <c r="N841" i="1"/>
  <c r="O841" i="1"/>
  <c r="P841" i="1"/>
  <c r="Q841" i="1"/>
  <c r="R841" i="1"/>
  <c r="A842" i="1"/>
  <c r="B842" i="1"/>
  <c r="C842" i="1"/>
  <c r="D842" i="1"/>
  <c r="E842" i="1"/>
  <c r="F842" i="1"/>
  <c r="Z842" i="1" s="1"/>
  <c r="G842" i="1"/>
  <c r="H842" i="1"/>
  <c r="I842" i="1"/>
  <c r="J842" i="1"/>
  <c r="K842" i="1"/>
  <c r="L842" i="1"/>
  <c r="M842" i="1"/>
  <c r="N842" i="1"/>
  <c r="O842" i="1"/>
  <c r="P842" i="1"/>
  <c r="Q842" i="1"/>
  <c r="R842" i="1"/>
  <c r="T842" i="1" s="1"/>
  <c r="A843" i="1"/>
  <c r="B843" i="1"/>
  <c r="C843" i="1"/>
  <c r="D843" i="1"/>
  <c r="E843" i="1"/>
  <c r="F843" i="1"/>
  <c r="G843" i="1"/>
  <c r="AE843" i="1" s="1"/>
  <c r="AG843" i="1" s="1"/>
  <c r="H843" i="1"/>
  <c r="I843" i="1"/>
  <c r="J843" i="1"/>
  <c r="K843" i="1"/>
  <c r="L843" i="1"/>
  <c r="M843" i="1"/>
  <c r="N843" i="1"/>
  <c r="O843" i="1"/>
  <c r="P843" i="1"/>
  <c r="Q843" i="1"/>
  <c r="R843" i="1"/>
  <c r="U843" i="1" s="1"/>
  <c r="V843" i="1" s="1"/>
  <c r="A844" i="1"/>
  <c r="B844" i="1"/>
  <c r="C844" i="1"/>
  <c r="D844" i="1"/>
  <c r="E844" i="1"/>
  <c r="F844" i="1"/>
  <c r="G844" i="1"/>
  <c r="AE844" i="1" s="1"/>
  <c r="AG844" i="1" s="1"/>
  <c r="H844" i="1"/>
  <c r="I844" i="1"/>
  <c r="J844" i="1"/>
  <c r="K844" i="1"/>
  <c r="L844" i="1"/>
  <c r="M844" i="1"/>
  <c r="N844" i="1"/>
  <c r="O844" i="1"/>
  <c r="P844" i="1"/>
  <c r="Q844" i="1"/>
  <c r="R844" i="1"/>
  <c r="A845" i="1"/>
  <c r="B845" i="1"/>
  <c r="C845" i="1"/>
  <c r="D845" i="1"/>
  <c r="E845" i="1"/>
  <c r="F845" i="1"/>
  <c r="Z845" i="1" s="1"/>
  <c r="G845" i="1"/>
  <c r="AE845" i="1" s="1"/>
  <c r="AG845" i="1" s="1"/>
  <c r="H845" i="1"/>
  <c r="I845" i="1"/>
  <c r="J845" i="1"/>
  <c r="K845" i="1"/>
  <c r="L845" i="1"/>
  <c r="M845" i="1"/>
  <c r="N845" i="1"/>
  <c r="O845" i="1"/>
  <c r="P845" i="1"/>
  <c r="Q845" i="1"/>
  <c r="R845" i="1"/>
  <c r="A846" i="1"/>
  <c r="B846" i="1"/>
  <c r="C846" i="1"/>
  <c r="D846" i="1"/>
  <c r="E846" i="1"/>
  <c r="F846" i="1"/>
  <c r="G846" i="1"/>
  <c r="AE846" i="1" s="1"/>
  <c r="AG846" i="1" s="1"/>
  <c r="H846" i="1"/>
  <c r="I846" i="1"/>
  <c r="J846" i="1"/>
  <c r="K846" i="1"/>
  <c r="L846" i="1"/>
  <c r="M846" i="1"/>
  <c r="N846" i="1"/>
  <c r="O846" i="1"/>
  <c r="P846" i="1"/>
  <c r="Q846" i="1"/>
  <c r="R846" i="1"/>
  <c r="A847" i="1"/>
  <c r="B847" i="1"/>
  <c r="C847" i="1"/>
  <c r="D847" i="1"/>
  <c r="E847" i="1"/>
  <c r="F847" i="1"/>
  <c r="G847" i="1"/>
  <c r="AE847" i="1" s="1"/>
  <c r="AG847" i="1" s="1"/>
  <c r="H847" i="1"/>
  <c r="I847" i="1"/>
  <c r="J847" i="1"/>
  <c r="K847" i="1"/>
  <c r="L847" i="1"/>
  <c r="M847" i="1"/>
  <c r="N847" i="1"/>
  <c r="O847" i="1"/>
  <c r="P847" i="1"/>
  <c r="Q847" i="1"/>
  <c r="R847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T617" i="1" s="1"/>
  <c r="A848" i="1"/>
  <c r="B848" i="1"/>
  <c r="C848" i="1"/>
  <c r="D848" i="1"/>
  <c r="E848" i="1"/>
  <c r="F848" i="1"/>
  <c r="G848" i="1"/>
  <c r="AE848" i="1" s="1"/>
  <c r="AG848" i="1" s="1"/>
  <c r="H848" i="1"/>
  <c r="I848" i="1"/>
  <c r="J848" i="1"/>
  <c r="K848" i="1"/>
  <c r="L848" i="1"/>
  <c r="M848" i="1"/>
  <c r="N848" i="1"/>
  <c r="O848" i="1"/>
  <c r="P848" i="1"/>
  <c r="Q848" i="1"/>
  <c r="R848" i="1"/>
  <c r="A849" i="1"/>
  <c r="B849" i="1"/>
  <c r="C849" i="1"/>
  <c r="D849" i="1"/>
  <c r="E849" i="1"/>
  <c r="F849" i="1"/>
  <c r="Z849" i="1" s="1"/>
  <c r="G849" i="1"/>
  <c r="H849" i="1"/>
  <c r="I849" i="1"/>
  <c r="J849" i="1"/>
  <c r="K849" i="1"/>
  <c r="L849" i="1"/>
  <c r="M849" i="1"/>
  <c r="N849" i="1"/>
  <c r="O849" i="1"/>
  <c r="P849" i="1"/>
  <c r="Q849" i="1"/>
  <c r="R849" i="1"/>
  <c r="A850" i="1"/>
  <c r="B850" i="1"/>
  <c r="C850" i="1"/>
  <c r="D850" i="1"/>
  <c r="E850" i="1"/>
  <c r="F850" i="1"/>
  <c r="G850" i="1"/>
  <c r="AE850" i="1" s="1"/>
  <c r="AG850" i="1" s="1"/>
  <c r="H850" i="1"/>
  <c r="I850" i="1"/>
  <c r="J850" i="1"/>
  <c r="K850" i="1"/>
  <c r="L850" i="1"/>
  <c r="M850" i="1"/>
  <c r="N850" i="1"/>
  <c r="O850" i="1"/>
  <c r="P850" i="1"/>
  <c r="Q850" i="1"/>
  <c r="R850" i="1"/>
  <c r="T850" i="1" s="1"/>
  <c r="A851" i="1"/>
  <c r="B851" i="1"/>
  <c r="C851" i="1"/>
  <c r="D851" i="1"/>
  <c r="E851" i="1"/>
  <c r="F851" i="1"/>
  <c r="G851" i="1"/>
  <c r="AE851" i="1" s="1"/>
  <c r="AG851" i="1" s="1"/>
  <c r="H851" i="1"/>
  <c r="I851" i="1"/>
  <c r="J851" i="1"/>
  <c r="K851" i="1"/>
  <c r="L851" i="1"/>
  <c r="M851" i="1"/>
  <c r="N851" i="1"/>
  <c r="O851" i="1"/>
  <c r="P851" i="1"/>
  <c r="Q851" i="1"/>
  <c r="R851" i="1"/>
  <c r="A852" i="1"/>
  <c r="B852" i="1"/>
  <c r="C852" i="1"/>
  <c r="D852" i="1"/>
  <c r="E852" i="1"/>
  <c r="F852" i="1"/>
  <c r="G852" i="1"/>
  <c r="AE852" i="1" s="1"/>
  <c r="AG852" i="1" s="1"/>
  <c r="H852" i="1"/>
  <c r="I852" i="1"/>
  <c r="J852" i="1"/>
  <c r="K852" i="1"/>
  <c r="L852" i="1"/>
  <c r="M852" i="1"/>
  <c r="N852" i="1"/>
  <c r="O852" i="1"/>
  <c r="P852" i="1"/>
  <c r="Q852" i="1"/>
  <c r="R852" i="1"/>
  <c r="U852" i="1" s="1"/>
  <c r="A853" i="1"/>
  <c r="B853" i="1"/>
  <c r="C853" i="1"/>
  <c r="D853" i="1"/>
  <c r="E853" i="1"/>
  <c r="F853" i="1"/>
  <c r="Z853" i="1" s="1"/>
  <c r="G853" i="1"/>
  <c r="AE853" i="1" s="1"/>
  <c r="AG853" i="1" s="1"/>
  <c r="H853" i="1"/>
  <c r="I853" i="1"/>
  <c r="J853" i="1"/>
  <c r="K853" i="1"/>
  <c r="L853" i="1"/>
  <c r="M853" i="1"/>
  <c r="N853" i="1"/>
  <c r="O853" i="1"/>
  <c r="P853" i="1"/>
  <c r="Q853" i="1"/>
  <c r="R853" i="1"/>
  <c r="U853" i="1" s="1"/>
  <c r="A854" i="1"/>
  <c r="B854" i="1"/>
  <c r="C854" i="1"/>
  <c r="D854" i="1"/>
  <c r="E854" i="1"/>
  <c r="F854" i="1"/>
  <c r="G854" i="1"/>
  <c r="AE854" i="1" s="1"/>
  <c r="AG854" i="1" s="1"/>
  <c r="H854" i="1"/>
  <c r="I854" i="1"/>
  <c r="J854" i="1"/>
  <c r="K854" i="1"/>
  <c r="L854" i="1"/>
  <c r="M854" i="1"/>
  <c r="N854" i="1"/>
  <c r="O854" i="1"/>
  <c r="P854" i="1"/>
  <c r="Q854" i="1"/>
  <c r="R854" i="1"/>
  <c r="T854" i="1" s="1"/>
  <c r="A855" i="1"/>
  <c r="B855" i="1"/>
  <c r="C855" i="1"/>
  <c r="D855" i="1"/>
  <c r="E855" i="1"/>
  <c r="F855" i="1"/>
  <c r="G855" i="1"/>
  <c r="AE855" i="1" s="1"/>
  <c r="AG855" i="1" s="1"/>
  <c r="H855" i="1"/>
  <c r="I855" i="1"/>
  <c r="J855" i="1"/>
  <c r="K855" i="1"/>
  <c r="L855" i="1"/>
  <c r="M855" i="1"/>
  <c r="N855" i="1"/>
  <c r="O855" i="1"/>
  <c r="P855" i="1"/>
  <c r="Q855" i="1"/>
  <c r="R855" i="1"/>
  <c r="A856" i="1"/>
  <c r="B856" i="1"/>
  <c r="C856" i="1"/>
  <c r="D856" i="1"/>
  <c r="E856" i="1"/>
  <c r="F856" i="1"/>
  <c r="G856" i="1"/>
  <c r="AE856" i="1" s="1"/>
  <c r="AG856" i="1" s="1"/>
  <c r="H856" i="1"/>
  <c r="I856" i="1"/>
  <c r="J856" i="1"/>
  <c r="K856" i="1"/>
  <c r="L856" i="1"/>
  <c r="M856" i="1"/>
  <c r="N856" i="1"/>
  <c r="O856" i="1"/>
  <c r="P856" i="1"/>
  <c r="Q856" i="1"/>
  <c r="R856" i="1"/>
  <c r="A857" i="1"/>
  <c r="B857" i="1"/>
  <c r="C857" i="1"/>
  <c r="D857" i="1"/>
  <c r="E857" i="1"/>
  <c r="F857" i="1"/>
  <c r="Z857" i="1" s="1"/>
  <c r="G857" i="1"/>
  <c r="AE857" i="1" s="1"/>
  <c r="AG857" i="1" s="1"/>
  <c r="H857" i="1"/>
  <c r="I857" i="1"/>
  <c r="J857" i="1"/>
  <c r="K857" i="1"/>
  <c r="L857" i="1"/>
  <c r="M857" i="1"/>
  <c r="N857" i="1"/>
  <c r="O857" i="1"/>
  <c r="P857" i="1"/>
  <c r="Q857" i="1"/>
  <c r="R857" i="1"/>
  <c r="T857" i="1" s="1"/>
  <c r="A858" i="1"/>
  <c r="B858" i="1"/>
  <c r="C858" i="1"/>
  <c r="D858" i="1"/>
  <c r="E858" i="1"/>
  <c r="F858" i="1"/>
  <c r="Z858" i="1" s="1"/>
  <c r="G858" i="1"/>
  <c r="AE858" i="1" s="1"/>
  <c r="AG858" i="1" s="1"/>
  <c r="H858" i="1"/>
  <c r="I858" i="1"/>
  <c r="J858" i="1"/>
  <c r="K858" i="1"/>
  <c r="L858" i="1"/>
  <c r="M858" i="1"/>
  <c r="N858" i="1"/>
  <c r="O858" i="1"/>
  <c r="P858" i="1"/>
  <c r="Q858" i="1"/>
  <c r="R858" i="1"/>
  <c r="U858" i="1" s="1"/>
  <c r="A859" i="1"/>
  <c r="B859" i="1"/>
  <c r="C859" i="1"/>
  <c r="D859" i="1"/>
  <c r="E859" i="1"/>
  <c r="F859" i="1"/>
  <c r="G859" i="1"/>
  <c r="AE859" i="1" s="1"/>
  <c r="AG859" i="1" s="1"/>
  <c r="H859" i="1"/>
  <c r="I859" i="1"/>
  <c r="J859" i="1"/>
  <c r="K859" i="1"/>
  <c r="L859" i="1"/>
  <c r="M859" i="1"/>
  <c r="N859" i="1"/>
  <c r="O859" i="1"/>
  <c r="P859" i="1"/>
  <c r="Q859" i="1"/>
  <c r="R859" i="1"/>
  <c r="A860" i="1"/>
  <c r="B860" i="1"/>
  <c r="C860" i="1"/>
  <c r="D860" i="1"/>
  <c r="E860" i="1"/>
  <c r="F860" i="1"/>
  <c r="G860" i="1"/>
  <c r="AE860" i="1" s="1"/>
  <c r="AG860" i="1" s="1"/>
  <c r="H860" i="1"/>
  <c r="I860" i="1"/>
  <c r="J860" i="1"/>
  <c r="K860" i="1"/>
  <c r="L860" i="1"/>
  <c r="M860" i="1"/>
  <c r="N860" i="1"/>
  <c r="O860" i="1"/>
  <c r="P860" i="1"/>
  <c r="Q860" i="1"/>
  <c r="R860" i="1"/>
  <c r="A861" i="1"/>
  <c r="B861" i="1"/>
  <c r="C861" i="1"/>
  <c r="D861" i="1"/>
  <c r="E861" i="1"/>
  <c r="F861" i="1"/>
  <c r="G861" i="1"/>
  <c r="AE861" i="1" s="1"/>
  <c r="AG861" i="1" s="1"/>
  <c r="H861" i="1"/>
  <c r="I861" i="1"/>
  <c r="J861" i="1"/>
  <c r="K861" i="1"/>
  <c r="L861" i="1"/>
  <c r="M861" i="1"/>
  <c r="N861" i="1"/>
  <c r="O861" i="1"/>
  <c r="P861" i="1"/>
  <c r="Q861" i="1"/>
  <c r="R861" i="1"/>
  <c r="A862" i="1"/>
  <c r="B862" i="1"/>
  <c r="C862" i="1"/>
  <c r="D862" i="1"/>
  <c r="E862" i="1"/>
  <c r="F862" i="1"/>
  <c r="G862" i="1"/>
  <c r="AE862" i="1" s="1"/>
  <c r="AG862" i="1" s="1"/>
  <c r="H862" i="1"/>
  <c r="I862" i="1"/>
  <c r="J862" i="1"/>
  <c r="K862" i="1"/>
  <c r="L862" i="1"/>
  <c r="M862" i="1"/>
  <c r="N862" i="1"/>
  <c r="O862" i="1"/>
  <c r="P862" i="1"/>
  <c r="Q862" i="1"/>
  <c r="R862" i="1"/>
  <c r="A863" i="1"/>
  <c r="B863" i="1"/>
  <c r="C863" i="1"/>
  <c r="D863" i="1"/>
  <c r="E863" i="1"/>
  <c r="F863" i="1"/>
  <c r="G863" i="1"/>
  <c r="AE863" i="1" s="1"/>
  <c r="AG863" i="1" s="1"/>
  <c r="H863" i="1"/>
  <c r="I863" i="1"/>
  <c r="J863" i="1"/>
  <c r="K863" i="1"/>
  <c r="L863" i="1"/>
  <c r="M863" i="1"/>
  <c r="N863" i="1"/>
  <c r="O863" i="1"/>
  <c r="P863" i="1"/>
  <c r="Q863" i="1"/>
  <c r="R863" i="1"/>
  <c r="W863" i="1" s="1"/>
  <c r="A864" i="1"/>
  <c r="B864" i="1"/>
  <c r="C864" i="1"/>
  <c r="D864" i="1"/>
  <c r="E864" i="1"/>
  <c r="F864" i="1"/>
  <c r="Z864" i="1" s="1"/>
  <c r="G864" i="1"/>
  <c r="H864" i="1"/>
  <c r="I864" i="1"/>
  <c r="J864" i="1"/>
  <c r="K864" i="1"/>
  <c r="L864" i="1"/>
  <c r="M864" i="1"/>
  <c r="N864" i="1"/>
  <c r="O864" i="1"/>
  <c r="P864" i="1"/>
  <c r="Q864" i="1"/>
  <c r="R864" i="1"/>
  <c r="A865" i="1"/>
  <c r="B865" i="1"/>
  <c r="C865" i="1"/>
  <c r="D865" i="1"/>
  <c r="E865" i="1"/>
  <c r="F865" i="1"/>
  <c r="Z865" i="1" s="1"/>
  <c r="G865" i="1"/>
  <c r="H865" i="1"/>
  <c r="I865" i="1"/>
  <c r="J865" i="1"/>
  <c r="K865" i="1"/>
  <c r="L865" i="1"/>
  <c r="M865" i="1"/>
  <c r="N865" i="1"/>
  <c r="O865" i="1"/>
  <c r="P865" i="1"/>
  <c r="Q865" i="1"/>
  <c r="R865" i="1"/>
  <c r="U865" i="1" s="1"/>
  <c r="A866" i="1"/>
  <c r="B866" i="1"/>
  <c r="C866" i="1"/>
  <c r="D866" i="1"/>
  <c r="E866" i="1"/>
  <c r="F866" i="1"/>
  <c r="G866" i="1"/>
  <c r="AE866" i="1" s="1"/>
  <c r="AG866" i="1" s="1"/>
  <c r="H866" i="1"/>
  <c r="I866" i="1"/>
  <c r="J866" i="1"/>
  <c r="K866" i="1"/>
  <c r="L866" i="1"/>
  <c r="M866" i="1"/>
  <c r="N866" i="1"/>
  <c r="O866" i="1"/>
  <c r="P866" i="1"/>
  <c r="Q866" i="1"/>
  <c r="R866" i="1"/>
  <c r="A867" i="1"/>
  <c r="B867" i="1"/>
  <c r="C867" i="1"/>
  <c r="D867" i="1"/>
  <c r="E867" i="1"/>
  <c r="F867" i="1"/>
  <c r="G867" i="1"/>
  <c r="AE867" i="1" s="1"/>
  <c r="AG867" i="1" s="1"/>
  <c r="H867" i="1"/>
  <c r="I867" i="1"/>
  <c r="J867" i="1"/>
  <c r="K867" i="1"/>
  <c r="L867" i="1"/>
  <c r="M867" i="1"/>
  <c r="N867" i="1"/>
  <c r="O867" i="1"/>
  <c r="P867" i="1"/>
  <c r="Q867" i="1"/>
  <c r="R867" i="1"/>
  <c r="A868" i="1"/>
  <c r="B868" i="1"/>
  <c r="C868" i="1"/>
  <c r="D868" i="1"/>
  <c r="E868" i="1"/>
  <c r="F868" i="1"/>
  <c r="G868" i="1"/>
  <c r="AE868" i="1" s="1"/>
  <c r="AG868" i="1" s="1"/>
  <c r="H868" i="1"/>
  <c r="I868" i="1"/>
  <c r="J868" i="1"/>
  <c r="K868" i="1"/>
  <c r="L868" i="1"/>
  <c r="M868" i="1"/>
  <c r="N868" i="1"/>
  <c r="O868" i="1"/>
  <c r="P868" i="1"/>
  <c r="Q868" i="1"/>
  <c r="R868" i="1"/>
  <c r="A869" i="1"/>
  <c r="B869" i="1"/>
  <c r="C869" i="1"/>
  <c r="D869" i="1"/>
  <c r="E869" i="1"/>
  <c r="F869" i="1"/>
  <c r="G869" i="1"/>
  <c r="AE869" i="1" s="1"/>
  <c r="AG869" i="1" s="1"/>
  <c r="H869" i="1"/>
  <c r="I869" i="1"/>
  <c r="J869" i="1"/>
  <c r="K869" i="1"/>
  <c r="L869" i="1"/>
  <c r="M869" i="1"/>
  <c r="N869" i="1"/>
  <c r="O869" i="1"/>
  <c r="P869" i="1"/>
  <c r="Q869" i="1"/>
  <c r="R869" i="1"/>
  <c r="A870" i="1"/>
  <c r="B870" i="1"/>
  <c r="C870" i="1"/>
  <c r="D870" i="1"/>
  <c r="E870" i="1"/>
  <c r="F870" i="1"/>
  <c r="G870" i="1"/>
  <c r="AE870" i="1" s="1"/>
  <c r="AG870" i="1" s="1"/>
  <c r="H870" i="1"/>
  <c r="I870" i="1"/>
  <c r="J870" i="1"/>
  <c r="K870" i="1"/>
  <c r="L870" i="1"/>
  <c r="M870" i="1"/>
  <c r="N870" i="1"/>
  <c r="O870" i="1"/>
  <c r="P870" i="1"/>
  <c r="Q870" i="1"/>
  <c r="R870" i="1"/>
  <c r="A871" i="1"/>
  <c r="B871" i="1"/>
  <c r="C871" i="1"/>
  <c r="D871" i="1"/>
  <c r="E871" i="1"/>
  <c r="F871" i="1"/>
  <c r="G871" i="1"/>
  <c r="AE871" i="1" s="1"/>
  <c r="AG871" i="1" s="1"/>
  <c r="H871" i="1"/>
  <c r="I871" i="1"/>
  <c r="J871" i="1"/>
  <c r="K871" i="1"/>
  <c r="L871" i="1"/>
  <c r="M871" i="1"/>
  <c r="N871" i="1"/>
  <c r="O871" i="1"/>
  <c r="P871" i="1"/>
  <c r="Q871" i="1"/>
  <c r="R871" i="1"/>
  <c r="A872" i="1"/>
  <c r="B872" i="1"/>
  <c r="C872" i="1"/>
  <c r="D872" i="1"/>
  <c r="E872" i="1"/>
  <c r="F872" i="1"/>
  <c r="Z872" i="1" s="1"/>
  <c r="G872" i="1"/>
  <c r="AE872" i="1" s="1"/>
  <c r="AG872" i="1" s="1"/>
  <c r="H872" i="1"/>
  <c r="I872" i="1"/>
  <c r="J872" i="1"/>
  <c r="K872" i="1"/>
  <c r="L872" i="1"/>
  <c r="M872" i="1"/>
  <c r="N872" i="1"/>
  <c r="O872" i="1"/>
  <c r="P872" i="1"/>
  <c r="Q872" i="1"/>
  <c r="R872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W37" i="1" s="1"/>
  <c r="A873" i="1"/>
  <c r="B873" i="1"/>
  <c r="C873" i="1"/>
  <c r="D873" i="1"/>
  <c r="E873" i="1"/>
  <c r="F873" i="1"/>
  <c r="G873" i="1"/>
  <c r="AE873" i="1" s="1"/>
  <c r="AG873" i="1" s="1"/>
  <c r="H873" i="1"/>
  <c r="I873" i="1"/>
  <c r="J873" i="1"/>
  <c r="K873" i="1"/>
  <c r="L873" i="1"/>
  <c r="M873" i="1"/>
  <c r="N873" i="1"/>
  <c r="O873" i="1"/>
  <c r="P873" i="1"/>
  <c r="Q873" i="1"/>
  <c r="R873" i="1"/>
  <c r="W873" i="1" s="1"/>
  <c r="A874" i="1"/>
  <c r="B874" i="1"/>
  <c r="C874" i="1"/>
  <c r="D874" i="1"/>
  <c r="E874" i="1"/>
  <c r="F874" i="1"/>
  <c r="G874" i="1"/>
  <c r="AE874" i="1" s="1"/>
  <c r="AG874" i="1" s="1"/>
  <c r="H874" i="1"/>
  <c r="I874" i="1"/>
  <c r="J874" i="1"/>
  <c r="K874" i="1"/>
  <c r="L874" i="1"/>
  <c r="M874" i="1"/>
  <c r="N874" i="1"/>
  <c r="O874" i="1"/>
  <c r="P874" i="1"/>
  <c r="Q874" i="1"/>
  <c r="R874" i="1"/>
  <c r="W874" i="1" s="1"/>
  <c r="A875" i="1"/>
  <c r="B875" i="1"/>
  <c r="C875" i="1"/>
  <c r="D875" i="1"/>
  <c r="E875" i="1"/>
  <c r="F875" i="1"/>
  <c r="G875" i="1"/>
  <c r="AE875" i="1" s="1"/>
  <c r="AG875" i="1" s="1"/>
  <c r="H875" i="1"/>
  <c r="I875" i="1"/>
  <c r="J875" i="1"/>
  <c r="K875" i="1"/>
  <c r="L875" i="1"/>
  <c r="M875" i="1"/>
  <c r="N875" i="1"/>
  <c r="O875" i="1"/>
  <c r="P875" i="1"/>
  <c r="Q875" i="1"/>
  <c r="R875" i="1"/>
  <c r="A876" i="1"/>
  <c r="B876" i="1"/>
  <c r="C876" i="1"/>
  <c r="D876" i="1"/>
  <c r="E876" i="1"/>
  <c r="F876" i="1"/>
  <c r="G876" i="1"/>
  <c r="AE876" i="1" s="1"/>
  <c r="AG876" i="1" s="1"/>
  <c r="H876" i="1"/>
  <c r="I876" i="1"/>
  <c r="J876" i="1"/>
  <c r="K876" i="1"/>
  <c r="L876" i="1"/>
  <c r="M876" i="1"/>
  <c r="N876" i="1"/>
  <c r="O876" i="1"/>
  <c r="P876" i="1"/>
  <c r="Q876" i="1"/>
  <c r="R876" i="1"/>
  <c r="A877" i="1"/>
  <c r="B877" i="1"/>
  <c r="C877" i="1"/>
  <c r="D877" i="1"/>
  <c r="E877" i="1"/>
  <c r="F877" i="1"/>
  <c r="G877" i="1"/>
  <c r="AE877" i="1" s="1"/>
  <c r="AG877" i="1" s="1"/>
  <c r="H877" i="1"/>
  <c r="I877" i="1"/>
  <c r="J877" i="1"/>
  <c r="K877" i="1"/>
  <c r="L877" i="1"/>
  <c r="M877" i="1"/>
  <c r="N877" i="1"/>
  <c r="O877" i="1"/>
  <c r="P877" i="1"/>
  <c r="Q877" i="1"/>
  <c r="R877" i="1"/>
  <c r="T877" i="1" s="1"/>
  <c r="A878" i="1"/>
  <c r="B878" i="1"/>
  <c r="C878" i="1"/>
  <c r="D878" i="1"/>
  <c r="E878" i="1"/>
  <c r="F878" i="1"/>
  <c r="G878" i="1"/>
  <c r="AE878" i="1" s="1"/>
  <c r="AG878" i="1" s="1"/>
  <c r="H878" i="1"/>
  <c r="I878" i="1"/>
  <c r="J878" i="1"/>
  <c r="K878" i="1"/>
  <c r="L878" i="1"/>
  <c r="M878" i="1"/>
  <c r="N878" i="1"/>
  <c r="O878" i="1"/>
  <c r="P878" i="1"/>
  <c r="Q878" i="1"/>
  <c r="R878" i="1"/>
  <c r="T878" i="1" s="1"/>
  <c r="A879" i="1"/>
  <c r="B879" i="1"/>
  <c r="C879" i="1"/>
  <c r="D879" i="1"/>
  <c r="E879" i="1"/>
  <c r="F879" i="1"/>
  <c r="G879" i="1"/>
  <c r="AE879" i="1" s="1"/>
  <c r="AG879" i="1" s="1"/>
  <c r="H879" i="1"/>
  <c r="I879" i="1"/>
  <c r="J879" i="1"/>
  <c r="K879" i="1"/>
  <c r="L879" i="1"/>
  <c r="M879" i="1"/>
  <c r="N879" i="1"/>
  <c r="O879" i="1"/>
  <c r="P879" i="1"/>
  <c r="Q879" i="1"/>
  <c r="R879" i="1"/>
  <c r="T879" i="1" s="1"/>
  <c r="A880" i="1"/>
  <c r="B880" i="1"/>
  <c r="C880" i="1"/>
  <c r="D880" i="1"/>
  <c r="E880" i="1"/>
  <c r="F880" i="1"/>
  <c r="Z880" i="1" s="1"/>
  <c r="G880" i="1"/>
  <c r="AE880" i="1" s="1"/>
  <c r="AG880" i="1" s="1"/>
  <c r="H880" i="1"/>
  <c r="I880" i="1"/>
  <c r="J880" i="1"/>
  <c r="K880" i="1"/>
  <c r="L880" i="1"/>
  <c r="M880" i="1"/>
  <c r="N880" i="1"/>
  <c r="O880" i="1"/>
  <c r="P880" i="1"/>
  <c r="Q880" i="1"/>
  <c r="R880" i="1"/>
  <c r="A881" i="1"/>
  <c r="B881" i="1"/>
  <c r="C881" i="1"/>
  <c r="D881" i="1"/>
  <c r="E881" i="1"/>
  <c r="F881" i="1"/>
  <c r="G881" i="1"/>
  <c r="AE881" i="1" s="1"/>
  <c r="AG881" i="1" s="1"/>
  <c r="H881" i="1"/>
  <c r="I881" i="1"/>
  <c r="J881" i="1"/>
  <c r="K881" i="1"/>
  <c r="L881" i="1"/>
  <c r="M881" i="1"/>
  <c r="N881" i="1"/>
  <c r="O881" i="1"/>
  <c r="P881" i="1"/>
  <c r="Q881" i="1"/>
  <c r="R881" i="1"/>
  <c r="W881" i="1" s="1"/>
  <c r="A882" i="1"/>
  <c r="B882" i="1"/>
  <c r="C882" i="1"/>
  <c r="D882" i="1"/>
  <c r="E882" i="1"/>
  <c r="F882" i="1"/>
  <c r="G882" i="1"/>
  <c r="AE882" i="1" s="1"/>
  <c r="AG882" i="1" s="1"/>
  <c r="H882" i="1"/>
  <c r="I882" i="1"/>
  <c r="J882" i="1"/>
  <c r="K882" i="1"/>
  <c r="L882" i="1"/>
  <c r="M882" i="1"/>
  <c r="N882" i="1"/>
  <c r="O882" i="1"/>
  <c r="P882" i="1"/>
  <c r="Q882" i="1"/>
  <c r="R882" i="1"/>
  <c r="W882" i="1" s="1"/>
  <c r="AA882" i="1" s="1"/>
  <c r="A883" i="1"/>
  <c r="B883" i="1"/>
  <c r="C883" i="1"/>
  <c r="D883" i="1"/>
  <c r="E883" i="1"/>
  <c r="F883" i="1"/>
  <c r="Z883" i="1" s="1"/>
  <c r="G883" i="1"/>
  <c r="AE883" i="1" s="1"/>
  <c r="AG883" i="1" s="1"/>
  <c r="H883" i="1"/>
  <c r="I883" i="1"/>
  <c r="J883" i="1"/>
  <c r="K883" i="1"/>
  <c r="L883" i="1"/>
  <c r="M883" i="1"/>
  <c r="N883" i="1"/>
  <c r="O883" i="1"/>
  <c r="P883" i="1"/>
  <c r="Q883" i="1"/>
  <c r="R883" i="1"/>
  <c r="A884" i="1"/>
  <c r="B884" i="1"/>
  <c r="C884" i="1"/>
  <c r="D884" i="1"/>
  <c r="E884" i="1"/>
  <c r="F884" i="1"/>
  <c r="G884" i="1"/>
  <c r="AE884" i="1" s="1"/>
  <c r="AG884" i="1" s="1"/>
  <c r="H884" i="1"/>
  <c r="I884" i="1"/>
  <c r="J884" i="1"/>
  <c r="K884" i="1"/>
  <c r="L884" i="1"/>
  <c r="M884" i="1"/>
  <c r="N884" i="1"/>
  <c r="O884" i="1"/>
  <c r="P884" i="1"/>
  <c r="Q884" i="1"/>
  <c r="R884" i="1"/>
  <c r="T884" i="1" s="1"/>
  <c r="A885" i="1"/>
  <c r="B885" i="1"/>
  <c r="C885" i="1"/>
  <c r="D885" i="1"/>
  <c r="E885" i="1"/>
  <c r="F885" i="1"/>
  <c r="Z885" i="1" s="1"/>
  <c r="G885" i="1"/>
  <c r="AE885" i="1" s="1"/>
  <c r="AG885" i="1" s="1"/>
  <c r="H885" i="1"/>
  <c r="I885" i="1"/>
  <c r="J885" i="1"/>
  <c r="K885" i="1"/>
  <c r="L885" i="1"/>
  <c r="M885" i="1"/>
  <c r="N885" i="1"/>
  <c r="O885" i="1"/>
  <c r="P885" i="1"/>
  <c r="Q885" i="1"/>
  <c r="R885" i="1"/>
  <c r="A886" i="1"/>
  <c r="B886" i="1"/>
  <c r="C886" i="1"/>
  <c r="D886" i="1"/>
  <c r="E886" i="1"/>
  <c r="F886" i="1"/>
  <c r="G886" i="1"/>
  <c r="AE886" i="1" s="1"/>
  <c r="AG886" i="1" s="1"/>
  <c r="H886" i="1"/>
  <c r="I886" i="1"/>
  <c r="J886" i="1"/>
  <c r="K886" i="1"/>
  <c r="L886" i="1"/>
  <c r="M886" i="1"/>
  <c r="N886" i="1"/>
  <c r="O886" i="1"/>
  <c r="P886" i="1"/>
  <c r="Q886" i="1"/>
  <c r="R886" i="1"/>
  <c r="A887" i="1"/>
  <c r="B887" i="1"/>
  <c r="C887" i="1"/>
  <c r="D887" i="1"/>
  <c r="E887" i="1"/>
  <c r="F887" i="1"/>
  <c r="G887" i="1"/>
  <c r="AE887" i="1" s="1"/>
  <c r="AG887" i="1" s="1"/>
  <c r="H887" i="1"/>
  <c r="I887" i="1"/>
  <c r="J887" i="1"/>
  <c r="K887" i="1"/>
  <c r="L887" i="1"/>
  <c r="M887" i="1"/>
  <c r="N887" i="1"/>
  <c r="O887" i="1"/>
  <c r="P887" i="1"/>
  <c r="Q887" i="1"/>
  <c r="R887" i="1"/>
  <c r="A888" i="1"/>
  <c r="B888" i="1"/>
  <c r="C888" i="1"/>
  <c r="D888" i="1"/>
  <c r="E888" i="1"/>
  <c r="F888" i="1"/>
  <c r="Z888" i="1" s="1"/>
  <c r="G888" i="1"/>
  <c r="H888" i="1"/>
  <c r="I888" i="1"/>
  <c r="J888" i="1"/>
  <c r="K888" i="1"/>
  <c r="L888" i="1"/>
  <c r="M888" i="1"/>
  <c r="N888" i="1"/>
  <c r="O888" i="1"/>
  <c r="P888" i="1"/>
  <c r="Q888" i="1"/>
  <c r="R888" i="1"/>
  <c r="A889" i="1"/>
  <c r="B889" i="1"/>
  <c r="C889" i="1"/>
  <c r="D889" i="1"/>
  <c r="E889" i="1"/>
  <c r="F889" i="1"/>
  <c r="G889" i="1"/>
  <c r="AE889" i="1" s="1"/>
  <c r="AG889" i="1" s="1"/>
  <c r="H889" i="1"/>
  <c r="I889" i="1"/>
  <c r="J889" i="1"/>
  <c r="K889" i="1"/>
  <c r="L889" i="1"/>
  <c r="M889" i="1"/>
  <c r="N889" i="1"/>
  <c r="O889" i="1"/>
  <c r="P889" i="1"/>
  <c r="Q889" i="1"/>
  <c r="R889" i="1"/>
  <c r="A890" i="1"/>
  <c r="B890" i="1"/>
  <c r="C890" i="1"/>
  <c r="D890" i="1"/>
  <c r="E890" i="1"/>
  <c r="F890" i="1"/>
  <c r="G890" i="1"/>
  <c r="AE890" i="1" s="1"/>
  <c r="AG890" i="1" s="1"/>
  <c r="H890" i="1"/>
  <c r="I890" i="1"/>
  <c r="J890" i="1"/>
  <c r="K890" i="1"/>
  <c r="L890" i="1"/>
  <c r="M890" i="1"/>
  <c r="N890" i="1"/>
  <c r="O890" i="1"/>
  <c r="P890" i="1"/>
  <c r="Q890" i="1"/>
  <c r="R890" i="1"/>
  <c r="A891" i="1"/>
  <c r="B891" i="1"/>
  <c r="C891" i="1"/>
  <c r="D891" i="1"/>
  <c r="E891" i="1"/>
  <c r="F891" i="1"/>
  <c r="Z891" i="1" s="1"/>
  <c r="G891" i="1"/>
  <c r="AE891" i="1" s="1"/>
  <c r="AG891" i="1" s="1"/>
  <c r="H891" i="1"/>
  <c r="I891" i="1"/>
  <c r="J891" i="1"/>
  <c r="K891" i="1"/>
  <c r="L891" i="1"/>
  <c r="M891" i="1"/>
  <c r="N891" i="1"/>
  <c r="O891" i="1"/>
  <c r="P891" i="1"/>
  <c r="Q891" i="1"/>
  <c r="R891" i="1"/>
  <c r="A892" i="1"/>
  <c r="B892" i="1"/>
  <c r="C892" i="1"/>
  <c r="D892" i="1"/>
  <c r="E892" i="1"/>
  <c r="F892" i="1"/>
  <c r="G892" i="1"/>
  <c r="AE892" i="1" s="1"/>
  <c r="AG892" i="1" s="1"/>
  <c r="H892" i="1"/>
  <c r="I892" i="1"/>
  <c r="J892" i="1"/>
  <c r="K892" i="1"/>
  <c r="L892" i="1"/>
  <c r="M892" i="1"/>
  <c r="N892" i="1"/>
  <c r="O892" i="1"/>
  <c r="P892" i="1"/>
  <c r="Q892" i="1"/>
  <c r="R892" i="1"/>
  <c r="A893" i="1"/>
  <c r="B893" i="1"/>
  <c r="C893" i="1"/>
  <c r="D893" i="1"/>
  <c r="E893" i="1"/>
  <c r="F893" i="1"/>
  <c r="G893" i="1"/>
  <c r="AE893" i="1" s="1"/>
  <c r="AG893" i="1" s="1"/>
  <c r="H893" i="1"/>
  <c r="I893" i="1"/>
  <c r="J893" i="1"/>
  <c r="K893" i="1"/>
  <c r="L893" i="1"/>
  <c r="M893" i="1"/>
  <c r="N893" i="1"/>
  <c r="O893" i="1"/>
  <c r="P893" i="1"/>
  <c r="Q893" i="1"/>
  <c r="R893" i="1"/>
  <c r="A894" i="1"/>
  <c r="B894" i="1"/>
  <c r="C894" i="1"/>
  <c r="D894" i="1"/>
  <c r="E894" i="1"/>
  <c r="F894" i="1"/>
  <c r="G894" i="1"/>
  <c r="AE894" i="1" s="1"/>
  <c r="AG894" i="1" s="1"/>
  <c r="H894" i="1"/>
  <c r="I894" i="1"/>
  <c r="J894" i="1"/>
  <c r="K894" i="1"/>
  <c r="L894" i="1"/>
  <c r="M894" i="1"/>
  <c r="N894" i="1"/>
  <c r="O894" i="1"/>
  <c r="P894" i="1"/>
  <c r="Q894" i="1"/>
  <c r="R894" i="1"/>
  <c r="A895" i="1"/>
  <c r="B895" i="1"/>
  <c r="C895" i="1"/>
  <c r="D895" i="1"/>
  <c r="E895" i="1"/>
  <c r="F895" i="1"/>
  <c r="G895" i="1"/>
  <c r="AE895" i="1" s="1"/>
  <c r="AG895" i="1" s="1"/>
  <c r="H895" i="1"/>
  <c r="I895" i="1"/>
  <c r="J895" i="1"/>
  <c r="K895" i="1"/>
  <c r="L895" i="1"/>
  <c r="M895" i="1"/>
  <c r="N895" i="1"/>
  <c r="O895" i="1"/>
  <c r="P895" i="1"/>
  <c r="Q895" i="1"/>
  <c r="R895" i="1"/>
  <c r="A896" i="1"/>
  <c r="B896" i="1"/>
  <c r="C896" i="1"/>
  <c r="D896" i="1"/>
  <c r="E896" i="1"/>
  <c r="F896" i="1"/>
  <c r="Z896" i="1" s="1"/>
  <c r="G896" i="1"/>
  <c r="AE896" i="1" s="1"/>
  <c r="AG896" i="1" s="1"/>
  <c r="H896" i="1"/>
  <c r="I896" i="1"/>
  <c r="J896" i="1"/>
  <c r="K896" i="1"/>
  <c r="L896" i="1"/>
  <c r="M896" i="1"/>
  <c r="N896" i="1"/>
  <c r="O896" i="1"/>
  <c r="P896" i="1"/>
  <c r="Q896" i="1"/>
  <c r="R896" i="1"/>
  <c r="T896" i="1" s="1"/>
  <c r="A897" i="1"/>
  <c r="B897" i="1"/>
  <c r="C897" i="1"/>
  <c r="D897" i="1"/>
  <c r="E897" i="1"/>
  <c r="F897" i="1"/>
  <c r="G897" i="1"/>
  <c r="AE897" i="1" s="1"/>
  <c r="AG897" i="1" s="1"/>
  <c r="H897" i="1"/>
  <c r="I897" i="1"/>
  <c r="J897" i="1"/>
  <c r="K897" i="1"/>
  <c r="L897" i="1"/>
  <c r="M897" i="1"/>
  <c r="N897" i="1"/>
  <c r="O897" i="1"/>
  <c r="P897" i="1"/>
  <c r="Q897" i="1"/>
  <c r="R897" i="1"/>
  <c r="A898" i="1"/>
  <c r="B898" i="1"/>
  <c r="C898" i="1"/>
  <c r="D898" i="1"/>
  <c r="E898" i="1"/>
  <c r="F898" i="1"/>
  <c r="G898" i="1"/>
  <c r="AE898" i="1" s="1"/>
  <c r="AG898" i="1" s="1"/>
  <c r="H898" i="1"/>
  <c r="I898" i="1"/>
  <c r="J898" i="1"/>
  <c r="K898" i="1"/>
  <c r="L898" i="1"/>
  <c r="M898" i="1"/>
  <c r="N898" i="1"/>
  <c r="O898" i="1"/>
  <c r="P898" i="1"/>
  <c r="Q898" i="1"/>
  <c r="R898" i="1"/>
  <c r="A899" i="1"/>
  <c r="B899" i="1"/>
  <c r="C899" i="1"/>
  <c r="D899" i="1"/>
  <c r="E899" i="1"/>
  <c r="F899" i="1"/>
  <c r="G899" i="1"/>
  <c r="AE899" i="1" s="1"/>
  <c r="AG899" i="1" s="1"/>
  <c r="H899" i="1"/>
  <c r="I899" i="1"/>
  <c r="J899" i="1"/>
  <c r="K899" i="1"/>
  <c r="L899" i="1"/>
  <c r="M899" i="1"/>
  <c r="N899" i="1"/>
  <c r="O899" i="1"/>
  <c r="P899" i="1"/>
  <c r="Q899" i="1"/>
  <c r="R899" i="1"/>
  <c r="U899" i="1" s="1"/>
  <c r="A900" i="1"/>
  <c r="B900" i="1"/>
  <c r="C900" i="1"/>
  <c r="D900" i="1"/>
  <c r="E900" i="1"/>
  <c r="F900" i="1"/>
  <c r="Z900" i="1" s="1"/>
  <c r="G900" i="1"/>
  <c r="AE900" i="1" s="1"/>
  <c r="AG900" i="1" s="1"/>
  <c r="H900" i="1"/>
  <c r="I900" i="1"/>
  <c r="J900" i="1"/>
  <c r="K900" i="1"/>
  <c r="L900" i="1"/>
  <c r="M900" i="1"/>
  <c r="N900" i="1"/>
  <c r="O900" i="1"/>
  <c r="P900" i="1"/>
  <c r="Q900" i="1"/>
  <c r="R900" i="1"/>
  <c r="U900" i="1" s="1"/>
  <c r="A901" i="1"/>
  <c r="B901" i="1"/>
  <c r="C901" i="1"/>
  <c r="D901" i="1"/>
  <c r="E901" i="1"/>
  <c r="F901" i="1"/>
  <c r="Z901" i="1" s="1"/>
  <c r="G901" i="1"/>
  <c r="AE901" i="1" s="1"/>
  <c r="AG901" i="1" s="1"/>
  <c r="H901" i="1"/>
  <c r="I901" i="1"/>
  <c r="J901" i="1"/>
  <c r="K901" i="1"/>
  <c r="L901" i="1"/>
  <c r="M901" i="1"/>
  <c r="N901" i="1"/>
  <c r="O901" i="1"/>
  <c r="P901" i="1"/>
  <c r="Q901" i="1"/>
  <c r="R901" i="1"/>
  <c r="W901" i="1" s="1"/>
  <c r="A902" i="1"/>
  <c r="B902" i="1"/>
  <c r="C902" i="1"/>
  <c r="D902" i="1"/>
  <c r="E902" i="1"/>
  <c r="F902" i="1"/>
  <c r="Z902" i="1" s="1"/>
  <c r="G902" i="1"/>
  <c r="AE902" i="1" s="1"/>
  <c r="AG902" i="1" s="1"/>
  <c r="H902" i="1"/>
  <c r="I902" i="1"/>
  <c r="J902" i="1"/>
  <c r="K902" i="1"/>
  <c r="L902" i="1"/>
  <c r="M902" i="1"/>
  <c r="N902" i="1"/>
  <c r="O902" i="1"/>
  <c r="P902" i="1"/>
  <c r="Q902" i="1"/>
  <c r="R902" i="1"/>
  <c r="A903" i="1"/>
  <c r="B903" i="1"/>
  <c r="C903" i="1"/>
  <c r="D903" i="1"/>
  <c r="E903" i="1"/>
  <c r="F903" i="1"/>
  <c r="Z903" i="1" s="1"/>
  <c r="G903" i="1"/>
  <c r="AE903" i="1" s="1"/>
  <c r="AG903" i="1" s="1"/>
  <c r="H903" i="1"/>
  <c r="I903" i="1"/>
  <c r="J903" i="1"/>
  <c r="K903" i="1"/>
  <c r="L903" i="1"/>
  <c r="M903" i="1"/>
  <c r="N903" i="1"/>
  <c r="O903" i="1"/>
  <c r="P903" i="1"/>
  <c r="Q903" i="1"/>
  <c r="R903" i="1"/>
  <c r="A904" i="1"/>
  <c r="B904" i="1"/>
  <c r="C904" i="1"/>
  <c r="D904" i="1"/>
  <c r="E904" i="1"/>
  <c r="F904" i="1"/>
  <c r="G904" i="1"/>
  <c r="AE904" i="1" s="1"/>
  <c r="AG904" i="1" s="1"/>
  <c r="H904" i="1"/>
  <c r="I904" i="1"/>
  <c r="J904" i="1"/>
  <c r="K904" i="1"/>
  <c r="L904" i="1"/>
  <c r="M904" i="1"/>
  <c r="N904" i="1"/>
  <c r="O904" i="1"/>
  <c r="P904" i="1"/>
  <c r="Q904" i="1"/>
  <c r="R904" i="1"/>
  <c r="A905" i="1"/>
  <c r="B905" i="1"/>
  <c r="C905" i="1"/>
  <c r="D905" i="1"/>
  <c r="E905" i="1"/>
  <c r="F905" i="1"/>
  <c r="G905" i="1"/>
  <c r="AE905" i="1" s="1"/>
  <c r="AG905" i="1" s="1"/>
  <c r="H905" i="1"/>
  <c r="I905" i="1"/>
  <c r="J905" i="1"/>
  <c r="K905" i="1"/>
  <c r="L905" i="1"/>
  <c r="M905" i="1"/>
  <c r="N905" i="1"/>
  <c r="O905" i="1"/>
  <c r="P905" i="1"/>
  <c r="Q905" i="1"/>
  <c r="R905" i="1"/>
  <c r="A906" i="1"/>
  <c r="B906" i="1"/>
  <c r="C906" i="1"/>
  <c r="D906" i="1"/>
  <c r="E906" i="1"/>
  <c r="F906" i="1"/>
  <c r="G906" i="1"/>
  <c r="AE906" i="1" s="1"/>
  <c r="AG906" i="1" s="1"/>
  <c r="H906" i="1"/>
  <c r="I906" i="1"/>
  <c r="J906" i="1"/>
  <c r="K906" i="1"/>
  <c r="L906" i="1"/>
  <c r="M906" i="1"/>
  <c r="N906" i="1"/>
  <c r="O906" i="1"/>
  <c r="P906" i="1"/>
  <c r="Q906" i="1"/>
  <c r="R906" i="1"/>
  <c r="A907" i="1"/>
  <c r="B907" i="1"/>
  <c r="C907" i="1"/>
  <c r="D907" i="1"/>
  <c r="E907" i="1"/>
  <c r="F907" i="1"/>
  <c r="G907" i="1"/>
  <c r="AE907" i="1" s="1"/>
  <c r="AG907" i="1" s="1"/>
  <c r="H907" i="1"/>
  <c r="I907" i="1"/>
  <c r="J907" i="1"/>
  <c r="K907" i="1"/>
  <c r="L907" i="1"/>
  <c r="M907" i="1"/>
  <c r="N907" i="1"/>
  <c r="O907" i="1"/>
  <c r="P907" i="1"/>
  <c r="Q907" i="1"/>
  <c r="R907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U1573" i="1" s="1"/>
  <c r="X1573" i="1" s="1"/>
  <c r="A908" i="1"/>
  <c r="B908" i="1"/>
  <c r="C908" i="1"/>
  <c r="D908" i="1"/>
  <c r="E908" i="1"/>
  <c r="F908" i="1"/>
  <c r="G908" i="1"/>
  <c r="AE908" i="1" s="1"/>
  <c r="AG908" i="1" s="1"/>
  <c r="H908" i="1"/>
  <c r="I908" i="1"/>
  <c r="J908" i="1"/>
  <c r="K908" i="1"/>
  <c r="L908" i="1"/>
  <c r="M908" i="1"/>
  <c r="N908" i="1"/>
  <c r="O908" i="1"/>
  <c r="P908" i="1"/>
  <c r="Q908" i="1"/>
  <c r="R908" i="1"/>
  <c r="T908" i="1" s="1"/>
  <c r="A909" i="1"/>
  <c r="B909" i="1"/>
  <c r="C909" i="1"/>
  <c r="D909" i="1"/>
  <c r="E909" i="1"/>
  <c r="F909" i="1"/>
  <c r="Z909" i="1" s="1"/>
  <c r="G909" i="1"/>
  <c r="AE909" i="1" s="1"/>
  <c r="AG909" i="1" s="1"/>
  <c r="H909" i="1"/>
  <c r="I909" i="1"/>
  <c r="J909" i="1"/>
  <c r="K909" i="1"/>
  <c r="L909" i="1"/>
  <c r="M909" i="1"/>
  <c r="N909" i="1"/>
  <c r="O909" i="1"/>
  <c r="P909" i="1"/>
  <c r="Q909" i="1"/>
  <c r="R909" i="1"/>
  <c r="T909" i="1" s="1"/>
  <c r="A910" i="1"/>
  <c r="B910" i="1"/>
  <c r="C910" i="1"/>
  <c r="D910" i="1"/>
  <c r="E910" i="1"/>
  <c r="F910" i="1"/>
  <c r="G910" i="1"/>
  <c r="AE910" i="1" s="1"/>
  <c r="AG910" i="1" s="1"/>
  <c r="H910" i="1"/>
  <c r="I910" i="1"/>
  <c r="J910" i="1"/>
  <c r="K910" i="1"/>
  <c r="L910" i="1"/>
  <c r="M910" i="1"/>
  <c r="N910" i="1"/>
  <c r="O910" i="1"/>
  <c r="P910" i="1"/>
  <c r="Q910" i="1"/>
  <c r="R910" i="1"/>
  <c r="U910" i="1" s="1"/>
  <c r="A911" i="1"/>
  <c r="B911" i="1"/>
  <c r="C911" i="1"/>
  <c r="D911" i="1"/>
  <c r="E911" i="1"/>
  <c r="F911" i="1"/>
  <c r="G911" i="1"/>
  <c r="AE911" i="1" s="1"/>
  <c r="AG911" i="1" s="1"/>
  <c r="H911" i="1"/>
  <c r="I911" i="1"/>
  <c r="J911" i="1"/>
  <c r="K911" i="1"/>
  <c r="L911" i="1"/>
  <c r="M911" i="1"/>
  <c r="N911" i="1"/>
  <c r="O911" i="1"/>
  <c r="P911" i="1"/>
  <c r="Q911" i="1"/>
  <c r="R911" i="1"/>
  <c r="A912" i="1"/>
  <c r="B912" i="1"/>
  <c r="C912" i="1"/>
  <c r="D912" i="1"/>
  <c r="E912" i="1"/>
  <c r="F912" i="1"/>
  <c r="G912" i="1"/>
  <c r="AE912" i="1" s="1"/>
  <c r="AG912" i="1" s="1"/>
  <c r="H912" i="1"/>
  <c r="I912" i="1"/>
  <c r="J912" i="1"/>
  <c r="K912" i="1"/>
  <c r="L912" i="1"/>
  <c r="M912" i="1"/>
  <c r="N912" i="1"/>
  <c r="O912" i="1"/>
  <c r="P912" i="1"/>
  <c r="Q912" i="1"/>
  <c r="R912" i="1"/>
  <c r="A913" i="1"/>
  <c r="B913" i="1"/>
  <c r="C913" i="1"/>
  <c r="D913" i="1"/>
  <c r="E913" i="1"/>
  <c r="F913" i="1"/>
  <c r="Z913" i="1" s="1"/>
  <c r="G913" i="1"/>
  <c r="AE913" i="1" s="1"/>
  <c r="AG913" i="1" s="1"/>
  <c r="H913" i="1"/>
  <c r="I913" i="1"/>
  <c r="J913" i="1"/>
  <c r="K913" i="1"/>
  <c r="L913" i="1"/>
  <c r="M913" i="1"/>
  <c r="N913" i="1"/>
  <c r="O913" i="1"/>
  <c r="P913" i="1"/>
  <c r="Q913" i="1"/>
  <c r="R913" i="1"/>
  <c r="A914" i="1"/>
  <c r="B914" i="1"/>
  <c r="C914" i="1"/>
  <c r="D914" i="1"/>
  <c r="E914" i="1"/>
  <c r="F914" i="1"/>
  <c r="G914" i="1"/>
  <c r="AE914" i="1" s="1"/>
  <c r="AG914" i="1" s="1"/>
  <c r="H914" i="1"/>
  <c r="I914" i="1"/>
  <c r="J914" i="1"/>
  <c r="K914" i="1"/>
  <c r="L914" i="1"/>
  <c r="M914" i="1"/>
  <c r="N914" i="1"/>
  <c r="O914" i="1"/>
  <c r="P914" i="1"/>
  <c r="Q914" i="1"/>
  <c r="R914" i="1"/>
  <c r="A915" i="1"/>
  <c r="B915" i="1"/>
  <c r="C915" i="1"/>
  <c r="D915" i="1"/>
  <c r="E915" i="1"/>
  <c r="F915" i="1"/>
  <c r="G915" i="1"/>
  <c r="AE915" i="1" s="1"/>
  <c r="AG915" i="1" s="1"/>
  <c r="H915" i="1"/>
  <c r="I915" i="1"/>
  <c r="J915" i="1"/>
  <c r="K915" i="1"/>
  <c r="L915" i="1"/>
  <c r="M915" i="1"/>
  <c r="N915" i="1"/>
  <c r="O915" i="1"/>
  <c r="P915" i="1"/>
  <c r="Q915" i="1"/>
  <c r="R915" i="1"/>
  <c r="U915" i="1" s="1"/>
  <c r="A916" i="1"/>
  <c r="B916" i="1"/>
  <c r="C916" i="1"/>
  <c r="D916" i="1"/>
  <c r="E916" i="1"/>
  <c r="F916" i="1"/>
  <c r="G916" i="1"/>
  <c r="AE916" i="1" s="1"/>
  <c r="AG916" i="1" s="1"/>
  <c r="H916" i="1"/>
  <c r="I916" i="1"/>
  <c r="J916" i="1"/>
  <c r="K916" i="1"/>
  <c r="L916" i="1"/>
  <c r="M916" i="1"/>
  <c r="N916" i="1"/>
  <c r="O916" i="1"/>
  <c r="P916" i="1"/>
  <c r="Q916" i="1"/>
  <c r="R916" i="1"/>
  <c r="A917" i="1"/>
  <c r="B917" i="1"/>
  <c r="C917" i="1"/>
  <c r="D917" i="1"/>
  <c r="E917" i="1"/>
  <c r="F917" i="1"/>
  <c r="Z917" i="1" s="1"/>
  <c r="G917" i="1"/>
  <c r="AE917" i="1" s="1"/>
  <c r="AG917" i="1" s="1"/>
  <c r="H917" i="1"/>
  <c r="I917" i="1"/>
  <c r="J917" i="1"/>
  <c r="K917" i="1"/>
  <c r="L917" i="1"/>
  <c r="M917" i="1"/>
  <c r="N917" i="1"/>
  <c r="O917" i="1"/>
  <c r="P917" i="1"/>
  <c r="Q917" i="1"/>
  <c r="R917" i="1"/>
  <c r="A918" i="1"/>
  <c r="B918" i="1"/>
  <c r="C918" i="1"/>
  <c r="D918" i="1"/>
  <c r="E918" i="1"/>
  <c r="F918" i="1"/>
  <c r="Z918" i="1" s="1"/>
  <c r="G918" i="1"/>
  <c r="AE918" i="1" s="1"/>
  <c r="AG918" i="1" s="1"/>
  <c r="H918" i="1"/>
  <c r="I918" i="1"/>
  <c r="J918" i="1"/>
  <c r="K918" i="1"/>
  <c r="L918" i="1"/>
  <c r="M918" i="1"/>
  <c r="N918" i="1"/>
  <c r="O918" i="1"/>
  <c r="P918" i="1"/>
  <c r="Q918" i="1"/>
  <c r="R918" i="1"/>
  <c r="W918" i="1" s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A919" i="1"/>
  <c r="B919" i="1"/>
  <c r="C919" i="1"/>
  <c r="D919" i="1"/>
  <c r="E919" i="1"/>
  <c r="F919" i="1"/>
  <c r="G919" i="1"/>
  <c r="AE919" i="1" s="1"/>
  <c r="AG919" i="1" s="1"/>
  <c r="H919" i="1"/>
  <c r="I919" i="1"/>
  <c r="J919" i="1"/>
  <c r="K919" i="1"/>
  <c r="L919" i="1"/>
  <c r="M919" i="1"/>
  <c r="N919" i="1"/>
  <c r="O919" i="1"/>
  <c r="P919" i="1"/>
  <c r="Q919" i="1"/>
  <c r="R919" i="1"/>
  <c r="A920" i="1"/>
  <c r="B920" i="1"/>
  <c r="C920" i="1"/>
  <c r="D920" i="1"/>
  <c r="E920" i="1"/>
  <c r="F920" i="1"/>
  <c r="Z920" i="1" s="1"/>
  <c r="G920" i="1"/>
  <c r="AE920" i="1" s="1"/>
  <c r="AG920" i="1" s="1"/>
  <c r="H920" i="1"/>
  <c r="I920" i="1"/>
  <c r="J920" i="1"/>
  <c r="K920" i="1"/>
  <c r="L920" i="1"/>
  <c r="M920" i="1"/>
  <c r="N920" i="1"/>
  <c r="O920" i="1"/>
  <c r="P920" i="1"/>
  <c r="Q920" i="1"/>
  <c r="R920" i="1"/>
  <c r="A921" i="1"/>
  <c r="B921" i="1"/>
  <c r="C921" i="1"/>
  <c r="D921" i="1"/>
  <c r="E921" i="1"/>
  <c r="F921" i="1"/>
  <c r="G921" i="1"/>
  <c r="AE921" i="1" s="1"/>
  <c r="AG921" i="1" s="1"/>
  <c r="H921" i="1"/>
  <c r="I921" i="1"/>
  <c r="J921" i="1"/>
  <c r="K921" i="1"/>
  <c r="L921" i="1"/>
  <c r="M921" i="1"/>
  <c r="N921" i="1"/>
  <c r="O921" i="1"/>
  <c r="P921" i="1"/>
  <c r="Q921" i="1"/>
  <c r="R921" i="1"/>
  <c r="A922" i="1"/>
  <c r="B922" i="1"/>
  <c r="C922" i="1"/>
  <c r="D922" i="1"/>
  <c r="E922" i="1"/>
  <c r="F922" i="1"/>
  <c r="G922" i="1"/>
  <c r="AE922" i="1" s="1"/>
  <c r="AG922" i="1" s="1"/>
  <c r="H922" i="1"/>
  <c r="I922" i="1"/>
  <c r="J922" i="1"/>
  <c r="K922" i="1"/>
  <c r="L922" i="1"/>
  <c r="M922" i="1"/>
  <c r="N922" i="1"/>
  <c r="O922" i="1"/>
  <c r="P922" i="1"/>
  <c r="Q922" i="1"/>
  <c r="R922" i="1"/>
  <c r="A923" i="1"/>
  <c r="B923" i="1"/>
  <c r="C923" i="1"/>
  <c r="D923" i="1"/>
  <c r="E923" i="1"/>
  <c r="F923" i="1"/>
  <c r="G923" i="1"/>
  <c r="AE923" i="1" s="1"/>
  <c r="AG923" i="1" s="1"/>
  <c r="H923" i="1"/>
  <c r="I923" i="1"/>
  <c r="J923" i="1"/>
  <c r="K923" i="1"/>
  <c r="L923" i="1"/>
  <c r="M923" i="1"/>
  <c r="N923" i="1"/>
  <c r="O923" i="1"/>
  <c r="P923" i="1"/>
  <c r="Q923" i="1"/>
  <c r="R923" i="1"/>
  <c r="A924" i="1"/>
  <c r="B924" i="1"/>
  <c r="C924" i="1"/>
  <c r="D924" i="1"/>
  <c r="E924" i="1"/>
  <c r="F924" i="1"/>
  <c r="Z924" i="1" s="1"/>
  <c r="G924" i="1"/>
  <c r="AE924" i="1" s="1"/>
  <c r="AG924" i="1" s="1"/>
  <c r="H924" i="1"/>
  <c r="I924" i="1"/>
  <c r="J924" i="1"/>
  <c r="K924" i="1"/>
  <c r="L924" i="1"/>
  <c r="M924" i="1"/>
  <c r="N924" i="1"/>
  <c r="O924" i="1"/>
  <c r="P924" i="1"/>
  <c r="Q924" i="1"/>
  <c r="R924" i="1"/>
  <c r="U924" i="1" s="1"/>
  <c r="A925" i="1"/>
  <c r="B925" i="1"/>
  <c r="C925" i="1"/>
  <c r="D925" i="1"/>
  <c r="E925" i="1"/>
  <c r="F925" i="1"/>
  <c r="G925" i="1"/>
  <c r="AE925" i="1" s="1"/>
  <c r="AG925" i="1" s="1"/>
  <c r="H925" i="1"/>
  <c r="I925" i="1"/>
  <c r="J925" i="1"/>
  <c r="K925" i="1"/>
  <c r="L925" i="1"/>
  <c r="M925" i="1"/>
  <c r="N925" i="1"/>
  <c r="O925" i="1"/>
  <c r="P925" i="1"/>
  <c r="Q925" i="1"/>
  <c r="R925" i="1"/>
  <c r="A926" i="1"/>
  <c r="B926" i="1"/>
  <c r="C926" i="1"/>
  <c r="D926" i="1"/>
  <c r="E926" i="1"/>
  <c r="F926" i="1"/>
  <c r="Z926" i="1" s="1"/>
  <c r="G926" i="1"/>
  <c r="AE926" i="1" s="1"/>
  <c r="AG926" i="1" s="1"/>
  <c r="H926" i="1"/>
  <c r="I926" i="1"/>
  <c r="J926" i="1"/>
  <c r="K926" i="1"/>
  <c r="L926" i="1"/>
  <c r="M926" i="1"/>
  <c r="N926" i="1"/>
  <c r="O926" i="1"/>
  <c r="P926" i="1"/>
  <c r="Q926" i="1"/>
  <c r="R926" i="1"/>
  <c r="A927" i="1"/>
  <c r="B927" i="1"/>
  <c r="C927" i="1"/>
  <c r="D927" i="1"/>
  <c r="E927" i="1"/>
  <c r="F927" i="1"/>
  <c r="G927" i="1"/>
  <c r="AE927" i="1" s="1"/>
  <c r="AG927" i="1" s="1"/>
  <c r="H927" i="1"/>
  <c r="I927" i="1"/>
  <c r="J927" i="1"/>
  <c r="K927" i="1"/>
  <c r="L927" i="1"/>
  <c r="M927" i="1"/>
  <c r="N927" i="1"/>
  <c r="O927" i="1"/>
  <c r="P927" i="1"/>
  <c r="Q927" i="1"/>
  <c r="R927" i="1"/>
  <c r="A928" i="1"/>
  <c r="B928" i="1"/>
  <c r="C928" i="1"/>
  <c r="D928" i="1"/>
  <c r="E928" i="1"/>
  <c r="F928" i="1"/>
  <c r="G928" i="1"/>
  <c r="AE928" i="1" s="1"/>
  <c r="AG928" i="1" s="1"/>
  <c r="H928" i="1"/>
  <c r="I928" i="1"/>
  <c r="J928" i="1"/>
  <c r="K928" i="1"/>
  <c r="L928" i="1"/>
  <c r="M928" i="1"/>
  <c r="N928" i="1"/>
  <c r="O928" i="1"/>
  <c r="P928" i="1"/>
  <c r="Q928" i="1"/>
  <c r="R928" i="1"/>
  <c r="A929" i="1"/>
  <c r="B929" i="1"/>
  <c r="C929" i="1"/>
  <c r="D929" i="1"/>
  <c r="E929" i="1"/>
  <c r="F929" i="1"/>
  <c r="G929" i="1"/>
  <c r="AE929" i="1" s="1"/>
  <c r="AG929" i="1" s="1"/>
  <c r="H929" i="1"/>
  <c r="I929" i="1"/>
  <c r="J929" i="1"/>
  <c r="K929" i="1"/>
  <c r="L929" i="1"/>
  <c r="M929" i="1"/>
  <c r="N929" i="1"/>
  <c r="O929" i="1"/>
  <c r="P929" i="1"/>
  <c r="Q929" i="1"/>
  <c r="R929" i="1"/>
  <c r="A930" i="1"/>
  <c r="B930" i="1"/>
  <c r="C930" i="1"/>
  <c r="D930" i="1"/>
  <c r="E930" i="1"/>
  <c r="F930" i="1"/>
  <c r="G930" i="1"/>
  <c r="AE930" i="1" s="1"/>
  <c r="AG930" i="1" s="1"/>
  <c r="H930" i="1"/>
  <c r="I930" i="1"/>
  <c r="J930" i="1"/>
  <c r="K930" i="1"/>
  <c r="L930" i="1"/>
  <c r="M930" i="1"/>
  <c r="N930" i="1"/>
  <c r="O930" i="1"/>
  <c r="P930" i="1"/>
  <c r="Q930" i="1"/>
  <c r="R930" i="1"/>
  <c r="W930" i="1" s="1"/>
  <c r="A931" i="1"/>
  <c r="B931" i="1"/>
  <c r="C931" i="1"/>
  <c r="D931" i="1"/>
  <c r="E931" i="1"/>
  <c r="F931" i="1"/>
  <c r="G931" i="1"/>
  <c r="AE931" i="1" s="1"/>
  <c r="AG931" i="1" s="1"/>
  <c r="H931" i="1"/>
  <c r="I931" i="1"/>
  <c r="J931" i="1"/>
  <c r="K931" i="1"/>
  <c r="L931" i="1"/>
  <c r="M931" i="1"/>
  <c r="N931" i="1"/>
  <c r="O931" i="1"/>
  <c r="P931" i="1"/>
  <c r="Q931" i="1"/>
  <c r="R931" i="1"/>
  <c r="A932" i="1"/>
  <c r="B932" i="1"/>
  <c r="C932" i="1"/>
  <c r="D932" i="1"/>
  <c r="E932" i="1"/>
  <c r="F932" i="1"/>
  <c r="G932" i="1"/>
  <c r="AE932" i="1" s="1"/>
  <c r="AG932" i="1" s="1"/>
  <c r="H932" i="1"/>
  <c r="I932" i="1"/>
  <c r="J932" i="1"/>
  <c r="K932" i="1"/>
  <c r="L932" i="1"/>
  <c r="M932" i="1"/>
  <c r="N932" i="1"/>
  <c r="O932" i="1"/>
  <c r="P932" i="1"/>
  <c r="Q932" i="1"/>
  <c r="R932" i="1"/>
  <c r="A933" i="1"/>
  <c r="B933" i="1"/>
  <c r="C933" i="1"/>
  <c r="D933" i="1"/>
  <c r="E933" i="1"/>
  <c r="F933" i="1"/>
  <c r="Z933" i="1" s="1"/>
  <c r="G933" i="1"/>
  <c r="AE933" i="1" s="1"/>
  <c r="AG933" i="1" s="1"/>
  <c r="H933" i="1"/>
  <c r="I933" i="1"/>
  <c r="J933" i="1"/>
  <c r="K933" i="1"/>
  <c r="L933" i="1"/>
  <c r="M933" i="1"/>
  <c r="N933" i="1"/>
  <c r="O933" i="1"/>
  <c r="P933" i="1"/>
  <c r="Q933" i="1"/>
  <c r="R933" i="1"/>
  <c r="A934" i="1"/>
  <c r="B934" i="1"/>
  <c r="C934" i="1"/>
  <c r="D934" i="1"/>
  <c r="E934" i="1"/>
  <c r="F934" i="1"/>
  <c r="G934" i="1"/>
  <c r="AE934" i="1" s="1"/>
  <c r="AG934" i="1" s="1"/>
  <c r="H934" i="1"/>
  <c r="I934" i="1"/>
  <c r="J934" i="1"/>
  <c r="K934" i="1"/>
  <c r="L934" i="1"/>
  <c r="M934" i="1"/>
  <c r="N934" i="1"/>
  <c r="O934" i="1"/>
  <c r="P934" i="1"/>
  <c r="Q934" i="1"/>
  <c r="R934" i="1"/>
  <c r="A935" i="1"/>
  <c r="B935" i="1"/>
  <c r="C935" i="1"/>
  <c r="D935" i="1"/>
  <c r="E935" i="1"/>
  <c r="F935" i="1"/>
  <c r="G935" i="1"/>
  <c r="AE935" i="1" s="1"/>
  <c r="AG935" i="1" s="1"/>
  <c r="H935" i="1"/>
  <c r="I935" i="1"/>
  <c r="J935" i="1"/>
  <c r="K935" i="1"/>
  <c r="L935" i="1"/>
  <c r="M935" i="1"/>
  <c r="N935" i="1"/>
  <c r="O935" i="1"/>
  <c r="P935" i="1"/>
  <c r="Q935" i="1"/>
  <c r="R935" i="1"/>
  <c r="A936" i="1"/>
  <c r="B936" i="1"/>
  <c r="C936" i="1"/>
  <c r="D936" i="1"/>
  <c r="E936" i="1"/>
  <c r="F936" i="1"/>
  <c r="G936" i="1"/>
  <c r="AE936" i="1" s="1"/>
  <c r="AG936" i="1" s="1"/>
  <c r="H936" i="1"/>
  <c r="I936" i="1"/>
  <c r="J936" i="1"/>
  <c r="K936" i="1"/>
  <c r="L936" i="1"/>
  <c r="M936" i="1"/>
  <c r="N936" i="1"/>
  <c r="O936" i="1"/>
  <c r="P936" i="1"/>
  <c r="Q936" i="1"/>
  <c r="R936" i="1"/>
  <c r="A937" i="1"/>
  <c r="B937" i="1"/>
  <c r="C937" i="1"/>
  <c r="D937" i="1"/>
  <c r="E937" i="1"/>
  <c r="F937" i="1"/>
  <c r="G937" i="1"/>
  <c r="AE937" i="1" s="1"/>
  <c r="AG937" i="1" s="1"/>
  <c r="H937" i="1"/>
  <c r="I937" i="1"/>
  <c r="J937" i="1"/>
  <c r="K937" i="1"/>
  <c r="L937" i="1"/>
  <c r="M937" i="1"/>
  <c r="N937" i="1"/>
  <c r="O937" i="1"/>
  <c r="P937" i="1"/>
  <c r="Q937" i="1"/>
  <c r="R937" i="1"/>
  <c r="A938" i="1"/>
  <c r="B938" i="1"/>
  <c r="C938" i="1"/>
  <c r="D938" i="1"/>
  <c r="E938" i="1"/>
  <c r="F938" i="1"/>
  <c r="G938" i="1"/>
  <c r="AE938" i="1" s="1"/>
  <c r="AG938" i="1" s="1"/>
  <c r="H938" i="1"/>
  <c r="I938" i="1"/>
  <c r="J938" i="1"/>
  <c r="K938" i="1"/>
  <c r="L938" i="1"/>
  <c r="M938" i="1"/>
  <c r="N938" i="1"/>
  <c r="O938" i="1"/>
  <c r="P938" i="1"/>
  <c r="Q938" i="1"/>
  <c r="R938" i="1"/>
  <c r="T938" i="1" s="1"/>
  <c r="A939" i="1"/>
  <c r="B939" i="1"/>
  <c r="C939" i="1"/>
  <c r="D939" i="1"/>
  <c r="E939" i="1"/>
  <c r="F939" i="1"/>
  <c r="G939" i="1"/>
  <c r="AE939" i="1" s="1"/>
  <c r="AG939" i="1" s="1"/>
  <c r="H939" i="1"/>
  <c r="I939" i="1"/>
  <c r="J939" i="1"/>
  <c r="K939" i="1"/>
  <c r="L939" i="1"/>
  <c r="M939" i="1"/>
  <c r="N939" i="1"/>
  <c r="O939" i="1"/>
  <c r="P939" i="1"/>
  <c r="Q939" i="1"/>
  <c r="R939" i="1"/>
  <c r="T939" i="1" s="1"/>
  <c r="A940" i="1"/>
  <c r="B940" i="1"/>
  <c r="C940" i="1"/>
  <c r="D940" i="1"/>
  <c r="E940" i="1"/>
  <c r="F940" i="1"/>
  <c r="G940" i="1"/>
  <c r="AE940" i="1" s="1"/>
  <c r="AG940" i="1" s="1"/>
  <c r="H940" i="1"/>
  <c r="I940" i="1"/>
  <c r="J940" i="1"/>
  <c r="K940" i="1"/>
  <c r="L940" i="1"/>
  <c r="M940" i="1"/>
  <c r="N940" i="1"/>
  <c r="O940" i="1"/>
  <c r="P940" i="1"/>
  <c r="Q940" i="1"/>
  <c r="R940" i="1"/>
  <c r="A941" i="1"/>
  <c r="B941" i="1"/>
  <c r="C941" i="1"/>
  <c r="D941" i="1"/>
  <c r="E941" i="1"/>
  <c r="F941" i="1"/>
  <c r="G941" i="1"/>
  <c r="AE941" i="1" s="1"/>
  <c r="AG941" i="1" s="1"/>
  <c r="H941" i="1"/>
  <c r="I941" i="1"/>
  <c r="J941" i="1"/>
  <c r="K941" i="1"/>
  <c r="L941" i="1"/>
  <c r="M941" i="1"/>
  <c r="N941" i="1"/>
  <c r="O941" i="1"/>
  <c r="P941" i="1"/>
  <c r="Q941" i="1"/>
  <c r="R941" i="1"/>
  <c r="W941" i="1" s="1"/>
  <c r="A942" i="1"/>
  <c r="B942" i="1"/>
  <c r="C942" i="1"/>
  <c r="D942" i="1"/>
  <c r="E942" i="1"/>
  <c r="F942" i="1"/>
  <c r="G942" i="1"/>
  <c r="AE942" i="1" s="1"/>
  <c r="AG942" i="1" s="1"/>
  <c r="H942" i="1"/>
  <c r="I942" i="1"/>
  <c r="J942" i="1"/>
  <c r="K942" i="1"/>
  <c r="L942" i="1"/>
  <c r="M942" i="1"/>
  <c r="N942" i="1"/>
  <c r="O942" i="1"/>
  <c r="P942" i="1"/>
  <c r="Q942" i="1"/>
  <c r="R942" i="1"/>
  <c r="T942" i="1" s="1"/>
  <c r="A943" i="1"/>
  <c r="B943" i="1"/>
  <c r="C943" i="1"/>
  <c r="D943" i="1"/>
  <c r="E943" i="1"/>
  <c r="F943" i="1"/>
  <c r="Z943" i="1" s="1"/>
  <c r="G943" i="1"/>
  <c r="AE943" i="1" s="1"/>
  <c r="AG943" i="1" s="1"/>
  <c r="H943" i="1"/>
  <c r="I943" i="1"/>
  <c r="J943" i="1"/>
  <c r="K943" i="1"/>
  <c r="L943" i="1"/>
  <c r="M943" i="1"/>
  <c r="N943" i="1"/>
  <c r="O943" i="1"/>
  <c r="P943" i="1"/>
  <c r="Q943" i="1"/>
  <c r="R943" i="1"/>
  <c r="W943" i="1" s="1"/>
  <c r="A944" i="1"/>
  <c r="B944" i="1"/>
  <c r="C944" i="1"/>
  <c r="D944" i="1"/>
  <c r="E944" i="1"/>
  <c r="F944" i="1"/>
  <c r="Z944" i="1" s="1"/>
  <c r="G944" i="1"/>
  <c r="AE944" i="1" s="1"/>
  <c r="AG944" i="1" s="1"/>
  <c r="H944" i="1"/>
  <c r="I944" i="1"/>
  <c r="J944" i="1"/>
  <c r="K944" i="1"/>
  <c r="L944" i="1"/>
  <c r="M944" i="1"/>
  <c r="N944" i="1"/>
  <c r="O944" i="1"/>
  <c r="P944" i="1"/>
  <c r="Q944" i="1"/>
  <c r="R944" i="1"/>
  <c r="W944" i="1" s="1"/>
  <c r="A945" i="1"/>
  <c r="B945" i="1"/>
  <c r="C945" i="1"/>
  <c r="D945" i="1"/>
  <c r="E945" i="1"/>
  <c r="F945" i="1"/>
  <c r="G945" i="1"/>
  <c r="AE945" i="1" s="1"/>
  <c r="AG945" i="1" s="1"/>
  <c r="H945" i="1"/>
  <c r="I945" i="1"/>
  <c r="J945" i="1"/>
  <c r="K945" i="1"/>
  <c r="L945" i="1"/>
  <c r="M945" i="1"/>
  <c r="N945" i="1"/>
  <c r="O945" i="1"/>
  <c r="P945" i="1"/>
  <c r="Q945" i="1"/>
  <c r="R945" i="1"/>
  <c r="A946" i="1"/>
  <c r="B946" i="1"/>
  <c r="C946" i="1"/>
  <c r="D946" i="1"/>
  <c r="E946" i="1"/>
  <c r="F946" i="1"/>
  <c r="G946" i="1"/>
  <c r="AE946" i="1" s="1"/>
  <c r="AG946" i="1" s="1"/>
  <c r="H946" i="1"/>
  <c r="I946" i="1"/>
  <c r="J946" i="1"/>
  <c r="K946" i="1"/>
  <c r="L946" i="1"/>
  <c r="M946" i="1"/>
  <c r="N946" i="1"/>
  <c r="O946" i="1"/>
  <c r="P946" i="1"/>
  <c r="Q946" i="1"/>
  <c r="R946" i="1"/>
  <c r="A947" i="1"/>
  <c r="B947" i="1"/>
  <c r="C947" i="1"/>
  <c r="D947" i="1"/>
  <c r="E947" i="1"/>
  <c r="F947" i="1"/>
  <c r="G947" i="1"/>
  <c r="AE947" i="1" s="1"/>
  <c r="AG947" i="1" s="1"/>
  <c r="H947" i="1"/>
  <c r="I947" i="1"/>
  <c r="J947" i="1"/>
  <c r="K947" i="1"/>
  <c r="L947" i="1"/>
  <c r="M947" i="1"/>
  <c r="N947" i="1"/>
  <c r="O947" i="1"/>
  <c r="P947" i="1"/>
  <c r="Q947" i="1"/>
  <c r="R947" i="1"/>
  <c r="A948" i="1"/>
  <c r="B948" i="1"/>
  <c r="C948" i="1"/>
  <c r="D948" i="1"/>
  <c r="E948" i="1"/>
  <c r="F948" i="1"/>
  <c r="G948" i="1"/>
  <c r="AE948" i="1" s="1"/>
  <c r="AG948" i="1" s="1"/>
  <c r="H948" i="1"/>
  <c r="I948" i="1"/>
  <c r="J948" i="1"/>
  <c r="K948" i="1"/>
  <c r="L948" i="1"/>
  <c r="M948" i="1"/>
  <c r="N948" i="1"/>
  <c r="O948" i="1"/>
  <c r="P948" i="1"/>
  <c r="Q948" i="1"/>
  <c r="R948" i="1"/>
  <c r="A949" i="1"/>
  <c r="B949" i="1"/>
  <c r="C949" i="1"/>
  <c r="D949" i="1"/>
  <c r="E949" i="1"/>
  <c r="F949" i="1"/>
  <c r="Z949" i="1" s="1"/>
  <c r="G949" i="1"/>
  <c r="H949" i="1"/>
  <c r="I949" i="1"/>
  <c r="J949" i="1"/>
  <c r="K949" i="1"/>
  <c r="L949" i="1"/>
  <c r="M949" i="1"/>
  <c r="N949" i="1"/>
  <c r="O949" i="1"/>
  <c r="P949" i="1"/>
  <c r="Q949" i="1"/>
  <c r="R949" i="1"/>
  <c r="A950" i="1"/>
  <c r="B950" i="1"/>
  <c r="C950" i="1"/>
  <c r="D950" i="1"/>
  <c r="E950" i="1"/>
  <c r="F950" i="1"/>
  <c r="G950" i="1"/>
  <c r="AE950" i="1" s="1"/>
  <c r="AG950" i="1" s="1"/>
  <c r="H950" i="1"/>
  <c r="I950" i="1"/>
  <c r="J950" i="1"/>
  <c r="K950" i="1"/>
  <c r="L950" i="1"/>
  <c r="M950" i="1"/>
  <c r="N950" i="1"/>
  <c r="O950" i="1"/>
  <c r="P950" i="1"/>
  <c r="Q950" i="1"/>
  <c r="R950" i="1"/>
  <c r="A951" i="1"/>
  <c r="B951" i="1"/>
  <c r="C951" i="1"/>
  <c r="D951" i="1"/>
  <c r="E951" i="1"/>
  <c r="F951" i="1"/>
  <c r="G951" i="1"/>
  <c r="AE951" i="1" s="1"/>
  <c r="AG951" i="1" s="1"/>
  <c r="H951" i="1"/>
  <c r="I951" i="1"/>
  <c r="J951" i="1"/>
  <c r="K951" i="1"/>
  <c r="L951" i="1"/>
  <c r="M951" i="1"/>
  <c r="N951" i="1"/>
  <c r="O951" i="1"/>
  <c r="P951" i="1"/>
  <c r="Q951" i="1"/>
  <c r="R951" i="1"/>
  <c r="T951" i="1" s="1"/>
  <c r="A952" i="1"/>
  <c r="B952" i="1"/>
  <c r="C952" i="1"/>
  <c r="D952" i="1"/>
  <c r="E952" i="1"/>
  <c r="F952" i="1"/>
  <c r="G952" i="1"/>
  <c r="AE952" i="1" s="1"/>
  <c r="AG952" i="1" s="1"/>
  <c r="H952" i="1"/>
  <c r="I952" i="1"/>
  <c r="J952" i="1"/>
  <c r="K952" i="1"/>
  <c r="L952" i="1"/>
  <c r="M952" i="1"/>
  <c r="N952" i="1"/>
  <c r="O952" i="1"/>
  <c r="P952" i="1"/>
  <c r="Q952" i="1"/>
  <c r="R952" i="1"/>
  <c r="T952" i="1" s="1"/>
  <c r="A953" i="1"/>
  <c r="B953" i="1"/>
  <c r="C953" i="1"/>
  <c r="D953" i="1"/>
  <c r="E953" i="1"/>
  <c r="F953" i="1"/>
  <c r="G953" i="1"/>
  <c r="AE953" i="1" s="1"/>
  <c r="AG953" i="1" s="1"/>
  <c r="H953" i="1"/>
  <c r="I953" i="1"/>
  <c r="J953" i="1"/>
  <c r="K953" i="1"/>
  <c r="L953" i="1"/>
  <c r="M953" i="1"/>
  <c r="N953" i="1"/>
  <c r="O953" i="1"/>
  <c r="P953" i="1"/>
  <c r="Q953" i="1"/>
  <c r="R953" i="1"/>
  <c r="A954" i="1"/>
  <c r="B954" i="1"/>
  <c r="C954" i="1"/>
  <c r="D954" i="1"/>
  <c r="E954" i="1"/>
  <c r="F954" i="1"/>
  <c r="G954" i="1"/>
  <c r="AE954" i="1" s="1"/>
  <c r="AG954" i="1" s="1"/>
  <c r="H954" i="1"/>
  <c r="I954" i="1"/>
  <c r="J954" i="1"/>
  <c r="K954" i="1"/>
  <c r="L954" i="1"/>
  <c r="M954" i="1"/>
  <c r="N954" i="1"/>
  <c r="O954" i="1"/>
  <c r="P954" i="1"/>
  <c r="Q954" i="1"/>
  <c r="R954" i="1"/>
  <c r="A955" i="1"/>
  <c r="B955" i="1"/>
  <c r="C955" i="1"/>
  <c r="D955" i="1"/>
  <c r="E955" i="1"/>
  <c r="F955" i="1"/>
  <c r="Z955" i="1" s="1"/>
  <c r="G955" i="1"/>
  <c r="AE955" i="1" s="1"/>
  <c r="AG955" i="1" s="1"/>
  <c r="H955" i="1"/>
  <c r="I955" i="1"/>
  <c r="J955" i="1"/>
  <c r="K955" i="1"/>
  <c r="L955" i="1"/>
  <c r="M955" i="1"/>
  <c r="N955" i="1"/>
  <c r="O955" i="1"/>
  <c r="P955" i="1"/>
  <c r="Q955" i="1"/>
  <c r="R955" i="1"/>
  <c r="T955" i="1" s="1"/>
  <c r="A956" i="1"/>
  <c r="B956" i="1"/>
  <c r="C956" i="1"/>
  <c r="D956" i="1"/>
  <c r="E956" i="1"/>
  <c r="F956" i="1"/>
  <c r="G956" i="1"/>
  <c r="AE956" i="1" s="1"/>
  <c r="AG956" i="1" s="1"/>
  <c r="H956" i="1"/>
  <c r="I956" i="1"/>
  <c r="J956" i="1"/>
  <c r="K956" i="1"/>
  <c r="L956" i="1"/>
  <c r="M956" i="1"/>
  <c r="N956" i="1"/>
  <c r="O956" i="1"/>
  <c r="P956" i="1"/>
  <c r="Q956" i="1"/>
  <c r="R956" i="1"/>
  <c r="A957" i="1"/>
  <c r="B957" i="1"/>
  <c r="C957" i="1"/>
  <c r="D957" i="1"/>
  <c r="E957" i="1"/>
  <c r="F957" i="1"/>
  <c r="Z957" i="1" s="1"/>
  <c r="G957" i="1"/>
  <c r="AE957" i="1" s="1"/>
  <c r="AG957" i="1" s="1"/>
  <c r="H957" i="1"/>
  <c r="I957" i="1"/>
  <c r="J957" i="1"/>
  <c r="K957" i="1"/>
  <c r="L957" i="1"/>
  <c r="M957" i="1"/>
  <c r="N957" i="1"/>
  <c r="O957" i="1"/>
  <c r="P957" i="1"/>
  <c r="Q957" i="1"/>
  <c r="R957" i="1"/>
  <c r="T957" i="1" s="1"/>
  <c r="A958" i="1"/>
  <c r="B958" i="1"/>
  <c r="C958" i="1"/>
  <c r="D958" i="1"/>
  <c r="E958" i="1"/>
  <c r="F958" i="1"/>
  <c r="G958" i="1"/>
  <c r="AE958" i="1" s="1"/>
  <c r="AG958" i="1" s="1"/>
  <c r="H958" i="1"/>
  <c r="I958" i="1"/>
  <c r="J958" i="1"/>
  <c r="K958" i="1"/>
  <c r="L958" i="1"/>
  <c r="M958" i="1"/>
  <c r="N958" i="1"/>
  <c r="O958" i="1"/>
  <c r="P958" i="1"/>
  <c r="Q958" i="1"/>
  <c r="R958" i="1"/>
  <c r="U958" i="1" s="1"/>
  <c r="A959" i="1"/>
  <c r="B959" i="1"/>
  <c r="C959" i="1"/>
  <c r="D959" i="1"/>
  <c r="E959" i="1"/>
  <c r="F959" i="1"/>
  <c r="G959" i="1"/>
  <c r="AE959" i="1" s="1"/>
  <c r="AG959" i="1" s="1"/>
  <c r="H959" i="1"/>
  <c r="I959" i="1"/>
  <c r="J959" i="1"/>
  <c r="K959" i="1"/>
  <c r="L959" i="1"/>
  <c r="M959" i="1"/>
  <c r="N959" i="1"/>
  <c r="O959" i="1"/>
  <c r="P959" i="1"/>
  <c r="Q959" i="1"/>
  <c r="R959" i="1"/>
  <c r="W959" i="1" s="1"/>
  <c r="A960" i="1"/>
  <c r="B960" i="1"/>
  <c r="C960" i="1"/>
  <c r="D960" i="1"/>
  <c r="E960" i="1"/>
  <c r="F960" i="1"/>
  <c r="Z960" i="1" s="1"/>
  <c r="G960" i="1"/>
  <c r="AE960" i="1" s="1"/>
  <c r="AG960" i="1" s="1"/>
  <c r="H960" i="1"/>
  <c r="I960" i="1"/>
  <c r="J960" i="1"/>
  <c r="K960" i="1"/>
  <c r="L960" i="1"/>
  <c r="M960" i="1"/>
  <c r="N960" i="1"/>
  <c r="O960" i="1"/>
  <c r="P960" i="1"/>
  <c r="Q960" i="1"/>
  <c r="R960" i="1"/>
  <c r="W960" i="1" s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T261" i="1" s="1"/>
  <c r="A961" i="1"/>
  <c r="B961" i="1"/>
  <c r="C961" i="1"/>
  <c r="D961" i="1"/>
  <c r="E961" i="1"/>
  <c r="F961" i="1"/>
  <c r="G961" i="1"/>
  <c r="AE961" i="1" s="1"/>
  <c r="AG961" i="1" s="1"/>
  <c r="H961" i="1"/>
  <c r="I961" i="1"/>
  <c r="J961" i="1"/>
  <c r="K961" i="1"/>
  <c r="L961" i="1"/>
  <c r="M961" i="1"/>
  <c r="N961" i="1"/>
  <c r="O961" i="1"/>
  <c r="P961" i="1"/>
  <c r="Q961" i="1"/>
  <c r="R961" i="1"/>
  <c r="A962" i="1"/>
  <c r="B962" i="1"/>
  <c r="C962" i="1"/>
  <c r="D962" i="1"/>
  <c r="E962" i="1"/>
  <c r="F962" i="1"/>
  <c r="G962" i="1"/>
  <c r="AE962" i="1" s="1"/>
  <c r="AG962" i="1" s="1"/>
  <c r="H962" i="1"/>
  <c r="I962" i="1"/>
  <c r="J962" i="1"/>
  <c r="K962" i="1"/>
  <c r="L962" i="1"/>
  <c r="M962" i="1"/>
  <c r="N962" i="1"/>
  <c r="O962" i="1"/>
  <c r="P962" i="1"/>
  <c r="Q962" i="1"/>
  <c r="R962" i="1"/>
  <c r="A963" i="1"/>
  <c r="B963" i="1"/>
  <c r="C963" i="1"/>
  <c r="D963" i="1"/>
  <c r="E963" i="1"/>
  <c r="F963" i="1"/>
  <c r="G963" i="1"/>
  <c r="AE963" i="1" s="1"/>
  <c r="AG963" i="1" s="1"/>
  <c r="H963" i="1"/>
  <c r="I963" i="1"/>
  <c r="J963" i="1"/>
  <c r="K963" i="1"/>
  <c r="L963" i="1"/>
  <c r="M963" i="1"/>
  <c r="N963" i="1"/>
  <c r="O963" i="1"/>
  <c r="P963" i="1"/>
  <c r="Q963" i="1"/>
  <c r="R963" i="1"/>
  <c r="A964" i="1"/>
  <c r="B964" i="1"/>
  <c r="C964" i="1"/>
  <c r="D964" i="1"/>
  <c r="E964" i="1"/>
  <c r="F964" i="1"/>
  <c r="Z964" i="1" s="1"/>
  <c r="G964" i="1"/>
  <c r="AE964" i="1" s="1"/>
  <c r="AG964" i="1" s="1"/>
  <c r="H964" i="1"/>
  <c r="I964" i="1"/>
  <c r="J964" i="1"/>
  <c r="K964" i="1"/>
  <c r="L964" i="1"/>
  <c r="M964" i="1"/>
  <c r="N964" i="1"/>
  <c r="O964" i="1"/>
  <c r="P964" i="1"/>
  <c r="Q964" i="1"/>
  <c r="R964" i="1"/>
  <c r="U964" i="1" s="1"/>
  <c r="A267" i="1"/>
  <c r="B267" i="1"/>
  <c r="C267" i="1"/>
  <c r="D267" i="1"/>
  <c r="E267" i="1"/>
  <c r="F267" i="1"/>
  <c r="Z267" i="1" s="1"/>
  <c r="G267" i="1"/>
  <c r="H267" i="1"/>
  <c r="I267" i="1"/>
  <c r="J267" i="1"/>
  <c r="K267" i="1"/>
  <c r="L267" i="1"/>
  <c r="M267" i="1"/>
  <c r="N267" i="1"/>
  <c r="O267" i="1"/>
  <c r="P267" i="1"/>
  <c r="Q267" i="1"/>
  <c r="R267" i="1"/>
  <c r="W267" i="1" s="1"/>
  <c r="A965" i="1"/>
  <c r="B965" i="1"/>
  <c r="C965" i="1"/>
  <c r="D965" i="1"/>
  <c r="E965" i="1"/>
  <c r="F965" i="1"/>
  <c r="G965" i="1"/>
  <c r="AE965" i="1" s="1"/>
  <c r="AG965" i="1" s="1"/>
  <c r="H965" i="1"/>
  <c r="I965" i="1"/>
  <c r="J965" i="1"/>
  <c r="K965" i="1"/>
  <c r="L965" i="1"/>
  <c r="M965" i="1"/>
  <c r="N965" i="1"/>
  <c r="O965" i="1"/>
  <c r="P965" i="1"/>
  <c r="Q965" i="1"/>
  <c r="R965" i="1"/>
  <c r="U965" i="1" s="1"/>
  <c r="A966" i="1"/>
  <c r="B966" i="1"/>
  <c r="C966" i="1"/>
  <c r="D966" i="1"/>
  <c r="E966" i="1"/>
  <c r="F966" i="1"/>
  <c r="Z966" i="1" s="1"/>
  <c r="G966" i="1"/>
  <c r="H966" i="1"/>
  <c r="I966" i="1"/>
  <c r="J966" i="1"/>
  <c r="K966" i="1"/>
  <c r="L966" i="1"/>
  <c r="M966" i="1"/>
  <c r="N966" i="1"/>
  <c r="O966" i="1"/>
  <c r="P966" i="1"/>
  <c r="Q966" i="1"/>
  <c r="R966" i="1"/>
  <c r="A967" i="1"/>
  <c r="B967" i="1"/>
  <c r="C967" i="1"/>
  <c r="D967" i="1"/>
  <c r="E967" i="1"/>
  <c r="F967" i="1"/>
  <c r="G967" i="1"/>
  <c r="AE967" i="1" s="1"/>
  <c r="AG967" i="1" s="1"/>
  <c r="H967" i="1"/>
  <c r="I967" i="1"/>
  <c r="J967" i="1"/>
  <c r="K967" i="1"/>
  <c r="L967" i="1"/>
  <c r="M967" i="1"/>
  <c r="N967" i="1"/>
  <c r="O967" i="1"/>
  <c r="P967" i="1"/>
  <c r="Q967" i="1"/>
  <c r="R967" i="1"/>
  <c r="A968" i="1"/>
  <c r="B968" i="1"/>
  <c r="C968" i="1"/>
  <c r="D968" i="1"/>
  <c r="E968" i="1"/>
  <c r="F968" i="1"/>
  <c r="G968" i="1"/>
  <c r="AE968" i="1" s="1"/>
  <c r="AG968" i="1" s="1"/>
  <c r="H968" i="1"/>
  <c r="I968" i="1"/>
  <c r="J968" i="1"/>
  <c r="K968" i="1"/>
  <c r="L968" i="1"/>
  <c r="M968" i="1"/>
  <c r="N968" i="1"/>
  <c r="O968" i="1"/>
  <c r="P968" i="1"/>
  <c r="Q968" i="1"/>
  <c r="R968" i="1"/>
  <c r="U968" i="1" s="1"/>
  <c r="X968" i="1" s="1"/>
  <c r="A969" i="1"/>
  <c r="B969" i="1"/>
  <c r="C969" i="1"/>
  <c r="D969" i="1"/>
  <c r="E969" i="1"/>
  <c r="F969" i="1"/>
  <c r="Z969" i="1" s="1"/>
  <c r="G969" i="1"/>
  <c r="AE969" i="1" s="1"/>
  <c r="AG969" i="1" s="1"/>
  <c r="H969" i="1"/>
  <c r="I969" i="1"/>
  <c r="J969" i="1"/>
  <c r="K969" i="1"/>
  <c r="L969" i="1"/>
  <c r="M969" i="1"/>
  <c r="N969" i="1"/>
  <c r="O969" i="1"/>
  <c r="P969" i="1"/>
  <c r="Q969" i="1"/>
  <c r="R969" i="1"/>
  <c r="T969" i="1" s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U539" i="1" s="1"/>
  <c r="A970" i="1"/>
  <c r="B970" i="1"/>
  <c r="C970" i="1"/>
  <c r="D970" i="1"/>
  <c r="E970" i="1"/>
  <c r="F970" i="1"/>
  <c r="Z970" i="1" s="1"/>
  <c r="G970" i="1"/>
  <c r="H970" i="1"/>
  <c r="I970" i="1"/>
  <c r="J970" i="1"/>
  <c r="K970" i="1"/>
  <c r="L970" i="1"/>
  <c r="M970" i="1"/>
  <c r="N970" i="1"/>
  <c r="O970" i="1"/>
  <c r="P970" i="1"/>
  <c r="Q970" i="1"/>
  <c r="R970" i="1"/>
  <c r="U970" i="1" s="1"/>
  <c r="A971" i="1"/>
  <c r="B971" i="1"/>
  <c r="C971" i="1"/>
  <c r="D971" i="1"/>
  <c r="E971" i="1"/>
  <c r="F971" i="1"/>
  <c r="G971" i="1"/>
  <c r="AE971" i="1" s="1"/>
  <c r="AG971" i="1" s="1"/>
  <c r="H971" i="1"/>
  <c r="I971" i="1"/>
  <c r="J971" i="1"/>
  <c r="K971" i="1"/>
  <c r="L971" i="1"/>
  <c r="M971" i="1"/>
  <c r="N971" i="1"/>
  <c r="O971" i="1"/>
  <c r="P971" i="1"/>
  <c r="Q971" i="1"/>
  <c r="R971" i="1"/>
  <c r="T971" i="1" s="1"/>
  <c r="A972" i="1"/>
  <c r="B972" i="1"/>
  <c r="C972" i="1"/>
  <c r="D972" i="1"/>
  <c r="E972" i="1"/>
  <c r="F972" i="1"/>
  <c r="G972" i="1"/>
  <c r="AE972" i="1" s="1"/>
  <c r="AG972" i="1" s="1"/>
  <c r="H972" i="1"/>
  <c r="I972" i="1"/>
  <c r="J972" i="1"/>
  <c r="K972" i="1"/>
  <c r="L972" i="1"/>
  <c r="M972" i="1"/>
  <c r="N972" i="1"/>
  <c r="O972" i="1"/>
  <c r="P972" i="1"/>
  <c r="Q972" i="1"/>
  <c r="R972" i="1"/>
  <c r="T972" i="1" s="1"/>
  <c r="A973" i="1"/>
  <c r="B973" i="1"/>
  <c r="C973" i="1"/>
  <c r="D973" i="1"/>
  <c r="E973" i="1"/>
  <c r="F973" i="1"/>
  <c r="Z973" i="1" s="1"/>
  <c r="G973" i="1"/>
  <c r="AE973" i="1" s="1"/>
  <c r="AG973" i="1" s="1"/>
  <c r="H973" i="1"/>
  <c r="I973" i="1"/>
  <c r="J973" i="1"/>
  <c r="K973" i="1"/>
  <c r="L973" i="1"/>
  <c r="M973" i="1"/>
  <c r="N973" i="1"/>
  <c r="O973" i="1"/>
  <c r="P973" i="1"/>
  <c r="Q973" i="1"/>
  <c r="R973" i="1"/>
  <c r="A974" i="1"/>
  <c r="B974" i="1"/>
  <c r="C974" i="1"/>
  <c r="D974" i="1"/>
  <c r="E974" i="1"/>
  <c r="F974" i="1"/>
  <c r="G974" i="1"/>
  <c r="AE974" i="1" s="1"/>
  <c r="AG974" i="1" s="1"/>
  <c r="H974" i="1"/>
  <c r="I974" i="1"/>
  <c r="J974" i="1"/>
  <c r="K974" i="1"/>
  <c r="L974" i="1"/>
  <c r="M974" i="1"/>
  <c r="N974" i="1"/>
  <c r="O974" i="1"/>
  <c r="P974" i="1"/>
  <c r="Q974" i="1"/>
  <c r="R974" i="1"/>
  <c r="A975" i="1"/>
  <c r="B975" i="1"/>
  <c r="C975" i="1"/>
  <c r="D975" i="1"/>
  <c r="E975" i="1"/>
  <c r="F975" i="1"/>
  <c r="G975" i="1"/>
  <c r="AE975" i="1" s="1"/>
  <c r="AG975" i="1" s="1"/>
  <c r="H975" i="1"/>
  <c r="I975" i="1"/>
  <c r="J975" i="1"/>
  <c r="K975" i="1"/>
  <c r="L975" i="1"/>
  <c r="M975" i="1"/>
  <c r="N975" i="1"/>
  <c r="O975" i="1"/>
  <c r="P975" i="1"/>
  <c r="Q975" i="1"/>
  <c r="R975" i="1"/>
  <c r="A976" i="1"/>
  <c r="B976" i="1"/>
  <c r="C976" i="1"/>
  <c r="D976" i="1"/>
  <c r="E976" i="1"/>
  <c r="F976" i="1"/>
  <c r="G976" i="1"/>
  <c r="AE976" i="1" s="1"/>
  <c r="AG976" i="1" s="1"/>
  <c r="H976" i="1"/>
  <c r="I976" i="1"/>
  <c r="J976" i="1"/>
  <c r="K976" i="1"/>
  <c r="L976" i="1"/>
  <c r="M976" i="1"/>
  <c r="N976" i="1"/>
  <c r="O976" i="1"/>
  <c r="P976" i="1"/>
  <c r="Q976" i="1"/>
  <c r="R976" i="1"/>
  <c r="T976" i="1" s="1"/>
  <c r="A977" i="1"/>
  <c r="B977" i="1"/>
  <c r="C977" i="1"/>
  <c r="D977" i="1"/>
  <c r="E977" i="1"/>
  <c r="F977" i="1"/>
  <c r="G977" i="1"/>
  <c r="AE977" i="1" s="1"/>
  <c r="AG977" i="1" s="1"/>
  <c r="H977" i="1"/>
  <c r="I977" i="1"/>
  <c r="J977" i="1"/>
  <c r="K977" i="1"/>
  <c r="L977" i="1"/>
  <c r="M977" i="1"/>
  <c r="N977" i="1"/>
  <c r="O977" i="1"/>
  <c r="P977" i="1"/>
  <c r="Q977" i="1"/>
  <c r="R977" i="1"/>
  <c r="A978" i="1"/>
  <c r="B978" i="1"/>
  <c r="C978" i="1"/>
  <c r="D978" i="1"/>
  <c r="E978" i="1"/>
  <c r="F978" i="1"/>
  <c r="Z978" i="1" s="1"/>
  <c r="G978" i="1"/>
  <c r="AE978" i="1" s="1"/>
  <c r="AG978" i="1" s="1"/>
  <c r="H978" i="1"/>
  <c r="I978" i="1"/>
  <c r="J978" i="1"/>
  <c r="K978" i="1"/>
  <c r="L978" i="1"/>
  <c r="M978" i="1"/>
  <c r="N978" i="1"/>
  <c r="O978" i="1"/>
  <c r="P978" i="1"/>
  <c r="Q978" i="1"/>
  <c r="R978" i="1"/>
  <c r="A979" i="1"/>
  <c r="B979" i="1"/>
  <c r="C979" i="1"/>
  <c r="D979" i="1"/>
  <c r="E979" i="1"/>
  <c r="F979" i="1"/>
  <c r="G979" i="1"/>
  <c r="AE979" i="1" s="1"/>
  <c r="AG979" i="1" s="1"/>
  <c r="H979" i="1"/>
  <c r="I979" i="1"/>
  <c r="J979" i="1"/>
  <c r="K979" i="1"/>
  <c r="L979" i="1"/>
  <c r="M979" i="1"/>
  <c r="N979" i="1"/>
  <c r="O979" i="1"/>
  <c r="P979" i="1"/>
  <c r="Q979" i="1"/>
  <c r="R979" i="1"/>
  <c r="W979" i="1" s="1"/>
  <c r="A980" i="1"/>
  <c r="B980" i="1"/>
  <c r="C980" i="1"/>
  <c r="D980" i="1"/>
  <c r="E980" i="1"/>
  <c r="F980" i="1"/>
  <c r="G980" i="1"/>
  <c r="AE980" i="1" s="1"/>
  <c r="AG980" i="1" s="1"/>
  <c r="H980" i="1"/>
  <c r="I980" i="1"/>
  <c r="J980" i="1"/>
  <c r="K980" i="1"/>
  <c r="L980" i="1"/>
  <c r="M980" i="1"/>
  <c r="N980" i="1"/>
  <c r="O980" i="1"/>
  <c r="P980" i="1"/>
  <c r="Q980" i="1"/>
  <c r="R980" i="1"/>
  <c r="A981" i="1"/>
  <c r="B981" i="1"/>
  <c r="C981" i="1"/>
  <c r="D981" i="1"/>
  <c r="E981" i="1"/>
  <c r="F981" i="1"/>
  <c r="G981" i="1"/>
  <c r="AE981" i="1" s="1"/>
  <c r="AG981" i="1" s="1"/>
  <c r="H981" i="1"/>
  <c r="I981" i="1"/>
  <c r="J981" i="1"/>
  <c r="K981" i="1"/>
  <c r="L981" i="1"/>
  <c r="M981" i="1"/>
  <c r="N981" i="1"/>
  <c r="O981" i="1"/>
  <c r="P981" i="1"/>
  <c r="Q981" i="1"/>
  <c r="R981" i="1"/>
  <c r="U981" i="1" s="1"/>
  <c r="A982" i="1"/>
  <c r="B982" i="1"/>
  <c r="C982" i="1"/>
  <c r="D982" i="1"/>
  <c r="E982" i="1"/>
  <c r="F982" i="1"/>
  <c r="G982" i="1"/>
  <c r="AE982" i="1" s="1"/>
  <c r="AG982" i="1" s="1"/>
  <c r="H982" i="1"/>
  <c r="I982" i="1"/>
  <c r="J982" i="1"/>
  <c r="K982" i="1"/>
  <c r="L982" i="1"/>
  <c r="M982" i="1"/>
  <c r="N982" i="1"/>
  <c r="O982" i="1"/>
  <c r="P982" i="1"/>
  <c r="Q982" i="1"/>
  <c r="R982" i="1"/>
  <c r="A983" i="1"/>
  <c r="B983" i="1"/>
  <c r="C983" i="1"/>
  <c r="D983" i="1"/>
  <c r="E983" i="1"/>
  <c r="F983" i="1"/>
  <c r="G983" i="1"/>
  <c r="AE983" i="1" s="1"/>
  <c r="AG983" i="1" s="1"/>
  <c r="H983" i="1"/>
  <c r="I983" i="1"/>
  <c r="J983" i="1"/>
  <c r="K983" i="1"/>
  <c r="L983" i="1"/>
  <c r="M983" i="1"/>
  <c r="N983" i="1"/>
  <c r="O983" i="1"/>
  <c r="P983" i="1"/>
  <c r="Q983" i="1"/>
  <c r="R983" i="1"/>
  <c r="U983" i="1" s="1"/>
  <c r="A984" i="1"/>
  <c r="B984" i="1"/>
  <c r="C984" i="1"/>
  <c r="D984" i="1"/>
  <c r="E984" i="1"/>
  <c r="F984" i="1"/>
  <c r="G984" i="1"/>
  <c r="AE984" i="1" s="1"/>
  <c r="AG984" i="1" s="1"/>
  <c r="H984" i="1"/>
  <c r="I984" i="1"/>
  <c r="J984" i="1"/>
  <c r="K984" i="1"/>
  <c r="L984" i="1"/>
  <c r="M984" i="1"/>
  <c r="N984" i="1"/>
  <c r="O984" i="1"/>
  <c r="P984" i="1"/>
  <c r="Q984" i="1"/>
  <c r="R984" i="1"/>
  <c r="A985" i="1"/>
  <c r="B985" i="1"/>
  <c r="C985" i="1"/>
  <c r="D985" i="1"/>
  <c r="E985" i="1"/>
  <c r="F985" i="1"/>
  <c r="G985" i="1"/>
  <c r="AE985" i="1" s="1"/>
  <c r="AG985" i="1" s="1"/>
  <c r="H985" i="1"/>
  <c r="I985" i="1"/>
  <c r="J985" i="1"/>
  <c r="K985" i="1"/>
  <c r="L985" i="1"/>
  <c r="M985" i="1"/>
  <c r="N985" i="1"/>
  <c r="O985" i="1"/>
  <c r="P985" i="1"/>
  <c r="Q985" i="1"/>
  <c r="R985" i="1"/>
  <c r="A986" i="1"/>
  <c r="B986" i="1"/>
  <c r="C986" i="1"/>
  <c r="D986" i="1"/>
  <c r="E986" i="1"/>
  <c r="F986" i="1"/>
  <c r="Z986" i="1" s="1"/>
  <c r="G986" i="1"/>
  <c r="H986" i="1"/>
  <c r="I986" i="1"/>
  <c r="J986" i="1"/>
  <c r="K986" i="1"/>
  <c r="L986" i="1"/>
  <c r="M986" i="1"/>
  <c r="N986" i="1"/>
  <c r="O986" i="1"/>
  <c r="P986" i="1"/>
  <c r="Q986" i="1"/>
  <c r="R986" i="1"/>
  <c r="A987" i="1"/>
  <c r="B987" i="1"/>
  <c r="C987" i="1"/>
  <c r="D987" i="1"/>
  <c r="E987" i="1"/>
  <c r="F987" i="1"/>
  <c r="G987" i="1"/>
  <c r="AE987" i="1" s="1"/>
  <c r="AG987" i="1" s="1"/>
  <c r="H987" i="1"/>
  <c r="I987" i="1"/>
  <c r="J987" i="1"/>
  <c r="K987" i="1"/>
  <c r="L987" i="1"/>
  <c r="M987" i="1"/>
  <c r="N987" i="1"/>
  <c r="O987" i="1"/>
  <c r="P987" i="1"/>
  <c r="Q987" i="1"/>
  <c r="R987" i="1"/>
  <c r="A988" i="1"/>
  <c r="B988" i="1"/>
  <c r="C988" i="1"/>
  <c r="D988" i="1"/>
  <c r="E988" i="1"/>
  <c r="F988" i="1"/>
  <c r="G988" i="1"/>
  <c r="AE988" i="1" s="1"/>
  <c r="AG988" i="1" s="1"/>
  <c r="H988" i="1"/>
  <c r="I988" i="1"/>
  <c r="J988" i="1"/>
  <c r="K988" i="1"/>
  <c r="L988" i="1"/>
  <c r="M988" i="1"/>
  <c r="N988" i="1"/>
  <c r="O988" i="1"/>
  <c r="P988" i="1"/>
  <c r="Q988" i="1"/>
  <c r="R988" i="1"/>
  <c r="A989" i="1"/>
  <c r="B989" i="1"/>
  <c r="C989" i="1"/>
  <c r="D989" i="1"/>
  <c r="E989" i="1"/>
  <c r="F989" i="1"/>
  <c r="Z989" i="1" s="1"/>
  <c r="G989" i="1"/>
  <c r="AE989" i="1" s="1"/>
  <c r="AG989" i="1" s="1"/>
  <c r="H989" i="1"/>
  <c r="I989" i="1"/>
  <c r="J989" i="1"/>
  <c r="K989" i="1"/>
  <c r="L989" i="1"/>
  <c r="M989" i="1"/>
  <c r="N989" i="1"/>
  <c r="O989" i="1"/>
  <c r="P989" i="1"/>
  <c r="Q989" i="1"/>
  <c r="R989" i="1"/>
  <c r="A990" i="1"/>
  <c r="B990" i="1"/>
  <c r="C990" i="1"/>
  <c r="D990" i="1"/>
  <c r="E990" i="1"/>
  <c r="F990" i="1"/>
  <c r="Z990" i="1" s="1"/>
  <c r="G990" i="1"/>
  <c r="AE990" i="1" s="1"/>
  <c r="AG990" i="1" s="1"/>
  <c r="H990" i="1"/>
  <c r="I990" i="1"/>
  <c r="J990" i="1"/>
  <c r="K990" i="1"/>
  <c r="L990" i="1"/>
  <c r="M990" i="1"/>
  <c r="N990" i="1"/>
  <c r="O990" i="1"/>
  <c r="P990" i="1"/>
  <c r="Q990" i="1"/>
  <c r="R990" i="1"/>
  <c r="W990" i="1" s="1"/>
  <c r="A991" i="1"/>
  <c r="B991" i="1"/>
  <c r="C991" i="1"/>
  <c r="D991" i="1"/>
  <c r="E991" i="1"/>
  <c r="F991" i="1"/>
  <c r="Z991" i="1" s="1"/>
  <c r="G991" i="1"/>
  <c r="H991" i="1"/>
  <c r="I991" i="1"/>
  <c r="J991" i="1"/>
  <c r="K991" i="1"/>
  <c r="L991" i="1"/>
  <c r="M991" i="1"/>
  <c r="N991" i="1"/>
  <c r="O991" i="1"/>
  <c r="P991" i="1"/>
  <c r="Q991" i="1"/>
  <c r="R991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U1658" i="1" s="1"/>
  <c r="A992" i="1"/>
  <c r="B992" i="1"/>
  <c r="C992" i="1"/>
  <c r="D992" i="1"/>
  <c r="E992" i="1"/>
  <c r="F992" i="1"/>
  <c r="G992" i="1"/>
  <c r="AE992" i="1" s="1"/>
  <c r="AG992" i="1" s="1"/>
  <c r="H992" i="1"/>
  <c r="I992" i="1"/>
  <c r="J992" i="1"/>
  <c r="K992" i="1"/>
  <c r="L992" i="1"/>
  <c r="M992" i="1"/>
  <c r="N992" i="1"/>
  <c r="O992" i="1"/>
  <c r="P992" i="1"/>
  <c r="Q992" i="1"/>
  <c r="R992" i="1"/>
  <c r="U992" i="1" s="1"/>
  <c r="V992" i="1" s="1"/>
  <c r="A993" i="1"/>
  <c r="B993" i="1"/>
  <c r="C993" i="1"/>
  <c r="D993" i="1"/>
  <c r="E993" i="1"/>
  <c r="F993" i="1"/>
  <c r="Z993" i="1" s="1"/>
  <c r="G993" i="1"/>
  <c r="AE993" i="1" s="1"/>
  <c r="AG993" i="1" s="1"/>
  <c r="H993" i="1"/>
  <c r="I993" i="1"/>
  <c r="J993" i="1"/>
  <c r="K993" i="1"/>
  <c r="L993" i="1"/>
  <c r="M993" i="1"/>
  <c r="N993" i="1"/>
  <c r="O993" i="1"/>
  <c r="P993" i="1"/>
  <c r="Q993" i="1"/>
  <c r="R993" i="1"/>
  <c r="A994" i="1"/>
  <c r="B994" i="1"/>
  <c r="C994" i="1"/>
  <c r="D994" i="1"/>
  <c r="E994" i="1"/>
  <c r="F994" i="1"/>
  <c r="G994" i="1"/>
  <c r="AE994" i="1" s="1"/>
  <c r="AG994" i="1" s="1"/>
  <c r="H994" i="1"/>
  <c r="I994" i="1"/>
  <c r="J994" i="1"/>
  <c r="K994" i="1"/>
  <c r="L994" i="1"/>
  <c r="M994" i="1"/>
  <c r="N994" i="1"/>
  <c r="O994" i="1"/>
  <c r="P994" i="1"/>
  <c r="Q994" i="1"/>
  <c r="R994" i="1"/>
  <c r="A995" i="1"/>
  <c r="B995" i="1"/>
  <c r="C995" i="1"/>
  <c r="D995" i="1"/>
  <c r="E995" i="1"/>
  <c r="F995" i="1"/>
  <c r="G995" i="1"/>
  <c r="AE995" i="1" s="1"/>
  <c r="AG995" i="1" s="1"/>
  <c r="H995" i="1"/>
  <c r="I995" i="1"/>
  <c r="J995" i="1"/>
  <c r="K995" i="1"/>
  <c r="L995" i="1"/>
  <c r="M995" i="1"/>
  <c r="N995" i="1"/>
  <c r="O995" i="1"/>
  <c r="P995" i="1"/>
  <c r="Q995" i="1"/>
  <c r="R995" i="1"/>
  <c r="A996" i="1"/>
  <c r="B996" i="1"/>
  <c r="C996" i="1"/>
  <c r="D996" i="1"/>
  <c r="E996" i="1"/>
  <c r="F996" i="1"/>
  <c r="G996" i="1"/>
  <c r="AE996" i="1" s="1"/>
  <c r="AG996" i="1" s="1"/>
  <c r="H996" i="1"/>
  <c r="I996" i="1"/>
  <c r="J996" i="1"/>
  <c r="K996" i="1"/>
  <c r="L996" i="1"/>
  <c r="M996" i="1"/>
  <c r="N996" i="1"/>
  <c r="O996" i="1"/>
  <c r="P996" i="1"/>
  <c r="Q996" i="1"/>
  <c r="R996" i="1"/>
  <c r="A997" i="1"/>
  <c r="B997" i="1"/>
  <c r="C997" i="1"/>
  <c r="D997" i="1"/>
  <c r="E997" i="1"/>
  <c r="F997" i="1"/>
  <c r="Z997" i="1" s="1"/>
  <c r="G997" i="1"/>
  <c r="AE997" i="1" s="1"/>
  <c r="AG997" i="1" s="1"/>
  <c r="H997" i="1"/>
  <c r="I997" i="1"/>
  <c r="J997" i="1"/>
  <c r="K997" i="1"/>
  <c r="L997" i="1"/>
  <c r="M997" i="1"/>
  <c r="N997" i="1"/>
  <c r="O997" i="1"/>
  <c r="P997" i="1"/>
  <c r="Q997" i="1"/>
  <c r="R997" i="1"/>
  <c r="T997" i="1" s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A998" i="1"/>
  <c r="B998" i="1"/>
  <c r="C998" i="1"/>
  <c r="D998" i="1"/>
  <c r="E998" i="1"/>
  <c r="F998" i="1"/>
  <c r="G998" i="1"/>
  <c r="AE998" i="1" s="1"/>
  <c r="AG998" i="1" s="1"/>
  <c r="H998" i="1"/>
  <c r="I998" i="1"/>
  <c r="J998" i="1"/>
  <c r="K998" i="1"/>
  <c r="L998" i="1"/>
  <c r="M998" i="1"/>
  <c r="N998" i="1"/>
  <c r="O998" i="1"/>
  <c r="P998" i="1"/>
  <c r="Q998" i="1"/>
  <c r="R998" i="1"/>
  <c r="T998" i="1" s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T476" i="1" s="1"/>
  <c r="A999" i="1"/>
  <c r="B999" i="1"/>
  <c r="C999" i="1"/>
  <c r="D999" i="1"/>
  <c r="E999" i="1"/>
  <c r="F999" i="1"/>
  <c r="Z999" i="1" s="1"/>
  <c r="G999" i="1"/>
  <c r="H999" i="1"/>
  <c r="I999" i="1"/>
  <c r="J999" i="1"/>
  <c r="K999" i="1"/>
  <c r="L999" i="1"/>
  <c r="M999" i="1"/>
  <c r="N999" i="1"/>
  <c r="O999" i="1"/>
  <c r="P999" i="1"/>
  <c r="Q999" i="1"/>
  <c r="R999" i="1"/>
  <c r="T999" i="1" s="1"/>
  <c r="A1000" i="1"/>
  <c r="B1000" i="1"/>
  <c r="C1000" i="1"/>
  <c r="D1000" i="1"/>
  <c r="E1000" i="1"/>
  <c r="F1000" i="1"/>
  <c r="G1000" i="1"/>
  <c r="AE1000" i="1" s="1"/>
  <c r="AG1000" i="1" s="1"/>
  <c r="H1000" i="1"/>
  <c r="I1000" i="1"/>
  <c r="J1000" i="1"/>
  <c r="K1000" i="1"/>
  <c r="L1000" i="1"/>
  <c r="M1000" i="1"/>
  <c r="N1000" i="1"/>
  <c r="O1000" i="1"/>
  <c r="P1000" i="1"/>
  <c r="Q1000" i="1"/>
  <c r="R1000" i="1"/>
  <c r="T1000" i="1" s="1"/>
  <c r="A1001" i="1"/>
  <c r="B1001" i="1"/>
  <c r="C1001" i="1"/>
  <c r="D1001" i="1"/>
  <c r="E1001" i="1"/>
  <c r="F1001" i="1"/>
  <c r="G1001" i="1"/>
  <c r="AE1001" i="1" s="1"/>
  <c r="AG1001" i="1" s="1"/>
  <c r="H1001" i="1"/>
  <c r="I1001" i="1"/>
  <c r="J1001" i="1"/>
  <c r="K1001" i="1"/>
  <c r="L1001" i="1"/>
  <c r="M1001" i="1"/>
  <c r="N1001" i="1"/>
  <c r="O1001" i="1"/>
  <c r="P1001" i="1"/>
  <c r="Q1001" i="1"/>
  <c r="R1001" i="1"/>
  <c r="T1001" i="1" s="1"/>
  <c r="A1002" i="1"/>
  <c r="B1002" i="1"/>
  <c r="C1002" i="1"/>
  <c r="D1002" i="1"/>
  <c r="E1002" i="1"/>
  <c r="F1002" i="1"/>
  <c r="Z1002" i="1" s="1"/>
  <c r="G1002" i="1"/>
  <c r="AE1002" i="1" s="1"/>
  <c r="AG1002" i="1" s="1"/>
  <c r="H1002" i="1"/>
  <c r="I1002" i="1"/>
  <c r="J1002" i="1"/>
  <c r="K1002" i="1"/>
  <c r="L1002" i="1"/>
  <c r="M1002" i="1"/>
  <c r="N1002" i="1"/>
  <c r="O1002" i="1"/>
  <c r="P1002" i="1"/>
  <c r="Q1002" i="1"/>
  <c r="R1002" i="1"/>
  <c r="A1003" i="1"/>
  <c r="B1003" i="1"/>
  <c r="C1003" i="1"/>
  <c r="D1003" i="1"/>
  <c r="E1003" i="1"/>
  <c r="F1003" i="1"/>
  <c r="G1003" i="1"/>
  <c r="AE1003" i="1" s="1"/>
  <c r="AG1003" i="1" s="1"/>
  <c r="H1003" i="1"/>
  <c r="I1003" i="1"/>
  <c r="J1003" i="1"/>
  <c r="K1003" i="1"/>
  <c r="L1003" i="1"/>
  <c r="M1003" i="1"/>
  <c r="N1003" i="1"/>
  <c r="O1003" i="1"/>
  <c r="P1003" i="1"/>
  <c r="Q1003" i="1"/>
  <c r="R1003" i="1"/>
  <c r="A1004" i="1"/>
  <c r="B1004" i="1"/>
  <c r="C1004" i="1"/>
  <c r="D1004" i="1"/>
  <c r="E1004" i="1"/>
  <c r="F1004" i="1"/>
  <c r="G1004" i="1"/>
  <c r="AE1004" i="1" s="1"/>
  <c r="AG1004" i="1" s="1"/>
  <c r="H1004" i="1"/>
  <c r="I1004" i="1"/>
  <c r="J1004" i="1"/>
  <c r="K1004" i="1"/>
  <c r="L1004" i="1"/>
  <c r="M1004" i="1"/>
  <c r="N1004" i="1"/>
  <c r="O1004" i="1"/>
  <c r="P1004" i="1"/>
  <c r="Q1004" i="1"/>
  <c r="R1004" i="1"/>
  <c r="T1004" i="1" s="1"/>
  <c r="A1005" i="1"/>
  <c r="B1005" i="1"/>
  <c r="C1005" i="1"/>
  <c r="D1005" i="1"/>
  <c r="E1005" i="1"/>
  <c r="F1005" i="1"/>
  <c r="Z1005" i="1" s="1"/>
  <c r="G1005" i="1"/>
  <c r="AE1005" i="1" s="1"/>
  <c r="AG1005" i="1" s="1"/>
  <c r="H1005" i="1"/>
  <c r="I1005" i="1"/>
  <c r="J1005" i="1"/>
  <c r="K1005" i="1"/>
  <c r="L1005" i="1"/>
  <c r="M1005" i="1"/>
  <c r="N1005" i="1"/>
  <c r="O1005" i="1"/>
  <c r="P1005" i="1"/>
  <c r="Q1005" i="1"/>
  <c r="R1005" i="1"/>
  <c r="A1006" i="1"/>
  <c r="B1006" i="1"/>
  <c r="C1006" i="1"/>
  <c r="D1006" i="1"/>
  <c r="E1006" i="1"/>
  <c r="F1006" i="1"/>
  <c r="Z1006" i="1" s="1"/>
  <c r="G1006" i="1"/>
  <c r="AE1006" i="1" s="1"/>
  <c r="AG1006" i="1" s="1"/>
  <c r="H1006" i="1"/>
  <c r="I1006" i="1"/>
  <c r="J1006" i="1"/>
  <c r="K1006" i="1"/>
  <c r="L1006" i="1"/>
  <c r="M1006" i="1"/>
  <c r="N1006" i="1"/>
  <c r="O1006" i="1"/>
  <c r="P1006" i="1"/>
  <c r="Q1006" i="1"/>
  <c r="R1006" i="1"/>
  <c r="A1007" i="1"/>
  <c r="B1007" i="1"/>
  <c r="C1007" i="1"/>
  <c r="D1007" i="1"/>
  <c r="E1007" i="1"/>
  <c r="F1007" i="1"/>
  <c r="G1007" i="1"/>
  <c r="AE1007" i="1" s="1"/>
  <c r="AG1007" i="1" s="1"/>
  <c r="H1007" i="1"/>
  <c r="I1007" i="1"/>
  <c r="J1007" i="1"/>
  <c r="K1007" i="1"/>
  <c r="L1007" i="1"/>
  <c r="M1007" i="1"/>
  <c r="N1007" i="1"/>
  <c r="O1007" i="1"/>
  <c r="P1007" i="1"/>
  <c r="Q1007" i="1"/>
  <c r="R1007" i="1"/>
  <c r="U1007" i="1" s="1"/>
  <c r="A1008" i="1"/>
  <c r="B1008" i="1"/>
  <c r="C1008" i="1"/>
  <c r="D1008" i="1"/>
  <c r="E1008" i="1"/>
  <c r="F1008" i="1"/>
  <c r="Z1008" i="1" s="1"/>
  <c r="G1008" i="1"/>
  <c r="AE1008" i="1" s="1"/>
  <c r="AG1008" i="1" s="1"/>
  <c r="H1008" i="1"/>
  <c r="I1008" i="1"/>
  <c r="J1008" i="1"/>
  <c r="K1008" i="1"/>
  <c r="L1008" i="1"/>
  <c r="M1008" i="1"/>
  <c r="N1008" i="1"/>
  <c r="O1008" i="1"/>
  <c r="P1008" i="1"/>
  <c r="Q1008" i="1"/>
  <c r="R1008" i="1"/>
  <c r="T1008" i="1" s="1"/>
  <c r="A1009" i="1"/>
  <c r="B1009" i="1"/>
  <c r="C1009" i="1"/>
  <c r="D1009" i="1"/>
  <c r="E1009" i="1"/>
  <c r="F1009" i="1"/>
  <c r="Z1009" i="1" s="1"/>
  <c r="G1009" i="1"/>
  <c r="AE1009" i="1" s="1"/>
  <c r="AG1009" i="1" s="1"/>
  <c r="H1009" i="1"/>
  <c r="I1009" i="1"/>
  <c r="J1009" i="1"/>
  <c r="K1009" i="1"/>
  <c r="L1009" i="1"/>
  <c r="M1009" i="1"/>
  <c r="N1009" i="1"/>
  <c r="O1009" i="1"/>
  <c r="P1009" i="1"/>
  <c r="Q1009" i="1"/>
  <c r="R1009" i="1"/>
  <c r="A1010" i="1"/>
  <c r="B1010" i="1"/>
  <c r="C1010" i="1"/>
  <c r="D1010" i="1"/>
  <c r="E1010" i="1"/>
  <c r="F1010" i="1"/>
  <c r="Z1010" i="1" s="1"/>
  <c r="G1010" i="1"/>
  <c r="AE1010" i="1" s="1"/>
  <c r="AG1010" i="1" s="1"/>
  <c r="H1010" i="1"/>
  <c r="I1010" i="1"/>
  <c r="J1010" i="1"/>
  <c r="K1010" i="1"/>
  <c r="L1010" i="1"/>
  <c r="M1010" i="1"/>
  <c r="N1010" i="1"/>
  <c r="O1010" i="1"/>
  <c r="P1010" i="1"/>
  <c r="Q1010" i="1"/>
  <c r="R1010" i="1"/>
  <c r="U1010" i="1" s="1"/>
  <c r="A1011" i="1"/>
  <c r="B1011" i="1"/>
  <c r="C1011" i="1"/>
  <c r="D1011" i="1"/>
  <c r="E1011" i="1"/>
  <c r="F1011" i="1"/>
  <c r="G1011" i="1"/>
  <c r="AE1011" i="1" s="1"/>
  <c r="AG1011" i="1" s="1"/>
  <c r="H1011" i="1"/>
  <c r="I1011" i="1"/>
  <c r="J1011" i="1"/>
  <c r="K1011" i="1"/>
  <c r="L1011" i="1"/>
  <c r="M1011" i="1"/>
  <c r="N1011" i="1"/>
  <c r="O1011" i="1"/>
  <c r="P1011" i="1"/>
  <c r="Q1011" i="1"/>
  <c r="R1011" i="1"/>
  <c r="A1012" i="1"/>
  <c r="B1012" i="1"/>
  <c r="C1012" i="1"/>
  <c r="D1012" i="1"/>
  <c r="E1012" i="1"/>
  <c r="F1012" i="1"/>
  <c r="Z1012" i="1" s="1"/>
  <c r="G1012" i="1"/>
  <c r="AE1012" i="1" s="1"/>
  <c r="AG1012" i="1" s="1"/>
  <c r="H1012" i="1"/>
  <c r="I1012" i="1"/>
  <c r="J1012" i="1"/>
  <c r="K1012" i="1"/>
  <c r="L1012" i="1"/>
  <c r="M1012" i="1"/>
  <c r="N1012" i="1"/>
  <c r="O1012" i="1"/>
  <c r="P1012" i="1"/>
  <c r="Q1012" i="1"/>
  <c r="R1012" i="1"/>
  <c r="T1012" i="1" s="1"/>
  <c r="A1013" i="1"/>
  <c r="B1013" i="1"/>
  <c r="C1013" i="1"/>
  <c r="D1013" i="1"/>
  <c r="E1013" i="1"/>
  <c r="F1013" i="1"/>
  <c r="Z1013" i="1" s="1"/>
  <c r="G1013" i="1"/>
  <c r="AE1013" i="1" s="1"/>
  <c r="AG1013" i="1" s="1"/>
  <c r="H1013" i="1"/>
  <c r="I1013" i="1"/>
  <c r="J1013" i="1"/>
  <c r="K1013" i="1"/>
  <c r="L1013" i="1"/>
  <c r="M1013" i="1"/>
  <c r="N1013" i="1"/>
  <c r="O1013" i="1"/>
  <c r="P1013" i="1"/>
  <c r="Q1013" i="1"/>
  <c r="R1013" i="1"/>
  <c r="A1014" i="1"/>
  <c r="B1014" i="1"/>
  <c r="C1014" i="1"/>
  <c r="D1014" i="1"/>
  <c r="E1014" i="1"/>
  <c r="F1014" i="1"/>
  <c r="Z1014" i="1" s="1"/>
  <c r="G1014" i="1"/>
  <c r="AE1014" i="1" s="1"/>
  <c r="AG1014" i="1" s="1"/>
  <c r="H1014" i="1"/>
  <c r="I1014" i="1"/>
  <c r="J1014" i="1"/>
  <c r="K1014" i="1"/>
  <c r="L1014" i="1"/>
  <c r="M1014" i="1"/>
  <c r="N1014" i="1"/>
  <c r="O1014" i="1"/>
  <c r="P1014" i="1"/>
  <c r="Q1014" i="1"/>
  <c r="R1014" i="1"/>
  <c r="A1015" i="1"/>
  <c r="B1015" i="1"/>
  <c r="C1015" i="1"/>
  <c r="D1015" i="1"/>
  <c r="E1015" i="1"/>
  <c r="F1015" i="1"/>
  <c r="Z1015" i="1" s="1"/>
  <c r="G1015" i="1"/>
  <c r="AE1015" i="1" s="1"/>
  <c r="AG1015" i="1" s="1"/>
  <c r="H1015" i="1"/>
  <c r="I1015" i="1"/>
  <c r="J1015" i="1"/>
  <c r="K1015" i="1"/>
  <c r="L1015" i="1"/>
  <c r="M1015" i="1"/>
  <c r="N1015" i="1"/>
  <c r="O1015" i="1"/>
  <c r="P1015" i="1"/>
  <c r="Q1015" i="1"/>
  <c r="R1015" i="1"/>
  <c r="T1015" i="1" s="1"/>
  <c r="A1016" i="1"/>
  <c r="B1016" i="1"/>
  <c r="C1016" i="1"/>
  <c r="D1016" i="1"/>
  <c r="E1016" i="1"/>
  <c r="F1016" i="1"/>
  <c r="Z1016" i="1" s="1"/>
  <c r="G1016" i="1"/>
  <c r="AE1016" i="1" s="1"/>
  <c r="AG1016" i="1" s="1"/>
  <c r="H1016" i="1"/>
  <c r="I1016" i="1"/>
  <c r="J1016" i="1"/>
  <c r="K1016" i="1"/>
  <c r="L1016" i="1"/>
  <c r="M1016" i="1"/>
  <c r="N1016" i="1"/>
  <c r="O1016" i="1"/>
  <c r="P1016" i="1"/>
  <c r="Q1016" i="1"/>
  <c r="R1016" i="1"/>
  <c r="A1017" i="1"/>
  <c r="B1017" i="1"/>
  <c r="C1017" i="1"/>
  <c r="D1017" i="1"/>
  <c r="E1017" i="1"/>
  <c r="F1017" i="1"/>
  <c r="G1017" i="1"/>
  <c r="AE1017" i="1" s="1"/>
  <c r="AG1017" i="1" s="1"/>
  <c r="H1017" i="1"/>
  <c r="I1017" i="1"/>
  <c r="J1017" i="1"/>
  <c r="K1017" i="1"/>
  <c r="L1017" i="1"/>
  <c r="M1017" i="1"/>
  <c r="N1017" i="1"/>
  <c r="O1017" i="1"/>
  <c r="P1017" i="1"/>
  <c r="Q1017" i="1"/>
  <c r="R1017" i="1"/>
  <c r="A1018" i="1"/>
  <c r="B1018" i="1"/>
  <c r="C1018" i="1"/>
  <c r="D1018" i="1"/>
  <c r="E1018" i="1"/>
  <c r="F1018" i="1"/>
  <c r="G1018" i="1"/>
  <c r="AE1018" i="1" s="1"/>
  <c r="AG1018" i="1" s="1"/>
  <c r="H1018" i="1"/>
  <c r="I1018" i="1"/>
  <c r="J1018" i="1"/>
  <c r="K1018" i="1"/>
  <c r="L1018" i="1"/>
  <c r="M1018" i="1"/>
  <c r="N1018" i="1"/>
  <c r="O1018" i="1"/>
  <c r="P1018" i="1"/>
  <c r="Q1018" i="1"/>
  <c r="R1018" i="1"/>
  <c r="U1018" i="1" s="1"/>
  <c r="A1019" i="1"/>
  <c r="B1019" i="1"/>
  <c r="C1019" i="1"/>
  <c r="D1019" i="1"/>
  <c r="E1019" i="1"/>
  <c r="F1019" i="1"/>
  <c r="G1019" i="1"/>
  <c r="AE1019" i="1" s="1"/>
  <c r="AG1019" i="1" s="1"/>
  <c r="H1019" i="1"/>
  <c r="I1019" i="1"/>
  <c r="J1019" i="1"/>
  <c r="K1019" i="1"/>
  <c r="L1019" i="1"/>
  <c r="M1019" i="1"/>
  <c r="N1019" i="1"/>
  <c r="O1019" i="1"/>
  <c r="P1019" i="1"/>
  <c r="Q1019" i="1"/>
  <c r="R1019" i="1"/>
  <c r="A1020" i="1"/>
  <c r="B1020" i="1"/>
  <c r="C1020" i="1"/>
  <c r="D1020" i="1"/>
  <c r="E1020" i="1"/>
  <c r="F1020" i="1"/>
  <c r="Z1020" i="1" s="1"/>
  <c r="G1020" i="1"/>
  <c r="AE1020" i="1" s="1"/>
  <c r="AG1020" i="1" s="1"/>
  <c r="H1020" i="1"/>
  <c r="I1020" i="1"/>
  <c r="J1020" i="1"/>
  <c r="K1020" i="1"/>
  <c r="L1020" i="1"/>
  <c r="M1020" i="1"/>
  <c r="N1020" i="1"/>
  <c r="O1020" i="1"/>
  <c r="P1020" i="1"/>
  <c r="Q1020" i="1"/>
  <c r="R1020" i="1"/>
  <c r="A1021" i="1"/>
  <c r="B1021" i="1"/>
  <c r="C1021" i="1"/>
  <c r="D1021" i="1"/>
  <c r="E1021" i="1"/>
  <c r="F1021" i="1"/>
  <c r="G1021" i="1"/>
  <c r="AE1021" i="1" s="1"/>
  <c r="AG1021" i="1" s="1"/>
  <c r="H1021" i="1"/>
  <c r="I1021" i="1"/>
  <c r="J1021" i="1"/>
  <c r="K1021" i="1"/>
  <c r="L1021" i="1"/>
  <c r="M1021" i="1"/>
  <c r="N1021" i="1"/>
  <c r="O1021" i="1"/>
  <c r="P1021" i="1"/>
  <c r="Q1021" i="1"/>
  <c r="R1021" i="1"/>
  <c r="A1022" i="1"/>
  <c r="B1022" i="1"/>
  <c r="C1022" i="1"/>
  <c r="D1022" i="1"/>
  <c r="E1022" i="1"/>
  <c r="F1022" i="1"/>
  <c r="Z1022" i="1" s="1"/>
  <c r="G1022" i="1"/>
  <c r="AE1022" i="1" s="1"/>
  <c r="AG1022" i="1" s="1"/>
  <c r="H1022" i="1"/>
  <c r="I1022" i="1"/>
  <c r="J1022" i="1"/>
  <c r="K1022" i="1"/>
  <c r="L1022" i="1"/>
  <c r="M1022" i="1"/>
  <c r="N1022" i="1"/>
  <c r="O1022" i="1"/>
  <c r="P1022" i="1"/>
  <c r="Q1022" i="1"/>
  <c r="R1022" i="1"/>
  <c r="A1023" i="1"/>
  <c r="B1023" i="1"/>
  <c r="C1023" i="1"/>
  <c r="D1023" i="1"/>
  <c r="E1023" i="1"/>
  <c r="F1023" i="1"/>
  <c r="Z1023" i="1" s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T1023" i="1" s="1"/>
  <c r="A1024" i="1"/>
  <c r="B1024" i="1"/>
  <c r="C1024" i="1"/>
  <c r="D1024" i="1"/>
  <c r="E1024" i="1"/>
  <c r="F1024" i="1"/>
  <c r="G1024" i="1"/>
  <c r="AE1024" i="1" s="1"/>
  <c r="AG1024" i="1" s="1"/>
  <c r="H1024" i="1"/>
  <c r="I1024" i="1"/>
  <c r="J1024" i="1"/>
  <c r="K1024" i="1"/>
  <c r="L1024" i="1"/>
  <c r="M1024" i="1"/>
  <c r="N1024" i="1"/>
  <c r="O1024" i="1"/>
  <c r="P1024" i="1"/>
  <c r="Q1024" i="1"/>
  <c r="R1024" i="1"/>
  <c r="A1025" i="1"/>
  <c r="B1025" i="1"/>
  <c r="C1025" i="1"/>
  <c r="D1025" i="1"/>
  <c r="E1025" i="1"/>
  <c r="F1025" i="1"/>
  <c r="G1025" i="1"/>
  <c r="AE1025" i="1" s="1"/>
  <c r="AG1025" i="1" s="1"/>
  <c r="H1025" i="1"/>
  <c r="I1025" i="1"/>
  <c r="J1025" i="1"/>
  <c r="K1025" i="1"/>
  <c r="L1025" i="1"/>
  <c r="M1025" i="1"/>
  <c r="N1025" i="1"/>
  <c r="O1025" i="1"/>
  <c r="P1025" i="1"/>
  <c r="Q1025" i="1"/>
  <c r="R1025" i="1"/>
  <c r="A1026" i="1"/>
  <c r="B1026" i="1"/>
  <c r="C1026" i="1"/>
  <c r="D1026" i="1"/>
  <c r="E1026" i="1"/>
  <c r="F1026" i="1"/>
  <c r="Z1026" i="1" s="1"/>
  <c r="G1026" i="1"/>
  <c r="AE1026" i="1" s="1"/>
  <c r="AG1026" i="1" s="1"/>
  <c r="H1026" i="1"/>
  <c r="I1026" i="1"/>
  <c r="J1026" i="1"/>
  <c r="K1026" i="1"/>
  <c r="L1026" i="1"/>
  <c r="M1026" i="1"/>
  <c r="N1026" i="1"/>
  <c r="O1026" i="1"/>
  <c r="P1026" i="1"/>
  <c r="Q1026" i="1"/>
  <c r="R1026" i="1"/>
  <c r="A1027" i="1"/>
  <c r="B1027" i="1"/>
  <c r="C1027" i="1"/>
  <c r="D1027" i="1"/>
  <c r="E1027" i="1"/>
  <c r="F1027" i="1"/>
  <c r="G1027" i="1"/>
  <c r="AE1027" i="1" s="1"/>
  <c r="AG1027" i="1" s="1"/>
  <c r="H1027" i="1"/>
  <c r="I1027" i="1"/>
  <c r="J1027" i="1"/>
  <c r="K1027" i="1"/>
  <c r="L1027" i="1"/>
  <c r="M1027" i="1"/>
  <c r="N1027" i="1"/>
  <c r="O1027" i="1"/>
  <c r="P1027" i="1"/>
  <c r="Q1027" i="1"/>
  <c r="R1027" i="1"/>
  <c r="A1028" i="1"/>
  <c r="B1028" i="1"/>
  <c r="C1028" i="1"/>
  <c r="D1028" i="1"/>
  <c r="E1028" i="1"/>
  <c r="F1028" i="1"/>
  <c r="G1028" i="1"/>
  <c r="AE1028" i="1" s="1"/>
  <c r="AG1028" i="1" s="1"/>
  <c r="H1028" i="1"/>
  <c r="I1028" i="1"/>
  <c r="J1028" i="1"/>
  <c r="K1028" i="1"/>
  <c r="L1028" i="1"/>
  <c r="M1028" i="1"/>
  <c r="N1028" i="1"/>
  <c r="O1028" i="1"/>
  <c r="P1028" i="1"/>
  <c r="Q1028" i="1"/>
  <c r="R1028" i="1"/>
  <c r="W1028" i="1" s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T71" i="1" s="1"/>
  <c r="A1029" i="1"/>
  <c r="B1029" i="1"/>
  <c r="C1029" i="1"/>
  <c r="D1029" i="1"/>
  <c r="E1029" i="1"/>
  <c r="F1029" i="1"/>
  <c r="Z1029" i="1" s="1"/>
  <c r="G1029" i="1"/>
  <c r="AE1029" i="1" s="1"/>
  <c r="AG1029" i="1" s="1"/>
  <c r="H1029" i="1"/>
  <c r="I1029" i="1"/>
  <c r="J1029" i="1"/>
  <c r="K1029" i="1"/>
  <c r="L1029" i="1"/>
  <c r="M1029" i="1"/>
  <c r="N1029" i="1"/>
  <c r="O1029" i="1"/>
  <c r="P1029" i="1"/>
  <c r="Q1029" i="1"/>
  <c r="R1029" i="1"/>
  <c r="A1030" i="1"/>
  <c r="B1030" i="1"/>
  <c r="C1030" i="1"/>
  <c r="D1030" i="1"/>
  <c r="E1030" i="1"/>
  <c r="F1030" i="1"/>
  <c r="Z1030" i="1" s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U1030" i="1" s="1"/>
  <c r="A1031" i="1"/>
  <c r="B1031" i="1"/>
  <c r="C1031" i="1"/>
  <c r="D1031" i="1"/>
  <c r="E1031" i="1"/>
  <c r="F1031" i="1"/>
  <c r="G1031" i="1"/>
  <c r="AE1031" i="1" s="1"/>
  <c r="AG1031" i="1" s="1"/>
  <c r="H1031" i="1"/>
  <c r="I1031" i="1"/>
  <c r="J1031" i="1"/>
  <c r="K1031" i="1"/>
  <c r="L1031" i="1"/>
  <c r="M1031" i="1"/>
  <c r="N1031" i="1"/>
  <c r="O1031" i="1"/>
  <c r="P1031" i="1"/>
  <c r="Q1031" i="1"/>
  <c r="R1031" i="1"/>
  <c r="W1031" i="1" s="1"/>
  <c r="AA1031" i="1" s="1"/>
  <c r="A1032" i="1"/>
  <c r="B1032" i="1"/>
  <c r="C1032" i="1"/>
  <c r="D1032" i="1"/>
  <c r="E1032" i="1"/>
  <c r="F1032" i="1"/>
  <c r="G1032" i="1"/>
  <c r="AE1032" i="1" s="1"/>
  <c r="AG1032" i="1" s="1"/>
  <c r="H1032" i="1"/>
  <c r="I1032" i="1"/>
  <c r="J1032" i="1"/>
  <c r="K1032" i="1"/>
  <c r="L1032" i="1"/>
  <c r="M1032" i="1"/>
  <c r="N1032" i="1"/>
  <c r="O1032" i="1"/>
  <c r="P1032" i="1"/>
  <c r="Q1032" i="1"/>
  <c r="R1032" i="1"/>
  <c r="A1033" i="1"/>
  <c r="B1033" i="1"/>
  <c r="C1033" i="1"/>
  <c r="D1033" i="1"/>
  <c r="E1033" i="1"/>
  <c r="F1033" i="1"/>
  <c r="G1033" i="1"/>
  <c r="AE1033" i="1" s="1"/>
  <c r="AG1033" i="1" s="1"/>
  <c r="H1033" i="1"/>
  <c r="I1033" i="1"/>
  <c r="J1033" i="1"/>
  <c r="K1033" i="1"/>
  <c r="L1033" i="1"/>
  <c r="M1033" i="1"/>
  <c r="N1033" i="1"/>
  <c r="O1033" i="1"/>
  <c r="P1033" i="1"/>
  <c r="Q1033" i="1"/>
  <c r="R1033" i="1"/>
  <c r="A1034" i="1"/>
  <c r="B1034" i="1"/>
  <c r="C1034" i="1"/>
  <c r="D1034" i="1"/>
  <c r="E1034" i="1"/>
  <c r="F1034" i="1"/>
  <c r="G1034" i="1"/>
  <c r="AE1034" i="1" s="1"/>
  <c r="AG1034" i="1" s="1"/>
  <c r="H1034" i="1"/>
  <c r="I1034" i="1"/>
  <c r="J1034" i="1"/>
  <c r="K1034" i="1"/>
  <c r="L1034" i="1"/>
  <c r="M1034" i="1"/>
  <c r="N1034" i="1"/>
  <c r="O1034" i="1"/>
  <c r="P1034" i="1"/>
  <c r="Q1034" i="1"/>
  <c r="R1034" i="1"/>
  <c r="A1035" i="1"/>
  <c r="B1035" i="1"/>
  <c r="C1035" i="1"/>
  <c r="D1035" i="1"/>
  <c r="E1035" i="1"/>
  <c r="F1035" i="1"/>
  <c r="Z1035" i="1" s="1"/>
  <c r="G1035" i="1"/>
  <c r="AE1035" i="1" s="1"/>
  <c r="AG1035" i="1" s="1"/>
  <c r="H1035" i="1"/>
  <c r="I1035" i="1"/>
  <c r="J1035" i="1"/>
  <c r="K1035" i="1"/>
  <c r="L1035" i="1"/>
  <c r="M1035" i="1"/>
  <c r="N1035" i="1"/>
  <c r="O1035" i="1"/>
  <c r="P1035" i="1"/>
  <c r="Q1035" i="1"/>
  <c r="R1035" i="1"/>
  <c r="A1036" i="1"/>
  <c r="B1036" i="1"/>
  <c r="C1036" i="1"/>
  <c r="D1036" i="1"/>
  <c r="E1036" i="1"/>
  <c r="F1036" i="1"/>
  <c r="Z1036" i="1" s="1"/>
  <c r="G1036" i="1"/>
  <c r="AE1036" i="1" s="1"/>
  <c r="AG1036" i="1" s="1"/>
  <c r="H1036" i="1"/>
  <c r="I1036" i="1"/>
  <c r="J1036" i="1"/>
  <c r="K1036" i="1"/>
  <c r="L1036" i="1"/>
  <c r="M1036" i="1"/>
  <c r="N1036" i="1"/>
  <c r="O1036" i="1"/>
  <c r="P1036" i="1"/>
  <c r="Q1036" i="1"/>
  <c r="R1036" i="1"/>
  <c r="A1037" i="1"/>
  <c r="B1037" i="1"/>
  <c r="C1037" i="1"/>
  <c r="D1037" i="1"/>
  <c r="E1037" i="1"/>
  <c r="F1037" i="1"/>
  <c r="G1037" i="1"/>
  <c r="AE1037" i="1" s="1"/>
  <c r="AG1037" i="1" s="1"/>
  <c r="H1037" i="1"/>
  <c r="I1037" i="1"/>
  <c r="J1037" i="1"/>
  <c r="K1037" i="1"/>
  <c r="L1037" i="1"/>
  <c r="M1037" i="1"/>
  <c r="N1037" i="1"/>
  <c r="O1037" i="1"/>
  <c r="P1037" i="1"/>
  <c r="Q1037" i="1"/>
  <c r="R1037" i="1"/>
  <c r="A1038" i="1"/>
  <c r="B1038" i="1"/>
  <c r="C1038" i="1"/>
  <c r="D1038" i="1"/>
  <c r="E1038" i="1"/>
  <c r="F1038" i="1"/>
  <c r="G1038" i="1"/>
  <c r="AE1038" i="1" s="1"/>
  <c r="AG1038" i="1" s="1"/>
  <c r="H1038" i="1"/>
  <c r="I1038" i="1"/>
  <c r="J1038" i="1"/>
  <c r="K1038" i="1"/>
  <c r="L1038" i="1"/>
  <c r="M1038" i="1"/>
  <c r="N1038" i="1"/>
  <c r="O1038" i="1"/>
  <c r="P1038" i="1"/>
  <c r="Q1038" i="1"/>
  <c r="R1038" i="1"/>
  <c r="T1038" i="1" s="1"/>
  <c r="A1039" i="1"/>
  <c r="B1039" i="1"/>
  <c r="C1039" i="1"/>
  <c r="D1039" i="1"/>
  <c r="E1039" i="1"/>
  <c r="F1039" i="1"/>
  <c r="Z1039" i="1" s="1"/>
  <c r="G1039" i="1"/>
  <c r="AE1039" i="1" s="1"/>
  <c r="AG1039" i="1" s="1"/>
  <c r="H1039" i="1"/>
  <c r="I1039" i="1"/>
  <c r="J1039" i="1"/>
  <c r="K1039" i="1"/>
  <c r="L1039" i="1"/>
  <c r="M1039" i="1"/>
  <c r="N1039" i="1"/>
  <c r="O1039" i="1"/>
  <c r="P1039" i="1"/>
  <c r="Q1039" i="1"/>
  <c r="R1039" i="1"/>
  <c r="W1039" i="1" s="1"/>
  <c r="A1040" i="1"/>
  <c r="B1040" i="1"/>
  <c r="C1040" i="1"/>
  <c r="D1040" i="1"/>
  <c r="E1040" i="1"/>
  <c r="F1040" i="1"/>
  <c r="G1040" i="1"/>
  <c r="AE1040" i="1" s="1"/>
  <c r="AG1040" i="1" s="1"/>
  <c r="H1040" i="1"/>
  <c r="I1040" i="1"/>
  <c r="J1040" i="1"/>
  <c r="K1040" i="1"/>
  <c r="L1040" i="1"/>
  <c r="M1040" i="1"/>
  <c r="N1040" i="1"/>
  <c r="O1040" i="1"/>
  <c r="P1040" i="1"/>
  <c r="Q1040" i="1"/>
  <c r="R1040" i="1"/>
  <c r="A1041" i="1"/>
  <c r="B1041" i="1"/>
  <c r="C1041" i="1"/>
  <c r="D1041" i="1"/>
  <c r="E1041" i="1"/>
  <c r="F1041" i="1"/>
  <c r="Z1041" i="1" s="1"/>
  <c r="G1041" i="1"/>
  <c r="AE1041" i="1" s="1"/>
  <c r="AG1041" i="1" s="1"/>
  <c r="H1041" i="1"/>
  <c r="I1041" i="1"/>
  <c r="J1041" i="1"/>
  <c r="K1041" i="1"/>
  <c r="L1041" i="1"/>
  <c r="M1041" i="1"/>
  <c r="N1041" i="1"/>
  <c r="O1041" i="1"/>
  <c r="P1041" i="1"/>
  <c r="Q1041" i="1"/>
  <c r="R1041" i="1"/>
  <c r="A1042" i="1"/>
  <c r="B1042" i="1"/>
  <c r="C1042" i="1"/>
  <c r="D1042" i="1"/>
  <c r="E1042" i="1"/>
  <c r="F1042" i="1"/>
  <c r="Z1042" i="1" s="1"/>
  <c r="G1042" i="1"/>
  <c r="AE1042" i="1" s="1"/>
  <c r="AG1042" i="1" s="1"/>
  <c r="H1042" i="1"/>
  <c r="I1042" i="1"/>
  <c r="J1042" i="1"/>
  <c r="K1042" i="1"/>
  <c r="L1042" i="1"/>
  <c r="M1042" i="1"/>
  <c r="N1042" i="1"/>
  <c r="O1042" i="1"/>
  <c r="P1042" i="1"/>
  <c r="Q1042" i="1"/>
  <c r="R1042" i="1"/>
  <c r="A1043" i="1"/>
  <c r="B1043" i="1"/>
  <c r="C1043" i="1"/>
  <c r="D1043" i="1"/>
  <c r="E1043" i="1"/>
  <c r="F1043" i="1"/>
  <c r="Z1043" i="1" s="1"/>
  <c r="G1043" i="1"/>
  <c r="AE1043" i="1" s="1"/>
  <c r="AG1043" i="1" s="1"/>
  <c r="H1043" i="1"/>
  <c r="I1043" i="1"/>
  <c r="J1043" i="1"/>
  <c r="K1043" i="1"/>
  <c r="L1043" i="1"/>
  <c r="M1043" i="1"/>
  <c r="N1043" i="1"/>
  <c r="O1043" i="1"/>
  <c r="P1043" i="1"/>
  <c r="Q1043" i="1"/>
  <c r="R1043" i="1"/>
  <c r="W1043" i="1" s="1"/>
  <c r="A1044" i="1"/>
  <c r="B1044" i="1"/>
  <c r="C1044" i="1"/>
  <c r="D1044" i="1"/>
  <c r="E1044" i="1"/>
  <c r="F1044" i="1"/>
  <c r="G1044" i="1"/>
  <c r="AE1044" i="1" s="1"/>
  <c r="AG1044" i="1" s="1"/>
  <c r="H1044" i="1"/>
  <c r="I1044" i="1"/>
  <c r="J1044" i="1"/>
  <c r="K1044" i="1"/>
  <c r="L1044" i="1"/>
  <c r="M1044" i="1"/>
  <c r="N1044" i="1"/>
  <c r="O1044" i="1"/>
  <c r="P1044" i="1"/>
  <c r="Q1044" i="1"/>
  <c r="R1044" i="1"/>
  <c r="A1045" i="1"/>
  <c r="B1045" i="1"/>
  <c r="C1045" i="1"/>
  <c r="D1045" i="1"/>
  <c r="E1045" i="1"/>
  <c r="F1045" i="1"/>
  <c r="Z1045" i="1" s="1"/>
  <c r="G1045" i="1"/>
  <c r="AE1045" i="1" s="1"/>
  <c r="AG1045" i="1" s="1"/>
  <c r="H1045" i="1"/>
  <c r="I1045" i="1"/>
  <c r="J1045" i="1"/>
  <c r="K1045" i="1"/>
  <c r="L1045" i="1"/>
  <c r="M1045" i="1"/>
  <c r="N1045" i="1"/>
  <c r="O1045" i="1"/>
  <c r="P1045" i="1"/>
  <c r="Q1045" i="1"/>
  <c r="R1045" i="1"/>
  <c r="T1045" i="1" s="1"/>
  <c r="A1046" i="1"/>
  <c r="B1046" i="1"/>
  <c r="C1046" i="1"/>
  <c r="D1046" i="1"/>
  <c r="E1046" i="1"/>
  <c r="F1046" i="1"/>
  <c r="Z1046" i="1" s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A1047" i="1"/>
  <c r="B1047" i="1"/>
  <c r="C1047" i="1"/>
  <c r="D1047" i="1"/>
  <c r="E1047" i="1"/>
  <c r="F1047" i="1"/>
  <c r="G1047" i="1"/>
  <c r="AE1047" i="1" s="1"/>
  <c r="AG1047" i="1" s="1"/>
  <c r="H1047" i="1"/>
  <c r="I1047" i="1"/>
  <c r="J1047" i="1"/>
  <c r="K1047" i="1"/>
  <c r="L1047" i="1"/>
  <c r="M1047" i="1"/>
  <c r="N1047" i="1"/>
  <c r="O1047" i="1"/>
  <c r="P1047" i="1"/>
  <c r="Q1047" i="1"/>
  <c r="R1047" i="1"/>
  <c r="W1047" i="1" s="1"/>
  <c r="A1048" i="1"/>
  <c r="B1048" i="1"/>
  <c r="C1048" i="1"/>
  <c r="D1048" i="1"/>
  <c r="E1048" i="1"/>
  <c r="F1048" i="1"/>
  <c r="G1048" i="1"/>
  <c r="AE1048" i="1" s="1"/>
  <c r="AG1048" i="1" s="1"/>
  <c r="H1048" i="1"/>
  <c r="I1048" i="1"/>
  <c r="J1048" i="1"/>
  <c r="K1048" i="1"/>
  <c r="L1048" i="1"/>
  <c r="M1048" i="1"/>
  <c r="N1048" i="1"/>
  <c r="O1048" i="1"/>
  <c r="P1048" i="1"/>
  <c r="Q1048" i="1"/>
  <c r="R1048" i="1"/>
  <c r="T1048" i="1" s="1"/>
  <c r="A1049" i="1"/>
  <c r="B1049" i="1"/>
  <c r="C1049" i="1"/>
  <c r="D1049" i="1"/>
  <c r="E1049" i="1"/>
  <c r="F1049" i="1"/>
  <c r="Z1049" i="1" s="1"/>
  <c r="G1049" i="1"/>
  <c r="AE1049" i="1" s="1"/>
  <c r="AG1049" i="1" s="1"/>
  <c r="H1049" i="1"/>
  <c r="I1049" i="1"/>
  <c r="J1049" i="1"/>
  <c r="K1049" i="1"/>
  <c r="L1049" i="1"/>
  <c r="M1049" i="1"/>
  <c r="N1049" i="1"/>
  <c r="O1049" i="1"/>
  <c r="P1049" i="1"/>
  <c r="Q1049" i="1"/>
  <c r="R1049" i="1"/>
  <c r="A1050" i="1"/>
  <c r="B1050" i="1"/>
  <c r="C1050" i="1"/>
  <c r="D1050" i="1"/>
  <c r="E1050" i="1"/>
  <c r="F1050" i="1"/>
  <c r="Z1050" i="1" s="1"/>
  <c r="G1050" i="1"/>
  <c r="AE1050" i="1" s="1"/>
  <c r="AG1050" i="1" s="1"/>
  <c r="H1050" i="1"/>
  <c r="I1050" i="1"/>
  <c r="J1050" i="1"/>
  <c r="K1050" i="1"/>
  <c r="L1050" i="1"/>
  <c r="M1050" i="1"/>
  <c r="N1050" i="1"/>
  <c r="O1050" i="1"/>
  <c r="P1050" i="1"/>
  <c r="Q1050" i="1"/>
  <c r="R1050" i="1"/>
  <c r="A1051" i="1"/>
  <c r="B1051" i="1"/>
  <c r="C1051" i="1"/>
  <c r="D1051" i="1"/>
  <c r="E1051" i="1"/>
  <c r="F1051" i="1"/>
  <c r="G1051" i="1"/>
  <c r="AE1051" i="1" s="1"/>
  <c r="AG1051" i="1" s="1"/>
  <c r="H1051" i="1"/>
  <c r="I1051" i="1"/>
  <c r="J1051" i="1"/>
  <c r="K1051" i="1"/>
  <c r="L1051" i="1"/>
  <c r="M1051" i="1"/>
  <c r="N1051" i="1"/>
  <c r="O1051" i="1"/>
  <c r="P1051" i="1"/>
  <c r="Q1051" i="1"/>
  <c r="R1051" i="1"/>
  <c r="A1052" i="1"/>
  <c r="B1052" i="1"/>
  <c r="C1052" i="1"/>
  <c r="D1052" i="1"/>
  <c r="E1052" i="1"/>
  <c r="F1052" i="1"/>
  <c r="G1052" i="1"/>
  <c r="AE1052" i="1" s="1"/>
  <c r="AG1052" i="1" s="1"/>
  <c r="H1052" i="1"/>
  <c r="I1052" i="1"/>
  <c r="J1052" i="1"/>
  <c r="K1052" i="1"/>
  <c r="L1052" i="1"/>
  <c r="M1052" i="1"/>
  <c r="N1052" i="1"/>
  <c r="O1052" i="1"/>
  <c r="P1052" i="1"/>
  <c r="Q1052" i="1"/>
  <c r="R1052" i="1"/>
  <c r="A1053" i="1"/>
  <c r="B1053" i="1"/>
  <c r="C1053" i="1"/>
  <c r="D1053" i="1"/>
  <c r="E1053" i="1"/>
  <c r="F1053" i="1"/>
  <c r="Z1053" i="1" s="1"/>
  <c r="G1053" i="1"/>
  <c r="AE1053" i="1" s="1"/>
  <c r="AG1053" i="1" s="1"/>
  <c r="H1053" i="1"/>
  <c r="I1053" i="1"/>
  <c r="J1053" i="1"/>
  <c r="K1053" i="1"/>
  <c r="L1053" i="1"/>
  <c r="M1053" i="1"/>
  <c r="N1053" i="1"/>
  <c r="O1053" i="1"/>
  <c r="P1053" i="1"/>
  <c r="Q1053" i="1"/>
  <c r="R1053" i="1"/>
  <c r="A1054" i="1"/>
  <c r="B1054" i="1"/>
  <c r="C1054" i="1"/>
  <c r="D1054" i="1"/>
  <c r="E1054" i="1"/>
  <c r="F1054" i="1"/>
  <c r="Z1054" i="1" s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A1055" i="1"/>
  <c r="B1055" i="1"/>
  <c r="C1055" i="1"/>
  <c r="D1055" i="1"/>
  <c r="E1055" i="1"/>
  <c r="F1055" i="1"/>
  <c r="G1055" i="1"/>
  <c r="AE1055" i="1" s="1"/>
  <c r="AG1055" i="1" s="1"/>
  <c r="H1055" i="1"/>
  <c r="I1055" i="1"/>
  <c r="J1055" i="1"/>
  <c r="K1055" i="1"/>
  <c r="L1055" i="1"/>
  <c r="M1055" i="1"/>
  <c r="N1055" i="1"/>
  <c r="O1055" i="1"/>
  <c r="P1055" i="1"/>
  <c r="Q1055" i="1"/>
  <c r="R1055" i="1"/>
  <c r="U1055" i="1" s="1"/>
  <c r="A1056" i="1"/>
  <c r="B1056" i="1"/>
  <c r="C1056" i="1"/>
  <c r="D1056" i="1"/>
  <c r="E1056" i="1"/>
  <c r="F1056" i="1"/>
  <c r="G1056" i="1"/>
  <c r="AE1056" i="1" s="1"/>
  <c r="AG1056" i="1" s="1"/>
  <c r="H1056" i="1"/>
  <c r="I1056" i="1"/>
  <c r="J1056" i="1"/>
  <c r="K1056" i="1"/>
  <c r="L1056" i="1"/>
  <c r="M1056" i="1"/>
  <c r="N1056" i="1"/>
  <c r="O1056" i="1"/>
  <c r="P1056" i="1"/>
  <c r="Q1056" i="1"/>
  <c r="R1056" i="1"/>
  <c r="U1056" i="1" s="1"/>
  <c r="A1057" i="1"/>
  <c r="B1057" i="1"/>
  <c r="C1057" i="1"/>
  <c r="D1057" i="1"/>
  <c r="E1057" i="1"/>
  <c r="F1057" i="1"/>
  <c r="Z1057" i="1" s="1"/>
  <c r="G1057" i="1"/>
  <c r="AE1057" i="1" s="1"/>
  <c r="AG1057" i="1" s="1"/>
  <c r="H1057" i="1"/>
  <c r="I1057" i="1"/>
  <c r="J1057" i="1"/>
  <c r="K1057" i="1"/>
  <c r="L1057" i="1"/>
  <c r="M1057" i="1"/>
  <c r="N1057" i="1"/>
  <c r="O1057" i="1"/>
  <c r="P1057" i="1"/>
  <c r="Q1057" i="1"/>
  <c r="R1057" i="1"/>
  <c r="T1057" i="1" s="1"/>
  <c r="A1058" i="1"/>
  <c r="B1058" i="1"/>
  <c r="C1058" i="1"/>
  <c r="D1058" i="1"/>
  <c r="E1058" i="1"/>
  <c r="F1058" i="1"/>
  <c r="Z1058" i="1" s="1"/>
  <c r="G1058" i="1"/>
  <c r="AE1058" i="1" s="1"/>
  <c r="AG1058" i="1" s="1"/>
  <c r="H1058" i="1"/>
  <c r="I1058" i="1"/>
  <c r="J1058" i="1"/>
  <c r="K1058" i="1"/>
  <c r="L1058" i="1"/>
  <c r="M1058" i="1"/>
  <c r="N1058" i="1"/>
  <c r="O1058" i="1"/>
  <c r="P1058" i="1"/>
  <c r="Q1058" i="1"/>
  <c r="R1058" i="1"/>
  <c r="T1058" i="1" s="1"/>
  <c r="A1059" i="1"/>
  <c r="B1059" i="1"/>
  <c r="C1059" i="1"/>
  <c r="D1059" i="1"/>
  <c r="E1059" i="1"/>
  <c r="F1059" i="1"/>
  <c r="G1059" i="1"/>
  <c r="AE1059" i="1" s="1"/>
  <c r="AG1059" i="1" s="1"/>
  <c r="H1059" i="1"/>
  <c r="I1059" i="1"/>
  <c r="J1059" i="1"/>
  <c r="K1059" i="1"/>
  <c r="L1059" i="1"/>
  <c r="M1059" i="1"/>
  <c r="N1059" i="1"/>
  <c r="O1059" i="1"/>
  <c r="P1059" i="1"/>
  <c r="Q1059" i="1"/>
  <c r="R1059" i="1"/>
  <c r="A1060" i="1"/>
  <c r="B1060" i="1"/>
  <c r="C1060" i="1"/>
  <c r="D1060" i="1"/>
  <c r="E1060" i="1"/>
  <c r="F1060" i="1"/>
  <c r="G1060" i="1"/>
  <c r="AE1060" i="1" s="1"/>
  <c r="AG1060" i="1" s="1"/>
  <c r="H1060" i="1"/>
  <c r="I1060" i="1"/>
  <c r="J1060" i="1"/>
  <c r="K1060" i="1"/>
  <c r="L1060" i="1"/>
  <c r="M1060" i="1"/>
  <c r="N1060" i="1"/>
  <c r="O1060" i="1"/>
  <c r="P1060" i="1"/>
  <c r="Q1060" i="1"/>
  <c r="R1060" i="1"/>
  <c r="W1060" i="1" s="1"/>
  <c r="A1061" i="1"/>
  <c r="B1061" i="1"/>
  <c r="C1061" i="1"/>
  <c r="D1061" i="1"/>
  <c r="E1061" i="1"/>
  <c r="F1061" i="1"/>
  <c r="G1061" i="1"/>
  <c r="AE1061" i="1" s="1"/>
  <c r="AG1061" i="1" s="1"/>
  <c r="H1061" i="1"/>
  <c r="I1061" i="1"/>
  <c r="J1061" i="1"/>
  <c r="K1061" i="1"/>
  <c r="L1061" i="1"/>
  <c r="M1061" i="1"/>
  <c r="N1061" i="1"/>
  <c r="O1061" i="1"/>
  <c r="P1061" i="1"/>
  <c r="Q1061" i="1"/>
  <c r="R1061" i="1"/>
  <c r="A1062" i="1"/>
  <c r="B1062" i="1"/>
  <c r="C1062" i="1"/>
  <c r="D1062" i="1"/>
  <c r="E1062" i="1"/>
  <c r="F1062" i="1"/>
  <c r="Z1062" i="1" s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T1062" i="1" s="1"/>
  <c r="A1063" i="1"/>
  <c r="B1063" i="1"/>
  <c r="C1063" i="1"/>
  <c r="D1063" i="1"/>
  <c r="E1063" i="1"/>
  <c r="F1063" i="1"/>
  <c r="G1063" i="1"/>
  <c r="AE1063" i="1" s="1"/>
  <c r="AG1063" i="1" s="1"/>
  <c r="H1063" i="1"/>
  <c r="I1063" i="1"/>
  <c r="J1063" i="1"/>
  <c r="K1063" i="1"/>
  <c r="L1063" i="1"/>
  <c r="M1063" i="1"/>
  <c r="N1063" i="1"/>
  <c r="O1063" i="1"/>
  <c r="P1063" i="1"/>
  <c r="Q1063" i="1"/>
  <c r="R1063" i="1"/>
  <c r="A1064" i="1"/>
  <c r="B1064" i="1"/>
  <c r="C1064" i="1"/>
  <c r="D1064" i="1"/>
  <c r="E1064" i="1"/>
  <c r="F1064" i="1"/>
  <c r="G1064" i="1"/>
  <c r="AE1064" i="1" s="1"/>
  <c r="AG1064" i="1" s="1"/>
  <c r="H1064" i="1"/>
  <c r="I1064" i="1"/>
  <c r="J1064" i="1"/>
  <c r="K1064" i="1"/>
  <c r="L1064" i="1"/>
  <c r="M1064" i="1"/>
  <c r="N1064" i="1"/>
  <c r="O1064" i="1"/>
  <c r="P1064" i="1"/>
  <c r="Q1064" i="1"/>
  <c r="R1064" i="1"/>
  <c r="A1065" i="1"/>
  <c r="B1065" i="1"/>
  <c r="C1065" i="1"/>
  <c r="D1065" i="1"/>
  <c r="E1065" i="1"/>
  <c r="F1065" i="1"/>
  <c r="G1065" i="1"/>
  <c r="AE1065" i="1" s="1"/>
  <c r="AG1065" i="1" s="1"/>
  <c r="H1065" i="1"/>
  <c r="I1065" i="1"/>
  <c r="J1065" i="1"/>
  <c r="K1065" i="1"/>
  <c r="L1065" i="1"/>
  <c r="M1065" i="1"/>
  <c r="N1065" i="1"/>
  <c r="O1065" i="1"/>
  <c r="P1065" i="1"/>
  <c r="Q1065" i="1"/>
  <c r="R1065" i="1"/>
  <c r="A1066" i="1"/>
  <c r="B1066" i="1"/>
  <c r="C1066" i="1"/>
  <c r="D1066" i="1"/>
  <c r="E1066" i="1"/>
  <c r="F1066" i="1"/>
  <c r="Z1066" i="1" s="1"/>
  <c r="G1066" i="1"/>
  <c r="AE1066" i="1" s="1"/>
  <c r="AG1066" i="1" s="1"/>
  <c r="H1066" i="1"/>
  <c r="I1066" i="1"/>
  <c r="J1066" i="1"/>
  <c r="K1066" i="1"/>
  <c r="L1066" i="1"/>
  <c r="M1066" i="1"/>
  <c r="N1066" i="1"/>
  <c r="O1066" i="1"/>
  <c r="P1066" i="1"/>
  <c r="Q1066" i="1"/>
  <c r="R1066" i="1"/>
  <c r="A1067" i="1"/>
  <c r="B1067" i="1"/>
  <c r="C1067" i="1"/>
  <c r="D1067" i="1"/>
  <c r="E1067" i="1"/>
  <c r="F1067" i="1"/>
  <c r="Z1067" i="1" s="1"/>
  <c r="G1067" i="1"/>
  <c r="AE1067" i="1" s="1"/>
  <c r="AG1067" i="1" s="1"/>
  <c r="H1067" i="1"/>
  <c r="I1067" i="1"/>
  <c r="J1067" i="1"/>
  <c r="K1067" i="1"/>
  <c r="L1067" i="1"/>
  <c r="M1067" i="1"/>
  <c r="N1067" i="1"/>
  <c r="O1067" i="1"/>
  <c r="P1067" i="1"/>
  <c r="Q1067" i="1"/>
  <c r="R1067" i="1"/>
  <c r="U1067" i="1" s="1"/>
  <c r="A1068" i="1"/>
  <c r="B1068" i="1"/>
  <c r="C1068" i="1"/>
  <c r="D1068" i="1"/>
  <c r="E1068" i="1"/>
  <c r="F1068" i="1"/>
  <c r="G1068" i="1"/>
  <c r="AE1068" i="1" s="1"/>
  <c r="AG1068" i="1" s="1"/>
  <c r="H1068" i="1"/>
  <c r="I1068" i="1"/>
  <c r="J1068" i="1"/>
  <c r="K1068" i="1"/>
  <c r="L1068" i="1"/>
  <c r="M1068" i="1"/>
  <c r="N1068" i="1"/>
  <c r="O1068" i="1"/>
  <c r="P1068" i="1"/>
  <c r="Q1068" i="1"/>
  <c r="R1068" i="1"/>
  <c r="W1068" i="1" s="1"/>
  <c r="A1069" i="1"/>
  <c r="B1069" i="1"/>
  <c r="C1069" i="1"/>
  <c r="D1069" i="1"/>
  <c r="E1069" i="1"/>
  <c r="F1069" i="1"/>
  <c r="G1069" i="1"/>
  <c r="AE1069" i="1" s="1"/>
  <c r="AG1069" i="1" s="1"/>
  <c r="H1069" i="1"/>
  <c r="I1069" i="1"/>
  <c r="J1069" i="1"/>
  <c r="K1069" i="1"/>
  <c r="L1069" i="1"/>
  <c r="M1069" i="1"/>
  <c r="N1069" i="1"/>
  <c r="O1069" i="1"/>
  <c r="P1069" i="1"/>
  <c r="Q1069" i="1"/>
  <c r="R106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A1070" i="1"/>
  <c r="B1070" i="1"/>
  <c r="C1070" i="1"/>
  <c r="D1070" i="1"/>
  <c r="E1070" i="1"/>
  <c r="F1070" i="1"/>
  <c r="Z1070" i="1" s="1"/>
  <c r="G1070" i="1"/>
  <c r="AE1070" i="1" s="1"/>
  <c r="AG1070" i="1" s="1"/>
  <c r="H1070" i="1"/>
  <c r="I1070" i="1"/>
  <c r="J1070" i="1"/>
  <c r="K1070" i="1"/>
  <c r="L1070" i="1"/>
  <c r="M1070" i="1"/>
  <c r="N1070" i="1"/>
  <c r="O1070" i="1"/>
  <c r="P1070" i="1"/>
  <c r="Q1070" i="1"/>
  <c r="R1070" i="1"/>
  <c r="A1071" i="1"/>
  <c r="B1071" i="1"/>
  <c r="C1071" i="1"/>
  <c r="D1071" i="1"/>
  <c r="E1071" i="1"/>
  <c r="F1071" i="1"/>
  <c r="Z1071" i="1" s="1"/>
  <c r="G1071" i="1"/>
  <c r="AE1071" i="1" s="1"/>
  <c r="AG1071" i="1" s="1"/>
  <c r="H1071" i="1"/>
  <c r="I1071" i="1"/>
  <c r="J1071" i="1"/>
  <c r="K1071" i="1"/>
  <c r="L1071" i="1"/>
  <c r="M1071" i="1"/>
  <c r="N1071" i="1"/>
  <c r="O1071" i="1"/>
  <c r="P1071" i="1"/>
  <c r="Q1071" i="1"/>
  <c r="R1071" i="1"/>
  <c r="A1072" i="1"/>
  <c r="B1072" i="1"/>
  <c r="C1072" i="1"/>
  <c r="D1072" i="1"/>
  <c r="E1072" i="1"/>
  <c r="F1072" i="1"/>
  <c r="Z1072" i="1" s="1"/>
  <c r="G1072" i="1"/>
  <c r="AE1072" i="1" s="1"/>
  <c r="AG1072" i="1" s="1"/>
  <c r="H1072" i="1"/>
  <c r="I1072" i="1"/>
  <c r="J1072" i="1"/>
  <c r="K1072" i="1"/>
  <c r="L1072" i="1"/>
  <c r="M1072" i="1"/>
  <c r="N1072" i="1"/>
  <c r="O1072" i="1"/>
  <c r="P1072" i="1"/>
  <c r="Q1072" i="1"/>
  <c r="R1072" i="1"/>
  <c r="A1073" i="1"/>
  <c r="B1073" i="1"/>
  <c r="C1073" i="1"/>
  <c r="D1073" i="1"/>
  <c r="E1073" i="1"/>
  <c r="F1073" i="1"/>
  <c r="G1073" i="1"/>
  <c r="AE1073" i="1" s="1"/>
  <c r="AG1073" i="1" s="1"/>
  <c r="H1073" i="1"/>
  <c r="I1073" i="1"/>
  <c r="J1073" i="1"/>
  <c r="K1073" i="1"/>
  <c r="L1073" i="1"/>
  <c r="M1073" i="1"/>
  <c r="N1073" i="1"/>
  <c r="O1073" i="1"/>
  <c r="P1073" i="1"/>
  <c r="Q1073" i="1"/>
  <c r="R1073" i="1"/>
  <c r="A1074" i="1"/>
  <c r="B1074" i="1"/>
  <c r="C1074" i="1"/>
  <c r="D1074" i="1"/>
  <c r="E1074" i="1"/>
  <c r="F1074" i="1"/>
  <c r="G1074" i="1"/>
  <c r="AE1074" i="1" s="1"/>
  <c r="AG1074" i="1" s="1"/>
  <c r="H1074" i="1"/>
  <c r="I1074" i="1"/>
  <c r="J1074" i="1"/>
  <c r="K1074" i="1"/>
  <c r="L1074" i="1"/>
  <c r="M1074" i="1"/>
  <c r="N1074" i="1"/>
  <c r="O1074" i="1"/>
  <c r="P1074" i="1"/>
  <c r="Q1074" i="1"/>
  <c r="R1074" i="1"/>
  <c r="T1074" i="1" s="1"/>
  <c r="A1075" i="1"/>
  <c r="B1075" i="1"/>
  <c r="C1075" i="1"/>
  <c r="D1075" i="1"/>
  <c r="E1075" i="1"/>
  <c r="F1075" i="1"/>
  <c r="G1075" i="1"/>
  <c r="AE1075" i="1" s="1"/>
  <c r="AG1075" i="1" s="1"/>
  <c r="H1075" i="1"/>
  <c r="I1075" i="1"/>
  <c r="J1075" i="1"/>
  <c r="K1075" i="1"/>
  <c r="L1075" i="1"/>
  <c r="M1075" i="1"/>
  <c r="N1075" i="1"/>
  <c r="O1075" i="1"/>
  <c r="P1075" i="1"/>
  <c r="Q1075" i="1"/>
  <c r="R1075" i="1"/>
  <c r="A1076" i="1"/>
  <c r="B1076" i="1"/>
  <c r="C1076" i="1"/>
  <c r="D1076" i="1"/>
  <c r="E1076" i="1"/>
  <c r="F1076" i="1"/>
  <c r="Z1076" i="1" s="1"/>
  <c r="G1076" i="1"/>
  <c r="AE1076" i="1" s="1"/>
  <c r="AG1076" i="1" s="1"/>
  <c r="H1076" i="1"/>
  <c r="I1076" i="1"/>
  <c r="J1076" i="1"/>
  <c r="K1076" i="1"/>
  <c r="L1076" i="1"/>
  <c r="M1076" i="1"/>
  <c r="N1076" i="1"/>
  <c r="O1076" i="1"/>
  <c r="P1076" i="1"/>
  <c r="Q1076" i="1"/>
  <c r="R1076" i="1"/>
  <c r="A1077" i="1"/>
  <c r="B1077" i="1"/>
  <c r="C1077" i="1"/>
  <c r="D1077" i="1"/>
  <c r="E1077" i="1"/>
  <c r="F1077" i="1"/>
  <c r="Z1077" i="1" s="1"/>
  <c r="G1077" i="1"/>
  <c r="AE1077" i="1" s="1"/>
  <c r="AG1077" i="1" s="1"/>
  <c r="H1077" i="1"/>
  <c r="I1077" i="1"/>
  <c r="J1077" i="1"/>
  <c r="K1077" i="1"/>
  <c r="L1077" i="1"/>
  <c r="M1077" i="1"/>
  <c r="N1077" i="1"/>
  <c r="O1077" i="1"/>
  <c r="P1077" i="1"/>
  <c r="Q1077" i="1"/>
  <c r="R1077" i="1"/>
  <c r="A1078" i="1"/>
  <c r="B1078" i="1"/>
  <c r="C1078" i="1"/>
  <c r="D1078" i="1"/>
  <c r="E1078" i="1"/>
  <c r="F1078" i="1"/>
  <c r="G1078" i="1"/>
  <c r="AE1078" i="1" s="1"/>
  <c r="AG1078" i="1" s="1"/>
  <c r="H1078" i="1"/>
  <c r="I1078" i="1"/>
  <c r="J1078" i="1"/>
  <c r="K1078" i="1"/>
  <c r="L1078" i="1"/>
  <c r="M1078" i="1"/>
  <c r="N1078" i="1"/>
  <c r="O1078" i="1"/>
  <c r="P1078" i="1"/>
  <c r="Q1078" i="1"/>
  <c r="R1078" i="1"/>
  <c r="A1079" i="1"/>
  <c r="B1079" i="1"/>
  <c r="C1079" i="1"/>
  <c r="D1079" i="1"/>
  <c r="E1079" i="1"/>
  <c r="F1079" i="1"/>
  <c r="Z1079" i="1" s="1"/>
  <c r="G1079" i="1"/>
  <c r="AE1079" i="1" s="1"/>
  <c r="AG1079" i="1" s="1"/>
  <c r="H1079" i="1"/>
  <c r="I1079" i="1"/>
  <c r="J1079" i="1"/>
  <c r="K1079" i="1"/>
  <c r="L1079" i="1"/>
  <c r="M1079" i="1"/>
  <c r="N1079" i="1"/>
  <c r="O1079" i="1"/>
  <c r="P1079" i="1"/>
  <c r="Q1079" i="1"/>
  <c r="R1079" i="1"/>
  <c r="A1080" i="1"/>
  <c r="B1080" i="1"/>
  <c r="C1080" i="1"/>
  <c r="D1080" i="1"/>
  <c r="E1080" i="1"/>
  <c r="F1080" i="1"/>
  <c r="Z1080" i="1" s="1"/>
  <c r="G1080" i="1"/>
  <c r="AE1080" i="1" s="1"/>
  <c r="AG1080" i="1" s="1"/>
  <c r="H1080" i="1"/>
  <c r="I1080" i="1"/>
  <c r="J1080" i="1"/>
  <c r="K1080" i="1"/>
  <c r="L1080" i="1"/>
  <c r="M1080" i="1"/>
  <c r="N1080" i="1"/>
  <c r="O1080" i="1"/>
  <c r="P1080" i="1"/>
  <c r="Q1080" i="1"/>
  <c r="R1080" i="1"/>
  <c r="U1080" i="1" s="1"/>
  <c r="A1081" i="1"/>
  <c r="B1081" i="1"/>
  <c r="C1081" i="1"/>
  <c r="D1081" i="1"/>
  <c r="E1081" i="1"/>
  <c r="F1081" i="1"/>
  <c r="G1081" i="1"/>
  <c r="AE1081" i="1" s="1"/>
  <c r="AG1081" i="1" s="1"/>
  <c r="H1081" i="1"/>
  <c r="I1081" i="1"/>
  <c r="J1081" i="1"/>
  <c r="K1081" i="1"/>
  <c r="L1081" i="1"/>
  <c r="M1081" i="1"/>
  <c r="N1081" i="1"/>
  <c r="O1081" i="1"/>
  <c r="P1081" i="1"/>
  <c r="Q1081" i="1"/>
  <c r="R1081" i="1"/>
  <c r="T1081" i="1" s="1"/>
  <c r="A1082" i="1"/>
  <c r="B1082" i="1"/>
  <c r="C1082" i="1"/>
  <c r="D1082" i="1"/>
  <c r="E1082" i="1"/>
  <c r="F1082" i="1"/>
  <c r="G1082" i="1"/>
  <c r="AE1082" i="1" s="1"/>
  <c r="AG1082" i="1" s="1"/>
  <c r="H1082" i="1"/>
  <c r="I1082" i="1"/>
  <c r="J1082" i="1"/>
  <c r="K1082" i="1"/>
  <c r="L1082" i="1"/>
  <c r="M1082" i="1"/>
  <c r="N1082" i="1"/>
  <c r="O1082" i="1"/>
  <c r="P1082" i="1"/>
  <c r="Q1082" i="1"/>
  <c r="R1082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A1083" i="1"/>
  <c r="B1083" i="1"/>
  <c r="C1083" i="1"/>
  <c r="D1083" i="1"/>
  <c r="E1083" i="1"/>
  <c r="F1083" i="1"/>
  <c r="G1083" i="1"/>
  <c r="AE1083" i="1" s="1"/>
  <c r="AG1083" i="1" s="1"/>
  <c r="H1083" i="1"/>
  <c r="I1083" i="1"/>
  <c r="J1083" i="1"/>
  <c r="K1083" i="1"/>
  <c r="L1083" i="1"/>
  <c r="M1083" i="1"/>
  <c r="N1083" i="1"/>
  <c r="O1083" i="1"/>
  <c r="P1083" i="1"/>
  <c r="Q1083" i="1"/>
  <c r="R1083" i="1"/>
  <c r="U1083" i="1" s="1"/>
  <c r="A1084" i="1"/>
  <c r="B1084" i="1"/>
  <c r="C1084" i="1"/>
  <c r="D1084" i="1"/>
  <c r="E1084" i="1"/>
  <c r="F1084" i="1"/>
  <c r="Z1084" i="1" s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T1084" i="1" s="1"/>
  <c r="A1085" i="1"/>
  <c r="B1085" i="1"/>
  <c r="C1085" i="1"/>
  <c r="D1085" i="1"/>
  <c r="E1085" i="1"/>
  <c r="F1085" i="1"/>
  <c r="G1085" i="1"/>
  <c r="AE1085" i="1" s="1"/>
  <c r="AG1085" i="1" s="1"/>
  <c r="H1085" i="1"/>
  <c r="I1085" i="1"/>
  <c r="J1085" i="1"/>
  <c r="K1085" i="1"/>
  <c r="L1085" i="1"/>
  <c r="M1085" i="1"/>
  <c r="N1085" i="1"/>
  <c r="O1085" i="1"/>
  <c r="P1085" i="1"/>
  <c r="Q1085" i="1"/>
  <c r="R1085" i="1"/>
  <c r="A1086" i="1"/>
  <c r="B1086" i="1"/>
  <c r="C1086" i="1"/>
  <c r="D1086" i="1"/>
  <c r="E1086" i="1"/>
  <c r="F1086" i="1"/>
  <c r="G1086" i="1"/>
  <c r="AE1086" i="1" s="1"/>
  <c r="AG1086" i="1" s="1"/>
  <c r="H1086" i="1"/>
  <c r="I1086" i="1"/>
  <c r="J1086" i="1"/>
  <c r="K1086" i="1"/>
  <c r="L1086" i="1"/>
  <c r="M1086" i="1"/>
  <c r="N1086" i="1"/>
  <c r="O1086" i="1"/>
  <c r="P1086" i="1"/>
  <c r="Q1086" i="1"/>
  <c r="R1086" i="1"/>
  <c r="T1086" i="1" s="1"/>
  <c r="A1087" i="1"/>
  <c r="B1087" i="1"/>
  <c r="C1087" i="1"/>
  <c r="D1087" i="1"/>
  <c r="E1087" i="1"/>
  <c r="F1087" i="1"/>
  <c r="G1087" i="1"/>
  <c r="AE1087" i="1" s="1"/>
  <c r="AG1087" i="1" s="1"/>
  <c r="H1087" i="1"/>
  <c r="I1087" i="1"/>
  <c r="J1087" i="1"/>
  <c r="K1087" i="1"/>
  <c r="L1087" i="1"/>
  <c r="M1087" i="1"/>
  <c r="N1087" i="1"/>
  <c r="O1087" i="1"/>
  <c r="P1087" i="1"/>
  <c r="Q1087" i="1"/>
  <c r="R1087" i="1"/>
  <c r="A1088" i="1"/>
  <c r="B1088" i="1"/>
  <c r="C1088" i="1"/>
  <c r="D1088" i="1"/>
  <c r="E1088" i="1"/>
  <c r="F1088" i="1"/>
  <c r="G1088" i="1"/>
  <c r="AE1088" i="1" s="1"/>
  <c r="AG1088" i="1" s="1"/>
  <c r="H1088" i="1"/>
  <c r="I1088" i="1"/>
  <c r="J1088" i="1"/>
  <c r="K1088" i="1"/>
  <c r="L1088" i="1"/>
  <c r="M1088" i="1"/>
  <c r="N1088" i="1"/>
  <c r="O1088" i="1"/>
  <c r="P1088" i="1"/>
  <c r="Q1088" i="1"/>
  <c r="R1088" i="1"/>
  <c r="A1089" i="1"/>
  <c r="B1089" i="1"/>
  <c r="C1089" i="1"/>
  <c r="D1089" i="1"/>
  <c r="E1089" i="1"/>
  <c r="F1089" i="1"/>
  <c r="Z1089" i="1" s="1"/>
  <c r="G1089" i="1"/>
  <c r="AE1089" i="1" s="1"/>
  <c r="AG1089" i="1" s="1"/>
  <c r="H1089" i="1"/>
  <c r="I1089" i="1"/>
  <c r="J1089" i="1"/>
  <c r="K1089" i="1"/>
  <c r="L1089" i="1"/>
  <c r="M1089" i="1"/>
  <c r="N1089" i="1"/>
  <c r="O1089" i="1"/>
  <c r="P1089" i="1"/>
  <c r="Q1089" i="1"/>
  <c r="R1089" i="1"/>
  <c r="A31" i="1"/>
  <c r="B31" i="1"/>
  <c r="C31" i="1"/>
  <c r="D31" i="1"/>
  <c r="E31" i="1"/>
  <c r="F31" i="1"/>
  <c r="G31" i="1"/>
  <c r="AE31" i="1" s="1"/>
  <c r="AG31" i="1" s="1"/>
  <c r="H31" i="1"/>
  <c r="I31" i="1"/>
  <c r="J31" i="1"/>
  <c r="K31" i="1"/>
  <c r="L31" i="1"/>
  <c r="M31" i="1"/>
  <c r="N31" i="1"/>
  <c r="O31" i="1"/>
  <c r="P31" i="1"/>
  <c r="Q31" i="1"/>
  <c r="R31" i="1"/>
  <c r="U31" i="1" s="1"/>
  <c r="A1090" i="1"/>
  <c r="B1090" i="1"/>
  <c r="C1090" i="1"/>
  <c r="D1090" i="1"/>
  <c r="E1090" i="1"/>
  <c r="F1090" i="1"/>
  <c r="G1090" i="1"/>
  <c r="AE1090" i="1" s="1"/>
  <c r="AG1090" i="1" s="1"/>
  <c r="H1090" i="1"/>
  <c r="I1090" i="1"/>
  <c r="J1090" i="1"/>
  <c r="K1090" i="1"/>
  <c r="L1090" i="1"/>
  <c r="M1090" i="1"/>
  <c r="N1090" i="1"/>
  <c r="O1090" i="1"/>
  <c r="P1090" i="1"/>
  <c r="Q1090" i="1"/>
  <c r="R1090" i="1"/>
  <c r="U1090" i="1" s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U185" i="1" s="1"/>
  <c r="A1091" i="1"/>
  <c r="B1091" i="1"/>
  <c r="C1091" i="1"/>
  <c r="D1091" i="1"/>
  <c r="E1091" i="1"/>
  <c r="F1091" i="1"/>
  <c r="G1091" i="1"/>
  <c r="AE1091" i="1" s="1"/>
  <c r="AG1091" i="1" s="1"/>
  <c r="H1091" i="1"/>
  <c r="I1091" i="1"/>
  <c r="J1091" i="1"/>
  <c r="K1091" i="1"/>
  <c r="L1091" i="1"/>
  <c r="M1091" i="1"/>
  <c r="N1091" i="1"/>
  <c r="O1091" i="1"/>
  <c r="P1091" i="1"/>
  <c r="Q1091" i="1"/>
  <c r="R1091" i="1"/>
  <c r="T1091" i="1" s="1"/>
  <c r="A1092" i="1"/>
  <c r="B1092" i="1"/>
  <c r="C1092" i="1"/>
  <c r="D1092" i="1"/>
  <c r="E1092" i="1"/>
  <c r="F1092" i="1"/>
  <c r="G1092" i="1"/>
  <c r="AE1092" i="1" s="1"/>
  <c r="AG1092" i="1" s="1"/>
  <c r="H1092" i="1"/>
  <c r="I1092" i="1"/>
  <c r="J1092" i="1"/>
  <c r="K1092" i="1"/>
  <c r="L1092" i="1"/>
  <c r="M1092" i="1"/>
  <c r="N1092" i="1"/>
  <c r="O1092" i="1"/>
  <c r="P1092" i="1"/>
  <c r="Q1092" i="1"/>
  <c r="R1092" i="1"/>
  <c r="T1092" i="1" s="1"/>
  <c r="A1093" i="1"/>
  <c r="B1093" i="1"/>
  <c r="C1093" i="1"/>
  <c r="D1093" i="1"/>
  <c r="E1093" i="1"/>
  <c r="F1093" i="1"/>
  <c r="G1093" i="1"/>
  <c r="AE1093" i="1" s="1"/>
  <c r="AG1093" i="1" s="1"/>
  <c r="H1093" i="1"/>
  <c r="I1093" i="1"/>
  <c r="J1093" i="1"/>
  <c r="K1093" i="1"/>
  <c r="L1093" i="1"/>
  <c r="M1093" i="1"/>
  <c r="N1093" i="1"/>
  <c r="O1093" i="1"/>
  <c r="P1093" i="1"/>
  <c r="Q1093" i="1"/>
  <c r="R1093" i="1"/>
  <c r="U1093" i="1" s="1"/>
  <c r="A1094" i="1"/>
  <c r="B1094" i="1"/>
  <c r="C1094" i="1"/>
  <c r="D1094" i="1"/>
  <c r="E1094" i="1"/>
  <c r="F1094" i="1"/>
  <c r="Z1094" i="1" s="1"/>
  <c r="G1094" i="1"/>
  <c r="AE1094" i="1" s="1"/>
  <c r="AG1094" i="1" s="1"/>
  <c r="H1094" i="1"/>
  <c r="I1094" i="1"/>
  <c r="J1094" i="1"/>
  <c r="K1094" i="1"/>
  <c r="L1094" i="1"/>
  <c r="M1094" i="1"/>
  <c r="N1094" i="1"/>
  <c r="O1094" i="1"/>
  <c r="P1094" i="1"/>
  <c r="Q1094" i="1"/>
  <c r="R1094" i="1"/>
  <c r="A1095" i="1"/>
  <c r="B1095" i="1"/>
  <c r="C1095" i="1"/>
  <c r="D1095" i="1"/>
  <c r="E1095" i="1"/>
  <c r="F1095" i="1"/>
  <c r="Z1095" i="1" s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A1096" i="1"/>
  <c r="B1096" i="1"/>
  <c r="C1096" i="1"/>
  <c r="D1096" i="1"/>
  <c r="E1096" i="1"/>
  <c r="F1096" i="1"/>
  <c r="G1096" i="1"/>
  <c r="AE1096" i="1" s="1"/>
  <c r="AG1096" i="1" s="1"/>
  <c r="H1096" i="1"/>
  <c r="I1096" i="1"/>
  <c r="J1096" i="1"/>
  <c r="K1096" i="1"/>
  <c r="L1096" i="1"/>
  <c r="M1096" i="1"/>
  <c r="N1096" i="1"/>
  <c r="O1096" i="1"/>
  <c r="P1096" i="1"/>
  <c r="Q1096" i="1"/>
  <c r="R1096" i="1"/>
  <c r="A1097" i="1"/>
  <c r="B1097" i="1"/>
  <c r="C1097" i="1"/>
  <c r="D1097" i="1"/>
  <c r="E1097" i="1"/>
  <c r="F1097" i="1"/>
  <c r="G1097" i="1"/>
  <c r="AE1097" i="1" s="1"/>
  <c r="AG1097" i="1" s="1"/>
  <c r="H1097" i="1"/>
  <c r="I1097" i="1"/>
  <c r="J1097" i="1"/>
  <c r="K1097" i="1"/>
  <c r="L1097" i="1"/>
  <c r="M1097" i="1"/>
  <c r="N1097" i="1"/>
  <c r="O1097" i="1"/>
  <c r="P1097" i="1"/>
  <c r="Q1097" i="1"/>
  <c r="R1097" i="1"/>
  <c r="U1097" i="1" s="1"/>
  <c r="A1098" i="1"/>
  <c r="B1098" i="1"/>
  <c r="C1098" i="1"/>
  <c r="D1098" i="1"/>
  <c r="E1098" i="1"/>
  <c r="F1098" i="1"/>
  <c r="Z1098" i="1" s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A1099" i="1"/>
  <c r="B1099" i="1"/>
  <c r="C1099" i="1"/>
  <c r="D1099" i="1"/>
  <c r="E1099" i="1"/>
  <c r="F1099" i="1"/>
  <c r="Z1099" i="1" s="1"/>
  <c r="G1099" i="1"/>
  <c r="AE1099" i="1" s="1"/>
  <c r="AG1099" i="1" s="1"/>
  <c r="H1099" i="1"/>
  <c r="I1099" i="1"/>
  <c r="J1099" i="1"/>
  <c r="K1099" i="1"/>
  <c r="L1099" i="1"/>
  <c r="M1099" i="1"/>
  <c r="N1099" i="1"/>
  <c r="O1099" i="1"/>
  <c r="P1099" i="1"/>
  <c r="Q1099" i="1"/>
  <c r="R1099" i="1"/>
  <c r="A1100" i="1"/>
  <c r="B1100" i="1"/>
  <c r="C1100" i="1"/>
  <c r="D1100" i="1"/>
  <c r="E1100" i="1"/>
  <c r="F1100" i="1"/>
  <c r="G1100" i="1"/>
  <c r="AE1100" i="1" s="1"/>
  <c r="AG1100" i="1" s="1"/>
  <c r="H1100" i="1"/>
  <c r="I1100" i="1"/>
  <c r="J1100" i="1"/>
  <c r="K1100" i="1"/>
  <c r="L1100" i="1"/>
  <c r="M1100" i="1"/>
  <c r="N1100" i="1"/>
  <c r="O1100" i="1"/>
  <c r="P1100" i="1"/>
  <c r="Q1100" i="1"/>
  <c r="R1100" i="1"/>
  <c r="A1101" i="1"/>
  <c r="B1101" i="1"/>
  <c r="C1101" i="1"/>
  <c r="D1101" i="1"/>
  <c r="E1101" i="1"/>
  <c r="F1101" i="1"/>
  <c r="Z1101" i="1" s="1"/>
  <c r="G1101" i="1"/>
  <c r="AE1101" i="1" s="1"/>
  <c r="AG1101" i="1" s="1"/>
  <c r="H1101" i="1"/>
  <c r="I1101" i="1"/>
  <c r="J1101" i="1"/>
  <c r="K1101" i="1"/>
  <c r="L1101" i="1"/>
  <c r="M1101" i="1"/>
  <c r="N1101" i="1"/>
  <c r="O1101" i="1"/>
  <c r="P1101" i="1"/>
  <c r="Q1101" i="1"/>
  <c r="R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A1103" i="1"/>
  <c r="B1103" i="1"/>
  <c r="C1103" i="1"/>
  <c r="D1103" i="1"/>
  <c r="E1103" i="1"/>
  <c r="F1103" i="1"/>
  <c r="Z1103" i="1" s="1"/>
  <c r="G1103" i="1"/>
  <c r="AE1103" i="1" s="1"/>
  <c r="AG1103" i="1" s="1"/>
  <c r="H1103" i="1"/>
  <c r="I1103" i="1"/>
  <c r="J1103" i="1"/>
  <c r="K1103" i="1"/>
  <c r="L1103" i="1"/>
  <c r="M1103" i="1"/>
  <c r="N1103" i="1"/>
  <c r="O1103" i="1"/>
  <c r="P1103" i="1"/>
  <c r="Q1103" i="1"/>
  <c r="R1103" i="1"/>
  <c r="A1104" i="1"/>
  <c r="B1104" i="1"/>
  <c r="C1104" i="1"/>
  <c r="D1104" i="1"/>
  <c r="E1104" i="1"/>
  <c r="F1104" i="1"/>
  <c r="G1104" i="1"/>
  <c r="AE1104" i="1" s="1"/>
  <c r="AG1104" i="1" s="1"/>
  <c r="H1104" i="1"/>
  <c r="I1104" i="1"/>
  <c r="J1104" i="1"/>
  <c r="K1104" i="1"/>
  <c r="L1104" i="1"/>
  <c r="M1104" i="1"/>
  <c r="N1104" i="1"/>
  <c r="O1104" i="1"/>
  <c r="P1104" i="1"/>
  <c r="Q1104" i="1"/>
  <c r="R1104" i="1"/>
  <c r="T1104" i="1" s="1"/>
  <c r="A1105" i="1"/>
  <c r="B1105" i="1"/>
  <c r="C1105" i="1"/>
  <c r="D1105" i="1"/>
  <c r="E1105" i="1"/>
  <c r="F1105" i="1"/>
  <c r="Z1105" i="1" s="1"/>
  <c r="G1105" i="1"/>
  <c r="AE1105" i="1" s="1"/>
  <c r="AG1105" i="1" s="1"/>
  <c r="H1105" i="1"/>
  <c r="I1105" i="1"/>
  <c r="J1105" i="1"/>
  <c r="K1105" i="1"/>
  <c r="L1105" i="1"/>
  <c r="M1105" i="1"/>
  <c r="N1105" i="1"/>
  <c r="O1105" i="1"/>
  <c r="P1105" i="1"/>
  <c r="Q1105" i="1"/>
  <c r="R1105" i="1"/>
  <c r="T1105" i="1" s="1"/>
  <c r="A1106" i="1"/>
  <c r="B1106" i="1"/>
  <c r="C1106" i="1"/>
  <c r="D1106" i="1"/>
  <c r="E1106" i="1"/>
  <c r="F1106" i="1"/>
  <c r="Z1106" i="1" s="1"/>
  <c r="G1106" i="1"/>
  <c r="AE1106" i="1" s="1"/>
  <c r="AG1106" i="1" s="1"/>
  <c r="H1106" i="1"/>
  <c r="I1106" i="1"/>
  <c r="J1106" i="1"/>
  <c r="K1106" i="1"/>
  <c r="L1106" i="1"/>
  <c r="M1106" i="1"/>
  <c r="N1106" i="1"/>
  <c r="O1106" i="1"/>
  <c r="P1106" i="1"/>
  <c r="Q1106" i="1"/>
  <c r="R1106" i="1"/>
  <c r="A1107" i="1"/>
  <c r="B1107" i="1"/>
  <c r="C1107" i="1"/>
  <c r="D1107" i="1"/>
  <c r="E1107" i="1"/>
  <c r="F1107" i="1"/>
  <c r="G1107" i="1"/>
  <c r="AE1107" i="1" s="1"/>
  <c r="AG1107" i="1" s="1"/>
  <c r="H1107" i="1"/>
  <c r="I1107" i="1"/>
  <c r="J1107" i="1"/>
  <c r="K1107" i="1"/>
  <c r="L1107" i="1"/>
  <c r="M1107" i="1"/>
  <c r="N1107" i="1"/>
  <c r="O1107" i="1"/>
  <c r="P1107" i="1"/>
  <c r="Q1107" i="1"/>
  <c r="R1107" i="1"/>
  <c r="A1108" i="1"/>
  <c r="B1108" i="1"/>
  <c r="C1108" i="1"/>
  <c r="D1108" i="1"/>
  <c r="E1108" i="1"/>
  <c r="F1108" i="1"/>
  <c r="G1108" i="1"/>
  <c r="AE1108" i="1" s="1"/>
  <c r="AG1108" i="1" s="1"/>
  <c r="H1108" i="1"/>
  <c r="I1108" i="1"/>
  <c r="J1108" i="1"/>
  <c r="K1108" i="1"/>
  <c r="L1108" i="1"/>
  <c r="M1108" i="1"/>
  <c r="N1108" i="1"/>
  <c r="O1108" i="1"/>
  <c r="P1108" i="1"/>
  <c r="Q1108" i="1"/>
  <c r="R1108" i="1"/>
  <c r="A1109" i="1"/>
  <c r="B1109" i="1"/>
  <c r="C1109" i="1"/>
  <c r="D1109" i="1"/>
  <c r="E1109" i="1"/>
  <c r="F1109" i="1"/>
  <c r="G1109" i="1"/>
  <c r="AE1109" i="1" s="1"/>
  <c r="AG1109" i="1" s="1"/>
  <c r="H1109" i="1"/>
  <c r="I1109" i="1"/>
  <c r="J1109" i="1"/>
  <c r="K1109" i="1"/>
  <c r="L1109" i="1"/>
  <c r="M1109" i="1"/>
  <c r="N1109" i="1"/>
  <c r="O1109" i="1"/>
  <c r="P1109" i="1"/>
  <c r="Q1109" i="1"/>
  <c r="R1109" i="1"/>
  <c r="A1110" i="1"/>
  <c r="B1110" i="1"/>
  <c r="C1110" i="1"/>
  <c r="D1110" i="1"/>
  <c r="E1110" i="1"/>
  <c r="F1110" i="1"/>
  <c r="Z1110" i="1" s="1"/>
  <c r="G1110" i="1"/>
  <c r="AE1110" i="1" s="1"/>
  <c r="AG1110" i="1" s="1"/>
  <c r="H1110" i="1"/>
  <c r="I1110" i="1"/>
  <c r="J1110" i="1"/>
  <c r="K1110" i="1"/>
  <c r="L1110" i="1"/>
  <c r="M1110" i="1"/>
  <c r="N1110" i="1"/>
  <c r="O1110" i="1"/>
  <c r="P1110" i="1"/>
  <c r="Q1110" i="1"/>
  <c r="R1110" i="1"/>
  <c r="A1111" i="1"/>
  <c r="B1111" i="1"/>
  <c r="C1111" i="1"/>
  <c r="D1111" i="1"/>
  <c r="E1111" i="1"/>
  <c r="F1111" i="1"/>
  <c r="Z1111" i="1" s="1"/>
  <c r="G1111" i="1"/>
  <c r="AE1111" i="1" s="1"/>
  <c r="AG1111" i="1" s="1"/>
  <c r="H1111" i="1"/>
  <c r="I1111" i="1"/>
  <c r="J1111" i="1"/>
  <c r="K1111" i="1"/>
  <c r="L1111" i="1"/>
  <c r="M1111" i="1"/>
  <c r="N1111" i="1"/>
  <c r="O1111" i="1"/>
  <c r="P1111" i="1"/>
  <c r="Q1111" i="1"/>
  <c r="R1111" i="1"/>
  <c r="A1112" i="1"/>
  <c r="B1112" i="1"/>
  <c r="C1112" i="1"/>
  <c r="D1112" i="1"/>
  <c r="E1112" i="1"/>
  <c r="F1112" i="1"/>
  <c r="G1112" i="1"/>
  <c r="AE1112" i="1" s="1"/>
  <c r="AG1112" i="1" s="1"/>
  <c r="H1112" i="1"/>
  <c r="I1112" i="1"/>
  <c r="J1112" i="1"/>
  <c r="K1112" i="1"/>
  <c r="L1112" i="1"/>
  <c r="M1112" i="1"/>
  <c r="N1112" i="1"/>
  <c r="O1112" i="1"/>
  <c r="P1112" i="1"/>
  <c r="Q1112" i="1"/>
  <c r="R1112" i="1"/>
  <c r="U1112" i="1" s="1"/>
  <c r="A1113" i="1"/>
  <c r="B1113" i="1"/>
  <c r="C1113" i="1"/>
  <c r="D1113" i="1"/>
  <c r="E1113" i="1"/>
  <c r="F1113" i="1"/>
  <c r="Z1113" i="1" s="1"/>
  <c r="G1113" i="1"/>
  <c r="AE1113" i="1" s="1"/>
  <c r="AG1113" i="1" s="1"/>
  <c r="H1113" i="1"/>
  <c r="I1113" i="1"/>
  <c r="J1113" i="1"/>
  <c r="K1113" i="1"/>
  <c r="L1113" i="1"/>
  <c r="M1113" i="1"/>
  <c r="N1113" i="1"/>
  <c r="O1113" i="1"/>
  <c r="P1113" i="1"/>
  <c r="Q1113" i="1"/>
  <c r="R1113" i="1"/>
  <c r="A1114" i="1"/>
  <c r="B1114" i="1"/>
  <c r="C1114" i="1"/>
  <c r="D1114" i="1"/>
  <c r="E1114" i="1"/>
  <c r="F1114" i="1"/>
  <c r="G1114" i="1"/>
  <c r="AE1114" i="1" s="1"/>
  <c r="AG1114" i="1" s="1"/>
  <c r="H1114" i="1"/>
  <c r="I1114" i="1"/>
  <c r="J1114" i="1"/>
  <c r="K1114" i="1"/>
  <c r="L1114" i="1"/>
  <c r="M1114" i="1"/>
  <c r="N1114" i="1"/>
  <c r="O1114" i="1"/>
  <c r="P1114" i="1"/>
  <c r="Q1114" i="1"/>
  <c r="R1114" i="1"/>
  <c r="A208" i="1"/>
  <c r="B208" i="1"/>
  <c r="C208" i="1"/>
  <c r="D208" i="1"/>
  <c r="E208" i="1"/>
  <c r="F208" i="1"/>
  <c r="Z208" i="1" s="1"/>
  <c r="G208" i="1"/>
  <c r="H208" i="1"/>
  <c r="I208" i="1"/>
  <c r="J208" i="1"/>
  <c r="K208" i="1"/>
  <c r="L208" i="1"/>
  <c r="M208" i="1"/>
  <c r="N208" i="1"/>
  <c r="O208" i="1"/>
  <c r="P208" i="1"/>
  <c r="Q208" i="1"/>
  <c r="R208" i="1"/>
  <c r="A613" i="1"/>
  <c r="B613" i="1"/>
  <c r="C613" i="1"/>
  <c r="D613" i="1"/>
  <c r="E613" i="1"/>
  <c r="F613" i="1"/>
  <c r="Z613" i="1" s="1"/>
  <c r="G613" i="1"/>
  <c r="H613" i="1"/>
  <c r="I613" i="1"/>
  <c r="J613" i="1"/>
  <c r="K613" i="1"/>
  <c r="L613" i="1"/>
  <c r="M613" i="1"/>
  <c r="N613" i="1"/>
  <c r="O613" i="1"/>
  <c r="P613" i="1"/>
  <c r="Q613" i="1"/>
  <c r="R613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A1115" i="1"/>
  <c r="B1115" i="1"/>
  <c r="C1115" i="1"/>
  <c r="D1115" i="1"/>
  <c r="E1115" i="1"/>
  <c r="F1115" i="1"/>
  <c r="Z1115" i="1" s="1"/>
  <c r="G1115" i="1"/>
  <c r="AE1115" i="1" s="1"/>
  <c r="AG1115" i="1" s="1"/>
  <c r="H1115" i="1"/>
  <c r="I1115" i="1"/>
  <c r="J1115" i="1"/>
  <c r="K1115" i="1"/>
  <c r="L1115" i="1"/>
  <c r="M1115" i="1"/>
  <c r="N1115" i="1"/>
  <c r="O1115" i="1"/>
  <c r="P1115" i="1"/>
  <c r="Q1115" i="1"/>
  <c r="R1115" i="1"/>
  <c r="W1115" i="1" s="1"/>
  <c r="A1116" i="1"/>
  <c r="B1116" i="1"/>
  <c r="C1116" i="1"/>
  <c r="D1116" i="1"/>
  <c r="E1116" i="1"/>
  <c r="F1116" i="1"/>
  <c r="G1116" i="1"/>
  <c r="AE1116" i="1" s="1"/>
  <c r="AG1116" i="1" s="1"/>
  <c r="H1116" i="1"/>
  <c r="I1116" i="1"/>
  <c r="J1116" i="1"/>
  <c r="K1116" i="1"/>
  <c r="L1116" i="1"/>
  <c r="M1116" i="1"/>
  <c r="N1116" i="1"/>
  <c r="O1116" i="1"/>
  <c r="P1116" i="1"/>
  <c r="Q1116" i="1"/>
  <c r="R1116" i="1"/>
  <c r="U1116" i="1" s="1"/>
  <c r="A1117" i="1"/>
  <c r="B1117" i="1"/>
  <c r="C1117" i="1"/>
  <c r="D1117" i="1"/>
  <c r="E1117" i="1"/>
  <c r="F1117" i="1"/>
  <c r="G1117" i="1"/>
  <c r="AE1117" i="1" s="1"/>
  <c r="AG1117" i="1" s="1"/>
  <c r="H1117" i="1"/>
  <c r="I1117" i="1"/>
  <c r="J1117" i="1"/>
  <c r="K1117" i="1"/>
  <c r="L1117" i="1"/>
  <c r="M1117" i="1"/>
  <c r="N1117" i="1"/>
  <c r="O1117" i="1"/>
  <c r="P1117" i="1"/>
  <c r="Q1117" i="1"/>
  <c r="R1117" i="1"/>
  <c r="U1117" i="1" s="1"/>
  <c r="X1117" i="1" s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W125" i="1" s="1"/>
  <c r="A1118" i="1"/>
  <c r="B1118" i="1"/>
  <c r="C1118" i="1"/>
  <c r="D1118" i="1"/>
  <c r="E1118" i="1"/>
  <c r="F1118" i="1"/>
  <c r="Z1118" i="1" s="1"/>
  <c r="G1118" i="1"/>
  <c r="AE1118" i="1" s="1"/>
  <c r="AG1118" i="1" s="1"/>
  <c r="H1118" i="1"/>
  <c r="I1118" i="1"/>
  <c r="J1118" i="1"/>
  <c r="K1118" i="1"/>
  <c r="L1118" i="1"/>
  <c r="M1118" i="1"/>
  <c r="N1118" i="1"/>
  <c r="O1118" i="1"/>
  <c r="P1118" i="1"/>
  <c r="Q1118" i="1"/>
  <c r="R1118" i="1"/>
  <c r="U1118" i="1" s="1"/>
  <c r="A32" i="1"/>
  <c r="B32" i="1"/>
  <c r="C32" i="1"/>
  <c r="D32" i="1"/>
  <c r="E32" i="1"/>
  <c r="F32" i="1"/>
  <c r="G32" i="1"/>
  <c r="AE32" i="1" s="1"/>
  <c r="AG32" i="1" s="1"/>
  <c r="H32" i="1"/>
  <c r="I32" i="1"/>
  <c r="J32" i="1"/>
  <c r="K32" i="1"/>
  <c r="L32" i="1"/>
  <c r="M32" i="1"/>
  <c r="N32" i="1"/>
  <c r="O32" i="1"/>
  <c r="P32" i="1"/>
  <c r="Q32" i="1"/>
  <c r="R32" i="1"/>
  <c r="T32" i="1" s="1"/>
  <c r="A33" i="1"/>
  <c r="B33" i="1"/>
  <c r="C33" i="1"/>
  <c r="D33" i="1"/>
  <c r="E33" i="1"/>
  <c r="F33" i="1"/>
  <c r="G33" i="1"/>
  <c r="AE33" i="1" s="1"/>
  <c r="AG33" i="1" s="1"/>
  <c r="H33" i="1"/>
  <c r="I33" i="1"/>
  <c r="J33" i="1"/>
  <c r="K33" i="1"/>
  <c r="L33" i="1"/>
  <c r="M33" i="1"/>
  <c r="N33" i="1"/>
  <c r="O33" i="1"/>
  <c r="P33" i="1"/>
  <c r="Q33" i="1"/>
  <c r="R33" i="1"/>
  <c r="T33" i="1" s="1"/>
  <c r="A1119" i="1"/>
  <c r="B1119" i="1"/>
  <c r="C1119" i="1"/>
  <c r="D1119" i="1"/>
  <c r="E1119" i="1"/>
  <c r="F1119" i="1"/>
  <c r="Z1119" i="1" s="1"/>
  <c r="G1119" i="1"/>
  <c r="AE1119" i="1" s="1"/>
  <c r="AG1119" i="1" s="1"/>
  <c r="H1119" i="1"/>
  <c r="I1119" i="1"/>
  <c r="J1119" i="1"/>
  <c r="K1119" i="1"/>
  <c r="L1119" i="1"/>
  <c r="M1119" i="1"/>
  <c r="N1119" i="1"/>
  <c r="O1119" i="1"/>
  <c r="P1119" i="1"/>
  <c r="Q1119" i="1"/>
  <c r="R1119" i="1"/>
  <c r="A1120" i="1"/>
  <c r="B1120" i="1"/>
  <c r="C1120" i="1"/>
  <c r="D1120" i="1"/>
  <c r="E1120" i="1"/>
  <c r="F1120" i="1"/>
  <c r="Z1120" i="1" s="1"/>
  <c r="G1120" i="1"/>
  <c r="AE1120" i="1" s="1"/>
  <c r="AG1120" i="1" s="1"/>
  <c r="H1120" i="1"/>
  <c r="I1120" i="1"/>
  <c r="J1120" i="1"/>
  <c r="K1120" i="1"/>
  <c r="L1120" i="1"/>
  <c r="M1120" i="1"/>
  <c r="N1120" i="1"/>
  <c r="O1120" i="1"/>
  <c r="P1120" i="1"/>
  <c r="Q1120" i="1"/>
  <c r="R1120" i="1"/>
  <c r="A1121" i="1"/>
  <c r="B1121" i="1"/>
  <c r="C1121" i="1"/>
  <c r="D1121" i="1"/>
  <c r="E1121" i="1"/>
  <c r="F1121" i="1"/>
  <c r="Z1121" i="1" s="1"/>
  <c r="G1121" i="1"/>
  <c r="AE1121" i="1" s="1"/>
  <c r="AG1121" i="1" s="1"/>
  <c r="H1121" i="1"/>
  <c r="I1121" i="1"/>
  <c r="J1121" i="1"/>
  <c r="K1121" i="1"/>
  <c r="L1121" i="1"/>
  <c r="M1121" i="1"/>
  <c r="N1121" i="1"/>
  <c r="O1121" i="1"/>
  <c r="P1121" i="1"/>
  <c r="Q1121" i="1"/>
  <c r="R1121" i="1"/>
  <c r="T1121" i="1" s="1"/>
  <c r="A1122" i="1"/>
  <c r="B1122" i="1"/>
  <c r="C1122" i="1"/>
  <c r="D1122" i="1"/>
  <c r="E1122" i="1"/>
  <c r="F1122" i="1"/>
  <c r="Z1122" i="1" s="1"/>
  <c r="G1122" i="1"/>
  <c r="AE1122" i="1" s="1"/>
  <c r="AG1122" i="1" s="1"/>
  <c r="H1122" i="1"/>
  <c r="I1122" i="1"/>
  <c r="J1122" i="1"/>
  <c r="K1122" i="1"/>
  <c r="L1122" i="1"/>
  <c r="M1122" i="1"/>
  <c r="N1122" i="1"/>
  <c r="O1122" i="1"/>
  <c r="P1122" i="1"/>
  <c r="Q1122" i="1"/>
  <c r="R1122" i="1"/>
  <c r="T1122" i="1" s="1"/>
  <c r="A1123" i="1"/>
  <c r="B1123" i="1"/>
  <c r="C1123" i="1"/>
  <c r="D1123" i="1"/>
  <c r="E1123" i="1"/>
  <c r="F1123" i="1"/>
  <c r="Z1123" i="1" s="1"/>
  <c r="G1123" i="1"/>
  <c r="AE1123" i="1" s="1"/>
  <c r="AG1123" i="1" s="1"/>
  <c r="H1123" i="1"/>
  <c r="I1123" i="1"/>
  <c r="J1123" i="1"/>
  <c r="K1123" i="1"/>
  <c r="L1123" i="1"/>
  <c r="M1123" i="1"/>
  <c r="N1123" i="1"/>
  <c r="O1123" i="1"/>
  <c r="P1123" i="1"/>
  <c r="Q1123" i="1"/>
  <c r="R1123" i="1"/>
  <c r="A1124" i="1"/>
  <c r="B1124" i="1"/>
  <c r="C1124" i="1"/>
  <c r="D1124" i="1"/>
  <c r="E1124" i="1"/>
  <c r="F1124" i="1"/>
  <c r="Z1124" i="1" s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A1125" i="1"/>
  <c r="B1125" i="1"/>
  <c r="C1125" i="1"/>
  <c r="D1125" i="1"/>
  <c r="E1125" i="1"/>
  <c r="F1125" i="1"/>
  <c r="G1125" i="1"/>
  <c r="AE1125" i="1" s="1"/>
  <c r="AG1125" i="1" s="1"/>
  <c r="H1125" i="1"/>
  <c r="I1125" i="1"/>
  <c r="J1125" i="1"/>
  <c r="K1125" i="1"/>
  <c r="L1125" i="1"/>
  <c r="M1125" i="1"/>
  <c r="N1125" i="1"/>
  <c r="O1125" i="1"/>
  <c r="P1125" i="1"/>
  <c r="Q1125" i="1"/>
  <c r="R1125" i="1"/>
  <c r="U1125" i="1" s="1"/>
  <c r="A1126" i="1"/>
  <c r="B1126" i="1"/>
  <c r="C1126" i="1"/>
  <c r="D1126" i="1"/>
  <c r="E1126" i="1"/>
  <c r="F1126" i="1"/>
  <c r="G1126" i="1"/>
  <c r="AE1126" i="1" s="1"/>
  <c r="AG1126" i="1" s="1"/>
  <c r="H1126" i="1"/>
  <c r="I1126" i="1"/>
  <c r="J1126" i="1"/>
  <c r="K1126" i="1"/>
  <c r="L1126" i="1"/>
  <c r="M1126" i="1"/>
  <c r="N1126" i="1"/>
  <c r="O1126" i="1"/>
  <c r="P1126" i="1"/>
  <c r="Q1126" i="1"/>
  <c r="R1126" i="1"/>
  <c r="A1127" i="1"/>
  <c r="B1127" i="1"/>
  <c r="C1127" i="1"/>
  <c r="D1127" i="1"/>
  <c r="E1127" i="1"/>
  <c r="F1127" i="1"/>
  <c r="Z1127" i="1" s="1"/>
  <c r="G1127" i="1"/>
  <c r="AE1127" i="1" s="1"/>
  <c r="AG1127" i="1" s="1"/>
  <c r="H1127" i="1"/>
  <c r="I1127" i="1"/>
  <c r="J1127" i="1"/>
  <c r="K1127" i="1"/>
  <c r="L1127" i="1"/>
  <c r="M1127" i="1"/>
  <c r="N1127" i="1"/>
  <c r="O1127" i="1"/>
  <c r="P1127" i="1"/>
  <c r="Q1127" i="1"/>
  <c r="R1127" i="1"/>
  <c r="A1128" i="1"/>
  <c r="B1128" i="1"/>
  <c r="C1128" i="1"/>
  <c r="D1128" i="1"/>
  <c r="E1128" i="1"/>
  <c r="F1128" i="1"/>
  <c r="G1128" i="1"/>
  <c r="AE1128" i="1" s="1"/>
  <c r="AG1128" i="1" s="1"/>
  <c r="H1128" i="1"/>
  <c r="I1128" i="1"/>
  <c r="J1128" i="1"/>
  <c r="K1128" i="1"/>
  <c r="L1128" i="1"/>
  <c r="M1128" i="1"/>
  <c r="N1128" i="1"/>
  <c r="O1128" i="1"/>
  <c r="P1128" i="1"/>
  <c r="Q1128" i="1"/>
  <c r="R1128" i="1"/>
  <c r="A1129" i="1"/>
  <c r="B1129" i="1"/>
  <c r="C1129" i="1"/>
  <c r="D1129" i="1"/>
  <c r="E1129" i="1"/>
  <c r="F1129" i="1"/>
  <c r="G1129" i="1"/>
  <c r="AE1129" i="1" s="1"/>
  <c r="AG1129" i="1" s="1"/>
  <c r="H1129" i="1"/>
  <c r="I1129" i="1"/>
  <c r="J1129" i="1"/>
  <c r="K1129" i="1"/>
  <c r="L1129" i="1"/>
  <c r="M1129" i="1"/>
  <c r="N1129" i="1"/>
  <c r="O1129" i="1"/>
  <c r="P1129" i="1"/>
  <c r="Q1129" i="1"/>
  <c r="R1129" i="1"/>
  <c r="T1129" i="1" s="1"/>
  <c r="A1130" i="1"/>
  <c r="B1130" i="1"/>
  <c r="C1130" i="1"/>
  <c r="D1130" i="1"/>
  <c r="E1130" i="1"/>
  <c r="F1130" i="1"/>
  <c r="Z1130" i="1" s="1"/>
  <c r="G1130" i="1"/>
  <c r="AE1130" i="1" s="1"/>
  <c r="AG1130" i="1" s="1"/>
  <c r="H1130" i="1"/>
  <c r="I1130" i="1"/>
  <c r="J1130" i="1"/>
  <c r="K1130" i="1"/>
  <c r="L1130" i="1"/>
  <c r="M1130" i="1"/>
  <c r="N1130" i="1"/>
  <c r="O1130" i="1"/>
  <c r="P1130" i="1"/>
  <c r="Q1130" i="1"/>
  <c r="R1130" i="1"/>
  <c r="A1131" i="1"/>
  <c r="B1131" i="1"/>
  <c r="C1131" i="1"/>
  <c r="D1131" i="1"/>
  <c r="E1131" i="1"/>
  <c r="F1131" i="1"/>
  <c r="Z1131" i="1" s="1"/>
  <c r="G1131" i="1"/>
  <c r="AE1131" i="1" s="1"/>
  <c r="AG1131" i="1" s="1"/>
  <c r="H1131" i="1"/>
  <c r="I1131" i="1"/>
  <c r="J1131" i="1"/>
  <c r="K1131" i="1"/>
  <c r="L1131" i="1"/>
  <c r="M1131" i="1"/>
  <c r="N1131" i="1"/>
  <c r="O1131" i="1"/>
  <c r="P1131" i="1"/>
  <c r="Q1131" i="1"/>
  <c r="R1131" i="1"/>
  <c r="A662" i="1"/>
  <c r="B662" i="1"/>
  <c r="C662" i="1"/>
  <c r="D662" i="1"/>
  <c r="E662" i="1"/>
  <c r="F662" i="1"/>
  <c r="Z662" i="1" s="1"/>
  <c r="G662" i="1"/>
  <c r="H662" i="1"/>
  <c r="I662" i="1"/>
  <c r="J662" i="1"/>
  <c r="K662" i="1"/>
  <c r="L662" i="1"/>
  <c r="M662" i="1"/>
  <c r="N662" i="1"/>
  <c r="O662" i="1"/>
  <c r="P662" i="1"/>
  <c r="Q662" i="1"/>
  <c r="R662" i="1"/>
  <c r="W662" i="1" s="1"/>
  <c r="A1132" i="1"/>
  <c r="B1132" i="1"/>
  <c r="C1132" i="1"/>
  <c r="D1132" i="1"/>
  <c r="E1132" i="1"/>
  <c r="F1132" i="1"/>
  <c r="G1132" i="1"/>
  <c r="AE1132" i="1" s="1"/>
  <c r="AG1132" i="1" s="1"/>
  <c r="H1132" i="1"/>
  <c r="I1132" i="1"/>
  <c r="J1132" i="1"/>
  <c r="K1132" i="1"/>
  <c r="L1132" i="1"/>
  <c r="M1132" i="1"/>
  <c r="N1132" i="1"/>
  <c r="O1132" i="1"/>
  <c r="P1132" i="1"/>
  <c r="Q1132" i="1"/>
  <c r="R1132" i="1"/>
  <c r="A1133" i="1"/>
  <c r="B1133" i="1"/>
  <c r="C1133" i="1"/>
  <c r="D1133" i="1"/>
  <c r="E1133" i="1"/>
  <c r="F1133" i="1"/>
  <c r="G1133" i="1"/>
  <c r="AE1133" i="1" s="1"/>
  <c r="AG1133" i="1" s="1"/>
  <c r="H1133" i="1"/>
  <c r="I1133" i="1"/>
  <c r="J1133" i="1"/>
  <c r="K1133" i="1"/>
  <c r="L1133" i="1"/>
  <c r="M1133" i="1"/>
  <c r="N1133" i="1"/>
  <c r="O1133" i="1"/>
  <c r="P1133" i="1"/>
  <c r="Q1133" i="1"/>
  <c r="R1133" i="1"/>
  <c r="W1133" i="1" s="1"/>
  <c r="A1134" i="1"/>
  <c r="B1134" i="1"/>
  <c r="C1134" i="1"/>
  <c r="D1134" i="1"/>
  <c r="E1134" i="1"/>
  <c r="F1134" i="1"/>
  <c r="G1134" i="1"/>
  <c r="AE1134" i="1" s="1"/>
  <c r="AG1134" i="1" s="1"/>
  <c r="H1134" i="1"/>
  <c r="I1134" i="1"/>
  <c r="J1134" i="1"/>
  <c r="K1134" i="1"/>
  <c r="L1134" i="1"/>
  <c r="M1134" i="1"/>
  <c r="N1134" i="1"/>
  <c r="O1134" i="1"/>
  <c r="P1134" i="1"/>
  <c r="Q1134" i="1"/>
  <c r="R1134" i="1"/>
  <c r="A1135" i="1"/>
  <c r="B1135" i="1"/>
  <c r="C1135" i="1"/>
  <c r="D1135" i="1"/>
  <c r="E1135" i="1"/>
  <c r="F1135" i="1"/>
  <c r="G1135" i="1"/>
  <c r="AE1135" i="1" s="1"/>
  <c r="AG1135" i="1" s="1"/>
  <c r="H1135" i="1"/>
  <c r="I1135" i="1"/>
  <c r="J1135" i="1"/>
  <c r="K1135" i="1"/>
  <c r="L1135" i="1"/>
  <c r="M1135" i="1"/>
  <c r="N1135" i="1"/>
  <c r="O1135" i="1"/>
  <c r="P1135" i="1"/>
  <c r="Q1135" i="1"/>
  <c r="R1135" i="1"/>
  <c r="A1136" i="1"/>
  <c r="B1136" i="1"/>
  <c r="C1136" i="1"/>
  <c r="D1136" i="1"/>
  <c r="E1136" i="1"/>
  <c r="F1136" i="1"/>
  <c r="G1136" i="1"/>
  <c r="AE1136" i="1" s="1"/>
  <c r="AG1136" i="1" s="1"/>
  <c r="H1136" i="1"/>
  <c r="I1136" i="1"/>
  <c r="J1136" i="1"/>
  <c r="K1136" i="1"/>
  <c r="L1136" i="1"/>
  <c r="M1136" i="1"/>
  <c r="N1136" i="1"/>
  <c r="O1136" i="1"/>
  <c r="P1136" i="1"/>
  <c r="Q1136" i="1"/>
  <c r="R1136" i="1"/>
  <c r="W1136" i="1" s="1"/>
  <c r="A1137" i="1"/>
  <c r="B1137" i="1"/>
  <c r="C1137" i="1"/>
  <c r="D1137" i="1"/>
  <c r="E1137" i="1"/>
  <c r="F1137" i="1"/>
  <c r="G1137" i="1"/>
  <c r="AE1137" i="1" s="1"/>
  <c r="AG1137" i="1" s="1"/>
  <c r="H1137" i="1"/>
  <c r="I1137" i="1"/>
  <c r="J1137" i="1"/>
  <c r="K1137" i="1"/>
  <c r="L1137" i="1"/>
  <c r="M1137" i="1"/>
  <c r="N1137" i="1"/>
  <c r="O1137" i="1"/>
  <c r="P1137" i="1"/>
  <c r="Q1137" i="1"/>
  <c r="R1137" i="1"/>
  <c r="U1137" i="1" s="1"/>
  <c r="A1138" i="1"/>
  <c r="B1138" i="1"/>
  <c r="C1138" i="1"/>
  <c r="D1138" i="1"/>
  <c r="E1138" i="1"/>
  <c r="F1138" i="1"/>
  <c r="G1138" i="1"/>
  <c r="AE1138" i="1" s="1"/>
  <c r="AG1138" i="1" s="1"/>
  <c r="H1138" i="1"/>
  <c r="I1138" i="1"/>
  <c r="J1138" i="1"/>
  <c r="K1138" i="1"/>
  <c r="L1138" i="1"/>
  <c r="M1138" i="1"/>
  <c r="N1138" i="1"/>
  <c r="O1138" i="1"/>
  <c r="P1138" i="1"/>
  <c r="Q1138" i="1"/>
  <c r="R1138" i="1"/>
  <c r="A1139" i="1"/>
  <c r="B1139" i="1"/>
  <c r="C1139" i="1"/>
  <c r="D1139" i="1"/>
  <c r="E1139" i="1"/>
  <c r="F1139" i="1"/>
  <c r="Z1139" i="1" s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U1139" i="1" s="1"/>
  <c r="A1140" i="1"/>
  <c r="B1140" i="1"/>
  <c r="C1140" i="1"/>
  <c r="D1140" i="1"/>
  <c r="E1140" i="1"/>
  <c r="F1140" i="1"/>
  <c r="G1140" i="1"/>
  <c r="AE1140" i="1" s="1"/>
  <c r="AG1140" i="1" s="1"/>
  <c r="H1140" i="1"/>
  <c r="I1140" i="1"/>
  <c r="J1140" i="1"/>
  <c r="K1140" i="1"/>
  <c r="L1140" i="1"/>
  <c r="M1140" i="1"/>
  <c r="N1140" i="1"/>
  <c r="O1140" i="1"/>
  <c r="P1140" i="1"/>
  <c r="Q1140" i="1"/>
  <c r="R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U1141" i="1" s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T410" i="1" s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T1142" i="1" s="1"/>
  <c r="A1143" i="1"/>
  <c r="B1143" i="1"/>
  <c r="C1143" i="1"/>
  <c r="D1143" i="1"/>
  <c r="E1143" i="1"/>
  <c r="F1143" i="1"/>
  <c r="Z1143" i="1" s="1"/>
  <c r="G1143" i="1"/>
  <c r="AE1143" i="1" s="1"/>
  <c r="AG1143" i="1" s="1"/>
  <c r="H1143" i="1"/>
  <c r="I1143" i="1"/>
  <c r="J1143" i="1"/>
  <c r="K1143" i="1"/>
  <c r="L1143" i="1"/>
  <c r="M1143" i="1"/>
  <c r="N1143" i="1"/>
  <c r="O1143" i="1"/>
  <c r="P1143" i="1"/>
  <c r="Q1143" i="1"/>
  <c r="R1143" i="1"/>
  <c r="A1144" i="1"/>
  <c r="B1144" i="1"/>
  <c r="C1144" i="1"/>
  <c r="D1144" i="1"/>
  <c r="E1144" i="1"/>
  <c r="F1144" i="1"/>
  <c r="G1144" i="1"/>
  <c r="AE1144" i="1" s="1"/>
  <c r="AG1144" i="1" s="1"/>
  <c r="H1144" i="1"/>
  <c r="I1144" i="1"/>
  <c r="J1144" i="1"/>
  <c r="K1144" i="1"/>
  <c r="L1144" i="1"/>
  <c r="M1144" i="1"/>
  <c r="N1144" i="1"/>
  <c r="O1144" i="1"/>
  <c r="P1144" i="1"/>
  <c r="Q1144" i="1"/>
  <c r="R1144" i="1"/>
  <c r="T1144" i="1" s="1"/>
  <c r="A1145" i="1"/>
  <c r="B1145" i="1"/>
  <c r="C1145" i="1"/>
  <c r="D1145" i="1"/>
  <c r="E1145" i="1"/>
  <c r="F1145" i="1"/>
  <c r="G1145" i="1"/>
  <c r="AE1145" i="1" s="1"/>
  <c r="AG1145" i="1" s="1"/>
  <c r="H1145" i="1"/>
  <c r="I1145" i="1"/>
  <c r="J1145" i="1"/>
  <c r="K1145" i="1"/>
  <c r="L1145" i="1"/>
  <c r="M1145" i="1"/>
  <c r="N1145" i="1"/>
  <c r="O1145" i="1"/>
  <c r="P1145" i="1"/>
  <c r="Q1145" i="1"/>
  <c r="R1145" i="1"/>
  <c r="U1145" i="1" s="1"/>
  <c r="A1146" i="1"/>
  <c r="B1146" i="1"/>
  <c r="C1146" i="1"/>
  <c r="D1146" i="1"/>
  <c r="E1146" i="1"/>
  <c r="F1146" i="1"/>
  <c r="G1146" i="1"/>
  <c r="AE1146" i="1" s="1"/>
  <c r="AG1146" i="1" s="1"/>
  <c r="H1146" i="1"/>
  <c r="I1146" i="1"/>
  <c r="J1146" i="1"/>
  <c r="K1146" i="1"/>
  <c r="L1146" i="1"/>
  <c r="M1146" i="1"/>
  <c r="N1146" i="1"/>
  <c r="O1146" i="1"/>
  <c r="P1146" i="1"/>
  <c r="Q1146" i="1"/>
  <c r="R1146" i="1"/>
  <c r="T1146" i="1" s="1"/>
  <c r="A1147" i="1"/>
  <c r="B1147" i="1"/>
  <c r="C1147" i="1"/>
  <c r="D1147" i="1"/>
  <c r="E1147" i="1"/>
  <c r="F1147" i="1"/>
  <c r="G1147" i="1"/>
  <c r="AE1147" i="1" s="1"/>
  <c r="AG1147" i="1" s="1"/>
  <c r="H1147" i="1"/>
  <c r="I1147" i="1"/>
  <c r="J1147" i="1"/>
  <c r="K1147" i="1"/>
  <c r="L1147" i="1"/>
  <c r="M1147" i="1"/>
  <c r="N1147" i="1"/>
  <c r="O1147" i="1"/>
  <c r="P1147" i="1"/>
  <c r="Q1147" i="1"/>
  <c r="R1147" i="1"/>
  <c r="T1147" i="1" s="1"/>
  <c r="A1148" i="1"/>
  <c r="B1148" i="1"/>
  <c r="C1148" i="1"/>
  <c r="D1148" i="1"/>
  <c r="E1148" i="1"/>
  <c r="F1148" i="1"/>
  <c r="G1148" i="1"/>
  <c r="AE1148" i="1" s="1"/>
  <c r="AG1148" i="1" s="1"/>
  <c r="H1148" i="1"/>
  <c r="I1148" i="1"/>
  <c r="J1148" i="1"/>
  <c r="K1148" i="1"/>
  <c r="L1148" i="1"/>
  <c r="M1148" i="1"/>
  <c r="N1148" i="1"/>
  <c r="O1148" i="1"/>
  <c r="P1148" i="1"/>
  <c r="Q1148" i="1"/>
  <c r="R1148" i="1"/>
  <c r="A1149" i="1"/>
  <c r="B1149" i="1"/>
  <c r="C1149" i="1"/>
  <c r="D1149" i="1"/>
  <c r="E1149" i="1"/>
  <c r="F1149" i="1"/>
  <c r="G1149" i="1"/>
  <c r="AE1149" i="1" s="1"/>
  <c r="AG1149" i="1" s="1"/>
  <c r="H1149" i="1"/>
  <c r="I1149" i="1"/>
  <c r="J1149" i="1"/>
  <c r="K1149" i="1"/>
  <c r="L1149" i="1"/>
  <c r="M1149" i="1"/>
  <c r="N1149" i="1"/>
  <c r="O1149" i="1"/>
  <c r="P1149" i="1"/>
  <c r="Q1149" i="1"/>
  <c r="R1149" i="1"/>
  <c r="A1150" i="1"/>
  <c r="B1150" i="1"/>
  <c r="C1150" i="1"/>
  <c r="D1150" i="1"/>
  <c r="E1150" i="1"/>
  <c r="F1150" i="1"/>
  <c r="Z1150" i="1" s="1"/>
  <c r="G1150" i="1"/>
  <c r="AE1150" i="1" s="1"/>
  <c r="AG1150" i="1" s="1"/>
  <c r="H1150" i="1"/>
  <c r="I1150" i="1"/>
  <c r="J1150" i="1"/>
  <c r="K1150" i="1"/>
  <c r="L1150" i="1"/>
  <c r="M1150" i="1"/>
  <c r="N1150" i="1"/>
  <c r="O1150" i="1"/>
  <c r="P1150" i="1"/>
  <c r="Q1150" i="1"/>
  <c r="R1150" i="1"/>
  <c r="A1151" i="1"/>
  <c r="B1151" i="1"/>
  <c r="C1151" i="1"/>
  <c r="D1151" i="1"/>
  <c r="E1151" i="1"/>
  <c r="F1151" i="1"/>
  <c r="G1151" i="1"/>
  <c r="AE1151" i="1" s="1"/>
  <c r="AG1151" i="1" s="1"/>
  <c r="H1151" i="1"/>
  <c r="I1151" i="1"/>
  <c r="J1151" i="1"/>
  <c r="K1151" i="1"/>
  <c r="L1151" i="1"/>
  <c r="M1151" i="1"/>
  <c r="N1151" i="1"/>
  <c r="O1151" i="1"/>
  <c r="P1151" i="1"/>
  <c r="Q1151" i="1"/>
  <c r="R1151" i="1"/>
  <c r="A1152" i="1"/>
  <c r="B1152" i="1"/>
  <c r="C1152" i="1"/>
  <c r="D1152" i="1"/>
  <c r="E1152" i="1"/>
  <c r="F1152" i="1"/>
  <c r="Z1152" i="1" s="1"/>
  <c r="G1152" i="1"/>
  <c r="AE1152" i="1" s="1"/>
  <c r="AG1152" i="1" s="1"/>
  <c r="H1152" i="1"/>
  <c r="I1152" i="1"/>
  <c r="J1152" i="1"/>
  <c r="K1152" i="1"/>
  <c r="L1152" i="1"/>
  <c r="M1152" i="1"/>
  <c r="N1152" i="1"/>
  <c r="O1152" i="1"/>
  <c r="P1152" i="1"/>
  <c r="Q1152" i="1"/>
  <c r="R1152" i="1"/>
  <c r="U1152" i="1" s="1"/>
  <c r="A1153" i="1"/>
  <c r="B1153" i="1"/>
  <c r="C1153" i="1"/>
  <c r="D1153" i="1"/>
  <c r="E1153" i="1"/>
  <c r="F1153" i="1"/>
  <c r="Z1153" i="1" s="1"/>
  <c r="G1153" i="1"/>
  <c r="AE1153" i="1" s="1"/>
  <c r="AG1153" i="1" s="1"/>
  <c r="H1153" i="1"/>
  <c r="I1153" i="1"/>
  <c r="J1153" i="1"/>
  <c r="K1153" i="1"/>
  <c r="L1153" i="1"/>
  <c r="M1153" i="1"/>
  <c r="N1153" i="1"/>
  <c r="O1153" i="1"/>
  <c r="P1153" i="1"/>
  <c r="Q1153" i="1"/>
  <c r="R1153" i="1"/>
  <c r="U1153" i="1" s="1"/>
  <c r="A1154" i="1"/>
  <c r="B1154" i="1"/>
  <c r="C1154" i="1"/>
  <c r="D1154" i="1"/>
  <c r="E1154" i="1"/>
  <c r="F1154" i="1"/>
  <c r="Z1154" i="1" s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W1154" i="1" s="1"/>
  <c r="A1155" i="1"/>
  <c r="B1155" i="1"/>
  <c r="C1155" i="1"/>
  <c r="D1155" i="1"/>
  <c r="E1155" i="1"/>
  <c r="F1155" i="1"/>
  <c r="G1155" i="1"/>
  <c r="AE1155" i="1" s="1"/>
  <c r="AG1155" i="1" s="1"/>
  <c r="H1155" i="1"/>
  <c r="I1155" i="1"/>
  <c r="J1155" i="1"/>
  <c r="K1155" i="1"/>
  <c r="L1155" i="1"/>
  <c r="M1155" i="1"/>
  <c r="N1155" i="1"/>
  <c r="O1155" i="1"/>
  <c r="P1155" i="1"/>
  <c r="Q1155" i="1"/>
  <c r="R1155" i="1"/>
  <c r="A1156" i="1"/>
  <c r="B1156" i="1"/>
  <c r="C1156" i="1"/>
  <c r="D1156" i="1"/>
  <c r="E1156" i="1"/>
  <c r="F1156" i="1"/>
  <c r="G1156" i="1"/>
  <c r="AE1156" i="1" s="1"/>
  <c r="AG1156" i="1" s="1"/>
  <c r="H1156" i="1"/>
  <c r="I1156" i="1"/>
  <c r="J1156" i="1"/>
  <c r="K1156" i="1"/>
  <c r="L1156" i="1"/>
  <c r="M1156" i="1"/>
  <c r="N1156" i="1"/>
  <c r="O1156" i="1"/>
  <c r="P1156" i="1"/>
  <c r="Q1156" i="1"/>
  <c r="R1156" i="1"/>
  <c r="A1157" i="1"/>
  <c r="B1157" i="1"/>
  <c r="C1157" i="1"/>
  <c r="D1157" i="1"/>
  <c r="E1157" i="1"/>
  <c r="F1157" i="1"/>
  <c r="Z1157" i="1" s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A1158" i="1"/>
  <c r="B1158" i="1"/>
  <c r="C1158" i="1"/>
  <c r="D1158" i="1"/>
  <c r="E1158" i="1"/>
  <c r="F1158" i="1"/>
  <c r="G1158" i="1"/>
  <c r="AE1158" i="1" s="1"/>
  <c r="AG1158" i="1" s="1"/>
  <c r="H1158" i="1"/>
  <c r="I1158" i="1"/>
  <c r="J1158" i="1"/>
  <c r="K1158" i="1"/>
  <c r="L1158" i="1"/>
  <c r="M1158" i="1"/>
  <c r="N1158" i="1"/>
  <c r="O1158" i="1"/>
  <c r="P1158" i="1"/>
  <c r="Q1158" i="1"/>
  <c r="R1158" i="1"/>
  <c r="A1159" i="1"/>
  <c r="B1159" i="1"/>
  <c r="C1159" i="1"/>
  <c r="D1159" i="1"/>
  <c r="E1159" i="1"/>
  <c r="F1159" i="1"/>
  <c r="Z1159" i="1" s="1"/>
  <c r="G1159" i="1"/>
  <c r="AE1159" i="1" s="1"/>
  <c r="AG1159" i="1" s="1"/>
  <c r="H1159" i="1"/>
  <c r="I1159" i="1"/>
  <c r="J1159" i="1"/>
  <c r="K1159" i="1"/>
  <c r="L1159" i="1"/>
  <c r="M1159" i="1"/>
  <c r="N1159" i="1"/>
  <c r="O1159" i="1"/>
  <c r="P1159" i="1"/>
  <c r="Q1159" i="1"/>
  <c r="R1159" i="1"/>
  <c r="W1159" i="1" s="1"/>
  <c r="A1160" i="1"/>
  <c r="B1160" i="1"/>
  <c r="C1160" i="1"/>
  <c r="D1160" i="1"/>
  <c r="E1160" i="1"/>
  <c r="F1160" i="1"/>
  <c r="Z1160" i="1" s="1"/>
  <c r="G1160" i="1"/>
  <c r="AE1160" i="1" s="1"/>
  <c r="AG1160" i="1" s="1"/>
  <c r="H1160" i="1"/>
  <c r="I1160" i="1"/>
  <c r="J1160" i="1"/>
  <c r="K1160" i="1"/>
  <c r="L1160" i="1"/>
  <c r="M1160" i="1"/>
  <c r="N1160" i="1"/>
  <c r="O1160" i="1"/>
  <c r="P1160" i="1"/>
  <c r="Q1160" i="1"/>
  <c r="R1160" i="1"/>
  <c r="W1160" i="1" s="1"/>
  <c r="A1161" i="1"/>
  <c r="B1161" i="1"/>
  <c r="C1161" i="1"/>
  <c r="D1161" i="1"/>
  <c r="E1161" i="1"/>
  <c r="F1161" i="1"/>
  <c r="Z1161" i="1" s="1"/>
  <c r="G1161" i="1"/>
  <c r="AE1161" i="1" s="1"/>
  <c r="AG1161" i="1" s="1"/>
  <c r="H1161" i="1"/>
  <c r="I1161" i="1"/>
  <c r="J1161" i="1"/>
  <c r="K1161" i="1"/>
  <c r="L1161" i="1"/>
  <c r="M1161" i="1"/>
  <c r="N1161" i="1"/>
  <c r="O1161" i="1"/>
  <c r="P1161" i="1"/>
  <c r="Q1161" i="1"/>
  <c r="R1161" i="1"/>
  <c r="W1161" i="1" s="1"/>
  <c r="A1162" i="1"/>
  <c r="B1162" i="1"/>
  <c r="C1162" i="1"/>
  <c r="D1162" i="1"/>
  <c r="E1162" i="1"/>
  <c r="F1162" i="1"/>
  <c r="Z1162" i="1" s="1"/>
  <c r="G1162" i="1"/>
  <c r="AE1162" i="1" s="1"/>
  <c r="AG1162" i="1" s="1"/>
  <c r="H1162" i="1"/>
  <c r="I1162" i="1"/>
  <c r="J1162" i="1"/>
  <c r="K1162" i="1"/>
  <c r="L1162" i="1"/>
  <c r="M1162" i="1"/>
  <c r="N1162" i="1"/>
  <c r="O1162" i="1"/>
  <c r="P1162" i="1"/>
  <c r="Q1162" i="1"/>
  <c r="R1162" i="1"/>
  <c r="A1163" i="1"/>
  <c r="B1163" i="1"/>
  <c r="C1163" i="1"/>
  <c r="D1163" i="1"/>
  <c r="E1163" i="1"/>
  <c r="F1163" i="1"/>
  <c r="G1163" i="1"/>
  <c r="AE1163" i="1" s="1"/>
  <c r="AG1163" i="1" s="1"/>
  <c r="H1163" i="1"/>
  <c r="I1163" i="1"/>
  <c r="J1163" i="1"/>
  <c r="K1163" i="1"/>
  <c r="L1163" i="1"/>
  <c r="M1163" i="1"/>
  <c r="N1163" i="1"/>
  <c r="O1163" i="1"/>
  <c r="P1163" i="1"/>
  <c r="Q1163" i="1"/>
  <c r="R1163" i="1"/>
  <c r="A1164" i="1"/>
  <c r="B1164" i="1"/>
  <c r="C1164" i="1"/>
  <c r="D1164" i="1"/>
  <c r="E1164" i="1"/>
  <c r="F1164" i="1"/>
  <c r="Z1164" i="1" s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W1164" i="1" s="1"/>
  <c r="A1165" i="1"/>
  <c r="B1165" i="1"/>
  <c r="C1165" i="1"/>
  <c r="D1165" i="1"/>
  <c r="E1165" i="1"/>
  <c r="F1165" i="1"/>
  <c r="Z1165" i="1" s="1"/>
  <c r="G1165" i="1"/>
  <c r="AE1165" i="1" s="1"/>
  <c r="AG1165" i="1" s="1"/>
  <c r="H1165" i="1"/>
  <c r="I1165" i="1"/>
  <c r="J1165" i="1"/>
  <c r="K1165" i="1"/>
  <c r="L1165" i="1"/>
  <c r="M1165" i="1"/>
  <c r="N1165" i="1"/>
  <c r="O1165" i="1"/>
  <c r="P1165" i="1"/>
  <c r="Q1165" i="1"/>
  <c r="R1165" i="1"/>
  <c r="A1166" i="1"/>
  <c r="B1166" i="1"/>
  <c r="C1166" i="1"/>
  <c r="D1166" i="1"/>
  <c r="E1166" i="1"/>
  <c r="F1166" i="1"/>
  <c r="Z1166" i="1" s="1"/>
  <c r="G1166" i="1"/>
  <c r="AE1166" i="1" s="1"/>
  <c r="AG1166" i="1" s="1"/>
  <c r="H1166" i="1"/>
  <c r="I1166" i="1"/>
  <c r="J1166" i="1"/>
  <c r="K1166" i="1"/>
  <c r="L1166" i="1"/>
  <c r="M1166" i="1"/>
  <c r="N1166" i="1"/>
  <c r="O1166" i="1"/>
  <c r="P1166" i="1"/>
  <c r="Q1166" i="1"/>
  <c r="R1166" i="1"/>
  <c r="U1166" i="1" s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A1167" i="1"/>
  <c r="B1167" i="1"/>
  <c r="C1167" i="1"/>
  <c r="D1167" i="1"/>
  <c r="E1167" i="1"/>
  <c r="F1167" i="1"/>
  <c r="Z1167" i="1" s="1"/>
  <c r="G1167" i="1"/>
  <c r="AE1167" i="1" s="1"/>
  <c r="AG1167" i="1" s="1"/>
  <c r="H1167" i="1"/>
  <c r="I1167" i="1"/>
  <c r="J1167" i="1"/>
  <c r="K1167" i="1"/>
  <c r="L1167" i="1"/>
  <c r="M1167" i="1"/>
  <c r="N1167" i="1"/>
  <c r="O1167" i="1"/>
  <c r="P1167" i="1"/>
  <c r="Q1167" i="1"/>
  <c r="R1167" i="1"/>
  <c r="A1168" i="1"/>
  <c r="B1168" i="1"/>
  <c r="C1168" i="1"/>
  <c r="D1168" i="1"/>
  <c r="E1168" i="1"/>
  <c r="F1168" i="1"/>
  <c r="Z1168" i="1" s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T1168" i="1" s="1"/>
  <c r="A1169" i="1"/>
  <c r="B1169" i="1"/>
  <c r="C1169" i="1"/>
  <c r="D1169" i="1"/>
  <c r="E1169" i="1"/>
  <c r="F1169" i="1"/>
  <c r="Z1169" i="1" s="1"/>
  <c r="G1169" i="1"/>
  <c r="AE1169" i="1" s="1"/>
  <c r="AG1169" i="1" s="1"/>
  <c r="H1169" i="1"/>
  <c r="I1169" i="1"/>
  <c r="J1169" i="1"/>
  <c r="K1169" i="1"/>
  <c r="L1169" i="1"/>
  <c r="M1169" i="1"/>
  <c r="N1169" i="1"/>
  <c r="O1169" i="1"/>
  <c r="P1169" i="1"/>
  <c r="Q1169" i="1"/>
  <c r="R1169" i="1"/>
  <c r="W1169" i="1" s="1"/>
  <c r="A1170" i="1"/>
  <c r="B1170" i="1"/>
  <c r="C1170" i="1"/>
  <c r="D1170" i="1"/>
  <c r="E1170" i="1"/>
  <c r="F1170" i="1"/>
  <c r="G1170" i="1"/>
  <c r="AE1170" i="1" s="1"/>
  <c r="AG1170" i="1" s="1"/>
  <c r="H1170" i="1"/>
  <c r="I1170" i="1"/>
  <c r="J1170" i="1"/>
  <c r="K1170" i="1"/>
  <c r="L1170" i="1"/>
  <c r="M1170" i="1"/>
  <c r="N1170" i="1"/>
  <c r="O1170" i="1"/>
  <c r="P1170" i="1"/>
  <c r="Q1170" i="1"/>
  <c r="R1170" i="1"/>
  <c r="A1171" i="1"/>
  <c r="B1171" i="1"/>
  <c r="C1171" i="1"/>
  <c r="D1171" i="1"/>
  <c r="E1171" i="1"/>
  <c r="F1171" i="1"/>
  <c r="G1171" i="1"/>
  <c r="AE1171" i="1" s="1"/>
  <c r="AG1171" i="1" s="1"/>
  <c r="H1171" i="1"/>
  <c r="I1171" i="1"/>
  <c r="J1171" i="1"/>
  <c r="K1171" i="1"/>
  <c r="L1171" i="1"/>
  <c r="M1171" i="1"/>
  <c r="N1171" i="1"/>
  <c r="O1171" i="1"/>
  <c r="P1171" i="1"/>
  <c r="Q1171" i="1"/>
  <c r="R1171" i="1"/>
  <c r="A1172" i="1"/>
  <c r="B1172" i="1"/>
  <c r="C1172" i="1"/>
  <c r="D1172" i="1"/>
  <c r="E1172" i="1"/>
  <c r="F1172" i="1"/>
  <c r="G1172" i="1"/>
  <c r="AE1172" i="1" s="1"/>
  <c r="AG1172" i="1" s="1"/>
  <c r="H1172" i="1"/>
  <c r="I1172" i="1"/>
  <c r="J1172" i="1"/>
  <c r="K1172" i="1"/>
  <c r="L1172" i="1"/>
  <c r="M1172" i="1"/>
  <c r="N1172" i="1"/>
  <c r="O1172" i="1"/>
  <c r="P1172" i="1"/>
  <c r="Q1172" i="1"/>
  <c r="R1172" i="1"/>
  <c r="T1172" i="1" s="1"/>
  <c r="A1173" i="1"/>
  <c r="B1173" i="1"/>
  <c r="C1173" i="1"/>
  <c r="D1173" i="1"/>
  <c r="E1173" i="1"/>
  <c r="F1173" i="1"/>
  <c r="Z1173" i="1" s="1"/>
  <c r="G1173" i="1"/>
  <c r="AE1173" i="1" s="1"/>
  <c r="AG1173" i="1" s="1"/>
  <c r="H1173" i="1"/>
  <c r="I1173" i="1"/>
  <c r="J1173" i="1"/>
  <c r="K1173" i="1"/>
  <c r="L1173" i="1"/>
  <c r="M1173" i="1"/>
  <c r="N1173" i="1"/>
  <c r="O1173" i="1"/>
  <c r="P1173" i="1"/>
  <c r="Q1173" i="1"/>
  <c r="R1173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A1174" i="1"/>
  <c r="B1174" i="1"/>
  <c r="C1174" i="1"/>
  <c r="D1174" i="1"/>
  <c r="E1174" i="1"/>
  <c r="F1174" i="1"/>
  <c r="Z1174" i="1" s="1"/>
  <c r="G1174" i="1"/>
  <c r="AE1174" i="1" s="1"/>
  <c r="AG1174" i="1" s="1"/>
  <c r="H1174" i="1"/>
  <c r="I1174" i="1"/>
  <c r="J1174" i="1"/>
  <c r="K1174" i="1"/>
  <c r="L1174" i="1"/>
  <c r="M1174" i="1"/>
  <c r="N1174" i="1"/>
  <c r="O1174" i="1"/>
  <c r="P1174" i="1"/>
  <c r="Q1174" i="1"/>
  <c r="R1174" i="1"/>
  <c r="A1175" i="1"/>
  <c r="B1175" i="1"/>
  <c r="C1175" i="1"/>
  <c r="D1175" i="1"/>
  <c r="E1175" i="1"/>
  <c r="F1175" i="1"/>
  <c r="Z1175" i="1" s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T1175" i="1" s="1"/>
  <c r="A1176" i="1"/>
  <c r="B1176" i="1"/>
  <c r="C1176" i="1"/>
  <c r="D1176" i="1"/>
  <c r="E1176" i="1"/>
  <c r="F1176" i="1"/>
  <c r="G1176" i="1"/>
  <c r="AE1176" i="1" s="1"/>
  <c r="AG1176" i="1" s="1"/>
  <c r="H1176" i="1"/>
  <c r="I1176" i="1"/>
  <c r="J1176" i="1"/>
  <c r="K1176" i="1"/>
  <c r="L1176" i="1"/>
  <c r="M1176" i="1"/>
  <c r="N1176" i="1"/>
  <c r="O1176" i="1"/>
  <c r="P1176" i="1"/>
  <c r="Q1176" i="1"/>
  <c r="R1176" i="1"/>
  <c r="A1177" i="1"/>
  <c r="B1177" i="1"/>
  <c r="C1177" i="1"/>
  <c r="D1177" i="1"/>
  <c r="E1177" i="1"/>
  <c r="F1177" i="1"/>
  <c r="G1177" i="1"/>
  <c r="AE1177" i="1" s="1"/>
  <c r="AG1177" i="1" s="1"/>
  <c r="H1177" i="1"/>
  <c r="I1177" i="1"/>
  <c r="J1177" i="1"/>
  <c r="K1177" i="1"/>
  <c r="L1177" i="1"/>
  <c r="M1177" i="1"/>
  <c r="N1177" i="1"/>
  <c r="O1177" i="1"/>
  <c r="P1177" i="1"/>
  <c r="Q1177" i="1"/>
  <c r="R1177" i="1"/>
  <c r="A1178" i="1"/>
  <c r="B1178" i="1"/>
  <c r="C1178" i="1"/>
  <c r="D1178" i="1"/>
  <c r="E1178" i="1"/>
  <c r="F1178" i="1"/>
  <c r="G1178" i="1"/>
  <c r="AE1178" i="1" s="1"/>
  <c r="AG1178" i="1" s="1"/>
  <c r="H1178" i="1"/>
  <c r="I1178" i="1"/>
  <c r="J1178" i="1"/>
  <c r="K1178" i="1"/>
  <c r="L1178" i="1"/>
  <c r="M1178" i="1"/>
  <c r="N1178" i="1"/>
  <c r="O1178" i="1"/>
  <c r="P1178" i="1"/>
  <c r="Q1178" i="1"/>
  <c r="R1178" i="1"/>
  <c r="A1179" i="1"/>
  <c r="B1179" i="1"/>
  <c r="C1179" i="1"/>
  <c r="D1179" i="1"/>
  <c r="E1179" i="1"/>
  <c r="F1179" i="1"/>
  <c r="G1179" i="1"/>
  <c r="AE1179" i="1" s="1"/>
  <c r="AG1179" i="1" s="1"/>
  <c r="H1179" i="1"/>
  <c r="I1179" i="1"/>
  <c r="J1179" i="1"/>
  <c r="K1179" i="1"/>
  <c r="L1179" i="1"/>
  <c r="M1179" i="1"/>
  <c r="N1179" i="1"/>
  <c r="O1179" i="1"/>
  <c r="P1179" i="1"/>
  <c r="Q1179" i="1"/>
  <c r="R1179" i="1"/>
  <c r="U1179" i="1" s="1"/>
  <c r="A1180" i="1"/>
  <c r="B1180" i="1"/>
  <c r="C1180" i="1"/>
  <c r="D1180" i="1"/>
  <c r="E1180" i="1"/>
  <c r="F1180" i="1"/>
  <c r="G1180" i="1"/>
  <c r="AE1180" i="1" s="1"/>
  <c r="AG1180" i="1" s="1"/>
  <c r="H1180" i="1"/>
  <c r="I1180" i="1"/>
  <c r="J1180" i="1"/>
  <c r="K1180" i="1"/>
  <c r="L1180" i="1"/>
  <c r="M1180" i="1"/>
  <c r="N1180" i="1"/>
  <c r="O1180" i="1"/>
  <c r="P1180" i="1"/>
  <c r="Q1180" i="1"/>
  <c r="R1180" i="1"/>
  <c r="A1181" i="1"/>
  <c r="B1181" i="1"/>
  <c r="C1181" i="1"/>
  <c r="D1181" i="1"/>
  <c r="E1181" i="1"/>
  <c r="F1181" i="1"/>
  <c r="G1181" i="1"/>
  <c r="AE1181" i="1" s="1"/>
  <c r="AG1181" i="1" s="1"/>
  <c r="H1181" i="1"/>
  <c r="I1181" i="1"/>
  <c r="J1181" i="1"/>
  <c r="K1181" i="1"/>
  <c r="L1181" i="1"/>
  <c r="M1181" i="1"/>
  <c r="N1181" i="1"/>
  <c r="O1181" i="1"/>
  <c r="P1181" i="1"/>
  <c r="Q1181" i="1"/>
  <c r="R1181" i="1"/>
  <c r="A1182" i="1"/>
  <c r="B1182" i="1"/>
  <c r="C1182" i="1"/>
  <c r="D1182" i="1"/>
  <c r="E1182" i="1"/>
  <c r="F1182" i="1"/>
  <c r="Z1182" i="1" s="1"/>
  <c r="G1182" i="1"/>
  <c r="AE1182" i="1" s="1"/>
  <c r="AG1182" i="1" s="1"/>
  <c r="H1182" i="1"/>
  <c r="I1182" i="1"/>
  <c r="J1182" i="1"/>
  <c r="K1182" i="1"/>
  <c r="L1182" i="1"/>
  <c r="M1182" i="1"/>
  <c r="N1182" i="1"/>
  <c r="O1182" i="1"/>
  <c r="P1182" i="1"/>
  <c r="Q1182" i="1"/>
  <c r="R1182" i="1"/>
  <c r="A1183" i="1"/>
  <c r="B1183" i="1"/>
  <c r="C1183" i="1"/>
  <c r="D1183" i="1"/>
  <c r="E1183" i="1"/>
  <c r="F1183" i="1"/>
  <c r="Z1183" i="1" s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U1183" i="1" s="1"/>
  <c r="A1184" i="1"/>
  <c r="B1184" i="1"/>
  <c r="C1184" i="1"/>
  <c r="D1184" i="1"/>
  <c r="E1184" i="1"/>
  <c r="F1184" i="1"/>
  <c r="G1184" i="1"/>
  <c r="AE1184" i="1" s="1"/>
  <c r="AG1184" i="1" s="1"/>
  <c r="H1184" i="1"/>
  <c r="I1184" i="1"/>
  <c r="J1184" i="1"/>
  <c r="K1184" i="1"/>
  <c r="L1184" i="1"/>
  <c r="M1184" i="1"/>
  <c r="N1184" i="1"/>
  <c r="O1184" i="1"/>
  <c r="P1184" i="1"/>
  <c r="Q1184" i="1"/>
  <c r="R1184" i="1"/>
  <c r="T1184" i="1" s="1"/>
  <c r="A1185" i="1"/>
  <c r="B1185" i="1"/>
  <c r="C1185" i="1"/>
  <c r="D1185" i="1"/>
  <c r="E1185" i="1"/>
  <c r="F1185" i="1"/>
  <c r="G1185" i="1"/>
  <c r="AE1185" i="1" s="1"/>
  <c r="AG1185" i="1" s="1"/>
  <c r="H1185" i="1"/>
  <c r="I1185" i="1"/>
  <c r="J1185" i="1"/>
  <c r="K1185" i="1"/>
  <c r="L1185" i="1"/>
  <c r="M1185" i="1"/>
  <c r="N1185" i="1"/>
  <c r="O1185" i="1"/>
  <c r="P1185" i="1"/>
  <c r="Q1185" i="1"/>
  <c r="R1185" i="1"/>
  <c r="T1185" i="1" s="1"/>
  <c r="A1186" i="1"/>
  <c r="B1186" i="1"/>
  <c r="C1186" i="1"/>
  <c r="D1186" i="1"/>
  <c r="E1186" i="1"/>
  <c r="F1186" i="1"/>
  <c r="Z1186" i="1" s="1"/>
  <c r="G1186" i="1"/>
  <c r="AE1186" i="1" s="1"/>
  <c r="AG1186" i="1" s="1"/>
  <c r="H1186" i="1"/>
  <c r="I1186" i="1"/>
  <c r="J1186" i="1"/>
  <c r="K1186" i="1"/>
  <c r="L1186" i="1"/>
  <c r="M1186" i="1"/>
  <c r="N1186" i="1"/>
  <c r="O1186" i="1"/>
  <c r="P1186" i="1"/>
  <c r="Q1186" i="1"/>
  <c r="R1186" i="1"/>
  <c r="A1187" i="1"/>
  <c r="B1187" i="1"/>
  <c r="C1187" i="1"/>
  <c r="D1187" i="1"/>
  <c r="E1187" i="1"/>
  <c r="F1187" i="1"/>
  <c r="Z1187" i="1" s="1"/>
  <c r="G1187" i="1"/>
  <c r="AE1187" i="1" s="1"/>
  <c r="AG1187" i="1" s="1"/>
  <c r="H1187" i="1"/>
  <c r="I1187" i="1"/>
  <c r="J1187" i="1"/>
  <c r="K1187" i="1"/>
  <c r="L1187" i="1"/>
  <c r="M1187" i="1"/>
  <c r="N1187" i="1"/>
  <c r="O1187" i="1"/>
  <c r="P1187" i="1"/>
  <c r="Q1187" i="1"/>
  <c r="R1187" i="1"/>
  <c r="A1188" i="1"/>
  <c r="B1188" i="1"/>
  <c r="C1188" i="1"/>
  <c r="D1188" i="1"/>
  <c r="E1188" i="1"/>
  <c r="F1188" i="1"/>
  <c r="Z1188" i="1" s="1"/>
  <c r="G1188" i="1"/>
  <c r="AE1188" i="1" s="1"/>
  <c r="AG1188" i="1" s="1"/>
  <c r="H1188" i="1"/>
  <c r="I1188" i="1"/>
  <c r="J1188" i="1"/>
  <c r="K1188" i="1"/>
  <c r="L1188" i="1"/>
  <c r="M1188" i="1"/>
  <c r="N1188" i="1"/>
  <c r="O1188" i="1"/>
  <c r="P1188" i="1"/>
  <c r="Q1188" i="1"/>
  <c r="R1188" i="1"/>
  <c r="A1189" i="1"/>
  <c r="B1189" i="1"/>
  <c r="C1189" i="1"/>
  <c r="D1189" i="1"/>
  <c r="E1189" i="1"/>
  <c r="F1189" i="1"/>
  <c r="G1189" i="1"/>
  <c r="AE1189" i="1" s="1"/>
  <c r="AG1189" i="1" s="1"/>
  <c r="H1189" i="1"/>
  <c r="I1189" i="1"/>
  <c r="J1189" i="1"/>
  <c r="K1189" i="1"/>
  <c r="L1189" i="1"/>
  <c r="M1189" i="1"/>
  <c r="N1189" i="1"/>
  <c r="O1189" i="1"/>
  <c r="P1189" i="1"/>
  <c r="Q1189" i="1"/>
  <c r="R1189" i="1"/>
  <c r="T1189" i="1" s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T378" i="1" s="1"/>
  <c r="A1190" i="1"/>
  <c r="B1190" i="1"/>
  <c r="C1190" i="1"/>
  <c r="D1190" i="1"/>
  <c r="E1190" i="1"/>
  <c r="F1190" i="1"/>
  <c r="Z1190" i="1" s="1"/>
  <c r="G1190" i="1"/>
  <c r="AE1190" i="1" s="1"/>
  <c r="AG1190" i="1" s="1"/>
  <c r="H1190" i="1"/>
  <c r="I1190" i="1"/>
  <c r="J1190" i="1"/>
  <c r="K1190" i="1"/>
  <c r="L1190" i="1"/>
  <c r="M1190" i="1"/>
  <c r="N1190" i="1"/>
  <c r="O1190" i="1"/>
  <c r="P1190" i="1"/>
  <c r="Q1190" i="1"/>
  <c r="R1190" i="1"/>
  <c r="U1190" i="1" s="1"/>
  <c r="A1191" i="1"/>
  <c r="B1191" i="1"/>
  <c r="C1191" i="1"/>
  <c r="D1191" i="1"/>
  <c r="E1191" i="1"/>
  <c r="F1191" i="1"/>
  <c r="Z1191" i="1" s="1"/>
  <c r="G1191" i="1"/>
  <c r="AE1191" i="1" s="1"/>
  <c r="AG1191" i="1" s="1"/>
  <c r="H1191" i="1"/>
  <c r="I1191" i="1"/>
  <c r="J1191" i="1"/>
  <c r="K1191" i="1"/>
  <c r="L1191" i="1"/>
  <c r="M1191" i="1"/>
  <c r="N1191" i="1"/>
  <c r="O1191" i="1"/>
  <c r="P1191" i="1"/>
  <c r="Q1191" i="1"/>
  <c r="R1191" i="1"/>
  <c r="T1191" i="1" s="1"/>
  <c r="A1192" i="1"/>
  <c r="B1192" i="1"/>
  <c r="C1192" i="1"/>
  <c r="D1192" i="1"/>
  <c r="E1192" i="1"/>
  <c r="F1192" i="1"/>
  <c r="G1192" i="1"/>
  <c r="AE1192" i="1" s="1"/>
  <c r="AG1192" i="1" s="1"/>
  <c r="H1192" i="1"/>
  <c r="I1192" i="1"/>
  <c r="J1192" i="1"/>
  <c r="K1192" i="1"/>
  <c r="L1192" i="1"/>
  <c r="M1192" i="1"/>
  <c r="N1192" i="1"/>
  <c r="O1192" i="1"/>
  <c r="P1192" i="1"/>
  <c r="Q1192" i="1"/>
  <c r="R1192" i="1"/>
  <c r="U1192" i="1" s="1"/>
  <c r="A1193" i="1"/>
  <c r="B1193" i="1"/>
  <c r="C1193" i="1"/>
  <c r="D1193" i="1"/>
  <c r="E1193" i="1"/>
  <c r="F1193" i="1"/>
  <c r="G1193" i="1"/>
  <c r="AE1193" i="1" s="1"/>
  <c r="AG1193" i="1" s="1"/>
  <c r="H1193" i="1"/>
  <c r="I1193" i="1"/>
  <c r="J1193" i="1"/>
  <c r="K1193" i="1"/>
  <c r="L1193" i="1"/>
  <c r="M1193" i="1"/>
  <c r="N1193" i="1"/>
  <c r="O1193" i="1"/>
  <c r="P1193" i="1"/>
  <c r="Q1193" i="1"/>
  <c r="R1193" i="1"/>
  <c r="W1193" i="1" s="1"/>
  <c r="A1194" i="1"/>
  <c r="B1194" i="1"/>
  <c r="C1194" i="1"/>
  <c r="D1194" i="1"/>
  <c r="E1194" i="1"/>
  <c r="F1194" i="1"/>
  <c r="G1194" i="1"/>
  <c r="AE1194" i="1" s="1"/>
  <c r="AG1194" i="1" s="1"/>
  <c r="H1194" i="1"/>
  <c r="I1194" i="1"/>
  <c r="J1194" i="1"/>
  <c r="K1194" i="1"/>
  <c r="L1194" i="1"/>
  <c r="M1194" i="1"/>
  <c r="N1194" i="1"/>
  <c r="O1194" i="1"/>
  <c r="P1194" i="1"/>
  <c r="Q1194" i="1"/>
  <c r="R1194" i="1"/>
  <c r="W1194" i="1" s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W1608" i="1" s="1"/>
  <c r="A1195" i="1"/>
  <c r="B1195" i="1"/>
  <c r="C1195" i="1"/>
  <c r="D1195" i="1"/>
  <c r="E1195" i="1"/>
  <c r="F1195" i="1"/>
  <c r="G1195" i="1"/>
  <c r="AE1195" i="1" s="1"/>
  <c r="AG1195" i="1" s="1"/>
  <c r="H1195" i="1"/>
  <c r="I1195" i="1"/>
  <c r="J1195" i="1"/>
  <c r="K1195" i="1"/>
  <c r="L1195" i="1"/>
  <c r="M1195" i="1"/>
  <c r="N1195" i="1"/>
  <c r="O1195" i="1"/>
  <c r="P1195" i="1"/>
  <c r="Q1195" i="1"/>
  <c r="R1195" i="1"/>
  <c r="A1196" i="1"/>
  <c r="B1196" i="1"/>
  <c r="C1196" i="1"/>
  <c r="D1196" i="1"/>
  <c r="E1196" i="1"/>
  <c r="F1196" i="1"/>
  <c r="Z1196" i="1" s="1"/>
  <c r="G1196" i="1"/>
  <c r="AE1196" i="1" s="1"/>
  <c r="AG1196" i="1" s="1"/>
  <c r="H1196" i="1"/>
  <c r="I1196" i="1"/>
  <c r="J1196" i="1"/>
  <c r="K1196" i="1"/>
  <c r="L1196" i="1"/>
  <c r="M1196" i="1"/>
  <c r="N1196" i="1"/>
  <c r="O1196" i="1"/>
  <c r="P1196" i="1"/>
  <c r="Q1196" i="1"/>
  <c r="R1196" i="1"/>
  <c r="A1197" i="1"/>
  <c r="B1197" i="1"/>
  <c r="C1197" i="1"/>
  <c r="D1197" i="1"/>
  <c r="E1197" i="1"/>
  <c r="F1197" i="1"/>
  <c r="Z1197" i="1" s="1"/>
  <c r="G1197" i="1"/>
  <c r="AE1197" i="1" s="1"/>
  <c r="AG1197" i="1" s="1"/>
  <c r="H1197" i="1"/>
  <c r="I1197" i="1"/>
  <c r="J1197" i="1"/>
  <c r="K1197" i="1"/>
  <c r="L1197" i="1"/>
  <c r="M1197" i="1"/>
  <c r="N1197" i="1"/>
  <c r="O1197" i="1"/>
  <c r="P1197" i="1"/>
  <c r="Q1197" i="1"/>
  <c r="R1197" i="1"/>
  <c r="A1198" i="1"/>
  <c r="B1198" i="1"/>
  <c r="C1198" i="1"/>
  <c r="D1198" i="1"/>
  <c r="E1198" i="1"/>
  <c r="F1198" i="1"/>
  <c r="Z1198" i="1" s="1"/>
  <c r="G1198" i="1"/>
  <c r="AE1198" i="1" s="1"/>
  <c r="AG1198" i="1" s="1"/>
  <c r="H1198" i="1"/>
  <c r="I1198" i="1"/>
  <c r="J1198" i="1"/>
  <c r="K1198" i="1"/>
  <c r="L1198" i="1"/>
  <c r="M1198" i="1"/>
  <c r="N1198" i="1"/>
  <c r="O1198" i="1"/>
  <c r="P1198" i="1"/>
  <c r="Q1198" i="1"/>
  <c r="R1198" i="1"/>
  <c r="A1199" i="1"/>
  <c r="B1199" i="1"/>
  <c r="C1199" i="1"/>
  <c r="D1199" i="1"/>
  <c r="E1199" i="1"/>
  <c r="F1199" i="1"/>
  <c r="G1199" i="1"/>
  <c r="AE1199" i="1" s="1"/>
  <c r="AG1199" i="1" s="1"/>
  <c r="H1199" i="1"/>
  <c r="I1199" i="1"/>
  <c r="J1199" i="1"/>
  <c r="K1199" i="1"/>
  <c r="L1199" i="1"/>
  <c r="M1199" i="1"/>
  <c r="N1199" i="1"/>
  <c r="O1199" i="1"/>
  <c r="P1199" i="1"/>
  <c r="Q1199" i="1"/>
  <c r="R1199" i="1"/>
  <c r="U1199" i="1" s="1"/>
  <c r="A1200" i="1"/>
  <c r="B1200" i="1"/>
  <c r="C1200" i="1"/>
  <c r="D1200" i="1"/>
  <c r="E1200" i="1"/>
  <c r="F1200" i="1"/>
  <c r="G1200" i="1"/>
  <c r="AE1200" i="1" s="1"/>
  <c r="AG1200" i="1" s="1"/>
  <c r="H1200" i="1"/>
  <c r="I1200" i="1"/>
  <c r="J1200" i="1"/>
  <c r="K1200" i="1"/>
  <c r="L1200" i="1"/>
  <c r="M1200" i="1"/>
  <c r="N1200" i="1"/>
  <c r="O1200" i="1"/>
  <c r="P1200" i="1"/>
  <c r="Q1200" i="1"/>
  <c r="R1200" i="1"/>
  <c r="A1201" i="1"/>
  <c r="B1201" i="1"/>
  <c r="C1201" i="1"/>
  <c r="D1201" i="1"/>
  <c r="E1201" i="1"/>
  <c r="F1201" i="1"/>
  <c r="G1201" i="1"/>
  <c r="AE1201" i="1" s="1"/>
  <c r="AG1201" i="1" s="1"/>
  <c r="H1201" i="1"/>
  <c r="I1201" i="1"/>
  <c r="J1201" i="1"/>
  <c r="K1201" i="1"/>
  <c r="L1201" i="1"/>
  <c r="M1201" i="1"/>
  <c r="N1201" i="1"/>
  <c r="O1201" i="1"/>
  <c r="P1201" i="1"/>
  <c r="Q1201" i="1"/>
  <c r="R1201" i="1"/>
  <c r="A1202" i="1"/>
  <c r="B1202" i="1"/>
  <c r="C1202" i="1"/>
  <c r="D1202" i="1"/>
  <c r="E1202" i="1"/>
  <c r="F1202" i="1"/>
  <c r="Z1202" i="1" s="1"/>
  <c r="G1202" i="1"/>
  <c r="AE1202" i="1" s="1"/>
  <c r="AG1202" i="1" s="1"/>
  <c r="H1202" i="1"/>
  <c r="I1202" i="1"/>
  <c r="J1202" i="1"/>
  <c r="K1202" i="1"/>
  <c r="L1202" i="1"/>
  <c r="M1202" i="1"/>
  <c r="N1202" i="1"/>
  <c r="O1202" i="1"/>
  <c r="P1202" i="1"/>
  <c r="Q1202" i="1"/>
  <c r="R1202" i="1"/>
  <c r="A1203" i="1"/>
  <c r="B1203" i="1"/>
  <c r="C1203" i="1"/>
  <c r="D1203" i="1"/>
  <c r="E1203" i="1"/>
  <c r="F1203" i="1"/>
  <c r="G1203" i="1"/>
  <c r="AE1203" i="1" s="1"/>
  <c r="AG1203" i="1" s="1"/>
  <c r="H1203" i="1"/>
  <c r="I1203" i="1"/>
  <c r="J1203" i="1"/>
  <c r="K1203" i="1"/>
  <c r="L1203" i="1"/>
  <c r="M1203" i="1"/>
  <c r="N1203" i="1"/>
  <c r="O1203" i="1"/>
  <c r="P1203" i="1"/>
  <c r="Q1203" i="1"/>
  <c r="R1203" i="1"/>
  <c r="A1204" i="1"/>
  <c r="B1204" i="1"/>
  <c r="C1204" i="1"/>
  <c r="D1204" i="1"/>
  <c r="E1204" i="1"/>
  <c r="F1204" i="1"/>
  <c r="Z1204" i="1" s="1"/>
  <c r="G1204" i="1"/>
  <c r="AE1204" i="1" s="1"/>
  <c r="AG1204" i="1" s="1"/>
  <c r="H1204" i="1"/>
  <c r="I1204" i="1"/>
  <c r="J1204" i="1"/>
  <c r="K1204" i="1"/>
  <c r="L1204" i="1"/>
  <c r="M1204" i="1"/>
  <c r="N1204" i="1"/>
  <c r="O1204" i="1"/>
  <c r="P1204" i="1"/>
  <c r="Q1204" i="1"/>
  <c r="R1204" i="1"/>
  <c r="U1204" i="1" s="1"/>
  <c r="A1205" i="1"/>
  <c r="B1205" i="1"/>
  <c r="C1205" i="1"/>
  <c r="D1205" i="1"/>
  <c r="E1205" i="1"/>
  <c r="F1205" i="1"/>
  <c r="Z1205" i="1" s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W1205" i="1" s="1"/>
  <c r="A1206" i="1"/>
  <c r="B1206" i="1"/>
  <c r="C1206" i="1"/>
  <c r="D1206" i="1"/>
  <c r="E1206" i="1"/>
  <c r="F1206" i="1"/>
  <c r="G1206" i="1"/>
  <c r="AE1206" i="1" s="1"/>
  <c r="AG1206" i="1" s="1"/>
  <c r="H1206" i="1"/>
  <c r="I1206" i="1"/>
  <c r="J1206" i="1"/>
  <c r="K1206" i="1"/>
  <c r="L1206" i="1"/>
  <c r="M1206" i="1"/>
  <c r="N1206" i="1"/>
  <c r="O1206" i="1"/>
  <c r="P1206" i="1"/>
  <c r="Q1206" i="1"/>
  <c r="R1206" i="1"/>
  <c r="T1206" i="1" s="1"/>
  <c r="A1207" i="1"/>
  <c r="B1207" i="1"/>
  <c r="C1207" i="1"/>
  <c r="D1207" i="1"/>
  <c r="E1207" i="1"/>
  <c r="F1207" i="1"/>
  <c r="G1207" i="1"/>
  <c r="AE1207" i="1" s="1"/>
  <c r="AG1207" i="1" s="1"/>
  <c r="H1207" i="1"/>
  <c r="I1207" i="1"/>
  <c r="J1207" i="1"/>
  <c r="K1207" i="1"/>
  <c r="L1207" i="1"/>
  <c r="M1207" i="1"/>
  <c r="N1207" i="1"/>
  <c r="O1207" i="1"/>
  <c r="P1207" i="1"/>
  <c r="Q1207" i="1"/>
  <c r="R1207" i="1"/>
  <c r="A1208" i="1"/>
  <c r="B1208" i="1"/>
  <c r="C1208" i="1"/>
  <c r="D1208" i="1"/>
  <c r="E1208" i="1"/>
  <c r="F1208" i="1"/>
  <c r="G1208" i="1"/>
  <c r="AE1208" i="1" s="1"/>
  <c r="AG1208" i="1" s="1"/>
  <c r="H1208" i="1"/>
  <c r="I1208" i="1"/>
  <c r="J1208" i="1"/>
  <c r="K1208" i="1"/>
  <c r="L1208" i="1"/>
  <c r="M1208" i="1"/>
  <c r="N1208" i="1"/>
  <c r="O1208" i="1"/>
  <c r="P1208" i="1"/>
  <c r="Q1208" i="1"/>
  <c r="R1208" i="1"/>
  <c r="A1209" i="1"/>
  <c r="B1209" i="1"/>
  <c r="C1209" i="1"/>
  <c r="D1209" i="1"/>
  <c r="E1209" i="1"/>
  <c r="F1209" i="1"/>
  <c r="Z1209" i="1" s="1"/>
  <c r="G1209" i="1"/>
  <c r="AE1209" i="1" s="1"/>
  <c r="AG1209" i="1" s="1"/>
  <c r="H1209" i="1"/>
  <c r="I1209" i="1"/>
  <c r="J1209" i="1"/>
  <c r="K1209" i="1"/>
  <c r="L1209" i="1"/>
  <c r="M1209" i="1"/>
  <c r="N1209" i="1"/>
  <c r="O1209" i="1"/>
  <c r="P1209" i="1"/>
  <c r="Q1209" i="1"/>
  <c r="R1209" i="1"/>
  <c r="A1210" i="1"/>
  <c r="B1210" i="1"/>
  <c r="C1210" i="1"/>
  <c r="D1210" i="1"/>
  <c r="E1210" i="1"/>
  <c r="F1210" i="1"/>
  <c r="G1210" i="1"/>
  <c r="AE1210" i="1" s="1"/>
  <c r="AG1210" i="1" s="1"/>
  <c r="H1210" i="1"/>
  <c r="I1210" i="1"/>
  <c r="J1210" i="1"/>
  <c r="K1210" i="1"/>
  <c r="L1210" i="1"/>
  <c r="M1210" i="1"/>
  <c r="N1210" i="1"/>
  <c r="O1210" i="1"/>
  <c r="P1210" i="1"/>
  <c r="Q1210" i="1"/>
  <c r="R1210" i="1"/>
  <c r="A1211" i="1"/>
  <c r="B1211" i="1"/>
  <c r="C1211" i="1"/>
  <c r="D1211" i="1"/>
  <c r="E1211" i="1"/>
  <c r="F1211" i="1"/>
  <c r="G1211" i="1"/>
  <c r="AE1211" i="1" s="1"/>
  <c r="AG1211" i="1" s="1"/>
  <c r="H1211" i="1"/>
  <c r="I1211" i="1"/>
  <c r="J1211" i="1"/>
  <c r="K1211" i="1"/>
  <c r="L1211" i="1"/>
  <c r="M1211" i="1"/>
  <c r="N1211" i="1"/>
  <c r="O1211" i="1"/>
  <c r="P1211" i="1"/>
  <c r="Q1211" i="1"/>
  <c r="R1211" i="1"/>
  <c r="A1212" i="1"/>
  <c r="B1212" i="1"/>
  <c r="C1212" i="1"/>
  <c r="D1212" i="1"/>
  <c r="E1212" i="1"/>
  <c r="F1212" i="1"/>
  <c r="G1212" i="1"/>
  <c r="AE1212" i="1" s="1"/>
  <c r="AG1212" i="1" s="1"/>
  <c r="H1212" i="1"/>
  <c r="I1212" i="1"/>
  <c r="J1212" i="1"/>
  <c r="K1212" i="1"/>
  <c r="L1212" i="1"/>
  <c r="M1212" i="1"/>
  <c r="N1212" i="1"/>
  <c r="O1212" i="1"/>
  <c r="P1212" i="1"/>
  <c r="Q1212" i="1"/>
  <c r="R1212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U547" i="1" s="1"/>
  <c r="A1213" i="1"/>
  <c r="B1213" i="1"/>
  <c r="C1213" i="1"/>
  <c r="D1213" i="1"/>
  <c r="E1213" i="1"/>
  <c r="F1213" i="1"/>
  <c r="Z1213" i="1" s="1"/>
  <c r="G1213" i="1"/>
  <c r="AE1213" i="1" s="1"/>
  <c r="AG1213" i="1" s="1"/>
  <c r="H1213" i="1"/>
  <c r="I1213" i="1"/>
  <c r="J1213" i="1"/>
  <c r="K1213" i="1"/>
  <c r="L1213" i="1"/>
  <c r="M1213" i="1"/>
  <c r="N1213" i="1"/>
  <c r="O1213" i="1"/>
  <c r="P1213" i="1"/>
  <c r="Q1213" i="1"/>
  <c r="R1213" i="1"/>
  <c r="W1213" i="1" s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A1214" i="1"/>
  <c r="B1214" i="1"/>
  <c r="C1214" i="1"/>
  <c r="D1214" i="1"/>
  <c r="E1214" i="1"/>
  <c r="F1214" i="1"/>
  <c r="G1214" i="1"/>
  <c r="AE1214" i="1" s="1"/>
  <c r="AG1214" i="1" s="1"/>
  <c r="H1214" i="1"/>
  <c r="I1214" i="1"/>
  <c r="J1214" i="1"/>
  <c r="K1214" i="1"/>
  <c r="L1214" i="1"/>
  <c r="M1214" i="1"/>
  <c r="N1214" i="1"/>
  <c r="O1214" i="1"/>
  <c r="P1214" i="1"/>
  <c r="Q1214" i="1"/>
  <c r="R1214" i="1"/>
  <c r="T1214" i="1" s="1"/>
  <c r="A1215" i="1"/>
  <c r="B1215" i="1"/>
  <c r="C1215" i="1"/>
  <c r="D1215" i="1"/>
  <c r="E1215" i="1"/>
  <c r="F1215" i="1"/>
  <c r="G1215" i="1"/>
  <c r="AE1215" i="1" s="1"/>
  <c r="AG1215" i="1" s="1"/>
  <c r="H1215" i="1"/>
  <c r="I1215" i="1"/>
  <c r="J1215" i="1"/>
  <c r="K1215" i="1"/>
  <c r="L1215" i="1"/>
  <c r="M1215" i="1"/>
  <c r="N1215" i="1"/>
  <c r="O1215" i="1"/>
  <c r="P1215" i="1"/>
  <c r="Q1215" i="1"/>
  <c r="R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A1217" i="1"/>
  <c r="B1217" i="1"/>
  <c r="C1217" i="1"/>
  <c r="D1217" i="1"/>
  <c r="E1217" i="1"/>
  <c r="F1217" i="1"/>
  <c r="Z1217" i="1" s="1"/>
  <c r="G1217" i="1"/>
  <c r="AE1217" i="1" s="1"/>
  <c r="AG1217" i="1" s="1"/>
  <c r="H1217" i="1"/>
  <c r="I1217" i="1"/>
  <c r="J1217" i="1"/>
  <c r="K1217" i="1"/>
  <c r="L1217" i="1"/>
  <c r="M1217" i="1"/>
  <c r="N1217" i="1"/>
  <c r="O1217" i="1"/>
  <c r="P1217" i="1"/>
  <c r="Q1217" i="1"/>
  <c r="R1217" i="1"/>
  <c r="A1218" i="1"/>
  <c r="B1218" i="1"/>
  <c r="C1218" i="1"/>
  <c r="D1218" i="1"/>
  <c r="E1218" i="1"/>
  <c r="F1218" i="1"/>
  <c r="G1218" i="1"/>
  <c r="AE1218" i="1" s="1"/>
  <c r="AG1218" i="1" s="1"/>
  <c r="H1218" i="1"/>
  <c r="I1218" i="1"/>
  <c r="J1218" i="1"/>
  <c r="K1218" i="1"/>
  <c r="L1218" i="1"/>
  <c r="M1218" i="1"/>
  <c r="N1218" i="1"/>
  <c r="O1218" i="1"/>
  <c r="P1218" i="1"/>
  <c r="Q1218" i="1"/>
  <c r="R1218" i="1"/>
  <c r="T1218" i="1" s="1"/>
  <c r="A1219" i="1"/>
  <c r="B1219" i="1"/>
  <c r="C1219" i="1"/>
  <c r="D1219" i="1"/>
  <c r="E1219" i="1"/>
  <c r="F1219" i="1"/>
  <c r="Z1219" i="1" s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U1219" i="1" s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A1220" i="1"/>
  <c r="B1220" i="1"/>
  <c r="C1220" i="1"/>
  <c r="D1220" i="1"/>
  <c r="E1220" i="1"/>
  <c r="F1220" i="1"/>
  <c r="G1220" i="1"/>
  <c r="AE1220" i="1" s="1"/>
  <c r="AG1220" i="1" s="1"/>
  <c r="H1220" i="1"/>
  <c r="I1220" i="1"/>
  <c r="J1220" i="1"/>
  <c r="K1220" i="1"/>
  <c r="L1220" i="1"/>
  <c r="M1220" i="1"/>
  <c r="N1220" i="1"/>
  <c r="O1220" i="1"/>
  <c r="P1220" i="1"/>
  <c r="Q1220" i="1"/>
  <c r="R122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T1691" i="1" s="1"/>
  <c r="A1221" i="1"/>
  <c r="B1221" i="1"/>
  <c r="C1221" i="1"/>
  <c r="D1221" i="1"/>
  <c r="E1221" i="1"/>
  <c r="F1221" i="1"/>
  <c r="G1221" i="1"/>
  <c r="AE1221" i="1" s="1"/>
  <c r="AG1221" i="1" s="1"/>
  <c r="H1221" i="1"/>
  <c r="I1221" i="1"/>
  <c r="J1221" i="1"/>
  <c r="K1221" i="1"/>
  <c r="L1221" i="1"/>
  <c r="M1221" i="1"/>
  <c r="N1221" i="1"/>
  <c r="O1221" i="1"/>
  <c r="P1221" i="1"/>
  <c r="Q1221" i="1"/>
  <c r="R1221" i="1"/>
  <c r="A1222" i="1"/>
  <c r="B1222" i="1"/>
  <c r="C1222" i="1"/>
  <c r="D1222" i="1"/>
  <c r="E1222" i="1"/>
  <c r="F1222" i="1"/>
  <c r="Z1222" i="1" s="1"/>
  <c r="G1222" i="1"/>
  <c r="AE1222" i="1" s="1"/>
  <c r="AG1222" i="1" s="1"/>
  <c r="H1222" i="1"/>
  <c r="I1222" i="1"/>
  <c r="J1222" i="1"/>
  <c r="K1222" i="1"/>
  <c r="L1222" i="1"/>
  <c r="M1222" i="1"/>
  <c r="N1222" i="1"/>
  <c r="O1222" i="1"/>
  <c r="P1222" i="1"/>
  <c r="Q1222" i="1"/>
  <c r="R1222" i="1"/>
  <c r="A1223" i="1"/>
  <c r="B1223" i="1"/>
  <c r="C1223" i="1"/>
  <c r="D1223" i="1"/>
  <c r="E1223" i="1"/>
  <c r="F1223" i="1"/>
  <c r="G1223" i="1"/>
  <c r="AE1223" i="1" s="1"/>
  <c r="AG1223" i="1" s="1"/>
  <c r="H1223" i="1"/>
  <c r="I1223" i="1"/>
  <c r="J1223" i="1"/>
  <c r="K1223" i="1"/>
  <c r="L1223" i="1"/>
  <c r="M1223" i="1"/>
  <c r="N1223" i="1"/>
  <c r="O1223" i="1"/>
  <c r="P1223" i="1"/>
  <c r="Q1223" i="1"/>
  <c r="R1223" i="1"/>
  <c r="A1224" i="1"/>
  <c r="B1224" i="1"/>
  <c r="C1224" i="1"/>
  <c r="D1224" i="1"/>
  <c r="E1224" i="1"/>
  <c r="F1224" i="1"/>
  <c r="G1224" i="1"/>
  <c r="AE1224" i="1" s="1"/>
  <c r="AG1224" i="1" s="1"/>
  <c r="H1224" i="1"/>
  <c r="I1224" i="1"/>
  <c r="J1224" i="1"/>
  <c r="K1224" i="1"/>
  <c r="L1224" i="1"/>
  <c r="M1224" i="1"/>
  <c r="N1224" i="1"/>
  <c r="O1224" i="1"/>
  <c r="P1224" i="1"/>
  <c r="Q1224" i="1"/>
  <c r="R1224" i="1"/>
  <c r="A1225" i="1"/>
  <c r="B1225" i="1"/>
  <c r="C1225" i="1"/>
  <c r="D1225" i="1"/>
  <c r="E1225" i="1"/>
  <c r="F1225" i="1"/>
  <c r="Z1225" i="1" s="1"/>
  <c r="G1225" i="1"/>
  <c r="AE1225" i="1" s="1"/>
  <c r="AG1225" i="1" s="1"/>
  <c r="H1225" i="1"/>
  <c r="I1225" i="1"/>
  <c r="J1225" i="1"/>
  <c r="K1225" i="1"/>
  <c r="L1225" i="1"/>
  <c r="M1225" i="1"/>
  <c r="N1225" i="1"/>
  <c r="O1225" i="1"/>
  <c r="P1225" i="1"/>
  <c r="Q1225" i="1"/>
  <c r="R1225" i="1"/>
  <c r="W1225" i="1" s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A1226" i="1"/>
  <c r="B1226" i="1"/>
  <c r="C1226" i="1"/>
  <c r="D1226" i="1"/>
  <c r="E1226" i="1"/>
  <c r="F1226" i="1"/>
  <c r="G1226" i="1"/>
  <c r="AE1226" i="1" s="1"/>
  <c r="AG1226" i="1" s="1"/>
  <c r="H1226" i="1"/>
  <c r="I1226" i="1"/>
  <c r="J1226" i="1"/>
  <c r="K1226" i="1"/>
  <c r="L1226" i="1"/>
  <c r="M1226" i="1"/>
  <c r="N1226" i="1"/>
  <c r="O1226" i="1"/>
  <c r="P1226" i="1"/>
  <c r="Q1226" i="1"/>
  <c r="R1226" i="1"/>
  <c r="A1227" i="1"/>
  <c r="B1227" i="1"/>
  <c r="C1227" i="1"/>
  <c r="D1227" i="1"/>
  <c r="E1227" i="1"/>
  <c r="F1227" i="1"/>
  <c r="G1227" i="1"/>
  <c r="AE1227" i="1" s="1"/>
  <c r="AG1227" i="1" s="1"/>
  <c r="H1227" i="1"/>
  <c r="I1227" i="1"/>
  <c r="J1227" i="1"/>
  <c r="K1227" i="1"/>
  <c r="L1227" i="1"/>
  <c r="M1227" i="1"/>
  <c r="N1227" i="1"/>
  <c r="O1227" i="1"/>
  <c r="P1227" i="1"/>
  <c r="Q1227" i="1"/>
  <c r="R1227" i="1"/>
  <c r="A1228" i="1"/>
  <c r="B1228" i="1"/>
  <c r="C1228" i="1"/>
  <c r="D1228" i="1"/>
  <c r="E1228" i="1"/>
  <c r="F1228" i="1"/>
  <c r="G1228" i="1"/>
  <c r="AE1228" i="1" s="1"/>
  <c r="AG1228" i="1" s="1"/>
  <c r="H1228" i="1"/>
  <c r="I1228" i="1"/>
  <c r="J1228" i="1"/>
  <c r="K1228" i="1"/>
  <c r="L1228" i="1"/>
  <c r="M1228" i="1"/>
  <c r="N1228" i="1"/>
  <c r="O1228" i="1"/>
  <c r="P1228" i="1"/>
  <c r="Q1228" i="1"/>
  <c r="R1228" i="1"/>
  <c r="A1229" i="1"/>
  <c r="B1229" i="1"/>
  <c r="C1229" i="1"/>
  <c r="D1229" i="1"/>
  <c r="E1229" i="1"/>
  <c r="F1229" i="1"/>
  <c r="G1229" i="1"/>
  <c r="AE1229" i="1" s="1"/>
  <c r="AG1229" i="1" s="1"/>
  <c r="H1229" i="1"/>
  <c r="I1229" i="1"/>
  <c r="J1229" i="1"/>
  <c r="K1229" i="1"/>
  <c r="L1229" i="1"/>
  <c r="M1229" i="1"/>
  <c r="N1229" i="1"/>
  <c r="O1229" i="1"/>
  <c r="P1229" i="1"/>
  <c r="Q1229" i="1"/>
  <c r="R1229" i="1"/>
  <c r="A1230" i="1"/>
  <c r="B1230" i="1"/>
  <c r="C1230" i="1"/>
  <c r="D1230" i="1"/>
  <c r="E1230" i="1"/>
  <c r="F1230" i="1"/>
  <c r="G1230" i="1"/>
  <c r="AE1230" i="1" s="1"/>
  <c r="AG1230" i="1" s="1"/>
  <c r="H1230" i="1"/>
  <c r="I1230" i="1"/>
  <c r="J1230" i="1"/>
  <c r="K1230" i="1"/>
  <c r="L1230" i="1"/>
  <c r="M1230" i="1"/>
  <c r="N1230" i="1"/>
  <c r="O1230" i="1"/>
  <c r="P1230" i="1"/>
  <c r="Q1230" i="1"/>
  <c r="R1230" i="1"/>
  <c r="W1230" i="1" s="1"/>
  <c r="A1231" i="1"/>
  <c r="B1231" i="1"/>
  <c r="C1231" i="1"/>
  <c r="D1231" i="1"/>
  <c r="E1231" i="1"/>
  <c r="F1231" i="1"/>
  <c r="G1231" i="1"/>
  <c r="AE1231" i="1" s="1"/>
  <c r="AG1231" i="1" s="1"/>
  <c r="H1231" i="1"/>
  <c r="I1231" i="1"/>
  <c r="J1231" i="1"/>
  <c r="K1231" i="1"/>
  <c r="L1231" i="1"/>
  <c r="M1231" i="1"/>
  <c r="N1231" i="1"/>
  <c r="O1231" i="1"/>
  <c r="P1231" i="1"/>
  <c r="Q1231" i="1"/>
  <c r="R1231" i="1"/>
  <c r="W1231" i="1" s="1"/>
  <c r="A1232" i="1"/>
  <c r="B1232" i="1"/>
  <c r="C1232" i="1"/>
  <c r="D1232" i="1"/>
  <c r="E1232" i="1"/>
  <c r="F1232" i="1"/>
  <c r="Z1232" i="1" s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A1233" i="1"/>
  <c r="B1233" i="1"/>
  <c r="C1233" i="1"/>
  <c r="D1233" i="1"/>
  <c r="E1233" i="1"/>
  <c r="F1233" i="1"/>
  <c r="G1233" i="1"/>
  <c r="AE1233" i="1" s="1"/>
  <c r="AG1233" i="1" s="1"/>
  <c r="H1233" i="1"/>
  <c r="I1233" i="1"/>
  <c r="J1233" i="1"/>
  <c r="K1233" i="1"/>
  <c r="L1233" i="1"/>
  <c r="M1233" i="1"/>
  <c r="N1233" i="1"/>
  <c r="O1233" i="1"/>
  <c r="P1233" i="1"/>
  <c r="Q1233" i="1"/>
  <c r="R1233" i="1"/>
  <c r="A1234" i="1"/>
  <c r="B1234" i="1"/>
  <c r="C1234" i="1"/>
  <c r="D1234" i="1"/>
  <c r="E1234" i="1"/>
  <c r="F1234" i="1"/>
  <c r="G1234" i="1"/>
  <c r="AE1234" i="1" s="1"/>
  <c r="AG1234" i="1" s="1"/>
  <c r="H1234" i="1"/>
  <c r="I1234" i="1"/>
  <c r="J1234" i="1"/>
  <c r="K1234" i="1"/>
  <c r="L1234" i="1"/>
  <c r="M1234" i="1"/>
  <c r="N1234" i="1"/>
  <c r="O1234" i="1"/>
  <c r="P1234" i="1"/>
  <c r="Q1234" i="1"/>
  <c r="R1234" i="1"/>
  <c r="W1234" i="1" s="1"/>
  <c r="A1235" i="1"/>
  <c r="B1235" i="1"/>
  <c r="C1235" i="1"/>
  <c r="D1235" i="1"/>
  <c r="E1235" i="1"/>
  <c r="F1235" i="1"/>
  <c r="G1235" i="1"/>
  <c r="AE1235" i="1" s="1"/>
  <c r="AG1235" i="1" s="1"/>
  <c r="H1235" i="1"/>
  <c r="I1235" i="1"/>
  <c r="J1235" i="1"/>
  <c r="K1235" i="1"/>
  <c r="L1235" i="1"/>
  <c r="M1235" i="1"/>
  <c r="N1235" i="1"/>
  <c r="O1235" i="1"/>
  <c r="P1235" i="1"/>
  <c r="Q1235" i="1"/>
  <c r="R1235" i="1"/>
  <c r="A1236" i="1"/>
  <c r="B1236" i="1"/>
  <c r="C1236" i="1"/>
  <c r="D1236" i="1"/>
  <c r="E1236" i="1"/>
  <c r="F1236" i="1"/>
  <c r="G1236" i="1"/>
  <c r="AE1236" i="1" s="1"/>
  <c r="AG1236" i="1" s="1"/>
  <c r="H1236" i="1"/>
  <c r="I1236" i="1"/>
  <c r="J1236" i="1"/>
  <c r="K1236" i="1"/>
  <c r="L1236" i="1"/>
  <c r="M1236" i="1"/>
  <c r="N1236" i="1"/>
  <c r="O1236" i="1"/>
  <c r="P1236" i="1"/>
  <c r="Q1236" i="1"/>
  <c r="R1236" i="1"/>
  <c r="A1237" i="1"/>
  <c r="B1237" i="1"/>
  <c r="C1237" i="1"/>
  <c r="D1237" i="1"/>
  <c r="E1237" i="1"/>
  <c r="F1237" i="1"/>
  <c r="G1237" i="1"/>
  <c r="AE1237" i="1" s="1"/>
  <c r="AG1237" i="1" s="1"/>
  <c r="H1237" i="1"/>
  <c r="I1237" i="1"/>
  <c r="J1237" i="1"/>
  <c r="K1237" i="1"/>
  <c r="L1237" i="1"/>
  <c r="M1237" i="1"/>
  <c r="N1237" i="1"/>
  <c r="O1237" i="1"/>
  <c r="P1237" i="1"/>
  <c r="Q1237" i="1"/>
  <c r="R1237" i="1"/>
  <c r="A1238" i="1"/>
  <c r="B1238" i="1"/>
  <c r="C1238" i="1"/>
  <c r="D1238" i="1"/>
  <c r="E1238" i="1"/>
  <c r="F1238" i="1"/>
  <c r="Z1238" i="1" s="1"/>
  <c r="G1238" i="1"/>
  <c r="AE1238" i="1" s="1"/>
  <c r="AG1238" i="1" s="1"/>
  <c r="H1238" i="1"/>
  <c r="I1238" i="1"/>
  <c r="J1238" i="1"/>
  <c r="K1238" i="1"/>
  <c r="L1238" i="1"/>
  <c r="M1238" i="1"/>
  <c r="N1238" i="1"/>
  <c r="O1238" i="1"/>
  <c r="P1238" i="1"/>
  <c r="Q1238" i="1"/>
  <c r="R1238" i="1"/>
  <c r="W1238" i="1" s="1"/>
  <c r="A1239" i="1"/>
  <c r="B1239" i="1"/>
  <c r="C1239" i="1"/>
  <c r="D1239" i="1"/>
  <c r="E1239" i="1"/>
  <c r="F1239" i="1"/>
  <c r="G1239" i="1"/>
  <c r="AE1239" i="1" s="1"/>
  <c r="AG1239" i="1" s="1"/>
  <c r="H1239" i="1"/>
  <c r="I1239" i="1"/>
  <c r="J1239" i="1"/>
  <c r="K1239" i="1"/>
  <c r="L1239" i="1"/>
  <c r="M1239" i="1"/>
  <c r="N1239" i="1"/>
  <c r="O1239" i="1"/>
  <c r="P1239" i="1"/>
  <c r="Q1239" i="1"/>
  <c r="R1239" i="1"/>
  <c r="U1239" i="1" s="1"/>
  <c r="A1240" i="1"/>
  <c r="B1240" i="1"/>
  <c r="C1240" i="1"/>
  <c r="D1240" i="1"/>
  <c r="E1240" i="1"/>
  <c r="F1240" i="1"/>
  <c r="Z1240" i="1" s="1"/>
  <c r="G1240" i="1"/>
  <c r="AE1240" i="1" s="1"/>
  <c r="AG1240" i="1" s="1"/>
  <c r="H1240" i="1"/>
  <c r="I1240" i="1"/>
  <c r="J1240" i="1"/>
  <c r="K1240" i="1"/>
  <c r="L1240" i="1"/>
  <c r="M1240" i="1"/>
  <c r="N1240" i="1"/>
  <c r="O1240" i="1"/>
  <c r="P1240" i="1"/>
  <c r="Q1240" i="1"/>
  <c r="R1240" i="1"/>
  <c r="U1240" i="1" s="1"/>
  <c r="V1240" i="1" s="1"/>
  <c r="A1241" i="1"/>
  <c r="B1241" i="1"/>
  <c r="C1241" i="1"/>
  <c r="D1241" i="1"/>
  <c r="E1241" i="1"/>
  <c r="F1241" i="1"/>
  <c r="G1241" i="1"/>
  <c r="AE1241" i="1" s="1"/>
  <c r="AG1241" i="1" s="1"/>
  <c r="H1241" i="1"/>
  <c r="I1241" i="1"/>
  <c r="J1241" i="1"/>
  <c r="K1241" i="1"/>
  <c r="L1241" i="1"/>
  <c r="M1241" i="1"/>
  <c r="N1241" i="1"/>
  <c r="O1241" i="1"/>
  <c r="P1241" i="1"/>
  <c r="Q1241" i="1"/>
  <c r="R1241" i="1"/>
  <c r="A1242" i="1"/>
  <c r="B1242" i="1"/>
  <c r="C1242" i="1"/>
  <c r="D1242" i="1"/>
  <c r="E1242" i="1"/>
  <c r="F1242" i="1"/>
  <c r="Z1242" i="1" s="1"/>
  <c r="G1242" i="1"/>
  <c r="AE1242" i="1" s="1"/>
  <c r="AG1242" i="1" s="1"/>
  <c r="H1242" i="1"/>
  <c r="I1242" i="1"/>
  <c r="J1242" i="1"/>
  <c r="K1242" i="1"/>
  <c r="L1242" i="1"/>
  <c r="M1242" i="1"/>
  <c r="N1242" i="1"/>
  <c r="O1242" i="1"/>
  <c r="P1242" i="1"/>
  <c r="Q1242" i="1"/>
  <c r="R1242" i="1"/>
  <c r="A1243" i="1"/>
  <c r="B1243" i="1"/>
  <c r="C1243" i="1"/>
  <c r="D1243" i="1"/>
  <c r="E1243" i="1"/>
  <c r="F1243" i="1"/>
  <c r="G1243" i="1"/>
  <c r="AE1243" i="1" s="1"/>
  <c r="AG1243" i="1" s="1"/>
  <c r="H1243" i="1"/>
  <c r="I1243" i="1"/>
  <c r="J1243" i="1"/>
  <c r="K1243" i="1"/>
  <c r="L1243" i="1"/>
  <c r="M1243" i="1"/>
  <c r="N1243" i="1"/>
  <c r="O1243" i="1"/>
  <c r="P1243" i="1"/>
  <c r="Q1243" i="1"/>
  <c r="R1243" i="1"/>
  <c r="A1244" i="1"/>
  <c r="B1244" i="1"/>
  <c r="C1244" i="1"/>
  <c r="D1244" i="1"/>
  <c r="E1244" i="1"/>
  <c r="F1244" i="1"/>
  <c r="Z1244" i="1" s="1"/>
  <c r="G1244" i="1"/>
  <c r="AE1244" i="1" s="1"/>
  <c r="AG1244" i="1" s="1"/>
  <c r="H1244" i="1"/>
  <c r="I1244" i="1"/>
  <c r="J1244" i="1"/>
  <c r="K1244" i="1"/>
  <c r="L1244" i="1"/>
  <c r="M1244" i="1"/>
  <c r="N1244" i="1"/>
  <c r="O1244" i="1"/>
  <c r="P1244" i="1"/>
  <c r="Q1244" i="1"/>
  <c r="R1244" i="1"/>
  <c r="A1245" i="1"/>
  <c r="B1245" i="1"/>
  <c r="C1245" i="1"/>
  <c r="D1245" i="1"/>
  <c r="E1245" i="1"/>
  <c r="F1245" i="1"/>
  <c r="Z1245" i="1" s="1"/>
  <c r="G1245" i="1"/>
  <c r="AE1245" i="1" s="1"/>
  <c r="AG1245" i="1" s="1"/>
  <c r="H1245" i="1"/>
  <c r="I1245" i="1"/>
  <c r="J1245" i="1"/>
  <c r="K1245" i="1"/>
  <c r="L1245" i="1"/>
  <c r="M1245" i="1"/>
  <c r="N1245" i="1"/>
  <c r="O1245" i="1"/>
  <c r="P1245" i="1"/>
  <c r="Q1245" i="1"/>
  <c r="R1245" i="1"/>
  <c r="A1246" i="1"/>
  <c r="B1246" i="1"/>
  <c r="C1246" i="1"/>
  <c r="D1246" i="1"/>
  <c r="E1246" i="1"/>
  <c r="F1246" i="1"/>
  <c r="Z1246" i="1" s="1"/>
  <c r="G1246" i="1"/>
  <c r="AE1246" i="1" s="1"/>
  <c r="AG1246" i="1" s="1"/>
  <c r="H1246" i="1"/>
  <c r="I1246" i="1"/>
  <c r="J1246" i="1"/>
  <c r="K1246" i="1"/>
  <c r="L1246" i="1"/>
  <c r="M1246" i="1"/>
  <c r="N1246" i="1"/>
  <c r="O1246" i="1"/>
  <c r="P1246" i="1"/>
  <c r="Q1246" i="1"/>
  <c r="R1246" i="1"/>
  <c r="U1246" i="1" s="1"/>
  <c r="X1246" i="1" s="1"/>
  <c r="A1247" i="1"/>
  <c r="B1247" i="1"/>
  <c r="C1247" i="1"/>
  <c r="D1247" i="1"/>
  <c r="E1247" i="1"/>
  <c r="F1247" i="1"/>
  <c r="Z1247" i="1" s="1"/>
  <c r="G1247" i="1"/>
  <c r="AE1247" i="1" s="1"/>
  <c r="AG1247" i="1" s="1"/>
  <c r="H1247" i="1"/>
  <c r="I1247" i="1"/>
  <c r="J1247" i="1"/>
  <c r="K1247" i="1"/>
  <c r="L1247" i="1"/>
  <c r="M1247" i="1"/>
  <c r="N1247" i="1"/>
  <c r="O1247" i="1"/>
  <c r="P1247" i="1"/>
  <c r="Q1247" i="1"/>
  <c r="R1247" i="1"/>
  <c r="W1247" i="1" s="1"/>
  <c r="A1248" i="1"/>
  <c r="B1248" i="1"/>
  <c r="C1248" i="1"/>
  <c r="D1248" i="1"/>
  <c r="E1248" i="1"/>
  <c r="F1248" i="1"/>
  <c r="Z1248" i="1" s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W1248" i="1" s="1"/>
  <c r="A1249" i="1"/>
  <c r="B1249" i="1"/>
  <c r="C1249" i="1"/>
  <c r="D1249" i="1"/>
  <c r="E1249" i="1"/>
  <c r="F1249" i="1"/>
  <c r="G1249" i="1"/>
  <c r="AE1249" i="1" s="1"/>
  <c r="AG1249" i="1" s="1"/>
  <c r="H1249" i="1"/>
  <c r="I1249" i="1"/>
  <c r="J1249" i="1"/>
  <c r="K1249" i="1"/>
  <c r="L1249" i="1"/>
  <c r="M1249" i="1"/>
  <c r="N1249" i="1"/>
  <c r="O1249" i="1"/>
  <c r="P1249" i="1"/>
  <c r="Q1249" i="1"/>
  <c r="R1249" i="1"/>
  <c r="T1249" i="1" s="1"/>
  <c r="A1250" i="1"/>
  <c r="B1250" i="1"/>
  <c r="C1250" i="1"/>
  <c r="D1250" i="1"/>
  <c r="E1250" i="1"/>
  <c r="F1250" i="1"/>
  <c r="G1250" i="1"/>
  <c r="AE1250" i="1" s="1"/>
  <c r="AG1250" i="1" s="1"/>
  <c r="H1250" i="1"/>
  <c r="I1250" i="1"/>
  <c r="J1250" i="1"/>
  <c r="K1250" i="1"/>
  <c r="L1250" i="1"/>
  <c r="M1250" i="1"/>
  <c r="N1250" i="1"/>
  <c r="O1250" i="1"/>
  <c r="P1250" i="1"/>
  <c r="Q1250" i="1"/>
  <c r="R1250" i="1"/>
  <c r="T1250" i="1" s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A1251" i="1"/>
  <c r="B1251" i="1"/>
  <c r="C1251" i="1"/>
  <c r="D1251" i="1"/>
  <c r="E1251" i="1"/>
  <c r="F1251" i="1"/>
  <c r="G1251" i="1"/>
  <c r="AE1251" i="1" s="1"/>
  <c r="AG1251" i="1" s="1"/>
  <c r="H1251" i="1"/>
  <c r="I1251" i="1"/>
  <c r="J1251" i="1"/>
  <c r="K1251" i="1"/>
  <c r="L1251" i="1"/>
  <c r="M1251" i="1"/>
  <c r="N1251" i="1"/>
  <c r="O1251" i="1"/>
  <c r="P1251" i="1"/>
  <c r="Q1251" i="1"/>
  <c r="R1251" i="1"/>
  <c r="A1252" i="1"/>
  <c r="B1252" i="1"/>
  <c r="C1252" i="1"/>
  <c r="D1252" i="1"/>
  <c r="E1252" i="1"/>
  <c r="F1252" i="1"/>
  <c r="Z1252" i="1" s="1"/>
  <c r="G1252" i="1"/>
  <c r="AE1252" i="1" s="1"/>
  <c r="AG1252" i="1" s="1"/>
  <c r="H1252" i="1"/>
  <c r="I1252" i="1"/>
  <c r="J1252" i="1"/>
  <c r="K1252" i="1"/>
  <c r="L1252" i="1"/>
  <c r="M1252" i="1"/>
  <c r="N1252" i="1"/>
  <c r="O1252" i="1"/>
  <c r="P1252" i="1"/>
  <c r="Q1252" i="1"/>
  <c r="R1252" i="1"/>
  <c r="A1253" i="1"/>
  <c r="B1253" i="1"/>
  <c r="C1253" i="1"/>
  <c r="D1253" i="1"/>
  <c r="E1253" i="1"/>
  <c r="F1253" i="1"/>
  <c r="G1253" i="1"/>
  <c r="AE1253" i="1" s="1"/>
  <c r="AG1253" i="1" s="1"/>
  <c r="H1253" i="1"/>
  <c r="I1253" i="1"/>
  <c r="J1253" i="1"/>
  <c r="K1253" i="1"/>
  <c r="L1253" i="1"/>
  <c r="M1253" i="1"/>
  <c r="N1253" i="1"/>
  <c r="O1253" i="1"/>
  <c r="P1253" i="1"/>
  <c r="Q1253" i="1"/>
  <c r="R1253" i="1"/>
  <c r="A1254" i="1"/>
  <c r="B1254" i="1"/>
  <c r="C1254" i="1"/>
  <c r="D1254" i="1"/>
  <c r="E1254" i="1"/>
  <c r="F1254" i="1"/>
  <c r="Z1254" i="1" s="1"/>
  <c r="G1254" i="1"/>
  <c r="AE1254" i="1" s="1"/>
  <c r="AG1254" i="1" s="1"/>
  <c r="H1254" i="1"/>
  <c r="I1254" i="1"/>
  <c r="J1254" i="1"/>
  <c r="K1254" i="1"/>
  <c r="L1254" i="1"/>
  <c r="M1254" i="1"/>
  <c r="N1254" i="1"/>
  <c r="O1254" i="1"/>
  <c r="P1254" i="1"/>
  <c r="Q1254" i="1"/>
  <c r="R1254" i="1"/>
  <c r="A1255" i="1"/>
  <c r="B1255" i="1"/>
  <c r="C1255" i="1"/>
  <c r="D1255" i="1"/>
  <c r="E1255" i="1"/>
  <c r="F1255" i="1"/>
  <c r="Z1255" i="1" s="1"/>
  <c r="G1255" i="1"/>
  <c r="AE1255" i="1" s="1"/>
  <c r="AG1255" i="1" s="1"/>
  <c r="H1255" i="1"/>
  <c r="I1255" i="1"/>
  <c r="J1255" i="1"/>
  <c r="K1255" i="1"/>
  <c r="L1255" i="1"/>
  <c r="M1255" i="1"/>
  <c r="N1255" i="1"/>
  <c r="O1255" i="1"/>
  <c r="P1255" i="1"/>
  <c r="Q1255" i="1"/>
  <c r="R1255" i="1"/>
  <c r="A1256" i="1"/>
  <c r="B1256" i="1"/>
  <c r="C1256" i="1"/>
  <c r="D1256" i="1"/>
  <c r="E1256" i="1"/>
  <c r="F1256" i="1"/>
  <c r="G1256" i="1"/>
  <c r="AE1256" i="1" s="1"/>
  <c r="AG1256" i="1" s="1"/>
  <c r="H1256" i="1"/>
  <c r="I1256" i="1"/>
  <c r="J1256" i="1"/>
  <c r="K1256" i="1"/>
  <c r="L1256" i="1"/>
  <c r="M1256" i="1"/>
  <c r="N1256" i="1"/>
  <c r="O1256" i="1"/>
  <c r="P1256" i="1"/>
  <c r="Q1256" i="1"/>
  <c r="R1256" i="1"/>
  <c r="A1257" i="1"/>
  <c r="B1257" i="1"/>
  <c r="C1257" i="1"/>
  <c r="D1257" i="1"/>
  <c r="E1257" i="1"/>
  <c r="F1257" i="1"/>
  <c r="G1257" i="1"/>
  <c r="AE1257" i="1" s="1"/>
  <c r="AG1257" i="1" s="1"/>
  <c r="H1257" i="1"/>
  <c r="I1257" i="1"/>
  <c r="J1257" i="1"/>
  <c r="K1257" i="1"/>
  <c r="L1257" i="1"/>
  <c r="M1257" i="1"/>
  <c r="N1257" i="1"/>
  <c r="O1257" i="1"/>
  <c r="P1257" i="1"/>
  <c r="Q1257" i="1"/>
  <c r="R1257" i="1"/>
  <c r="A1258" i="1"/>
  <c r="B1258" i="1"/>
  <c r="C1258" i="1"/>
  <c r="D1258" i="1"/>
  <c r="E1258" i="1"/>
  <c r="F1258" i="1"/>
  <c r="G1258" i="1"/>
  <c r="AE1258" i="1" s="1"/>
  <c r="AG1258" i="1" s="1"/>
  <c r="H1258" i="1"/>
  <c r="I1258" i="1"/>
  <c r="J1258" i="1"/>
  <c r="K1258" i="1"/>
  <c r="L1258" i="1"/>
  <c r="M1258" i="1"/>
  <c r="N1258" i="1"/>
  <c r="O1258" i="1"/>
  <c r="P1258" i="1"/>
  <c r="Q1258" i="1"/>
  <c r="R1258" i="1"/>
  <c r="W1258" i="1" s="1"/>
  <c r="A1259" i="1"/>
  <c r="B1259" i="1"/>
  <c r="C1259" i="1"/>
  <c r="D1259" i="1"/>
  <c r="E1259" i="1"/>
  <c r="F1259" i="1"/>
  <c r="G1259" i="1"/>
  <c r="AE1259" i="1" s="1"/>
  <c r="AG1259" i="1" s="1"/>
  <c r="H1259" i="1"/>
  <c r="I1259" i="1"/>
  <c r="J1259" i="1"/>
  <c r="K1259" i="1"/>
  <c r="L1259" i="1"/>
  <c r="M1259" i="1"/>
  <c r="N1259" i="1"/>
  <c r="O1259" i="1"/>
  <c r="P1259" i="1"/>
  <c r="Q1259" i="1"/>
  <c r="R1259" i="1"/>
  <c r="W1259" i="1" s="1"/>
  <c r="A1260" i="1"/>
  <c r="B1260" i="1"/>
  <c r="C1260" i="1"/>
  <c r="D1260" i="1"/>
  <c r="E1260" i="1"/>
  <c r="F1260" i="1"/>
  <c r="Z1260" i="1" s="1"/>
  <c r="G1260" i="1"/>
  <c r="AE1260" i="1" s="1"/>
  <c r="AG1260" i="1" s="1"/>
  <c r="H1260" i="1"/>
  <c r="I1260" i="1"/>
  <c r="J1260" i="1"/>
  <c r="K1260" i="1"/>
  <c r="L1260" i="1"/>
  <c r="M1260" i="1"/>
  <c r="N1260" i="1"/>
  <c r="O1260" i="1"/>
  <c r="P1260" i="1"/>
  <c r="Q1260" i="1"/>
  <c r="R1260" i="1"/>
  <c r="W1260" i="1" s="1"/>
  <c r="A1261" i="1"/>
  <c r="B1261" i="1"/>
  <c r="C1261" i="1"/>
  <c r="D1261" i="1"/>
  <c r="E1261" i="1"/>
  <c r="F1261" i="1"/>
  <c r="G1261" i="1"/>
  <c r="AE1261" i="1" s="1"/>
  <c r="AG1261" i="1" s="1"/>
  <c r="H1261" i="1"/>
  <c r="I1261" i="1"/>
  <c r="J1261" i="1"/>
  <c r="K1261" i="1"/>
  <c r="L1261" i="1"/>
  <c r="M1261" i="1"/>
  <c r="N1261" i="1"/>
  <c r="O1261" i="1"/>
  <c r="P1261" i="1"/>
  <c r="Q1261" i="1"/>
  <c r="R1261" i="1"/>
  <c r="T1261" i="1" s="1"/>
  <c r="A1262" i="1"/>
  <c r="B1262" i="1"/>
  <c r="C1262" i="1"/>
  <c r="D1262" i="1"/>
  <c r="E1262" i="1"/>
  <c r="F1262" i="1"/>
  <c r="G1262" i="1"/>
  <c r="AE1262" i="1" s="1"/>
  <c r="AG1262" i="1" s="1"/>
  <c r="H1262" i="1"/>
  <c r="I1262" i="1"/>
  <c r="J1262" i="1"/>
  <c r="K1262" i="1"/>
  <c r="L1262" i="1"/>
  <c r="M1262" i="1"/>
  <c r="N1262" i="1"/>
  <c r="O1262" i="1"/>
  <c r="P1262" i="1"/>
  <c r="Q1262" i="1"/>
  <c r="R1262" i="1"/>
  <c r="T1262" i="1" s="1"/>
  <c r="A1263" i="1"/>
  <c r="B1263" i="1"/>
  <c r="C1263" i="1"/>
  <c r="D1263" i="1"/>
  <c r="E1263" i="1"/>
  <c r="F1263" i="1"/>
  <c r="Z1263" i="1" s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T1263" i="1" s="1"/>
  <c r="A1264" i="1"/>
  <c r="B1264" i="1"/>
  <c r="C1264" i="1"/>
  <c r="D1264" i="1"/>
  <c r="E1264" i="1"/>
  <c r="F1264" i="1"/>
  <c r="G1264" i="1"/>
  <c r="AE1264" i="1" s="1"/>
  <c r="AG1264" i="1" s="1"/>
  <c r="H1264" i="1"/>
  <c r="I1264" i="1"/>
  <c r="J1264" i="1"/>
  <c r="K1264" i="1"/>
  <c r="L1264" i="1"/>
  <c r="M1264" i="1"/>
  <c r="N1264" i="1"/>
  <c r="O1264" i="1"/>
  <c r="P1264" i="1"/>
  <c r="Q1264" i="1"/>
  <c r="R1264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T1731" i="1" s="1"/>
  <c r="A1265" i="1"/>
  <c r="B1265" i="1"/>
  <c r="C1265" i="1"/>
  <c r="D1265" i="1"/>
  <c r="E1265" i="1"/>
  <c r="F1265" i="1"/>
  <c r="G1265" i="1"/>
  <c r="AE1265" i="1" s="1"/>
  <c r="AG1265" i="1" s="1"/>
  <c r="H1265" i="1"/>
  <c r="I1265" i="1"/>
  <c r="J1265" i="1"/>
  <c r="K1265" i="1"/>
  <c r="L1265" i="1"/>
  <c r="M1265" i="1"/>
  <c r="N1265" i="1"/>
  <c r="O1265" i="1"/>
  <c r="P1265" i="1"/>
  <c r="Q1265" i="1"/>
  <c r="R1265" i="1"/>
  <c r="U1265" i="1" s="1"/>
  <c r="A1266" i="1"/>
  <c r="B1266" i="1"/>
  <c r="C1266" i="1"/>
  <c r="D1266" i="1"/>
  <c r="E1266" i="1"/>
  <c r="F1266" i="1"/>
  <c r="G1266" i="1"/>
  <c r="AE1266" i="1" s="1"/>
  <c r="AG1266" i="1" s="1"/>
  <c r="H1266" i="1"/>
  <c r="I1266" i="1"/>
  <c r="J1266" i="1"/>
  <c r="K1266" i="1"/>
  <c r="L1266" i="1"/>
  <c r="M1266" i="1"/>
  <c r="N1266" i="1"/>
  <c r="O1266" i="1"/>
  <c r="P1266" i="1"/>
  <c r="Q1266" i="1"/>
  <c r="R1266" i="1"/>
  <c r="U1266" i="1" s="1"/>
  <c r="A1267" i="1"/>
  <c r="B1267" i="1"/>
  <c r="C1267" i="1"/>
  <c r="D1267" i="1"/>
  <c r="E1267" i="1"/>
  <c r="F1267" i="1"/>
  <c r="G1267" i="1"/>
  <c r="AE1267" i="1" s="1"/>
  <c r="AG1267" i="1" s="1"/>
  <c r="H1267" i="1"/>
  <c r="I1267" i="1"/>
  <c r="J1267" i="1"/>
  <c r="K1267" i="1"/>
  <c r="L1267" i="1"/>
  <c r="M1267" i="1"/>
  <c r="N1267" i="1"/>
  <c r="O1267" i="1"/>
  <c r="P1267" i="1"/>
  <c r="Q1267" i="1"/>
  <c r="R1267" i="1"/>
  <c r="U1267" i="1" s="1"/>
  <c r="A1268" i="1"/>
  <c r="B1268" i="1"/>
  <c r="C1268" i="1"/>
  <c r="D1268" i="1"/>
  <c r="E1268" i="1"/>
  <c r="F1268" i="1"/>
  <c r="Z1268" i="1" s="1"/>
  <c r="G1268" i="1"/>
  <c r="AE1268" i="1" s="1"/>
  <c r="AG1268" i="1" s="1"/>
  <c r="H1268" i="1"/>
  <c r="I1268" i="1"/>
  <c r="J1268" i="1"/>
  <c r="K1268" i="1"/>
  <c r="L1268" i="1"/>
  <c r="M1268" i="1"/>
  <c r="N1268" i="1"/>
  <c r="O1268" i="1"/>
  <c r="P1268" i="1"/>
  <c r="Q1268" i="1"/>
  <c r="R1268" i="1"/>
  <c r="T1268" i="1" s="1"/>
  <c r="A1269" i="1"/>
  <c r="B1269" i="1"/>
  <c r="C1269" i="1"/>
  <c r="D1269" i="1"/>
  <c r="E1269" i="1"/>
  <c r="F1269" i="1"/>
  <c r="Z1269" i="1" s="1"/>
  <c r="G1269" i="1"/>
  <c r="AE1269" i="1" s="1"/>
  <c r="AG1269" i="1" s="1"/>
  <c r="H1269" i="1"/>
  <c r="I1269" i="1"/>
  <c r="J1269" i="1"/>
  <c r="K1269" i="1"/>
  <c r="L1269" i="1"/>
  <c r="M1269" i="1"/>
  <c r="N1269" i="1"/>
  <c r="O1269" i="1"/>
  <c r="P1269" i="1"/>
  <c r="Q1269" i="1"/>
  <c r="R1269" i="1"/>
  <c r="A1270" i="1"/>
  <c r="B1270" i="1"/>
  <c r="C1270" i="1"/>
  <c r="D1270" i="1"/>
  <c r="E1270" i="1"/>
  <c r="F1270" i="1"/>
  <c r="Z1270" i="1" s="1"/>
  <c r="G1270" i="1"/>
  <c r="AE1270" i="1" s="1"/>
  <c r="AG1270" i="1" s="1"/>
  <c r="H1270" i="1"/>
  <c r="I1270" i="1"/>
  <c r="J1270" i="1"/>
  <c r="K1270" i="1"/>
  <c r="L1270" i="1"/>
  <c r="M1270" i="1"/>
  <c r="N1270" i="1"/>
  <c r="O1270" i="1"/>
  <c r="P1270" i="1"/>
  <c r="Q1270" i="1"/>
  <c r="R1270" i="1"/>
  <c r="A1271" i="1"/>
  <c r="B1271" i="1"/>
  <c r="C1271" i="1"/>
  <c r="D1271" i="1"/>
  <c r="E1271" i="1"/>
  <c r="F1271" i="1"/>
  <c r="G1271" i="1"/>
  <c r="AE1271" i="1" s="1"/>
  <c r="AG1271" i="1" s="1"/>
  <c r="H1271" i="1"/>
  <c r="I1271" i="1"/>
  <c r="J1271" i="1"/>
  <c r="K1271" i="1"/>
  <c r="L1271" i="1"/>
  <c r="M1271" i="1"/>
  <c r="N1271" i="1"/>
  <c r="O1271" i="1"/>
  <c r="P1271" i="1"/>
  <c r="Q1271" i="1"/>
  <c r="R1271" i="1"/>
  <c r="T1271" i="1" s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T1651" i="1" s="1"/>
  <c r="A1272" i="1"/>
  <c r="B1272" i="1"/>
  <c r="C1272" i="1"/>
  <c r="D1272" i="1"/>
  <c r="E1272" i="1"/>
  <c r="F1272" i="1"/>
  <c r="G1272" i="1"/>
  <c r="AE1272" i="1" s="1"/>
  <c r="AG1272" i="1" s="1"/>
  <c r="H1272" i="1"/>
  <c r="I1272" i="1"/>
  <c r="J1272" i="1"/>
  <c r="K1272" i="1"/>
  <c r="L1272" i="1"/>
  <c r="M1272" i="1"/>
  <c r="N1272" i="1"/>
  <c r="O1272" i="1"/>
  <c r="P1272" i="1"/>
  <c r="Q1272" i="1"/>
  <c r="R1272" i="1"/>
  <c r="U1272" i="1" s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A1273" i="1"/>
  <c r="B1273" i="1"/>
  <c r="C1273" i="1"/>
  <c r="D1273" i="1"/>
  <c r="E1273" i="1"/>
  <c r="F1273" i="1"/>
  <c r="G1273" i="1"/>
  <c r="AE1273" i="1" s="1"/>
  <c r="AG1273" i="1" s="1"/>
  <c r="H1273" i="1"/>
  <c r="I1273" i="1"/>
  <c r="J1273" i="1"/>
  <c r="K1273" i="1"/>
  <c r="L1273" i="1"/>
  <c r="M1273" i="1"/>
  <c r="N1273" i="1"/>
  <c r="O1273" i="1"/>
  <c r="P1273" i="1"/>
  <c r="Q1273" i="1"/>
  <c r="R1273" i="1"/>
  <c r="A1274" i="1"/>
  <c r="B1274" i="1"/>
  <c r="C1274" i="1"/>
  <c r="D1274" i="1"/>
  <c r="E1274" i="1"/>
  <c r="F1274" i="1"/>
  <c r="Z1274" i="1" s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A1575" i="1"/>
  <c r="B1575" i="1"/>
  <c r="C1575" i="1"/>
  <c r="D1575" i="1"/>
  <c r="E1575" i="1"/>
  <c r="F1575" i="1"/>
  <c r="Z1575" i="1" s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A1275" i="1"/>
  <c r="B1275" i="1"/>
  <c r="C1275" i="1"/>
  <c r="D1275" i="1"/>
  <c r="E1275" i="1"/>
  <c r="F1275" i="1"/>
  <c r="G1275" i="1"/>
  <c r="AE1275" i="1" s="1"/>
  <c r="AG1275" i="1" s="1"/>
  <c r="H1275" i="1"/>
  <c r="I1275" i="1"/>
  <c r="J1275" i="1"/>
  <c r="K1275" i="1"/>
  <c r="L1275" i="1"/>
  <c r="M1275" i="1"/>
  <c r="N1275" i="1"/>
  <c r="O1275" i="1"/>
  <c r="P1275" i="1"/>
  <c r="Q1275" i="1"/>
  <c r="R1275" i="1"/>
  <c r="A1276" i="1"/>
  <c r="B1276" i="1"/>
  <c r="C1276" i="1"/>
  <c r="D1276" i="1"/>
  <c r="E1276" i="1"/>
  <c r="F1276" i="1"/>
  <c r="Z1276" i="1" s="1"/>
  <c r="G1276" i="1"/>
  <c r="AE1276" i="1" s="1"/>
  <c r="AG1276" i="1" s="1"/>
  <c r="H1276" i="1"/>
  <c r="I1276" i="1"/>
  <c r="J1276" i="1"/>
  <c r="K1276" i="1"/>
  <c r="L1276" i="1"/>
  <c r="M1276" i="1"/>
  <c r="N1276" i="1"/>
  <c r="O1276" i="1"/>
  <c r="P1276" i="1"/>
  <c r="Q1276" i="1"/>
  <c r="R1276" i="1"/>
  <c r="A1277" i="1"/>
  <c r="B1277" i="1"/>
  <c r="C1277" i="1"/>
  <c r="D1277" i="1"/>
  <c r="E1277" i="1"/>
  <c r="F1277" i="1"/>
  <c r="G1277" i="1"/>
  <c r="AE1277" i="1" s="1"/>
  <c r="AG1277" i="1" s="1"/>
  <c r="H1277" i="1"/>
  <c r="I1277" i="1"/>
  <c r="J1277" i="1"/>
  <c r="K1277" i="1"/>
  <c r="L1277" i="1"/>
  <c r="M1277" i="1"/>
  <c r="N1277" i="1"/>
  <c r="O1277" i="1"/>
  <c r="P1277" i="1"/>
  <c r="Q1277" i="1"/>
  <c r="R1277" i="1"/>
  <c r="A1278" i="1"/>
  <c r="B1278" i="1"/>
  <c r="C1278" i="1"/>
  <c r="D1278" i="1"/>
  <c r="E1278" i="1"/>
  <c r="F1278" i="1"/>
  <c r="G1278" i="1"/>
  <c r="AE1278" i="1" s="1"/>
  <c r="AG1278" i="1" s="1"/>
  <c r="H1278" i="1"/>
  <c r="I1278" i="1"/>
  <c r="J1278" i="1"/>
  <c r="K1278" i="1"/>
  <c r="L1278" i="1"/>
  <c r="M1278" i="1"/>
  <c r="N1278" i="1"/>
  <c r="O1278" i="1"/>
  <c r="P1278" i="1"/>
  <c r="Q1278" i="1"/>
  <c r="R1278" i="1"/>
  <c r="A1279" i="1"/>
  <c r="B1279" i="1"/>
  <c r="C1279" i="1"/>
  <c r="D1279" i="1"/>
  <c r="E1279" i="1"/>
  <c r="F1279" i="1"/>
  <c r="Z1279" i="1" s="1"/>
  <c r="G1279" i="1"/>
  <c r="AE1279" i="1" s="1"/>
  <c r="AG1279" i="1" s="1"/>
  <c r="H1279" i="1"/>
  <c r="I1279" i="1"/>
  <c r="J1279" i="1"/>
  <c r="K1279" i="1"/>
  <c r="L1279" i="1"/>
  <c r="M1279" i="1"/>
  <c r="N1279" i="1"/>
  <c r="O1279" i="1"/>
  <c r="P1279" i="1"/>
  <c r="Q1279" i="1"/>
  <c r="R1279" i="1"/>
  <c r="A1280" i="1"/>
  <c r="B1280" i="1"/>
  <c r="C1280" i="1"/>
  <c r="D1280" i="1"/>
  <c r="E1280" i="1"/>
  <c r="F1280" i="1"/>
  <c r="Z1280" i="1" s="1"/>
  <c r="G1280" i="1"/>
  <c r="AE1280" i="1" s="1"/>
  <c r="AG1280" i="1" s="1"/>
  <c r="H1280" i="1"/>
  <c r="I1280" i="1"/>
  <c r="J1280" i="1"/>
  <c r="K1280" i="1"/>
  <c r="L1280" i="1"/>
  <c r="M1280" i="1"/>
  <c r="N1280" i="1"/>
  <c r="O1280" i="1"/>
  <c r="P1280" i="1"/>
  <c r="Q1280" i="1"/>
  <c r="R1280" i="1"/>
  <c r="A1281" i="1"/>
  <c r="B1281" i="1"/>
  <c r="C1281" i="1"/>
  <c r="D1281" i="1"/>
  <c r="E1281" i="1"/>
  <c r="F1281" i="1"/>
  <c r="Z1281" i="1" s="1"/>
  <c r="G1281" i="1"/>
  <c r="AE1281" i="1" s="1"/>
  <c r="AG1281" i="1" s="1"/>
  <c r="H1281" i="1"/>
  <c r="I1281" i="1"/>
  <c r="J1281" i="1"/>
  <c r="K1281" i="1"/>
  <c r="L1281" i="1"/>
  <c r="M1281" i="1"/>
  <c r="N1281" i="1"/>
  <c r="O1281" i="1"/>
  <c r="P1281" i="1"/>
  <c r="Q1281" i="1"/>
  <c r="R1281" i="1"/>
  <c r="A1552" i="1"/>
  <c r="B1552" i="1"/>
  <c r="C1552" i="1"/>
  <c r="D1552" i="1"/>
  <c r="E1552" i="1"/>
  <c r="F1552" i="1"/>
  <c r="Z1552" i="1" s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T1552" i="1" s="1"/>
  <c r="A1282" i="1"/>
  <c r="B1282" i="1"/>
  <c r="C1282" i="1"/>
  <c r="D1282" i="1"/>
  <c r="E1282" i="1"/>
  <c r="F1282" i="1"/>
  <c r="G1282" i="1"/>
  <c r="AE1282" i="1" s="1"/>
  <c r="AG1282" i="1" s="1"/>
  <c r="H1282" i="1"/>
  <c r="I1282" i="1"/>
  <c r="J1282" i="1"/>
  <c r="K1282" i="1"/>
  <c r="L1282" i="1"/>
  <c r="M1282" i="1"/>
  <c r="N1282" i="1"/>
  <c r="O1282" i="1"/>
  <c r="P1282" i="1"/>
  <c r="Q1282" i="1"/>
  <c r="R1282" i="1"/>
  <c r="A1283" i="1"/>
  <c r="B1283" i="1"/>
  <c r="C1283" i="1"/>
  <c r="D1283" i="1"/>
  <c r="E1283" i="1"/>
  <c r="F1283" i="1"/>
  <c r="G1283" i="1"/>
  <c r="AE1283" i="1" s="1"/>
  <c r="AG1283" i="1" s="1"/>
  <c r="H1283" i="1"/>
  <c r="I1283" i="1"/>
  <c r="J1283" i="1"/>
  <c r="K1283" i="1"/>
  <c r="L1283" i="1"/>
  <c r="M1283" i="1"/>
  <c r="N1283" i="1"/>
  <c r="O1283" i="1"/>
  <c r="P1283" i="1"/>
  <c r="Q1283" i="1"/>
  <c r="R1283" i="1"/>
  <c r="A1284" i="1"/>
  <c r="B1284" i="1"/>
  <c r="C1284" i="1"/>
  <c r="D1284" i="1"/>
  <c r="E1284" i="1"/>
  <c r="F1284" i="1"/>
  <c r="G1284" i="1"/>
  <c r="AE1284" i="1" s="1"/>
  <c r="AG1284" i="1" s="1"/>
  <c r="H1284" i="1"/>
  <c r="I1284" i="1"/>
  <c r="J1284" i="1"/>
  <c r="K1284" i="1"/>
  <c r="L1284" i="1"/>
  <c r="M1284" i="1"/>
  <c r="N1284" i="1"/>
  <c r="O1284" i="1"/>
  <c r="P1284" i="1"/>
  <c r="Q1284" i="1"/>
  <c r="R1284" i="1"/>
  <c r="W1284" i="1" s="1"/>
  <c r="A1285" i="1"/>
  <c r="B1285" i="1"/>
  <c r="C1285" i="1"/>
  <c r="D1285" i="1"/>
  <c r="E1285" i="1"/>
  <c r="F1285" i="1"/>
  <c r="G1285" i="1"/>
  <c r="AE1285" i="1" s="1"/>
  <c r="AG1285" i="1" s="1"/>
  <c r="H1285" i="1"/>
  <c r="I1285" i="1"/>
  <c r="J1285" i="1"/>
  <c r="K1285" i="1"/>
  <c r="L1285" i="1"/>
  <c r="M1285" i="1"/>
  <c r="N1285" i="1"/>
  <c r="O1285" i="1"/>
  <c r="P1285" i="1"/>
  <c r="Q1285" i="1"/>
  <c r="R1285" i="1"/>
  <c r="T1285" i="1" s="1"/>
  <c r="A1286" i="1"/>
  <c r="B1286" i="1"/>
  <c r="C1286" i="1"/>
  <c r="D1286" i="1"/>
  <c r="E1286" i="1"/>
  <c r="F1286" i="1"/>
  <c r="Z1286" i="1" s="1"/>
  <c r="G1286" i="1"/>
  <c r="AE1286" i="1" s="1"/>
  <c r="AG1286" i="1" s="1"/>
  <c r="H1286" i="1"/>
  <c r="I1286" i="1"/>
  <c r="J1286" i="1"/>
  <c r="K1286" i="1"/>
  <c r="L1286" i="1"/>
  <c r="M1286" i="1"/>
  <c r="N1286" i="1"/>
  <c r="O1286" i="1"/>
  <c r="P1286" i="1"/>
  <c r="Q1286" i="1"/>
  <c r="R1286" i="1"/>
  <c r="A1287" i="1"/>
  <c r="B1287" i="1"/>
  <c r="C1287" i="1"/>
  <c r="D1287" i="1"/>
  <c r="E1287" i="1"/>
  <c r="F1287" i="1"/>
  <c r="G1287" i="1"/>
  <c r="AE1287" i="1" s="1"/>
  <c r="AG1287" i="1" s="1"/>
  <c r="H1287" i="1"/>
  <c r="I1287" i="1"/>
  <c r="J1287" i="1"/>
  <c r="K1287" i="1"/>
  <c r="L1287" i="1"/>
  <c r="M1287" i="1"/>
  <c r="N1287" i="1"/>
  <c r="O1287" i="1"/>
  <c r="P1287" i="1"/>
  <c r="Q1287" i="1"/>
  <c r="R1287" i="1"/>
  <c r="W1287" i="1" s="1"/>
  <c r="A1288" i="1"/>
  <c r="B1288" i="1"/>
  <c r="C1288" i="1"/>
  <c r="D1288" i="1"/>
  <c r="E1288" i="1"/>
  <c r="F1288" i="1"/>
  <c r="G1288" i="1"/>
  <c r="AE1288" i="1" s="1"/>
  <c r="AG1288" i="1" s="1"/>
  <c r="H1288" i="1"/>
  <c r="I1288" i="1"/>
  <c r="J1288" i="1"/>
  <c r="K1288" i="1"/>
  <c r="L1288" i="1"/>
  <c r="M1288" i="1"/>
  <c r="N1288" i="1"/>
  <c r="O1288" i="1"/>
  <c r="P1288" i="1"/>
  <c r="Q1288" i="1"/>
  <c r="R1288" i="1"/>
  <c r="A1289" i="1"/>
  <c r="B1289" i="1"/>
  <c r="C1289" i="1"/>
  <c r="D1289" i="1"/>
  <c r="E1289" i="1"/>
  <c r="F1289" i="1"/>
  <c r="Z1289" i="1" s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T1289" i="1" s="1"/>
  <c r="A1290" i="1"/>
  <c r="B1290" i="1"/>
  <c r="C1290" i="1"/>
  <c r="D1290" i="1"/>
  <c r="E1290" i="1"/>
  <c r="F1290" i="1"/>
  <c r="G1290" i="1"/>
  <c r="AE1290" i="1" s="1"/>
  <c r="AG1290" i="1" s="1"/>
  <c r="H1290" i="1"/>
  <c r="I1290" i="1"/>
  <c r="J1290" i="1"/>
  <c r="K1290" i="1"/>
  <c r="L1290" i="1"/>
  <c r="M1290" i="1"/>
  <c r="N1290" i="1"/>
  <c r="O1290" i="1"/>
  <c r="P1290" i="1"/>
  <c r="Q1290" i="1"/>
  <c r="R1290" i="1"/>
  <c r="U1290" i="1" s="1"/>
  <c r="A1291" i="1"/>
  <c r="B1291" i="1"/>
  <c r="C1291" i="1"/>
  <c r="D1291" i="1"/>
  <c r="E1291" i="1"/>
  <c r="F1291" i="1"/>
  <c r="G1291" i="1"/>
  <c r="AE1291" i="1" s="1"/>
  <c r="AG1291" i="1" s="1"/>
  <c r="H1291" i="1"/>
  <c r="I1291" i="1"/>
  <c r="J1291" i="1"/>
  <c r="K1291" i="1"/>
  <c r="L1291" i="1"/>
  <c r="M1291" i="1"/>
  <c r="N1291" i="1"/>
  <c r="O1291" i="1"/>
  <c r="P1291" i="1"/>
  <c r="Q1291" i="1"/>
  <c r="R1291" i="1"/>
  <c r="A1292" i="1"/>
  <c r="B1292" i="1"/>
  <c r="C1292" i="1"/>
  <c r="D1292" i="1"/>
  <c r="E1292" i="1"/>
  <c r="F1292" i="1"/>
  <c r="G1292" i="1"/>
  <c r="AE1292" i="1" s="1"/>
  <c r="AG1292" i="1" s="1"/>
  <c r="H1292" i="1"/>
  <c r="I1292" i="1"/>
  <c r="J1292" i="1"/>
  <c r="K1292" i="1"/>
  <c r="L1292" i="1"/>
  <c r="M1292" i="1"/>
  <c r="N1292" i="1"/>
  <c r="O1292" i="1"/>
  <c r="P1292" i="1"/>
  <c r="Q1292" i="1"/>
  <c r="R1292" i="1"/>
  <c r="W1292" i="1" s="1"/>
  <c r="A1293" i="1"/>
  <c r="B1293" i="1"/>
  <c r="C1293" i="1"/>
  <c r="D1293" i="1"/>
  <c r="E1293" i="1"/>
  <c r="F1293" i="1"/>
  <c r="G1293" i="1"/>
  <c r="AE1293" i="1" s="1"/>
  <c r="AG1293" i="1" s="1"/>
  <c r="H1293" i="1"/>
  <c r="I1293" i="1"/>
  <c r="J1293" i="1"/>
  <c r="K1293" i="1"/>
  <c r="L1293" i="1"/>
  <c r="M1293" i="1"/>
  <c r="N1293" i="1"/>
  <c r="O1293" i="1"/>
  <c r="P1293" i="1"/>
  <c r="Q1293" i="1"/>
  <c r="R1293" i="1"/>
  <c r="U1293" i="1" s="1"/>
  <c r="A1294" i="1"/>
  <c r="B1294" i="1"/>
  <c r="C1294" i="1"/>
  <c r="D1294" i="1"/>
  <c r="E1294" i="1"/>
  <c r="F1294" i="1"/>
  <c r="G1294" i="1"/>
  <c r="AE1294" i="1" s="1"/>
  <c r="AG1294" i="1" s="1"/>
  <c r="H1294" i="1"/>
  <c r="I1294" i="1"/>
  <c r="J1294" i="1"/>
  <c r="K1294" i="1"/>
  <c r="L1294" i="1"/>
  <c r="M1294" i="1"/>
  <c r="N1294" i="1"/>
  <c r="O1294" i="1"/>
  <c r="P1294" i="1"/>
  <c r="Q1294" i="1"/>
  <c r="R1294" i="1"/>
  <c r="W1294" i="1" s="1"/>
  <c r="A1295" i="1"/>
  <c r="B1295" i="1"/>
  <c r="C1295" i="1"/>
  <c r="D1295" i="1"/>
  <c r="E1295" i="1"/>
  <c r="F1295" i="1"/>
  <c r="Z1295" i="1" s="1"/>
  <c r="G1295" i="1"/>
  <c r="AE1295" i="1" s="1"/>
  <c r="AG1295" i="1" s="1"/>
  <c r="H1295" i="1"/>
  <c r="I1295" i="1"/>
  <c r="J1295" i="1"/>
  <c r="K1295" i="1"/>
  <c r="L1295" i="1"/>
  <c r="M1295" i="1"/>
  <c r="N1295" i="1"/>
  <c r="O1295" i="1"/>
  <c r="P1295" i="1"/>
  <c r="Q1295" i="1"/>
  <c r="R1295" i="1"/>
  <c r="A1296" i="1"/>
  <c r="B1296" i="1"/>
  <c r="C1296" i="1"/>
  <c r="D1296" i="1"/>
  <c r="E1296" i="1"/>
  <c r="F1296" i="1"/>
  <c r="G1296" i="1"/>
  <c r="AE1296" i="1" s="1"/>
  <c r="AG1296" i="1" s="1"/>
  <c r="H1296" i="1"/>
  <c r="I1296" i="1"/>
  <c r="J1296" i="1"/>
  <c r="K1296" i="1"/>
  <c r="L1296" i="1"/>
  <c r="M1296" i="1"/>
  <c r="N1296" i="1"/>
  <c r="O1296" i="1"/>
  <c r="P1296" i="1"/>
  <c r="Q1296" i="1"/>
  <c r="R1296" i="1"/>
  <c r="A1297" i="1"/>
  <c r="B1297" i="1"/>
  <c r="C1297" i="1"/>
  <c r="D1297" i="1"/>
  <c r="E1297" i="1"/>
  <c r="F1297" i="1"/>
  <c r="Z1297" i="1" s="1"/>
  <c r="G1297" i="1"/>
  <c r="AE1297" i="1" s="1"/>
  <c r="AG1297" i="1" s="1"/>
  <c r="H1297" i="1"/>
  <c r="I1297" i="1"/>
  <c r="J1297" i="1"/>
  <c r="K1297" i="1"/>
  <c r="L1297" i="1"/>
  <c r="M1297" i="1"/>
  <c r="N1297" i="1"/>
  <c r="O1297" i="1"/>
  <c r="P1297" i="1"/>
  <c r="Q1297" i="1"/>
  <c r="R1297" i="1"/>
  <c r="A1298" i="1"/>
  <c r="B1298" i="1"/>
  <c r="C1298" i="1"/>
  <c r="D1298" i="1"/>
  <c r="E1298" i="1"/>
  <c r="F1298" i="1"/>
  <c r="G1298" i="1"/>
  <c r="AE1298" i="1" s="1"/>
  <c r="AG1298" i="1" s="1"/>
  <c r="H1298" i="1"/>
  <c r="I1298" i="1"/>
  <c r="J1298" i="1"/>
  <c r="K1298" i="1"/>
  <c r="L1298" i="1"/>
  <c r="M1298" i="1"/>
  <c r="N1298" i="1"/>
  <c r="O1298" i="1"/>
  <c r="P1298" i="1"/>
  <c r="Q1298" i="1"/>
  <c r="R1298" i="1"/>
  <c r="A1299" i="1"/>
  <c r="B1299" i="1"/>
  <c r="C1299" i="1"/>
  <c r="D1299" i="1"/>
  <c r="E1299" i="1"/>
  <c r="F1299" i="1"/>
  <c r="G1299" i="1"/>
  <c r="AE1299" i="1" s="1"/>
  <c r="AG1299" i="1" s="1"/>
  <c r="H1299" i="1"/>
  <c r="I1299" i="1"/>
  <c r="J1299" i="1"/>
  <c r="K1299" i="1"/>
  <c r="L1299" i="1"/>
  <c r="M1299" i="1"/>
  <c r="N1299" i="1"/>
  <c r="O1299" i="1"/>
  <c r="P1299" i="1"/>
  <c r="Q1299" i="1"/>
  <c r="R1299" i="1"/>
  <c r="A1300" i="1"/>
  <c r="B1300" i="1"/>
  <c r="C1300" i="1"/>
  <c r="D1300" i="1"/>
  <c r="E1300" i="1"/>
  <c r="F1300" i="1"/>
  <c r="G1300" i="1"/>
  <c r="AE1300" i="1" s="1"/>
  <c r="AG1300" i="1" s="1"/>
  <c r="H1300" i="1"/>
  <c r="I1300" i="1"/>
  <c r="J1300" i="1"/>
  <c r="K1300" i="1"/>
  <c r="L1300" i="1"/>
  <c r="M1300" i="1"/>
  <c r="N1300" i="1"/>
  <c r="O1300" i="1"/>
  <c r="P1300" i="1"/>
  <c r="Q1300" i="1"/>
  <c r="R1300" i="1"/>
  <c r="W1300" i="1" s="1"/>
  <c r="A1301" i="1"/>
  <c r="B1301" i="1"/>
  <c r="C1301" i="1"/>
  <c r="D1301" i="1"/>
  <c r="E1301" i="1"/>
  <c r="F1301" i="1"/>
  <c r="G1301" i="1"/>
  <c r="AE1301" i="1" s="1"/>
  <c r="AG1301" i="1" s="1"/>
  <c r="H1301" i="1"/>
  <c r="I1301" i="1"/>
  <c r="J1301" i="1"/>
  <c r="K1301" i="1"/>
  <c r="L1301" i="1"/>
  <c r="M1301" i="1"/>
  <c r="N1301" i="1"/>
  <c r="O1301" i="1"/>
  <c r="P1301" i="1"/>
  <c r="Q1301" i="1"/>
  <c r="R1301" i="1"/>
  <c r="A1302" i="1"/>
  <c r="B1302" i="1"/>
  <c r="C1302" i="1"/>
  <c r="D1302" i="1"/>
  <c r="E1302" i="1"/>
  <c r="F1302" i="1"/>
  <c r="Z1302" i="1" s="1"/>
  <c r="G1302" i="1"/>
  <c r="AE1302" i="1" s="1"/>
  <c r="AG1302" i="1" s="1"/>
  <c r="H1302" i="1"/>
  <c r="I1302" i="1"/>
  <c r="J1302" i="1"/>
  <c r="K1302" i="1"/>
  <c r="L1302" i="1"/>
  <c r="M1302" i="1"/>
  <c r="N1302" i="1"/>
  <c r="O1302" i="1"/>
  <c r="P1302" i="1"/>
  <c r="Q1302" i="1"/>
  <c r="R1302" i="1"/>
  <c r="A1303" i="1"/>
  <c r="B1303" i="1"/>
  <c r="C1303" i="1"/>
  <c r="D1303" i="1"/>
  <c r="E1303" i="1"/>
  <c r="F1303" i="1"/>
  <c r="G1303" i="1"/>
  <c r="AE1303" i="1" s="1"/>
  <c r="AG1303" i="1" s="1"/>
  <c r="H1303" i="1"/>
  <c r="I1303" i="1"/>
  <c r="J1303" i="1"/>
  <c r="K1303" i="1"/>
  <c r="L1303" i="1"/>
  <c r="M1303" i="1"/>
  <c r="N1303" i="1"/>
  <c r="O1303" i="1"/>
  <c r="P1303" i="1"/>
  <c r="Q1303" i="1"/>
  <c r="R1303" i="1"/>
  <c r="A1304" i="1"/>
  <c r="B1304" i="1"/>
  <c r="C1304" i="1"/>
  <c r="D1304" i="1"/>
  <c r="E1304" i="1"/>
  <c r="F1304" i="1"/>
  <c r="G1304" i="1"/>
  <c r="AE1304" i="1" s="1"/>
  <c r="AG1304" i="1" s="1"/>
  <c r="H1304" i="1"/>
  <c r="I1304" i="1"/>
  <c r="J1304" i="1"/>
  <c r="K1304" i="1"/>
  <c r="L1304" i="1"/>
  <c r="M1304" i="1"/>
  <c r="N1304" i="1"/>
  <c r="O1304" i="1"/>
  <c r="P1304" i="1"/>
  <c r="Q1304" i="1"/>
  <c r="R1304" i="1"/>
  <c r="A1305" i="1"/>
  <c r="B1305" i="1"/>
  <c r="C1305" i="1"/>
  <c r="D1305" i="1"/>
  <c r="E1305" i="1"/>
  <c r="F1305" i="1"/>
  <c r="Z1305" i="1" s="1"/>
  <c r="G1305" i="1"/>
  <c r="AE1305" i="1" s="1"/>
  <c r="AG1305" i="1" s="1"/>
  <c r="H1305" i="1"/>
  <c r="I1305" i="1"/>
  <c r="J1305" i="1"/>
  <c r="K1305" i="1"/>
  <c r="L1305" i="1"/>
  <c r="M1305" i="1"/>
  <c r="N1305" i="1"/>
  <c r="O1305" i="1"/>
  <c r="P1305" i="1"/>
  <c r="Q1305" i="1"/>
  <c r="R1305" i="1"/>
  <c r="A1306" i="1"/>
  <c r="B1306" i="1"/>
  <c r="C1306" i="1"/>
  <c r="D1306" i="1"/>
  <c r="E1306" i="1"/>
  <c r="F1306" i="1"/>
  <c r="Z1306" i="1" s="1"/>
  <c r="G1306" i="1"/>
  <c r="AE1306" i="1" s="1"/>
  <c r="AG1306" i="1" s="1"/>
  <c r="H1306" i="1"/>
  <c r="I1306" i="1"/>
  <c r="J1306" i="1"/>
  <c r="K1306" i="1"/>
  <c r="L1306" i="1"/>
  <c r="M1306" i="1"/>
  <c r="N1306" i="1"/>
  <c r="O1306" i="1"/>
  <c r="P1306" i="1"/>
  <c r="Q1306" i="1"/>
  <c r="R1306" i="1"/>
  <c r="A1307" i="1"/>
  <c r="B1307" i="1"/>
  <c r="C1307" i="1"/>
  <c r="D1307" i="1"/>
  <c r="E1307" i="1"/>
  <c r="F1307" i="1"/>
  <c r="G1307" i="1"/>
  <c r="AE1307" i="1" s="1"/>
  <c r="AG1307" i="1" s="1"/>
  <c r="H1307" i="1"/>
  <c r="I1307" i="1"/>
  <c r="J1307" i="1"/>
  <c r="K1307" i="1"/>
  <c r="L1307" i="1"/>
  <c r="M1307" i="1"/>
  <c r="N1307" i="1"/>
  <c r="O1307" i="1"/>
  <c r="P1307" i="1"/>
  <c r="Q1307" i="1"/>
  <c r="R1307" i="1"/>
  <c r="A1308" i="1"/>
  <c r="B1308" i="1"/>
  <c r="C1308" i="1"/>
  <c r="D1308" i="1"/>
  <c r="E1308" i="1"/>
  <c r="F1308" i="1"/>
  <c r="G1308" i="1"/>
  <c r="AE1308" i="1" s="1"/>
  <c r="AG1308" i="1" s="1"/>
  <c r="H1308" i="1"/>
  <c r="I1308" i="1"/>
  <c r="J1308" i="1"/>
  <c r="K1308" i="1"/>
  <c r="L1308" i="1"/>
  <c r="M1308" i="1"/>
  <c r="N1308" i="1"/>
  <c r="O1308" i="1"/>
  <c r="P1308" i="1"/>
  <c r="Q1308" i="1"/>
  <c r="R1308" i="1"/>
  <c r="U1308" i="1" s="1"/>
  <c r="A1309" i="1"/>
  <c r="B1309" i="1"/>
  <c r="C1309" i="1"/>
  <c r="D1309" i="1"/>
  <c r="E1309" i="1"/>
  <c r="F1309" i="1"/>
  <c r="G1309" i="1"/>
  <c r="AE1309" i="1" s="1"/>
  <c r="AG1309" i="1" s="1"/>
  <c r="H1309" i="1"/>
  <c r="I1309" i="1"/>
  <c r="J1309" i="1"/>
  <c r="K1309" i="1"/>
  <c r="L1309" i="1"/>
  <c r="M1309" i="1"/>
  <c r="N1309" i="1"/>
  <c r="O1309" i="1"/>
  <c r="P1309" i="1"/>
  <c r="Q1309" i="1"/>
  <c r="R1309" i="1"/>
  <c r="U1309" i="1" s="1"/>
  <c r="A1310" i="1"/>
  <c r="B1310" i="1"/>
  <c r="C1310" i="1"/>
  <c r="D1310" i="1"/>
  <c r="E1310" i="1"/>
  <c r="F1310" i="1"/>
  <c r="G1310" i="1"/>
  <c r="AE1310" i="1" s="1"/>
  <c r="AG1310" i="1" s="1"/>
  <c r="H1310" i="1"/>
  <c r="I1310" i="1"/>
  <c r="J1310" i="1"/>
  <c r="K1310" i="1"/>
  <c r="L1310" i="1"/>
  <c r="M1310" i="1"/>
  <c r="N1310" i="1"/>
  <c r="O1310" i="1"/>
  <c r="P1310" i="1"/>
  <c r="Q1310" i="1"/>
  <c r="R1310" i="1"/>
  <c r="U1310" i="1" s="1"/>
  <c r="A1311" i="1"/>
  <c r="B1311" i="1"/>
  <c r="C1311" i="1"/>
  <c r="D1311" i="1"/>
  <c r="E1311" i="1"/>
  <c r="F1311" i="1"/>
  <c r="G1311" i="1"/>
  <c r="AE1311" i="1" s="1"/>
  <c r="AG1311" i="1" s="1"/>
  <c r="H1311" i="1"/>
  <c r="I1311" i="1"/>
  <c r="J1311" i="1"/>
  <c r="K1311" i="1"/>
  <c r="L1311" i="1"/>
  <c r="M1311" i="1"/>
  <c r="N1311" i="1"/>
  <c r="O1311" i="1"/>
  <c r="P1311" i="1"/>
  <c r="Q1311" i="1"/>
  <c r="R1311" i="1"/>
  <c r="T1311" i="1" s="1"/>
  <c r="A1312" i="1"/>
  <c r="B1312" i="1"/>
  <c r="C1312" i="1"/>
  <c r="D1312" i="1"/>
  <c r="E1312" i="1"/>
  <c r="F1312" i="1"/>
  <c r="Z1312" i="1" s="1"/>
  <c r="G1312" i="1"/>
  <c r="AE1312" i="1" s="1"/>
  <c r="AG1312" i="1" s="1"/>
  <c r="H1312" i="1"/>
  <c r="I1312" i="1"/>
  <c r="J1312" i="1"/>
  <c r="K1312" i="1"/>
  <c r="L1312" i="1"/>
  <c r="M1312" i="1"/>
  <c r="N1312" i="1"/>
  <c r="O1312" i="1"/>
  <c r="P1312" i="1"/>
  <c r="Q1312" i="1"/>
  <c r="R1312" i="1"/>
  <c r="A1313" i="1"/>
  <c r="B1313" i="1"/>
  <c r="C1313" i="1"/>
  <c r="D1313" i="1"/>
  <c r="E1313" i="1"/>
  <c r="F1313" i="1"/>
  <c r="Z1313" i="1" s="1"/>
  <c r="G1313" i="1"/>
  <c r="AE1313" i="1" s="1"/>
  <c r="AG1313" i="1" s="1"/>
  <c r="H1313" i="1"/>
  <c r="I1313" i="1"/>
  <c r="J1313" i="1"/>
  <c r="K1313" i="1"/>
  <c r="L1313" i="1"/>
  <c r="M1313" i="1"/>
  <c r="N1313" i="1"/>
  <c r="O1313" i="1"/>
  <c r="P1313" i="1"/>
  <c r="Q1313" i="1"/>
  <c r="R1313" i="1"/>
  <c r="T1313" i="1" s="1"/>
  <c r="A1314" i="1"/>
  <c r="B1314" i="1"/>
  <c r="C1314" i="1"/>
  <c r="D1314" i="1"/>
  <c r="E1314" i="1"/>
  <c r="F1314" i="1"/>
  <c r="G1314" i="1"/>
  <c r="AE1314" i="1" s="1"/>
  <c r="AG1314" i="1" s="1"/>
  <c r="H1314" i="1"/>
  <c r="I1314" i="1"/>
  <c r="J1314" i="1"/>
  <c r="K1314" i="1"/>
  <c r="L1314" i="1"/>
  <c r="M1314" i="1"/>
  <c r="N1314" i="1"/>
  <c r="O1314" i="1"/>
  <c r="P1314" i="1"/>
  <c r="Q1314" i="1"/>
  <c r="R1314" i="1"/>
  <c r="A1315" i="1"/>
  <c r="B1315" i="1"/>
  <c r="C1315" i="1"/>
  <c r="D1315" i="1"/>
  <c r="E1315" i="1"/>
  <c r="F1315" i="1"/>
  <c r="G1315" i="1"/>
  <c r="AE1315" i="1" s="1"/>
  <c r="AG1315" i="1" s="1"/>
  <c r="H1315" i="1"/>
  <c r="I1315" i="1"/>
  <c r="J1315" i="1"/>
  <c r="K1315" i="1"/>
  <c r="L1315" i="1"/>
  <c r="M1315" i="1"/>
  <c r="N1315" i="1"/>
  <c r="O1315" i="1"/>
  <c r="P1315" i="1"/>
  <c r="Q1315" i="1"/>
  <c r="R1315" i="1"/>
  <c r="A1316" i="1"/>
  <c r="B1316" i="1"/>
  <c r="C1316" i="1"/>
  <c r="D1316" i="1"/>
  <c r="E1316" i="1"/>
  <c r="F1316" i="1"/>
  <c r="G1316" i="1"/>
  <c r="AE1316" i="1" s="1"/>
  <c r="AG1316" i="1" s="1"/>
  <c r="H1316" i="1"/>
  <c r="I1316" i="1"/>
  <c r="J1316" i="1"/>
  <c r="K1316" i="1"/>
  <c r="L1316" i="1"/>
  <c r="M1316" i="1"/>
  <c r="N1316" i="1"/>
  <c r="O1316" i="1"/>
  <c r="P1316" i="1"/>
  <c r="Q1316" i="1"/>
  <c r="R1316" i="1"/>
  <c r="T1316" i="1" s="1"/>
  <c r="A1317" i="1"/>
  <c r="B1317" i="1"/>
  <c r="C1317" i="1"/>
  <c r="D1317" i="1"/>
  <c r="E1317" i="1"/>
  <c r="F1317" i="1"/>
  <c r="G1317" i="1"/>
  <c r="AE1317" i="1" s="1"/>
  <c r="AG1317" i="1" s="1"/>
  <c r="H1317" i="1"/>
  <c r="I1317" i="1"/>
  <c r="J1317" i="1"/>
  <c r="K1317" i="1"/>
  <c r="L1317" i="1"/>
  <c r="M1317" i="1"/>
  <c r="N1317" i="1"/>
  <c r="O1317" i="1"/>
  <c r="P1317" i="1"/>
  <c r="Q1317" i="1"/>
  <c r="R1317" i="1"/>
  <c r="T1317" i="1" s="1"/>
  <c r="A1318" i="1"/>
  <c r="B1318" i="1"/>
  <c r="C1318" i="1"/>
  <c r="D1318" i="1"/>
  <c r="E1318" i="1"/>
  <c r="F1318" i="1"/>
  <c r="G1318" i="1"/>
  <c r="AE1318" i="1" s="1"/>
  <c r="AG1318" i="1" s="1"/>
  <c r="H1318" i="1"/>
  <c r="I1318" i="1"/>
  <c r="J1318" i="1"/>
  <c r="K1318" i="1"/>
  <c r="L1318" i="1"/>
  <c r="M1318" i="1"/>
  <c r="N1318" i="1"/>
  <c r="O1318" i="1"/>
  <c r="P1318" i="1"/>
  <c r="Q1318" i="1"/>
  <c r="R1318" i="1"/>
  <c r="T1318" i="1" s="1"/>
  <c r="A1319" i="1"/>
  <c r="B1319" i="1"/>
  <c r="C1319" i="1"/>
  <c r="D1319" i="1"/>
  <c r="E1319" i="1"/>
  <c r="F1319" i="1"/>
  <c r="G1319" i="1"/>
  <c r="AE1319" i="1" s="1"/>
  <c r="AG1319" i="1" s="1"/>
  <c r="H1319" i="1"/>
  <c r="I1319" i="1"/>
  <c r="J1319" i="1"/>
  <c r="K1319" i="1"/>
  <c r="L1319" i="1"/>
  <c r="M1319" i="1"/>
  <c r="N1319" i="1"/>
  <c r="O1319" i="1"/>
  <c r="P1319" i="1"/>
  <c r="Q1319" i="1"/>
  <c r="R1319" i="1"/>
  <c r="U1319" i="1" s="1"/>
  <c r="A1320" i="1"/>
  <c r="B1320" i="1"/>
  <c r="C1320" i="1"/>
  <c r="D1320" i="1"/>
  <c r="E1320" i="1"/>
  <c r="F1320" i="1"/>
  <c r="G1320" i="1"/>
  <c r="AE1320" i="1" s="1"/>
  <c r="AG1320" i="1" s="1"/>
  <c r="H1320" i="1"/>
  <c r="I1320" i="1"/>
  <c r="J1320" i="1"/>
  <c r="K1320" i="1"/>
  <c r="L1320" i="1"/>
  <c r="M1320" i="1"/>
  <c r="N1320" i="1"/>
  <c r="O1320" i="1"/>
  <c r="P1320" i="1"/>
  <c r="Q1320" i="1"/>
  <c r="R1320" i="1"/>
  <c r="U1320" i="1" s="1"/>
  <c r="A1321" i="1"/>
  <c r="B1321" i="1"/>
  <c r="C1321" i="1"/>
  <c r="D1321" i="1"/>
  <c r="E1321" i="1"/>
  <c r="F1321" i="1"/>
  <c r="Z1321" i="1" s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A1322" i="1"/>
  <c r="B1322" i="1"/>
  <c r="C1322" i="1"/>
  <c r="D1322" i="1"/>
  <c r="E1322" i="1"/>
  <c r="F1322" i="1"/>
  <c r="G1322" i="1"/>
  <c r="AE1322" i="1" s="1"/>
  <c r="AG1322" i="1" s="1"/>
  <c r="H1322" i="1"/>
  <c r="I1322" i="1"/>
  <c r="J1322" i="1"/>
  <c r="K1322" i="1"/>
  <c r="L1322" i="1"/>
  <c r="M1322" i="1"/>
  <c r="N1322" i="1"/>
  <c r="O1322" i="1"/>
  <c r="P1322" i="1"/>
  <c r="Q1322" i="1"/>
  <c r="R1322" i="1"/>
  <c r="T1322" i="1" s="1"/>
  <c r="A1323" i="1"/>
  <c r="B1323" i="1"/>
  <c r="C1323" i="1"/>
  <c r="D1323" i="1"/>
  <c r="E1323" i="1"/>
  <c r="F1323" i="1"/>
  <c r="G1323" i="1"/>
  <c r="AE1323" i="1" s="1"/>
  <c r="AG1323" i="1" s="1"/>
  <c r="H1323" i="1"/>
  <c r="I1323" i="1"/>
  <c r="J1323" i="1"/>
  <c r="K1323" i="1"/>
  <c r="L1323" i="1"/>
  <c r="M1323" i="1"/>
  <c r="N1323" i="1"/>
  <c r="O1323" i="1"/>
  <c r="P1323" i="1"/>
  <c r="Q1323" i="1"/>
  <c r="R1323" i="1"/>
  <c r="W1323" i="1" s="1"/>
  <c r="A1324" i="1"/>
  <c r="B1324" i="1"/>
  <c r="C1324" i="1"/>
  <c r="D1324" i="1"/>
  <c r="E1324" i="1"/>
  <c r="F1324" i="1"/>
  <c r="G1324" i="1"/>
  <c r="AE1324" i="1" s="1"/>
  <c r="AG1324" i="1" s="1"/>
  <c r="H1324" i="1"/>
  <c r="I1324" i="1"/>
  <c r="J1324" i="1"/>
  <c r="K1324" i="1"/>
  <c r="L1324" i="1"/>
  <c r="M1324" i="1"/>
  <c r="N1324" i="1"/>
  <c r="O1324" i="1"/>
  <c r="P1324" i="1"/>
  <c r="Q1324" i="1"/>
  <c r="R1324" i="1"/>
  <c r="A1325" i="1"/>
  <c r="B1325" i="1"/>
  <c r="C1325" i="1"/>
  <c r="D1325" i="1"/>
  <c r="E1325" i="1"/>
  <c r="F1325" i="1"/>
  <c r="Z1325" i="1" s="1"/>
  <c r="G1325" i="1"/>
  <c r="AE1325" i="1" s="1"/>
  <c r="AG1325" i="1" s="1"/>
  <c r="H1325" i="1"/>
  <c r="I1325" i="1"/>
  <c r="J1325" i="1"/>
  <c r="K1325" i="1"/>
  <c r="L1325" i="1"/>
  <c r="M1325" i="1"/>
  <c r="N1325" i="1"/>
  <c r="O1325" i="1"/>
  <c r="P1325" i="1"/>
  <c r="Q1325" i="1"/>
  <c r="R1325" i="1"/>
  <c r="A1326" i="1"/>
  <c r="B1326" i="1"/>
  <c r="C1326" i="1"/>
  <c r="D1326" i="1"/>
  <c r="E1326" i="1"/>
  <c r="F1326" i="1"/>
  <c r="G1326" i="1"/>
  <c r="AE1326" i="1" s="1"/>
  <c r="AG1326" i="1" s="1"/>
  <c r="H1326" i="1"/>
  <c r="I1326" i="1"/>
  <c r="J1326" i="1"/>
  <c r="K1326" i="1"/>
  <c r="L1326" i="1"/>
  <c r="M1326" i="1"/>
  <c r="N1326" i="1"/>
  <c r="O1326" i="1"/>
  <c r="P1326" i="1"/>
  <c r="Q1326" i="1"/>
  <c r="R1326" i="1"/>
  <c r="A1327" i="1"/>
  <c r="B1327" i="1"/>
  <c r="C1327" i="1"/>
  <c r="D1327" i="1"/>
  <c r="E1327" i="1"/>
  <c r="F1327" i="1"/>
  <c r="G1327" i="1"/>
  <c r="AE1327" i="1" s="1"/>
  <c r="AG1327" i="1" s="1"/>
  <c r="H1327" i="1"/>
  <c r="I1327" i="1"/>
  <c r="J1327" i="1"/>
  <c r="K1327" i="1"/>
  <c r="L1327" i="1"/>
  <c r="M1327" i="1"/>
  <c r="N1327" i="1"/>
  <c r="O1327" i="1"/>
  <c r="P1327" i="1"/>
  <c r="Q1327" i="1"/>
  <c r="R1327" i="1"/>
  <c r="A1328" i="1"/>
  <c r="B1328" i="1"/>
  <c r="C1328" i="1"/>
  <c r="D1328" i="1"/>
  <c r="E1328" i="1"/>
  <c r="F1328" i="1"/>
  <c r="Z1328" i="1" s="1"/>
  <c r="G1328" i="1"/>
  <c r="AE1328" i="1" s="1"/>
  <c r="AG1328" i="1" s="1"/>
  <c r="H1328" i="1"/>
  <c r="I1328" i="1"/>
  <c r="J1328" i="1"/>
  <c r="K1328" i="1"/>
  <c r="L1328" i="1"/>
  <c r="M1328" i="1"/>
  <c r="N1328" i="1"/>
  <c r="O1328" i="1"/>
  <c r="P1328" i="1"/>
  <c r="Q1328" i="1"/>
  <c r="R1328" i="1"/>
  <c r="A1329" i="1"/>
  <c r="B1329" i="1"/>
  <c r="C1329" i="1"/>
  <c r="D1329" i="1"/>
  <c r="E1329" i="1"/>
  <c r="F1329" i="1"/>
  <c r="Z1329" i="1" s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A1330" i="1"/>
  <c r="B1330" i="1"/>
  <c r="C1330" i="1"/>
  <c r="D1330" i="1"/>
  <c r="E1330" i="1"/>
  <c r="F1330" i="1"/>
  <c r="G1330" i="1"/>
  <c r="AE1330" i="1" s="1"/>
  <c r="AG1330" i="1" s="1"/>
  <c r="H1330" i="1"/>
  <c r="I1330" i="1"/>
  <c r="J1330" i="1"/>
  <c r="K1330" i="1"/>
  <c r="L1330" i="1"/>
  <c r="M1330" i="1"/>
  <c r="N1330" i="1"/>
  <c r="O1330" i="1"/>
  <c r="P1330" i="1"/>
  <c r="Q1330" i="1"/>
  <c r="R1330" i="1"/>
  <c r="W1330" i="1" s="1"/>
  <c r="AA1330" i="1" s="1"/>
  <c r="A1331" i="1"/>
  <c r="B1331" i="1"/>
  <c r="C1331" i="1"/>
  <c r="D1331" i="1"/>
  <c r="E1331" i="1"/>
  <c r="F1331" i="1"/>
  <c r="G1331" i="1"/>
  <c r="AE1331" i="1" s="1"/>
  <c r="AG1331" i="1" s="1"/>
  <c r="H1331" i="1"/>
  <c r="I1331" i="1"/>
  <c r="J1331" i="1"/>
  <c r="K1331" i="1"/>
  <c r="L1331" i="1"/>
  <c r="M1331" i="1"/>
  <c r="N1331" i="1"/>
  <c r="O1331" i="1"/>
  <c r="P1331" i="1"/>
  <c r="Q1331" i="1"/>
  <c r="R1331" i="1"/>
  <c r="T1331" i="1" s="1"/>
  <c r="A1332" i="1"/>
  <c r="B1332" i="1"/>
  <c r="C1332" i="1"/>
  <c r="D1332" i="1"/>
  <c r="E1332" i="1"/>
  <c r="F1332" i="1"/>
  <c r="G1332" i="1"/>
  <c r="AE1332" i="1" s="1"/>
  <c r="AG1332" i="1" s="1"/>
  <c r="H1332" i="1"/>
  <c r="I1332" i="1"/>
  <c r="J1332" i="1"/>
  <c r="K1332" i="1"/>
  <c r="L1332" i="1"/>
  <c r="M1332" i="1"/>
  <c r="N1332" i="1"/>
  <c r="O1332" i="1"/>
  <c r="P1332" i="1"/>
  <c r="Q1332" i="1"/>
  <c r="R1332" i="1"/>
  <c r="A1333" i="1"/>
  <c r="B1333" i="1"/>
  <c r="C1333" i="1"/>
  <c r="D1333" i="1"/>
  <c r="E1333" i="1"/>
  <c r="F1333" i="1"/>
  <c r="Z1333" i="1" s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A1334" i="1"/>
  <c r="B1334" i="1"/>
  <c r="C1334" i="1"/>
  <c r="D1334" i="1"/>
  <c r="E1334" i="1"/>
  <c r="F1334" i="1"/>
  <c r="Z1334" i="1" s="1"/>
  <c r="G1334" i="1"/>
  <c r="AE1334" i="1" s="1"/>
  <c r="AG1334" i="1" s="1"/>
  <c r="H1334" i="1"/>
  <c r="I1334" i="1"/>
  <c r="J1334" i="1"/>
  <c r="K1334" i="1"/>
  <c r="L1334" i="1"/>
  <c r="M1334" i="1"/>
  <c r="N1334" i="1"/>
  <c r="O1334" i="1"/>
  <c r="P1334" i="1"/>
  <c r="Q1334" i="1"/>
  <c r="R1334" i="1"/>
  <c r="A1335" i="1"/>
  <c r="B1335" i="1"/>
  <c r="C1335" i="1"/>
  <c r="D1335" i="1"/>
  <c r="E1335" i="1"/>
  <c r="F1335" i="1"/>
  <c r="Z1335" i="1" s="1"/>
  <c r="G1335" i="1"/>
  <c r="AE1335" i="1" s="1"/>
  <c r="AG1335" i="1" s="1"/>
  <c r="H1335" i="1"/>
  <c r="I1335" i="1"/>
  <c r="J1335" i="1"/>
  <c r="K1335" i="1"/>
  <c r="L1335" i="1"/>
  <c r="M1335" i="1"/>
  <c r="N1335" i="1"/>
  <c r="O1335" i="1"/>
  <c r="P1335" i="1"/>
  <c r="Q1335" i="1"/>
  <c r="R1335" i="1"/>
  <c r="A1336" i="1"/>
  <c r="B1336" i="1"/>
  <c r="C1336" i="1"/>
  <c r="D1336" i="1"/>
  <c r="E1336" i="1"/>
  <c r="F1336" i="1"/>
  <c r="Z1336" i="1" s="1"/>
  <c r="G1336" i="1"/>
  <c r="AE1336" i="1" s="1"/>
  <c r="AG1336" i="1" s="1"/>
  <c r="H1336" i="1"/>
  <c r="I1336" i="1"/>
  <c r="J1336" i="1"/>
  <c r="K1336" i="1"/>
  <c r="L1336" i="1"/>
  <c r="M1336" i="1"/>
  <c r="N1336" i="1"/>
  <c r="O1336" i="1"/>
  <c r="P1336" i="1"/>
  <c r="Q1336" i="1"/>
  <c r="R1336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A1337" i="1"/>
  <c r="B1337" i="1"/>
  <c r="C1337" i="1"/>
  <c r="D1337" i="1"/>
  <c r="E1337" i="1"/>
  <c r="F1337" i="1"/>
  <c r="G1337" i="1"/>
  <c r="AE1337" i="1" s="1"/>
  <c r="AG1337" i="1" s="1"/>
  <c r="H1337" i="1"/>
  <c r="I1337" i="1"/>
  <c r="J1337" i="1"/>
  <c r="K1337" i="1"/>
  <c r="L1337" i="1"/>
  <c r="M1337" i="1"/>
  <c r="N1337" i="1"/>
  <c r="O1337" i="1"/>
  <c r="P1337" i="1"/>
  <c r="Q1337" i="1"/>
  <c r="R1337" i="1"/>
  <c r="A1338" i="1"/>
  <c r="B1338" i="1"/>
  <c r="C1338" i="1"/>
  <c r="D1338" i="1"/>
  <c r="E1338" i="1"/>
  <c r="F1338" i="1"/>
  <c r="G1338" i="1"/>
  <c r="AE1338" i="1" s="1"/>
  <c r="AG1338" i="1" s="1"/>
  <c r="H1338" i="1"/>
  <c r="I1338" i="1"/>
  <c r="J1338" i="1"/>
  <c r="K1338" i="1"/>
  <c r="L1338" i="1"/>
  <c r="M1338" i="1"/>
  <c r="N1338" i="1"/>
  <c r="O1338" i="1"/>
  <c r="P1338" i="1"/>
  <c r="Q1338" i="1"/>
  <c r="R1338" i="1"/>
  <c r="A1339" i="1"/>
  <c r="B1339" i="1"/>
  <c r="C1339" i="1"/>
  <c r="D1339" i="1"/>
  <c r="E1339" i="1"/>
  <c r="F1339" i="1"/>
  <c r="G1339" i="1"/>
  <c r="AE1339" i="1" s="1"/>
  <c r="AG1339" i="1" s="1"/>
  <c r="H1339" i="1"/>
  <c r="I1339" i="1"/>
  <c r="J1339" i="1"/>
  <c r="K1339" i="1"/>
  <c r="L1339" i="1"/>
  <c r="M1339" i="1"/>
  <c r="N1339" i="1"/>
  <c r="O1339" i="1"/>
  <c r="P1339" i="1"/>
  <c r="Q1339" i="1"/>
  <c r="R1339" i="1"/>
  <c r="A1340" i="1"/>
  <c r="B1340" i="1"/>
  <c r="C1340" i="1"/>
  <c r="D1340" i="1"/>
  <c r="E1340" i="1"/>
  <c r="F1340" i="1"/>
  <c r="G1340" i="1"/>
  <c r="AE1340" i="1" s="1"/>
  <c r="AG1340" i="1" s="1"/>
  <c r="H1340" i="1"/>
  <c r="I1340" i="1"/>
  <c r="J1340" i="1"/>
  <c r="K1340" i="1"/>
  <c r="L1340" i="1"/>
  <c r="M1340" i="1"/>
  <c r="N1340" i="1"/>
  <c r="O1340" i="1"/>
  <c r="P1340" i="1"/>
  <c r="Q1340" i="1"/>
  <c r="R1340" i="1"/>
  <c r="A1341" i="1"/>
  <c r="B1341" i="1"/>
  <c r="C1341" i="1"/>
  <c r="D1341" i="1"/>
  <c r="E1341" i="1"/>
  <c r="F1341" i="1"/>
  <c r="G1341" i="1"/>
  <c r="AE1341" i="1" s="1"/>
  <c r="AG1341" i="1" s="1"/>
  <c r="H1341" i="1"/>
  <c r="I1341" i="1"/>
  <c r="J1341" i="1"/>
  <c r="K1341" i="1"/>
  <c r="L1341" i="1"/>
  <c r="M1341" i="1"/>
  <c r="N1341" i="1"/>
  <c r="O1341" i="1"/>
  <c r="P1341" i="1"/>
  <c r="Q1341" i="1"/>
  <c r="R1341" i="1"/>
  <c r="A1342" i="1"/>
  <c r="B1342" i="1"/>
  <c r="C1342" i="1"/>
  <c r="D1342" i="1"/>
  <c r="E1342" i="1"/>
  <c r="F1342" i="1"/>
  <c r="G1342" i="1"/>
  <c r="AE1342" i="1" s="1"/>
  <c r="AG1342" i="1" s="1"/>
  <c r="H1342" i="1"/>
  <c r="I1342" i="1"/>
  <c r="J1342" i="1"/>
  <c r="K1342" i="1"/>
  <c r="L1342" i="1"/>
  <c r="M1342" i="1"/>
  <c r="N1342" i="1"/>
  <c r="O1342" i="1"/>
  <c r="P1342" i="1"/>
  <c r="Q1342" i="1"/>
  <c r="R1342" i="1"/>
  <c r="T1342" i="1" s="1"/>
  <c r="A1343" i="1"/>
  <c r="B1343" i="1"/>
  <c r="C1343" i="1"/>
  <c r="D1343" i="1"/>
  <c r="E1343" i="1"/>
  <c r="F1343" i="1"/>
  <c r="Z1343" i="1" s="1"/>
  <c r="G1343" i="1"/>
  <c r="AE1343" i="1" s="1"/>
  <c r="AG1343" i="1" s="1"/>
  <c r="H1343" i="1"/>
  <c r="I1343" i="1"/>
  <c r="J1343" i="1"/>
  <c r="K1343" i="1"/>
  <c r="L1343" i="1"/>
  <c r="M1343" i="1"/>
  <c r="N1343" i="1"/>
  <c r="O1343" i="1"/>
  <c r="P1343" i="1"/>
  <c r="Q1343" i="1"/>
  <c r="R1343" i="1"/>
  <c r="A1344" i="1"/>
  <c r="B1344" i="1"/>
  <c r="C1344" i="1"/>
  <c r="D1344" i="1"/>
  <c r="E1344" i="1"/>
  <c r="F1344" i="1"/>
  <c r="Z1344" i="1" s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U1344" i="1" s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T645" i="1" s="1"/>
  <c r="A1345" i="1"/>
  <c r="B1345" i="1"/>
  <c r="C1345" i="1"/>
  <c r="D1345" i="1"/>
  <c r="E1345" i="1"/>
  <c r="F1345" i="1"/>
  <c r="G1345" i="1"/>
  <c r="AE1345" i="1" s="1"/>
  <c r="AG1345" i="1" s="1"/>
  <c r="H1345" i="1"/>
  <c r="I1345" i="1"/>
  <c r="J1345" i="1"/>
  <c r="K1345" i="1"/>
  <c r="L1345" i="1"/>
  <c r="M1345" i="1"/>
  <c r="N1345" i="1"/>
  <c r="O1345" i="1"/>
  <c r="P1345" i="1"/>
  <c r="Q1345" i="1"/>
  <c r="R1345" i="1"/>
  <c r="T1345" i="1" s="1"/>
  <c r="A1346" i="1"/>
  <c r="B1346" i="1"/>
  <c r="C1346" i="1"/>
  <c r="D1346" i="1"/>
  <c r="E1346" i="1"/>
  <c r="F1346" i="1"/>
  <c r="G1346" i="1"/>
  <c r="AE1346" i="1" s="1"/>
  <c r="AG1346" i="1" s="1"/>
  <c r="H1346" i="1"/>
  <c r="I1346" i="1"/>
  <c r="J1346" i="1"/>
  <c r="K1346" i="1"/>
  <c r="L1346" i="1"/>
  <c r="M1346" i="1"/>
  <c r="N1346" i="1"/>
  <c r="O1346" i="1"/>
  <c r="P1346" i="1"/>
  <c r="Q1346" i="1"/>
  <c r="R1346" i="1"/>
  <c r="W1346" i="1" s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A1347" i="1"/>
  <c r="B1347" i="1"/>
  <c r="C1347" i="1"/>
  <c r="D1347" i="1"/>
  <c r="E1347" i="1"/>
  <c r="F1347" i="1"/>
  <c r="Z1347" i="1" s="1"/>
  <c r="G1347" i="1"/>
  <c r="AE1347" i="1" s="1"/>
  <c r="AG1347" i="1" s="1"/>
  <c r="H1347" i="1"/>
  <c r="I1347" i="1"/>
  <c r="J1347" i="1"/>
  <c r="K1347" i="1"/>
  <c r="L1347" i="1"/>
  <c r="M1347" i="1"/>
  <c r="N1347" i="1"/>
  <c r="O1347" i="1"/>
  <c r="P1347" i="1"/>
  <c r="Q1347" i="1"/>
  <c r="R1347" i="1"/>
  <c r="W1347" i="1" s="1"/>
  <c r="A1348" i="1"/>
  <c r="B1348" i="1"/>
  <c r="C1348" i="1"/>
  <c r="D1348" i="1"/>
  <c r="E1348" i="1"/>
  <c r="F1348" i="1"/>
  <c r="G1348" i="1"/>
  <c r="AE1348" i="1" s="1"/>
  <c r="AG1348" i="1" s="1"/>
  <c r="H1348" i="1"/>
  <c r="I1348" i="1"/>
  <c r="J1348" i="1"/>
  <c r="K1348" i="1"/>
  <c r="L1348" i="1"/>
  <c r="M1348" i="1"/>
  <c r="N1348" i="1"/>
  <c r="O1348" i="1"/>
  <c r="P1348" i="1"/>
  <c r="Q1348" i="1"/>
  <c r="R1348" i="1"/>
  <c r="W1348" i="1" s="1"/>
  <c r="A1349" i="1"/>
  <c r="B1349" i="1"/>
  <c r="C1349" i="1"/>
  <c r="D1349" i="1"/>
  <c r="E1349" i="1"/>
  <c r="F1349" i="1"/>
  <c r="G1349" i="1"/>
  <c r="AE1349" i="1" s="1"/>
  <c r="AG1349" i="1" s="1"/>
  <c r="H1349" i="1"/>
  <c r="I1349" i="1"/>
  <c r="J1349" i="1"/>
  <c r="K1349" i="1"/>
  <c r="L1349" i="1"/>
  <c r="M1349" i="1"/>
  <c r="N1349" i="1"/>
  <c r="O1349" i="1"/>
  <c r="P1349" i="1"/>
  <c r="Q1349" i="1"/>
  <c r="R1349" i="1"/>
  <c r="A1350" i="1"/>
  <c r="B1350" i="1"/>
  <c r="C1350" i="1"/>
  <c r="D1350" i="1"/>
  <c r="E1350" i="1"/>
  <c r="F1350" i="1"/>
  <c r="G1350" i="1"/>
  <c r="AE1350" i="1" s="1"/>
  <c r="AG1350" i="1" s="1"/>
  <c r="H1350" i="1"/>
  <c r="I1350" i="1"/>
  <c r="J1350" i="1"/>
  <c r="K1350" i="1"/>
  <c r="L1350" i="1"/>
  <c r="M1350" i="1"/>
  <c r="N1350" i="1"/>
  <c r="O1350" i="1"/>
  <c r="P1350" i="1"/>
  <c r="Q1350" i="1"/>
  <c r="R1350" i="1"/>
  <c r="A1351" i="1"/>
  <c r="B1351" i="1"/>
  <c r="C1351" i="1"/>
  <c r="D1351" i="1"/>
  <c r="E1351" i="1"/>
  <c r="F1351" i="1"/>
  <c r="Z1351" i="1" s="1"/>
  <c r="G1351" i="1"/>
  <c r="AE1351" i="1" s="1"/>
  <c r="AG1351" i="1" s="1"/>
  <c r="H1351" i="1"/>
  <c r="I1351" i="1"/>
  <c r="J1351" i="1"/>
  <c r="K1351" i="1"/>
  <c r="L1351" i="1"/>
  <c r="M1351" i="1"/>
  <c r="N1351" i="1"/>
  <c r="O1351" i="1"/>
  <c r="P1351" i="1"/>
  <c r="Q1351" i="1"/>
  <c r="R1351" i="1"/>
  <c r="A1352" i="1"/>
  <c r="B1352" i="1"/>
  <c r="C1352" i="1"/>
  <c r="D1352" i="1"/>
  <c r="E1352" i="1"/>
  <c r="F1352" i="1"/>
  <c r="G1352" i="1"/>
  <c r="AE1352" i="1" s="1"/>
  <c r="AG1352" i="1" s="1"/>
  <c r="H1352" i="1"/>
  <c r="I1352" i="1"/>
  <c r="J1352" i="1"/>
  <c r="K1352" i="1"/>
  <c r="L1352" i="1"/>
  <c r="M1352" i="1"/>
  <c r="N1352" i="1"/>
  <c r="O1352" i="1"/>
  <c r="P1352" i="1"/>
  <c r="Q1352" i="1"/>
  <c r="R1352" i="1"/>
  <c r="A1353" i="1"/>
  <c r="B1353" i="1"/>
  <c r="C1353" i="1"/>
  <c r="D1353" i="1"/>
  <c r="E1353" i="1"/>
  <c r="F1353" i="1"/>
  <c r="Z1353" i="1" s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U1353" i="1" s="1"/>
  <c r="A1354" i="1"/>
  <c r="B1354" i="1"/>
  <c r="C1354" i="1"/>
  <c r="D1354" i="1"/>
  <c r="E1354" i="1"/>
  <c r="F1354" i="1"/>
  <c r="Z1354" i="1" s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U1354" i="1" s="1"/>
  <c r="A1355" i="1"/>
  <c r="B1355" i="1"/>
  <c r="C1355" i="1"/>
  <c r="D1355" i="1"/>
  <c r="E1355" i="1"/>
  <c r="F1355" i="1"/>
  <c r="Z1355" i="1" s="1"/>
  <c r="G1355" i="1"/>
  <c r="AE1355" i="1" s="1"/>
  <c r="AG1355" i="1" s="1"/>
  <c r="H1355" i="1"/>
  <c r="I1355" i="1"/>
  <c r="J1355" i="1"/>
  <c r="K1355" i="1"/>
  <c r="L1355" i="1"/>
  <c r="M1355" i="1"/>
  <c r="N1355" i="1"/>
  <c r="O1355" i="1"/>
  <c r="P1355" i="1"/>
  <c r="Q1355" i="1"/>
  <c r="R1355" i="1"/>
  <c r="A1356" i="1"/>
  <c r="B1356" i="1"/>
  <c r="C1356" i="1"/>
  <c r="D1356" i="1"/>
  <c r="E1356" i="1"/>
  <c r="F1356" i="1"/>
  <c r="G1356" i="1"/>
  <c r="AE1356" i="1" s="1"/>
  <c r="AG1356" i="1" s="1"/>
  <c r="H1356" i="1"/>
  <c r="I1356" i="1"/>
  <c r="J1356" i="1"/>
  <c r="K1356" i="1"/>
  <c r="L1356" i="1"/>
  <c r="M1356" i="1"/>
  <c r="N1356" i="1"/>
  <c r="O1356" i="1"/>
  <c r="P1356" i="1"/>
  <c r="Q1356" i="1"/>
  <c r="R1356" i="1"/>
  <c r="U1356" i="1" s="1"/>
  <c r="A1357" i="1"/>
  <c r="B1357" i="1"/>
  <c r="C1357" i="1"/>
  <c r="D1357" i="1"/>
  <c r="E1357" i="1"/>
  <c r="F1357" i="1"/>
  <c r="Z1357" i="1" s="1"/>
  <c r="G1357" i="1"/>
  <c r="AE1357" i="1" s="1"/>
  <c r="AG1357" i="1" s="1"/>
  <c r="H1357" i="1"/>
  <c r="I1357" i="1"/>
  <c r="J1357" i="1"/>
  <c r="K1357" i="1"/>
  <c r="L1357" i="1"/>
  <c r="M1357" i="1"/>
  <c r="N1357" i="1"/>
  <c r="O1357" i="1"/>
  <c r="P1357" i="1"/>
  <c r="Q1357" i="1"/>
  <c r="R1357" i="1"/>
  <c r="A1358" i="1"/>
  <c r="B1358" i="1"/>
  <c r="C1358" i="1"/>
  <c r="D1358" i="1"/>
  <c r="E1358" i="1"/>
  <c r="F1358" i="1"/>
  <c r="Z1358" i="1" s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T1358" i="1" s="1"/>
  <c r="A1359" i="1"/>
  <c r="B1359" i="1"/>
  <c r="C1359" i="1"/>
  <c r="D1359" i="1"/>
  <c r="E1359" i="1"/>
  <c r="F1359" i="1"/>
  <c r="Z1359" i="1" s="1"/>
  <c r="G1359" i="1"/>
  <c r="AE1359" i="1" s="1"/>
  <c r="AG1359" i="1" s="1"/>
  <c r="H1359" i="1"/>
  <c r="I1359" i="1"/>
  <c r="J1359" i="1"/>
  <c r="K1359" i="1"/>
  <c r="L1359" i="1"/>
  <c r="M1359" i="1"/>
  <c r="N1359" i="1"/>
  <c r="O1359" i="1"/>
  <c r="P1359" i="1"/>
  <c r="Q1359" i="1"/>
  <c r="R1359" i="1"/>
  <c r="A1360" i="1"/>
  <c r="B1360" i="1"/>
  <c r="C1360" i="1"/>
  <c r="D1360" i="1"/>
  <c r="E1360" i="1"/>
  <c r="F1360" i="1"/>
  <c r="G1360" i="1"/>
  <c r="AE1360" i="1" s="1"/>
  <c r="AG1360" i="1" s="1"/>
  <c r="H1360" i="1"/>
  <c r="I1360" i="1"/>
  <c r="J1360" i="1"/>
  <c r="K1360" i="1"/>
  <c r="L1360" i="1"/>
  <c r="M1360" i="1"/>
  <c r="N1360" i="1"/>
  <c r="O1360" i="1"/>
  <c r="P1360" i="1"/>
  <c r="Q1360" i="1"/>
  <c r="R1360" i="1"/>
  <c r="A1361" i="1"/>
  <c r="B1361" i="1"/>
  <c r="C1361" i="1"/>
  <c r="D1361" i="1"/>
  <c r="E1361" i="1"/>
  <c r="F1361" i="1"/>
  <c r="G1361" i="1"/>
  <c r="AE1361" i="1" s="1"/>
  <c r="AG1361" i="1" s="1"/>
  <c r="H1361" i="1"/>
  <c r="I1361" i="1"/>
  <c r="J1361" i="1"/>
  <c r="K1361" i="1"/>
  <c r="L1361" i="1"/>
  <c r="M1361" i="1"/>
  <c r="N1361" i="1"/>
  <c r="O1361" i="1"/>
  <c r="P1361" i="1"/>
  <c r="Q1361" i="1"/>
  <c r="R1361" i="1"/>
  <c r="A1362" i="1"/>
  <c r="B1362" i="1"/>
  <c r="C1362" i="1"/>
  <c r="D1362" i="1"/>
  <c r="E1362" i="1"/>
  <c r="F1362" i="1"/>
  <c r="Z1362" i="1" s="1"/>
  <c r="G1362" i="1"/>
  <c r="AE1362" i="1" s="1"/>
  <c r="AG1362" i="1" s="1"/>
  <c r="H1362" i="1"/>
  <c r="I1362" i="1"/>
  <c r="J1362" i="1"/>
  <c r="K1362" i="1"/>
  <c r="L1362" i="1"/>
  <c r="M1362" i="1"/>
  <c r="N1362" i="1"/>
  <c r="O1362" i="1"/>
  <c r="P1362" i="1"/>
  <c r="Q1362" i="1"/>
  <c r="R1362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T526" i="1" s="1"/>
  <c r="A1363" i="1"/>
  <c r="B1363" i="1"/>
  <c r="C1363" i="1"/>
  <c r="D1363" i="1"/>
  <c r="E1363" i="1"/>
  <c r="F1363" i="1"/>
  <c r="G1363" i="1"/>
  <c r="AE1363" i="1" s="1"/>
  <c r="AG1363" i="1" s="1"/>
  <c r="H1363" i="1"/>
  <c r="I1363" i="1"/>
  <c r="J1363" i="1"/>
  <c r="K1363" i="1"/>
  <c r="L1363" i="1"/>
  <c r="M1363" i="1"/>
  <c r="N1363" i="1"/>
  <c r="O1363" i="1"/>
  <c r="P1363" i="1"/>
  <c r="Q1363" i="1"/>
  <c r="R1363" i="1"/>
  <c r="A1364" i="1"/>
  <c r="B1364" i="1"/>
  <c r="C1364" i="1"/>
  <c r="D1364" i="1"/>
  <c r="E1364" i="1"/>
  <c r="F1364" i="1"/>
  <c r="Z1364" i="1" s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A1365" i="1"/>
  <c r="B1365" i="1"/>
  <c r="C1365" i="1"/>
  <c r="D1365" i="1"/>
  <c r="E1365" i="1"/>
  <c r="F1365" i="1"/>
  <c r="Z1365" i="1" s="1"/>
  <c r="G1365" i="1"/>
  <c r="AE1365" i="1" s="1"/>
  <c r="AG1365" i="1" s="1"/>
  <c r="H1365" i="1"/>
  <c r="I1365" i="1"/>
  <c r="J1365" i="1"/>
  <c r="K1365" i="1"/>
  <c r="L1365" i="1"/>
  <c r="M1365" i="1"/>
  <c r="N1365" i="1"/>
  <c r="O1365" i="1"/>
  <c r="P1365" i="1"/>
  <c r="Q1365" i="1"/>
  <c r="R1365" i="1"/>
  <c r="A1366" i="1"/>
  <c r="B1366" i="1"/>
  <c r="C1366" i="1"/>
  <c r="D1366" i="1"/>
  <c r="E1366" i="1"/>
  <c r="F1366" i="1"/>
  <c r="G1366" i="1"/>
  <c r="AE1366" i="1" s="1"/>
  <c r="AG1366" i="1" s="1"/>
  <c r="H1366" i="1"/>
  <c r="I1366" i="1"/>
  <c r="J1366" i="1"/>
  <c r="K1366" i="1"/>
  <c r="L1366" i="1"/>
  <c r="M1366" i="1"/>
  <c r="N1366" i="1"/>
  <c r="O1366" i="1"/>
  <c r="P1366" i="1"/>
  <c r="Q1366" i="1"/>
  <c r="R1366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A1367" i="1"/>
  <c r="B1367" i="1"/>
  <c r="C1367" i="1"/>
  <c r="D1367" i="1"/>
  <c r="E1367" i="1"/>
  <c r="F1367" i="1"/>
  <c r="G1367" i="1"/>
  <c r="AE1367" i="1" s="1"/>
  <c r="AG1367" i="1" s="1"/>
  <c r="H1367" i="1"/>
  <c r="I1367" i="1"/>
  <c r="J1367" i="1"/>
  <c r="K1367" i="1"/>
  <c r="L1367" i="1"/>
  <c r="M1367" i="1"/>
  <c r="N1367" i="1"/>
  <c r="O1367" i="1"/>
  <c r="P1367" i="1"/>
  <c r="Q1367" i="1"/>
  <c r="R1367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T184" i="1" s="1"/>
  <c r="A1368" i="1"/>
  <c r="B1368" i="1"/>
  <c r="C1368" i="1"/>
  <c r="D1368" i="1"/>
  <c r="E1368" i="1"/>
  <c r="F1368" i="1"/>
  <c r="G1368" i="1"/>
  <c r="AE1368" i="1" s="1"/>
  <c r="AG1368" i="1" s="1"/>
  <c r="H1368" i="1"/>
  <c r="I1368" i="1"/>
  <c r="J1368" i="1"/>
  <c r="K1368" i="1"/>
  <c r="L1368" i="1"/>
  <c r="M1368" i="1"/>
  <c r="N1368" i="1"/>
  <c r="O1368" i="1"/>
  <c r="P1368" i="1"/>
  <c r="Q1368" i="1"/>
  <c r="R1368" i="1"/>
  <c r="T1368" i="1" s="1"/>
  <c r="A1369" i="1"/>
  <c r="B1369" i="1"/>
  <c r="C1369" i="1"/>
  <c r="D1369" i="1"/>
  <c r="E1369" i="1"/>
  <c r="F1369" i="1"/>
  <c r="G1369" i="1"/>
  <c r="AE1369" i="1" s="1"/>
  <c r="AG1369" i="1" s="1"/>
  <c r="H1369" i="1"/>
  <c r="I1369" i="1"/>
  <c r="J1369" i="1"/>
  <c r="K1369" i="1"/>
  <c r="L1369" i="1"/>
  <c r="M1369" i="1"/>
  <c r="N1369" i="1"/>
  <c r="O1369" i="1"/>
  <c r="P1369" i="1"/>
  <c r="Q1369" i="1"/>
  <c r="R1369" i="1"/>
  <c r="A1370" i="1"/>
  <c r="B1370" i="1"/>
  <c r="C1370" i="1"/>
  <c r="D1370" i="1"/>
  <c r="E1370" i="1"/>
  <c r="F1370" i="1"/>
  <c r="Z1370" i="1" s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A1371" i="1"/>
  <c r="B1371" i="1"/>
  <c r="C1371" i="1"/>
  <c r="D1371" i="1"/>
  <c r="E1371" i="1"/>
  <c r="F1371" i="1"/>
  <c r="G1371" i="1"/>
  <c r="AE1371" i="1" s="1"/>
  <c r="AG1371" i="1" s="1"/>
  <c r="H1371" i="1"/>
  <c r="I1371" i="1"/>
  <c r="J1371" i="1"/>
  <c r="K1371" i="1"/>
  <c r="L1371" i="1"/>
  <c r="M1371" i="1"/>
  <c r="N1371" i="1"/>
  <c r="O1371" i="1"/>
  <c r="P1371" i="1"/>
  <c r="Q1371" i="1"/>
  <c r="R1371" i="1"/>
  <c r="A1372" i="1"/>
  <c r="B1372" i="1"/>
  <c r="C1372" i="1"/>
  <c r="D1372" i="1"/>
  <c r="E1372" i="1"/>
  <c r="F1372" i="1"/>
  <c r="G1372" i="1"/>
  <c r="AE1372" i="1" s="1"/>
  <c r="AG1372" i="1" s="1"/>
  <c r="H1372" i="1"/>
  <c r="I1372" i="1"/>
  <c r="J1372" i="1"/>
  <c r="K1372" i="1"/>
  <c r="L1372" i="1"/>
  <c r="M1372" i="1"/>
  <c r="N1372" i="1"/>
  <c r="O1372" i="1"/>
  <c r="P1372" i="1"/>
  <c r="Q1372" i="1"/>
  <c r="R1372" i="1"/>
  <c r="A1373" i="1"/>
  <c r="B1373" i="1"/>
  <c r="C1373" i="1"/>
  <c r="D1373" i="1"/>
  <c r="E1373" i="1"/>
  <c r="F1373" i="1"/>
  <c r="Z1373" i="1" s="1"/>
  <c r="G1373" i="1"/>
  <c r="AE1373" i="1" s="1"/>
  <c r="AG1373" i="1" s="1"/>
  <c r="H1373" i="1"/>
  <c r="I1373" i="1"/>
  <c r="J1373" i="1"/>
  <c r="K1373" i="1"/>
  <c r="L1373" i="1"/>
  <c r="M1373" i="1"/>
  <c r="N1373" i="1"/>
  <c r="O1373" i="1"/>
  <c r="P1373" i="1"/>
  <c r="Q1373" i="1"/>
  <c r="R1373" i="1"/>
  <c r="A1374" i="1"/>
  <c r="B1374" i="1"/>
  <c r="C1374" i="1"/>
  <c r="D1374" i="1"/>
  <c r="E1374" i="1"/>
  <c r="F1374" i="1"/>
  <c r="G1374" i="1"/>
  <c r="AE1374" i="1" s="1"/>
  <c r="AG1374" i="1" s="1"/>
  <c r="H1374" i="1"/>
  <c r="I1374" i="1"/>
  <c r="J1374" i="1"/>
  <c r="K1374" i="1"/>
  <c r="L1374" i="1"/>
  <c r="M1374" i="1"/>
  <c r="N1374" i="1"/>
  <c r="O1374" i="1"/>
  <c r="P1374" i="1"/>
  <c r="Q1374" i="1"/>
  <c r="R1374" i="1"/>
  <c r="A1375" i="1"/>
  <c r="B1375" i="1"/>
  <c r="C1375" i="1"/>
  <c r="D1375" i="1"/>
  <c r="E1375" i="1"/>
  <c r="F1375" i="1"/>
  <c r="G1375" i="1"/>
  <c r="AE1375" i="1" s="1"/>
  <c r="AG1375" i="1" s="1"/>
  <c r="H1375" i="1"/>
  <c r="I1375" i="1"/>
  <c r="J1375" i="1"/>
  <c r="K1375" i="1"/>
  <c r="L1375" i="1"/>
  <c r="M1375" i="1"/>
  <c r="N1375" i="1"/>
  <c r="O1375" i="1"/>
  <c r="P1375" i="1"/>
  <c r="Q1375" i="1"/>
  <c r="R1375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A1376" i="1"/>
  <c r="B1376" i="1"/>
  <c r="C1376" i="1"/>
  <c r="D1376" i="1"/>
  <c r="E1376" i="1"/>
  <c r="F1376" i="1"/>
  <c r="G1376" i="1"/>
  <c r="AE1376" i="1" s="1"/>
  <c r="AG1376" i="1" s="1"/>
  <c r="H1376" i="1"/>
  <c r="I1376" i="1"/>
  <c r="J1376" i="1"/>
  <c r="K1376" i="1"/>
  <c r="L1376" i="1"/>
  <c r="M1376" i="1"/>
  <c r="N1376" i="1"/>
  <c r="O1376" i="1"/>
  <c r="P1376" i="1"/>
  <c r="Q1376" i="1"/>
  <c r="R1376" i="1"/>
  <c r="A1377" i="1"/>
  <c r="B1377" i="1"/>
  <c r="C1377" i="1"/>
  <c r="D1377" i="1"/>
  <c r="E1377" i="1"/>
  <c r="F1377" i="1"/>
  <c r="G1377" i="1"/>
  <c r="AE1377" i="1" s="1"/>
  <c r="AG1377" i="1" s="1"/>
  <c r="H1377" i="1"/>
  <c r="I1377" i="1"/>
  <c r="J1377" i="1"/>
  <c r="K1377" i="1"/>
  <c r="L1377" i="1"/>
  <c r="M1377" i="1"/>
  <c r="N1377" i="1"/>
  <c r="O1377" i="1"/>
  <c r="P1377" i="1"/>
  <c r="Q1377" i="1"/>
  <c r="R1377" i="1"/>
  <c r="T1377" i="1" s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A1378" i="1"/>
  <c r="B1378" i="1"/>
  <c r="C1378" i="1"/>
  <c r="D1378" i="1"/>
  <c r="E1378" i="1"/>
  <c r="F1378" i="1"/>
  <c r="G1378" i="1"/>
  <c r="AE1378" i="1" s="1"/>
  <c r="AG1378" i="1" s="1"/>
  <c r="H1378" i="1"/>
  <c r="I1378" i="1"/>
  <c r="J1378" i="1"/>
  <c r="K1378" i="1"/>
  <c r="L1378" i="1"/>
  <c r="M1378" i="1"/>
  <c r="N1378" i="1"/>
  <c r="O1378" i="1"/>
  <c r="P1378" i="1"/>
  <c r="Q1378" i="1"/>
  <c r="R1378" i="1"/>
  <c r="A1379" i="1"/>
  <c r="B1379" i="1"/>
  <c r="C1379" i="1"/>
  <c r="D1379" i="1"/>
  <c r="E1379" i="1"/>
  <c r="F1379" i="1"/>
  <c r="G1379" i="1"/>
  <c r="AE1379" i="1" s="1"/>
  <c r="AG1379" i="1" s="1"/>
  <c r="H1379" i="1"/>
  <c r="I1379" i="1"/>
  <c r="J1379" i="1"/>
  <c r="K1379" i="1"/>
  <c r="L1379" i="1"/>
  <c r="M1379" i="1"/>
  <c r="N1379" i="1"/>
  <c r="O1379" i="1"/>
  <c r="P1379" i="1"/>
  <c r="Q1379" i="1"/>
  <c r="R1379" i="1"/>
  <c r="A1380" i="1"/>
  <c r="B1380" i="1"/>
  <c r="C1380" i="1"/>
  <c r="D1380" i="1"/>
  <c r="E1380" i="1"/>
  <c r="F1380" i="1"/>
  <c r="G1380" i="1"/>
  <c r="AE1380" i="1" s="1"/>
  <c r="AG1380" i="1" s="1"/>
  <c r="H1380" i="1"/>
  <c r="I1380" i="1"/>
  <c r="J1380" i="1"/>
  <c r="K1380" i="1"/>
  <c r="L1380" i="1"/>
  <c r="M1380" i="1"/>
  <c r="N1380" i="1"/>
  <c r="O1380" i="1"/>
  <c r="P1380" i="1"/>
  <c r="Q1380" i="1"/>
  <c r="R1380" i="1"/>
  <c r="A34" i="1"/>
  <c r="B34" i="1"/>
  <c r="C34" i="1"/>
  <c r="D34" i="1"/>
  <c r="E34" i="1"/>
  <c r="F34" i="1"/>
  <c r="Z34" i="1" s="1"/>
  <c r="G34" i="1"/>
  <c r="H34" i="1"/>
  <c r="I34" i="1"/>
  <c r="J34" i="1"/>
  <c r="K34" i="1"/>
  <c r="L34" i="1"/>
  <c r="M34" i="1"/>
  <c r="N34" i="1"/>
  <c r="O34" i="1"/>
  <c r="P34" i="1"/>
  <c r="Q34" i="1"/>
  <c r="R34" i="1"/>
  <c r="A1381" i="1"/>
  <c r="B1381" i="1"/>
  <c r="C1381" i="1"/>
  <c r="D1381" i="1"/>
  <c r="E1381" i="1"/>
  <c r="F1381" i="1"/>
  <c r="G1381" i="1"/>
  <c r="AE1381" i="1" s="1"/>
  <c r="AG1381" i="1" s="1"/>
  <c r="H1381" i="1"/>
  <c r="I1381" i="1"/>
  <c r="J1381" i="1"/>
  <c r="K1381" i="1"/>
  <c r="L1381" i="1"/>
  <c r="M1381" i="1"/>
  <c r="N1381" i="1"/>
  <c r="O1381" i="1"/>
  <c r="P1381" i="1"/>
  <c r="Q1381" i="1"/>
  <c r="R1381" i="1"/>
  <c r="T1381" i="1" s="1"/>
  <c r="A1382" i="1"/>
  <c r="B1382" i="1"/>
  <c r="C1382" i="1"/>
  <c r="D1382" i="1"/>
  <c r="E1382" i="1"/>
  <c r="F1382" i="1"/>
  <c r="G1382" i="1"/>
  <c r="AE1382" i="1" s="1"/>
  <c r="AG1382" i="1" s="1"/>
  <c r="H1382" i="1"/>
  <c r="I1382" i="1"/>
  <c r="J1382" i="1"/>
  <c r="K1382" i="1"/>
  <c r="L1382" i="1"/>
  <c r="M1382" i="1"/>
  <c r="N1382" i="1"/>
  <c r="O1382" i="1"/>
  <c r="P1382" i="1"/>
  <c r="Q1382" i="1"/>
  <c r="R1382" i="1"/>
  <c r="A1383" i="1"/>
  <c r="B1383" i="1"/>
  <c r="C1383" i="1"/>
  <c r="D1383" i="1"/>
  <c r="E1383" i="1"/>
  <c r="F1383" i="1"/>
  <c r="Z1383" i="1" s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T1383" i="1" s="1"/>
  <c r="A1384" i="1"/>
  <c r="B1384" i="1"/>
  <c r="C1384" i="1"/>
  <c r="D1384" i="1"/>
  <c r="E1384" i="1"/>
  <c r="F1384" i="1"/>
  <c r="G1384" i="1"/>
  <c r="AE1384" i="1" s="1"/>
  <c r="AG1384" i="1" s="1"/>
  <c r="H1384" i="1"/>
  <c r="I1384" i="1"/>
  <c r="J1384" i="1"/>
  <c r="K1384" i="1"/>
  <c r="L1384" i="1"/>
  <c r="M1384" i="1"/>
  <c r="N1384" i="1"/>
  <c r="O1384" i="1"/>
  <c r="P1384" i="1"/>
  <c r="Q1384" i="1"/>
  <c r="R1384" i="1"/>
  <c r="A1385" i="1"/>
  <c r="B1385" i="1"/>
  <c r="C1385" i="1"/>
  <c r="D1385" i="1"/>
  <c r="E1385" i="1"/>
  <c r="F1385" i="1"/>
  <c r="G1385" i="1"/>
  <c r="AE1385" i="1" s="1"/>
  <c r="AG1385" i="1" s="1"/>
  <c r="H1385" i="1"/>
  <c r="I1385" i="1"/>
  <c r="J1385" i="1"/>
  <c r="K1385" i="1"/>
  <c r="L1385" i="1"/>
  <c r="M1385" i="1"/>
  <c r="N1385" i="1"/>
  <c r="O1385" i="1"/>
  <c r="P1385" i="1"/>
  <c r="Q1385" i="1"/>
  <c r="R1385" i="1"/>
  <c r="A1386" i="1"/>
  <c r="B1386" i="1"/>
  <c r="C1386" i="1"/>
  <c r="D1386" i="1"/>
  <c r="E1386" i="1"/>
  <c r="F1386" i="1"/>
  <c r="G1386" i="1"/>
  <c r="AE1386" i="1" s="1"/>
  <c r="AG1386" i="1" s="1"/>
  <c r="H1386" i="1"/>
  <c r="I1386" i="1"/>
  <c r="J1386" i="1"/>
  <c r="K1386" i="1"/>
  <c r="L1386" i="1"/>
  <c r="M1386" i="1"/>
  <c r="N1386" i="1"/>
  <c r="O1386" i="1"/>
  <c r="P1386" i="1"/>
  <c r="Q1386" i="1"/>
  <c r="R1386" i="1"/>
  <c r="A1387" i="1"/>
  <c r="B1387" i="1"/>
  <c r="C1387" i="1"/>
  <c r="D1387" i="1"/>
  <c r="E1387" i="1"/>
  <c r="F1387" i="1"/>
  <c r="Z1387" i="1" s="1"/>
  <c r="G1387" i="1"/>
  <c r="AE1387" i="1" s="1"/>
  <c r="AG1387" i="1" s="1"/>
  <c r="H1387" i="1"/>
  <c r="I1387" i="1"/>
  <c r="J1387" i="1"/>
  <c r="K1387" i="1"/>
  <c r="L1387" i="1"/>
  <c r="M1387" i="1"/>
  <c r="N1387" i="1"/>
  <c r="O1387" i="1"/>
  <c r="P1387" i="1"/>
  <c r="Q1387" i="1"/>
  <c r="R1387" i="1"/>
  <c r="A1388" i="1"/>
  <c r="B1388" i="1"/>
  <c r="C1388" i="1"/>
  <c r="D1388" i="1"/>
  <c r="E1388" i="1"/>
  <c r="F1388" i="1"/>
  <c r="Z1388" i="1" s="1"/>
  <c r="G1388" i="1"/>
  <c r="AE1388" i="1" s="1"/>
  <c r="AG1388" i="1" s="1"/>
  <c r="H1388" i="1"/>
  <c r="I1388" i="1"/>
  <c r="J1388" i="1"/>
  <c r="K1388" i="1"/>
  <c r="L1388" i="1"/>
  <c r="M1388" i="1"/>
  <c r="N1388" i="1"/>
  <c r="O1388" i="1"/>
  <c r="P1388" i="1"/>
  <c r="Q1388" i="1"/>
  <c r="R1388" i="1"/>
  <c r="A614" i="1"/>
  <c r="B614" i="1"/>
  <c r="C614" i="1"/>
  <c r="D614" i="1"/>
  <c r="E614" i="1"/>
  <c r="F614" i="1"/>
  <c r="Z614" i="1" s="1"/>
  <c r="G614" i="1"/>
  <c r="H614" i="1"/>
  <c r="I614" i="1"/>
  <c r="J614" i="1"/>
  <c r="K614" i="1"/>
  <c r="L614" i="1"/>
  <c r="M614" i="1"/>
  <c r="N614" i="1"/>
  <c r="O614" i="1"/>
  <c r="P614" i="1"/>
  <c r="Q614" i="1"/>
  <c r="R614" i="1"/>
  <c r="T614" i="1" s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U269" i="1" s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A1389" i="1"/>
  <c r="B1389" i="1"/>
  <c r="C1389" i="1"/>
  <c r="D1389" i="1"/>
  <c r="E1389" i="1"/>
  <c r="F1389" i="1"/>
  <c r="G1389" i="1"/>
  <c r="AE1389" i="1" s="1"/>
  <c r="AG1389" i="1" s="1"/>
  <c r="H1389" i="1"/>
  <c r="I1389" i="1"/>
  <c r="J1389" i="1"/>
  <c r="K1389" i="1"/>
  <c r="L1389" i="1"/>
  <c r="M1389" i="1"/>
  <c r="N1389" i="1"/>
  <c r="O1389" i="1"/>
  <c r="P1389" i="1"/>
  <c r="Q1389" i="1"/>
  <c r="R1389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A1390" i="1"/>
  <c r="B1390" i="1"/>
  <c r="C1390" i="1"/>
  <c r="D1390" i="1"/>
  <c r="E1390" i="1"/>
  <c r="F1390" i="1"/>
  <c r="G1390" i="1"/>
  <c r="AE1390" i="1" s="1"/>
  <c r="AG1390" i="1" s="1"/>
  <c r="H1390" i="1"/>
  <c r="I1390" i="1"/>
  <c r="J1390" i="1"/>
  <c r="K1390" i="1"/>
  <c r="L1390" i="1"/>
  <c r="M1390" i="1"/>
  <c r="N1390" i="1"/>
  <c r="O1390" i="1"/>
  <c r="P1390" i="1"/>
  <c r="Q1390" i="1"/>
  <c r="R1390" i="1"/>
  <c r="A1391" i="1"/>
  <c r="B1391" i="1"/>
  <c r="C1391" i="1"/>
  <c r="D1391" i="1"/>
  <c r="E1391" i="1"/>
  <c r="F1391" i="1"/>
  <c r="G1391" i="1"/>
  <c r="AE1391" i="1" s="1"/>
  <c r="AG1391" i="1" s="1"/>
  <c r="H1391" i="1"/>
  <c r="I1391" i="1"/>
  <c r="J1391" i="1"/>
  <c r="K1391" i="1"/>
  <c r="L1391" i="1"/>
  <c r="M1391" i="1"/>
  <c r="N1391" i="1"/>
  <c r="O1391" i="1"/>
  <c r="P1391" i="1"/>
  <c r="Q1391" i="1"/>
  <c r="R1391" i="1"/>
  <c r="A1392" i="1"/>
  <c r="B1392" i="1"/>
  <c r="C1392" i="1"/>
  <c r="D1392" i="1"/>
  <c r="E1392" i="1"/>
  <c r="F1392" i="1"/>
  <c r="G1392" i="1"/>
  <c r="AE1392" i="1" s="1"/>
  <c r="AG1392" i="1" s="1"/>
  <c r="H1392" i="1"/>
  <c r="I1392" i="1"/>
  <c r="J1392" i="1"/>
  <c r="K1392" i="1"/>
  <c r="L1392" i="1"/>
  <c r="M1392" i="1"/>
  <c r="N1392" i="1"/>
  <c r="O1392" i="1"/>
  <c r="P1392" i="1"/>
  <c r="Q1392" i="1"/>
  <c r="R1392" i="1"/>
  <c r="A1393" i="1"/>
  <c r="B1393" i="1"/>
  <c r="C1393" i="1"/>
  <c r="D1393" i="1"/>
  <c r="E1393" i="1"/>
  <c r="F1393" i="1"/>
  <c r="G1393" i="1"/>
  <c r="AE1393" i="1" s="1"/>
  <c r="AG1393" i="1" s="1"/>
  <c r="H1393" i="1"/>
  <c r="I1393" i="1"/>
  <c r="J1393" i="1"/>
  <c r="K1393" i="1"/>
  <c r="L1393" i="1"/>
  <c r="M1393" i="1"/>
  <c r="N1393" i="1"/>
  <c r="O1393" i="1"/>
  <c r="P1393" i="1"/>
  <c r="Q1393" i="1"/>
  <c r="R1393" i="1"/>
  <c r="A1394" i="1"/>
  <c r="B1394" i="1"/>
  <c r="C1394" i="1"/>
  <c r="D1394" i="1"/>
  <c r="E1394" i="1"/>
  <c r="F1394" i="1"/>
  <c r="G1394" i="1"/>
  <c r="AE1394" i="1" s="1"/>
  <c r="AG1394" i="1" s="1"/>
  <c r="H1394" i="1"/>
  <c r="I1394" i="1"/>
  <c r="J1394" i="1"/>
  <c r="K1394" i="1"/>
  <c r="L1394" i="1"/>
  <c r="M1394" i="1"/>
  <c r="N1394" i="1"/>
  <c r="O1394" i="1"/>
  <c r="P1394" i="1"/>
  <c r="Q1394" i="1"/>
  <c r="R1394" i="1"/>
  <c r="U1394" i="1" s="1"/>
  <c r="X1394" i="1" s="1"/>
  <c r="A1395" i="1"/>
  <c r="B1395" i="1"/>
  <c r="C1395" i="1"/>
  <c r="D1395" i="1"/>
  <c r="E1395" i="1"/>
  <c r="F1395" i="1"/>
  <c r="G1395" i="1"/>
  <c r="AE1395" i="1" s="1"/>
  <c r="AG1395" i="1" s="1"/>
  <c r="H1395" i="1"/>
  <c r="I1395" i="1"/>
  <c r="J1395" i="1"/>
  <c r="K1395" i="1"/>
  <c r="L1395" i="1"/>
  <c r="M1395" i="1"/>
  <c r="N1395" i="1"/>
  <c r="O1395" i="1"/>
  <c r="P1395" i="1"/>
  <c r="Q1395" i="1"/>
  <c r="R1395" i="1"/>
  <c r="U1395" i="1" s="1"/>
  <c r="X1395" i="1" s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A1396" i="1"/>
  <c r="B1396" i="1"/>
  <c r="C1396" i="1"/>
  <c r="D1396" i="1"/>
  <c r="E1396" i="1"/>
  <c r="F1396" i="1"/>
  <c r="G1396" i="1"/>
  <c r="AE1396" i="1" s="1"/>
  <c r="AG1396" i="1" s="1"/>
  <c r="H1396" i="1"/>
  <c r="I1396" i="1"/>
  <c r="J1396" i="1"/>
  <c r="K1396" i="1"/>
  <c r="L1396" i="1"/>
  <c r="M1396" i="1"/>
  <c r="N1396" i="1"/>
  <c r="O1396" i="1"/>
  <c r="P1396" i="1"/>
  <c r="Q1396" i="1"/>
  <c r="R1396" i="1"/>
  <c r="T1396" i="1" s="1"/>
  <c r="A1397" i="1"/>
  <c r="B1397" i="1"/>
  <c r="C1397" i="1"/>
  <c r="D1397" i="1"/>
  <c r="E1397" i="1"/>
  <c r="F1397" i="1"/>
  <c r="G1397" i="1"/>
  <c r="AE1397" i="1" s="1"/>
  <c r="AG1397" i="1" s="1"/>
  <c r="H1397" i="1"/>
  <c r="I1397" i="1"/>
  <c r="J1397" i="1"/>
  <c r="K1397" i="1"/>
  <c r="L1397" i="1"/>
  <c r="M1397" i="1"/>
  <c r="N1397" i="1"/>
  <c r="O1397" i="1"/>
  <c r="P1397" i="1"/>
  <c r="Q1397" i="1"/>
  <c r="R1397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A1398" i="1"/>
  <c r="B1398" i="1"/>
  <c r="C1398" i="1"/>
  <c r="D1398" i="1"/>
  <c r="E1398" i="1"/>
  <c r="F1398" i="1"/>
  <c r="Z1398" i="1" s="1"/>
  <c r="G1398" i="1"/>
  <c r="AE1398" i="1" s="1"/>
  <c r="AG1398" i="1" s="1"/>
  <c r="H1398" i="1"/>
  <c r="I1398" i="1"/>
  <c r="J1398" i="1"/>
  <c r="K1398" i="1"/>
  <c r="L1398" i="1"/>
  <c r="M1398" i="1"/>
  <c r="N1398" i="1"/>
  <c r="O1398" i="1"/>
  <c r="P1398" i="1"/>
  <c r="Q1398" i="1"/>
  <c r="R1398" i="1"/>
  <c r="T1398" i="1" s="1"/>
  <c r="A1399" i="1"/>
  <c r="B1399" i="1"/>
  <c r="C1399" i="1"/>
  <c r="D1399" i="1"/>
  <c r="E1399" i="1"/>
  <c r="F1399" i="1"/>
  <c r="G1399" i="1"/>
  <c r="AE1399" i="1" s="1"/>
  <c r="AG1399" i="1" s="1"/>
  <c r="H1399" i="1"/>
  <c r="I1399" i="1"/>
  <c r="J1399" i="1"/>
  <c r="K1399" i="1"/>
  <c r="L1399" i="1"/>
  <c r="M1399" i="1"/>
  <c r="N1399" i="1"/>
  <c r="O1399" i="1"/>
  <c r="P1399" i="1"/>
  <c r="Q1399" i="1"/>
  <c r="R1399" i="1"/>
  <c r="A1400" i="1"/>
  <c r="B1400" i="1"/>
  <c r="C1400" i="1"/>
  <c r="D1400" i="1"/>
  <c r="E1400" i="1"/>
  <c r="F1400" i="1"/>
  <c r="G1400" i="1"/>
  <c r="AE1400" i="1" s="1"/>
  <c r="AG1400" i="1" s="1"/>
  <c r="H1400" i="1"/>
  <c r="I1400" i="1"/>
  <c r="J1400" i="1"/>
  <c r="K1400" i="1"/>
  <c r="L1400" i="1"/>
  <c r="M1400" i="1"/>
  <c r="N1400" i="1"/>
  <c r="O1400" i="1"/>
  <c r="P1400" i="1"/>
  <c r="Q1400" i="1"/>
  <c r="R1400" i="1"/>
  <c r="W1400" i="1" s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A1401" i="1"/>
  <c r="B1401" i="1"/>
  <c r="C1401" i="1"/>
  <c r="D1401" i="1"/>
  <c r="E1401" i="1"/>
  <c r="F1401" i="1"/>
  <c r="Z1401" i="1" s="1"/>
  <c r="G1401" i="1"/>
  <c r="AE1401" i="1" s="1"/>
  <c r="AG1401" i="1" s="1"/>
  <c r="H1401" i="1"/>
  <c r="I1401" i="1"/>
  <c r="J1401" i="1"/>
  <c r="K1401" i="1"/>
  <c r="L1401" i="1"/>
  <c r="M1401" i="1"/>
  <c r="N1401" i="1"/>
  <c r="O1401" i="1"/>
  <c r="P1401" i="1"/>
  <c r="Q1401" i="1"/>
  <c r="R1401" i="1"/>
  <c r="A1403" i="1"/>
  <c r="B1403" i="1"/>
  <c r="C1403" i="1"/>
  <c r="D1403" i="1"/>
  <c r="E1403" i="1"/>
  <c r="F1403" i="1"/>
  <c r="G1403" i="1"/>
  <c r="AE1403" i="1" s="1"/>
  <c r="AG1403" i="1" s="1"/>
  <c r="H1403" i="1"/>
  <c r="I1403" i="1"/>
  <c r="J1403" i="1"/>
  <c r="K1403" i="1"/>
  <c r="L1403" i="1"/>
  <c r="M1403" i="1"/>
  <c r="N1403" i="1"/>
  <c r="O1403" i="1"/>
  <c r="P1403" i="1"/>
  <c r="Q1403" i="1"/>
  <c r="R1403" i="1"/>
  <c r="T1403" i="1" s="1"/>
  <c r="A1404" i="1"/>
  <c r="B1404" i="1"/>
  <c r="C1404" i="1"/>
  <c r="D1404" i="1"/>
  <c r="E1404" i="1"/>
  <c r="F1404" i="1"/>
  <c r="G1404" i="1"/>
  <c r="AE1404" i="1" s="1"/>
  <c r="AG1404" i="1" s="1"/>
  <c r="H1404" i="1"/>
  <c r="I1404" i="1"/>
  <c r="J1404" i="1"/>
  <c r="K1404" i="1"/>
  <c r="L1404" i="1"/>
  <c r="M1404" i="1"/>
  <c r="N1404" i="1"/>
  <c r="O1404" i="1"/>
  <c r="P1404" i="1"/>
  <c r="Q1404" i="1"/>
  <c r="R1404" i="1"/>
  <c r="A1405" i="1"/>
  <c r="B1405" i="1"/>
  <c r="C1405" i="1"/>
  <c r="D1405" i="1"/>
  <c r="E1405" i="1"/>
  <c r="F1405" i="1"/>
  <c r="G1405" i="1"/>
  <c r="AE1405" i="1" s="1"/>
  <c r="AG1405" i="1" s="1"/>
  <c r="H1405" i="1"/>
  <c r="I1405" i="1"/>
  <c r="J1405" i="1"/>
  <c r="K1405" i="1"/>
  <c r="L1405" i="1"/>
  <c r="M1405" i="1"/>
  <c r="N1405" i="1"/>
  <c r="O1405" i="1"/>
  <c r="P1405" i="1"/>
  <c r="Q1405" i="1"/>
  <c r="R1405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A1406" i="1"/>
  <c r="B1406" i="1"/>
  <c r="C1406" i="1"/>
  <c r="D1406" i="1"/>
  <c r="E1406" i="1"/>
  <c r="F1406" i="1"/>
  <c r="G1406" i="1"/>
  <c r="AE1406" i="1" s="1"/>
  <c r="AG1406" i="1" s="1"/>
  <c r="H1406" i="1"/>
  <c r="I1406" i="1"/>
  <c r="J1406" i="1"/>
  <c r="K1406" i="1"/>
  <c r="L1406" i="1"/>
  <c r="M1406" i="1"/>
  <c r="N1406" i="1"/>
  <c r="O1406" i="1"/>
  <c r="P1406" i="1"/>
  <c r="Q1406" i="1"/>
  <c r="R1406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A1407" i="1"/>
  <c r="B1407" i="1"/>
  <c r="C1407" i="1"/>
  <c r="D1407" i="1"/>
  <c r="E1407" i="1"/>
  <c r="F1407" i="1"/>
  <c r="Z1407" i="1" s="1"/>
  <c r="G1407" i="1"/>
  <c r="AE1407" i="1" s="1"/>
  <c r="AG1407" i="1" s="1"/>
  <c r="H1407" i="1"/>
  <c r="I1407" i="1"/>
  <c r="J1407" i="1"/>
  <c r="K1407" i="1"/>
  <c r="L1407" i="1"/>
  <c r="M1407" i="1"/>
  <c r="N1407" i="1"/>
  <c r="O1407" i="1"/>
  <c r="P1407" i="1"/>
  <c r="Q1407" i="1"/>
  <c r="R1407" i="1"/>
  <c r="A1408" i="1"/>
  <c r="B1408" i="1"/>
  <c r="C1408" i="1"/>
  <c r="D1408" i="1"/>
  <c r="E1408" i="1"/>
  <c r="F1408" i="1"/>
  <c r="G1408" i="1"/>
  <c r="AE1408" i="1" s="1"/>
  <c r="AG1408" i="1" s="1"/>
  <c r="H1408" i="1"/>
  <c r="I1408" i="1"/>
  <c r="J1408" i="1"/>
  <c r="K1408" i="1"/>
  <c r="L1408" i="1"/>
  <c r="M1408" i="1"/>
  <c r="N1408" i="1"/>
  <c r="O1408" i="1"/>
  <c r="P1408" i="1"/>
  <c r="Q1408" i="1"/>
  <c r="R1408" i="1"/>
  <c r="T1408" i="1" s="1"/>
  <c r="A1409" i="1"/>
  <c r="B1409" i="1"/>
  <c r="C1409" i="1"/>
  <c r="D1409" i="1"/>
  <c r="E1409" i="1"/>
  <c r="F1409" i="1"/>
  <c r="G1409" i="1"/>
  <c r="AE1409" i="1" s="1"/>
  <c r="AG1409" i="1" s="1"/>
  <c r="H1409" i="1"/>
  <c r="I1409" i="1"/>
  <c r="J1409" i="1"/>
  <c r="K1409" i="1"/>
  <c r="L1409" i="1"/>
  <c r="M1409" i="1"/>
  <c r="N1409" i="1"/>
  <c r="O1409" i="1"/>
  <c r="P1409" i="1"/>
  <c r="Q1409" i="1"/>
  <c r="R1409" i="1"/>
  <c r="W1409" i="1" s="1"/>
  <c r="A1410" i="1"/>
  <c r="B1410" i="1"/>
  <c r="C1410" i="1"/>
  <c r="D1410" i="1"/>
  <c r="E1410" i="1"/>
  <c r="F1410" i="1"/>
  <c r="G1410" i="1"/>
  <c r="AE1410" i="1" s="1"/>
  <c r="AG1410" i="1" s="1"/>
  <c r="H1410" i="1"/>
  <c r="I1410" i="1"/>
  <c r="J1410" i="1"/>
  <c r="K1410" i="1"/>
  <c r="L1410" i="1"/>
  <c r="M1410" i="1"/>
  <c r="N1410" i="1"/>
  <c r="O1410" i="1"/>
  <c r="P1410" i="1"/>
  <c r="Q1410" i="1"/>
  <c r="R1410" i="1"/>
  <c r="A1411" i="1"/>
  <c r="B1411" i="1"/>
  <c r="C1411" i="1"/>
  <c r="D1411" i="1"/>
  <c r="E1411" i="1"/>
  <c r="F1411" i="1"/>
  <c r="G1411" i="1"/>
  <c r="AE1411" i="1" s="1"/>
  <c r="AG1411" i="1" s="1"/>
  <c r="H1411" i="1"/>
  <c r="I1411" i="1"/>
  <c r="J1411" i="1"/>
  <c r="K1411" i="1"/>
  <c r="L1411" i="1"/>
  <c r="M1411" i="1"/>
  <c r="N1411" i="1"/>
  <c r="O1411" i="1"/>
  <c r="P1411" i="1"/>
  <c r="Q1411" i="1"/>
  <c r="R1411" i="1"/>
  <c r="A1412" i="1"/>
  <c r="B1412" i="1"/>
  <c r="C1412" i="1"/>
  <c r="D1412" i="1"/>
  <c r="E1412" i="1"/>
  <c r="F1412" i="1"/>
  <c r="G1412" i="1"/>
  <c r="AE1412" i="1" s="1"/>
  <c r="AG1412" i="1" s="1"/>
  <c r="H1412" i="1"/>
  <c r="I1412" i="1"/>
  <c r="J1412" i="1"/>
  <c r="K1412" i="1"/>
  <c r="L1412" i="1"/>
  <c r="M1412" i="1"/>
  <c r="N1412" i="1"/>
  <c r="O1412" i="1"/>
  <c r="P1412" i="1"/>
  <c r="Q1412" i="1"/>
  <c r="R1412" i="1"/>
  <c r="A1413" i="1"/>
  <c r="B1413" i="1"/>
  <c r="C1413" i="1"/>
  <c r="D1413" i="1"/>
  <c r="E1413" i="1"/>
  <c r="F1413" i="1"/>
  <c r="G1413" i="1"/>
  <c r="AE1413" i="1" s="1"/>
  <c r="AG1413" i="1" s="1"/>
  <c r="H1413" i="1"/>
  <c r="I1413" i="1"/>
  <c r="J1413" i="1"/>
  <c r="K1413" i="1"/>
  <c r="L1413" i="1"/>
  <c r="M1413" i="1"/>
  <c r="N1413" i="1"/>
  <c r="O1413" i="1"/>
  <c r="P1413" i="1"/>
  <c r="Q1413" i="1"/>
  <c r="R1413" i="1"/>
  <c r="A1414" i="1"/>
  <c r="B1414" i="1"/>
  <c r="C1414" i="1"/>
  <c r="D1414" i="1"/>
  <c r="E1414" i="1"/>
  <c r="F1414" i="1"/>
  <c r="Z1414" i="1" s="1"/>
  <c r="G1414" i="1"/>
  <c r="AE1414" i="1" s="1"/>
  <c r="AG1414" i="1" s="1"/>
  <c r="H1414" i="1"/>
  <c r="I1414" i="1"/>
  <c r="J1414" i="1"/>
  <c r="K1414" i="1"/>
  <c r="L1414" i="1"/>
  <c r="M1414" i="1"/>
  <c r="N1414" i="1"/>
  <c r="O1414" i="1"/>
  <c r="P1414" i="1"/>
  <c r="Q1414" i="1"/>
  <c r="R1414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A1415" i="1"/>
  <c r="B1415" i="1"/>
  <c r="C1415" i="1"/>
  <c r="D1415" i="1"/>
  <c r="E1415" i="1"/>
  <c r="F1415" i="1"/>
  <c r="G1415" i="1"/>
  <c r="AE1415" i="1" s="1"/>
  <c r="AG1415" i="1" s="1"/>
  <c r="H1415" i="1"/>
  <c r="I1415" i="1"/>
  <c r="J1415" i="1"/>
  <c r="K1415" i="1"/>
  <c r="L1415" i="1"/>
  <c r="M1415" i="1"/>
  <c r="N1415" i="1"/>
  <c r="O1415" i="1"/>
  <c r="P1415" i="1"/>
  <c r="Q1415" i="1"/>
  <c r="R1415" i="1"/>
  <c r="U1415" i="1" s="1"/>
  <c r="A68" i="1"/>
  <c r="B68" i="1"/>
  <c r="C68" i="1"/>
  <c r="D68" i="1"/>
  <c r="E68" i="1"/>
  <c r="G68" i="1"/>
  <c r="H68" i="1"/>
  <c r="I68" i="1"/>
  <c r="J68" i="1"/>
  <c r="K68" i="1"/>
  <c r="L68" i="1"/>
  <c r="M68" i="1"/>
  <c r="N68" i="1"/>
  <c r="O68" i="1"/>
  <c r="P68" i="1"/>
  <c r="Q68" i="1"/>
  <c r="R68" i="1"/>
  <c r="A1416" i="1"/>
  <c r="B1416" i="1"/>
  <c r="C1416" i="1"/>
  <c r="D1416" i="1"/>
  <c r="E1416" i="1"/>
  <c r="F1416" i="1"/>
  <c r="Z1416" i="1" s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T1416" i="1" s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A1417" i="1"/>
  <c r="B1417" i="1"/>
  <c r="C1417" i="1"/>
  <c r="D1417" i="1"/>
  <c r="E1417" i="1"/>
  <c r="F1417" i="1"/>
  <c r="G1417" i="1"/>
  <c r="AE1417" i="1" s="1"/>
  <c r="AG1417" i="1" s="1"/>
  <c r="H1417" i="1"/>
  <c r="I1417" i="1"/>
  <c r="J1417" i="1"/>
  <c r="K1417" i="1"/>
  <c r="L1417" i="1"/>
  <c r="M1417" i="1"/>
  <c r="N1417" i="1"/>
  <c r="O1417" i="1"/>
  <c r="P1417" i="1"/>
  <c r="Q1417" i="1"/>
  <c r="R1417" i="1"/>
  <c r="A1418" i="1"/>
  <c r="B1418" i="1"/>
  <c r="C1418" i="1"/>
  <c r="D1418" i="1"/>
  <c r="E1418" i="1"/>
  <c r="F1418" i="1"/>
  <c r="G1418" i="1"/>
  <c r="AE1418" i="1" s="1"/>
  <c r="AG1418" i="1" s="1"/>
  <c r="H1418" i="1"/>
  <c r="I1418" i="1"/>
  <c r="J1418" i="1"/>
  <c r="K1418" i="1"/>
  <c r="L1418" i="1"/>
  <c r="M1418" i="1"/>
  <c r="N1418" i="1"/>
  <c r="O1418" i="1"/>
  <c r="P1418" i="1"/>
  <c r="Q1418" i="1"/>
  <c r="R141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A619" i="1"/>
  <c r="B619" i="1"/>
  <c r="C619" i="1"/>
  <c r="D619" i="1"/>
  <c r="E619" i="1"/>
  <c r="F619" i="1"/>
  <c r="Z619" i="1" s="1"/>
  <c r="G619" i="1"/>
  <c r="H619" i="1"/>
  <c r="I619" i="1"/>
  <c r="J619" i="1"/>
  <c r="K619" i="1"/>
  <c r="L619" i="1"/>
  <c r="M619" i="1"/>
  <c r="N619" i="1"/>
  <c r="O619" i="1"/>
  <c r="P619" i="1"/>
  <c r="Q619" i="1"/>
  <c r="R619" i="1"/>
  <c r="A1419" i="1"/>
  <c r="B1419" i="1"/>
  <c r="C1419" i="1"/>
  <c r="D1419" i="1"/>
  <c r="E1419" i="1"/>
  <c r="F1419" i="1"/>
  <c r="G1419" i="1"/>
  <c r="AE1419" i="1" s="1"/>
  <c r="AG1419" i="1" s="1"/>
  <c r="H1419" i="1"/>
  <c r="I1419" i="1"/>
  <c r="J1419" i="1"/>
  <c r="K1419" i="1"/>
  <c r="L1419" i="1"/>
  <c r="M1419" i="1"/>
  <c r="N1419" i="1"/>
  <c r="O1419" i="1"/>
  <c r="P1419" i="1"/>
  <c r="Q1419" i="1"/>
  <c r="R1419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A1420" i="1"/>
  <c r="B1420" i="1"/>
  <c r="C1420" i="1"/>
  <c r="D1420" i="1"/>
  <c r="E1420" i="1"/>
  <c r="F1420" i="1"/>
  <c r="G1420" i="1"/>
  <c r="AE1420" i="1" s="1"/>
  <c r="AG1420" i="1" s="1"/>
  <c r="H1420" i="1"/>
  <c r="I1420" i="1"/>
  <c r="J1420" i="1"/>
  <c r="K1420" i="1"/>
  <c r="L1420" i="1"/>
  <c r="M1420" i="1"/>
  <c r="N1420" i="1"/>
  <c r="O1420" i="1"/>
  <c r="P1420" i="1"/>
  <c r="Q1420" i="1"/>
  <c r="R1420" i="1"/>
  <c r="W1420" i="1" s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A1421" i="1"/>
  <c r="B1421" i="1"/>
  <c r="C1421" i="1"/>
  <c r="D1421" i="1"/>
  <c r="E1421" i="1"/>
  <c r="F1421" i="1"/>
  <c r="Z1421" i="1" s="1"/>
  <c r="G1421" i="1"/>
  <c r="AE1421" i="1" s="1"/>
  <c r="AG1421" i="1" s="1"/>
  <c r="H1421" i="1"/>
  <c r="I1421" i="1"/>
  <c r="J1421" i="1"/>
  <c r="K1421" i="1"/>
  <c r="L1421" i="1"/>
  <c r="M1421" i="1"/>
  <c r="N1421" i="1"/>
  <c r="O1421" i="1"/>
  <c r="P1421" i="1"/>
  <c r="Q1421" i="1"/>
  <c r="R1421" i="1"/>
  <c r="T1421" i="1" s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A1422" i="1"/>
  <c r="B1422" i="1"/>
  <c r="C1422" i="1"/>
  <c r="D1422" i="1"/>
  <c r="E1422" i="1"/>
  <c r="F1422" i="1"/>
  <c r="G1422" i="1"/>
  <c r="AE1422" i="1" s="1"/>
  <c r="AG1422" i="1" s="1"/>
  <c r="H1422" i="1"/>
  <c r="I1422" i="1"/>
  <c r="J1422" i="1"/>
  <c r="K1422" i="1"/>
  <c r="L1422" i="1"/>
  <c r="M1422" i="1"/>
  <c r="N1422" i="1"/>
  <c r="O1422" i="1"/>
  <c r="P1422" i="1"/>
  <c r="Q1422" i="1"/>
  <c r="R1422" i="1"/>
  <c r="U1422" i="1" s="1"/>
  <c r="A1423" i="1"/>
  <c r="B1423" i="1"/>
  <c r="C1423" i="1"/>
  <c r="D1423" i="1"/>
  <c r="E1423" i="1"/>
  <c r="F1423" i="1"/>
  <c r="Z1423" i="1" s="1"/>
  <c r="G1423" i="1"/>
  <c r="AE1423" i="1" s="1"/>
  <c r="AG1423" i="1" s="1"/>
  <c r="H1423" i="1"/>
  <c r="I1423" i="1"/>
  <c r="J1423" i="1"/>
  <c r="K1423" i="1"/>
  <c r="L1423" i="1"/>
  <c r="M1423" i="1"/>
  <c r="N1423" i="1"/>
  <c r="O1423" i="1"/>
  <c r="P1423" i="1"/>
  <c r="Q1423" i="1"/>
  <c r="R1423" i="1"/>
  <c r="U1423" i="1" s="1"/>
  <c r="A1424" i="1"/>
  <c r="B1424" i="1"/>
  <c r="C1424" i="1"/>
  <c r="D1424" i="1"/>
  <c r="E1424" i="1"/>
  <c r="F1424" i="1"/>
  <c r="Z1424" i="1" s="1"/>
  <c r="G1424" i="1"/>
  <c r="AE1424" i="1" s="1"/>
  <c r="AG1424" i="1" s="1"/>
  <c r="H1424" i="1"/>
  <c r="I1424" i="1"/>
  <c r="J1424" i="1"/>
  <c r="K1424" i="1"/>
  <c r="L1424" i="1"/>
  <c r="M1424" i="1"/>
  <c r="N1424" i="1"/>
  <c r="O1424" i="1"/>
  <c r="P1424" i="1"/>
  <c r="Q1424" i="1"/>
  <c r="R1424" i="1"/>
  <c r="T1424" i="1" s="1"/>
  <c r="A1425" i="1"/>
  <c r="B1425" i="1"/>
  <c r="C1425" i="1"/>
  <c r="D1425" i="1"/>
  <c r="E1425" i="1"/>
  <c r="F1425" i="1"/>
  <c r="Z1425" i="1" s="1"/>
  <c r="G1425" i="1"/>
  <c r="AE1425" i="1" s="1"/>
  <c r="AG1425" i="1" s="1"/>
  <c r="H1425" i="1"/>
  <c r="I1425" i="1"/>
  <c r="J1425" i="1"/>
  <c r="K1425" i="1"/>
  <c r="L1425" i="1"/>
  <c r="M1425" i="1"/>
  <c r="N1425" i="1"/>
  <c r="O1425" i="1"/>
  <c r="P1425" i="1"/>
  <c r="Q1425" i="1"/>
  <c r="R1425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A1426" i="1"/>
  <c r="B1426" i="1"/>
  <c r="C1426" i="1"/>
  <c r="D1426" i="1"/>
  <c r="E1426" i="1"/>
  <c r="F1426" i="1"/>
  <c r="G1426" i="1"/>
  <c r="AE1426" i="1" s="1"/>
  <c r="AG1426" i="1" s="1"/>
  <c r="H1426" i="1"/>
  <c r="I1426" i="1"/>
  <c r="J1426" i="1"/>
  <c r="K1426" i="1"/>
  <c r="L1426" i="1"/>
  <c r="M1426" i="1"/>
  <c r="N1426" i="1"/>
  <c r="O1426" i="1"/>
  <c r="P1426" i="1"/>
  <c r="Q1426" i="1"/>
  <c r="R1426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A1428" i="1"/>
  <c r="B1428" i="1"/>
  <c r="C1428" i="1"/>
  <c r="D1428" i="1"/>
  <c r="E1428" i="1"/>
  <c r="F1428" i="1"/>
  <c r="G1428" i="1"/>
  <c r="AE1428" i="1" s="1"/>
  <c r="AG1428" i="1" s="1"/>
  <c r="H1428" i="1"/>
  <c r="I1428" i="1"/>
  <c r="J1428" i="1"/>
  <c r="K1428" i="1"/>
  <c r="L1428" i="1"/>
  <c r="M1428" i="1"/>
  <c r="N1428" i="1"/>
  <c r="O1428" i="1"/>
  <c r="P1428" i="1"/>
  <c r="Q1428" i="1"/>
  <c r="R1428" i="1"/>
  <c r="A1429" i="1"/>
  <c r="B1429" i="1"/>
  <c r="C1429" i="1"/>
  <c r="D1429" i="1"/>
  <c r="E1429" i="1"/>
  <c r="F1429" i="1"/>
  <c r="G1429" i="1"/>
  <c r="AE1429" i="1" s="1"/>
  <c r="AG1429" i="1" s="1"/>
  <c r="H1429" i="1"/>
  <c r="I1429" i="1"/>
  <c r="J1429" i="1"/>
  <c r="K1429" i="1"/>
  <c r="L1429" i="1"/>
  <c r="M1429" i="1"/>
  <c r="N1429" i="1"/>
  <c r="O1429" i="1"/>
  <c r="P1429" i="1"/>
  <c r="Q1429" i="1"/>
  <c r="R1429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U1563" i="1" s="1"/>
  <c r="X1563" i="1" s="1"/>
  <c r="A1430" i="1"/>
  <c r="B1430" i="1"/>
  <c r="C1430" i="1"/>
  <c r="D1430" i="1"/>
  <c r="E1430" i="1"/>
  <c r="F1430" i="1"/>
  <c r="G1430" i="1"/>
  <c r="AE1430" i="1" s="1"/>
  <c r="AG1430" i="1" s="1"/>
  <c r="H1430" i="1"/>
  <c r="I1430" i="1"/>
  <c r="J1430" i="1"/>
  <c r="K1430" i="1"/>
  <c r="L1430" i="1"/>
  <c r="M1430" i="1"/>
  <c r="N1430" i="1"/>
  <c r="O1430" i="1"/>
  <c r="P1430" i="1"/>
  <c r="Q1430" i="1"/>
  <c r="R1430" i="1"/>
  <c r="T1430" i="1" s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A1431" i="1"/>
  <c r="B1431" i="1"/>
  <c r="C1431" i="1"/>
  <c r="D1431" i="1"/>
  <c r="E1431" i="1"/>
  <c r="F1431" i="1"/>
  <c r="G1431" i="1"/>
  <c r="AE1431" i="1" s="1"/>
  <c r="AG1431" i="1" s="1"/>
  <c r="H1431" i="1"/>
  <c r="I1431" i="1"/>
  <c r="J1431" i="1"/>
  <c r="K1431" i="1"/>
  <c r="L1431" i="1"/>
  <c r="M1431" i="1"/>
  <c r="N1431" i="1"/>
  <c r="O1431" i="1"/>
  <c r="P1431" i="1"/>
  <c r="Q1431" i="1"/>
  <c r="R1431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A1432" i="1"/>
  <c r="B1432" i="1"/>
  <c r="C1432" i="1"/>
  <c r="D1432" i="1"/>
  <c r="E1432" i="1"/>
  <c r="F1432" i="1"/>
  <c r="G1432" i="1"/>
  <c r="AE1432" i="1" s="1"/>
  <c r="AG1432" i="1" s="1"/>
  <c r="H1432" i="1"/>
  <c r="I1432" i="1"/>
  <c r="J1432" i="1"/>
  <c r="K1432" i="1"/>
  <c r="L1432" i="1"/>
  <c r="M1432" i="1"/>
  <c r="N1432" i="1"/>
  <c r="O1432" i="1"/>
  <c r="P1432" i="1"/>
  <c r="Q1432" i="1"/>
  <c r="R1432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A1433" i="1"/>
  <c r="B1433" i="1"/>
  <c r="C1433" i="1"/>
  <c r="D1433" i="1"/>
  <c r="E1433" i="1"/>
  <c r="F1433" i="1"/>
  <c r="Z1433" i="1" s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W1531" i="1" s="1"/>
  <c r="A1434" i="1"/>
  <c r="B1434" i="1"/>
  <c r="C1434" i="1"/>
  <c r="D1434" i="1"/>
  <c r="E1434" i="1"/>
  <c r="F1434" i="1"/>
  <c r="G1434" i="1"/>
  <c r="AE1434" i="1" s="1"/>
  <c r="AG1434" i="1" s="1"/>
  <c r="H1434" i="1"/>
  <c r="I1434" i="1"/>
  <c r="J1434" i="1"/>
  <c r="K1434" i="1"/>
  <c r="L1434" i="1"/>
  <c r="M1434" i="1"/>
  <c r="N1434" i="1"/>
  <c r="O1434" i="1"/>
  <c r="P1434" i="1"/>
  <c r="Q1434" i="1"/>
  <c r="R1434" i="1"/>
  <c r="A1435" i="1"/>
  <c r="B1435" i="1"/>
  <c r="C1435" i="1"/>
  <c r="D1435" i="1"/>
  <c r="E1435" i="1"/>
  <c r="F1435" i="1"/>
  <c r="G1435" i="1"/>
  <c r="AE1435" i="1" s="1"/>
  <c r="AG1435" i="1" s="1"/>
  <c r="H1435" i="1"/>
  <c r="I1435" i="1"/>
  <c r="J1435" i="1"/>
  <c r="K1435" i="1"/>
  <c r="L1435" i="1"/>
  <c r="M1435" i="1"/>
  <c r="N1435" i="1"/>
  <c r="O1435" i="1"/>
  <c r="P1435" i="1"/>
  <c r="Q1435" i="1"/>
  <c r="R1435" i="1"/>
  <c r="A1436" i="1"/>
  <c r="B1436" i="1"/>
  <c r="C1436" i="1"/>
  <c r="D1436" i="1"/>
  <c r="E1436" i="1"/>
  <c r="F1436" i="1"/>
  <c r="G1436" i="1"/>
  <c r="AE1436" i="1" s="1"/>
  <c r="AG1436" i="1" s="1"/>
  <c r="H1436" i="1"/>
  <c r="I1436" i="1"/>
  <c r="J1436" i="1"/>
  <c r="K1436" i="1"/>
  <c r="L1436" i="1"/>
  <c r="M1436" i="1"/>
  <c r="N1436" i="1"/>
  <c r="O1436" i="1"/>
  <c r="P1436" i="1"/>
  <c r="Q1436" i="1"/>
  <c r="R1436" i="1"/>
  <c r="A1437" i="1"/>
  <c r="B1437" i="1"/>
  <c r="C1437" i="1"/>
  <c r="D1437" i="1"/>
  <c r="E1437" i="1"/>
  <c r="F1437" i="1"/>
  <c r="G1437" i="1"/>
  <c r="AE1437" i="1" s="1"/>
  <c r="AG1437" i="1" s="1"/>
  <c r="H1437" i="1"/>
  <c r="I1437" i="1"/>
  <c r="J1437" i="1"/>
  <c r="K1437" i="1"/>
  <c r="L1437" i="1"/>
  <c r="M1437" i="1"/>
  <c r="N1437" i="1"/>
  <c r="O1437" i="1"/>
  <c r="P1437" i="1"/>
  <c r="Q1437" i="1"/>
  <c r="R1437" i="1"/>
  <c r="T1437" i="1" s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A1438" i="1"/>
  <c r="B1438" i="1"/>
  <c r="C1438" i="1"/>
  <c r="D1438" i="1"/>
  <c r="E1438" i="1"/>
  <c r="F1438" i="1"/>
  <c r="G1438" i="1"/>
  <c r="AE1438" i="1" s="1"/>
  <c r="AG1438" i="1" s="1"/>
  <c r="H1438" i="1"/>
  <c r="I1438" i="1"/>
  <c r="J1438" i="1"/>
  <c r="K1438" i="1"/>
  <c r="L1438" i="1"/>
  <c r="M1438" i="1"/>
  <c r="N1438" i="1"/>
  <c r="O1438" i="1"/>
  <c r="P1438" i="1"/>
  <c r="Q1438" i="1"/>
  <c r="R1438" i="1"/>
  <c r="U1438" i="1" s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A1439" i="1"/>
  <c r="B1439" i="1"/>
  <c r="C1439" i="1"/>
  <c r="D1439" i="1"/>
  <c r="E1439" i="1"/>
  <c r="F1439" i="1"/>
  <c r="G1439" i="1"/>
  <c r="AE1439" i="1" s="1"/>
  <c r="AG1439" i="1" s="1"/>
  <c r="H1439" i="1"/>
  <c r="I1439" i="1"/>
  <c r="J1439" i="1"/>
  <c r="K1439" i="1"/>
  <c r="L1439" i="1"/>
  <c r="M1439" i="1"/>
  <c r="N1439" i="1"/>
  <c r="O1439" i="1"/>
  <c r="P1439" i="1"/>
  <c r="Q1439" i="1"/>
  <c r="R1439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W606" i="1" s="1"/>
  <c r="A1440" i="1"/>
  <c r="B1440" i="1"/>
  <c r="C1440" i="1"/>
  <c r="D1440" i="1"/>
  <c r="E1440" i="1"/>
  <c r="F1440" i="1"/>
  <c r="G1440" i="1"/>
  <c r="AE1440" i="1" s="1"/>
  <c r="AG1440" i="1" s="1"/>
  <c r="H1440" i="1"/>
  <c r="I1440" i="1"/>
  <c r="J1440" i="1"/>
  <c r="K1440" i="1"/>
  <c r="L1440" i="1"/>
  <c r="M1440" i="1"/>
  <c r="N1440" i="1"/>
  <c r="O1440" i="1"/>
  <c r="P1440" i="1"/>
  <c r="Q1440" i="1"/>
  <c r="R144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A1441" i="1"/>
  <c r="B1441" i="1"/>
  <c r="C1441" i="1"/>
  <c r="D1441" i="1"/>
  <c r="E1441" i="1"/>
  <c r="F1441" i="1"/>
  <c r="G1441" i="1"/>
  <c r="AE1441" i="1" s="1"/>
  <c r="AG1441" i="1" s="1"/>
  <c r="H1441" i="1"/>
  <c r="I1441" i="1"/>
  <c r="J1441" i="1"/>
  <c r="K1441" i="1"/>
  <c r="L1441" i="1"/>
  <c r="M1441" i="1"/>
  <c r="N1441" i="1"/>
  <c r="O1441" i="1"/>
  <c r="P1441" i="1"/>
  <c r="Q1441" i="1"/>
  <c r="R1441" i="1"/>
  <c r="T1441" i="1" s="1"/>
  <c r="A35" i="1"/>
  <c r="B35" i="1"/>
  <c r="C35" i="1"/>
  <c r="D35" i="1"/>
  <c r="E35" i="1"/>
  <c r="F35" i="1"/>
  <c r="G35" i="1"/>
  <c r="AE35" i="1" s="1"/>
  <c r="AG35" i="1" s="1"/>
  <c r="H35" i="1"/>
  <c r="I35" i="1"/>
  <c r="J35" i="1"/>
  <c r="K35" i="1"/>
  <c r="L35" i="1"/>
  <c r="M35" i="1"/>
  <c r="N35" i="1"/>
  <c r="O35" i="1"/>
  <c r="P35" i="1"/>
  <c r="Q35" i="1"/>
  <c r="R35" i="1"/>
  <c r="T35" i="1" s="1"/>
  <c r="A1442" i="1"/>
  <c r="B1442" i="1"/>
  <c r="C1442" i="1"/>
  <c r="D1442" i="1"/>
  <c r="E1442" i="1"/>
  <c r="F1442" i="1"/>
  <c r="G1442" i="1"/>
  <c r="AE1442" i="1" s="1"/>
  <c r="AG1442" i="1" s="1"/>
  <c r="H1442" i="1"/>
  <c r="I1442" i="1"/>
  <c r="J1442" i="1"/>
  <c r="K1442" i="1"/>
  <c r="L1442" i="1"/>
  <c r="M1442" i="1"/>
  <c r="N1442" i="1"/>
  <c r="O1442" i="1"/>
  <c r="P1442" i="1"/>
  <c r="Q1442" i="1"/>
  <c r="R1442" i="1"/>
  <c r="T1442" i="1" s="1"/>
  <c r="A1443" i="1"/>
  <c r="B1443" i="1"/>
  <c r="C1443" i="1"/>
  <c r="D1443" i="1"/>
  <c r="E1443" i="1"/>
  <c r="F1443" i="1"/>
  <c r="G1443" i="1"/>
  <c r="AE1443" i="1" s="1"/>
  <c r="AG1443" i="1" s="1"/>
  <c r="H1443" i="1"/>
  <c r="I1443" i="1"/>
  <c r="J1443" i="1"/>
  <c r="K1443" i="1"/>
  <c r="L1443" i="1"/>
  <c r="M1443" i="1"/>
  <c r="N1443" i="1"/>
  <c r="O1443" i="1"/>
  <c r="P1443" i="1"/>
  <c r="Q1443" i="1"/>
  <c r="R1443" i="1"/>
  <c r="W1443" i="1" s="1"/>
  <c r="A595" i="1"/>
  <c r="B595" i="1"/>
  <c r="C595" i="1"/>
  <c r="D595" i="1"/>
  <c r="E595" i="1"/>
  <c r="F595" i="1"/>
  <c r="Z595" i="1" s="1"/>
  <c r="G595" i="1"/>
  <c r="H595" i="1"/>
  <c r="I595" i="1"/>
  <c r="J595" i="1"/>
  <c r="K595" i="1"/>
  <c r="L595" i="1"/>
  <c r="M595" i="1"/>
  <c r="N595" i="1"/>
  <c r="O595" i="1"/>
  <c r="P595" i="1"/>
  <c r="Q595" i="1"/>
  <c r="R595" i="1"/>
  <c r="A1444" i="1"/>
  <c r="B1444" i="1"/>
  <c r="C1444" i="1"/>
  <c r="D1444" i="1"/>
  <c r="E1444" i="1"/>
  <c r="F1444" i="1"/>
  <c r="G1444" i="1"/>
  <c r="AE1444" i="1" s="1"/>
  <c r="AG1444" i="1" s="1"/>
  <c r="H1444" i="1"/>
  <c r="I1444" i="1"/>
  <c r="J1444" i="1"/>
  <c r="K1444" i="1"/>
  <c r="L1444" i="1"/>
  <c r="M1444" i="1"/>
  <c r="N1444" i="1"/>
  <c r="O1444" i="1"/>
  <c r="P1444" i="1"/>
  <c r="Q1444" i="1"/>
  <c r="R1444" i="1"/>
  <c r="A1445" i="1"/>
  <c r="B1445" i="1"/>
  <c r="C1445" i="1"/>
  <c r="D1445" i="1"/>
  <c r="E1445" i="1"/>
  <c r="F1445" i="1"/>
  <c r="Z1445" i="1" s="1"/>
  <c r="G1445" i="1"/>
  <c r="AE1445" i="1" s="1"/>
  <c r="AG1445" i="1" s="1"/>
  <c r="H1445" i="1"/>
  <c r="I1445" i="1"/>
  <c r="J1445" i="1"/>
  <c r="K1445" i="1"/>
  <c r="L1445" i="1"/>
  <c r="M1445" i="1"/>
  <c r="N1445" i="1"/>
  <c r="O1445" i="1"/>
  <c r="P1445" i="1"/>
  <c r="Q1445" i="1"/>
  <c r="R1445" i="1"/>
  <c r="A1446" i="1"/>
  <c r="B1446" i="1"/>
  <c r="C1446" i="1"/>
  <c r="D1446" i="1"/>
  <c r="E1446" i="1"/>
  <c r="F1446" i="1"/>
  <c r="Z1446" i="1" s="1"/>
  <c r="G1446" i="1"/>
  <c r="AE1446" i="1" s="1"/>
  <c r="AG1446" i="1" s="1"/>
  <c r="H1446" i="1"/>
  <c r="I1446" i="1"/>
  <c r="J1446" i="1"/>
  <c r="K1446" i="1"/>
  <c r="L1446" i="1"/>
  <c r="M1446" i="1"/>
  <c r="N1446" i="1"/>
  <c r="O1446" i="1"/>
  <c r="P1446" i="1"/>
  <c r="Q1446" i="1"/>
  <c r="R1446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A1447" i="1"/>
  <c r="B1447" i="1"/>
  <c r="C1447" i="1"/>
  <c r="D1447" i="1"/>
  <c r="E1447" i="1"/>
  <c r="F1447" i="1"/>
  <c r="Z1447" i="1" s="1"/>
  <c r="G1447" i="1"/>
  <c r="AE1447" i="1" s="1"/>
  <c r="AG1447" i="1" s="1"/>
  <c r="H1447" i="1"/>
  <c r="I1447" i="1"/>
  <c r="J1447" i="1"/>
  <c r="K1447" i="1"/>
  <c r="L1447" i="1"/>
  <c r="M1447" i="1"/>
  <c r="N1447" i="1"/>
  <c r="O1447" i="1"/>
  <c r="P1447" i="1"/>
  <c r="Q1447" i="1"/>
  <c r="R1447" i="1"/>
  <c r="U1447" i="1" s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W1402" i="1" s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A1448" i="1"/>
  <c r="B1448" i="1"/>
  <c r="C1448" i="1"/>
  <c r="D1448" i="1"/>
  <c r="E1448" i="1"/>
  <c r="F1448" i="1"/>
  <c r="G1448" i="1"/>
  <c r="AE1448" i="1" s="1"/>
  <c r="AG1448" i="1" s="1"/>
  <c r="H1448" i="1"/>
  <c r="I1448" i="1"/>
  <c r="J1448" i="1"/>
  <c r="K1448" i="1"/>
  <c r="L1448" i="1"/>
  <c r="M1448" i="1"/>
  <c r="N1448" i="1"/>
  <c r="O1448" i="1"/>
  <c r="P1448" i="1"/>
  <c r="Q1448" i="1"/>
  <c r="R1448" i="1"/>
  <c r="A1449" i="1"/>
  <c r="B1449" i="1"/>
  <c r="C1449" i="1"/>
  <c r="D1449" i="1"/>
  <c r="E1449" i="1"/>
  <c r="F1449" i="1"/>
  <c r="Z1449" i="1" s="1"/>
  <c r="G1449" i="1"/>
  <c r="AE1449" i="1" s="1"/>
  <c r="AG1449" i="1" s="1"/>
  <c r="H1449" i="1"/>
  <c r="I1449" i="1"/>
  <c r="J1449" i="1"/>
  <c r="K1449" i="1"/>
  <c r="L1449" i="1"/>
  <c r="M1449" i="1"/>
  <c r="N1449" i="1"/>
  <c r="O1449" i="1"/>
  <c r="P1449" i="1"/>
  <c r="Q1449" i="1"/>
  <c r="R1449" i="1"/>
  <c r="A1450" i="1"/>
  <c r="B1450" i="1"/>
  <c r="C1450" i="1"/>
  <c r="D1450" i="1"/>
  <c r="E1450" i="1"/>
  <c r="F1450" i="1"/>
  <c r="Z1450" i="1" s="1"/>
  <c r="G1450" i="1"/>
  <c r="AE1450" i="1" s="1"/>
  <c r="AG1450" i="1" s="1"/>
  <c r="H1450" i="1"/>
  <c r="I1450" i="1"/>
  <c r="J1450" i="1"/>
  <c r="K1450" i="1"/>
  <c r="L1450" i="1"/>
  <c r="M1450" i="1"/>
  <c r="N1450" i="1"/>
  <c r="O1450" i="1"/>
  <c r="P1450" i="1"/>
  <c r="Q1450" i="1"/>
  <c r="R1450" i="1"/>
  <c r="T1450" i="1" s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W1593" i="1" s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T626" i="1" s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T1451" i="1" s="1"/>
  <c r="A1452" i="1"/>
  <c r="B1452" i="1"/>
  <c r="C1452" i="1"/>
  <c r="D1452" i="1"/>
  <c r="E1452" i="1"/>
  <c r="F1452" i="1"/>
  <c r="G1452" i="1"/>
  <c r="AE1452" i="1" s="1"/>
  <c r="AG1452" i="1" s="1"/>
  <c r="H1452" i="1"/>
  <c r="I1452" i="1"/>
  <c r="J1452" i="1"/>
  <c r="K1452" i="1"/>
  <c r="L1452" i="1"/>
  <c r="M1452" i="1"/>
  <c r="N1452" i="1"/>
  <c r="O1452" i="1"/>
  <c r="P1452" i="1"/>
  <c r="Q1452" i="1"/>
  <c r="R1452" i="1"/>
  <c r="W1452" i="1" s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W460" i="1" s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T685" i="1" s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T601" i="1" s="1"/>
  <c r="A1453" i="1"/>
  <c r="B1453" i="1"/>
  <c r="C1453" i="1"/>
  <c r="D1453" i="1"/>
  <c r="E1453" i="1"/>
  <c r="F1453" i="1"/>
  <c r="G1453" i="1"/>
  <c r="AE1453" i="1" s="1"/>
  <c r="AG1453" i="1" s="1"/>
  <c r="H1453" i="1"/>
  <c r="I1453" i="1"/>
  <c r="J1453" i="1"/>
  <c r="K1453" i="1"/>
  <c r="L1453" i="1"/>
  <c r="M1453" i="1"/>
  <c r="N1453" i="1"/>
  <c r="O1453" i="1"/>
  <c r="P1453" i="1"/>
  <c r="Q1453" i="1"/>
  <c r="R1453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A1454" i="1"/>
  <c r="B1454" i="1"/>
  <c r="C1454" i="1"/>
  <c r="D1454" i="1"/>
  <c r="E1454" i="1"/>
  <c r="F1454" i="1"/>
  <c r="Z1454" i="1" s="1"/>
  <c r="G1454" i="1"/>
  <c r="AE1454" i="1" s="1"/>
  <c r="AG1454" i="1" s="1"/>
  <c r="H1454" i="1"/>
  <c r="I1454" i="1"/>
  <c r="J1454" i="1"/>
  <c r="K1454" i="1"/>
  <c r="L1454" i="1"/>
  <c r="M1454" i="1"/>
  <c r="N1454" i="1"/>
  <c r="O1454" i="1"/>
  <c r="P1454" i="1"/>
  <c r="Q1454" i="1"/>
  <c r="R1454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A1455" i="1"/>
  <c r="B1455" i="1"/>
  <c r="C1455" i="1"/>
  <c r="D1455" i="1"/>
  <c r="E1455" i="1"/>
  <c r="F1455" i="1"/>
  <c r="G1455" i="1"/>
  <c r="AE1455" i="1" s="1"/>
  <c r="AG1455" i="1" s="1"/>
  <c r="H1455" i="1"/>
  <c r="I1455" i="1"/>
  <c r="J1455" i="1"/>
  <c r="K1455" i="1"/>
  <c r="L1455" i="1"/>
  <c r="M1455" i="1"/>
  <c r="N1455" i="1"/>
  <c r="O1455" i="1"/>
  <c r="P1455" i="1"/>
  <c r="Q1455" i="1"/>
  <c r="R1455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A1457" i="1"/>
  <c r="B1457" i="1"/>
  <c r="C1457" i="1"/>
  <c r="D1457" i="1"/>
  <c r="E1457" i="1"/>
  <c r="F1457" i="1"/>
  <c r="G1457" i="1"/>
  <c r="AE1457" i="1" s="1"/>
  <c r="AG1457" i="1" s="1"/>
  <c r="H1457" i="1"/>
  <c r="I1457" i="1"/>
  <c r="J1457" i="1"/>
  <c r="K1457" i="1"/>
  <c r="L1457" i="1"/>
  <c r="M1457" i="1"/>
  <c r="N1457" i="1"/>
  <c r="O1457" i="1"/>
  <c r="P1457" i="1"/>
  <c r="Q1457" i="1"/>
  <c r="R1457" i="1"/>
  <c r="T1457" i="1" s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T1553" i="1" s="1"/>
  <c r="A1458" i="1"/>
  <c r="B1458" i="1"/>
  <c r="C1458" i="1"/>
  <c r="D1458" i="1"/>
  <c r="E1458" i="1"/>
  <c r="F1458" i="1"/>
  <c r="G1458" i="1"/>
  <c r="AE1458" i="1" s="1"/>
  <c r="AG1458" i="1" s="1"/>
  <c r="H1458" i="1"/>
  <c r="I1458" i="1"/>
  <c r="J1458" i="1"/>
  <c r="K1458" i="1"/>
  <c r="L1458" i="1"/>
  <c r="M1458" i="1"/>
  <c r="N1458" i="1"/>
  <c r="O1458" i="1"/>
  <c r="P1458" i="1"/>
  <c r="Q1458" i="1"/>
  <c r="R1458" i="1"/>
  <c r="T1458" i="1" s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U688" i="1" s="1"/>
  <c r="X688" i="1" s="1"/>
  <c r="A1460" i="1"/>
  <c r="B1460" i="1"/>
  <c r="C1460" i="1"/>
  <c r="D1460" i="1"/>
  <c r="E1460" i="1"/>
  <c r="F1460" i="1"/>
  <c r="G1460" i="1"/>
  <c r="AE1460" i="1" s="1"/>
  <c r="AG1460" i="1" s="1"/>
  <c r="H1460" i="1"/>
  <c r="I1460" i="1"/>
  <c r="J1460" i="1"/>
  <c r="K1460" i="1"/>
  <c r="L1460" i="1"/>
  <c r="M1460" i="1"/>
  <c r="N1460" i="1"/>
  <c r="O1460" i="1"/>
  <c r="P1460" i="1"/>
  <c r="Q1460" i="1"/>
  <c r="R1460" i="1"/>
  <c r="A1461" i="1"/>
  <c r="B1461" i="1"/>
  <c r="C1461" i="1"/>
  <c r="D1461" i="1"/>
  <c r="E1461" i="1"/>
  <c r="F1461" i="1"/>
  <c r="G1461" i="1"/>
  <c r="AE1461" i="1" s="1"/>
  <c r="AG1461" i="1" s="1"/>
  <c r="H1461" i="1"/>
  <c r="I1461" i="1"/>
  <c r="J1461" i="1"/>
  <c r="K1461" i="1"/>
  <c r="L1461" i="1"/>
  <c r="M1461" i="1"/>
  <c r="N1461" i="1"/>
  <c r="O1461" i="1"/>
  <c r="P1461" i="1"/>
  <c r="Q1461" i="1"/>
  <c r="R1461" i="1"/>
  <c r="A1462" i="1"/>
  <c r="B1462" i="1"/>
  <c r="C1462" i="1"/>
  <c r="D1462" i="1"/>
  <c r="E1462" i="1"/>
  <c r="F1462" i="1"/>
  <c r="Z1462" i="1" s="1"/>
  <c r="G1462" i="1"/>
  <c r="AE1462" i="1" s="1"/>
  <c r="AG1462" i="1" s="1"/>
  <c r="H1462" i="1"/>
  <c r="I1462" i="1"/>
  <c r="J1462" i="1"/>
  <c r="K1462" i="1"/>
  <c r="L1462" i="1"/>
  <c r="M1462" i="1"/>
  <c r="N1462" i="1"/>
  <c r="O1462" i="1"/>
  <c r="P1462" i="1"/>
  <c r="Q1462" i="1"/>
  <c r="R146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A1463" i="1"/>
  <c r="B1463" i="1"/>
  <c r="C1463" i="1"/>
  <c r="D1463" i="1"/>
  <c r="E1463" i="1"/>
  <c r="F1463" i="1"/>
  <c r="Z1463" i="1" s="1"/>
  <c r="G1463" i="1"/>
  <c r="AE1463" i="1" s="1"/>
  <c r="AG1463" i="1" s="1"/>
  <c r="H1463" i="1"/>
  <c r="I1463" i="1"/>
  <c r="J1463" i="1"/>
  <c r="K1463" i="1"/>
  <c r="L1463" i="1"/>
  <c r="M1463" i="1"/>
  <c r="N1463" i="1"/>
  <c r="O1463" i="1"/>
  <c r="P1463" i="1"/>
  <c r="Q1463" i="1"/>
  <c r="R1463" i="1"/>
  <c r="T1463" i="1" s="1"/>
  <c r="A1464" i="1"/>
  <c r="B1464" i="1"/>
  <c r="C1464" i="1"/>
  <c r="D1464" i="1"/>
  <c r="E1464" i="1"/>
  <c r="F1464" i="1"/>
  <c r="G1464" i="1"/>
  <c r="AE1464" i="1" s="1"/>
  <c r="AG1464" i="1" s="1"/>
  <c r="H1464" i="1"/>
  <c r="I1464" i="1"/>
  <c r="J1464" i="1"/>
  <c r="K1464" i="1"/>
  <c r="L1464" i="1"/>
  <c r="M1464" i="1"/>
  <c r="N1464" i="1"/>
  <c r="O1464" i="1"/>
  <c r="P1464" i="1"/>
  <c r="Q1464" i="1"/>
  <c r="R1464" i="1"/>
  <c r="T1464" i="1" s="1"/>
  <c r="A1465" i="1"/>
  <c r="B1465" i="1"/>
  <c r="C1465" i="1"/>
  <c r="D1465" i="1"/>
  <c r="E1465" i="1"/>
  <c r="F1465" i="1"/>
  <c r="Z1465" i="1" s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T1465" i="1" s="1"/>
  <c r="A1466" i="1"/>
  <c r="B1466" i="1"/>
  <c r="C1466" i="1"/>
  <c r="D1466" i="1"/>
  <c r="E1466" i="1"/>
  <c r="F1466" i="1"/>
  <c r="Z1466" i="1" s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A1467" i="1"/>
  <c r="B1467" i="1"/>
  <c r="C1467" i="1"/>
  <c r="D1467" i="1"/>
  <c r="E1467" i="1"/>
  <c r="F1467" i="1"/>
  <c r="G1467" i="1"/>
  <c r="AE1467" i="1" s="1"/>
  <c r="AG1467" i="1" s="1"/>
  <c r="H1467" i="1"/>
  <c r="I1467" i="1"/>
  <c r="J1467" i="1"/>
  <c r="K1467" i="1"/>
  <c r="L1467" i="1"/>
  <c r="M1467" i="1"/>
  <c r="N1467" i="1"/>
  <c r="O1467" i="1"/>
  <c r="P1467" i="1"/>
  <c r="Q1467" i="1"/>
  <c r="R1467" i="1"/>
  <c r="U1467" i="1" s="1"/>
  <c r="X1467" i="1" s="1"/>
  <c r="A1468" i="1"/>
  <c r="B1468" i="1"/>
  <c r="C1468" i="1"/>
  <c r="D1468" i="1"/>
  <c r="E1468" i="1"/>
  <c r="F1468" i="1"/>
  <c r="G1468" i="1"/>
  <c r="AE1468" i="1" s="1"/>
  <c r="AG1468" i="1" s="1"/>
  <c r="H1468" i="1"/>
  <c r="I1468" i="1"/>
  <c r="J1468" i="1"/>
  <c r="K1468" i="1"/>
  <c r="L1468" i="1"/>
  <c r="M1468" i="1"/>
  <c r="N1468" i="1"/>
  <c r="O1468" i="1"/>
  <c r="P1468" i="1"/>
  <c r="Q1468" i="1"/>
  <c r="R1468" i="1"/>
  <c r="U1468" i="1" s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A1469" i="1"/>
  <c r="B1469" i="1"/>
  <c r="C1469" i="1"/>
  <c r="D1469" i="1"/>
  <c r="E1469" i="1"/>
  <c r="F1469" i="1"/>
  <c r="G1469" i="1"/>
  <c r="AE1469" i="1" s="1"/>
  <c r="AG1469" i="1" s="1"/>
  <c r="H1469" i="1"/>
  <c r="I1469" i="1"/>
  <c r="J1469" i="1"/>
  <c r="K1469" i="1"/>
  <c r="L1469" i="1"/>
  <c r="M1469" i="1"/>
  <c r="N1469" i="1"/>
  <c r="O1469" i="1"/>
  <c r="P1469" i="1"/>
  <c r="Q1469" i="1"/>
  <c r="R1469" i="1"/>
  <c r="A1470" i="1"/>
  <c r="B1470" i="1"/>
  <c r="C1470" i="1"/>
  <c r="D1470" i="1"/>
  <c r="E1470" i="1"/>
  <c r="F1470" i="1"/>
  <c r="G1470" i="1"/>
  <c r="AE1470" i="1" s="1"/>
  <c r="AG1470" i="1" s="1"/>
  <c r="H1470" i="1"/>
  <c r="I1470" i="1"/>
  <c r="J1470" i="1"/>
  <c r="K1470" i="1"/>
  <c r="L1470" i="1"/>
  <c r="M1470" i="1"/>
  <c r="N1470" i="1"/>
  <c r="O1470" i="1"/>
  <c r="P1470" i="1"/>
  <c r="Q1470" i="1"/>
  <c r="R1470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A1471" i="1"/>
  <c r="B1471" i="1"/>
  <c r="C1471" i="1"/>
  <c r="D1471" i="1"/>
  <c r="E1471" i="1"/>
  <c r="F1471" i="1"/>
  <c r="G1471" i="1"/>
  <c r="AE1471" i="1" s="1"/>
  <c r="AG1471" i="1" s="1"/>
  <c r="H1471" i="1"/>
  <c r="I1471" i="1"/>
  <c r="J1471" i="1"/>
  <c r="K1471" i="1"/>
  <c r="L1471" i="1"/>
  <c r="M1471" i="1"/>
  <c r="N1471" i="1"/>
  <c r="O1471" i="1"/>
  <c r="P1471" i="1"/>
  <c r="Q1471" i="1"/>
  <c r="R1471" i="1"/>
  <c r="U1471" i="1" s="1"/>
  <c r="X1471" i="1" s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T637" i="1" s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A1472" i="1"/>
  <c r="B1472" i="1"/>
  <c r="C1472" i="1"/>
  <c r="D1472" i="1"/>
  <c r="E1472" i="1"/>
  <c r="F1472" i="1"/>
  <c r="G1472" i="1"/>
  <c r="AE1472" i="1" s="1"/>
  <c r="AG1472" i="1" s="1"/>
  <c r="H1472" i="1"/>
  <c r="I1472" i="1"/>
  <c r="J1472" i="1"/>
  <c r="K1472" i="1"/>
  <c r="L1472" i="1"/>
  <c r="M1472" i="1"/>
  <c r="N1472" i="1"/>
  <c r="O1472" i="1"/>
  <c r="P1472" i="1"/>
  <c r="Q1472" i="1"/>
  <c r="R1472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U309" i="1" s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U641" i="1" s="1"/>
  <c r="A1473" i="1"/>
  <c r="B1473" i="1"/>
  <c r="C1473" i="1"/>
  <c r="D1473" i="1"/>
  <c r="E1473" i="1"/>
  <c r="F1473" i="1"/>
  <c r="Z1473" i="1" s="1"/>
  <c r="G1473" i="1"/>
  <c r="AE1473" i="1" s="1"/>
  <c r="AG1473" i="1" s="1"/>
  <c r="H1473" i="1"/>
  <c r="I1473" i="1"/>
  <c r="J1473" i="1"/>
  <c r="K1473" i="1"/>
  <c r="L1473" i="1"/>
  <c r="M1473" i="1"/>
  <c r="N1473" i="1"/>
  <c r="O1473" i="1"/>
  <c r="P1473" i="1"/>
  <c r="Q1473" i="1"/>
  <c r="R1473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A1474" i="1"/>
  <c r="B1474" i="1"/>
  <c r="C1474" i="1"/>
  <c r="D1474" i="1"/>
  <c r="E1474" i="1"/>
  <c r="F1474" i="1"/>
  <c r="G1474" i="1"/>
  <c r="AE1474" i="1" s="1"/>
  <c r="AG1474" i="1" s="1"/>
  <c r="H1474" i="1"/>
  <c r="I1474" i="1"/>
  <c r="J1474" i="1"/>
  <c r="K1474" i="1"/>
  <c r="L1474" i="1"/>
  <c r="M1474" i="1"/>
  <c r="N1474" i="1"/>
  <c r="O1474" i="1"/>
  <c r="P1474" i="1"/>
  <c r="Q1474" i="1"/>
  <c r="R1474" i="1"/>
  <c r="A1475" i="1"/>
  <c r="B1475" i="1"/>
  <c r="C1475" i="1"/>
  <c r="D1475" i="1"/>
  <c r="E1475" i="1"/>
  <c r="F1475" i="1"/>
  <c r="G1475" i="1"/>
  <c r="AE1475" i="1" s="1"/>
  <c r="AG1475" i="1" s="1"/>
  <c r="H1475" i="1"/>
  <c r="I1475" i="1"/>
  <c r="J1475" i="1"/>
  <c r="K1475" i="1"/>
  <c r="L1475" i="1"/>
  <c r="M1475" i="1"/>
  <c r="N1475" i="1"/>
  <c r="O1475" i="1"/>
  <c r="P1475" i="1"/>
  <c r="Q1475" i="1"/>
  <c r="R1475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T155" i="1" s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T249" i="1" s="1"/>
  <c r="A1476" i="1"/>
  <c r="B1476" i="1"/>
  <c r="C1476" i="1"/>
  <c r="D1476" i="1"/>
  <c r="E1476" i="1"/>
  <c r="F1476" i="1"/>
  <c r="Z1476" i="1" s="1"/>
  <c r="G1476" i="1"/>
  <c r="AE1476" i="1" s="1"/>
  <c r="AG1476" i="1" s="1"/>
  <c r="H1476" i="1"/>
  <c r="I1476" i="1"/>
  <c r="J1476" i="1"/>
  <c r="K1476" i="1"/>
  <c r="L1476" i="1"/>
  <c r="M1476" i="1"/>
  <c r="N1476" i="1"/>
  <c r="O1476" i="1"/>
  <c r="P1476" i="1"/>
  <c r="Q1476" i="1"/>
  <c r="R1476" i="1"/>
  <c r="A1477" i="1"/>
  <c r="B1477" i="1"/>
  <c r="C1477" i="1"/>
  <c r="D1477" i="1"/>
  <c r="E1477" i="1"/>
  <c r="F1477" i="1"/>
  <c r="G1477" i="1"/>
  <c r="AE1477" i="1" s="1"/>
  <c r="AG1477" i="1" s="1"/>
  <c r="H1477" i="1"/>
  <c r="I1477" i="1"/>
  <c r="J1477" i="1"/>
  <c r="K1477" i="1"/>
  <c r="L1477" i="1"/>
  <c r="M1477" i="1"/>
  <c r="N1477" i="1"/>
  <c r="O1477" i="1"/>
  <c r="P1477" i="1"/>
  <c r="Q1477" i="1"/>
  <c r="R1477" i="1"/>
  <c r="A1478" i="1"/>
  <c r="B1478" i="1"/>
  <c r="C1478" i="1"/>
  <c r="D1478" i="1"/>
  <c r="E1478" i="1"/>
  <c r="F1478" i="1"/>
  <c r="G1478" i="1"/>
  <c r="AE1478" i="1" s="1"/>
  <c r="AG1478" i="1" s="1"/>
  <c r="H1478" i="1"/>
  <c r="I1478" i="1"/>
  <c r="J1478" i="1"/>
  <c r="K1478" i="1"/>
  <c r="L1478" i="1"/>
  <c r="M1478" i="1"/>
  <c r="N1478" i="1"/>
  <c r="O1478" i="1"/>
  <c r="P1478" i="1"/>
  <c r="Q1478" i="1"/>
  <c r="R1478" i="1"/>
  <c r="W1478" i="1" s="1"/>
  <c r="A1479" i="1"/>
  <c r="B1479" i="1"/>
  <c r="C1479" i="1"/>
  <c r="D1479" i="1"/>
  <c r="E1479" i="1"/>
  <c r="F1479" i="1"/>
  <c r="G1479" i="1"/>
  <c r="AE1479" i="1" s="1"/>
  <c r="AG1479" i="1" s="1"/>
  <c r="H1479" i="1"/>
  <c r="I1479" i="1"/>
  <c r="J1479" i="1"/>
  <c r="K1479" i="1"/>
  <c r="L1479" i="1"/>
  <c r="M1479" i="1"/>
  <c r="N1479" i="1"/>
  <c r="O1479" i="1"/>
  <c r="P1479" i="1"/>
  <c r="Q1479" i="1"/>
  <c r="R1479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U198" i="1" s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A1480" i="1"/>
  <c r="B1480" i="1"/>
  <c r="C1480" i="1"/>
  <c r="D1480" i="1"/>
  <c r="E1480" i="1"/>
  <c r="F1480" i="1"/>
  <c r="G1480" i="1"/>
  <c r="AE1480" i="1" s="1"/>
  <c r="AG1480" i="1" s="1"/>
  <c r="H1480" i="1"/>
  <c r="I1480" i="1"/>
  <c r="J1480" i="1"/>
  <c r="K1480" i="1"/>
  <c r="L1480" i="1"/>
  <c r="M1480" i="1"/>
  <c r="N1480" i="1"/>
  <c r="O1480" i="1"/>
  <c r="P1480" i="1"/>
  <c r="Q1480" i="1"/>
  <c r="R1480" i="1"/>
  <c r="T1480" i="1" s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U660" i="1" s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T183" i="1" s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A1481" i="1"/>
  <c r="B1481" i="1"/>
  <c r="C1481" i="1"/>
  <c r="D1481" i="1"/>
  <c r="E1481" i="1"/>
  <c r="F1481" i="1"/>
  <c r="G1481" i="1"/>
  <c r="AE1481" i="1" s="1"/>
  <c r="AG1481" i="1" s="1"/>
  <c r="H1481" i="1"/>
  <c r="I1481" i="1"/>
  <c r="J1481" i="1"/>
  <c r="K1481" i="1"/>
  <c r="L1481" i="1"/>
  <c r="M1481" i="1"/>
  <c r="N1481" i="1"/>
  <c r="O1481" i="1"/>
  <c r="P1481" i="1"/>
  <c r="Q1481" i="1"/>
  <c r="R1481" i="1"/>
  <c r="A1482" i="1"/>
  <c r="B1482" i="1"/>
  <c r="C1482" i="1"/>
  <c r="D1482" i="1"/>
  <c r="E1482" i="1"/>
  <c r="F1482" i="1"/>
  <c r="Z1482" i="1" s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A1483" i="1"/>
  <c r="B1483" i="1"/>
  <c r="C1483" i="1"/>
  <c r="D1483" i="1"/>
  <c r="E1483" i="1"/>
  <c r="F1483" i="1"/>
  <c r="G1483" i="1"/>
  <c r="AE1483" i="1" s="1"/>
  <c r="AG1483" i="1" s="1"/>
  <c r="H1483" i="1"/>
  <c r="I1483" i="1"/>
  <c r="J1483" i="1"/>
  <c r="K1483" i="1"/>
  <c r="L1483" i="1"/>
  <c r="M1483" i="1"/>
  <c r="N1483" i="1"/>
  <c r="O1483" i="1"/>
  <c r="P1483" i="1"/>
  <c r="Q1483" i="1"/>
  <c r="R1483" i="1"/>
  <c r="A1484" i="1"/>
  <c r="B1484" i="1"/>
  <c r="C1484" i="1"/>
  <c r="D1484" i="1"/>
  <c r="E1484" i="1"/>
  <c r="F1484" i="1"/>
  <c r="G1484" i="1"/>
  <c r="AE1484" i="1" s="1"/>
  <c r="AG1484" i="1" s="1"/>
  <c r="H1484" i="1"/>
  <c r="I1484" i="1"/>
  <c r="J1484" i="1"/>
  <c r="K1484" i="1"/>
  <c r="L1484" i="1"/>
  <c r="M1484" i="1"/>
  <c r="N1484" i="1"/>
  <c r="O1484" i="1"/>
  <c r="P1484" i="1"/>
  <c r="Q1484" i="1"/>
  <c r="R1484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U43" i="1" s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T439" i="1" s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T623" i="1" s="1"/>
  <c r="A1485" i="1"/>
  <c r="B1485" i="1"/>
  <c r="C1485" i="1"/>
  <c r="D1485" i="1"/>
  <c r="E1485" i="1"/>
  <c r="F1485" i="1"/>
  <c r="G1485" i="1"/>
  <c r="AE1485" i="1" s="1"/>
  <c r="AG1485" i="1" s="1"/>
  <c r="H1485" i="1"/>
  <c r="I1485" i="1"/>
  <c r="J1485" i="1"/>
  <c r="K1485" i="1"/>
  <c r="L1485" i="1"/>
  <c r="M1485" i="1"/>
  <c r="N1485" i="1"/>
  <c r="O1485" i="1"/>
  <c r="P1485" i="1"/>
  <c r="Q1485" i="1"/>
  <c r="R1485" i="1"/>
  <c r="T1485" i="1" s="1"/>
  <c r="A1486" i="1"/>
  <c r="B1486" i="1"/>
  <c r="C1486" i="1"/>
  <c r="D1486" i="1"/>
  <c r="E1486" i="1"/>
  <c r="F1486" i="1"/>
  <c r="Z1486" i="1" s="1"/>
  <c r="G1486" i="1"/>
  <c r="AE1486" i="1" s="1"/>
  <c r="AG1486" i="1" s="1"/>
  <c r="H1486" i="1"/>
  <c r="I1486" i="1"/>
  <c r="J1486" i="1"/>
  <c r="K1486" i="1"/>
  <c r="L1486" i="1"/>
  <c r="M1486" i="1"/>
  <c r="N1486" i="1"/>
  <c r="O1486" i="1"/>
  <c r="P1486" i="1"/>
  <c r="Q1486" i="1"/>
  <c r="R148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A680" i="1"/>
  <c r="B680" i="1"/>
  <c r="C680" i="1"/>
  <c r="D680" i="1"/>
  <c r="E680" i="1"/>
  <c r="F680" i="1"/>
  <c r="Z680" i="1" s="1"/>
  <c r="G680" i="1"/>
  <c r="H680" i="1"/>
  <c r="I680" i="1"/>
  <c r="J680" i="1"/>
  <c r="K680" i="1"/>
  <c r="L680" i="1"/>
  <c r="M680" i="1"/>
  <c r="N680" i="1"/>
  <c r="O680" i="1"/>
  <c r="P680" i="1"/>
  <c r="Q680" i="1"/>
  <c r="R680" i="1"/>
  <c r="U680" i="1" s="1"/>
  <c r="X680" i="1" s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A1487" i="1"/>
  <c r="B1487" i="1"/>
  <c r="C1487" i="1"/>
  <c r="D1487" i="1"/>
  <c r="E1487" i="1"/>
  <c r="F1487" i="1"/>
  <c r="G1487" i="1"/>
  <c r="AE1487" i="1" s="1"/>
  <c r="AG1487" i="1" s="1"/>
  <c r="H1487" i="1"/>
  <c r="I1487" i="1"/>
  <c r="J1487" i="1"/>
  <c r="K1487" i="1"/>
  <c r="L1487" i="1"/>
  <c r="M1487" i="1"/>
  <c r="N1487" i="1"/>
  <c r="O1487" i="1"/>
  <c r="P1487" i="1"/>
  <c r="Q1487" i="1"/>
  <c r="R1487" i="1"/>
  <c r="A1488" i="1"/>
  <c r="B1488" i="1"/>
  <c r="C1488" i="1"/>
  <c r="D1488" i="1"/>
  <c r="E1488" i="1"/>
  <c r="F1488" i="1"/>
  <c r="Z1488" i="1" s="1"/>
  <c r="G1488" i="1"/>
  <c r="AE1488" i="1" s="1"/>
  <c r="AG1488" i="1" s="1"/>
  <c r="H1488" i="1"/>
  <c r="I1488" i="1"/>
  <c r="J1488" i="1"/>
  <c r="K1488" i="1"/>
  <c r="L1488" i="1"/>
  <c r="M1488" i="1"/>
  <c r="N1488" i="1"/>
  <c r="O1488" i="1"/>
  <c r="P1488" i="1"/>
  <c r="Q1488" i="1"/>
  <c r="R1488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A1568" i="1"/>
  <c r="B1568" i="1"/>
  <c r="C1568" i="1"/>
  <c r="D1568" i="1"/>
  <c r="E1568" i="1"/>
  <c r="F1568" i="1"/>
  <c r="Z1568" i="1" s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W608" i="1" s="1"/>
  <c r="A1490" i="1"/>
  <c r="B1490" i="1"/>
  <c r="C1490" i="1"/>
  <c r="D1490" i="1"/>
  <c r="E1490" i="1"/>
  <c r="F1490" i="1"/>
  <c r="G1490" i="1"/>
  <c r="AE1490" i="1" s="1"/>
  <c r="AG1490" i="1" s="1"/>
  <c r="H1490" i="1"/>
  <c r="I1490" i="1"/>
  <c r="J1490" i="1"/>
  <c r="K1490" i="1"/>
  <c r="L1490" i="1"/>
  <c r="M1490" i="1"/>
  <c r="N1490" i="1"/>
  <c r="O1490" i="1"/>
  <c r="P1490" i="1"/>
  <c r="Q1490" i="1"/>
  <c r="R1490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W317" i="1" s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W656" i="1" s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W622" i="1" s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A1492" i="1"/>
  <c r="B1492" i="1"/>
  <c r="C1492" i="1"/>
  <c r="D1492" i="1"/>
  <c r="E1492" i="1"/>
  <c r="F1492" i="1"/>
  <c r="G1492" i="1"/>
  <c r="AE1492" i="1" s="1"/>
  <c r="AG1492" i="1" s="1"/>
  <c r="H1492" i="1"/>
  <c r="I1492" i="1"/>
  <c r="J1492" i="1"/>
  <c r="K1492" i="1"/>
  <c r="L1492" i="1"/>
  <c r="M1492" i="1"/>
  <c r="N1492" i="1"/>
  <c r="O1492" i="1"/>
  <c r="P1492" i="1"/>
  <c r="Q1492" i="1"/>
  <c r="R1492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T1615" i="1" s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T1610" i="1" s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A1494" i="1"/>
  <c r="B1494" i="1"/>
  <c r="C1494" i="1"/>
  <c r="D1494" i="1"/>
  <c r="E1494" i="1"/>
  <c r="F1494" i="1"/>
  <c r="G1494" i="1"/>
  <c r="AE1494" i="1" s="1"/>
  <c r="AG1494" i="1" s="1"/>
  <c r="H1494" i="1"/>
  <c r="I1494" i="1"/>
  <c r="J1494" i="1"/>
  <c r="K1494" i="1"/>
  <c r="L1494" i="1"/>
  <c r="M1494" i="1"/>
  <c r="N1494" i="1"/>
  <c r="O1494" i="1"/>
  <c r="P1494" i="1"/>
  <c r="Q1494" i="1"/>
  <c r="R1494" i="1"/>
  <c r="T1494" i="1" s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T319" i="1" s="1"/>
  <c r="A1495" i="1"/>
  <c r="B1495" i="1"/>
  <c r="C1495" i="1"/>
  <c r="D1495" i="1"/>
  <c r="E1495" i="1"/>
  <c r="F1495" i="1"/>
  <c r="G1495" i="1"/>
  <c r="AE1495" i="1" s="1"/>
  <c r="AG1495" i="1" s="1"/>
  <c r="H1495" i="1"/>
  <c r="I1495" i="1"/>
  <c r="J1495" i="1"/>
  <c r="K1495" i="1"/>
  <c r="L1495" i="1"/>
  <c r="M1495" i="1"/>
  <c r="N1495" i="1"/>
  <c r="O1495" i="1"/>
  <c r="P1495" i="1"/>
  <c r="Q1495" i="1"/>
  <c r="R1495" i="1"/>
  <c r="A1496" i="1"/>
  <c r="B1496" i="1"/>
  <c r="C1496" i="1"/>
  <c r="D1496" i="1"/>
  <c r="E1496" i="1"/>
  <c r="F1496" i="1"/>
  <c r="G1496" i="1"/>
  <c r="AE1496" i="1" s="1"/>
  <c r="AG1496" i="1" s="1"/>
  <c r="H1496" i="1"/>
  <c r="I1496" i="1"/>
  <c r="J1496" i="1"/>
  <c r="K1496" i="1"/>
  <c r="L1496" i="1"/>
  <c r="M1496" i="1"/>
  <c r="N1496" i="1"/>
  <c r="O1496" i="1"/>
  <c r="P1496" i="1"/>
  <c r="Q1496" i="1"/>
  <c r="R1496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A1498" i="1"/>
  <c r="B1498" i="1"/>
  <c r="C1498" i="1"/>
  <c r="D1498" i="1"/>
  <c r="E1498" i="1"/>
  <c r="F1498" i="1"/>
  <c r="G1498" i="1"/>
  <c r="AE1498" i="1" s="1"/>
  <c r="AG1498" i="1" s="1"/>
  <c r="H1498" i="1"/>
  <c r="I1498" i="1"/>
  <c r="J1498" i="1"/>
  <c r="K1498" i="1"/>
  <c r="L1498" i="1"/>
  <c r="M1498" i="1"/>
  <c r="N1498" i="1"/>
  <c r="O1498" i="1"/>
  <c r="P1498" i="1"/>
  <c r="Q1498" i="1"/>
  <c r="R1498" i="1"/>
  <c r="A1499" i="1"/>
  <c r="B1499" i="1"/>
  <c r="C1499" i="1"/>
  <c r="D1499" i="1"/>
  <c r="E1499" i="1"/>
  <c r="F1499" i="1"/>
  <c r="G1499" i="1"/>
  <c r="AE1499" i="1" s="1"/>
  <c r="AG1499" i="1" s="1"/>
  <c r="H1499" i="1"/>
  <c r="I1499" i="1"/>
  <c r="J1499" i="1"/>
  <c r="K1499" i="1"/>
  <c r="L1499" i="1"/>
  <c r="M1499" i="1"/>
  <c r="N1499" i="1"/>
  <c r="O1499" i="1"/>
  <c r="P1499" i="1"/>
  <c r="Q1499" i="1"/>
  <c r="R1499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U1611" i="1" s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U434" i="1" s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A1501" i="1"/>
  <c r="B1501" i="1"/>
  <c r="C1501" i="1"/>
  <c r="D1501" i="1"/>
  <c r="E1501" i="1"/>
  <c r="F1501" i="1"/>
  <c r="G1501" i="1"/>
  <c r="AE1501" i="1" s="1"/>
  <c r="AG1501" i="1" s="1"/>
  <c r="H1501" i="1"/>
  <c r="I1501" i="1"/>
  <c r="J1501" i="1"/>
  <c r="K1501" i="1"/>
  <c r="L1501" i="1"/>
  <c r="M1501" i="1"/>
  <c r="N1501" i="1"/>
  <c r="O1501" i="1"/>
  <c r="P1501" i="1"/>
  <c r="Q1501" i="1"/>
  <c r="R1501" i="1"/>
  <c r="A1502" i="1"/>
  <c r="B1502" i="1"/>
  <c r="C1502" i="1"/>
  <c r="D1502" i="1"/>
  <c r="E1502" i="1"/>
  <c r="F1502" i="1"/>
  <c r="G1502" i="1"/>
  <c r="AE1502" i="1" s="1"/>
  <c r="AG1502" i="1" s="1"/>
  <c r="H1502" i="1"/>
  <c r="I1502" i="1"/>
  <c r="J1502" i="1"/>
  <c r="K1502" i="1"/>
  <c r="L1502" i="1"/>
  <c r="M1502" i="1"/>
  <c r="N1502" i="1"/>
  <c r="O1502" i="1"/>
  <c r="P1502" i="1"/>
  <c r="Q1502" i="1"/>
  <c r="R1502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U1663" i="1" s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T620" i="1" s="1"/>
  <c r="A1503" i="1"/>
  <c r="B1503" i="1"/>
  <c r="C1503" i="1"/>
  <c r="D1503" i="1"/>
  <c r="E1503" i="1"/>
  <c r="F1503" i="1"/>
  <c r="G1503" i="1"/>
  <c r="AE1503" i="1" s="1"/>
  <c r="AG1503" i="1" s="1"/>
  <c r="H1503" i="1"/>
  <c r="I1503" i="1"/>
  <c r="J1503" i="1"/>
  <c r="K1503" i="1"/>
  <c r="L1503" i="1"/>
  <c r="M1503" i="1"/>
  <c r="N1503" i="1"/>
  <c r="O1503" i="1"/>
  <c r="P1503" i="1"/>
  <c r="Q1503" i="1"/>
  <c r="R1503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A1504" i="1"/>
  <c r="B1504" i="1"/>
  <c r="C1504" i="1"/>
  <c r="D1504" i="1"/>
  <c r="E1504" i="1"/>
  <c r="F1504" i="1"/>
  <c r="G1504" i="1"/>
  <c r="AE1504" i="1" s="1"/>
  <c r="AG1504" i="1" s="1"/>
  <c r="H1504" i="1"/>
  <c r="I1504" i="1"/>
  <c r="J1504" i="1"/>
  <c r="K1504" i="1"/>
  <c r="L1504" i="1"/>
  <c r="M1504" i="1"/>
  <c r="N1504" i="1"/>
  <c r="O1504" i="1"/>
  <c r="P1504" i="1"/>
  <c r="Q1504" i="1"/>
  <c r="R1504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W649" i="1" s="1"/>
  <c r="A1505" i="1"/>
  <c r="B1505" i="1"/>
  <c r="C1505" i="1"/>
  <c r="D1505" i="1"/>
  <c r="E1505" i="1"/>
  <c r="F1505" i="1"/>
  <c r="Z1505" i="1" s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U1629" i="1" s="1"/>
  <c r="X1629" i="1" s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T636" i="1" s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A1506" i="1"/>
  <c r="B1506" i="1"/>
  <c r="C1506" i="1"/>
  <c r="D1506" i="1"/>
  <c r="E1506" i="1"/>
  <c r="F1506" i="1"/>
  <c r="Z1506" i="1" s="1"/>
  <c r="G1506" i="1"/>
  <c r="AE1506" i="1" s="1"/>
  <c r="AG1506" i="1" s="1"/>
  <c r="H1506" i="1"/>
  <c r="I1506" i="1"/>
  <c r="J1506" i="1"/>
  <c r="K1506" i="1"/>
  <c r="L1506" i="1"/>
  <c r="M1506" i="1"/>
  <c r="N1506" i="1"/>
  <c r="O1506" i="1"/>
  <c r="P1506" i="1"/>
  <c r="Q1506" i="1"/>
  <c r="R1506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A1507" i="1"/>
  <c r="B1507" i="1"/>
  <c r="C1507" i="1"/>
  <c r="D1507" i="1"/>
  <c r="E1507" i="1"/>
  <c r="F1507" i="1"/>
  <c r="G1507" i="1"/>
  <c r="AE1507" i="1" s="1"/>
  <c r="AG1507" i="1" s="1"/>
  <c r="H1507" i="1"/>
  <c r="I1507" i="1"/>
  <c r="J1507" i="1"/>
  <c r="K1507" i="1"/>
  <c r="L1507" i="1"/>
  <c r="M1507" i="1"/>
  <c r="N1507" i="1"/>
  <c r="O1507" i="1"/>
  <c r="P1507" i="1"/>
  <c r="Q1507" i="1"/>
  <c r="R1507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A1508" i="1"/>
  <c r="B1508" i="1"/>
  <c r="C1508" i="1"/>
  <c r="D1508" i="1"/>
  <c r="E1508" i="1"/>
  <c r="F1508" i="1"/>
  <c r="G1508" i="1"/>
  <c r="AE1508" i="1" s="1"/>
  <c r="AG1508" i="1" s="1"/>
  <c r="H1508" i="1"/>
  <c r="I1508" i="1"/>
  <c r="J1508" i="1"/>
  <c r="K1508" i="1"/>
  <c r="L1508" i="1"/>
  <c r="M1508" i="1"/>
  <c r="N1508" i="1"/>
  <c r="O1508" i="1"/>
  <c r="P1508" i="1"/>
  <c r="Q1508" i="1"/>
  <c r="R1508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W1603" i="1" s="1"/>
  <c r="A1509" i="1"/>
  <c r="B1509" i="1"/>
  <c r="C1509" i="1"/>
  <c r="D1509" i="1"/>
  <c r="E1509" i="1"/>
  <c r="F1509" i="1"/>
  <c r="G1509" i="1"/>
  <c r="AE1509" i="1" s="1"/>
  <c r="AG1509" i="1" s="1"/>
  <c r="H1509" i="1"/>
  <c r="I1509" i="1"/>
  <c r="J1509" i="1"/>
  <c r="K1509" i="1"/>
  <c r="L1509" i="1"/>
  <c r="M1509" i="1"/>
  <c r="N1509" i="1"/>
  <c r="O1509" i="1"/>
  <c r="P1509" i="1"/>
  <c r="Q1509" i="1"/>
  <c r="R1509" i="1"/>
  <c r="A1510" i="1"/>
  <c r="B1510" i="1"/>
  <c r="C1510" i="1"/>
  <c r="D1510" i="1"/>
  <c r="E1510" i="1"/>
  <c r="F1510" i="1"/>
  <c r="Z1510" i="1" s="1"/>
  <c r="G1510" i="1"/>
  <c r="AE1510" i="1" s="1"/>
  <c r="AG1510" i="1" s="1"/>
  <c r="H1510" i="1"/>
  <c r="I1510" i="1"/>
  <c r="J1510" i="1"/>
  <c r="K1510" i="1"/>
  <c r="L1510" i="1"/>
  <c r="M1510" i="1"/>
  <c r="N1510" i="1"/>
  <c r="O1510" i="1"/>
  <c r="P1510" i="1"/>
  <c r="Q1510" i="1"/>
  <c r="R1510" i="1"/>
  <c r="U1510" i="1" s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A1511" i="1"/>
  <c r="B1511" i="1"/>
  <c r="C1511" i="1"/>
  <c r="D1511" i="1"/>
  <c r="E1511" i="1"/>
  <c r="F1511" i="1"/>
  <c r="G1511" i="1"/>
  <c r="AE1511" i="1" s="1"/>
  <c r="AG1511" i="1" s="1"/>
  <c r="H1511" i="1"/>
  <c r="I1511" i="1"/>
  <c r="J1511" i="1"/>
  <c r="K1511" i="1"/>
  <c r="L1511" i="1"/>
  <c r="M1511" i="1"/>
  <c r="N1511" i="1"/>
  <c r="O1511" i="1"/>
  <c r="P1511" i="1"/>
  <c r="Q1511" i="1"/>
  <c r="R1511" i="1"/>
  <c r="U1511" i="1" s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A1512" i="1"/>
  <c r="B1512" i="1"/>
  <c r="C1512" i="1"/>
  <c r="D1512" i="1"/>
  <c r="E1512" i="1"/>
  <c r="F1512" i="1"/>
  <c r="G1512" i="1"/>
  <c r="AE1512" i="1" s="1"/>
  <c r="AG1512" i="1" s="1"/>
  <c r="H1512" i="1"/>
  <c r="I1512" i="1"/>
  <c r="J1512" i="1"/>
  <c r="K1512" i="1"/>
  <c r="L1512" i="1"/>
  <c r="M1512" i="1"/>
  <c r="N1512" i="1"/>
  <c r="O1512" i="1"/>
  <c r="P1512" i="1"/>
  <c r="Q1512" i="1"/>
  <c r="R1512" i="1"/>
  <c r="A1580" i="1"/>
  <c r="B1580" i="1"/>
  <c r="C1580" i="1"/>
  <c r="D1580" i="1"/>
  <c r="E1580" i="1"/>
  <c r="F1580" i="1"/>
  <c r="Z1580" i="1" s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U1580" i="1" s="1"/>
  <c r="X1580" i="1" s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A1513" i="1"/>
  <c r="B1513" i="1"/>
  <c r="C1513" i="1"/>
  <c r="D1513" i="1"/>
  <c r="E1513" i="1"/>
  <c r="F1513" i="1"/>
  <c r="G1513" i="1"/>
  <c r="AE1513" i="1" s="1"/>
  <c r="AG1513" i="1" s="1"/>
  <c r="H1513" i="1"/>
  <c r="I1513" i="1"/>
  <c r="J1513" i="1"/>
  <c r="K1513" i="1"/>
  <c r="L1513" i="1"/>
  <c r="M1513" i="1"/>
  <c r="N1513" i="1"/>
  <c r="O1513" i="1"/>
  <c r="P1513" i="1"/>
  <c r="Q1513" i="1"/>
  <c r="R1513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U1666" i="1" s="1"/>
  <c r="A1514" i="1"/>
  <c r="B1514" i="1"/>
  <c r="C1514" i="1"/>
  <c r="D1514" i="1"/>
  <c r="E1514" i="1"/>
  <c r="F1514" i="1"/>
  <c r="G1514" i="1"/>
  <c r="AE1514" i="1" s="1"/>
  <c r="AG1514" i="1" s="1"/>
  <c r="H1514" i="1"/>
  <c r="I1514" i="1"/>
  <c r="J1514" i="1"/>
  <c r="K1514" i="1"/>
  <c r="L1514" i="1"/>
  <c r="M1514" i="1"/>
  <c r="N1514" i="1"/>
  <c r="O1514" i="1"/>
  <c r="P1514" i="1"/>
  <c r="Q1514" i="1"/>
  <c r="R1514" i="1"/>
  <c r="A1515" i="1"/>
  <c r="B1515" i="1"/>
  <c r="C1515" i="1"/>
  <c r="D1515" i="1"/>
  <c r="E1515" i="1"/>
  <c r="F1515" i="1"/>
  <c r="G1515" i="1"/>
  <c r="AE1515" i="1" s="1"/>
  <c r="AG1515" i="1" s="1"/>
  <c r="H1515" i="1"/>
  <c r="I1515" i="1"/>
  <c r="J1515" i="1"/>
  <c r="K1515" i="1"/>
  <c r="L1515" i="1"/>
  <c r="M1515" i="1"/>
  <c r="N1515" i="1"/>
  <c r="O1515" i="1"/>
  <c r="P1515" i="1"/>
  <c r="Q1515" i="1"/>
  <c r="R1515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A1516" i="1"/>
  <c r="B1516" i="1"/>
  <c r="C1516" i="1"/>
  <c r="D1516" i="1"/>
  <c r="E1516" i="1"/>
  <c r="F1516" i="1"/>
  <c r="G1516" i="1"/>
  <c r="AE1516" i="1" s="1"/>
  <c r="AG1516" i="1" s="1"/>
  <c r="H1516" i="1"/>
  <c r="I1516" i="1"/>
  <c r="J1516" i="1"/>
  <c r="K1516" i="1"/>
  <c r="L1516" i="1"/>
  <c r="M1516" i="1"/>
  <c r="N1516" i="1"/>
  <c r="O1516" i="1"/>
  <c r="P1516" i="1"/>
  <c r="Q1516" i="1"/>
  <c r="R1516" i="1"/>
  <c r="A1517" i="1"/>
  <c r="B1517" i="1"/>
  <c r="C1517" i="1"/>
  <c r="D1517" i="1"/>
  <c r="E1517" i="1"/>
  <c r="F1517" i="1"/>
  <c r="Z1517" i="1" s="1"/>
  <c r="G1517" i="1"/>
  <c r="AE1517" i="1" s="1"/>
  <c r="AG1517" i="1" s="1"/>
  <c r="H1517" i="1"/>
  <c r="I1517" i="1"/>
  <c r="J1517" i="1"/>
  <c r="K1517" i="1"/>
  <c r="L1517" i="1"/>
  <c r="M1517" i="1"/>
  <c r="N1517" i="1"/>
  <c r="O1517" i="1"/>
  <c r="P1517" i="1"/>
  <c r="Q1517" i="1"/>
  <c r="R1517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A1518" i="1"/>
  <c r="B1518" i="1"/>
  <c r="C1518" i="1"/>
  <c r="D1518" i="1"/>
  <c r="E1518" i="1"/>
  <c r="F1518" i="1"/>
  <c r="G1518" i="1"/>
  <c r="AE1518" i="1" s="1"/>
  <c r="AG1518" i="1" s="1"/>
  <c r="H1518" i="1"/>
  <c r="I1518" i="1"/>
  <c r="J1518" i="1"/>
  <c r="K1518" i="1"/>
  <c r="L1518" i="1"/>
  <c r="M1518" i="1"/>
  <c r="N1518" i="1"/>
  <c r="O1518" i="1"/>
  <c r="P1518" i="1"/>
  <c r="Q1518" i="1"/>
  <c r="R1518" i="1"/>
  <c r="A1519" i="1"/>
  <c r="B1519" i="1"/>
  <c r="C1519" i="1"/>
  <c r="D1519" i="1"/>
  <c r="E1519" i="1"/>
  <c r="F1519" i="1"/>
  <c r="Z1519" i="1" s="1"/>
  <c r="G1519" i="1"/>
  <c r="AE1519" i="1" s="1"/>
  <c r="AG1519" i="1" s="1"/>
  <c r="H1519" i="1"/>
  <c r="I1519" i="1"/>
  <c r="J1519" i="1"/>
  <c r="K1519" i="1"/>
  <c r="L1519" i="1"/>
  <c r="M1519" i="1"/>
  <c r="N1519" i="1"/>
  <c r="O1519" i="1"/>
  <c r="P1519" i="1"/>
  <c r="Q1519" i="1"/>
  <c r="R1519" i="1"/>
  <c r="A1520" i="1"/>
  <c r="B1520" i="1"/>
  <c r="C1520" i="1"/>
  <c r="D1520" i="1"/>
  <c r="E1520" i="1"/>
  <c r="F1520" i="1"/>
  <c r="Z1520" i="1" s="1"/>
  <c r="G1520" i="1"/>
  <c r="AE1520" i="1" s="1"/>
  <c r="AG1520" i="1" s="1"/>
  <c r="H1520" i="1"/>
  <c r="I1520" i="1"/>
  <c r="J1520" i="1"/>
  <c r="K1520" i="1"/>
  <c r="L1520" i="1"/>
  <c r="M1520" i="1"/>
  <c r="N1520" i="1"/>
  <c r="O1520" i="1"/>
  <c r="P1520" i="1"/>
  <c r="Q1520" i="1"/>
  <c r="R1520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A1522" i="1"/>
  <c r="B1522" i="1"/>
  <c r="C1522" i="1"/>
  <c r="D1522" i="1"/>
  <c r="E1522" i="1"/>
  <c r="F1522" i="1"/>
  <c r="Z1522" i="1" s="1"/>
  <c r="G1522" i="1"/>
  <c r="AE1522" i="1" s="1"/>
  <c r="AG1522" i="1" s="1"/>
  <c r="H1522" i="1"/>
  <c r="I1522" i="1"/>
  <c r="J1522" i="1"/>
  <c r="K1522" i="1"/>
  <c r="L1522" i="1"/>
  <c r="M1522" i="1"/>
  <c r="N1522" i="1"/>
  <c r="O1522" i="1"/>
  <c r="P1522" i="1"/>
  <c r="Q1522" i="1"/>
  <c r="R152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T302" i="1" s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U443" i="1" s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W1589" i="1" s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T1585" i="1" s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U1543" i="1" s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U421" i="1" s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T83" i="1" s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U139" i="1" s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U123" i="1" s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U75" i="1" s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T74" i="1" s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W85" i="1" s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T52" i="1" s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W81" i="1" s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T88" i="1" s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W444" i="1" s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T180" i="1" s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T187" i="1" s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U103" i="1" s="1"/>
  <c r="X103" i="1" s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T141" i="1" s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T118" i="1" s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T122" i="1" s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U160" i="1" s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U176" i="1" s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U126" i="1" s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T121" i="1" s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U40" i="1" s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W223" i="1" s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T164" i="1" s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U236" i="1" s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W245" i="1" s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W359" i="1" s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W136" i="1" s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T166" i="1" s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W102" i="1" s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U200" i="1" s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U195" i="1" s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U77" i="1" s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U59" i="1" s="1"/>
  <c r="X59" i="1" s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W209" i="1" s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U233" i="1" s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T86" i="1" s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U287" i="1" s="1"/>
  <c r="V287" i="1" s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U603" i="1" s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U581" i="1" s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T584" i="1" s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W673" i="1" s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W362" i="1" s="1"/>
  <c r="A661" i="1"/>
  <c r="B661" i="1"/>
  <c r="C661" i="1"/>
  <c r="D661" i="1"/>
  <c r="E661" i="1"/>
  <c r="F661" i="1"/>
  <c r="Z661" i="1" s="1"/>
  <c r="G661" i="1"/>
  <c r="H661" i="1"/>
  <c r="I661" i="1"/>
  <c r="J661" i="1"/>
  <c r="K661" i="1"/>
  <c r="L661" i="1"/>
  <c r="M661" i="1"/>
  <c r="N661" i="1"/>
  <c r="O661" i="1"/>
  <c r="P661" i="1"/>
  <c r="Q661" i="1"/>
  <c r="R661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U44" i="1" s="1"/>
  <c r="X44" i="1" s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W119" i="1" s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T597" i="1" s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T158" i="1" s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W112" i="1" s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W589" i="1" s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U681" i="1" s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T648" i="1" s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U98" i="1" s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U204" i="1" s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T358" i="1" s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W344" i="1" s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U483" i="1" s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W210" i="1" s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T219" i="1" s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T201" i="1" s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W231" i="1" s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T3" i="1" s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U4" i="1" s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W340" i="1" s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A683" i="1"/>
  <c r="B683" i="1"/>
  <c r="C683" i="1"/>
  <c r="D683" i="1"/>
  <c r="E683" i="1"/>
  <c r="F683" i="1"/>
  <c r="Z683" i="1" s="1"/>
  <c r="G683" i="1"/>
  <c r="H683" i="1"/>
  <c r="I683" i="1"/>
  <c r="J683" i="1"/>
  <c r="K683" i="1"/>
  <c r="L683" i="1"/>
  <c r="M683" i="1"/>
  <c r="N683" i="1"/>
  <c r="O683" i="1"/>
  <c r="P683" i="1"/>
  <c r="Q683" i="1"/>
  <c r="R683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U246" i="1" s="1"/>
  <c r="X246" i="1" s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T217" i="1" s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U1704" i="1" s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T699" i="1" s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T271" i="1" s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W213" i="1" s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W58" i="1" s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T458" i="1" s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T417" i="1" s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T484" i="1" s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W335" i="1" s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U113" i="1" s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W226" i="1" s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U212" i="1" s="1"/>
  <c r="X212" i="1" s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T473" i="1" s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W97" i="1" s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T352" i="1" s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W273" i="1" s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T448" i="1" s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T1598" i="1" s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U376" i="1" s="1"/>
  <c r="X376" i="1" s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T452" i="1" s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U401" i="1" s="1"/>
  <c r="X401" i="1" s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U241" i="1" s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W95" i="1" s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U404" i="1" s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U334" i="1" s="1"/>
  <c r="V334" i="1" s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T339" i="1" s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T214" i="1" s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U149" i="1" s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W652" i="1" s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U480" i="1" s="1"/>
  <c r="V480" i="1" s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U258" i="1" s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W634" i="1" s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W385" i="1" s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T355" i="1" s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U178" i="1" s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T1528" i="1" s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T48" i="1" s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U1688" i="1" s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U1613" i="1" s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T39" i="1" s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W1529" i="1" s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U481" i="1" s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T315" i="1" s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U428" i="1" s="1"/>
  <c r="V428" i="1" s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T1682" i="1" s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T573" i="1" s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U1536" i="1" s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T693" i="1" s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T403" i="1" s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U1740" i="1" s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U449" i="1" s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T468" i="1" s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T503" i="1" s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T343" i="1" s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T36" i="1" s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T466" i="1" s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T373" i="1" s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A1523" i="1"/>
  <c r="B1523" i="1"/>
  <c r="C1523" i="1"/>
  <c r="D1523" i="1"/>
  <c r="E1523" i="1"/>
  <c r="F1523" i="1"/>
  <c r="Z1523" i="1" s="1"/>
  <c r="G1523" i="1"/>
  <c r="AE1523" i="1" s="1"/>
  <c r="AG1523" i="1" s="1"/>
  <c r="H1523" i="1"/>
  <c r="I1523" i="1"/>
  <c r="J1523" i="1"/>
  <c r="K1523" i="1"/>
  <c r="L1523" i="1"/>
  <c r="M1523" i="1"/>
  <c r="N1523" i="1"/>
  <c r="O1523" i="1"/>
  <c r="P1523" i="1"/>
  <c r="Q1523" i="1"/>
  <c r="R1523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W461" i="1" s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W406" i="1" s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W338" i="1" s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U514" i="1" s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U575" i="1" s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U1680" i="1" s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U1631" i="1" s="1"/>
  <c r="V1631" i="1" s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U695" i="1" s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U1675" i="1" s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U13" i="1" s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T1721" i="1" s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T577" i="1" s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U1683" i="1" s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T1703" i="1" s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W1737" i="1" s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W15" i="1" s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W1562" i="1" s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W16" i="1" s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U495" i="1" s="1"/>
  <c r="V495" i="1" s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U1741" i="1" s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T1698" i="1" s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U1749" i="1" s="1"/>
  <c r="X1749" i="1" s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T1588" i="1" s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T1578" i="1" s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W670" i="1" s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W1665" i="1" s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W510" i="1" s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W1596" i="1" s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W23" i="1" s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U1695" i="1" s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U1736" i="1" s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T522" i="1" s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W425" i="1" s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T485" i="1" s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U135" i="1" s="1"/>
  <c r="V135" i="1" s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U501" i="1" s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U488" i="1" s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U528" i="1" s="1"/>
  <c r="X528" i="1" s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W546" i="1" s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U337" i="1" s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W554" i="1" s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A1545" i="1"/>
  <c r="B1545" i="1"/>
  <c r="C1545" i="1"/>
  <c r="D1545" i="1"/>
  <c r="E1545" i="1"/>
  <c r="F1545" i="1"/>
  <c r="Z1545" i="1" s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T1659" i="1" s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W1660" i="1" s="1"/>
  <c r="AA1660" i="1" s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T517" i="1" s="1"/>
  <c r="A1547" i="1"/>
  <c r="B1547" i="1"/>
  <c r="C1547" i="1"/>
  <c r="D1547" i="1"/>
  <c r="E1547" i="1"/>
  <c r="F1547" i="1"/>
  <c r="Z1547" i="1" s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W1547" i="1" s="1"/>
  <c r="AA1547" i="1" s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W505" i="1" s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U543" i="1" s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W26" i="1" s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T560" i="1" s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T563" i="1" s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U1582" i="1" s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T1742" i="1" s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T1634" i="1" s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U1711" i="1" s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W1760" i="1" s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W1743" i="1" s="1"/>
  <c r="Y1743" i="1" s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U1738" i="1" s="1"/>
  <c r="X1738" i="1" s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U27" i="1" s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T1765" i="1" s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W28" i="1" s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W1769" i="1" s="1"/>
  <c r="AA1769" i="1" s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W1768" i="1" s="1"/>
  <c r="AA1768" i="1" s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W529" i="1" s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Z1706" i="1" l="1"/>
  <c r="Z547" i="1"/>
  <c r="Z185" i="1"/>
  <c r="Z1623" i="1"/>
  <c r="Z1593" i="1"/>
  <c r="Z125" i="1"/>
  <c r="Z521" i="1"/>
  <c r="Z199" i="1"/>
  <c r="Z365" i="1"/>
  <c r="Z264" i="1"/>
  <c r="Z155" i="1"/>
  <c r="Z346" i="1"/>
  <c r="Z89" i="1"/>
  <c r="Z1712" i="1"/>
  <c r="Z167" i="1"/>
  <c r="Z227" i="1"/>
  <c r="Z337" i="1"/>
  <c r="Z1665" i="1"/>
  <c r="Z1603" i="1"/>
  <c r="Z425" i="1"/>
  <c r="Z1681" i="1"/>
  <c r="Z319" i="1"/>
  <c r="Z382" i="1"/>
  <c r="Z451" i="1"/>
  <c r="Z1616" i="1"/>
  <c r="Z1574" i="1"/>
  <c r="Z430" i="1"/>
  <c r="Z364" i="1"/>
  <c r="Z621" i="1"/>
  <c r="Z1564" i="1"/>
  <c r="S421" i="1"/>
  <c r="S492" i="1"/>
  <c r="S356" i="1"/>
  <c r="S275" i="1"/>
  <c r="S377" i="1"/>
  <c r="S329" i="1"/>
  <c r="T757" i="1"/>
  <c r="S48" i="1"/>
  <c r="S592" i="1"/>
  <c r="Z1141" i="1"/>
  <c r="S1035" i="1"/>
  <c r="Z751" i="1"/>
  <c r="S774" i="1"/>
  <c r="S1713" i="1"/>
  <c r="S1760" i="1"/>
  <c r="S543" i="1"/>
  <c r="S565" i="1"/>
  <c r="S1687" i="1"/>
  <c r="S1540" i="1"/>
  <c r="S1671" i="1"/>
  <c r="S1726" i="1"/>
  <c r="S440" i="1"/>
  <c r="S446" i="1"/>
  <c r="S1670" i="1"/>
  <c r="S479" i="1"/>
  <c r="S408" i="1"/>
  <c r="S384" i="1"/>
  <c r="S8" i="1"/>
  <c r="S355" i="1"/>
  <c r="S482" i="1"/>
  <c r="S318" i="1"/>
  <c r="S383" i="1"/>
  <c r="S1604" i="1"/>
  <c r="S354" i="1"/>
  <c r="S97" i="1"/>
  <c r="S625" i="1"/>
  <c r="S371" i="1"/>
  <c r="S182" i="1"/>
  <c r="S551" i="1"/>
  <c r="S1649" i="1"/>
  <c r="S671" i="1"/>
  <c r="S581" i="1"/>
  <c r="S253" i="1"/>
  <c r="S236" i="1"/>
  <c r="S176" i="1"/>
  <c r="S663" i="1"/>
  <c r="S67" i="1"/>
  <c r="S434" i="1"/>
  <c r="S1046" i="1"/>
  <c r="W770" i="1"/>
  <c r="AA770" i="1" s="1"/>
  <c r="S1708" i="1"/>
  <c r="S1449" i="1"/>
  <c r="S1238" i="1"/>
  <c r="Z236" i="1"/>
  <c r="Z234" i="1"/>
  <c r="Z1554" i="1"/>
  <c r="Z268" i="1"/>
  <c r="Z623" i="1"/>
  <c r="Z660" i="1"/>
  <c r="Z688" i="1"/>
  <c r="Z1546" i="1"/>
  <c r="Z100" i="1"/>
  <c r="Z37" i="1"/>
  <c r="Z1556" i="1"/>
  <c r="T125" i="1"/>
  <c r="W769" i="1"/>
  <c r="AA769" i="1" s="1"/>
  <c r="S877" i="1"/>
  <c r="U125" i="1"/>
  <c r="V125" i="1" s="1"/>
  <c r="V1394" i="1"/>
  <c r="S1414" i="1"/>
  <c r="W757" i="1"/>
  <c r="AA757" i="1" s="1"/>
  <c r="Z1456" i="1"/>
  <c r="S28" i="1"/>
  <c r="Z1663" i="1"/>
  <c r="Z1555" i="1"/>
  <c r="Z1497" i="1"/>
  <c r="S1070" i="1"/>
  <c r="W1018" i="1"/>
  <c r="Z877" i="1"/>
  <c r="S1191" i="1"/>
  <c r="Z1566" i="1"/>
  <c r="S515" i="1"/>
  <c r="S263" i="1"/>
  <c r="U390" i="1"/>
  <c r="V390" i="1" s="1"/>
  <c r="W390" i="1"/>
  <c r="U675" i="1"/>
  <c r="X675" i="1" s="1"/>
  <c r="W675" i="1"/>
  <c r="Z570" i="1"/>
  <c r="S570" i="1"/>
  <c r="T889" i="1"/>
  <c r="U889" i="1"/>
  <c r="X889" i="1" s="1"/>
  <c r="W708" i="1"/>
  <c r="AA708" i="1" s="1"/>
  <c r="T708" i="1"/>
  <c r="S1045" i="1"/>
  <c r="W645" i="1"/>
  <c r="AA645" i="1" s="1"/>
  <c r="S818" i="1"/>
  <c r="T463" i="1"/>
  <c r="U463" i="1"/>
  <c r="V463" i="1" s="1"/>
  <c r="W1315" i="1"/>
  <c r="AA1315" i="1" s="1"/>
  <c r="U1315" i="1"/>
  <c r="V1315" i="1" s="1"/>
  <c r="S1262" i="1"/>
  <c r="Z1262" i="1"/>
  <c r="S1160" i="1"/>
  <c r="S1053" i="1"/>
  <c r="S810" i="1"/>
  <c r="U1205" i="1"/>
  <c r="V1205" i="1" s="1"/>
  <c r="U682" i="1"/>
  <c r="X682" i="1" s="1"/>
  <c r="W682" i="1"/>
  <c r="S251" i="1"/>
  <c r="S1758" i="1"/>
  <c r="S1535" i="1"/>
  <c r="S1539" i="1"/>
  <c r="S496" i="1"/>
  <c r="W366" i="1"/>
  <c r="U366" i="1"/>
  <c r="V366" i="1" s="1"/>
  <c r="S559" i="1"/>
  <c r="S336" i="1"/>
  <c r="S57" i="1"/>
  <c r="S56" i="1"/>
  <c r="S685" i="1"/>
  <c r="Z1376" i="1"/>
  <c r="S1376" i="1"/>
  <c r="W1063" i="1"/>
  <c r="U1063" i="1"/>
  <c r="V1063" i="1" s="1"/>
  <c r="T1063" i="1"/>
  <c r="S909" i="1"/>
  <c r="T1409" i="1"/>
  <c r="AA1409" i="1" s="1"/>
  <c r="Z1189" i="1"/>
  <c r="S1189" i="1"/>
  <c r="S802" i="1"/>
  <c r="T910" i="1"/>
  <c r="U32" i="1"/>
  <c r="V32" i="1" s="1"/>
  <c r="S126" i="1"/>
  <c r="T85" i="1"/>
  <c r="AA85" i="1" s="1"/>
  <c r="S1159" i="1"/>
  <c r="Z1658" i="1"/>
  <c r="S1658" i="1"/>
  <c r="Z923" i="1"/>
  <c r="S923" i="1"/>
  <c r="W888" i="1"/>
  <c r="U888" i="1"/>
  <c r="V888" i="1" s="1"/>
  <c r="T1025" i="1"/>
  <c r="W1025" i="1"/>
  <c r="AA1025" i="1" s="1"/>
  <c r="W765" i="1"/>
  <c r="AA765" i="1" s="1"/>
  <c r="U1700" i="1"/>
  <c r="X1700" i="1" s="1"/>
  <c r="W1700" i="1"/>
  <c r="AA1700" i="1" s="1"/>
  <c r="T1700" i="1"/>
  <c r="S1544" i="1"/>
  <c r="W393" i="1"/>
  <c r="T393" i="1"/>
  <c r="W1618" i="1"/>
  <c r="Y1618" i="1" s="1"/>
  <c r="U1618" i="1"/>
  <c r="V1618" i="1" s="1"/>
  <c r="S228" i="1"/>
  <c r="S457" i="1"/>
  <c r="U190" i="1"/>
  <c r="V190" i="1" s="1"/>
  <c r="W190" i="1"/>
  <c r="T1558" i="1"/>
  <c r="W1558" i="1"/>
  <c r="AA1558" i="1" s="1"/>
  <c r="W1401" i="1"/>
  <c r="Y1401" i="1" s="1"/>
  <c r="T1401" i="1"/>
  <c r="W1314" i="1"/>
  <c r="AA1314" i="1" s="1"/>
  <c r="U1314" i="1"/>
  <c r="V1314" i="1" s="1"/>
  <c r="S521" i="1"/>
  <c r="W1466" i="1"/>
  <c r="U1466" i="1"/>
  <c r="X1466" i="1" s="1"/>
  <c r="Z658" i="1"/>
  <c r="S658" i="1"/>
  <c r="Z242" i="1"/>
  <c r="S242" i="1"/>
  <c r="U1046" i="1"/>
  <c r="X1046" i="1" s="1"/>
  <c r="W1046" i="1"/>
  <c r="AA1046" i="1" s="1"/>
  <c r="Z998" i="1"/>
  <c r="S998" i="1"/>
  <c r="Z916" i="1"/>
  <c r="S916" i="1"/>
  <c r="S617" i="1"/>
  <c r="T1199" i="1"/>
  <c r="T1768" i="1"/>
  <c r="T812" i="1"/>
  <c r="W487" i="1"/>
  <c r="U487" i="1"/>
  <c r="V487" i="1" s="1"/>
  <c r="W1064" i="1"/>
  <c r="AA1064" i="1" s="1"/>
  <c r="U1064" i="1"/>
  <c r="V1064" i="1" s="1"/>
  <c r="S1725" i="1"/>
  <c r="T1644" i="1"/>
  <c r="U1644" i="1"/>
  <c r="V1644" i="1" s="1"/>
  <c r="S436" i="1"/>
  <c r="S594" i="1"/>
  <c r="Z985" i="1"/>
  <c r="S985" i="1"/>
  <c r="S903" i="1"/>
  <c r="S902" i="1"/>
  <c r="U811" i="1"/>
  <c r="X811" i="1" s="1"/>
  <c r="W811" i="1"/>
  <c r="AA811" i="1" s="1"/>
  <c r="S1450" i="1"/>
  <c r="T1769" i="1"/>
  <c r="W771" i="1"/>
  <c r="AA771" i="1" s="1"/>
  <c r="S322" i="1"/>
  <c r="S1592" i="1"/>
  <c r="S1259" i="1"/>
  <c r="S1302" i="1"/>
  <c r="T1400" i="1"/>
  <c r="AA1400" i="1" s="1"/>
  <c r="Z549" i="1"/>
  <c r="Z535" i="1"/>
  <c r="Z1745" i="1"/>
  <c r="Z492" i="1"/>
  <c r="Z356" i="1"/>
  <c r="Z397" i="1"/>
  <c r="Z275" i="1"/>
  <c r="Z377" i="1"/>
  <c r="Z329" i="1"/>
  <c r="Z1646" i="1"/>
  <c r="Z566" i="1"/>
  <c r="Z1587" i="1"/>
  <c r="Z690" i="1"/>
  <c r="Z162" i="1"/>
  <c r="W1580" i="1"/>
  <c r="Y1580" i="1" s="1"/>
  <c r="S372" i="1"/>
  <c r="S209" i="1"/>
  <c r="S181" i="1"/>
  <c r="S1632" i="1"/>
  <c r="S1169" i="1"/>
  <c r="W539" i="1"/>
  <c r="Z1672" i="1"/>
  <c r="Z1696" i="1"/>
  <c r="Z1673" i="1"/>
  <c r="Z533" i="1"/>
  <c r="Z5" i="1"/>
  <c r="Z427" i="1"/>
  <c r="Z223" i="1"/>
  <c r="S1222" i="1"/>
  <c r="S885" i="1"/>
  <c r="Z1717" i="1"/>
  <c r="Z555" i="1"/>
  <c r="Z485" i="1"/>
  <c r="Z1578" i="1"/>
  <c r="Z1624" i="1"/>
  <c r="Z455" i="1"/>
  <c r="Z556" i="1"/>
  <c r="Z273" i="1"/>
  <c r="Z212" i="1"/>
  <c r="Z113" i="1"/>
  <c r="Z584" i="1"/>
  <c r="Z287" i="1"/>
  <c r="Z568" i="1"/>
  <c r="Z511" i="1"/>
  <c r="Z574" i="1"/>
  <c r="Z512" i="1"/>
  <c r="Z1588" i="1"/>
  <c r="Z508" i="1"/>
  <c r="Z393" i="1"/>
  <c r="Z1631" i="1"/>
  <c r="Z353" i="1"/>
  <c r="Z454" i="1"/>
  <c r="Z315" i="1"/>
  <c r="Z1618" i="1"/>
  <c r="Z1644" i="1"/>
  <c r="Z95" i="1"/>
  <c r="Z201" i="1"/>
  <c r="Z257" i="1"/>
  <c r="Z209" i="1"/>
  <c r="Z181" i="1"/>
  <c r="Z120" i="1"/>
  <c r="Z187" i="1"/>
  <c r="Z81" i="1"/>
  <c r="Z1632" i="1"/>
  <c r="Z1567" i="1"/>
  <c r="Z1524" i="1"/>
  <c r="S824" i="1"/>
  <c r="T1247" i="1"/>
  <c r="T539" i="1"/>
  <c r="U1247" i="1"/>
  <c r="X1247" i="1" s="1"/>
  <c r="Z197" i="1"/>
  <c r="Z372" i="1"/>
  <c r="Z200" i="1"/>
  <c r="Z1679" i="1"/>
  <c r="S907" i="1"/>
  <c r="S1050" i="1"/>
  <c r="S1357" i="1"/>
  <c r="T1536" i="1"/>
  <c r="W1199" i="1"/>
  <c r="Z1259" i="1"/>
  <c r="S1335" i="1"/>
  <c r="S1143" i="1"/>
  <c r="S917" i="1"/>
  <c r="S801" i="1"/>
  <c r="T1190" i="1"/>
  <c r="T1701" i="1"/>
  <c r="U1048" i="1"/>
  <c r="V1048" i="1" s="1"/>
  <c r="U776" i="1"/>
  <c r="V776" i="1" s="1"/>
  <c r="W337" i="1"/>
  <c r="W910" i="1"/>
  <c r="Y703" i="1"/>
  <c r="AB703" i="1" s="1"/>
  <c r="AC703" i="1" s="1"/>
  <c r="S1131" i="1"/>
  <c r="T709" i="1"/>
  <c r="U771" i="1"/>
  <c r="W680" i="1"/>
  <c r="Y680" i="1" s="1"/>
  <c r="W889" i="1"/>
  <c r="S120" i="1"/>
  <c r="S1268" i="1"/>
  <c r="S1130" i="1"/>
  <c r="S748" i="1"/>
  <c r="T401" i="1"/>
  <c r="T660" i="1"/>
  <c r="T1046" i="1"/>
  <c r="U770" i="1"/>
  <c r="X770" i="1" s="1"/>
  <c r="Y770" i="1" s="1"/>
  <c r="W1644" i="1"/>
  <c r="AA1644" i="1" s="1"/>
  <c r="W626" i="1"/>
  <c r="AA626" i="1" s="1"/>
  <c r="S282" i="1"/>
  <c r="S1706" i="1"/>
  <c r="Z617" i="1"/>
  <c r="Z676" i="1"/>
  <c r="S1123" i="1"/>
  <c r="S747" i="1"/>
  <c r="U187" i="1"/>
  <c r="U1345" i="1"/>
  <c r="X1345" i="1" s="1"/>
  <c r="U765" i="1"/>
  <c r="V765" i="1" s="1"/>
  <c r="T960" i="1"/>
  <c r="AA960" i="1" s="1"/>
  <c r="S1252" i="1"/>
  <c r="S1122" i="1"/>
  <c r="S746" i="1"/>
  <c r="T227" i="1"/>
  <c r="U85" i="1"/>
  <c r="X85" i="1" s="1"/>
  <c r="Y85" i="1" s="1"/>
  <c r="U645" i="1"/>
  <c r="V645" i="1" s="1"/>
  <c r="U764" i="1"/>
  <c r="W401" i="1"/>
  <c r="W1141" i="1"/>
  <c r="T1068" i="1"/>
  <c r="AA1068" i="1" s="1"/>
  <c r="S1686" i="1"/>
  <c r="Z285" i="1"/>
  <c r="Z644" i="1"/>
  <c r="S1247" i="1"/>
  <c r="S1099" i="1"/>
  <c r="S901" i="1"/>
  <c r="S719" i="1"/>
  <c r="T888" i="1"/>
  <c r="T703" i="1"/>
  <c r="U1330" i="1"/>
  <c r="V1330" i="1" s="1"/>
  <c r="S830" i="1"/>
  <c r="S1165" i="1"/>
  <c r="Z587" i="1"/>
  <c r="S1244" i="1"/>
  <c r="S1071" i="1"/>
  <c r="S900" i="1"/>
  <c r="S705" i="1"/>
  <c r="U1769" i="1"/>
  <c r="U941" i="1"/>
  <c r="W1345" i="1"/>
  <c r="AA1133" i="1"/>
  <c r="Y1133" i="1"/>
  <c r="Z350" i="1"/>
  <c r="S350" i="1"/>
  <c r="U1089" i="1"/>
  <c r="V1089" i="1" s="1"/>
  <c r="W1089" i="1"/>
  <c r="S1033" i="1"/>
  <c r="W975" i="1"/>
  <c r="U975" i="1"/>
  <c r="T975" i="1"/>
  <c r="T961" i="1"/>
  <c r="W961" i="1"/>
  <c r="Z936" i="1"/>
  <c r="S936" i="1"/>
  <c r="Z928" i="1"/>
  <c r="S928" i="1"/>
  <c r="Z899" i="1"/>
  <c r="S899" i="1"/>
  <c r="W988" i="1"/>
  <c r="U988" i="1"/>
  <c r="X988" i="1" s="1"/>
  <c r="T988" i="1"/>
  <c r="W859" i="1"/>
  <c r="U859" i="1"/>
  <c r="X859" i="1" s="1"/>
  <c r="T859" i="1"/>
  <c r="W844" i="1"/>
  <c r="U844" i="1"/>
  <c r="V844" i="1" s="1"/>
  <c r="U821" i="1"/>
  <c r="T821" i="1"/>
  <c r="W821" i="1"/>
  <c r="S1754" i="1"/>
  <c r="U26" i="1"/>
  <c r="T26" i="1"/>
  <c r="T1571" i="1"/>
  <c r="W1571" i="1"/>
  <c r="Y1571" i="1" s="1"/>
  <c r="S449" i="1"/>
  <c r="W477" i="1"/>
  <c r="T477" i="1"/>
  <c r="T372" i="1"/>
  <c r="U372" i="1"/>
  <c r="X372" i="1" s="1"/>
  <c r="W372" i="1"/>
  <c r="U95" i="1"/>
  <c r="X95" i="1" s="1"/>
  <c r="Y95" i="1" s="1"/>
  <c r="T95" i="1"/>
  <c r="AA95" i="1" s="1"/>
  <c r="W1598" i="1"/>
  <c r="U1598" i="1"/>
  <c r="V1598" i="1" s="1"/>
  <c r="U352" i="1"/>
  <c r="X352" i="1" s="1"/>
  <c r="W352" i="1"/>
  <c r="AA352" i="1" s="1"/>
  <c r="W301" i="1"/>
  <c r="U301" i="1"/>
  <c r="T301" i="1"/>
  <c r="U683" i="1"/>
  <c r="T683" i="1"/>
  <c r="W683" i="1"/>
  <c r="T4" i="1"/>
  <c r="W4" i="1"/>
  <c r="U433" i="1"/>
  <c r="V433" i="1" s="1"/>
  <c r="W433" i="1"/>
  <c r="S237" i="1"/>
  <c r="W257" i="1"/>
  <c r="U257" i="1"/>
  <c r="X257" i="1" s="1"/>
  <c r="W1508" i="1"/>
  <c r="U1508" i="1"/>
  <c r="T1508" i="1"/>
  <c r="Z1507" i="1"/>
  <c r="S1507" i="1"/>
  <c r="S292" i="1"/>
  <c r="Z292" i="1"/>
  <c r="T1471" i="1"/>
  <c r="W1471" i="1"/>
  <c r="Y1471" i="1" s="1"/>
  <c r="W1467" i="1"/>
  <c r="Y1467" i="1" s="1"/>
  <c r="T1467" i="1"/>
  <c r="W1456" i="1"/>
  <c r="U1456" i="1"/>
  <c r="T398" i="1"/>
  <c r="U398" i="1"/>
  <c r="X398" i="1" s="1"/>
  <c r="U1384" i="1"/>
  <c r="W1384" i="1"/>
  <c r="AA1384" i="1" s="1"/>
  <c r="T1384" i="1"/>
  <c r="W1371" i="1"/>
  <c r="U1371" i="1"/>
  <c r="T1371" i="1"/>
  <c r="Z1304" i="1"/>
  <c r="S1304" i="1"/>
  <c r="U1271" i="1"/>
  <c r="W1271" i="1"/>
  <c r="AA1271" i="1" s="1"/>
  <c r="Z1231" i="1"/>
  <c r="S1231" i="1"/>
  <c r="T424" i="1"/>
  <c r="W424" i="1"/>
  <c r="U424" i="1"/>
  <c r="T1213" i="1"/>
  <c r="U1213" i="1"/>
  <c r="U1198" i="1"/>
  <c r="T1198" i="1"/>
  <c r="W1198" i="1"/>
  <c r="T1169" i="1"/>
  <c r="AA1169" i="1" s="1"/>
  <c r="U1169" i="1"/>
  <c r="U1155" i="1"/>
  <c r="W1155" i="1"/>
  <c r="T1155" i="1"/>
  <c r="W1147" i="1"/>
  <c r="AA1147" i="1" s="1"/>
  <c r="U1147" i="1"/>
  <c r="V1147" i="1" s="1"/>
  <c r="W1140" i="1"/>
  <c r="U1140" i="1"/>
  <c r="V1140" i="1" s="1"/>
  <c r="Z1138" i="1"/>
  <c r="S1138" i="1"/>
  <c r="U1078" i="1"/>
  <c r="V1078" i="1" s="1"/>
  <c r="T1078" i="1"/>
  <c r="W1078" i="1"/>
  <c r="S1061" i="1"/>
  <c r="Z1061" i="1"/>
  <c r="U1039" i="1"/>
  <c r="T1039" i="1"/>
  <c r="W1008" i="1"/>
  <c r="AA1008" i="1" s="1"/>
  <c r="U1008" i="1"/>
  <c r="U1000" i="1"/>
  <c r="W1000" i="1"/>
  <c r="Y1000" i="1" s="1"/>
  <c r="S977" i="1"/>
  <c r="Z977" i="1"/>
  <c r="Z539" i="1"/>
  <c r="S539" i="1"/>
  <c r="Z948" i="1"/>
  <c r="S948" i="1"/>
  <c r="T934" i="1"/>
  <c r="U934" i="1"/>
  <c r="W934" i="1"/>
  <c r="W905" i="1"/>
  <c r="T905" i="1"/>
  <c r="U905" i="1"/>
  <c r="Z879" i="1"/>
  <c r="S879" i="1"/>
  <c r="U873" i="1"/>
  <c r="T873" i="1"/>
  <c r="AA873" i="1" s="1"/>
  <c r="U727" i="1"/>
  <c r="X727" i="1" s="1"/>
  <c r="T727" i="1"/>
  <c r="W727" i="1"/>
  <c r="S199" i="1"/>
  <c r="S264" i="1"/>
  <c r="S1336" i="1"/>
  <c r="S1186" i="1"/>
  <c r="S125" i="1"/>
  <c r="S1006" i="1"/>
  <c r="S768" i="1"/>
  <c r="T1618" i="1"/>
  <c r="T390" i="1"/>
  <c r="T965" i="1"/>
  <c r="U1578" i="1"/>
  <c r="X1578" i="1" s="1"/>
  <c r="U972" i="1"/>
  <c r="U1701" i="1"/>
  <c r="V1701" i="1" s="1"/>
  <c r="W1749" i="1"/>
  <c r="AA1749" i="1" s="1"/>
  <c r="W398" i="1"/>
  <c r="W32" i="1"/>
  <c r="AA32" i="1" s="1"/>
  <c r="W843" i="1"/>
  <c r="X428" i="1"/>
  <c r="Z1033" i="1"/>
  <c r="Z1532" i="1"/>
  <c r="S1532" i="1"/>
  <c r="T1151" i="1"/>
  <c r="U1151" i="1"/>
  <c r="X1151" i="1" s="1"/>
  <c r="Z1134" i="1"/>
  <c r="S1134" i="1"/>
  <c r="U1095" i="1"/>
  <c r="W1095" i="1"/>
  <c r="T1095" i="1"/>
  <c r="U1012" i="1"/>
  <c r="V1012" i="1" s="1"/>
  <c r="W1012" i="1"/>
  <c r="AA1012" i="1" s="1"/>
  <c r="U293" i="1"/>
  <c r="X293" i="1" s="1"/>
  <c r="T293" i="1"/>
  <c r="W293" i="1"/>
  <c r="Z981" i="1"/>
  <c r="S981" i="1"/>
  <c r="U954" i="1"/>
  <c r="V954" i="1" s="1"/>
  <c r="T954" i="1"/>
  <c r="W954" i="1"/>
  <c r="S860" i="1"/>
  <c r="Z852" i="1"/>
  <c r="S852" i="1"/>
  <c r="U839" i="1"/>
  <c r="W839" i="1"/>
  <c r="S806" i="1"/>
  <c r="T795" i="1"/>
  <c r="U795" i="1"/>
  <c r="X795" i="1" s="1"/>
  <c r="U474" i="1"/>
  <c r="X474" i="1" s="1"/>
  <c r="W474" i="1"/>
  <c r="U747" i="1"/>
  <c r="T747" i="1"/>
  <c r="Z745" i="1"/>
  <c r="S745" i="1"/>
  <c r="S1141" i="1"/>
  <c r="W76" i="1"/>
  <c r="U76" i="1"/>
  <c r="X76" i="1" s="1"/>
  <c r="Z907" i="1"/>
  <c r="W603" i="1"/>
  <c r="T603" i="1"/>
  <c r="S1242" i="1"/>
  <c r="S1466" i="1"/>
  <c r="AE1466" i="1"/>
  <c r="AG1466" i="1" s="1"/>
  <c r="V1125" i="1"/>
  <c r="X1125" i="1"/>
  <c r="U1717" i="1"/>
  <c r="X1717" i="1" s="1"/>
  <c r="W1717" i="1"/>
  <c r="Y1717" i="1" s="1"/>
  <c r="W1662" i="1"/>
  <c r="U1662" i="1"/>
  <c r="U1721" i="1"/>
  <c r="W1721" i="1"/>
  <c r="AA1721" i="1" s="1"/>
  <c r="U500" i="1"/>
  <c r="T500" i="1"/>
  <c r="W500" i="1"/>
  <c r="W696" i="1"/>
  <c r="T696" i="1"/>
  <c r="U556" i="1"/>
  <c r="W556" i="1"/>
  <c r="U351" i="1"/>
  <c r="X351" i="1" s="1"/>
  <c r="W351" i="1"/>
  <c r="T351" i="1"/>
  <c r="U88" i="1"/>
  <c r="V88" i="1" s="1"/>
  <c r="W88" i="1"/>
  <c r="AA88" i="1" s="1"/>
  <c r="W1518" i="1"/>
  <c r="U1518" i="1"/>
  <c r="U346" i="1"/>
  <c r="V346" i="1" s="1"/>
  <c r="T346" i="1"/>
  <c r="S294" i="1"/>
  <c r="Z294" i="1"/>
  <c r="T1484" i="1"/>
  <c r="U1484" i="1"/>
  <c r="W1468" i="1"/>
  <c r="T1468" i="1"/>
  <c r="T1439" i="1"/>
  <c r="U1439" i="1"/>
  <c r="X1439" i="1" s="1"/>
  <c r="S1395" i="1"/>
  <c r="Z1395" i="1"/>
  <c r="U1378" i="1"/>
  <c r="V1378" i="1" s="1"/>
  <c r="W1378" i="1"/>
  <c r="Y1378" i="1" s="1"/>
  <c r="T1352" i="1"/>
  <c r="U1352" i="1"/>
  <c r="X1352" i="1" s="1"/>
  <c r="W1352" i="1"/>
  <c r="W1307" i="1"/>
  <c r="U1307" i="1"/>
  <c r="T1307" i="1"/>
  <c r="W1276" i="1"/>
  <c r="Y1276" i="1" s="1"/>
  <c r="T1276" i="1"/>
  <c r="T1257" i="1"/>
  <c r="W1257" i="1"/>
  <c r="Y1257" i="1" s="1"/>
  <c r="U1257" i="1"/>
  <c r="V1257" i="1" s="1"/>
  <c r="W1250" i="1"/>
  <c r="Y1250" i="1" s="1"/>
  <c r="U1250" i="1"/>
  <c r="T1226" i="1"/>
  <c r="W1226" i="1"/>
  <c r="U1226" i="1"/>
  <c r="W1220" i="1"/>
  <c r="U1220" i="1"/>
  <c r="V1220" i="1" s="1"/>
  <c r="W1185" i="1"/>
  <c r="AA1185" i="1" s="1"/>
  <c r="U1185" i="1"/>
  <c r="W1156" i="1"/>
  <c r="T1156" i="1"/>
  <c r="U1156" i="1"/>
  <c r="W613" i="1"/>
  <c r="T613" i="1"/>
  <c r="W1086" i="1"/>
  <c r="AA1086" i="1" s="1"/>
  <c r="U1086" i="1"/>
  <c r="V1086" i="1" s="1"/>
  <c r="W1056" i="1"/>
  <c r="T1056" i="1"/>
  <c r="S1038" i="1"/>
  <c r="W935" i="1"/>
  <c r="Y935" i="1" s="1"/>
  <c r="U935" i="1"/>
  <c r="T935" i="1"/>
  <c r="W927" i="1"/>
  <c r="T927" i="1"/>
  <c r="U927" i="1"/>
  <c r="U912" i="1"/>
  <c r="T912" i="1"/>
  <c r="W912" i="1"/>
  <c r="T882" i="1"/>
  <c r="U882" i="1"/>
  <c r="W851" i="1"/>
  <c r="T851" i="1"/>
  <c r="U851" i="1"/>
  <c r="V851" i="1" s="1"/>
  <c r="S578" i="1"/>
  <c r="T508" i="1"/>
  <c r="W508" i="1"/>
  <c r="S1730" i="1"/>
  <c r="S561" i="1"/>
  <c r="W687" i="1"/>
  <c r="U687" i="1"/>
  <c r="T687" i="1"/>
  <c r="U260" i="1"/>
  <c r="X260" i="1" s="1"/>
  <c r="W260" i="1"/>
  <c r="T260" i="1"/>
  <c r="S459" i="1"/>
  <c r="U118" i="1"/>
  <c r="W118" i="1"/>
  <c r="AA118" i="1" s="1"/>
  <c r="U72" i="1"/>
  <c r="X72" i="1" s="1"/>
  <c r="T72" i="1"/>
  <c r="S649" i="1"/>
  <c r="Z649" i="1"/>
  <c r="S1489" i="1"/>
  <c r="Z1489" i="1"/>
  <c r="S609" i="1"/>
  <c r="Z609" i="1"/>
  <c r="Z1400" i="1"/>
  <c r="S1400" i="1"/>
  <c r="W1524" i="1"/>
  <c r="T1524" i="1"/>
  <c r="U1761" i="1"/>
  <c r="W1761" i="1"/>
  <c r="T1761" i="1"/>
  <c r="S1363" i="1"/>
  <c r="Z1363" i="1"/>
  <c r="W1359" i="1"/>
  <c r="Y1359" i="1" s="1"/>
  <c r="T1359" i="1"/>
  <c r="Z1296" i="1"/>
  <c r="S1296" i="1"/>
  <c r="U1282" i="1"/>
  <c r="W1282" i="1"/>
  <c r="T1282" i="1"/>
  <c r="U1241" i="1"/>
  <c r="X1241" i="1" s="1"/>
  <c r="T1241" i="1"/>
  <c r="S1224" i="1"/>
  <c r="Z1224" i="1"/>
  <c r="Z1218" i="1"/>
  <c r="S1218" i="1"/>
  <c r="S1212" i="1"/>
  <c r="Z1212" i="1"/>
  <c r="U1176" i="1"/>
  <c r="X1176" i="1" s="1"/>
  <c r="W1176" i="1"/>
  <c r="T1176" i="1"/>
  <c r="U1099" i="1"/>
  <c r="T1099" i="1"/>
  <c r="W1099" i="1"/>
  <c r="S1090" i="1"/>
  <c r="Z1090" i="1"/>
  <c r="U1070" i="1"/>
  <c r="X1070" i="1" s="1"/>
  <c r="T1070" i="1"/>
  <c r="W1070" i="1"/>
  <c r="T1031" i="1"/>
  <c r="U1031" i="1"/>
  <c r="X1031" i="1" s="1"/>
  <c r="W1024" i="1"/>
  <c r="T1024" i="1"/>
  <c r="U1024" i="1"/>
  <c r="U1016" i="1"/>
  <c r="V1016" i="1" s="1"/>
  <c r="W1016" i="1"/>
  <c r="AA1016" i="1" s="1"/>
  <c r="S992" i="1"/>
  <c r="Z992" i="1"/>
  <c r="T979" i="1"/>
  <c r="AA979" i="1" s="1"/>
  <c r="U979" i="1"/>
  <c r="V979" i="1" s="1"/>
  <c r="S924" i="1"/>
  <c r="U593" i="1"/>
  <c r="X593" i="1" s="1"/>
  <c r="T593" i="1"/>
  <c r="W593" i="1"/>
  <c r="W897" i="1"/>
  <c r="U897" i="1"/>
  <c r="T897" i="1"/>
  <c r="T881" i="1"/>
  <c r="AA881" i="1" s="1"/>
  <c r="U881" i="1"/>
  <c r="Z797" i="1"/>
  <c r="S797" i="1"/>
  <c r="W783" i="1"/>
  <c r="T783" i="1"/>
  <c r="W751" i="1"/>
  <c r="T751" i="1"/>
  <c r="Z1038" i="1"/>
  <c r="S1465" i="1"/>
  <c r="S1182" i="1"/>
  <c r="S1115" i="1"/>
  <c r="S1002" i="1"/>
  <c r="S766" i="1"/>
  <c r="T425" i="1"/>
  <c r="AA425" i="1" s="1"/>
  <c r="T366" i="1"/>
  <c r="T119" i="1"/>
  <c r="AA119" i="1" s="1"/>
  <c r="T1330" i="1"/>
  <c r="T267" i="1"/>
  <c r="AA267" i="1" s="1"/>
  <c r="T764" i="1"/>
  <c r="U508" i="1"/>
  <c r="V508" i="1" s="1"/>
  <c r="U1558" i="1"/>
  <c r="U1409" i="1"/>
  <c r="V1409" i="1" s="1"/>
  <c r="U709" i="1"/>
  <c r="V709" i="1" s="1"/>
  <c r="W1536" i="1"/>
  <c r="AA1536" i="1" s="1"/>
  <c r="W1241" i="1"/>
  <c r="AA1241" i="1" s="1"/>
  <c r="W1116" i="1"/>
  <c r="W972" i="1"/>
  <c r="AA972" i="1" s="1"/>
  <c r="Z1300" i="1"/>
  <c r="S1300" i="1"/>
  <c r="U1158" i="1"/>
  <c r="T1158" i="1"/>
  <c r="W1158" i="1"/>
  <c r="Z410" i="1"/>
  <c r="S410" i="1"/>
  <c r="Z643" i="1"/>
  <c r="S643" i="1"/>
  <c r="Z1093" i="1"/>
  <c r="S1093" i="1"/>
  <c r="T1082" i="1"/>
  <c r="W1082" i="1"/>
  <c r="U1082" i="1"/>
  <c r="Z1065" i="1"/>
  <c r="S1065" i="1"/>
  <c r="W1035" i="1"/>
  <c r="U1035" i="1"/>
  <c r="T1035" i="1"/>
  <c r="U922" i="1"/>
  <c r="T922" i="1"/>
  <c r="W922" i="1"/>
  <c r="U893" i="1"/>
  <c r="V893" i="1" s="1"/>
  <c r="W893" i="1"/>
  <c r="U847" i="1"/>
  <c r="T847" i="1"/>
  <c r="W847" i="1"/>
  <c r="T808" i="1"/>
  <c r="U808" i="1"/>
  <c r="Z785" i="1"/>
  <c r="S785" i="1"/>
  <c r="U774" i="1"/>
  <c r="W774" i="1"/>
  <c r="T774" i="1"/>
  <c r="S737" i="1"/>
  <c r="Z737" i="1"/>
  <c r="U719" i="1"/>
  <c r="W719" i="1"/>
  <c r="T719" i="1"/>
  <c r="S920" i="1"/>
  <c r="W1573" i="1"/>
  <c r="AA1573" i="1" s="1"/>
  <c r="Z340" i="1"/>
  <c r="S340" i="1"/>
  <c r="S822" i="1"/>
  <c r="S704" i="1"/>
  <c r="T1089" i="1"/>
  <c r="S1049" i="1"/>
  <c r="S660" i="1"/>
  <c r="S1373" i="1"/>
  <c r="S1127" i="1"/>
  <c r="W1714" i="1"/>
  <c r="U1714" i="1"/>
  <c r="X1714" i="1" s="1"/>
  <c r="W1545" i="1"/>
  <c r="Y1545" i="1" s="1"/>
  <c r="T1545" i="1"/>
  <c r="U1545" i="1"/>
  <c r="X1545" i="1" s="1"/>
  <c r="W695" i="1"/>
  <c r="T695" i="1"/>
  <c r="T1624" i="1"/>
  <c r="U1624" i="1"/>
  <c r="T694" i="1"/>
  <c r="U694" i="1"/>
  <c r="W694" i="1"/>
  <c r="W525" i="1"/>
  <c r="T525" i="1"/>
  <c r="U525" i="1"/>
  <c r="X525" i="1" s="1"/>
  <c r="S10" i="1"/>
  <c r="W70" i="1"/>
  <c r="T70" i="1"/>
  <c r="T212" i="1"/>
  <c r="W212" i="1"/>
  <c r="W215" i="1"/>
  <c r="U215" i="1"/>
  <c r="T215" i="1"/>
  <c r="U84" i="1"/>
  <c r="V84" i="1" s="1"/>
  <c r="T84" i="1"/>
  <c r="W84" i="1"/>
  <c r="T328" i="1"/>
  <c r="W328" i="1"/>
  <c r="X233" i="1"/>
  <c r="V233" i="1"/>
  <c r="T152" i="1"/>
  <c r="W152" i="1"/>
  <c r="W162" i="1"/>
  <c r="T162" i="1"/>
  <c r="U162" i="1"/>
  <c r="W1690" i="1"/>
  <c r="U1690" i="1"/>
  <c r="X1690" i="1" s="1"/>
  <c r="W1503" i="1"/>
  <c r="U1503" i="1"/>
  <c r="V1503" i="1" s="1"/>
  <c r="T1503" i="1"/>
  <c r="U1477" i="1"/>
  <c r="W1477" i="1"/>
  <c r="W90" i="1"/>
  <c r="T90" i="1"/>
  <c r="W1434" i="1"/>
  <c r="U1434" i="1"/>
  <c r="V1434" i="1" s="1"/>
  <c r="T1434" i="1"/>
  <c r="T1425" i="1"/>
  <c r="U1425" i="1"/>
  <c r="W638" i="1"/>
  <c r="T638" i="1"/>
  <c r="U1403" i="1"/>
  <c r="X1403" i="1" s="1"/>
  <c r="W1403" i="1"/>
  <c r="AA1403" i="1" s="1"/>
  <c r="T1366" i="1"/>
  <c r="W1366" i="1"/>
  <c r="U1366" i="1"/>
  <c r="W1338" i="1"/>
  <c r="U1338" i="1"/>
  <c r="W1177" i="1"/>
  <c r="U1177" i="1"/>
  <c r="W1148" i="1"/>
  <c r="Y1148" i="1" s="1"/>
  <c r="U1148" i="1"/>
  <c r="V1148" i="1" s="1"/>
  <c r="T1148" i="1"/>
  <c r="T1009" i="1"/>
  <c r="W1009" i="1"/>
  <c r="U1009" i="1"/>
  <c r="X1009" i="1" s="1"/>
  <c r="Z1007" i="1"/>
  <c r="S1007" i="1"/>
  <c r="T980" i="1"/>
  <c r="U980" i="1"/>
  <c r="Z941" i="1"/>
  <c r="S941" i="1"/>
  <c r="U874" i="1"/>
  <c r="T874" i="1"/>
  <c r="AA874" i="1" s="1"/>
  <c r="W828" i="1"/>
  <c r="AA828" i="1" s="1"/>
  <c r="U828" i="1"/>
  <c r="T813" i="1"/>
  <c r="W813" i="1"/>
  <c r="AA813" i="1" s="1"/>
  <c r="U784" i="1"/>
  <c r="X784" i="1" s="1"/>
  <c r="T784" i="1"/>
  <c r="W777" i="1"/>
  <c r="U777" i="1"/>
  <c r="V777" i="1" s="1"/>
  <c r="T777" i="1"/>
  <c r="T342" i="1"/>
  <c r="U342" i="1"/>
  <c r="X342" i="1" s="1"/>
  <c r="W342" i="1"/>
  <c r="T744" i="1"/>
  <c r="U744" i="1"/>
  <c r="V744" i="1" s="1"/>
  <c r="W744" i="1"/>
  <c r="U728" i="1"/>
  <c r="X728" i="1" s="1"/>
  <c r="W728" i="1"/>
  <c r="T728" i="1"/>
  <c r="W1622" i="1"/>
  <c r="AA1622" i="1" s="1"/>
  <c r="T1622" i="1"/>
  <c r="U1622" i="1"/>
  <c r="Z702" i="1"/>
  <c r="S702" i="1"/>
  <c r="T1690" i="1"/>
  <c r="T1064" i="1"/>
  <c r="S1522" i="1"/>
  <c r="T428" i="1"/>
  <c r="T443" i="1"/>
  <c r="T893" i="1"/>
  <c r="T474" i="1"/>
  <c r="U638" i="1"/>
  <c r="X638" i="1" s="1"/>
  <c r="U1276" i="1"/>
  <c r="V1276" i="1" s="1"/>
  <c r="V714" i="1"/>
  <c r="X714" i="1"/>
  <c r="W1736" i="1"/>
  <c r="Y1736" i="1" s="1"/>
  <c r="W983" i="1"/>
  <c r="W1742" i="1"/>
  <c r="AA1742" i="1" s="1"/>
  <c r="U1742" i="1"/>
  <c r="U511" i="1"/>
  <c r="T511" i="1"/>
  <c r="S1751" i="1"/>
  <c r="W1703" i="1"/>
  <c r="Y1703" i="1" s="1"/>
  <c r="U1703" i="1"/>
  <c r="S1668" i="1"/>
  <c r="W467" i="1"/>
  <c r="U467" i="1"/>
  <c r="U456" i="1"/>
  <c r="X456" i="1" s="1"/>
  <c r="T456" i="1"/>
  <c r="S450" i="1"/>
  <c r="U454" i="1"/>
  <c r="W454" i="1"/>
  <c r="S1613" i="1"/>
  <c r="W1612" i="1"/>
  <c r="T1612" i="1"/>
  <c r="U380" i="1"/>
  <c r="W380" i="1"/>
  <c r="T380" i="1"/>
  <c r="W207" i="1"/>
  <c r="U207" i="1"/>
  <c r="X207" i="1" s="1"/>
  <c r="S677" i="1"/>
  <c r="S104" i="1"/>
  <c r="W417" i="1"/>
  <c r="AA417" i="1" s="1"/>
  <c r="U417" i="1"/>
  <c r="S278" i="1"/>
  <c r="S138" i="1"/>
  <c r="S166" i="1"/>
  <c r="U131" i="1"/>
  <c r="X131" i="1" s="1"/>
  <c r="T131" i="1"/>
  <c r="W131" i="1"/>
  <c r="W506" i="1"/>
  <c r="T506" i="1"/>
  <c r="U1632" i="1"/>
  <c r="W1632" i="1"/>
  <c r="W1495" i="1"/>
  <c r="T1495" i="1"/>
  <c r="U1495" i="1"/>
  <c r="T317" i="1"/>
  <c r="AA317" i="1" s="1"/>
  <c r="U317" i="1"/>
  <c r="V317" i="1" s="1"/>
  <c r="S639" i="1"/>
  <c r="T1473" i="1"/>
  <c r="W1473" i="1"/>
  <c r="W601" i="1"/>
  <c r="AA601" i="1" s="1"/>
  <c r="U601" i="1"/>
  <c r="X601" i="1" s="1"/>
  <c r="Z1429" i="1"/>
  <c r="S1429" i="1"/>
  <c r="Z1422" i="1"/>
  <c r="S1422" i="1"/>
  <c r="S599" i="1"/>
  <c r="Z269" i="1"/>
  <c r="S269" i="1"/>
  <c r="W1337" i="1"/>
  <c r="U1337" i="1"/>
  <c r="X1337" i="1" s="1"/>
  <c r="Z1320" i="1"/>
  <c r="S1320" i="1"/>
  <c r="W1306" i="1"/>
  <c r="U1306" i="1"/>
  <c r="V1306" i="1" s="1"/>
  <c r="T1306" i="1"/>
  <c r="W1298" i="1"/>
  <c r="T1298" i="1"/>
  <c r="U1298" i="1"/>
  <c r="X1298" i="1" s="1"/>
  <c r="W1249" i="1"/>
  <c r="U1249" i="1"/>
  <c r="U1233" i="1"/>
  <c r="V1233" i="1" s="1"/>
  <c r="T1233" i="1"/>
  <c r="S378" i="1"/>
  <c r="W1184" i="1"/>
  <c r="AA1184" i="1" s="1"/>
  <c r="U1184" i="1"/>
  <c r="V1184" i="1" s="1"/>
  <c r="U1132" i="1"/>
  <c r="W1132" i="1"/>
  <c r="W1125" i="1"/>
  <c r="Y1125" i="1" s="1"/>
  <c r="T1125" i="1"/>
  <c r="W208" i="1"/>
  <c r="T208" i="1"/>
  <c r="U208" i="1"/>
  <c r="Z1097" i="1"/>
  <c r="S1097" i="1"/>
  <c r="T1085" i="1"/>
  <c r="U1085" i="1"/>
  <c r="X1085" i="1" s="1"/>
  <c r="W1085" i="1"/>
  <c r="Y1085" i="1" s="1"/>
  <c r="W1055" i="1"/>
  <c r="T1055" i="1"/>
  <c r="W987" i="1"/>
  <c r="T987" i="1"/>
  <c r="S932" i="1"/>
  <c r="Z932" i="1"/>
  <c r="U926" i="1"/>
  <c r="X926" i="1" s="1"/>
  <c r="T926" i="1"/>
  <c r="W926" i="1"/>
  <c r="U911" i="1"/>
  <c r="W911" i="1"/>
  <c r="T911" i="1"/>
  <c r="T866" i="1"/>
  <c r="W866" i="1"/>
  <c r="AA866" i="1" s="1"/>
  <c r="U866" i="1"/>
  <c r="Z30" i="1"/>
  <c r="S30" i="1"/>
  <c r="Z612" i="1"/>
  <c r="S612" i="1"/>
  <c r="Z756" i="1"/>
  <c r="S756" i="1"/>
  <c r="S749" i="1"/>
  <c r="Z749" i="1"/>
  <c r="U735" i="1"/>
  <c r="T735" i="1"/>
  <c r="S707" i="1"/>
  <c r="Z707" i="1"/>
  <c r="S1580" i="1"/>
  <c r="T682" i="1"/>
  <c r="T1456" i="1"/>
  <c r="T968" i="1"/>
  <c r="U425" i="1"/>
  <c r="V425" i="1" s="1"/>
  <c r="U987" i="1"/>
  <c r="W980" i="1"/>
  <c r="S1462" i="1"/>
  <c r="S1328" i="1"/>
  <c r="S1174" i="1"/>
  <c r="S1113" i="1"/>
  <c r="S1497" i="1"/>
  <c r="T1736" i="1"/>
  <c r="T1688" i="1"/>
  <c r="T608" i="1"/>
  <c r="AA608" i="1" s="1"/>
  <c r="T1141" i="1"/>
  <c r="T844" i="1"/>
  <c r="U1401" i="1"/>
  <c r="X1401" i="1" s="1"/>
  <c r="U613" i="1"/>
  <c r="X613" i="1" s="1"/>
  <c r="U703" i="1"/>
  <c r="W428" i="1"/>
  <c r="W1430" i="1"/>
  <c r="AA1430" i="1" s="1"/>
  <c r="W808" i="1"/>
  <c r="Z378" i="1"/>
  <c r="S672" i="1"/>
  <c r="Z1277" i="1"/>
  <c r="S1277" i="1"/>
  <c r="S1149" i="1"/>
  <c r="U1143" i="1"/>
  <c r="T1143" i="1"/>
  <c r="W1143" i="1"/>
  <c r="X1116" i="1"/>
  <c r="V1116" i="1"/>
  <c r="U1111" i="1"/>
  <c r="X1111" i="1" s="1"/>
  <c r="W1111" i="1"/>
  <c r="T1111" i="1"/>
  <c r="T1067" i="1"/>
  <c r="W1067" i="1"/>
  <c r="S1057" i="1"/>
  <c r="T946" i="1"/>
  <c r="W946" i="1"/>
  <c r="U946" i="1"/>
  <c r="V946" i="1" s="1"/>
  <c r="W1724" i="1"/>
  <c r="T1724" i="1"/>
  <c r="U1724" i="1"/>
  <c r="V1724" i="1" s="1"/>
  <c r="W536" i="1"/>
  <c r="U536" i="1"/>
  <c r="T536" i="1"/>
  <c r="U1547" i="1"/>
  <c r="X1547" i="1" s="1"/>
  <c r="T1547" i="1"/>
  <c r="T1741" i="1"/>
  <c r="W1741" i="1"/>
  <c r="Y1741" i="1" s="1"/>
  <c r="W577" i="1"/>
  <c r="AA577" i="1" s="1"/>
  <c r="U577" i="1"/>
  <c r="S1621" i="1"/>
  <c r="T465" i="1"/>
  <c r="U465" i="1"/>
  <c r="W465" i="1"/>
  <c r="T455" i="1"/>
  <c r="W455" i="1"/>
  <c r="U455" i="1"/>
  <c r="X455" i="1" s="1"/>
  <c r="T273" i="1"/>
  <c r="AA273" i="1" s="1"/>
  <c r="U273" i="1"/>
  <c r="X273" i="1" s="1"/>
  <c r="Y273" i="1" s="1"/>
  <c r="S458" i="1"/>
  <c r="U289" i="1"/>
  <c r="X289" i="1" s="1"/>
  <c r="W289" i="1"/>
  <c r="U250" i="1"/>
  <c r="V250" i="1" s="1"/>
  <c r="T250" i="1"/>
  <c r="W250" i="1"/>
  <c r="W582" i="1"/>
  <c r="U582" i="1"/>
  <c r="T136" i="1"/>
  <c r="AA136" i="1" s="1"/>
  <c r="U136" i="1"/>
  <c r="V136" i="1" s="1"/>
  <c r="W142" i="1"/>
  <c r="U142" i="1"/>
  <c r="X142" i="1" s="1"/>
  <c r="T142" i="1"/>
  <c r="U121" i="1"/>
  <c r="V121" i="1" s="1"/>
  <c r="W121" i="1"/>
  <c r="AA121" i="1" s="1"/>
  <c r="T297" i="1"/>
  <c r="W297" i="1"/>
  <c r="W507" i="1"/>
  <c r="T507" i="1"/>
  <c r="U1603" i="1"/>
  <c r="V1603" i="1" s="1"/>
  <c r="T1603" i="1"/>
  <c r="W1610" i="1"/>
  <c r="U1610" i="1"/>
  <c r="T656" i="1"/>
  <c r="U656" i="1"/>
  <c r="X656" i="1" s="1"/>
  <c r="U1486" i="1"/>
  <c r="W1486" i="1"/>
  <c r="W1453" i="1"/>
  <c r="U1453" i="1"/>
  <c r="W595" i="1"/>
  <c r="U595" i="1"/>
  <c r="W1396" i="1"/>
  <c r="AA1396" i="1" s="1"/>
  <c r="U1396" i="1"/>
  <c r="X1396" i="1" s="1"/>
  <c r="W1360" i="1"/>
  <c r="T1360" i="1"/>
  <c r="W1331" i="1"/>
  <c r="U1331" i="1"/>
  <c r="V1331" i="1" s="1"/>
  <c r="W1299" i="1"/>
  <c r="Y1299" i="1" s="1"/>
  <c r="T1299" i="1"/>
  <c r="U1299" i="1"/>
  <c r="U1291" i="1"/>
  <c r="V1291" i="1" s="1"/>
  <c r="T1291" i="1"/>
  <c r="W1651" i="1"/>
  <c r="U1651" i="1"/>
  <c r="U1234" i="1"/>
  <c r="T1234" i="1"/>
  <c r="AA1234" i="1" s="1"/>
  <c r="T91" i="1"/>
  <c r="W91" i="1"/>
  <c r="W1207" i="1"/>
  <c r="U1207" i="1"/>
  <c r="X1207" i="1" s="1"/>
  <c r="T1207" i="1"/>
  <c r="T1170" i="1"/>
  <c r="U1170" i="1"/>
  <c r="W1170" i="1"/>
  <c r="U1163" i="1"/>
  <c r="W1163" i="1"/>
  <c r="T1163" i="1"/>
  <c r="T1133" i="1"/>
  <c r="U1133" i="1"/>
  <c r="V1133" i="1" s="1"/>
  <c r="W1108" i="1"/>
  <c r="U1108" i="1"/>
  <c r="V1108" i="1" s="1"/>
  <c r="U1079" i="1"/>
  <c r="V1079" i="1" s="1"/>
  <c r="T1079" i="1"/>
  <c r="W1079" i="1"/>
  <c r="W1071" i="1"/>
  <c r="T1071" i="1"/>
  <c r="W1040" i="1"/>
  <c r="AA1040" i="1" s="1"/>
  <c r="T1040" i="1"/>
  <c r="W995" i="1"/>
  <c r="U995" i="1"/>
  <c r="X995" i="1" s="1"/>
  <c r="W951" i="1"/>
  <c r="AA951" i="1" s="1"/>
  <c r="U951" i="1"/>
  <c r="V951" i="1" s="1"/>
  <c r="U943" i="1"/>
  <c r="T943" i="1"/>
  <c r="AA943" i="1" s="1"/>
  <c r="S925" i="1"/>
  <c r="T898" i="1"/>
  <c r="U898" i="1"/>
  <c r="V898" i="1" s="1"/>
  <c r="U890" i="1"/>
  <c r="V890" i="1" s="1"/>
  <c r="W890" i="1"/>
  <c r="W867" i="1"/>
  <c r="U867" i="1"/>
  <c r="X867" i="1" s="1"/>
  <c r="W836" i="1"/>
  <c r="U836" i="1"/>
  <c r="V836" i="1" s="1"/>
  <c r="U1739" i="1"/>
  <c r="X1739" i="1" s="1"/>
  <c r="W1739" i="1"/>
  <c r="Y1739" i="1" s="1"/>
  <c r="T1739" i="1"/>
  <c r="S1733" i="1"/>
  <c r="W1746" i="1"/>
  <c r="Y1746" i="1" s="1"/>
  <c r="U1746" i="1"/>
  <c r="V1746" i="1" s="1"/>
  <c r="T1746" i="1"/>
  <c r="S569" i="1"/>
  <c r="S469" i="1"/>
  <c r="S25" i="1"/>
  <c r="T546" i="1"/>
  <c r="AA546" i="1" s="1"/>
  <c r="U546" i="1"/>
  <c r="W512" i="1"/>
  <c r="U512" i="1"/>
  <c r="V512" i="1" s="1"/>
  <c r="U423" i="1"/>
  <c r="V423" i="1" s="1"/>
  <c r="W423" i="1"/>
  <c r="T423" i="1"/>
  <c r="T1628" i="1"/>
  <c r="U1628" i="1"/>
  <c r="U353" i="1"/>
  <c r="W353" i="1"/>
  <c r="T353" i="1"/>
  <c r="S1620" i="1"/>
  <c r="S432" i="1"/>
  <c r="S1685" i="1"/>
  <c r="W1667" i="1"/>
  <c r="AA1667" i="1" s="1"/>
  <c r="T1667" i="1"/>
  <c r="S248" i="1"/>
  <c r="W480" i="1"/>
  <c r="T480" i="1"/>
  <c r="T1530" i="1"/>
  <c r="W1530" i="1"/>
  <c r="Y1530" i="1" s="1"/>
  <c r="U1530" i="1"/>
  <c r="V1530" i="1" s="1"/>
  <c r="S552" i="1"/>
  <c r="W590" i="1"/>
  <c r="U590" i="1"/>
  <c r="T590" i="1"/>
  <c r="S238" i="1"/>
  <c r="S579" i="1"/>
  <c r="U209" i="1"/>
  <c r="T209" i="1"/>
  <c r="AA209" i="1" s="1"/>
  <c r="T69" i="1"/>
  <c r="W69" i="1"/>
  <c r="U69" i="1"/>
  <c r="W181" i="1"/>
  <c r="U181" i="1"/>
  <c r="T181" i="1"/>
  <c r="S141" i="1"/>
  <c r="S1626" i="1"/>
  <c r="W1513" i="1"/>
  <c r="AA1513" i="1" s="1"/>
  <c r="U1513" i="1"/>
  <c r="V1513" i="1" s="1"/>
  <c r="T1513" i="1"/>
  <c r="S1494" i="1"/>
  <c r="Z1494" i="1"/>
  <c r="U1568" i="1"/>
  <c r="W1568" i="1"/>
  <c r="S439" i="1"/>
  <c r="Z1481" i="1"/>
  <c r="S1481" i="1"/>
  <c r="U679" i="1"/>
  <c r="W679" i="1"/>
  <c r="T679" i="1"/>
  <c r="U1460" i="1"/>
  <c r="T1460" i="1"/>
  <c r="W1460" i="1"/>
  <c r="S598" i="1"/>
  <c r="W1415" i="1"/>
  <c r="T1415" i="1"/>
  <c r="Z1394" i="1"/>
  <c r="S1394" i="1"/>
  <c r="W1389" i="1"/>
  <c r="T1389" i="1"/>
  <c r="S1369" i="1"/>
  <c r="Z1369" i="1"/>
  <c r="W1365" i="1"/>
  <c r="T1365" i="1"/>
  <c r="U1365" i="1"/>
  <c r="T1351" i="1"/>
  <c r="U1351" i="1"/>
  <c r="V1351" i="1" s="1"/>
  <c r="S1312" i="1"/>
  <c r="T1290" i="1"/>
  <c r="W1290" i="1"/>
  <c r="AA1290" i="1" s="1"/>
  <c r="T1275" i="1"/>
  <c r="W1275" i="1"/>
  <c r="U1275" i="1"/>
  <c r="T1264" i="1"/>
  <c r="U1264" i="1"/>
  <c r="W1264" i="1"/>
  <c r="Y1264" i="1" s="1"/>
  <c r="W1256" i="1"/>
  <c r="T1256" i="1"/>
  <c r="U1256" i="1"/>
  <c r="V1256" i="1" s="1"/>
  <c r="W691" i="1"/>
  <c r="U691" i="1"/>
  <c r="T691" i="1"/>
  <c r="Z1145" i="1"/>
  <c r="S1145" i="1"/>
  <c r="S759" i="1"/>
  <c r="T1596" i="1"/>
  <c r="AA1596" i="1" s="1"/>
  <c r="T556" i="1"/>
  <c r="T257" i="1"/>
  <c r="T1568" i="1"/>
  <c r="T1140" i="1"/>
  <c r="T843" i="1"/>
  <c r="U1571" i="1"/>
  <c r="V1571" i="1" s="1"/>
  <c r="U90" i="1"/>
  <c r="U1524" i="1"/>
  <c r="V1524" i="1" s="1"/>
  <c r="U1238" i="1"/>
  <c r="V1238" i="1" s="1"/>
  <c r="U267" i="1"/>
  <c r="X267" i="1" s="1"/>
  <c r="Y267" i="1" s="1"/>
  <c r="U813" i="1"/>
  <c r="W1688" i="1"/>
  <c r="W1563" i="1"/>
  <c r="AA1563" i="1" s="1"/>
  <c r="W1233" i="1"/>
  <c r="AA1233" i="1" s="1"/>
  <c r="W968" i="1"/>
  <c r="AA968" i="1" s="1"/>
  <c r="Z806" i="1"/>
  <c r="T1136" i="1"/>
  <c r="AA1136" i="1" s="1"/>
  <c r="U1136" i="1"/>
  <c r="Z1109" i="1"/>
  <c r="S1109" i="1"/>
  <c r="U1103" i="1"/>
  <c r="W1103" i="1"/>
  <c r="T1103" i="1"/>
  <c r="Z1087" i="1"/>
  <c r="S1087" i="1"/>
  <c r="U1020" i="1"/>
  <c r="W1020" i="1"/>
  <c r="V983" i="1"/>
  <c r="X983" i="1"/>
  <c r="S875" i="1"/>
  <c r="Z875" i="1"/>
  <c r="U870" i="1"/>
  <c r="T870" i="1"/>
  <c r="W870" i="1"/>
  <c r="U862" i="1"/>
  <c r="W862" i="1"/>
  <c r="T862" i="1"/>
  <c r="U831" i="1"/>
  <c r="V831" i="1" s="1"/>
  <c r="T831" i="1"/>
  <c r="W831" i="1"/>
  <c r="Z778" i="1"/>
  <c r="S778" i="1"/>
  <c r="Z729" i="1"/>
  <c r="S729" i="1"/>
  <c r="T712" i="1"/>
  <c r="U712" i="1"/>
  <c r="W712" i="1"/>
  <c r="U901" i="1"/>
  <c r="V901" i="1" s="1"/>
  <c r="Z317" i="1"/>
  <c r="S317" i="1"/>
  <c r="S1623" i="1"/>
  <c r="W555" i="1"/>
  <c r="T555" i="1"/>
  <c r="S1597" i="1"/>
  <c r="W214" i="1"/>
  <c r="AA214" i="1" s="1"/>
  <c r="U214" i="1"/>
  <c r="X214" i="1" s="1"/>
  <c r="T340" i="1"/>
  <c r="AA340" i="1" s="1"/>
  <c r="U340" i="1"/>
  <c r="W200" i="1"/>
  <c r="T200" i="1"/>
  <c r="T99" i="1"/>
  <c r="W99" i="1"/>
  <c r="U99" i="1"/>
  <c r="X99" i="1" s="1"/>
  <c r="T239" i="1"/>
  <c r="W239" i="1"/>
  <c r="U239" i="1"/>
  <c r="X239" i="1" s="1"/>
  <c r="U183" i="1"/>
  <c r="V183" i="1" s="1"/>
  <c r="W183" i="1"/>
  <c r="AA183" i="1" s="1"/>
  <c r="W1461" i="1"/>
  <c r="U1461" i="1"/>
  <c r="V1461" i="1" s="1"/>
  <c r="T1402" i="1"/>
  <c r="AA1402" i="1" s="1"/>
  <c r="U1402" i="1"/>
  <c r="U68" i="1"/>
  <c r="T68" i="1"/>
  <c r="W68" i="1"/>
  <c r="W1385" i="1"/>
  <c r="U1385" i="1"/>
  <c r="T1385" i="1"/>
  <c r="U1372" i="1"/>
  <c r="W1372" i="1"/>
  <c r="T1372" i="1"/>
  <c r="Z1350" i="1"/>
  <c r="S1350" i="1"/>
  <c r="U1323" i="1"/>
  <c r="T1323" i="1"/>
  <c r="U1283" i="1"/>
  <c r="X1283" i="1" s="1"/>
  <c r="T1283" i="1"/>
  <c r="W1283" i="1"/>
  <c r="Z280" i="1"/>
  <c r="S280" i="1"/>
  <c r="W1731" i="1"/>
  <c r="AA1731" i="1" s="1"/>
  <c r="U1731" i="1"/>
  <c r="V1731" i="1" s="1"/>
  <c r="W1242" i="1"/>
  <c r="Y1242" i="1" s="1"/>
  <c r="U1242" i="1"/>
  <c r="X1242" i="1" s="1"/>
  <c r="T1192" i="1"/>
  <c r="W1192" i="1"/>
  <c r="U1126" i="1"/>
  <c r="W1126" i="1"/>
  <c r="T1126" i="1"/>
  <c r="S1114" i="1"/>
  <c r="Z1114" i="1"/>
  <c r="U1100" i="1"/>
  <c r="X1100" i="1" s="1"/>
  <c r="T1100" i="1"/>
  <c r="W1100" i="1"/>
  <c r="W1092" i="1"/>
  <c r="AA1092" i="1" s="1"/>
  <c r="U1092" i="1"/>
  <c r="X1092" i="1" s="1"/>
  <c r="W1032" i="1"/>
  <c r="AA1032" i="1" s="1"/>
  <c r="T1032" i="1"/>
  <c r="U1032" i="1"/>
  <c r="T1017" i="1"/>
  <c r="U1017" i="1"/>
  <c r="V1017" i="1" s="1"/>
  <c r="W1017" i="1"/>
  <c r="U1001" i="1"/>
  <c r="W1001" i="1"/>
  <c r="W919" i="1"/>
  <c r="AA919" i="1" s="1"/>
  <c r="T919" i="1"/>
  <c r="U919" i="1"/>
  <c r="T906" i="1"/>
  <c r="W906" i="1"/>
  <c r="U906" i="1"/>
  <c r="S826" i="1"/>
  <c r="Z826" i="1"/>
  <c r="U805" i="1"/>
  <c r="T805" i="1"/>
  <c r="W798" i="1"/>
  <c r="U798" i="1"/>
  <c r="X798" i="1" s="1"/>
  <c r="T798" i="1"/>
  <c r="U792" i="1"/>
  <c r="W792" i="1"/>
  <c r="Y792" i="1" s="1"/>
  <c r="T792" i="1"/>
  <c r="Z790" i="1"/>
  <c r="S790" i="1"/>
  <c r="U752" i="1"/>
  <c r="T752" i="1"/>
  <c r="W752" i="1"/>
  <c r="AA752" i="1" s="1"/>
  <c r="W736" i="1"/>
  <c r="T736" i="1"/>
  <c r="U736" i="1"/>
  <c r="V736" i="1" s="1"/>
  <c r="W716" i="1"/>
  <c r="T716" i="1"/>
  <c r="T1714" i="1"/>
  <c r="T289" i="1"/>
  <c r="T1177" i="1"/>
  <c r="U1768" i="1"/>
  <c r="U33" i="1"/>
  <c r="U1025" i="1"/>
  <c r="X1025" i="1" s="1"/>
  <c r="W1291" i="1"/>
  <c r="S1343" i="1"/>
  <c r="S1029" i="1"/>
  <c r="T1378" i="1"/>
  <c r="U854" i="1"/>
  <c r="V854" i="1" s="1"/>
  <c r="W568" i="1"/>
  <c r="U568" i="1"/>
  <c r="T568" i="1"/>
  <c r="W1755" i="1"/>
  <c r="T1755" i="1"/>
  <c r="T574" i="1"/>
  <c r="W574" i="1"/>
  <c r="U574" i="1"/>
  <c r="S1527" i="1"/>
  <c r="S1675" i="1"/>
  <c r="W1631" i="1"/>
  <c r="AA1631" i="1" s="1"/>
  <c r="T1631" i="1"/>
  <c r="S471" i="1"/>
  <c r="W573" i="1"/>
  <c r="AA573" i="1" s="1"/>
  <c r="U573" i="1"/>
  <c r="S1654" i="1"/>
  <c r="W1645" i="1"/>
  <c r="U1645" i="1"/>
  <c r="T1645" i="1"/>
  <c r="S1595" i="1"/>
  <c r="S490" i="1"/>
  <c r="W604" i="1"/>
  <c r="U604" i="1"/>
  <c r="V604" i="1" s="1"/>
  <c r="T604" i="1"/>
  <c r="S247" i="1"/>
  <c r="U359" i="1"/>
  <c r="T359" i="1"/>
  <c r="AA359" i="1" s="1"/>
  <c r="S279" i="1"/>
  <c r="U120" i="1"/>
  <c r="T120" i="1"/>
  <c r="W120" i="1"/>
  <c r="U1567" i="1"/>
  <c r="X1567" i="1" s="1"/>
  <c r="W1567" i="1"/>
  <c r="T1567" i="1"/>
  <c r="W82" i="1"/>
  <c r="U82" i="1"/>
  <c r="X82" i="1" s="1"/>
  <c r="T82" i="1"/>
  <c r="W1615" i="1"/>
  <c r="AA1615" i="1" s="1"/>
  <c r="U1615" i="1"/>
  <c r="V1615" i="1" s="1"/>
  <c r="W1483" i="1"/>
  <c r="T1483" i="1"/>
  <c r="U1483" i="1"/>
  <c r="Z1480" i="1"/>
  <c r="S1480" i="1"/>
  <c r="T1476" i="1"/>
  <c r="W1476" i="1"/>
  <c r="U1476" i="1"/>
  <c r="X1476" i="1" s="1"/>
  <c r="Z309" i="1"/>
  <c r="S309" i="1"/>
  <c r="S1555" i="1"/>
  <c r="T175" i="1"/>
  <c r="U175" i="1"/>
  <c r="V175" i="1" s="1"/>
  <c r="U1443" i="1"/>
  <c r="V1443" i="1" s="1"/>
  <c r="T1443" i="1"/>
  <c r="AA1443" i="1" s="1"/>
  <c r="S35" i="1"/>
  <c r="U1531" i="1"/>
  <c r="V1531" i="1" s="1"/>
  <c r="T1531" i="1"/>
  <c r="T1419" i="1"/>
  <c r="W1419" i="1"/>
  <c r="Y1419" i="1" s="1"/>
  <c r="U1408" i="1"/>
  <c r="W1408" i="1"/>
  <c r="Z1382" i="1"/>
  <c r="S1382" i="1"/>
  <c r="Z1349" i="1"/>
  <c r="S1349" i="1"/>
  <c r="Z1288" i="1"/>
  <c r="S1288" i="1"/>
  <c r="S1239" i="1"/>
  <c r="Z1239" i="1"/>
  <c r="S1204" i="1"/>
  <c r="U1191" i="1"/>
  <c r="V1191" i="1" s="1"/>
  <c r="W1191" i="1"/>
  <c r="AA1191" i="1" s="1"/>
  <c r="W1162" i="1"/>
  <c r="Y1162" i="1" s="1"/>
  <c r="U1162" i="1"/>
  <c r="T1162" i="1"/>
  <c r="S1153" i="1"/>
  <c r="T1107" i="1"/>
  <c r="W1107" i="1"/>
  <c r="U1107" i="1"/>
  <c r="X1107" i="1" s="1"/>
  <c r="Z1083" i="1"/>
  <c r="S1083" i="1"/>
  <c r="Z1069" i="1"/>
  <c r="S1069" i="1"/>
  <c r="U1047" i="1"/>
  <c r="V1047" i="1" s="1"/>
  <c r="T1047" i="1"/>
  <c r="Z1037" i="1"/>
  <c r="S1037" i="1"/>
  <c r="S1014" i="1"/>
  <c r="T994" i="1"/>
  <c r="W994" i="1"/>
  <c r="U994" i="1"/>
  <c r="S963" i="1"/>
  <c r="W958" i="1"/>
  <c r="T958" i="1"/>
  <c r="S956" i="1"/>
  <c r="Z956" i="1"/>
  <c r="W950" i="1"/>
  <c r="T950" i="1"/>
  <c r="U950" i="1"/>
  <c r="V950" i="1" s="1"/>
  <c r="W942" i="1"/>
  <c r="AA942" i="1" s="1"/>
  <c r="U942" i="1"/>
  <c r="V942" i="1" s="1"/>
  <c r="Z940" i="1"/>
  <c r="S940" i="1"/>
  <c r="W858" i="1"/>
  <c r="T858" i="1"/>
  <c r="Z856" i="1"/>
  <c r="S856" i="1"/>
  <c r="Z848" i="1"/>
  <c r="S848" i="1"/>
  <c r="U835" i="1"/>
  <c r="V835" i="1" s="1"/>
  <c r="T835" i="1"/>
  <c r="W835" i="1"/>
  <c r="U827" i="1"/>
  <c r="W827" i="1"/>
  <c r="AA827" i="1" s="1"/>
  <c r="U820" i="1"/>
  <c r="V820" i="1" s="1"/>
  <c r="W820" i="1"/>
  <c r="T820" i="1"/>
  <c r="W804" i="1"/>
  <c r="U804" i="1"/>
  <c r="T804" i="1"/>
  <c r="U1534" i="1"/>
  <c r="T1534" i="1"/>
  <c r="T791" i="1"/>
  <c r="W791" i="1"/>
  <c r="Z789" i="1"/>
  <c r="S789" i="1"/>
  <c r="T743" i="1"/>
  <c r="U743" i="1"/>
  <c r="X743" i="1" s="1"/>
  <c r="W743" i="1"/>
  <c r="W721" i="1"/>
  <c r="AA721" i="1" s="1"/>
  <c r="T721" i="1"/>
  <c r="U721" i="1"/>
  <c r="W715" i="1"/>
  <c r="T715" i="1"/>
  <c r="S365" i="1"/>
  <c r="Z701" i="1"/>
  <c r="S701" i="1"/>
  <c r="S1120" i="1"/>
  <c r="S1022" i="1"/>
  <c r="S772" i="1"/>
  <c r="T1529" i="1"/>
  <c r="T1518" i="1"/>
  <c r="T890" i="1"/>
  <c r="T776" i="1"/>
  <c r="AA776" i="1" s="1"/>
  <c r="U652" i="1"/>
  <c r="X652" i="1" s="1"/>
  <c r="Y652" i="1" s="1"/>
  <c r="U1419" i="1"/>
  <c r="W1578" i="1"/>
  <c r="AA1578" i="1" s="1"/>
  <c r="W233" i="1"/>
  <c r="W1439" i="1"/>
  <c r="Y1439" i="1" s="1"/>
  <c r="W33" i="1"/>
  <c r="AA33" i="1" s="1"/>
  <c r="W854" i="1"/>
  <c r="AA854" i="1" s="1"/>
  <c r="Z685" i="1"/>
  <c r="S1454" i="1"/>
  <c r="S1281" i="1"/>
  <c r="S1167" i="1"/>
  <c r="S1080" i="1"/>
  <c r="S990" i="1"/>
  <c r="S845" i="1"/>
  <c r="T1749" i="1"/>
  <c r="T652" i="1"/>
  <c r="AA652" i="1" s="1"/>
  <c r="T190" i="1"/>
  <c r="T680" i="1"/>
  <c r="T595" i="1"/>
  <c r="T1315" i="1"/>
  <c r="T1132" i="1"/>
  <c r="T959" i="1"/>
  <c r="AA959" i="1" s="1"/>
  <c r="T839" i="1"/>
  <c r="T1590" i="1"/>
  <c r="U1737" i="1"/>
  <c r="U589" i="1"/>
  <c r="U1473" i="1"/>
  <c r="U961" i="1"/>
  <c r="U812" i="1"/>
  <c r="W1528" i="1"/>
  <c r="AA1528" i="1" s="1"/>
  <c r="W346" i="1"/>
  <c r="W1425" i="1"/>
  <c r="W965" i="1"/>
  <c r="W795" i="1"/>
  <c r="Z963" i="1"/>
  <c r="S1072" i="1"/>
  <c r="U1051" i="1"/>
  <c r="X1051" i="1" s="1"/>
  <c r="W1051" i="1"/>
  <c r="T1051" i="1"/>
  <c r="S1041" i="1"/>
  <c r="Z1018" i="1"/>
  <c r="S1018" i="1"/>
  <c r="T991" i="1"/>
  <c r="U991" i="1"/>
  <c r="W991" i="1"/>
  <c r="Z868" i="1"/>
  <c r="S868" i="1"/>
  <c r="S829" i="1"/>
  <c r="Z829" i="1"/>
  <c r="U824" i="1"/>
  <c r="W824" i="1"/>
  <c r="AA824" i="1" s="1"/>
  <c r="T739" i="1"/>
  <c r="U739" i="1"/>
  <c r="X739" i="1" s="1"/>
  <c r="W739" i="1"/>
  <c r="Y739" i="1" s="1"/>
  <c r="W724" i="1"/>
  <c r="T724" i="1"/>
  <c r="U724" i="1"/>
  <c r="Z722" i="1"/>
  <c r="S722" i="1"/>
  <c r="Z656" i="1"/>
  <c r="S656" i="1"/>
  <c r="S227" i="1"/>
  <c r="Z207" i="1"/>
  <c r="S207" i="1"/>
  <c r="T1573" i="1"/>
  <c r="T901" i="1"/>
  <c r="U550" i="1"/>
  <c r="V550" i="1" s="1"/>
  <c r="W550" i="1"/>
  <c r="T550" i="1"/>
  <c r="S1677" i="1"/>
  <c r="U1538" i="1"/>
  <c r="W1538" i="1"/>
  <c r="T1538" i="1"/>
  <c r="W1669" i="1"/>
  <c r="T1669" i="1"/>
  <c r="U1669" i="1"/>
  <c r="W693" i="1"/>
  <c r="AA693" i="1" s="1"/>
  <c r="U693" i="1"/>
  <c r="S389" i="1"/>
  <c r="U400" i="1"/>
  <c r="W400" i="1"/>
  <c r="T400" i="1"/>
  <c r="W258" i="1"/>
  <c r="T258" i="1"/>
  <c r="W1693" i="1"/>
  <c r="T1693" i="1"/>
  <c r="T316" i="1"/>
  <c r="U316" i="1"/>
  <c r="W316" i="1"/>
  <c r="W484" i="1"/>
  <c r="U484" i="1"/>
  <c r="T51" i="1"/>
  <c r="U51" i="1"/>
  <c r="X51" i="1" s="1"/>
  <c r="W51" i="1"/>
  <c r="W584" i="1"/>
  <c r="U584" i="1"/>
  <c r="U127" i="1"/>
  <c r="X127" i="1" s="1"/>
  <c r="T127" i="1"/>
  <c r="W127" i="1"/>
  <c r="W1666" i="1"/>
  <c r="AA1666" i="1" s="1"/>
  <c r="T1666" i="1"/>
  <c r="W1629" i="1"/>
  <c r="T1629" i="1"/>
  <c r="W1496" i="1"/>
  <c r="T1496" i="1"/>
  <c r="U1496" i="1"/>
  <c r="Z641" i="1"/>
  <c r="S641" i="1"/>
  <c r="W1457" i="1"/>
  <c r="AA1457" i="1" s="1"/>
  <c r="U1457" i="1"/>
  <c r="V1457" i="1" s="1"/>
  <c r="U1451" i="1"/>
  <c r="W1451" i="1"/>
  <c r="AA1451" i="1" s="1"/>
  <c r="W567" i="1"/>
  <c r="T567" i="1"/>
  <c r="Z1377" i="1"/>
  <c r="S1377" i="1"/>
  <c r="Z563" i="1"/>
  <c r="Z135" i="1"/>
  <c r="Z1521" i="1"/>
  <c r="Z1661" i="1"/>
  <c r="Z1562" i="1"/>
  <c r="Z363" i="1"/>
  <c r="Z61" i="1"/>
  <c r="S61" i="1"/>
  <c r="Z647" i="1"/>
  <c r="Z540" i="1"/>
  <c r="Z6" i="1"/>
  <c r="Z296" i="1"/>
  <c r="Z1586" i="1"/>
  <c r="Z361" i="1"/>
  <c r="Z193" i="1"/>
  <c r="U1399" i="1"/>
  <c r="X1399" i="1" s="1"/>
  <c r="T1399" i="1"/>
  <c r="Z1309" i="1"/>
  <c r="S1309" i="1"/>
  <c r="Z1301" i="1"/>
  <c r="S1301" i="1"/>
  <c r="W1280" i="1"/>
  <c r="U1280" i="1"/>
  <c r="X1280" i="1" s="1"/>
  <c r="T1280" i="1"/>
  <c r="Z1278" i="1"/>
  <c r="S1278" i="1"/>
  <c r="W1246" i="1"/>
  <c r="T1246" i="1"/>
  <c r="Z1228" i="1"/>
  <c r="S1228" i="1"/>
  <c r="Z1221" i="1"/>
  <c r="S1221" i="1"/>
  <c r="U1217" i="1"/>
  <c r="V1217" i="1" s="1"/>
  <c r="T1217" i="1"/>
  <c r="Z1215" i="1"/>
  <c r="S1215" i="1"/>
  <c r="Z1201" i="1"/>
  <c r="S1201" i="1"/>
  <c r="Z1142" i="1"/>
  <c r="S1142" i="1"/>
  <c r="T1117" i="1"/>
  <c r="W1117" i="1"/>
  <c r="Y1117" i="1" s="1"/>
  <c r="Z1088" i="1"/>
  <c r="S1088" i="1"/>
  <c r="Z1034" i="1"/>
  <c r="S1034" i="1"/>
  <c r="Z1019" i="1"/>
  <c r="S1019" i="1"/>
  <c r="T923" i="1"/>
  <c r="U923" i="1"/>
  <c r="W923" i="1"/>
  <c r="U908" i="1"/>
  <c r="V908" i="1" s="1"/>
  <c r="W908" i="1"/>
  <c r="Y908" i="1" s="1"/>
  <c r="S1575" i="1"/>
  <c r="S1076" i="1"/>
  <c r="S989" i="1"/>
  <c r="S841" i="1"/>
  <c r="T1737" i="1"/>
  <c r="AA1737" i="1" s="1"/>
  <c r="T207" i="1"/>
  <c r="T233" i="1"/>
  <c r="T1486" i="1"/>
  <c r="T1314" i="1"/>
  <c r="T1016" i="1"/>
  <c r="T836" i="1"/>
  <c r="U393" i="1"/>
  <c r="V393" i="1" s="1"/>
  <c r="U328" i="1"/>
  <c r="U91" i="1"/>
  <c r="U1071" i="1"/>
  <c r="U959" i="1"/>
  <c r="U791" i="1"/>
  <c r="V791" i="1" s="1"/>
  <c r="V1467" i="1"/>
  <c r="W463" i="1"/>
  <c r="W72" i="1"/>
  <c r="W1351" i="1"/>
  <c r="W1217" i="1"/>
  <c r="W1048" i="1"/>
  <c r="AA1048" i="1" s="1"/>
  <c r="W784" i="1"/>
  <c r="Z599" i="1"/>
  <c r="Z1149" i="1"/>
  <c r="Z925" i="1"/>
  <c r="Z876" i="1"/>
  <c r="S876" i="1"/>
  <c r="W796" i="1"/>
  <c r="U796" i="1"/>
  <c r="T796" i="1"/>
  <c r="S760" i="1"/>
  <c r="Z760" i="1"/>
  <c r="U755" i="1"/>
  <c r="V755" i="1" s="1"/>
  <c r="W755" i="1"/>
  <c r="AA755" i="1" s="1"/>
  <c r="Z738" i="1"/>
  <c r="S738" i="1"/>
  <c r="W676" i="1"/>
  <c r="T676" i="1"/>
  <c r="U676" i="1"/>
  <c r="X676" i="1" s="1"/>
  <c r="S498" i="1"/>
  <c r="S218" i="1"/>
  <c r="S418" i="1"/>
  <c r="Z388" i="1"/>
  <c r="W1623" i="1"/>
  <c r="Y1623" i="1" s="1"/>
  <c r="U1623" i="1"/>
  <c r="V1623" i="1" s="1"/>
  <c r="Z1418" i="1"/>
  <c r="S1418" i="1"/>
  <c r="W1546" i="1"/>
  <c r="AA1546" i="1" s="1"/>
  <c r="U1546" i="1"/>
  <c r="V1546" i="1" s="1"/>
  <c r="S1261" i="1"/>
  <c r="S1223" i="1"/>
  <c r="Z1203" i="1"/>
  <c r="S1203" i="1"/>
  <c r="S1137" i="1"/>
  <c r="Z1068" i="1"/>
  <c r="S1068" i="1"/>
  <c r="S840" i="1"/>
  <c r="Z840" i="1"/>
  <c r="T834" i="1"/>
  <c r="W834" i="1"/>
  <c r="Z809" i="1"/>
  <c r="S809" i="1"/>
  <c r="U803" i="1"/>
  <c r="X803" i="1" s="1"/>
  <c r="W803" i="1"/>
  <c r="S767" i="1"/>
  <c r="Z767" i="1"/>
  <c r="W763" i="1"/>
  <c r="AA763" i="1" s="1"/>
  <c r="T763" i="1"/>
  <c r="W750" i="1"/>
  <c r="U750" i="1"/>
  <c r="X750" i="1" s="1"/>
  <c r="W720" i="1"/>
  <c r="U720" i="1"/>
  <c r="X720" i="1" s="1"/>
  <c r="T714" i="1"/>
  <c r="W714" i="1"/>
  <c r="S725" i="1"/>
  <c r="Z116" i="1"/>
  <c r="S160" i="1"/>
  <c r="Z160" i="1"/>
  <c r="S168" i="1"/>
  <c r="Z1492" i="1"/>
  <c r="S1492" i="1"/>
  <c r="S1470" i="1"/>
  <c r="Z177" i="1"/>
  <c r="S177" i="1"/>
  <c r="S1356" i="1"/>
  <c r="Z1356" i="1"/>
  <c r="T1329" i="1"/>
  <c r="W1329" i="1"/>
  <c r="AA1329" i="1" s="1"/>
  <c r="S1295" i="1"/>
  <c r="S1287" i="1"/>
  <c r="Z1287" i="1"/>
  <c r="S1211" i="1"/>
  <c r="Z1211" i="1"/>
  <c r="S1181" i="1"/>
  <c r="Z1144" i="1"/>
  <c r="S1144" i="1"/>
  <c r="U1124" i="1"/>
  <c r="W1124" i="1"/>
  <c r="T1124" i="1"/>
  <c r="W1118" i="1"/>
  <c r="T1118" i="1"/>
  <c r="W100" i="1"/>
  <c r="T100" i="1"/>
  <c r="Z1021" i="1"/>
  <c r="S1021" i="1"/>
  <c r="S1013" i="1"/>
  <c r="T1007" i="1"/>
  <c r="W1007" i="1"/>
  <c r="S1005" i="1"/>
  <c r="U999" i="1"/>
  <c r="W999" i="1"/>
  <c r="Y999" i="1" s="1"/>
  <c r="U993" i="1"/>
  <c r="T993" i="1"/>
  <c r="S976" i="1"/>
  <c r="W970" i="1"/>
  <c r="T970" i="1"/>
  <c r="U933" i="1"/>
  <c r="V933" i="1" s="1"/>
  <c r="T933" i="1"/>
  <c r="W933" i="1"/>
  <c r="W925" i="1"/>
  <c r="U925" i="1"/>
  <c r="X925" i="1" s="1"/>
  <c r="T925" i="1"/>
  <c r="S886" i="1"/>
  <c r="Z886" i="1"/>
  <c r="U37" i="1"/>
  <c r="V37" i="1" s="1"/>
  <c r="T37" i="1"/>
  <c r="AA37" i="1" s="1"/>
  <c r="S855" i="1"/>
  <c r="Z855" i="1"/>
  <c r="S1217" i="1"/>
  <c r="S1036" i="1"/>
  <c r="S955" i="1"/>
  <c r="T1161" i="1"/>
  <c r="AA1161" i="1" s="1"/>
  <c r="T740" i="1"/>
  <c r="U918" i="1"/>
  <c r="V918" i="1" s="1"/>
  <c r="W660" i="1"/>
  <c r="W1190" i="1"/>
  <c r="T371" i="1"/>
  <c r="W371" i="1"/>
  <c r="S1104" i="1"/>
  <c r="Z1104" i="1"/>
  <c r="W1098" i="1"/>
  <c r="Y1098" i="1" s="1"/>
  <c r="T1098" i="1"/>
  <c r="Z667" i="1"/>
  <c r="Z520" i="1"/>
  <c r="Z534" i="1"/>
  <c r="Z1753" i="1"/>
  <c r="Z488" i="1"/>
  <c r="Z1727" i="1"/>
  <c r="Z1639" i="1"/>
  <c r="Z360" i="1"/>
  <c r="Z17" i="1"/>
  <c r="Z1683" i="1"/>
  <c r="Z497" i="1"/>
  <c r="Z478" i="1"/>
  <c r="Z518" i="1"/>
  <c r="Z657" i="1"/>
  <c r="Z438" i="1"/>
  <c r="Z331" i="1"/>
  <c r="Z379" i="1"/>
  <c r="Z624" i="1"/>
  <c r="X1097" i="1"/>
  <c r="V1097" i="1"/>
  <c r="S614" i="1"/>
  <c r="S853" i="1"/>
  <c r="S676" i="1"/>
  <c r="W993" i="1"/>
  <c r="Z976" i="1"/>
  <c r="S1707" i="1"/>
  <c r="Z569" i="1"/>
  <c r="Z1539" i="1"/>
  <c r="Z578" i="1"/>
  <c r="S363" i="1"/>
  <c r="Z561" i="1"/>
  <c r="Z450" i="1"/>
  <c r="S647" i="1"/>
  <c r="S402" i="1"/>
  <c r="Z1685" i="1"/>
  <c r="Z248" i="1"/>
  <c r="Z515" i="1"/>
  <c r="Z228" i="1"/>
  <c r="Z559" i="1"/>
  <c r="Z436" i="1"/>
  <c r="Z677" i="1"/>
  <c r="S664" i="1"/>
  <c r="Z457" i="1"/>
  <c r="Z104" i="1"/>
  <c r="Z490" i="1"/>
  <c r="Z459" i="1"/>
  <c r="Z138" i="1"/>
  <c r="S112" i="1"/>
  <c r="Z158" i="1"/>
  <c r="Z237" i="1"/>
  <c r="Z247" i="1"/>
  <c r="Z238" i="1"/>
  <c r="Z166" i="1"/>
  <c r="Z279" i="1"/>
  <c r="Z164" i="1"/>
  <c r="Z141" i="1"/>
  <c r="Z75" i="1"/>
  <c r="Z1626" i="1"/>
  <c r="Z421" i="1"/>
  <c r="Z639" i="1"/>
  <c r="Z439" i="1"/>
  <c r="Z598" i="1"/>
  <c r="S788" i="1"/>
  <c r="T1466" i="1"/>
  <c r="T1154" i="1"/>
  <c r="AA1154" i="1" s="1"/>
  <c r="V829" i="1"/>
  <c r="W740" i="1"/>
  <c r="Y740" i="1" s="1"/>
  <c r="Z1451" i="1"/>
  <c r="U1215" i="1"/>
  <c r="X1215" i="1" s="1"/>
  <c r="T1215" i="1"/>
  <c r="W1215" i="1"/>
  <c r="Z1170" i="1"/>
  <c r="S1170" i="1"/>
  <c r="Z1100" i="1"/>
  <c r="S1100" i="1"/>
  <c r="U1019" i="1"/>
  <c r="V1019" i="1" s="1"/>
  <c r="W1019" i="1"/>
  <c r="Z1701" i="1"/>
  <c r="S1351" i="1"/>
  <c r="S703" i="1"/>
  <c r="T1080" i="1"/>
  <c r="S613" i="1"/>
  <c r="S751" i="1"/>
  <c r="W1293" i="1"/>
  <c r="AA1293" i="1" s="1"/>
  <c r="W1080" i="1"/>
  <c r="Z175" i="1"/>
  <c r="T690" i="1"/>
  <c r="W690" i="1"/>
  <c r="U690" i="1"/>
  <c r="X690" i="1" s="1"/>
  <c r="U1397" i="1"/>
  <c r="X1397" i="1" s="1"/>
  <c r="W1397" i="1"/>
  <c r="U1214" i="1"/>
  <c r="W1214" i="1"/>
  <c r="W410" i="1"/>
  <c r="AA410" i="1" s="1"/>
  <c r="U410" i="1"/>
  <c r="Z1140" i="1"/>
  <c r="S1140" i="1"/>
  <c r="Z942" i="1"/>
  <c r="S942" i="1"/>
  <c r="W852" i="1"/>
  <c r="T852" i="1"/>
  <c r="S820" i="1"/>
  <c r="T1018" i="1"/>
  <c r="Z1671" i="1"/>
  <c r="Z10" i="1"/>
  <c r="Z408" i="1"/>
  <c r="Z384" i="1"/>
  <c r="Z389" i="1"/>
  <c r="Z409" i="1"/>
  <c r="Z482" i="1"/>
  <c r="Z307" i="1"/>
  <c r="Z354" i="1"/>
  <c r="Z625" i="1"/>
  <c r="Z371" i="1"/>
  <c r="Z666" i="1"/>
  <c r="Z182" i="1"/>
  <c r="Z53" i="1"/>
  <c r="Z222" i="1"/>
  <c r="Z173" i="1"/>
  <c r="Z225" i="1"/>
  <c r="Z253" i="1"/>
  <c r="Z126" i="1"/>
  <c r="S631" i="1"/>
  <c r="Z67" i="1"/>
  <c r="Z1627" i="1"/>
  <c r="Z1549" i="1"/>
  <c r="S1173" i="1"/>
  <c r="S1103" i="1"/>
  <c r="U1400" i="1"/>
  <c r="Z147" i="1"/>
  <c r="Z265" i="1"/>
  <c r="W57" i="1"/>
  <c r="T57" i="1"/>
  <c r="U909" i="1"/>
  <c r="W909" i="1"/>
  <c r="AA909" i="1" s="1"/>
  <c r="W1497" i="1"/>
  <c r="Y1497" i="1" s="1"/>
  <c r="T1497" i="1"/>
  <c r="T365" i="1"/>
  <c r="W365" i="1"/>
  <c r="U707" i="1"/>
  <c r="W707" i="1"/>
  <c r="AA707" i="1" s="1"/>
  <c r="W48" i="1"/>
  <c r="AA48" i="1" s="1"/>
  <c r="Z48" i="1"/>
  <c r="U48" i="1"/>
  <c r="Z87" i="1"/>
  <c r="W44" i="1"/>
  <c r="Y44" i="1" s="1"/>
  <c r="Z44" i="1"/>
  <c r="Z672" i="1"/>
  <c r="U477" i="1"/>
  <c r="X477" i="1" s="1"/>
  <c r="T582" i="1"/>
  <c r="U452" i="1"/>
  <c r="V452" i="1" s="1"/>
  <c r="S566" i="1"/>
  <c r="T1660" i="1"/>
  <c r="U1660" i="1"/>
  <c r="V1660" i="1" s="1"/>
  <c r="Z416" i="1"/>
  <c r="U315" i="1"/>
  <c r="S315" i="1"/>
  <c r="W376" i="1"/>
  <c r="Y376" i="1" s="1"/>
  <c r="T376" i="1"/>
  <c r="T102" i="1"/>
  <c r="AA102" i="1" s="1"/>
  <c r="U1528" i="1"/>
  <c r="W187" i="1"/>
  <c r="AA187" i="1" s="1"/>
  <c r="Z516" i="1"/>
  <c r="W1704" i="1"/>
  <c r="U555" i="1"/>
  <c r="T1704" i="1"/>
  <c r="U102" i="1"/>
  <c r="V102" i="1" s="1"/>
  <c r="Z305" i="1"/>
  <c r="Z133" i="1"/>
  <c r="U373" i="1"/>
  <c r="S133" i="1"/>
  <c r="V501" i="1"/>
  <c r="X501" i="1"/>
  <c r="S75" i="1"/>
  <c r="S140" i="1"/>
  <c r="W315" i="1"/>
  <c r="AA315" i="1" s="1"/>
  <c r="U152" i="1"/>
  <c r="S172" i="1"/>
  <c r="Z172" i="1"/>
  <c r="Z1595" i="1"/>
  <c r="Z112" i="1"/>
  <c r="Z392" i="1"/>
  <c r="Z358" i="1"/>
  <c r="U335" i="1"/>
  <c r="T1220" i="1"/>
  <c r="V1749" i="1"/>
  <c r="V680" i="1"/>
  <c r="X365" i="1"/>
  <c r="X227" i="1"/>
  <c r="Y1769" i="1"/>
  <c r="AB1769" i="1" s="1"/>
  <c r="V688" i="1"/>
  <c r="V1563" i="1"/>
  <c r="V1395" i="1"/>
  <c r="V1573" i="1"/>
  <c r="W758" i="1"/>
  <c r="AA758" i="1" s="1"/>
  <c r="U758" i="1"/>
  <c r="V758" i="1" s="1"/>
  <c r="Z473" i="1"/>
  <c r="S370" i="1"/>
  <c r="Z370" i="1"/>
  <c r="Z298" i="1"/>
  <c r="Z330" i="1"/>
  <c r="Z1635" i="1"/>
  <c r="S1601" i="1"/>
  <c r="Z1601" i="1"/>
  <c r="S155" i="1"/>
  <c r="AA1665" i="1"/>
  <c r="Y1665" i="1"/>
  <c r="U1665" i="1"/>
  <c r="T1665" i="1"/>
  <c r="U1588" i="1"/>
  <c r="U358" i="1"/>
  <c r="W358" i="1"/>
  <c r="AA358" i="1" s="1"/>
  <c r="W1588" i="1"/>
  <c r="V575" i="1"/>
  <c r="X575" i="1"/>
  <c r="Z575" i="1"/>
  <c r="Z468" i="1"/>
  <c r="S305" i="1"/>
  <c r="Z464" i="1"/>
  <c r="U217" i="1"/>
  <c r="Z13" i="1"/>
  <c r="Z217" i="1"/>
  <c r="U517" i="1"/>
  <c r="V517" i="1" s="1"/>
  <c r="T245" i="1"/>
  <c r="AA245" i="1" s="1"/>
  <c r="W217" i="1"/>
  <c r="AA217" i="1" s="1"/>
  <c r="W517" i="1"/>
  <c r="AA517" i="1" s="1"/>
  <c r="T1695" i="1"/>
  <c r="Z25" i="1"/>
  <c r="U245" i="1"/>
  <c r="V245" i="1" s="1"/>
  <c r="W1695" i="1"/>
  <c r="AA1695" i="1" s="1"/>
  <c r="T13" i="1"/>
  <c r="T337" i="1"/>
  <c r="T1537" i="1"/>
  <c r="Z686" i="1"/>
  <c r="T1632" i="1"/>
  <c r="Z28" i="1"/>
  <c r="Z270" i="1"/>
  <c r="Z445" i="1"/>
  <c r="Z422" i="1"/>
  <c r="Z255" i="1"/>
  <c r="Z170" i="1"/>
  <c r="W485" i="1"/>
  <c r="AA485" i="1" s="1"/>
  <c r="S235" i="1"/>
  <c r="U696" i="1"/>
  <c r="X696" i="1" s="1"/>
  <c r="W1624" i="1"/>
  <c r="Y1624" i="1" s="1"/>
  <c r="Z640" i="1"/>
  <c r="Z259" i="1"/>
  <c r="Z80" i="1"/>
  <c r="Z1656" i="1"/>
  <c r="Z1491" i="1"/>
  <c r="T467" i="1"/>
  <c r="U81" i="1"/>
  <c r="Z235" i="1"/>
  <c r="Z191" i="1"/>
  <c r="T512" i="1"/>
  <c r="T81" i="1"/>
  <c r="AA81" i="1" s="1"/>
  <c r="U1585" i="1"/>
  <c r="V1585" i="1" s="1"/>
  <c r="T385" i="1"/>
  <c r="AA385" i="1" s="1"/>
  <c r="U637" i="1"/>
  <c r="V637" i="1" s="1"/>
  <c r="S191" i="1"/>
  <c r="T634" i="1"/>
  <c r="AA634" i="1" s="1"/>
  <c r="W175" i="1"/>
  <c r="W452" i="1"/>
  <c r="AA452" i="1" s="1"/>
  <c r="Z505" i="1"/>
  <c r="Z461" i="1"/>
  <c r="Z39" i="1"/>
  <c r="Z341" i="1"/>
  <c r="Z266" i="1"/>
  <c r="U485" i="1"/>
  <c r="X485" i="1" s="1"/>
  <c r="Z20" i="1"/>
  <c r="W637" i="1"/>
  <c r="AA637" i="1" s="1"/>
  <c r="Z7" i="1"/>
  <c r="Z491" i="1"/>
  <c r="Z402" i="1"/>
  <c r="Z49" i="1"/>
  <c r="Z664" i="1"/>
  <c r="U634" i="1"/>
  <c r="W373" i="1"/>
  <c r="AA373" i="1" s="1"/>
  <c r="T44" i="1"/>
  <c r="Z40" i="1"/>
  <c r="W339" i="1"/>
  <c r="AA339" i="1" s="1"/>
  <c r="Z122" i="1"/>
  <c r="Z179" i="1"/>
  <c r="Z206" i="1"/>
  <c r="Z529" i="1"/>
  <c r="T344" i="1"/>
  <c r="AA344" i="1" s="1"/>
  <c r="U344" i="1"/>
  <c r="V344" i="1" s="1"/>
  <c r="U385" i="1"/>
  <c r="X385" i="1" s="1"/>
  <c r="Y385" i="1" s="1"/>
  <c r="V958" i="1"/>
  <c r="X958" i="1"/>
  <c r="Y1043" i="1"/>
  <c r="AA1043" i="1"/>
  <c r="V695" i="1"/>
  <c r="X695" i="1"/>
  <c r="X1666" i="1"/>
  <c r="V1666" i="1"/>
  <c r="V1658" i="1"/>
  <c r="X1658" i="1"/>
  <c r="Y1701" i="1"/>
  <c r="AA1701" i="1"/>
  <c r="Y1768" i="1"/>
  <c r="AB1768" i="1" s="1"/>
  <c r="V968" i="1"/>
  <c r="Y882" i="1"/>
  <c r="AB882" i="1" s="1"/>
  <c r="Y735" i="1"/>
  <c r="AA735" i="1"/>
  <c r="X135" i="1"/>
  <c r="V818" i="1"/>
  <c r="X1631" i="1"/>
  <c r="Y1213" i="1"/>
  <c r="AA1213" i="1"/>
  <c r="AA801" i="1"/>
  <c r="Y801" i="1"/>
  <c r="AA1529" i="1"/>
  <c r="Y1529" i="1"/>
  <c r="V1139" i="1"/>
  <c r="X1139" i="1"/>
  <c r="V1246" i="1"/>
  <c r="X790" i="1"/>
  <c r="V790" i="1"/>
  <c r="Y1031" i="1"/>
  <c r="AB1031" i="1" s="1"/>
  <c r="Y1660" i="1"/>
  <c r="AB1660" i="1" s="1"/>
  <c r="V212" i="1"/>
  <c r="X843" i="1"/>
  <c r="V910" i="1"/>
  <c r="X910" i="1"/>
  <c r="AA1047" i="1"/>
  <c r="Y1047" i="1"/>
  <c r="V1471" i="1"/>
  <c r="V1117" i="1"/>
  <c r="Y1547" i="1"/>
  <c r="AB1547" i="1" s="1"/>
  <c r="AC1547" i="1" s="1"/>
  <c r="AA709" i="1"/>
  <c r="AB709" i="1" s="1"/>
  <c r="S333" i="1"/>
  <c r="X176" i="1"/>
  <c r="V176" i="1"/>
  <c r="V404" i="1"/>
  <c r="X404" i="1"/>
  <c r="AA1562" i="1"/>
  <c r="Y1562" i="1"/>
  <c r="X514" i="1"/>
  <c r="V514" i="1"/>
  <c r="X77" i="1"/>
  <c r="V77" i="1"/>
  <c r="X1740" i="1"/>
  <c r="V1740" i="1"/>
  <c r="X241" i="1"/>
  <c r="V241" i="1"/>
  <c r="X543" i="1"/>
  <c r="V543" i="1"/>
  <c r="X449" i="1"/>
  <c r="V449" i="1"/>
  <c r="V98" i="1"/>
  <c r="X98" i="1"/>
  <c r="X149" i="1"/>
  <c r="V149" i="1"/>
  <c r="S1676" i="1"/>
  <c r="Z1676" i="1"/>
  <c r="U394" i="1"/>
  <c r="W394" i="1"/>
  <c r="T394" i="1"/>
  <c r="Z396" i="1"/>
  <c r="S396" i="1"/>
  <c r="S632" i="1"/>
  <c r="Z632" i="1"/>
  <c r="S481" i="1"/>
  <c r="Z481" i="1"/>
  <c r="Z1643" i="1"/>
  <c r="S1643" i="1"/>
  <c r="W130" i="1"/>
  <c r="T130" i="1"/>
  <c r="U130" i="1"/>
  <c r="W110" i="1"/>
  <c r="U110" i="1"/>
  <c r="T110" i="1"/>
  <c r="Z241" i="1"/>
  <c r="S241" i="1"/>
  <c r="U490" i="1"/>
  <c r="T490" i="1"/>
  <c r="W490" i="1"/>
  <c r="S332" i="1"/>
  <c r="Z332" i="1"/>
  <c r="S231" i="1"/>
  <c r="Z231" i="1"/>
  <c r="U635" i="1"/>
  <c r="W635" i="1"/>
  <c r="T635" i="1"/>
  <c r="Z597" i="1"/>
  <c r="S597" i="1"/>
  <c r="Z1527" i="1"/>
  <c r="Z1730" i="1"/>
  <c r="X1272" i="1"/>
  <c r="V1272" i="1"/>
  <c r="Z1752" i="1"/>
  <c r="S1752" i="1"/>
  <c r="W1716" i="1"/>
  <c r="U1716" i="1"/>
  <c r="T1716" i="1"/>
  <c r="T1734" i="1"/>
  <c r="W1734" i="1"/>
  <c r="U1734" i="1"/>
  <c r="S163" i="1"/>
  <c r="Z163" i="1"/>
  <c r="Z1638" i="1"/>
  <c r="S1638" i="1"/>
  <c r="S395" i="1"/>
  <c r="Z395" i="1"/>
  <c r="U527" i="1"/>
  <c r="T527" i="1"/>
  <c r="W283" i="1"/>
  <c r="U283" i="1"/>
  <c r="T283" i="1"/>
  <c r="T144" i="1"/>
  <c r="U144" i="1"/>
  <c r="W144" i="1"/>
  <c r="Z429" i="1"/>
  <c r="S429" i="1"/>
  <c r="U232" i="1"/>
  <c r="W232" i="1"/>
  <c r="Z347" i="1"/>
  <c r="S347" i="1"/>
  <c r="S243" i="1"/>
  <c r="Z243" i="1"/>
  <c r="W308" i="1"/>
  <c r="U308" i="1"/>
  <c r="T308" i="1"/>
  <c r="W92" i="1"/>
  <c r="T92" i="1"/>
  <c r="U92" i="1"/>
  <c r="S62" i="1"/>
  <c r="Z62" i="1"/>
  <c r="U205" i="1"/>
  <c r="W205" i="1"/>
  <c r="U159" i="1"/>
  <c r="W159" i="1"/>
  <c r="T159" i="1"/>
  <c r="U54" i="1"/>
  <c r="W54" i="1"/>
  <c r="T54" i="1"/>
  <c r="S1521" i="1"/>
  <c r="T1764" i="1"/>
  <c r="W1764" i="1"/>
  <c r="U1764" i="1"/>
  <c r="W558" i="1"/>
  <c r="T558" i="1"/>
  <c r="W516" i="1"/>
  <c r="U516" i="1"/>
  <c r="T516" i="1"/>
  <c r="W1753" i="1"/>
  <c r="T1753" i="1"/>
  <c r="U1753" i="1"/>
  <c r="S544" i="1"/>
  <c r="Z544" i="1"/>
  <c r="W478" i="1"/>
  <c r="T478" i="1"/>
  <c r="U478" i="1"/>
  <c r="S1680" i="1"/>
  <c r="Z1680" i="1"/>
  <c r="Z503" i="1"/>
  <c r="S503" i="1"/>
  <c r="Z1609" i="1"/>
  <c r="S1609" i="1"/>
  <c r="Z1682" i="1"/>
  <c r="S1682" i="1"/>
  <c r="W333" i="1"/>
  <c r="U333" i="1"/>
  <c r="V333" i="1" s="1"/>
  <c r="Z178" i="1"/>
  <c r="S178" i="1"/>
  <c r="Z47" i="1"/>
  <c r="S47" i="1"/>
  <c r="W489" i="1"/>
  <c r="U489" i="1"/>
  <c r="T489" i="1"/>
  <c r="U1643" i="1"/>
  <c r="W1643" i="1"/>
  <c r="T1643" i="1"/>
  <c r="S650" i="1"/>
  <c r="Z650" i="1"/>
  <c r="U348" i="1"/>
  <c r="W348" i="1"/>
  <c r="T348" i="1"/>
  <c r="S60" i="1"/>
  <c r="Z60" i="1"/>
  <c r="X421" i="1"/>
  <c r="V421" i="1"/>
  <c r="Y1260" i="1"/>
  <c r="AA1260" i="1"/>
  <c r="U558" i="1"/>
  <c r="W1735" i="1"/>
  <c r="T1735" i="1"/>
  <c r="S1736" i="1"/>
  <c r="Z1736" i="1"/>
  <c r="S1749" i="1"/>
  <c r="Z1749" i="1"/>
  <c r="W1692" i="1"/>
  <c r="U1692" i="1"/>
  <c r="W61" i="1"/>
  <c r="U61" i="1"/>
  <c r="T61" i="1"/>
  <c r="S500" i="1"/>
  <c r="Z500" i="1"/>
  <c r="U540" i="1"/>
  <c r="W540" i="1"/>
  <c r="W399" i="1"/>
  <c r="T399" i="1"/>
  <c r="U399" i="1"/>
  <c r="S70" i="1"/>
  <c r="Z70" i="1"/>
  <c r="W6" i="1"/>
  <c r="T6" i="1"/>
  <c r="U6" i="1"/>
  <c r="Z463" i="1"/>
  <c r="S463" i="1"/>
  <c r="W300" i="1"/>
  <c r="T300" i="1"/>
  <c r="S401" i="1"/>
  <c r="Z401" i="1"/>
  <c r="T312" i="1"/>
  <c r="U312" i="1"/>
  <c r="W312" i="1"/>
  <c r="S316" i="1"/>
  <c r="Z316" i="1"/>
  <c r="Z484" i="1"/>
  <c r="S484" i="1"/>
  <c r="Z351" i="1"/>
  <c r="S351" i="1"/>
  <c r="W483" i="1"/>
  <c r="T483" i="1"/>
  <c r="Z582" i="1"/>
  <c r="S582" i="1"/>
  <c r="U169" i="1"/>
  <c r="W169" i="1"/>
  <c r="T169" i="1"/>
  <c r="W115" i="1"/>
  <c r="U115" i="1"/>
  <c r="T115" i="1"/>
  <c r="Z1690" i="1"/>
  <c r="S1690" i="1"/>
  <c r="S443" i="1"/>
  <c r="U1520" i="1"/>
  <c r="W1520" i="1"/>
  <c r="T1520" i="1"/>
  <c r="W1697" i="1"/>
  <c r="U1697" i="1"/>
  <c r="T1697" i="1"/>
  <c r="W1535" i="1"/>
  <c r="T1535" i="1"/>
  <c r="W569" i="1"/>
  <c r="U569" i="1"/>
  <c r="T569" i="1"/>
  <c r="Z1750" i="1"/>
  <c r="S1750" i="1"/>
  <c r="W1756" i="1"/>
  <c r="U1756" i="1"/>
  <c r="T1756" i="1"/>
  <c r="W1527" i="1"/>
  <c r="T1527" i="1"/>
  <c r="U1527" i="1"/>
  <c r="Z1705" i="1"/>
  <c r="S1705" i="1"/>
  <c r="Z406" i="1"/>
  <c r="S406" i="1"/>
  <c r="T235" i="1"/>
  <c r="U235" i="1"/>
  <c r="W235" i="1"/>
  <c r="Z494" i="1"/>
  <c r="S494" i="1"/>
  <c r="W7" i="1"/>
  <c r="T7" i="1"/>
  <c r="U7" i="1"/>
  <c r="Z489" i="1"/>
  <c r="S489" i="1"/>
  <c r="S348" i="1"/>
  <c r="Z348" i="1"/>
  <c r="U1594" i="1"/>
  <c r="W1594" i="1"/>
  <c r="T1594" i="1"/>
  <c r="T370" i="1"/>
  <c r="W370" i="1"/>
  <c r="U370" i="1"/>
  <c r="U278" i="1"/>
  <c r="W278" i="1"/>
  <c r="T66" i="1"/>
  <c r="W66" i="1"/>
  <c r="Z1754" i="1"/>
  <c r="Z1620" i="1"/>
  <c r="X139" i="1"/>
  <c r="V139" i="1"/>
  <c r="S1633" i="1"/>
  <c r="Z1633" i="1"/>
  <c r="W1759" i="1"/>
  <c r="U1759" i="1"/>
  <c r="T1759" i="1"/>
  <c r="Z1747" i="1"/>
  <c r="S1747" i="1"/>
  <c r="T1574" i="1"/>
  <c r="U1574" i="1"/>
  <c r="S135" i="1"/>
  <c r="T670" i="1"/>
  <c r="AA670" i="1" s="1"/>
  <c r="U670" i="1"/>
  <c r="W548" i="1"/>
  <c r="T548" i="1"/>
  <c r="U548" i="1"/>
  <c r="Z1641" i="1"/>
  <c r="S1641" i="1"/>
  <c r="W1678" i="1"/>
  <c r="T1678" i="1"/>
  <c r="U1678" i="1"/>
  <c r="S321" i="1"/>
  <c r="Z321" i="1"/>
  <c r="Z1692" i="1"/>
  <c r="S1692" i="1"/>
  <c r="W700" i="1"/>
  <c r="T700" i="1"/>
  <c r="U700" i="1"/>
  <c r="Z391" i="1"/>
  <c r="S391" i="1"/>
  <c r="S367" i="1"/>
  <c r="Z367" i="1"/>
  <c r="Z189" i="1"/>
  <c r="S189" i="1"/>
  <c r="Z381" i="1"/>
  <c r="S381" i="1"/>
  <c r="W1525" i="1"/>
  <c r="T1525" i="1"/>
  <c r="S415" i="1"/>
  <c r="Z415" i="1"/>
  <c r="W229" i="1"/>
  <c r="T229" i="1"/>
  <c r="U229" i="1"/>
  <c r="S165" i="1"/>
  <c r="Z165" i="1"/>
  <c r="T188" i="1"/>
  <c r="U188" i="1"/>
  <c r="V188" i="1" s="1"/>
  <c r="W108" i="1"/>
  <c r="U108" i="1"/>
  <c r="T108" i="1"/>
  <c r="U1676" i="1"/>
  <c r="W1676" i="1"/>
  <c r="T1676" i="1"/>
  <c r="U1750" i="1"/>
  <c r="T1750" i="1"/>
  <c r="W1750" i="1"/>
  <c r="S1672" i="1"/>
  <c r="W17" i="1"/>
  <c r="U17" i="1"/>
  <c r="T17" i="1"/>
  <c r="Z1559" i="1"/>
  <c r="S1559" i="1"/>
  <c r="W497" i="1"/>
  <c r="U497" i="1"/>
  <c r="T497" i="1"/>
  <c r="T117" i="1"/>
  <c r="W117" i="1"/>
  <c r="W325" i="1"/>
  <c r="U325" i="1"/>
  <c r="T325" i="1"/>
  <c r="Z369" i="1"/>
  <c r="S369" i="1"/>
  <c r="X1310" i="1"/>
  <c r="V1310" i="1"/>
  <c r="Z522" i="1"/>
  <c r="S1451" i="1"/>
  <c r="AE1451" i="1"/>
  <c r="AG1451" i="1" s="1"/>
  <c r="AA1259" i="1"/>
  <c r="Y1259" i="1"/>
  <c r="T1633" i="1"/>
  <c r="W1633" i="1"/>
  <c r="U1633" i="1"/>
  <c r="S550" i="1"/>
  <c r="Z550" i="1"/>
  <c r="U580" i="1"/>
  <c r="T580" i="1"/>
  <c r="W580" i="1"/>
  <c r="T441" i="1"/>
  <c r="W441" i="1"/>
  <c r="U441" i="1"/>
  <c r="Z1662" i="1"/>
  <c r="S1662" i="1"/>
  <c r="W135" i="1"/>
  <c r="T135" i="1"/>
  <c r="Z1737" i="1"/>
  <c r="S1737" i="1"/>
  <c r="W14" i="1"/>
  <c r="T14" i="1"/>
  <c r="U14" i="1"/>
  <c r="U1674" i="1"/>
  <c r="W1674" i="1"/>
  <c r="T1674" i="1"/>
  <c r="Z525" i="1"/>
  <c r="S525" i="1"/>
  <c r="S1536" i="1"/>
  <c r="Z1536" i="1"/>
  <c r="S487" i="1"/>
  <c r="Z487" i="1"/>
  <c r="Z1688" i="1"/>
  <c r="S1688" i="1"/>
  <c r="U416" i="1"/>
  <c r="T416" i="1"/>
  <c r="W416" i="1"/>
  <c r="W472" i="1"/>
  <c r="U472" i="1"/>
  <c r="T472" i="1"/>
  <c r="S385" i="1"/>
  <c r="Z385" i="1"/>
  <c r="T49" i="1"/>
  <c r="W49" i="1"/>
  <c r="Z652" i="1"/>
  <c r="S652" i="1"/>
  <c r="U429" i="1"/>
  <c r="W429" i="1"/>
  <c r="T429" i="1"/>
  <c r="S1693" i="1"/>
  <c r="Z1693" i="1"/>
  <c r="T664" i="1"/>
  <c r="W664" i="1"/>
  <c r="T407" i="1"/>
  <c r="U407" i="1"/>
  <c r="W407" i="1"/>
  <c r="U298" i="1"/>
  <c r="T298" i="1"/>
  <c r="W298" i="1"/>
  <c r="Z1704" i="1"/>
  <c r="S1704" i="1"/>
  <c r="S215" i="1"/>
  <c r="W493" i="1"/>
  <c r="T493" i="1"/>
  <c r="U493" i="1"/>
  <c r="S250" i="1"/>
  <c r="Z250" i="1"/>
  <c r="U661" i="1"/>
  <c r="W661" i="1"/>
  <c r="T661" i="1"/>
  <c r="W62" i="1"/>
  <c r="T62" i="1"/>
  <c r="U62" i="1"/>
  <c r="U276" i="1"/>
  <c r="T276" i="1"/>
  <c r="W276" i="1"/>
  <c r="S127" i="1"/>
  <c r="Z127" i="1"/>
  <c r="U156" i="1"/>
  <c r="T156" i="1"/>
  <c r="Z297" i="1"/>
  <c r="S297" i="1"/>
  <c r="W150" i="1"/>
  <c r="U150" i="1"/>
  <c r="U94" i="1"/>
  <c r="W94" i="1"/>
  <c r="X1309" i="1"/>
  <c r="V1309" i="1"/>
  <c r="U66" i="1"/>
  <c r="S1567" i="1"/>
  <c r="V204" i="1"/>
  <c r="X204" i="1"/>
  <c r="AA1160" i="1"/>
  <c r="Y1160" i="1"/>
  <c r="T1715" i="1"/>
  <c r="U1715" i="1"/>
  <c r="W1715" i="1"/>
  <c r="S1738" i="1"/>
  <c r="Z1738" i="1"/>
  <c r="S1746" i="1"/>
  <c r="Z1746" i="1"/>
  <c r="W1745" i="1"/>
  <c r="U1745" i="1"/>
  <c r="T1745" i="1"/>
  <c r="T557" i="1"/>
  <c r="U557" i="1"/>
  <c r="W557" i="1"/>
  <c r="T544" i="1"/>
  <c r="W544" i="1"/>
  <c r="U544" i="1"/>
  <c r="W1635" i="1"/>
  <c r="U1635" i="1"/>
  <c r="T1635" i="1"/>
  <c r="W464" i="1"/>
  <c r="T464" i="1"/>
  <c r="U464" i="1"/>
  <c r="S1703" i="1"/>
  <c r="Z1703" i="1"/>
  <c r="U1728" i="1"/>
  <c r="W1728" i="1"/>
  <c r="U327" i="1"/>
  <c r="W327" i="1"/>
  <c r="T327" i="1"/>
  <c r="S467" i="1"/>
  <c r="Z467" i="1"/>
  <c r="T492" i="1"/>
  <c r="U492" i="1"/>
  <c r="W492" i="1"/>
  <c r="W1532" i="1"/>
  <c r="U1532" i="1"/>
  <c r="T1532" i="1"/>
  <c r="S477" i="1"/>
  <c r="Z477" i="1"/>
  <c r="T1650" i="1"/>
  <c r="W1650" i="1"/>
  <c r="U1650" i="1"/>
  <c r="W178" i="1"/>
  <c r="T178" i="1"/>
  <c r="T206" i="1"/>
  <c r="W206" i="1"/>
  <c r="W397" i="1"/>
  <c r="U397" i="1"/>
  <c r="T397" i="1"/>
  <c r="T1617" i="1"/>
  <c r="W1617" i="1"/>
  <c r="U1617" i="1"/>
  <c r="W60" i="1"/>
  <c r="T60" i="1"/>
  <c r="U60" i="1"/>
  <c r="T311" i="1"/>
  <c r="W311" i="1"/>
  <c r="U311" i="1"/>
  <c r="W330" i="1"/>
  <c r="U330" i="1"/>
  <c r="Z301" i="1"/>
  <c r="S301" i="1"/>
  <c r="S683" i="1"/>
  <c r="W665" i="1"/>
  <c r="T665" i="1"/>
  <c r="U665" i="1"/>
  <c r="U689" i="1"/>
  <c r="T689" i="1"/>
  <c r="W689" i="1"/>
  <c r="T357" i="1"/>
  <c r="W357" i="1"/>
  <c r="U357" i="1"/>
  <c r="Z433" i="1"/>
  <c r="S433" i="1"/>
  <c r="S675" i="1"/>
  <c r="Z675" i="1"/>
  <c r="T232" i="1"/>
  <c r="Z504" i="1"/>
  <c r="S206" i="1"/>
  <c r="S584" i="1"/>
  <c r="S1712" i="1"/>
  <c r="T150" i="1"/>
  <c r="U117" i="1"/>
  <c r="U371" i="1"/>
  <c r="X681" i="1"/>
  <c r="V681" i="1"/>
  <c r="X195" i="1"/>
  <c r="V195" i="1"/>
  <c r="X160" i="1"/>
  <c r="V160" i="1"/>
  <c r="V1580" i="1"/>
  <c r="T469" i="1"/>
  <c r="U469" i="1"/>
  <c r="W469" i="1"/>
  <c r="U1725" i="1"/>
  <c r="W1725" i="1"/>
  <c r="T1725" i="1"/>
  <c r="T578" i="1"/>
  <c r="U578" i="1"/>
  <c r="W1685" i="1"/>
  <c r="T1685" i="1"/>
  <c r="U1685" i="1"/>
  <c r="Z9" i="1"/>
  <c r="S9" i="1"/>
  <c r="W263" i="1"/>
  <c r="U263" i="1"/>
  <c r="T263" i="1"/>
  <c r="T228" i="1"/>
  <c r="U228" i="1"/>
  <c r="W228" i="1"/>
  <c r="W559" i="1"/>
  <c r="U559" i="1"/>
  <c r="T559" i="1"/>
  <c r="Z117" i="1"/>
  <c r="S117" i="1"/>
  <c r="W336" i="1"/>
  <c r="U336" i="1"/>
  <c r="T336" i="1"/>
  <c r="W457" i="1"/>
  <c r="U457" i="1"/>
  <c r="T457" i="1"/>
  <c r="Z325" i="1"/>
  <c r="S325" i="1"/>
  <c r="Z271" i="1"/>
  <c r="S271" i="1"/>
  <c r="Z105" i="1"/>
  <c r="S105" i="1"/>
  <c r="W170" i="1"/>
  <c r="U170" i="1"/>
  <c r="W237" i="1"/>
  <c r="U237" i="1"/>
  <c r="Z673" i="1"/>
  <c r="S673" i="1"/>
  <c r="U579" i="1"/>
  <c r="W579" i="1"/>
  <c r="T579" i="1"/>
  <c r="X481" i="1"/>
  <c r="V481" i="1"/>
  <c r="Z1697" i="1"/>
  <c r="AE1333" i="1"/>
  <c r="AG1333" i="1" s="1"/>
  <c r="S1333" i="1"/>
  <c r="T537" i="1"/>
  <c r="U537" i="1"/>
  <c r="W537" i="1"/>
  <c r="Z1766" i="1"/>
  <c r="S1766" i="1"/>
  <c r="Z1550" i="1"/>
  <c r="S1550" i="1"/>
  <c r="U1653" i="1"/>
  <c r="T1653" i="1"/>
  <c r="W1653" i="1"/>
  <c r="W564" i="1"/>
  <c r="T564" i="1"/>
  <c r="U564" i="1"/>
  <c r="U1542" i="1"/>
  <c r="T1542" i="1"/>
  <c r="W1542" i="1"/>
  <c r="W21" i="1"/>
  <c r="U21" i="1"/>
  <c r="T21" i="1"/>
  <c r="Z14" i="1"/>
  <c r="S14" i="1"/>
  <c r="U368" i="1"/>
  <c r="W368" i="1"/>
  <c r="T368" i="1"/>
  <c r="T509" i="1"/>
  <c r="W509" i="1"/>
  <c r="W36" i="1"/>
  <c r="AA36" i="1" s="1"/>
  <c r="U36" i="1"/>
  <c r="U523" i="1"/>
  <c r="W523" i="1"/>
  <c r="T523" i="1"/>
  <c r="U651" i="1"/>
  <c r="W651" i="1"/>
  <c r="T651" i="1"/>
  <c r="S419" i="1"/>
  <c r="Z419" i="1"/>
  <c r="W375" i="1"/>
  <c r="U375" i="1"/>
  <c r="T375" i="1"/>
  <c r="W299" i="1"/>
  <c r="U299" i="1"/>
  <c r="T299" i="1"/>
  <c r="S312" i="1"/>
  <c r="Z312" i="1"/>
  <c r="T174" i="1"/>
  <c r="W174" i="1"/>
  <c r="U174" i="1"/>
  <c r="T418" i="1"/>
  <c r="W418" i="1"/>
  <c r="U418" i="1"/>
  <c r="S493" i="1"/>
  <c r="Z493" i="1"/>
  <c r="S483" i="1"/>
  <c r="Z483" i="1"/>
  <c r="U588" i="1"/>
  <c r="T588" i="1"/>
  <c r="W588" i="1"/>
  <c r="W252" i="1"/>
  <c r="U252" i="1"/>
  <c r="V970" i="1"/>
  <c r="X970" i="1"/>
  <c r="U520" i="1"/>
  <c r="T520" i="1"/>
  <c r="W520" i="1"/>
  <c r="W1763" i="1"/>
  <c r="T1763" i="1"/>
  <c r="U1763" i="1"/>
  <c r="Z1636" i="1"/>
  <c r="S1636" i="1"/>
  <c r="Z560" i="1"/>
  <c r="S560" i="1"/>
  <c r="Z557" i="1"/>
  <c r="S557" i="1"/>
  <c r="U1694" i="1"/>
  <c r="T1694" i="1"/>
  <c r="W1694" i="1"/>
  <c r="Z1728" i="1"/>
  <c r="S1728" i="1"/>
  <c r="U406" i="1"/>
  <c r="T406" i="1"/>
  <c r="AA406" i="1" s="1"/>
  <c r="Z327" i="1"/>
  <c r="S327" i="1"/>
  <c r="W343" i="1"/>
  <c r="AA343" i="1" s="1"/>
  <c r="U343" i="1"/>
  <c r="U632" i="1"/>
  <c r="W632" i="1"/>
  <c r="T632" i="1"/>
  <c r="T438" i="1"/>
  <c r="W438" i="1"/>
  <c r="U438" i="1"/>
  <c r="Z1617" i="1"/>
  <c r="S1617" i="1"/>
  <c r="T332" i="1"/>
  <c r="W332" i="1"/>
  <c r="U332" i="1"/>
  <c r="X1582" i="1"/>
  <c r="V1582" i="1"/>
  <c r="Y1589" i="1"/>
  <c r="AA1589" i="1"/>
  <c r="T529" i="1"/>
  <c r="AA529" i="1" s="1"/>
  <c r="U529" i="1"/>
  <c r="X529" i="1" s="1"/>
  <c r="Y529" i="1" s="1"/>
  <c r="T1766" i="1"/>
  <c r="W1766" i="1"/>
  <c r="U1766" i="1"/>
  <c r="W1710" i="1"/>
  <c r="U1710" i="1"/>
  <c r="T1710" i="1"/>
  <c r="W530" i="1"/>
  <c r="T530" i="1"/>
  <c r="U530" i="1"/>
  <c r="S1660" i="1"/>
  <c r="Z1660" i="1"/>
  <c r="U1427" i="1"/>
  <c r="W1427" i="1"/>
  <c r="T1427" i="1"/>
  <c r="W524" i="1"/>
  <c r="T524" i="1"/>
  <c r="U524" i="1"/>
  <c r="W1641" i="1"/>
  <c r="T1641" i="1"/>
  <c r="U1641" i="1"/>
  <c r="W1625" i="1"/>
  <c r="T1625" i="1"/>
  <c r="U1625" i="1"/>
  <c r="Z1529" i="1"/>
  <c r="S1529" i="1"/>
  <c r="T654" i="1"/>
  <c r="W654" i="1"/>
  <c r="U654" i="1"/>
  <c r="S400" i="1"/>
  <c r="Z400" i="1"/>
  <c r="Z376" i="1"/>
  <c r="S376" i="1"/>
  <c r="W381" i="1"/>
  <c r="U381" i="1"/>
  <c r="T381" i="1"/>
  <c r="W1586" i="1"/>
  <c r="U1586" i="1"/>
  <c r="T1586" i="1"/>
  <c r="Z84" i="1"/>
  <c r="S84" i="1"/>
  <c r="W616" i="1"/>
  <c r="U616" i="1"/>
  <c r="T616" i="1"/>
  <c r="T165" i="1"/>
  <c r="W165" i="1"/>
  <c r="U165" i="1"/>
  <c r="Z328" i="1"/>
  <c r="S328" i="1"/>
  <c r="Z51" i="1"/>
  <c r="S51" i="1"/>
  <c r="W114" i="1"/>
  <c r="T114" i="1"/>
  <c r="U114" i="1"/>
  <c r="Z233" i="1"/>
  <c r="S233" i="1"/>
  <c r="S142" i="1"/>
  <c r="Z142" i="1"/>
  <c r="Z88" i="1"/>
  <c r="S88" i="1"/>
  <c r="W123" i="1"/>
  <c r="T123" i="1"/>
  <c r="X1510" i="1"/>
  <c r="V1510" i="1"/>
  <c r="V641" i="1"/>
  <c r="X641" i="1"/>
  <c r="AA1300" i="1"/>
  <c r="Y1300" i="1"/>
  <c r="S549" i="1"/>
  <c r="T504" i="1"/>
  <c r="U504" i="1"/>
  <c r="V504" i="1" s="1"/>
  <c r="W1722" i="1"/>
  <c r="T1722" i="1"/>
  <c r="U1722" i="1"/>
  <c r="W1636" i="1"/>
  <c r="T1636" i="1"/>
  <c r="U1636" i="1"/>
  <c r="Z1742" i="1"/>
  <c r="T549" i="1"/>
  <c r="U549" i="1"/>
  <c r="W549" i="1"/>
  <c r="S517" i="1"/>
  <c r="Z517" i="1"/>
  <c r="U1732" i="1"/>
  <c r="T1732" i="1"/>
  <c r="W1732" i="1"/>
  <c r="W1673" i="1"/>
  <c r="T1673" i="1"/>
  <c r="U1673" i="1"/>
  <c r="Z423" i="1"/>
  <c r="S423" i="1"/>
  <c r="T1557" i="1"/>
  <c r="W1557" i="1"/>
  <c r="W1548" i="1"/>
  <c r="U1548" i="1"/>
  <c r="T1548" i="1"/>
  <c r="W1682" i="1"/>
  <c r="U1682" i="1"/>
  <c r="T314" i="1"/>
  <c r="W314" i="1"/>
  <c r="U314" i="1"/>
  <c r="S1528" i="1"/>
  <c r="Z1528" i="1"/>
  <c r="W47" i="1"/>
  <c r="T47" i="1"/>
  <c r="U47" i="1"/>
  <c r="Z1645" i="1"/>
  <c r="S1645" i="1"/>
  <c r="W442" i="1"/>
  <c r="U442" i="1"/>
  <c r="T442" i="1"/>
  <c r="W655" i="1"/>
  <c r="U655" i="1"/>
  <c r="T64" i="1"/>
  <c r="W64" i="1"/>
  <c r="U64" i="1"/>
  <c r="U377" i="1"/>
  <c r="W377" i="1"/>
  <c r="T377" i="1"/>
  <c r="Z352" i="1"/>
  <c r="S352" i="1"/>
  <c r="Z1530" i="1"/>
  <c r="S1530" i="1"/>
  <c r="Z335" i="1"/>
  <c r="S335" i="1"/>
  <c r="W1646" i="1"/>
  <c r="Y1646" i="1" s="1"/>
  <c r="U1646" i="1"/>
  <c r="X1646" i="1" s="1"/>
  <c r="T1646" i="1"/>
  <c r="S4" i="1"/>
  <c r="Z4" i="1"/>
  <c r="S648" i="1"/>
  <c r="Z648" i="1"/>
  <c r="U427" i="1"/>
  <c r="V427" i="1" s="1"/>
  <c r="W427" i="1"/>
  <c r="S390" i="1"/>
  <c r="Z390" i="1"/>
  <c r="W197" i="1"/>
  <c r="T197" i="1"/>
  <c r="U197" i="1"/>
  <c r="W672" i="1"/>
  <c r="T672" i="1"/>
  <c r="U672" i="1"/>
  <c r="S1547" i="1"/>
  <c r="S1683" i="1"/>
  <c r="S257" i="1"/>
  <c r="S1421" i="1"/>
  <c r="T1692" i="1"/>
  <c r="T655" i="1"/>
  <c r="U1525" i="1"/>
  <c r="X858" i="1"/>
  <c r="V858" i="1"/>
  <c r="W504" i="1"/>
  <c r="W246" i="1"/>
  <c r="Y246" i="1" s="1"/>
  <c r="X1240" i="1"/>
  <c r="Z322" i="1"/>
  <c r="U1758" i="1"/>
  <c r="W1758" i="1"/>
  <c r="T1758" i="1"/>
  <c r="T25" i="1"/>
  <c r="U25" i="1"/>
  <c r="W1539" i="1"/>
  <c r="U1539" i="1"/>
  <c r="Z1694" i="1"/>
  <c r="S1694" i="1"/>
  <c r="Z447" i="1"/>
  <c r="S447" i="1"/>
  <c r="Z343" i="1"/>
  <c r="S343" i="1"/>
  <c r="U450" i="1"/>
  <c r="W450" i="1"/>
  <c r="T450" i="1"/>
  <c r="W594" i="1"/>
  <c r="U594" i="1"/>
  <c r="T594" i="1"/>
  <c r="W104" i="1"/>
  <c r="T104" i="1"/>
  <c r="S210" i="1"/>
  <c r="Z210" i="1"/>
  <c r="Z313" i="1"/>
  <c r="S313" i="1"/>
  <c r="S220" i="1"/>
  <c r="Z220" i="1"/>
  <c r="S669" i="1"/>
  <c r="Z669" i="1"/>
  <c r="S151" i="1"/>
  <c r="Z151" i="1"/>
  <c r="W191" i="1"/>
  <c r="U191" i="1"/>
  <c r="X191" i="1" s="1"/>
  <c r="V1239" i="1"/>
  <c r="X1239" i="1"/>
  <c r="Z1765" i="1"/>
  <c r="Z1733" i="1"/>
  <c r="Z1758" i="1"/>
  <c r="W24" i="1"/>
  <c r="U24" i="1"/>
  <c r="T24" i="1"/>
  <c r="W1707" i="1"/>
  <c r="T1707" i="1"/>
  <c r="Z1674" i="1"/>
  <c r="S1674" i="1"/>
  <c r="S38" i="1"/>
  <c r="Z38" i="1"/>
  <c r="S654" i="1"/>
  <c r="Z654" i="1"/>
  <c r="W470" i="1"/>
  <c r="T470" i="1"/>
  <c r="U470" i="1"/>
  <c r="W323" i="1"/>
  <c r="T323" i="1"/>
  <c r="U323" i="1"/>
  <c r="Z472" i="1"/>
  <c r="S472" i="1"/>
  <c r="Z1652" i="1"/>
  <c r="S1652" i="1"/>
  <c r="S407" i="1"/>
  <c r="Z407" i="1"/>
  <c r="S374" i="1"/>
  <c r="Z101" i="1"/>
  <c r="S101" i="1"/>
  <c r="W284" i="1"/>
  <c r="U284" i="1"/>
  <c r="T284" i="1"/>
  <c r="S114" i="1"/>
  <c r="Z114" i="1"/>
  <c r="V1683" i="1"/>
  <c r="X1683" i="1"/>
  <c r="Z1715" i="1"/>
  <c r="S1715" i="1"/>
  <c r="U1744" i="1"/>
  <c r="T1744" i="1"/>
  <c r="W1744" i="1"/>
  <c r="T1656" i="1"/>
  <c r="W1656" i="1"/>
  <c r="S1748" i="1"/>
  <c r="Z1748" i="1"/>
  <c r="T447" i="1"/>
  <c r="U447" i="1"/>
  <c r="W447" i="1"/>
  <c r="Z1557" i="1"/>
  <c r="S1557" i="1"/>
  <c r="W11" i="1"/>
  <c r="T11" i="1"/>
  <c r="U11" i="1"/>
  <c r="Z288" i="1"/>
  <c r="S288" i="1"/>
  <c r="T303" i="1"/>
  <c r="W303" i="1"/>
  <c r="U303" i="1"/>
  <c r="W1607" i="1"/>
  <c r="T1607" i="1"/>
  <c r="U1607" i="1"/>
  <c r="W9" i="1"/>
  <c r="U9" i="1"/>
  <c r="T9" i="1"/>
  <c r="S244" i="1"/>
  <c r="Z244" i="1"/>
  <c r="Z311" i="1"/>
  <c r="S311" i="1"/>
  <c r="W1592" i="1"/>
  <c r="T1592" i="1"/>
  <c r="U1592" i="1"/>
  <c r="W271" i="1"/>
  <c r="AA271" i="1" s="1"/>
  <c r="U271" i="1"/>
  <c r="S1768" i="1"/>
  <c r="Z1768" i="1"/>
  <c r="W1550" i="1"/>
  <c r="T1550" i="1"/>
  <c r="U1550" i="1"/>
  <c r="S1596" i="1"/>
  <c r="Z1596" i="1"/>
  <c r="S1741" i="1"/>
  <c r="Z1741" i="1"/>
  <c r="Z1721" i="1"/>
  <c r="S1721" i="1"/>
  <c r="W1638" i="1"/>
  <c r="U1638" i="1"/>
  <c r="T1638" i="1"/>
  <c r="Z1538" i="1"/>
  <c r="S1538" i="1"/>
  <c r="T321" i="1"/>
  <c r="W321" i="1"/>
  <c r="U321" i="1"/>
  <c r="Z465" i="1"/>
  <c r="S465" i="1"/>
  <c r="W395" i="1"/>
  <c r="T395" i="1"/>
  <c r="U395" i="1"/>
  <c r="U391" i="1"/>
  <c r="T391" i="1"/>
  <c r="W391" i="1"/>
  <c r="Z696" i="1"/>
  <c r="S696" i="1"/>
  <c r="Z258" i="1"/>
  <c r="S258" i="1"/>
  <c r="U419" i="1"/>
  <c r="W419" i="1"/>
  <c r="T419" i="1"/>
  <c r="W1652" i="1"/>
  <c r="T1652" i="1"/>
  <c r="U1652" i="1"/>
  <c r="W699" i="1"/>
  <c r="AA699" i="1" s="1"/>
  <c r="U699" i="1"/>
  <c r="S344" i="1"/>
  <c r="Z344" i="1"/>
  <c r="T111" i="1"/>
  <c r="W111" i="1"/>
  <c r="U111" i="1"/>
  <c r="W193" i="1"/>
  <c r="U193" i="1"/>
  <c r="T193" i="1"/>
  <c r="U55" i="1"/>
  <c r="T55" i="1"/>
  <c r="W55" i="1"/>
  <c r="W42" i="1"/>
  <c r="T42" i="1"/>
  <c r="U42" i="1"/>
  <c r="Z121" i="1"/>
  <c r="S121" i="1"/>
  <c r="S162" i="1"/>
  <c r="S103" i="1"/>
  <c r="Z103" i="1"/>
  <c r="Z85" i="1"/>
  <c r="S85" i="1"/>
  <c r="S507" i="1"/>
  <c r="Z507" i="1"/>
  <c r="Z1518" i="1"/>
  <c r="S1518" i="1"/>
  <c r="X1266" i="1"/>
  <c r="V1266" i="1"/>
  <c r="X178" i="1"/>
  <c r="V178" i="1"/>
  <c r="V1447" i="1"/>
  <c r="X1447" i="1"/>
  <c r="W156" i="1"/>
  <c r="S1562" i="1"/>
  <c r="U104" i="1"/>
  <c r="V126" i="1"/>
  <c r="X126" i="1"/>
  <c r="AA1294" i="1"/>
  <c r="Y1294" i="1"/>
  <c r="S1700" i="1"/>
  <c r="Z1700" i="1"/>
  <c r="W1689" i="1"/>
  <c r="T1689" i="1"/>
  <c r="U1689" i="1"/>
  <c r="U560" i="1"/>
  <c r="W560" i="1"/>
  <c r="AA560" i="1" s="1"/>
  <c r="U535" i="1"/>
  <c r="W535" i="1"/>
  <c r="T535" i="1"/>
  <c r="T628" i="1"/>
  <c r="W628" i="1"/>
  <c r="U628" i="1"/>
  <c r="W1748" i="1"/>
  <c r="U1748" i="1"/>
  <c r="T1748" i="1"/>
  <c r="U1672" i="1"/>
  <c r="W1672" i="1"/>
  <c r="T1672" i="1"/>
  <c r="S1695" i="1"/>
  <c r="Z1695" i="1"/>
  <c r="W533" i="1"/>
  <c r="T533" i="1"/>
  <c r="U533" i="1"/>
  <c r="Z1571" i="1"/>
  <c r="S1571" i="1"/>
  <c r="T1559" i="1"/>
  <c r="W1559" i="1"/>
  <c r="U1559" i="1"/>
  <c r="S1628" i="1"/>
  <c r="Z1628" i="1"/>
  <c r="Z456" i="1"/>
  <c r="S456" i="1"/>
  <c r="W288" i="1"/>
  <c r="U288" i="1"/>
  <c r="T288" i="1"/>
  <c r="W356" i="1"/>
  <c r="U356" i="1"/>
  <c r="T356" i="1"/>
  <c r="U1637" i="1"/>
  <c r="T1637" i="1"/>
  <c r="W1637" i="1"/>
  <c r="U392" i="1"/>
  <c r="T392" i="1"/>
  <c r="W392" i="1"/>
  <c r="S1612" i="1"/>
  <c r="Z1612" i="1"/>
  <c r="W244" i="1"/>
  <c r="T244" i="1"/>
  <c r="S634" i="1"/>
  <c r="Z634" i="1"/>
  <c r="U5" i="1"/>
  <c r="T5" i="1"/>
  <c r="W5" i="1"/>
  <c r="S1598" i="1"/>
  <c r="Z1598" i="1"/>
  <c r="Z687" i="1"/>
  <c r="S687" i="1"/>
  <c r="W1606" i="1"/>
  <c r="U1606" i="1"/>
  <c r="T1606" i="1"/>
  <c r="Z260" i="1"/>
  <c r="S260" i="1"/>
  <c r="Z417" i="1"/>
  <c r="S417" i="1"/>
  <c r="S213" i="1"/>
  <c r="Z213" i="1"/>
  <c r="T329" i="1"/>
  <c r="W329" i="1"/>
  <c r="U329" i="1"/>
  <c r="Z590" i="1"/>
  <c r="S590" i="1"/>
  <c r="S604" i="1"/>
  <c r="Z604" i="1"/>
  <c r="T362" i="1"/>
  <c r="AA362" i="1" s="1"/>
  <c r="U362" i="1"/>
  <c r="U349" i="1"/>
  <c r="W349" i="1"/>
  <c r="T349" i="1"/>
  <c r="S116" i="1"/>
  <c r="W1574" i="1"/>
  <c r="S147" i="1"/>
  <c r="T1613" i="1"/>
  <c r="T278" i="1"/>
  <c r="T252" i="1"/>
  <c r="Z1763" i="1"/>
  <c r="S1763" i="1"/>
  <c r="S1720" i="1"/>
  <c r="Z1720" i="1"/>
  <c r="S1711" i="1"/>
  <c r="Z1711" i="1"/>
  <c r="W1751" i="1"/>
  <c r="U1751" i="1"/>
  <c r="T1751" i="1"/>
  <c r="T1544" i="1"/>
  <c r="W1544" i="1"/>
  <c r="U1544" i="1"/>
  <c r="U542" i="1"/>
  <c r="W542" i="1"/>
  <c r="T542" i="1"/>
  <c r="W561" i="1"/>
  <c r="U561" i="1"/>
  <c r="T561" i="1"/>
  <c r="W471" i="1"/>
  <c r="T471" i="1"/>
  <c r="U471" i="1"/>
  <c r="U1620" i="1"/>
  <c r="W1620" i="1"/>
  <c r="T1620" i="1"/>
  <c r="T248" i="1"/>
  <c r="W248" i="1"/>
  <c r="U248" i="1"/>
  <c r="S46" i="1"/>
  <c r="Z46" i="1"/>
  <c r="S405" i="1"/>
  <c r="Z405" i="1"/>
  <c r="W98" i="1"/>
  <c r="T98" i="1"/>
  <c r="W172" i="1"/>
  <c r="T172" i="1"/>
  <c r="T1675" i="1"/>
  <c r="AE1354" i="1"/>
  <c r="AG1354" i="1" s="1"/>
  <c r="S1354" i="1"/>
  <c r="Z1710" i="1"/>
  <c r="S1710" i="1"/>
  <c r="T22" i="1"/>
  <c r="W22" i="1"/>
  <c r="U22" i="1"/>
  <c r="U338" i="1"/>
  <c r="T338" i="1"/>
  <c r="AA338" i="1" s="1"/>
  <c r="W532" i="1"/>
  <c r="T532" i="1"/>
  <c r="U532" i="1"/>
  <c r="W1740" i="1"/>
  <c r="T1740" i="1"/>
  <c r="T109" i="1"/>
  <c r="U109" i="1"/>
  <c r="W109" i="1"/>
  <c r="U1561" i="1"/>
  <c r="W1561" i="1"/>
  <c r="T1561" i="1"/>
  <c r="T1541" i="1"/>
  <c r="W1541" i="1"/>
  <c r="U1541" i="1"/>
  <c r="U1600" i="1"/>
  <c r="W1600" i="1"/>
  <c r="T1600" i="1"/>
  <c r="Z399" i="1"/>
  <c r="S399" i="1"/>
  <c r="S416" i="1"/>
  <c r="T411" i="1"/>
  <c r="W411" i="1"/>
  <c r="T412" i="1"/>
  <c r="W412" i="1"/>
  <c r="U412" i="1"/>
  <c r="W437" i="1"/>
  <c r="U437" i="1"/>
  <c r="T437" i="1"/>
  <c r="T149" i="1"/>
  <c r="W149" i="1"/>
  <c r="U79" i="1"/>
  <c r="T79" i="1"/>
  <c r="W79" i="1"/>
  <c r="Z55" i="1"/>
  <c r="S55" i="1"/>
  <c r="X236" i="1"/>
  <c r="V236" i="1"/>
  <c r="W578" i="1"/>
  <c r="X1320" i="1"/>
  <c r="V1320" i="1"/>
  <c r="S1722" i="1"/>
  <c r="Z1722" i="1"/>
  <c r="Z1533" i="1"/>
  <c r="S1533" i="1"/>
  <c r="U1705" i="1"/>
  <c r="T1705" i="1"/>
  <c r="W1705" i="1"/>
  <c r="W396" i="1"/>
  <c r="T396" i="1"/>
  <c r="U396" i="1"/>
  <c r="U657" i="1"/>
  <c r="T657" i="1"/>
  <c r="W657" i="1"/>
  <c r="Z326" i="1"/>
  <c r="S326" i="1"/>
  <c r="S361" i="1"/>
  <c r="V1543" i="1"/>
  <c r="X1543" i="1"/>
  <c r="Z1634" i="1"/>
  <c r="S1634" i="1"/>
  <c r="U1747" i="1"/>
  <c r="T1747" i="1"/>
  <c r="W1747" i="1"/>
  <c r="W1679" i="1"/>
  <c r="U1679" i="1"/>
  <c r="T1679" i="1"/>
  <c r="U163" i="1"/>
  <c r="T163" i="1"/>
  <c r="W163" i="1"/>
  <c r="W1521" i="1"/>
  <c r="U1521" i="1"/>
  <c r="T1521" i="1"/>
  <c r="W1661" i="1"/>
  <c r="U1661" i="1"/>
  <c r="T1661" i="1"/>
  <c r="W491" i="1"/>
  <c r="U491" i="1"/>
  <c r="V491" i="1" s="1"/>
  <c r="T491" i="1"/>
  <c r="Z577" i="1"/>
  <c r="S577" i="1"/>
  <c r="S695" i="1"/>
  <c r="Z695" i="1"/>
  <c r="W363" i="1"/>
  <c r="T363" i="1"/>
  <c r="U363" i="1"/>
  <c r="S694" i="1"/>
  <c r="Z694" i="1"/>
  <c r="W38" i="1"/>
  <c r="U38" i="1"/>
  <c r="T38" i="1"/>
  <c r="W402" i="1"/>
  <c r="T402" i="1"/>
  <c r="U402" i="1"/>
  <c r="U41" i="1"/>
  <c r="T41" i="1"/>
  <c r="W41" i="1"/>
  <c r="U367" i="1"/>
  <c r="T367" i="1"/>
  <c r="W367" i="1"/>
  <c r="W374" i="1"/>
  <c r="U374" i="1"/>
  <c r="T374" i="1"/>
  <c r="W296" i="1"/>
  <c r="T296" i="1"/>
  <c r="U296" i="1"/>
  <c r="T415" i="1"/>
  <c r="U415" i="1"/>
  <c r="W415" i="1"/>
  <c r="S289" i="1"/>
  <c r="Z289" i="1"/>
  <c r="Z682" i="1"/>
  <c r="S682" i="1"/>
  <c r="Z589" i="1"/>
  <c r="S589" i="1"/>
  <c r="W101" i="1"/>
  <c r="U101" i="1"/>
  <c r="Z119" i="1"/>
  <c r="S119" i="1"/>
  <c r="T1589" i="1"/>
  <c r="U1589" i="1"/>
  <c r="S1666" i="1"/>
  <c r="Z1666" i="1"/>
  <c r="X1354" i="1"/>
  <c r="V1354" i="1"/>
  <c r="T76" i="1"/>
  <c r="S1424" i="1"/>
  <c r="T205" i="1"/>
  <c r="W25" i="1"/>
  <c r="Z1769" i="1"/>
  <c r="S1769" i="1"/>
  <c r="Z1739" i="1"/>
  <c r="S1739" i="1"/>
  <c r="S26" i="1"/>
  <c r="Z26" i="1"/>
  <c r="Z1755" i="1"/>
  <c r="S1755" i="1"/>
  <c r="S546" i="1"/>
  <c r="Z546" i="1"/>
  <c r="S574" i="1"/>
  <c r="S425" i="1"/>
  <c r="U1696" i="1"/>
  <c r="T1696" i="1"/>
  <c r="W1696" i="1"/>
  <c r="T12" i="1"/>
  <c r="W12" i="1"/>
  <c r="U12" i="1"/>
  <c r="T1533" i="1"/>
  <c r="W1533" i="1"/>
  <c r="U1533" i="1"/>
  <c r="S373" i="1"/>
  <c r="Z373" i="1"/>
  <c r="W503" i="1"/>
  <c r="AA503" i="1" s="1"/>
  <c r="U503" i="1"/>
  <c r="S403" i="1"/>
  <c r="Z403" i="1"/>
  <c r="T1609" i="1"/>
  <c r="W1609" i="1"/>
  <c r="U1609" i="1"/>
  <c r="Z573" i="1"/>
  <c r="S573" i="1"/>
  <c r="S366" i="1"/>
  <c r="Z366" i="1"/>
  <c r="Z1667" i="1"/>
  <c r="S1667" i="1"/>
  <c r="S380" i="1"/>
  <c r="Z380" i="1"/>
  <c r="Z480" i="1"/>
  <c r="S480" i="1"/>
  <c r="W275" i="1"/>
  <c r="U275" i="1"/>
  <c r="T275" i="1"/>
  <c r="W650" i="1"/>
  <c r="U650" i="1"/>
  <c r="T650" i="1"/>
  <c r="S452" i="1"/>
  <c r="Z452" i="1"/>
  <c r="W153" i="1"/>
  <c r="U153" i="1"/>
  <c r="T153" i="1"/>
  <c r="U369" i="1"/>
  <c r="W369" i="1"/>
  <c r="T369" i="1"/>
  <c r="U326" i="1"/>
  <c r="W326" i="1"/>
  <c r="T326" i="1"/>
  <c r="W566" i="1"/>
  <c r="T566" i="1"/>
  <c r="U566" i="1"/>
  <c r="T29" i="1"/>
  <c r="U29" i="1"/>
  <c r="W29" i="1"/>
  <c r="U1584" i="1"/>
  <c r="W1584" i="1"/>
  <c r="T1584" i="1"/>
  <c r="T1576" i="1"/>
  <c r="W1576" i="1"/>
  <c r="U1576" i="1"/>
  <c r="Z190" i="1"/>
  <c r="S190" i="1"/>
  <c r="S568" i="1"/>
  <c r="U1535" i="1"/>
  <c r="S1545" i="1"/>
  <c r="S621" i="1"/>
  <c r="U1765" i="1"/>
  <c r="V1536" i="1"/>
  <c r="X1536" i="1"/>
  <c r="X1083" i="1"/>
  <c r="V1083" i="1"/>
  <c r="X1030" i="1"/>
  <c r="V1030" i="1"/>
  <c r="X900" i="1"/>
  <c r="V900" i="1"/>
  <c r="X853" i="1"/>
  <c r="V853" i="1"/>
  <c r="W1765" i="1"/>
  <c r="Z498" i="1"/>
  <c r="W1733" i="1"/>
  <c r="U1733" i="1"/>
  <c r="T1733" i="1"/>
  <c r="U1719" i="1"/>
  <c r="T1719" i="1"/>
  <c r="W1719" i="1"/>
  <c r="Z1648" i="1"/>
  <c r="S1648" i="1"/>
  <c r="U496" i="1"/>
  <c r="T496" i="1"/>
  <c r="W496" i="1"/>
  <c r="S11" i="1"/>
  <c r="Z11" i="1"/>
  <c r="S303" i="1"/>
  <c r="Z303" i="1"/>
  <c r="S1607" i="1"/>
  <c r="Z1607" i="1"/>
  <c r="S281" i="1"/>
  <c r="Z281" i="1"/>
  <c r="V1613" i="1"/>
  <c r="X1613" i="1"/>
  <c r="W1684" i="1"/>
  <c r="T1684" i="1"/>
  <c r="U1684" i="1"/>
  <c r="T515" i="1"/>
  <c r="U515" i="1"/>
  <c r="W515" i="1"/>
  <c r="T436" i="1"/>
  <c r="U436" i="1"/>
  <c r="W436" i="1"/>
  <c r="W677" i="1"/>
  <c r="U677" i="1"/>
  <c r="T677" i="1"/>
  <c r="W1595" i="1"/>
  <c r="T1595" i="1"/>
  <c r="U1595" i="1"/>
  <c r="U448" i="1"/>
  <c r="V448" i="1" s="1"/>
  <c r="W448" i="1"/>
  <c r="AA448" i="1" s="1"/>
  <c r="S320" i="1"/>
  <c r="Z320" i="1"/>
  <c r="U459" i="1"/>
  <c r="T459" i="1"/>
  <c r="W459" i="1"/>
  <c r="W158" i="1"/>
  <c r="AA158" i="1" s="1"/>
  <c r="U158" i="1"/>
  <c r="Z441" i="1"/>
  <c r="S441" i="1"/>
  <c r="T513" i="1"/>
  <c r="W513" i="1"/>
  <c r="U513" i="1"/>
  <c r="V513" i="1" s="1"/>
  <c r="S545" i="1"/>
  <c r="Z545" i="1"/>
  <c r="T697" i="1"/>
  <c r="U697" i="1"/>
  <c r="W697" i="1"/>
  <c r="U462" i="1"/>
  <c r="W462" i="1"/>
  <c r="T462" i="1"/>
  <c r="W404" i="1"/>
  <c r="T404" i="1"/>
  <c r="W218" i="1"/>
  <c r="U218" i="1"/>
  <c r="T218" i="1"/>
  <c r="W290" i="1"/>
  <c r="U290" i="1"/>
  <c r="T290" i="1"/>
  <c r="W240" i="1"/>
  <c r="T240" i="1"/>
  <c r="U240" i="1"/>
  <c r="W254" i="1"/>
  <c r="T254" i="1"/>
  <c r="U254" i="1"/>
  <c r="T291" i="1"/>
  <c r="U291" i="1"/>
  <c r="W291" i="1"/>
  <c r="W219" i="1"/>
  <c r="AA219" i="1" s="1"/>
  <c r="U219" i="1"/>
  <c r="W116" i="1"/>
  <c r="U116" i="1"/>
  <c r="T116" i="1"/>
  <c r="Z276" i="1"/>
  <c r="S276" i="1"/>
  <c r="S1639" i="1"/>
  <c r="U1707" i="1"/>
  <c r="V1267" i="1"/>
  <c r="X1267" i="1"/>
  <c r="W1613" i="1"/>
  <c r="S1732" i="1"/>
  <c r="Z1732" i="1"/>
  <c r="Z628" i="1"/>
  <c r="S628" i="1"/>
  <c r="W1648" i="1"/>
  <c r="T1648" i="1"/>
  <c r="U1648" i="1"/>
  <c r="T1639" i="1"/>
  <c r="U1639" i="1"/>
  <c r="W1639" i="1"/>
  <c r="W360" i="1"/>
  <c r="U360" i="1"/>
  <c r="T360" i="1"/>
  <c r="S12" i="1"/>
  <c r="Z12" i="1"/>
  <c r="U322" i="1"/>
  <c r="W322" i="1"/>
  <c r="T322" i="1"/>
  <c r="U134" i="1"/>
  <c r="T134" i="1"/>
  <c r="W134" i="1"/>
  <c r="W405" i="1"/>
  <c r="U405" i="1"/>
  <c r="T405" i="1"/>
  <c r="W331" i="1"/>
  <c r="T331" i="1"/>
  <c r="U331" i="1"/>
  <c r="S64" i="1"/>
  <c r="Z64" i="1"/>
  <c r="U379" i="1"/>
  <c r="T379" i="1"/>
  <c r="W379" i="1"/>
  <c r="Z153" i="1"/>
  <c r="S153" i="1"/>
  <c r="U255" i="1"/>
  <c r="V255" i="1" s="1"/>
  <c r="T255" i="1"/>
  <c r="X581" i="1"/>
  <c r="V581" i="1"/>
  <c r="W527" i="1"/>
  <c r="S595" i="1"/>
  <c r="S1661" i="1"/>
  <c r="X603" i="1"/>
  <c r="V603" i="1"/>
  <c r="Z1724" i="1"/>
  <c r="S1724" i="1"/>
  <c r="U1752" i="1"/>
  <c r="W1752" i="1"/>
  <c r="T1752" i="1"/>
  <c r="Z1714" i="1"/>
  <c r="S1714" i="1"/>
  <c r="W563" i="1"/>
  <c r="AA563" i="1" s="1"/>
  <c r="U563" i="1"/>
  <c r="S536" i="1"/>
  <c r="Z536" i="1"/>
  <c r="S554" i="1"/>
  <c r="Z554" i="1"/>
  <c r="T545" i="1"/>
  <c r="W545" i="1"/>
  <c r="U545" i="1"/>
  <c r="U1562" i="1"/>
  <c r="T1562" i="1"/>
  <c r="S1669" i="1"/>
  <c r="Z1669" i="1"/>
  <c r="W514" i="1"/>
  <c r="T514" i="1"/>
  <c r="W647" i="1"/>
  <c r="U647" i="1"/>
  <c r="T647" i="1"/>
  <c r="Z693" i="1"/>
  <c r="S693" i="1"/>
  <c r="Z428" i="1"/>
  <c r="S428" i="1"/>
  <c r="W653" i="1"/>
  <c r="U653" i="1"/>
  <c r="T653" i="1"/>
  <c r="S214" i="1"/>
  <c r="Z214" i="1"/>
  <c r="W189" i="1"/>
  <c r="U189" i="1"/>
  <c r="T189" i="1"/>
  <c r="W347" i="1"/>
  <c r="U347" i="1"/>
  <c r="T347" i="1"/>
  <c r="S58" i="1"/>
  <c r="Z58" i="1"/>
  <c r="U243" i="1"/>
  <c r="W243" i="1"/>
  <c r="T243" i="1"/>
  <c r="U361" i="1"/>
  <c r="W361" i="1"/>
  <c r="T361" i="1"/>
  <c r="W77" i="1"/>
  <c r="T77" i="1"/>
  <c r="S136" i="1"/>
  <c r="Z136" i="1"/>
  <c r="U143" i="1"/>
  <c r="W143" i="1"/>
  <c r="Z152" i="1"/>
  <c r="S152" i="1"/>
  <c r="T192" i="1"/>
  <c r="W192" i="1"/>
  <c r="U192" i="1"/>
  <c r="W124" i="1"/>
  <c r="U124" i="1"/>
  <c r="T124" i="1"/>
  <c r="T1515" i="1"/>
  <c r="U1515" i="1"/>
  <c r="W1515" i="1"/>
  <c r="S1425" i="1"/>
  <c r="Y1258" i="1"/>
  <c r="AA1258" i="1"/>
  <c r="S1551" i="1"/>
  <c r="Z1659" i="1"/>
  <c r="S1565" i="1"/>
  <c r="S700" i="1"/>
  <c r="S624" i="1"/>
  <c r="S265" i="1"/>
  <c r="S1506" i="1"/>
  <c r="S1456" i="1"/>
  <c r="T1539" i="1"/>
  <c r="T1728" i="1"/>
  <c r="T330" i="1"/>
  <c r="T101" i="1"/>
  <c r="U1557" i="1"/>
  <c r="U411" i="1"/>
  <c r="U664" i="1"/>
  <c r="X981" i="1"/>
  <c r="V981" i="1"/>
  <c r="X899" i="1"/>
  <c r="V899" i="1"/>
  <c r="X852" i="1"/>
  <c r="V852" i="1"/>
  <c r="V528" i="1"/>
  <c r="X722" i="1"/>
  <c r="Z1592" i="1"/>
  <c r="U1754" i="1"/>
  <c r="W1754" i="1"/>
  <c r="T1754" i="1"/>
  <c r="X1675" i="1"/>
  <c r="V1675" i="1"/>
  <c r="U1630" i="1"/>
  <c r="W1630" i="1"/>
  <c r="T1630" i="1"/>
  <c r="W1668" i="1"/>
  <c r="U1668" i="1"/>
  <c r="T1668" i="1"/>
  <c r="W1523" i="1"/>
  <c r="U1523" i="1"/>
  <c r="T1523" i="1"/>
  <c r="W1654" i="1"/>
  <c r="T1654" i="1"/>
  <c r="U1654" i="1"/>
  <c r="W432" i="1"/>
  <c r="U432" i="1"/>
  <c r="T432" i="1"/>
  <c r="Z413" i="1"/>
  <c r="S413" i="1"/>
  <c r="U486" i="1"/>
  <c r="W486" i="1"/>
  <c r="T552" i="1"/>
  <c r="U552" i="1"/>
  <c r="W552" i="1"/>
  <c r="S681" i="1"/>
  <c r="Z681" i="1"/>
  <c r="W247" i="1"/>
  <c r="U247" i="1"/>
  <c r="T247" i="1"/>
  <c r="Z59" i="1"/>
  <c r="S59" i="1"/>
  <c r="Z579" i="1"/>
  <c r="T486" i="1"/>
  <c r="S1427" i="1"/>
  <c r="Z1427" i="1"/>
  <c r="S1735" i="1"/>
  <c r="Z1735" i="1"/>
  <c r="S524" i="1"/>
  <c r="Z524" i="1"/>
  <c r="W1565" i="1"/>
  <c r="U1565" i="1"/>
  <c r="T1565" i="1"/>
  <c r="Z514" i="1"/>
  <c r="S514" i="1"/>
  <c r="Z653" i="1"/>
  <c r="S653" i="1"/>
  <c r="T498" i="1"/>
  <c r="U498" i="1"/>
  <c r="W498" i="1"/>
  <c r="S300" i="1"/>
  <c r="Z300" i="1"/>
  <c r="W562" i="1"/>
  <c r="T562" i="1"/>
  <c r="U562" i="1"/>
  <c r="W221" i="1"/>
  <c r="T221" i="1"/>
  <c r="U221" i="1"/>
  <c r="W1720" i="1"/>
  <c r="U1720" i="1"/>
  <c r="V1720" i="1" s="1"/>
  <c r="T1720" i="1"/>
  <c r="W1727" i="1"/>
  <c r="U1727" i="1"/>
  <c r="T1727" i="1"/>
  <c r="W1619" i="1"/>
  <c r="U1619" i="1"/>
  <c r="T1619" i="1"/>
  <c r="S1637" i="1"/>
  <c r="Z1637" i="1"/>
  <c r="T494" i="1"/>
  <c r="U494" i="1"/>
  <c r="Z1650" i="1"/>
  <c r="S1650" i="1"/>
  <c r="T413" i="1"/>
  <c r="U413" i="1"/>
  <c r="U320" i="1"/>
  <c r="W320" i="1"/>
  <c r="T320" i="1"/>
  <c r="W624" i="1"/>
  <c r="U624" i="1"/>
  <c r="T624" i="1"/>
  <c r="V483" i="1"/>
  <c r="X483" i="1"/>
  <c r="W494" i="1"/>
  <c r="S537" i="1"/>
  <c r="Z537" i="1"/>
  <c r="U28" i="1"/>
  <c r="T28" i="1"/>
  <c r="AA28" i="1" s="1"/>
  <c r="W1723" i="1"/>
  <c r="T1723" i="1"/>
  <c r="U1723" i="1"/>
  <c r="T1713" i="1"/>
  <c r="U1713" i="1"/>
  <c r="W1713" i="1"/>
  <c r="S1718" i="1"/>
  <c r="Z1718" i="1"/>
  <c r="Y1760" i="1"/>
  <c r="AA1760" i="1"/>
  <c r="S1716" i="1"/>
  <c r="Z1716" i="1"/>
  <c r="T1767" i="1"/>
  <c r="W1767" i="1"/>
  <c r="U1767" i="1"/>
  <c r="Z1551" i="1"/>
  <c r="T1582" i="1"/>
  <c r="W1582" i="1"/>
  <c r="Z1702" i="1"/>
  <c r="S1702" i="1"/>
  <c r="W543" i="1"/>
  <c r="T543" i="1"/>
  <c r="Z1653" i="1"/>
  <c r="S1653" i="1"/>
  <c r="T505" i="1"/>
  <c r="AA505" i="1" s="1"/>
  <c r="U505" i="1"/>
  <c r="S1759" i="1"/>
  <c r="Z1759" i="1"/>
  <c r="W541" i="1"/>
  <c r="T541" i="1"/>
  <c r="U541" i="1"/>
  <c r="Z564" i="1"/>
  <c r="S564" i="1"/>
  <c r="W565" i="1"/>
  <c r="T565" i="1"/>
  <c r="U565" i="1"/>
  <c r="Z1734" i="1"/>
  <c r="S1734" i="1"/>
  <c r="W1677" i="1"/>
  <c r="T1677" i="1"/>
  <c r="U1677" i="1"/>
  <c r="W1687" i="1"/>
  <c r="U1687" i="1"/>
  <c r="T1687" i="1"/>
  <c r="Z1729" i="1"/>
  <c r="S1729" i="1"/>
  <c r="W528" i="1"/>
  <c r="T528" i="1"/>
  <c r="Z24" i="1"/>
  <c r="S24" i="1"/>
  <c r="T501" i="1"/>
  <c r="W501" i="1"/>
  <c r="Z513" i="1"/>
  <c r="T1540" i="1"/>
  <c r="W1540" i="1"/>
  <c r="U1540" i="1"/>
  <c r="Z1542" i="1"/>
  <c r="S1542" i="1"/>
  <c r="W1671" i="1"/>
  <c r="U1671" i="1"/>
  <c r="T1671" i="1"/>
  <c r="Z22" i="1"/>
  <c r="W1726" i="1"/>
  <c r="U1726" i="1"/>
  <c r="T1726" i="1"/>
  <c r="Z21" i="1"/>
  <c r="U272" i="1"/>
  <c r="X272" i="1" s="1"/>
  <c r="W272" i="1"/>
  <c r="T272" i="1"/>
  <c r="S670" i="1"/>
  <c r="Z670" i="1"/>
  <c r="U19" i="1"/>
  <c r="T19" i="1"/>
  <c r="W19" i="1"/>
  <c r="Z548" i="1"/>
  <c r="W1698" i="1"/>
  <c r="U1698" i="1"/>
  <c r="Z18" i="1"/>
  <c r="Z16" i="1"/>
  <c r="W1686" i="1"/>
  <c r="U1686" i="1"/>
  <c r="T1686" i="1"/>
  <c r="Z1707" i="1"/>
  <c r="Z697" i="1"/>
  <c r="S697" i="1"/>
  <c r="U440" i="1"/>
  <c r="T440" i="1"/>
  <c r="W440" i="1"/>
  <c r="Z1565" i="1"/>
  <c r="W446" i="1"/>
  <c r="T446" i="1"/>
  <c r="U446" i="1"/>
  <c r="S1678" i="1"/>
  <c r="Z1678" i="1"/>
  <c r="U1670" i="1"/>
  <c r="W1670" i="1"/>
  <c r="T1670" i="1"/>
  <c r="S368" i="1"/>
  <c r="Z368" i="1"/>
  <c r="W698" i="1"/>
  <c r="U698" i="1"/>
  <c r="T698" i="1"/>
  <c r="Z509" i="1"/>
  <c r="W1621" i="1"/>
  <c r="U1621" i="1"/>
  <c r="T1621" i="1"/>
  <c r="Z338" i="1"/>
  <c r="S338" i="1"/>
  <c r="Z532" i="1"/>
  <c r="T479" i="1"/>
  <c r="U479" i="1"/>
  <c r="W479" i="1"/>
  <c r="S36" i="1"/>
  <c r="Z36" i="1"/>
  <c r="U1614" i="1"/>
  <c r="W1614" i="1"/>
  <c r="T1614" i="1"/>
  <c r="Z1740" i="1"/>
  <c r="S1740" i="1"/>
  <c r="T1599" i="1"/>
  <c r="W1599" i="1"/>
  <c r="U1599" i="1"/>
  <c r="Z109" i="1"/>
  <c r="U10" i="1"/>
  <c r="T10" i="1"/>
  <c r="W10" i="1"/>
  <c r="Z1561" i="1"/>
  <c r="W1591" i="1"/>
  <c r="T1591" i="1"/>
  <c r="U1591" i="1"/>
  <c r="S1541" i="1"/>
  <c r="Z1541" i="1"/>
  <c r="T408" i="1"/>
  <c r="U408" i="1"/>
  <c r="W408" i="1"/>
  <c r="S1600" i="1"/>
  <c r="Z1600" i="1"/>
  <c r="W384" i="1"/>
  <c r="T384" i="1"/>
  <c r="U384" i="1"/>
  <c r="Z700" i="1"/>
  <c r="T386" i="1"/>
  <c r="U386" i="1"/>
  <c r="Z523" i="1"/>
  <c r="S523" i="1"/>
  <c r="W39" i="1"/>
  <c r="AA39" i="1" s="1"/>
  <c r="U39" i="1"/>
  <c r="Z527" i="1"/>
  <c r="S527" i="1"/>
  <c r="W640" i="1"/>
  <c r="U640" i="1"/>
  <c r="T640" i="1"/>
  <c r="Z462" i="1"/>
  <c r="W1560" i="1"/>
  <c r="U1560" i="1"/>
  <c r="T1560" i="1"/>
  <c r="S470" i="1"/>
  <c r="Z470" i="1"/>
  <c r="T341" i="1"/>
  <c r="U341" i="1"/>
  <c r="W341" i="1"/>
  <c r="Z283" i="1"/>
  <c r="S283" i="1"/>
  <c r="W8" i="1"/>
  <c r="U8" i="1"/>
  <c r="T8" i="1"/>
  <c r="Z323" i="1"/>
  <c r="S323" i="1"/>
  <c r="T389" i="1"/>
  <c r="W389" i="1"/>
  <c r="U389" i="1"/>
  <c r="W355" i="1"/>
  <c r="AA355" i="1" s="1"/>
  <c r="U355" i="1"/>
  <c r="Z651" i="1"/>
  <c r="S651" i="1"/>
  <c r="T409" i="1"/>
  <c r="U409" i="1"/>
  <c r="W409" i="1"/>
  <c r="Z411" i="1"/>
  <c r="W482" i="1"/>
  <c r="T482" i="1"/>
  <c r="U482" i="1"/>
  <c r="Z144" i="1"/>
  <c r="W137" i="1"/>
  <c r="U137" i="1"/>
  <c r="T137" i="1"/>
  <c r="Z412" i="1"/>
  <c r="S412" i="1"/>
  <c r="W318" i="1"/>
  <c r="U318" i="1"/>
  <c r="T318" i="1"/>
  <c r="Z437" i="1"/>
  <c r="T1597" i="1"/>
  <c r="U1597" i="1"/>
  <c r="W1597" i="1"/>
  <c r="Z149" i="1"/>
  <c r="S149" i="1"/>
  <c r="W383" i="1"/>
  <c r="U383" i="1"/>
  <c r="T383" i="1"/>
  <c r="Z404" i="1"/>
  <c r="U307" i="1"/>
  <c r="W307" i="1"/>
  <c r="T307" i="1"/>
  <c r="Z375" i="1"/>
  <c r="S375" i="1"/>
  <c r="W1604" i="1"/>
  <c r="T1604" i="1"/>
  <c r="U1604" i="1"/>
  <c r="Z299" i="1"/>
  <c r="W354" i="1"/>
  <c r="U354" i="1"/>
  <c r="T354" i="1"/>
  <c r="S232" i="1"/>
  <c r="Z232" i="1"/>
  <c r="U97" i="1"/>
  <c r="T97" i="1"/>
  <c r="AA97" i="1" s="1"/>
  <c r="Z414" i="1"/>
  <c r="S414" i="1"/>
  <c r="W282" i="1"/>
  <c r="U282" i="1"/>
  <c r="T282" i="1"/>
  <c r="Z218" i="1"/>
  <c r="U625" i="1"/>
  <c r="W625" i="1"/>
  <c r="T625" i="1"/>
  <c r="S290" i="1"/>
  <c r="Z290" i="1"/>
  <c r="Z174" i="1"/>
  <c r="Z1525" i="1"/>
  <c r="S1525" i="1"/>
  <c r="W458" i="1"/>
  <c r="AA458" i="1" s="1"/>
  <c r="U458" i="1"/>
  <c r="Z418" i="1"/>
  <c r="T666" i="1"/>
  <c r="W666" i="1"/>
  <c r="U666" i="1"/>
  <c r="Z240" i="1"/>
  <c r="S240" i="1"/>
  <c r="U435" i="1"/>
  <c r="X435" i="1" s="1"/>
  <c r="T435" i="1"/>
  <c r="Z562" i="1"/>
  <c r="S562" i="1"/>
  <c r="Z221" i="1"/>
  <c r="S221" i="1"/>
  <c r="W259" i="1"/>
  <c r="T259" i="1"/>
  <c r="U259" i="1"/>
  <c r="S254" i="1"/>
  <c r="Z254" i="1"/>
  <c r="Z291" i="1"/>
  <c r="S291" i="1"/>
  <c r="W182" i="1"/>
  <c r="U182" i="1"/>
  <c r="Z219" i="1"/>
  <c r="S219" i="1"/>
  <c r="W204" i="1"/>
  <c r="T204" i="1"/>
  <c r="Z229" i="1"/>
  <c r="S229" i="1"/>
  <c r="W1605" i="1"/>
  <c r="U1605" i="1"/>
  <c r="T1605" i="1"/>
  <c r="S308" i="1"/>
  <c r="Z308" i="1"/>
  <c r="U551" i="1"/>
  <c r="T551" i="1"/>
  <c r="W551" i="1"/>
  <c r="S588" i="1"/>
  <c r="Z588" i="1"/>
  <c r="W1649" i="1"/>
  <c r="T1649" i="1"/>
  <c r="Z79" i="1"/>
  <c r="S79" i="1"/>
  <c r="W53" i="1"/>
  <c r="T53" i="1"/>
  <c r="U53" i="1"/>
  <c r="S252" i="1"/>
  <c r="Z252" i="1"/>
  <c r="W222" i="1"/>
  <c r="U222" i="1"/>
  <c r="S92" i="1"/>
  <c r="Z92" i="1"/>
  <c r="U671" i="1"/>
  <c r="W671" i="1"/>
  <c r="T671" i="1"/>
  <c r="Z284" i="1"/>
  <c r="S284" i="1"/>
  <c r="W173" i="1"/>
  <c r="U173" i="1"/>
  <c r="T173" i="1"/>
  <c r="W225" i="1"/>
  <c r="U225" i="1"/>
  <c r="T225" i="1"/>
  <c r="S188" i="1"/>
  <c r="Z188" i="1"/>
  <c r="T581" i="1"/>
  <c r="W581" i="1"/>
  <c r="S108" i="1"/>
  <c r="Z108" i="1"/>
  <c r="W80" i="1"/>
  <c r="U80" i="1"/>
  <c r="T80" i="1"/>
  <c r="S205" i="1"/>
  <c r="Z205" i="1"/>
  <c r="W161" i="1"/>
  <c r="U161" i="1"/>
  <c r="T161" i="1"/>
  <c r="S159" i="1"/>
  <c r="Z159" i="1"/>
  <c r="W87" i="1"/>
  <c r="U87" i="1"/>
  <c r="V87" i="1" s="1"/>
  <c r="T87" i="1"/>
  <c r="Z54" i="1"/>
  <c r="S54" i="1"/>
  <c r="U445" i="1"/>
  <c r="T445" i="1"/>
  <c r="W445" i="1"/>
  <c r="S203" i="1"/>
  <c r="Z203" i="1"/>
  <c r="W253" i="1"/>
  <c r="U253" i="1"/>
  <c r="T253" i="1"/>
  <c r="S553" i="1"/>
  <c r="Z553" i="1"/>
  <c r="W236" i="1"/>
  <c r="T236" i="1"/>
  <c r="Z627" i="1"/>
  <c r="S627" i="1"/>
  <c r="W1657" i="1"/>
  <c r="U1657" i="1"/>
  <c r="T1657" i="1"/>
  <c r="Z277" i="1"/>
  <c r="S277" i="1"/>
  <c r="W126" i="1"/>
  <c r="T126" i="1"/>
  <c r="Z129" i="1"/>
  <c r="S129" i="1"/>
  <c r="W176" i="1"/>
  <c r="T176" i="1"/>
  <c r="U266" i="1"/>
  <c r="W266" i="1"/>
  <c r="T266" i="1"/>
  <c r="T251" i="1"/>
  <c r="U251" i="1"/>
  <c r="W251" i="1"/>
  <c r="Z180" i="1"/>
  <c r="S180" i="1"/>
  <c r="W663" i="1"/>
  <c r="T663" i="1"/>
  <c r="U663" i="1"/>
  <c r="Z571" i="1"/>
  <c r="S571" i="1"/>
  <c r="U67" i="1"/>
  <c r="W67" i="1"/>
  <c r="T67" i="1"/>
  <c r="Z216" i="1"/>
  <c r="S216" i="1"/>
  <c r="W1627" i="1"/>
  <c r="U1627" i="1"/>
  <c r="T1627" i="1"/>
  <c r="Z65" i="1"/>
  <c r="S65" i="1"/>
  <c r="U422" i="1"/>
  <c r="W422" i="1"/>
  <c r="T422" i="1"/>
  <c r="S1543" i="1"/>
  <c r="Z1543" i="1"/>
  <c r="W583" i="1"/>
  <c r="T583" i="1"/>
  <c r="U583" i="1"/>
  <c r="Z1570" i="1"/>
  <c r="S1570" i="1"/>
  <c r="W1681" i="1"/>
  <c r="U1681" i="1"/>
  <c r="T1681" i="1"/>
  <c r="Z1516" i="1"/>
  <c r="S1516" i="1"/>
  <c r="W1577" i="1"/>
  <c r="U1577" i="1"/>
  <c r="T1577" i="1"/>
  <c r="S1512" i="1"/>
  <c r="Z1512" i="1"/>
  <c r="U1640" i="1"/>
  <c r="W1640" i="1"/>
  <c r="T1640" i="1"/>
  <c r="Z1572" i="1"/>
  <c r="S1572" i="1"/>
  <c r="W234" i="1"/>
  <c r="T234" i="1"/>
  <c r="U234" i="1"/>
  <c r="Z1664" i="1"/>
  <c r="S1664" i="1"/>
  <c r="T1505" i="1"/>
  <c r="U1505" i="1"/>
  <c r="W1505" i="1"/>
  <c r="W1554" i="1"/>
  <c r="U1554" i="1"/>
  <c r="T1554" i="1"/>
  <c r="Z295" i="1"/>
  <c r="S295" i="1"/>
  <c r="Z1499" i="1"/>
  <c r="S1499" i="1"/>
  <c r="W319" i="1"/>
  <c r="AA319" i="1" s="1"/>
  <c r="U319" i="1"/>
  <c r="S426" i="1"/>
  <c r="Z426" i="1"/>
  <c r="W268" i="1"/>
  <c r="T268" i="1"/>
  <c r="U268" i="1"/>
  <c r="W294" i="1"/>
  <c r="U294" i="1"/>
  <c r="T294" i="1"/>
  <c r="S618" i="1"/>
  <c r="Z618" i="1"/>
  <c r="T1549" i="1"/>
  <c r="W1549" i="1"/>
  <c r="U1549" i="1"/>
  <c r="Z387" i="1"/>
  <c r="S387" i="1"/>
  <c r="W382" i="1"/>
  <c r="U382" i="1"/>
  <c r="T382" i="1"/>
  <c r="Z286" i="1"/>
  <c r="S286" i="1"/>
  <c r="AA1593" i="1"/>
  <c r="Y1593" i="1"/>
  <c r="S1586" i="1"/>
  <c r="S364" i="1"/>
  <c r="T182" i="1"/>
  <c r="T222" i="1"/>
  <c r="T143" i="1"/>
  <c r="U300" i="1"/>
  <c r="V43" i="1"/>
  <c r="X43" i="1"/>
  <c r="V1112" i="1"/>
  <c r="X1112" i="1"/>
  <c r="W1675" i="1"/>
  <c r="W413" i="1"/>
  <c r="Z374" i="1"/>
  <c r="Z1764" i="1"/>
  <c r="S1764" i="1"/>
  <c r="Z1744" i="1"/>
  <c r="S1744" i="1"/>
  <c r="Z558" i="1"/>
  <c r="S558" i="1"/>
  <c r="W502" i="1"/>
  <c r="T502" i="1"/>
  <c r="U502" i="1"/>
  <c r="W592" i="1"/>
  <c r="U592" i="1"/>
  <c r="T592" i="1"/>
  <c r="W1730" i="1"/>
  <c r="T1730" i="1"/>
  <c r="U1730" i="1"/>
  <c r="Z1619" i="1"/>
  <c r="S1619" i="1"/>
  <c r="W449" i="1"/>
  <c r="T449" i="1"/>
  <c r="Z134" i="1"/>
  <c r="S134" i="1"/>
  <c r="W305" i="1"/>
  <c r="U305" i="1"/>
  <c r="T305" i="1"/>
  <c r="U138" i="1"/>
  <c r="W138" i="1"/>
  <c r="T138" i="1"/>
  <c r="W238" i="1"/>
  <c r="U238" i="1"/>
  <c r="T238" i="1"/>
  <c r="S224" i="1"/>
  <c r="Z224" i="1"/>
  <c r="X123" i="1"/>
  <c r="V123" i="1"/>
  <c r="X1141" i="1"/>
  <c r="V1141" i="1"/>
  <c r="W1718" i="1"/>
  <c r="U1718" i="1"/>
  <c r="T1718" i="1"/>
  <c r="W1551" i="1"/>
  <c r="U1551" i="1"/>
  <c r="X1551" i="1" s="1"/>
  <c r="U1702" i="1"/>
  <c r="W1702" i="1"/>
  <c r="T1702" i="1"/>
  <c r="Z580" i="1"/>
  <c r="S580" i="1"/>
  <c r="S530" i="1"/>
  <c r="Z530" i="1"/>
  <c r="W1729" i="1"/>
  <c r="U1729" i="1"/>
  <c r="T1729" i="1"/>
  <c r="U18" i="1"/>
  <c r="W18" i="1"/>
  <c r="T18" i="1"/>
  <c r="Z1625" i="1"/>
  <c r="S1625" i="1"/>
  <c r="S41" i="1"/>
  <c r="Z41" i="1"/>
  <c r="W414" i="1"/>
  <c r="U414" i="1"/>
  <c r="T414" i="1"/>
  <c r="Z699" i="1"/>
  <c r="S699" i="1"/>
  <c r="Z111" i="1"/>
  <c r="S111" i="1"/>
  <c r="Z616" i="1"/>
  <c r="S616" i="1"/>
  <c r="Z77" i="1"/>
  <c r="S77" i="1"/>
  <c r="V1179" i="1"/>
  <c r="X1179" i="1"/>
  <c r="Z1751" i="1"/>
  <c r="S1689" i="1"/>
  <c r="Z1689" i="1"/>
  <c r="T534" i="1"/>
  <c r="U534" i="1"/>
  <c r="W534" i="1"/>
  <c r="T20" i="1"/>
  <c r="W20" i="1"/>
  <c r="U20" i="1"/>
  <c r="W1683" i="1"/>
  <c r="T1683" i="1"/>
  <c r="T281" i="1"/>
  <c r="U281" i="1"/>
  <c r="W281" i="1"/>
  <c r="S1548" i="1"/>
  <c r="Z1548" i="1"/>
  <c r="W518" i="1"/>
  <c r="T518" i="1"/>
  <c r="U518" i="1"/>
  <c r="W481" i="1"/>
  <c r="T481" i="1"/>
  <c r="S314" i="1"/>
  <c r="Z314" i="1"/>
  <c r="U46" i="1"/>
  <c r="W46" i="1"/>
  <c r="T46" i="1"/>
  <c r="S442" i="1"/>
  <c r="Z442" i="1"/>
  <c r="Z655" i="1"/>
  <c r="S655" i="1"/>
  <c r="T241" i="1"/>
  <c r="W241" i="1"/>
  <c r="W587" i="1"/>
  <c r="U587" i="1"/>
  <c r="T587" i="1"/>
  <c r="Z1606" i="1"/>
  <c r="S1606" i="1"/>
  <c r="S360" i="1"/>
  <c r="Z1767" i="1"/>
  <c r="Z1582" i="1"/>
  <c r="Z1677" i="1"/>
  <c r="Z1687" i="1"/>
  <c r="Z1686" i="1"/>
  <c r="Z1599" i="1"/>
  <c r="Z1560" i="1"/>
  <c r="Z8" i="1"/>
  <c r="Z1597" i="1"/>
  <c r="S331" i="1"/>
  <c r="Z1604" i="1"/>
  <c r="Z551" i="1"/>
  <c r="Z581" i="1"/>
  <c r="Z1657" i="1"/>
  <c r="S1616" i="1"/>
  <c r="S285" i="1"/>
  <c r="S644" i="1"/>
  <c r="AE34" i="1"/>
  <c r="AG34" i="1" s="1"/>
  <c r="S34" i="1"/>
  <c r="S109" i="1"/>
  <c r="S397" i="1"/>
  <c r="S430" i="1"/>
  <c r="T170" i="1"/>
  <c r="T237" i="1"/>
  <c r="T94" i="1"/>
  <c r="U244" i="1"/>
  <c r="Z215" i="1"/>
  <c r="X1319" i="1"/>
  <c r="V1319" i="1"/>
  <c r="V1183" i="1"/>
  <c r="X1183" i="1"/>
  <c r="V1010" i="1"/>
  <c r="X1010" i="1"/>
  <c r="Y1348" i="1"/>
  <c r="AA1348" i="1"/>
  <c r="AA1292" i="1"/>
  <c r="Y1292" i="1"/>
  <c r="AA756" i="1"/>
  <c r="Y756" i="1"/>
  <c r="AA1248" i="1"/>
  <c r="Y1248" i="1"/>
  <c r="U203" i="1"/>
  <c r="T203" i="1"/>
  <c r="W203" i="1"/>
  <c r="Z143" i="1"/>
  <c r="S143" i="1"/>
  <c r="W553" i="1"/>
  <c r="T553" i="1"/>
  <c r="U553" i="1"/>
  <c r="Z42" i="1"/>
  <c r="U627" i="1"/>
  <c r="T627" i="1"/>
  <c r="W627" i="1"/>
  <c r="Z156" i="1"/>
  <c r="S156" i="1"/>
  <c r="W277" i="1"/>
  <c r="U277" i="1"/>
  <c r="T277" i="1"/>
  <c r="S169" i="1"/>
  <c r="Z169" i="1"/>
  <c r="W129" i="1"/>
  <c r="U129" i="1"/>
  <c r="T129" i="1"/>
  <c r="Z192" i="1"/>
  <c r="S192" i="1"/>
  <c r="W160" i="1"/>
  <c r="T160" i="1"/>
  <c r="Z150" i="1"/>
  <c r="S150" i="1"/>
  <c r="U168" i="1"/>
  <c r="X168" i="1" s="1"/>
  <c r="W168" i="1"/>
  <c r="S124" i="1"/>
  <c r="Z124" i="1"/>
  <c r="W180" i="1"/>
  <c r="AA180" i="1" s="1"/>
  <c r="U180" i="1"/>
  <c r="Z94" i="1"/>
  <c r="W571" i="1"/>
  <c r="U571" i="1"/>
  <c r="T571" i="1"/>
  <c r="Z115" i="1"/>
  <c r="S115" i="1"/>
  <c r="T216" i="1"/>
  <c r="U216" i="1"/>
  <c r="W216" i="1"/>
  <c r="Z123" i="1"/>
  <c r="U65" i="1"/>
  <c r="W65" i="1"/>
  <c r="S76" i="1"/>
  <c r="Z76" i="1"/>
  <c r="T1543" i="1"/>
  <c r="W1543" i="1"/>
  <c r="Z1589" i="1"/>
  <c r="U1570" i="1"/>
  <c r="W1570" i="1"/>
  <c r="T1570" i="1"/>
  <c r="U1516" i="1"/>
  <c r="W1516" i="1"/>
  <c r="T1516" i="1"/>
  <c r="Z1515" i="1"/>
  <c r="S1515" i="1"/>
  <c r="T1512" i="1"/>
  <c r="W1512" i="1"/>
  <c r="U1512" i="1"/>
  <c r="U1572" i="1"/>
  <c r="W1572" i="1"/>
  <c r="T1572" i="1"/>
  <c r="S1510" i="1"/>
  <c r="W1664" i="1"/>
  <c r="U1664" i="1"/>
  <c r="U388" i="1"/>
  <c r="T388" i="1"/>
  <c r="Z1504" i="1"/>
  <c r="S1504" i="1"/>
  <c r="W295" i="1"/>
  <c r="T295" i="1"/>
  <c r="U295" i="1"/>
  <c r="Z1501" i="1"/>
  <c r="S1501" i="1"/>
  <c r="U1499" i="1"/>
  <c r="W1499" i="1"/>
  <c r="T1499" i="1"/>
  <c r="Z453" i="1"/>
  <c r="W426" i="1"/>
  <c r="U426" i="1"/>
  <c r="Z499" i="1"/>
  <c r="S499" i="1"/>
  <c r="W1492" i="1"/>
  <c r="U1492" i="1"/>
  <c r="S622" i="1"/>
  <c r="Z622" i="1"/>
  <c r="W618" i="1"/>
  <c r="T618" i="1"/>
  <c r="Z78" i="1"/>
  <c r="S78" i="1"/>
  <c r="W387" i="1"/>
  <c r="T387" i="1"/>
  <c r="U387" i="1"/>
  <c r="S1488" i="1"/>
  <c r="W286" i="1"/>
  <c r="U286" i="1"/>
  <c r="T286" i="1"/>
  <c r="Z610" i="1"/>
  <c r="S610" i="1"/>
  <c r="W43" i="1"/>
  <c r="T43" i="1"/>
  <c r="S586" i="1"/>
  <c r="Z586" i="1"/>
  <c r="W615" i="1"/>
  <c r="T615" i="1"/>
  <c r="U615" i="1"/>
  <c r="S171" i="1"/>
  <c r="Z171" i="1"/>
  <c r="W674" i="1"/>
  <c r="U674" i="1"/>
  <c r="Z1479" i="1"/>
  <c r="S1479" i="1"/>
  <c r="W262" i="1"/>
  <c r="U262" i="1"/>
  <c r="T262" i="1"/>
  <c r="S1474" i="1"/>
  <c r="Z1474" i="1"/>
  <c r="U605" i="1"/>
  <c r="W605" i="1"/>
  <c r="T605" i="1"/>
  <c r="S186" i="1"/>
  <c r="Z186" i="1"/>
  <c r="W1470" i="1"/>
  <c r="T1470" i="1"/>
  <c r="U1470" i="1"/>
  <c r="Z1526" i="1"/>
  <c r="S1526" i="1"/>
  <c r="W1464" i="1"/>
  <c r="U1464" i="1"/>
  <c r="Z1583" i="1"/>
  <c r="S1583" i="1"/>
  <c r="W1459" i="1"/>
  <c r="U1459" i="1"/>
  <c r="T1459" i="1"/>
  <c r="Z1553" i="1"/>
  <c r="S1553" i="1"/>
  <c r="T1708" i="1"/>
  <c r="U1708" i="1"/>
  <c r="W1708" i="1"/>
  <c r="W686" i="1"/>
  <c r="U686" i="1"/>
  <c r="T686" i="1"/>
  <c r="S460" i="1"/>
  <c r="Z460" i="1"/>
  <c r="W1449" i="1"/>
  <c r="U1449" i="1"/>
  <c r="T1449" i="1"/>
  <c r="Z73" i="1"/>
  <c r="S73" i="1"/>
  <c r="W1493" i="1"/>
  <c r="U1493" i="1"/>
  <c r="T1493" i="1"/>
  <c r="S1445" i="1"/>
  <c r="U1441" i="1"/>
  <c r="W1441" i="1"/>
  <c r="AA1441" i="1" s="1"/>
  <c r="Z1440" i="1"/>
  <c r="S1440" i="1"/>
  <c r="W585" i="1"/>
  <c r="T585" i="1"/>
  <c r="U585" i="1"/>
  <c r="Z1436" i="1"/>
  <c r="S1436" i="1"/>
  <c r="W1432" i="1"/>
  <c r="U1432" i="1"/>
  <c r="T1432" i="1"/>
  <c r="Z1431" i="1"/>
  <c r="S1431" i="1"/>
  <c r="W1428" i="1"/>
  <c r="U1428" i="1"/>
  <c r="T1428" i="1"/>
  <c r="S1426" i="1"/>
  <c r="Z1426" i="1"/>
  <c r="T177" i="1"/>
  <c r="W177" i="1"/>
  <c r="U177" i="1"/>
  <c r="Z596" i="1"/>
  <c r="S596" i="1"/>
  <c r="W1418" i="1"/>
  <c r="U1418" i="1"/>
  <c r="T1418" i="1"/>
  <c r="W1413" i="1"/>
  <c r="U1413" i="1"/>
  <c r="T1413" i="1"/>
  <c r="Z1411" i="1"/>
  <c r="S1411" i="1"/>
  <c r="W1406" i="1"/>
  <c r="T1406" i="1"/>
  <c r="U1406" i="1"/>
  <c r="S1405" i="1"/>
  <c r="Z1405" i="1"/>
  <c r="Z324" i="1"/>
  <c r="S324" i="1"/>
  <c r="W1393" i="1"/>
  <c r="T1393" i="1"/>
  <c r="U1393" i="1"/>
  <c r="S1391" i="1"/>
  <c r="Z1391" i="1"/>
  <c r="S1387" i="1"/>
  <c r="X1137" i="1"/>
  <c r="V1137" i="1"/>
  <c r="S1520" i="1"/>
  <c r="T426" i="1"/>
  <c r="X1056" i="1"/>
  <c r="V1056" i="1"/>
  <c r="W388" i="1"/>
  <c r="W198" i="1"/>
  <c r="S1353" i="1"/>
  <c r="AE1353" i="1"/>
  <c r="AG1353" i="1" s="1"/>
  <c r="AE1164" i="1"/>
  <c r="AG1164" i="1" s="1"/>
  <c r="S1164" i="1"/>
  <c r="AE1157" i="1"/>
  <c r="AG1157" i="1" s="1"/>
  <c r="S1157" i="1"/>
  <c r="S1519" i="1"/>
  <c r="S1276" i="1"/>
  <c r="S1009" i="1"/>
  <c r="T1019" i="1"/>
  <c r="V1511" i="1"/>
  <c r="X1511" i="1"/>
  <c r="X1356" i="1"/>
  <c r="V1356" i="1"/>
  <c r="X1265" i="1"/>
  <c r="V1265" i="1"/>
  <c r="X1055" i="1"/>
  <c r="V1055" i="1"/>
  <c r="Y1287" i="1"/>
  <c r="AA1287" i="1"/>
  <c r="W105" i="1"/>
  <c r="T105" i="1"/>
  <c r="U105" i="1"/>
  <c r="Z29" i="1"/>
  <c r="S29" i="1"/>
  <c r="U210" i="1"/>
  <c r="T210" i="1"/>
  <c r="AA210" i="1" s="1"/>
  <c r="Z1584" i="1"/>
  <c r="S1584" i="1"/>
  <c r="T1491" i="1"/>
  <c r="W1491" i="1"/>
  <c r="U1491" i="1"/>
  <c r="Z1576" i="1"/>
  <c r="S1576" i="1"/>
  <c r="W681" i="1"/>
  <c r="T681" i="1"/>
  <c r="T313" i="1"/>
  <c r="U313" i="1"/>
  <c r="Z665" i="1"/>
  <c r="S665" i="1"/>
  <c r="U220" i="1"/>
  <c r="T220" i="1"/>
  <c r="W220" i="1"/>
  <c r="Z689" i="1"/>
  <c r="S689" i="1"/>
  <c r="W597" i="1"/>
  <c r="AA597" i="1" s="1"/>
  <c r="U597" i="1"/>
  <c r="Z357" i="1"/>
  <c r="S357" i="1"/>
  <c r="T669" i="1"/>
  <c r="U669" i="1"/>
  <c r="W669" i="1"/>
  <c r="U151" i="1"/>
  <c r="T151" i="1"/>
  <c r="W151" i="1"/>
  <c r="Z362" i="1"/>
  <c r="S362" i="1"/>
  <c r="U673" i="1"/>
  <c r="T673" i="1"/>
  <c r="AA673" i="1" s="1"/>
  <c r="Z349" i="1"/>
  <c r="S349" i="1"/>
  <c r="W147" i="1"/>
  <c r="T147" i="1"/>
  <c r="U147" i="1"/>
  <c r="W265" i="1"/>
  <c r="U265" i="1"/>
  <c r="T265" i="1"/>
  <c r="S603" i="1"/>
  <c r="Z603" i="1"/>
  <c r="U224" i="1"/>
  <c r="V224" i="1" s="1"/>
  <c r="T224" i="1"/>
  <c r="W224" i="1"/>
  <c r="Z576" i="1"/>
  <c r="S576" i="1"/>
  <c r="W59" i="1"/>
  <c r="T59" i="1"/>
  <c r="Z195" i="1"/>
  <c r="S195" i="1"/>
  <c r="W602" i="1"/>
  <c r="T602" i="1"/>
  <c r="U602" i="1"/>
  <c r="S148" i="1"/>
  <c r="Z148" i="1"/>
  <c r="T202" i="1"/>
  <c r="U202" i="1"/>
  <c r="W202" i="1"/>
  <c r="Z211" i="1"/>
  <c r="S211" i="1"/>
  <c r="T157" i="1"/>
  <c r="U157" i="1"/>
  <c r="V157" i="1" s="1"/>
  <c r="W157" i="1"/>
  <c r="Z607" i="1"/>
  <c r="S607" i="1"/>
  <c r="U310" i="1"/>
  <c r="T310" i="1"/>
  <c r="W572" i="1"/>
  <c r="U572" i="1"/>
  <c r="T572" i="1"/>
  <c r="U128" i="1"/>
  <c r="W128" i="1"/>
  <c r="T128" i="1"/>
  <c r="Z274" i="1"/>
  <c r="S274" i="1"/>
  <c r="T93" i="1"/>
  <c r="W93" i="1"/>
  <c r="U93" i="1"/>
  <c r="U631" i="1"/>
  <c r="W631" i="1"/>
  <c r="T631" i="1"/>
  <c r="S684" i="1"/>
  <c r="Z684" i="1"/>
  <c r="W106" i="1"/>
  <c r="U106" i="1"/>
  <c r="V106" i="1" s="1"/>
  <c r="Z444" i="1"/>
  <c r="S444" i="1"/>
  <c r="S45" i="1"/>
  <c r="Z45" i="1"/>
  <c r="T63" i="1"/>
  <c r="U63" i="1"/>
  <c r="W63" i="1"/>
  <c r="Z139" i="1"/>
  <c r="S139" i="1"/>
  <c r="U83" i="1"/>
  <c r="W83" i="1"/>
  <c r="AA83" i="1" s="1"/>
  <c r="S1647" i="1"/>
  <c r="Z1647" i="1"/>
  <c r="U1712" i="1"/>
  <c r="W1712" i="1"/>
  <c r="T1712" i="1"/>
  <c r="U1762" i="1"/>
  <c r="T1762" i="1"/>
  <c r="W1762" i="1"/>
  <c r="S1514" i="1"/>
  <c r="Z1514" i="1"/>
  <c r="T1655" i="1"/>
  <c r="W1655" i="1"/>
  <c r="U1655" i="1"/>
  <c r="Z1511" i="1"/>
  <c r="S1511" i="1"/>
  <c r="W1566" i="1"/>
  <c r="T1566" i="1"/>
  <c r="Z1509" i="1"/>
  <c r="S1509" i="1"/>
  <c r="U1506" i="1"/>
  <c r="W1506" i="1"/>
  <c r="S636" i="1"/>
  <c r="Z636" i="1"/>
  <c r="T1616" i="1"/>
  <c r="U1616" i="1"/>
  <c r="W1616" i="1"/>
  <c r="Z96" i="1"/>
  <c r="S96" i="1"/>
  <c r="T1502" i="1"/>
  <c r="W1502" i="1"/>
  <c r="U1502" i="1"/>
  <c r="Z1500" i="1"/>
  <c r="S1500" i="1"/>
  <c r="U1498" i="1"/>
  <c r="T1498" i="1"/>
  <c r="S692" i="1"/>
  <c r="Z692" i="1"/>
  <c r="W646" i="1"/>
  <c r="U646" i="1"/>
  <c r="T646" i="1"/>
  <c r="S2" i="1"/>
  <c r="Z2" i="1"/>
  <c r="U306" i="1"/>
  <c r="W306" i="1"/>
  <c r="U642" i="1"/>
  <c r="W642" i="1"/>
  <c r="T642" i="1"/>
  <c r="Z1490" i="1"/>
  <c r="S1490" i="1"/>
  <c r="U285" i="1"/>
  <c r="W285" i="1"/>
  <c r="T285" i="1"/>
  <c r="S1487" i="1"/>
  <c r="Z1487" i="1"/>
  <c r="U531" i="1"/>
  <c r="W531" i="1"/>
  <c r="T531" i="1"/>
  <c r="U659" i="1"/>
  <c r="W659" i="1"/>
  <c r="T659" i="1"/>
  <c r="S591" i="1"/>
  <c r="Z591" i="1"/>
  <c r="U107" i="1"/>
  <c r="T107" i="1"/>
  <c r="W107" i="1"/>
  <c r="S431" i="1"/>
  <c r="Z431" i="1"/>
  <c r="X198" i="1"/>
  <c r="V198" i="1"/>
  <c r="Z1478" i="1"/>
  <c r="S1478" i="1"/>
  <c r="T1475" i="1"/>
  <c r="U1475" i="1"/>
  <c r="W1475" i="1"/>
  <c r="S611" i="1"/>
  <c r="Z611" i="1"/>
  <c r="U1472" i="1"/>
  <c r="W1472" i="1"/>
  <c r="T1472" i="1"/>
  <c r="Z630" i="1"/>
  <c r="S630" i="1"/>
  <c r="T1469" i="1"/>
  <c r="U1469" i="1"/>
  <c r="W1469" i="1"/>
  <c r="S345" i="1"/>
  <c r="Z345" i="1"/>
  <c r="U1463" i="1"/>
  <c r="W1463" i="1"/>
  <c r="U1458" i="1"/>
  <c r="W1458" i="1"/>
  <c r="Z420" i="1"/>
  <c r="S420" i="1"/>
  <c r="U430" i="1"/>
  <c r="T430" i="1"/>
  <c r="W430" i="1"/>
  <c r="Z668" i="1"/>
  <c r="S668" i="1"/>
  <c r="U304" i="1"/>
  <c r="T304" i="1"/>
  <c r="W304" i="1"/>
  <c r="Z1452" i="1"/>
  <c r="S1452" i="1"/>
  <c r="U1448" i="1"/>
  <c r="W1448" i="1"/>
  <c r="T1448" i="1"/>
  <c r="Z629" i="1"/>
  <c r="S629" i="1"/>
  <c r="W1446" i="1"/>
  <c r="U1446" i="1"/>
  <c r="T1446" i="1"/>
  <c r="S1444" i="1"/>
  <c r="Z1444" i="1"/>
  <c r="U1581" i="1"/>
  <c r="W1581" i="1"/>
  <c r="T1581" i="1"/>
  <c r="Z606" i="1"/>
  <c r="S606" i="1"/>
  <c r="W1437" i="1"/>
  <c r="U1437" i="1"/>
  <c r="S1435" i="1"/>
  <c r="Z1435" i="1"/>
  <c r="U475" i="1"/>
  <c r="W475" i="1"/>
  <c r="T475" i="1"/>
  <c r="Z154" i="1"/>
  <c r="S154" i="1"/>
  <c r="U644" i="1"/>
  <c r="W644" i="1"/>
  <c r="T644" i="1"/>
  <c r="U1421" i="1"/>
  <c r="W1421" i="1"/>
  <c r="AA1421" i="1" s="1"/>
  <c r="Z1420" i="1"/>
  <c r="S1420" i="1"/>
  <c r="W1417" i="1"/>
  <c r="U1417" i="1"/>
  <c r="T1417" i="1"/>
  <c r="S1416" i="1"/>
  <c r="U1412" i="1"/>
  <c r="T1412" i="1"/>
  <c r="W1412" i="1"/>
  <c r="Z1410" i="1"/>
  <c r="S1410" i="1"/>
  <c r="T1709" i="1"/>
  <c r="W1709" i="1"/>
  <c r="U1709" i="1"/>
  <c r="Z1404" i="1"/>
  <c r="S1404" i="1"/>
  <c r="U1398" i="1"/>
  <c r="W1398" i="1"/>
  <c r="Z1397" i="1"/>
  <c r="S1397" i="1"/>
  <c r="T1392" i="1"/>
  <c r="U1392" i="1"/>
  <c r="W1392" i="1"/>
  <c r="S1390" i="1"/>
  <c r="Z1390" i="1"/>
  <c r="U1388" i="1"/>
  <c r="W1388" i="1"/>
  <c r="T1388" i="1"/>
  <c r="Z1386" i="1"/>
  <c r="S1386" i="1"/>
  <c r="T34" i="1"/>
  <c r="W34" i="1"/>
  <c r="U34" i="1"/>
  <c r="S1379" i="1"/>
  <c r="Z1379" i="1"/>
  <c r="U1375" i="1"/>
  <c r="W1375" i="1"/>
  <c r="T1375" i="1"/>
  <c r="U184" i="1"/>
  <c r="W184" i="1"/>
  <c r="AA184" i="1" s="1"/>
  <c r="Z519" i="1"/>
  <c r="S519" i="1"/>
  <c r="U194" i="1"/>
  <c r="W194" i="1"/>
  <c r="T194" i="1"/>
  <c r="S1361" i="1"/>
  <c r="Z1361" i="1"/>
  <c r="W1355" i="1"/>
  <c r="U1355" i="1"/>
  <c r="T1355" i="1"/>
  <c r="U1347" i="1"/>
  <c r="T1347" i="1"/>
  <c r="AA1347" i="1" s="1"/>
  <c r="S1346" i="1"/>
  <c r="Z1346" i="1"/>
  <c r="U1341" i="1"/>
  <c r="W1341" i="1"/>
  <c r="T1341" i="1"/>
  <c r="Z1339" i="1"/>
  <c r="S1339" i="1"/>
  <c r="U1334" i="1"/>
  <c r="W1334" i="1"/>
  <c r="Z1332" i="1"/>
  <c r="S1332" i="1"/>
  <c r="U1326" i="1"/>
  <c r="T1326" i="1"/>
  <c r="W1326" i="1"/>
  <c r="S1324" i="1"/>
  <c r="Z1324" i="1"/>
  <c r="U1318" i="1"/>
  <c r="W1318" i="1"/>
  <c r="S1316" i="1"/>
  <c r="Z1316" i="1"/>
  <c r="W1310" i="1"/>
  <c r="T1310" i="1"/>
  <c r="Z1308" i="1"/>
  <c r="S1308" i="1"/>
  <c r="U1302" i="1"/>
  <c r="T1302" i="1"/>
  <c r="W1302" i="1"/>
  <c r="U1294" i="1"/>
  <c r="T1294" i="1"/>
  <c r="Z1292" i="1"/>
  <c r="S1292" i="1"/>
  <c r="U1286" i="1"/>
  <c r="W1286" i="1"/>
  <c r="T1286" i="1"/>
  <c r="Z1284" i="1"/>
  <c r="S1284" i="1"/>
  <c r="W1279" i="1"/>
  <c r="U1279" i="1"/>
  <c r="T1279" i="1"/>
  <c r="U1273" i="1"/>
  <c r="T1273" i="1"/>
  <c r="W1273" i="1"/>
  <c r="Z1272" i="1"/>
  <c r="S1272" i="1"/>
  <c r="W1267" i="1"/>
  <c r="T1267" i="1"/>
  <c r="Z1265" i="1"/>
  <c r="S1265" i="1"/>
  <c r="U1260" i="1"/>
  <c r="T1260" i="1"/>
  <c r="S1258" i="1"/>
  <c r="Z1258" i="1"/>
  <c r="U1252" i="1"/>
  <c r="T1252" i="1"/>
  <c r="W1252" i="1"/>
  <c r="Z1642" i="1"/>
  <c r="S1642" i="1"/>
  <c r="U1245" i="1"/>
  <c r="W1245" i="1"/>
  <c r="T1245" i="1"/>
  <c r="Z1243" i="1"/>
  <c r="S1243" i="1"/>
  <c r="W1237" i="1"/>
  <c r="U1237" i="1"/>
  <c r="T1237" i="1"/>
  <c r="Z1235" i="1"/>
  <c r="S1235" i="1"/>
  <c r="U1229" i="1"/>
  <c r="T1229" i="1"/>
  <c r="W1229" i="1"/>
  <c r="S1227" i="1"/>
  <c r="W1222" i="1"/>
  <c r="U1222" i="1"/>
  <c r="T1222" i="1"/>
  <c r="Z1691" i="1"/>
  <c r="S1691" i="1"/>
  <c r="U1216" i="1"/>
  <c r="W1216" i="1"/>
  <c r="S1214" i="1"/>
  <c r="Z1214" i="1"/>
  <c r="U1210" i="1"/>
  <c r="T1210" i="1"/>
  <c r="W1210" i="1"/>
  <c r="S1208" i="1"/>
  <c r="Z1208" i="1"/>
  <c r="U1202" i="1"/>
  <c r="T1202" i="1"/>
  <c r="W1202" i="1"/>
  <c r="Z1200" i="1"/>
  <c r="S1200" i="1"/>
  <c r="U1608" i="1"/>
  <c r="T1608" i="1"/>
  <c r="AA1608" i="1" s="1"/>
  <c r="S1193" i="1"/>
  <c r="Z1193" i="1"/>
  <c r="U1188" i="1"/>
  <c r="T1188" i="1"/>
  <c r="W1188" i="1"/>
  <c r="U1180" i="1"/>
  <c r="T1180" i="1"/>
  <c r="W1180" i="1"/>
  <c r="Z1178" i="1"/>
  <c r="S1178" i="1"/>
  <c r="U1173" i="1"/>
  <c r="W1173" i="1"/>
  <c r="T1173" i="1"/>
  <c r="Z1171" i="1"/>
  <c r="S1171" i="1"/>
  <c r="S223" i="1"/>
  <c r="S167" i="1"/>
  <c r="S1008" i="1"/>
  <c r="T674" i="1"/>
  <c r="U1566" i="1"/>
  <c r="V1093" i="1"/>
  <c r="X1093" i="1"/>
  <c r="W1399" i="1"/>
  <c r="S1486" i="1"/>
  <c r="T1664" i="1"/>
  <c r="T1492" i="1"/>
  <c r="T198" i="1"/>
  <c r="U618" i="1"/>
  <c r="X1353" i="1"/>
  <c r="V1353" i="1"/>
  <c r="X1308" i="1"/>
  <c r="V1308" i="1"/>
  <c r="W313" i="1"/>
  <c r="W1498" i="1"/>
  <c r="Z1227" i="1"/>
  <c r="T1564" i="1"/>
  <c r="W1564" i="1"/>
  <c r="U1564" i="1"/>
  <c r="W1510" i="1"/>
  <c r="T1510" i="1"/>
  <c r="S1603" i="1"/>
  <c r="U364" i="1"/>
  <c r="W364" i="1"/>
  <c r="S1629" i="1"/>
  <c r="Z1629" i="1"/>
  <c r="T1504" i="1"/>
  <c r="U1504" i="1"/>
  <c r="W1504" i="1"/>
  <c r="Z1503" i="1"/>
  <c r="S1503" i="1"/>
  <c r="U1501" i="1"/>
  <c r="W1501" i="1"/>
  <c r="T1501" i="1"/>
  <c r="S99" i="1"/>
  <c r="Z99" i="1"/>
  <c r="T453" i="1"/>
  <c r="W453" i="1"/>
  <c r="U453" i="1"/>
  <c r="Z1496" i="1"/>
  <c r="S1496" i="1"/>
  <c r="W499" i="1"/>
  <c r="U499" i="1"/>
  <c r="T499" i="1"/>
  <c r="Z1610" i="1"/>
  <c r="S1610" i="1"/>
  <c r="U622" i="1"/>
  <c r="T622" i="1"/>
  <c r="AA622" i="1" s="1"/>
  <c r="U78" i="1"/>
  <c r="W78" i="1"/>
  <c r="T78" i="1"/>
  <c r="S608" i="1"/>
  <c r="U1488" i="1"/>
  <c r="W1488" i="1"/>
  <c r="T1488" i="1"/>
  <c r="S239" i="1"/>
  <c r="Z239" i="1"/>
  <c r="U610" i="1"/>
  <c r="W610" i="1"/>
  <c r="T610" i="1"/>
  <c r="U586" i="1"/>
  <c r="T586" i="1"/>
  <c r="W586" i="1"/>
  <c r="Z1484" i="1"/>
  <c r="S1484" i="1"/>
  <c r="U171" i="1"/>
  <c r="T171" i="1"/>
  <c r="W171" i="1"/>
  <c r="Z183" i="1"/>
  <c r="S183" i="1"/>
  <c r="U1479" i="1"/>
  <c r="T1479" i="1"/>
  <c r="W1479" i="1"/>
  <c r="S1477" i="1"/>
  <c r="Z1477" i="1"/>
  <c r="W1474" i="1"/>
  <c r="T1474" i="1"/>
  <c r="U1474" i="1"/>
  <c r="S90" i="1"/>
  <c r="Z90" i="1"/>
  <c r="U186" i="1"/>
  <c r="W186" i="1"/>
  <c r="T186" i="1"/>
  <c r="S637" i="1"/>
  <c r="Z637" i="1"/>
  <c r="U1526" i="1"/>
  <c r="W1526" i="1"/>
  <c r="T1526" i="1"/>
  <c r="Z1468" i="1"/>
  <c r="S1468" i="1"/>
  <c r="U1583" i="1"/>
  <c r="T1583" i="1"/>
  <c r="W1583" i="1"/>
  <c r="S1461" i="1"/>
  <c r="Z1461" i="1"/>
  <c r="U1553" i="1"/>
  <c r="W1553" i="1"/>
  <c r="Z1457" i="1"/>
  <c r="S1457" i="1"/>
  <c r="U1454" i="1"/>
  <c r="T1454" i="1"/>
  <c r="W1454" i="1"/>
  <c r="Z1453" i="1"/>
  <c r="S1453" i="1"/>
  <c r="U460" i="1"/>
  <c r="T460" i="1"/>
  <c r="AA460" i="1" s="1"/>
  <c r="U73" i="1"/>
  <c r="W73" i="1"/>
  <c r="T73" i="1"/>
  <c r="Z1402" i="1"/>
  <c r="S1402" i="1"/>
  <c r="W1445" i="1"/>
  <c r="U1445" i="1"/>
  <c r="T1445" i="1"/>
  <c r="U1440" i="1"/>
  <c r="T1440" i="1"/>
  <c r="W1440" i="1"/>
  <c r="Z1439" i="1"/>
  <c r="S1439" i="1"/>
  <c r="W1436" i="1"/>
  <c r="T1436" i="1"/>
  <c r="U1436" i="1"/>
  <c r="Z1434" i="1"/>
  <c r="S1434" i="1"/>
  <c r="U1431" i="1"/>
  <c r="T1431" i="1"/>
  <c r="W1431" i="1"/>
  <c r="Z1430" i="1"/>
  <c r="S1430" i="1"/>
  <c r="U1426" i="1"/>
  <c r="T1426" i="1"/>
  <c r="W1426" i="1"/>
  <c r="U596" i="1"/>
  <c r="W596" i="1"/>
  <c r="T596" i="1"/>
  <c r="Z638" i="1"/>
  <c r="S638" i="1"/>
  <c r="U621" i="1"/>
  <c r="W621" i="1"/>
  <c r="S68" i="1"/>
  <c r="Z68" i="1"/>
  <c r="U1411" i="1"/>
  <c r="T1411" i="1"/>
  <c r="W1411" i="1"/>
  <c r="Z1409" i="1"/>
  <c r="S1409" i="1"/>
  <c r="W1405" i="1"/>
  <c r="U1405" i="1"/>
  <c r="T1405" i="1"/>
  <c r="Z1403" i="1"/>
  <c r="S1403" i="1"/>
  <c r="U324" i="1"/>
  <c r="W324" i="1"/>
  <c r="T324" i="1"/>
  <c r="Z1396" i="1"/>
  <c r="S1396" i="1"/>
  <c r="T1391" i="1"/>
  <c r="U1391" i="1"/>
  <c r="W1391" i="1"/>
  <c r="Z567" i="1"/>
  <c r="S567" i="1"/>
  <c r="U1387" i="1"/>
  <c r="W1387" i="1"/>
  <c r="T1387" i="1"/>
  <c r="Z1385" i="1"/>
  <c r="S1385" i="1"/>
  <c r="T1380" i="1"/>
  <c r="W1380" i="1"/>
  <c r="U1380" i="1"/>
  <c r="S1378" i="1"/>
  <c r="Z1378" i="1"/>
  <c r="U1374" i="1"/>
  <c r="W1374" i="1"/>
  <c r="T1374" i="1"/>
  <c r="Z1372" i="1"/>
  <c r="S1372" i="1"/>
  <c r="T1367" i="1"/>
  <c r="W1367" i="1"/>
  <c r="U1367" i="1"/>
  <c r="S1366" i="1"/>
  <c r="Z1366" i="1"/>
  <c r="U1362" i="1"/>
  <c r="T1362" i="1"/>
  <c r="W1362" i="1"/>
  <c r="S1360" i="1"/>
  <c r="Z1360" i="1"/>
  <c r="W1354" i="1"/>
  <c r="T1354" i="1"/>
  <c r="S1352" i="1"/>
  <c r="Z1352" i="1"/>
  <c r="U146" i="1"/>
  <c r="W146" i="1"/>
  <c r="T146" i="1"/>
  <c r="S1345" i="1"/>
  <c r="Z1345" i="1"/>
  <c r="W1340" i="1"/>
  <c r="U1340" i="1"/>
  <c r="T1340" i="1"/>
  <c r="Z1338" i="1"/>
  <c r="S1338" i="1"/>
  <c r="U1333" i="1"/>
  <c r="W1333" i="1"/>
  <c r="T1333" i="1"/>
  <c r="Z1331" i="1"/>
  <c r="S1331" i="1"/>
  <c r="U1325" i="1"/>
  <c r="T1325" i="1"/>
  <c r="W1325" i="1"/>
  <c r="S1323" i="1"/>
  <c r="Z1323" i="1"/>
  <c r="U1317" i="1"/>
  <c r="W1317" i="1"/>
  <c r="S1315" i="1"/>
  <c r="Z1315" i="1"/>
  <c r="T1309" i="1"/>
  <c r="W1309" i="1"/>
  <c r="Z1307" i="1"/>
  <c r="S1307" i="1"/>
  <c r="U1301" i="1"/>
  <c r="W1301" i="1"/>
  <c r="T1301" i="1"/>
  <c r="Z1299" i="1"/>
  <c r="S1299" i="1"/>
  <c r="X1293" i="1"/>
  <c r="V1293" i="1"/>
  <c r="Z1291" i="1"/>
  <c r="S1291" i="1"/>
  <c r="U1285" i="1"/>
  <c r="W1285" i="1"/>
  <c r="Z1283" i="1"/>
  <c r="S1283" i="1"/>
  <c r="W1278" i="1"/>
  <c r="U1278" i="1"/>
  <c r="T1278" i="1"/>
  <c r="U1579" i="1"/>
  <c r="T1579" i="1"/>
  <c r="W1579" i="1"/>
  <c r="Z1651" i="1"/>
  <c r="S1651" i="1"/>
  <c r="W1266" i="1"/>
  <c r="T1266" i="1"/>
  <c r="Z1731" i="1"/>
  <c r="S1731" i="1"/>
  <c r="U1259" i="1"/>
  <c r="T1259" i="1"/>
  <c r="S1257" i="1"/>
  <c r="Z1257" i="1"/>
  <c r="U1251" i="1"/>
  <c r="W1251" i="1"/>
  <c r="T1251" i="1"/>
  <c r="S1250" i="1"/>
  <c r="Z1250" i="1"/>
  <c r="U1244" i="1"/>
  <c r="T1244" i="1"/>
  <c r="W1244" i="1"/>
  <c r="W1236" i="1"/>
  <c r="U1236" i="1"/>
  <c r="T1236" i="1"/>
  <c r="Z1234" i="1"/>
  <c r="S1234" i="1"/>
  <c r="U1228" i="1"/>
  <c r="T1228" i="1"/>
  <c r="W1228" i="1"/>
  <c r="S1226" i="1"/>
  <c r="Z1226" i="1"/>
  <c r="W1221" i="1"/>
  <c r="U1221" i="1"/>
  <c r="T1221" i="1"/>
  <c r="Z1220" i="1"/>
  <c r="S1220" i="1"/>
  <c r="S91" i="1"/>
  <c r="Z91" i="1"/>
  <c r="T1209" i="1"/>
  <c r="W1209" i="1"/>
  <c r="U1209" i="1"/>
  <c r="S1207" i="1"/>
  <c r="Z1207" i="1"/>
  <c r="U1201" i="1"/>
  <c r="W1201" i="1"/>
  <c r="T1201" i="1"/>
  <c r="Z1199" i="1"/>
  <c r="S1199" i="1"/>
  <c r="U1194" i="1"/>
  <c r="T1194" i="1"/>
  <c r="AA1194" i="1" s="1"/>
  <c r="S1192" i="1"/>
  <c r="Z1192" i="1"/>
  <c r="U1187" i="1"/>
  <c r="W1187" i="1"/>
  <c r="T1187" i="1"/>
  <c r="S1185" i="1"/>
  <c r="Z1185" i="1"/>
  <c r="T1179" i="1"/>
  <c r="W1179" i="1"/>
  <c r="Z1177" i="1"/>
  <c r="S1177" i="1"/>
  <c r="U1172" i="1"/>
  <c r="W1172" i="1"/>
  <c r="AA1172" i="1" s="1"/>
  <c r="W1165" i="1"/>
  <c r="T1165" i="1"/>
  <c r="U1165" i="1"/>
  <c r="S1163" i="1"/>
  <c r="Z1163" i="1"/>
  <c r="U50" i="1"/>
  <c r="T50" i="1"/>
  <c r="W50" i="1"/>
  <c r="Z1156" i="1"/>
  <c r="S1156" i="1"/>
  <c r="T1150" i="1"/>
  <c r="W1150" i="1"/>
  <c r="U1150" i="1"/>
  <c r="S1148" i="1"/>
  <c r="Z1148" i="1"/>
  <c r="U1142" i="1"/>
  <c r="W1142" i="1"/>
  <c r="AA1142" i="1" s="1"/>
  <c r="T1135" i="1"/>
  <c r="W1135" i="1"/>
  <c r="U1135" i="1"/>
  <c r="Z1133" i="1"/>
  <c r="S1133" i="1"/>
  <c r="U1128" i="1"/>
  <c r="W1128" i="1"/>
  <c r="T1128" i="1"/>
  <c r="Z1126" i="1"/>
  <c r="S1126" i="1"/>
  <c r="W1120" i="1"/>
  <c r="U1120" i="1"/>
  <c r="T1120" i="1"/>
  <c r="Z33" i="1"/>
  <c r="S33" i="1"/>
  <c r="U1115" i="1"/>
  <c r="T1115" i="1"/>
  <c r="AA1115" i="1" s="1"/>
  <c r="U1110" i="1"/>
  <c r="T1110" i="1"/>
  <c r="W1110" i="1"/>
  <c r="Z1108" i="1"/>
  <c r="S1108" i="1"/>
  <c r="U1102" i="1"/>
  <c r="W1102" i="1"/>
  <c r="T1102" i="1"/>
  <c r="U1094" i="1"/>
  <c r="W1094" i="1"/>
  <c r="T1094" i="1"/>
  <c r="Z1092" i="1"/>
  <c r="S1092" i="1"/>
  <c r="U1088" i="1"/>
  <c r="T1088" i="1"/>
  <c r="W1088" i="1"/>
  <c r="Z1086" i="1"/>
  <c r="S1086" i="1"/>
  <c r="U1081" i="1"/>
  <c r="W1081" i="1"/>
  <c r="AA1081" i="1" s="1"/>
  <c r="U1073" i="1"/>
  <c r="W1073" i="1"/>
  <c r="T1073" i="1"/>
  <c r="U1066" i="1"/>
  <c r="W1066" i="1"/>
  <c r="T1066" i="1"/>
  <c r="Z1064" i="1"/>
  <c r="S1064" i="1"/>
  <c r="U1058" i="1"/>
  <c r="W1058" i="1"/>
  <c r="AA1058" i="1" s="1"/>
  <c r="Z1056" i="1"/>
  <c r="S1056" i="1"/>
  <c r="T1050" i="1"/>
  <c r="W1050" i="1"/>
  <c r="U1050" i="1"/>
  <c r="Z1048" i="1"/>
  <c r="S1048" i="1"/>
  <c r="U1042" i="1"/>
  <c r="T1042" i="1"/>
  <c r="W1042" i="1"/>
  <c r="Z1040" i="1"/>
  <c r="S1040" i="1"/>
  <c r="W1034" i="1"/>
  <c r="U1034" i="1"/>
  <c r="T1034" i="1"/>
  <c r="Z1032" i="1"/>
  <c r="S1032" i="1"/>
  <c r="U1027" i="1"/>
  <c r="T1027" i="1"/>
  <c r="W1027" i="1"/>
  <c r="Z1025" i="1"/>
  <c r="S1025" i="1"/>
  <c r="Z1017" i="1"/>
  <c r="S1017" i="1"/>
  <c r="U1011" i="1"/>
  <c r="T1011" i="1"/>
  <c r="W1011" i="1"/>
  <c r="W1003" i="1"/>
  <c r="U1003" i="1"/>
  <c r="T1003" i="1"/>
  <c r="Z1001" i="1"/>
  <c r="S1001" i="1"/>
  <c r="U997" i="1"/>
  <c r="W997" i="1"/>
  <c r="S995" i="1"/>
  <c r="Z995" i="1"/>
  <c r="U990" i="1"/>
  <c r="T990" i="1"/>
  <c r="AA990" i="1" s="1"/>
  <c r="Z988" i="1"/>
  <c r="S988" i="1"/>
  <c r="U982" i="1"/>
  <c r="T982" i="1"/>
  <c r="W982" i="1"/>
  <c r="S980" i="1"/>
  <c r="Z980" i="1"/>
  <c r="W974" i="1"/>
  <c r="U974" i="1"/>
  <c r="T974" i="1"/>
  <c r="S972" i="1"/>
  <c r="Z972" i="1"/>
  <c r="U967" i="1"/>
  <c r="W967" i="1"/>
  <c r="T967" i="1"/>
  <c r="Z965" i="1"/>
  <c r="S965" i="1"/>
  <c r="W261" i="1"/>
  <c r="AA261" i="1" s="1"/>
  <c r="U261" i="1"/>
  <c r="S959" i="1"/>
  <c r="Z959" i="1"/>
  <c r="U953" i="1"/>
  <c r="W953" i="1"/>
  <c r="T953" i="1"/>
  <c r="Z951" i="1"/>
  <c r="S951" i="1"/>
  <c r="W945" i="1"/>
  <c r="T945" i="1"/>
  <c r="U945" i="1"/>
  <c r="S943" i="1"/>
  <c r="U937" i="1"/>
  <c r="W937" i="1"/>
  <c r="T937" i="1"/>
  <c r="Z935" i="1"/>
  <c r="S935" i="1"/>
  <c r="U929" i="1"/>
  <c r="T929" i="1"/>
  <c r="W929" i="1"/>
  <c r="Z927" i="1"/>
  <c r="S927" i="1"/>
  <c r="U921" i="1"/>
  <c r="T921" i="1"/>
  <c r="W921" i="1"/>
  <c r="Z919" i="1"/>
  <c r="S919" i="1"/>
  <c r="W914" i="1"/>
  <c r="T914" i="1"/>
  <c r="U914" i="1"/>
  <c r="Z912" i="1"/>
  <c r="S912" i="1"/>
  <c r="U1699" i="1"/>
  <c r="W1699" i="1"/>
  <c r="T1699" i="1"/>
  <c r="S906" i="1"/>
  <c r="Z906" i="1"/>
  <c r="T900" i="1"/>
  <c r="W900" i="1"/>
  <c r="Z898" i="1"/>
  <c r="S898" i="1"/>
  <c r="U892" i="1"/>
  <c r="W892" i="1"/>
  <c r="T892" i="1"/>
  <c r="Z890" i="1"/>
  <c r="S890" i="1"/>
  <c r="W884" i="1"/>
  <c r="AA884" i="1" s="1"/>
  <c r="U884" i="1"/>
  <c r="S882" i="1"/>
  <c r="Z882" i="1"/>
  <c r="U876" i="1"/>
  <c r="W876" i="1"/>
  <c r="T876" i="1"/>
  <c r="Z874" i="1"/>
  <c r="S874" i="1"/>
  <c r="U869" i="1"/>
  <c r="T869" i="1"/>
  <c r="W869" i="1"/>
  <c r="Z867" i="1"/>
  <c r="S867" i="1"/>
  <c r="U861" i="1"/>
  <c r="W861" i="1"/>
  <c r="T861" i="1"/>
  <c r="Z859" i="1"/>
  <c r="S859" i="1"/>
  <c r="T853" i="1"/>
  <c r="W853" i="1"/>
  <c r="S851" i="1"/>
  <c r="Z851" i="1"/>
  <c r="U846" i="1"/>
  <c r="T846" i="1"/>
  <c r="W846" i="1"/>
  <c r="Z844" i="1"/>
  <c r="S844" i="1"/>
  <c r="U838" i="1"/>
  <c r="W838" i="1"/>
  <c r="T838" i="1"/>
  <c r="S836" i="1"/>
  <c r="Z836" i="1"/>
  <c r="U830" i="1"/>
  <c r="T830" i="1"/>
  <c r="W830" i="1"/>
  <c r="Z828" i="1"/>
  <c r="S828" i="1"/>
  <c r="W823" i="1"/>
  <c r="U823" i="1"/>
  <c r="T823" i="1"/>
  <c r="S821" i="1"/>
  <c r="Z821" i="1"/>
  <c r="U815" i="1"/>
  <c r="W815" i="1"/>
  <c r="T815" i="1"/>
  <c r="Z813" i="1"/>
  <c r="S813" i="1"/>
  <c r="T807" i="1"/>
  <c r="U807" i="1"/>
  <c r="W807" i="1"/>
  <c r="Z805" i="1"/>
  <c r="S805" i="1"/>
  <c r="U800" i="1"/>
  <c r="T800" i="1"/>
  <c r="W800" i="1"/>
  <c r="S798" i="1"/>
  <c r="Z798" i="1"/>
  <c r="U794" i="1"/>
  <c r="T794" i="1"/>
  <c r="W794" i="1"/>
  <c r="Z792" i="1"/>
  <c r="S792" i="1"/>
  <c r="U786" i="1"/>
  <c r="T786" i="1"/>
  <c r="W786" i="1"/>
  <c r="S784" i="1"/>
  <c r="Z784" i="1"/>
  <c r="W779" i="1"/>
  <c r="T779" i="1"/>
  <c r="U779" i="1"/>
  <c r="S777" i="1"/>
  <c r="Z777" i="1"/>
  <c r="U773" i="1"/>
  <c r="T773" i="1"/>
  <c r="W773" i="1"/>
  <c r="S771" i="1"/>
  <c r="Z771" i="1"/>
  <c r="W196" i="1"/>
  <c r="U196" i="1"/>
  <c r="T196" i="1"/>
  <c r="Z765" i="1"/>
  <c r="S765" i="1"/>
  <c r="U760" i="1"/>
  <c r="W760" i="1"/>
  <c r="T760" i="1"/>
  <c r="Z342" i="1"/>
  <c r="S342" i="1"/>
  <c r="W754" i="1"/>
  <c r="U754" i="1"/>
  <c r="Z752" i="1"/>
  <c r="S752" i="1"/>
  <c r="U746" i="1"/>
  <c r="W746" i="1"/>
  <c r="T746" i="1"/>
  <c r="Z744" i="1"/>
  <c r="S744" i="1"/>
  <c r="W738" i="1"/>
  <c r="U738" i="1"/>
  <c r="T738" i="1"/>
  <c r="S736" i="1"/>
  <c r="Z736" i="1"/>
  <c r="U730" i="1"/>
  <c r="W730" i="1"/>
  <c r="T730" i="1"/>
  <c r="S728" i="1"/>
  <c r="Z728" i="1"/>
  <c r="W723" i="1"/>
  <c r="U723" i="1"/>
  <c r="T723" i="1"/>
  <c r="Z1622" i="1"/>
  <c r="S1622" i="1"/>
  <c r="U718" i="1"/>
  <c r="T718" i="1"/>
  <c r="W718" i="1"/>
  <c r="S716" i="1"/>
  <c r="Z716" i="1"/>
  <c r="U711" i="1"/>
  <c r="T711" i="1"/>
  <c r="AA711" i="1" s="1"/>
  <c r="U705" i="1"/>
  <c r="T705" i="1"/>
  <c r="W705" i="1"/>
  <c r="S1039" i="1"/>
  <c r="T1506" i="1"/>
  <c r="T306" i="1"/>
  <c r="T621" i="1"/>
  <c r="T1334" i="1"/>
  <c r="T1293" i="1"/>
  <c r="V258" i="1"/>
  <c r="X258" i="1"/>
  <c r="X1438" i="1"/>
  <c r="V1438" i="1"/>
  <c r="Z608" i="1"/>
  <c r="AE727" i="1"/>
  <c r="AG727" i="1" s="1"/>
  <c r="S727" i="1"/>
  <c r="S1564" i="1"/>
  <c r="S690" i="1"/>
  <c r="S1198" i="1"/>
  <c r="S1079" i="1"/>
  <c r="S926" i="1"/>
  <c r="T65" i="1"/>
  <c r="T364" i="1"/>
  <c r="T1216" i="1"/>
  <c r="V75" i="1"/>
  <c r="X75" i="1"/>
  <c r="W310" i="1"/>
  <c r="W1585" i="1"/>
  <c r="AA1284" i="1"/>
  <c r="Y1284" i="1"/>
  <c r="U576" i="1"/>
  <c r="W576" i="1"/>
  <c r="T576" i="1"/>
  <c r="W195" i="1"/>
  <c r="T195" i="1"/>
  <c r="Z102" i="1"/>
  <c r="S102" i="1"/>
  <c r="U148" i="1"/>
  <c r="W148" i="1"/>
  <c r="T148" i="1"/>
  <c r="S359" i="1"/>
  <c r="W211" i="1"/>
  <c r="U211" i="1"/>
  <c r="S245" i="1"/>
  <c r="Z245" i="1"/>
  <c r="W607" i="1"/>
  <c r="U607" i="1"/>
  <c r="Z69" i="1"/>
  <c r="S69" i="1"/>
  <c r="T223" i="1"/>
  <c r="AA223" i="1" s="1"/>
  <c r="U223" i="1"/>
  <c r="T274" i="1"/>
  <c r="U274" i="1"/>
  <c r="W274" i="1"/>
  <c r="Z131" i="1"/>
  <c r="S131" i="1"/>
  <c r="W122" i="1"/>
  <c r="AA122" i="1" s="1"/>
  <c r="U122" i="1"/>
  <c r="S118" i="1"/>
  <c r="Z118" i="1"/>
  <c r="W684" i="1"/>
  <c r="T684" i="1"/>
  <c r="U684" i="1"/>
  <c r="U444" i="1"/>
  <c r="T444" i="1"/>
  <c r="AA444" i="1" s="1"/>
  <c r="W45" i="1"/>
  <c r="U45" i="1"/>
  <c r="T45" i="1"/>
  <c r="W139" i="1"/>
  <c r="T139" i="1"/>
  <c r="S506" i="1"/>
  <c r="Z506" i="1"/>
  <c r="W1647" i="1"/>
  <c r="U1647" i="1"/>
  <c r="T1647" i="1"/>
  <c r="W1587" i="1"/>
  <c r="T1587" i="1"/>
  <c r="U1587" i="1"/>
  <c r="U1519" i="1"/>
  <c r="W1519" i="1"/>
  <c r="T1519" i="1"/>
  <c r="T1514" i="1"/>
  <c r="U1514" i="1"/>
  <c r="W1514" i="1"/>
  <c r="Z1513" i="1"/>
  <c r="S1513" i="1"/>
  <c r="T1511" i="1"/>
  <c r="W1511" i="1"/>
  <c r="Z72" i="1"/>
  <c r="S72" i="1"/>
  <c r="U1509" i="1"/>
  <c r="T1509" i="1"/>
  <c r="W1509" i="1"/>
  <c r="Z1508" i="1"/>
  <c r="S1508" i="1"/>
  <c r="U636" i="1"/>
  <c r="W636" i="1"/>
  <c r="AA636" i="1" s="1"/>
  <c r="Z1558" i="1"/>
  <c r="S1558" i="1"/>
  <c r="W96" i="1"/>
  <c r="U96" i="1"/>
  <c r="T96" i="1"/>
  <c r="S620" i="1"/>
  <c r="Z620" i="1"/>
  <c r="U1500" i="1"/>
  <c r="W1500" i="1"/>
  <c r="T1500" i="1"/>
  <c r="Z82" i="1"/>
  <c r="S82" i="1"/>
  <c r="T692" i="1"/>
  <c r="W692" i="1"/>
  <c r="S1495" i="1"/>
  <c r="Z1495" i="1"/>
  <c r="W2" i="1"/>
  <c r="U2" i="1"/>
  <c r="T2" i="1"/>
  <c r="Z1615" i="1"/>
  <c r="S1615" i="1"/>
  <c r="T350" i="1"/>
  <c r="U350" i="1"/>
  <c r="W350" i="1"/>
  <c r="W1490" i="1"/>
  <c r="U1490" i="1"/>
  <c r="T1490" i="1"/>
  <c r="S1568" i="1"/>
  <c r="T1487" i="1"/>
  <c r="U1487" i="1"/>
  <c r="W167" i="1"/>
  <c r="U167" i="1"/>
  <c r="T167" i="1"/>
  <c r="Z1485" i="1"/>
  <c r="S1485" i="1"/>
  <c r="T591" i="1"/>
  <c r="W591" i="1"/>
  <c r="U591" i="1"/>
  <c r="Z1483" i="1"/>
  <c r="S1483" i="1"/>
  <c r="U431" i="1"/>
  <c r="T431" i="1"/>
  <c r="W431" i="1"/>
  <c r="Z679" i="1"/>
  <c r="S679" i="1"/>
  <c r="U1478" i="1"/>
  <c r="T1478" i="1"/>
  <c r="AA1478" i="1" s="1"/>
  <c r="W611" i="1"/>
  <c r="T611" i="1"/>
  <c r="U630" i="1"/>
  <c r="T630" i="1"/>
  <c r="W630" i="1"/>
  <c r="S1471" i="1"/>
  <c r="Z1471" i="1"/>
  <c r="U345" i="1"/>
  <c r="W345" i="1"/>
  <c r="T345" i="1"/>
  <c r="Z1467" i="1"/>
  <c r="S1467" i="1"/>
  <c r="W1462" i="1"/>
  <c r="T1462" i="1"/>
  <c r="U1462" i="1"/>
  <c r="S1460" i="1"/>
  <c r="W420" i="1"/>
  <c r="T420" i="1"/>
  <c r="U420" i="1"/>
  <c r="W668" i="1"/>
  <c r="T668" i="1"/>
  <c r="U668" i="1"/>
  <c r="Z601" i="1"/>
  <c r="S601" i="1"/>
  <c r="U1452" i="1"/>
  <c r="T1452" i="1"/>
  <c r="AA1452" i="1" s="1"/>
  <c r="S626" i="1"/>
  <c r="Z626" i="1"/>
  <c r="T629" i="1"/>
  <c r="W629" i="1"/>
  <c r="U629" i="1"/>
  <c r="W1444" i="1"/>
  <c r="U1444" i="1"/>
  <c r="T1444" i="1"/>
  <c r="S1443" i="1"/>
  <c r="Z1443" i="1"/>
  <c r="T606" i="1"/>
  <c r="AA606" i="1" s="1"/>
  <c r="U606" i="1"/>
  <c r="Z398" i="1"/>
  <c r="S398" i="1"/>
  <c r="W1435" i="1"/>
  <c r="U1435" i="1"/>
  <c r="T1435" i="1"/>
  <c r="S1531" i="1"/>
  <c r="Z1531" i="1"/>
  <c r="U154" i="1"/>
  <c r="T154" i="1"/>
  <c r="S1563" i="1"/>
  <c r="Z1563" i="1"/>
  <c r="Z1419" i="1"/>
  <c r="S1419" i="1"/>
  <c r="U1416" i="1"/>
  <c r="W1416" i="1"/>
  <c r="AA1416" i="1" s="1"/>
  <c r="S1415" i="1"/>
  <c r="Z1415" i="1"/>
  <c r="W1410" i="1"/>
  <c r="T1410" i="1"/>
  <c r="U1410" i="1"/>
  <c r="Z1408" i="1"/>
  <c r="S1408" i="1"/>
  <c r="U1404" i="1"/>
  <c r="T1404" i="1"/>
  <c r="W1404" i="1"/>
  <c r="S1401" i="1"/>
  <c r="U1390" i="1"/>
  <c r="W1390" i="1"/>
  <c r="T1390" i="1"/>
  <c r="Z1389" i="1"/>
  <c r="S1389" i="1"/>
  <c r="W1386" i="1"/>
  <c r="U1386" i="1"/>
  <c r="T1386" i="1"/>
  <c r="Z1384" i="1"/>
  <c r="S1384" i="1"/>
  <c r="T1379" i="1"/>
  <c r="U1379" i="1"/>
  <c r="S1761" i="1"/>
  <c r="Z1761" i="1"/>
  <c r="U1373" i="1"/>
  <c r="T1373" i="1"/>
  <c r="W1373" i="1"/>
  <c r="Z1371" i="1"/>
  <c r="S1371" i="1"/>
  <c r="T519" i="1"/>
  <c r="W519" i="1"/>
  <c r="U519" i="1"/>
  <c r="U1361" i="1"/>
  <c r="T1361" i="1"/>
  <c r="W1361" i="1"/>
  <c r="T1353" i="1"/>
  <c r="W1353" i="1"/>
  <c r="U1346" i="1"/>
  <c r="T1346" i="1"/>
  <c r="AA1346" i="1" s="1"/>
  <c r="Z645" i="1"/>
  <c r="S645" i="1"/>
  <c r="W1339" i="1"/>
  <c r="U1339" i="1"/>
  <c r="T1339" i="1"/>
  <c r="Z1337" i="1"/>
  <c r="S1337" i="1"/>
  <c r="W1332" i="1"/>
  <c r="U1332" i="1"/>
  <c r="T1332" i="1"/>
  <c r="Z1330" i="1"/>
  <c r="S1330" i="1"/>
  <c r="U1324" i="1"/>
  <c r="T1324" i="1"/>
  <c r="W1324" i="1"/>
  <c r="S1322" i="1"/>
  <c r="Z1322" i="1"/>
  <c r="U1316" i="1"/>
  <c r="W1316" i="1"/>
  <c r="Z1314" i="1"/>
  <c r="S1314" i="1"/>
  <c r="W1308" i="1"/>
  <c r="T1308" i="1"/>
  <c r="U1300" i="1"/>
  <c r="T1300" i="1"/>
  <c r="Z1298" i="1"/>
  <c r="S1298" i="1"/>
  <c r="T1292" i="1"/>
  <c r="U1292" i="1"/>
  <c r="Z1290" i="1"/>
  <c r="S1290" i="1"/>
  <c r="U1284" i="1"/>
  <c r="T1284" i="1"/>
  <c r="Z1282" i="1"/>
  <c r="S1282" i="1"/>
  <c r="W1277" i="1"/>
  <c r="U1277" i="1"/>
  <c r="T1277" i="1"/>
  <c r="Z1275" i="1"/>
  <c r="S1275" i="1"/>
  <c r="W1272" i="1"/>
  <c r="T1272" i="1"/>
  <c r="Z1271" i="1"/>
  <c r="S1271" i="1"/>
  <c r="T1265" i="1"/>
  <c r="W1265" i="1"/>
  <c r="Z1264" i="1"/>
  <c r="S1264" i="1"/>
  <c r="T1258" i="1"/>
  <c r="U1258" i="1"/>
  <c r="Z1256" i="1"/>
  <c r="S1256" i="1"/>
  <c r="U1642" i="1"/>
  <c r="W1642" i="1"/>
  <c r="T1642" i="1"/>
  <c r="S1249" i="1"/>
  <c r="Z1249" i="1"/>
  <c r="W1243" i="1"/>
  <c r="T1243" i="1"/>
  <c r="U1243" i="1"/>
  <c r="Z1241" i="1"/>
  <c r="S1241" i="1"/>
  <c r="W1235" i="1"/>
  <c r="U1235" i="1"/>
  <c r="T1235" i="1"/>
  <c r="Z1233" i="1"/>
  <c r="S1233" i="1"/>
  <c r="T1227" i="1"/>
  <c r="U1227" i="1"/>
  <c r="W1227" i="1"/>
  <c r="Z424" i="1"/>
  <c r="S424" i="1"/>
  <c r="W1691" i="1"/>
  <c r="AA1691" i="1" s="1"/>
  <c r="U1691" i="1"/>
  <c r="Z691" i="1"/>
  <c r="S691" i="1"/>
  <c r="W1208" i="1"/>
  <c r="T1208" i="1"/>
  <c r="U1208" i="1"/>
  <c r="Z1206" i="1"/>
  <c r="S1206" i="1"/>
  <c r="W1200" i="1"/>
  <c r="U1200" i="1"/>
  <c r="T1200" i="1"/>
  <c r="U1193" i="1"/>
  <c r="T1193" i="1"/>
  <c r="AA1193" i="1" s="1"/>
  <c r="W1186" i="1"/>
  <c r="U1186" i="1"/>
  <c r="T1186" i="1"/>
  <c r="Z1184" i="1"/>
  <c r="S1184" i="1"/>
  <c r="T1178" i="1"/>
  <c r="W1178" i="1"/>
  <c r="U1178" i="1"/>
  <c r="S1176" i="1"/>
  <c r="Z1176" i="1"/>
  <c r="U1171" i="1"/>
  <c r="W1171" i="1"/>
  <c r="T1171" i="1"/>
  <c r="U1164" i="1"/>
  <c r="T1164" i="1"/>
  <c r="AA1164" i="1" s="1"/>
  <c r="S1162" i="1"/>
  <c r="W1157" i="1"/>
  <c r="T1157" i="1"/>
  <c r="U1157" i="1"/>
  <c r="Z1155" i="1"/>
  <c r="S1155" i="1"/>
  <c r="T1149" i="1"/>
  <c r="U1149" i="1"/>
  <c r="W1149" i="1"/>
  <c r="S1147" i="1"/>
  <c r="Z1147" i="1"/>
  <c r="T1134" i="1"/>
  <c r="U1134" i="1"/>
  <c r="W1134" i="1"/>
  <c r="Z1132" i="1"/>
  <c r="S1132" i="1"/>
  <c r="U1127" i="1"/>
  <c r="W1127" i="1"/>
  <c r="Z1125" i="1"/>
  <c r="S1125" i="1"/>
  <c r="T1119" i="1"/>
  <c r="U1119" i="1"/>
  <c r="W1119" i="1"/>
  <c r="Z32" i="1"/>
  <c r="S32" i="1"/>
  <c r="T643" i="1"/>
  <c r="W643" i="1"/>
  <c r="W1109" i="1"/>
  <c r="U1109" i="1"/>
  <c r="T1109" i="1"/>
  <c r="Z1107" i="1"/>
  <c r="S1107" i="1"/>
  <c r="U1101" i="1"/>
  <c r="W1101" i="1"/>
  <c r="T1101" i="1"/>
  <c r="W1093" i="1"/>
  <c r="T1093" i="1"/>
  <c r="S1091" i="1"/>
  <c r="Z1091" i="1"/>
  <c r="T1087" i="1"/>
  <c r="U1087" i="1"/>
  <c r="W1087" i="1"/>
  <c r="Z1085" i="1"/>
  <c r="S1085" i="1"/>
  <c r="V1080" i="1"/>
  <c r="X1080" i="1"/>
  <c r="Z1078" i="1"/>
  <c r="S1078" i="1"/>
  <c r="T1072" i="1"/>
  <c r="W1072" i="1"/>
  <c r="U1072" i="1"/>
  <c r="U1065" i="1"/>
  <c r="W1065" i="1"/>
  <c r="T1065" i="1"/>
  <c r="S1063" i="1"/>
  <c r="Z1063" i="1"/>
  <c r="U1057" i="1"/>
  <c r="W1057" i="1"/>
  <c r="AA1057" i="1" s="1"/>
  <c r="Z1055" i="1"/>
  <c r="S1055" i="1"/>
  <c r="U1049" i="1"/>
  <c r="W1049" i="1"/>
  <c r="T1049" i="1"/>
  <c r="Z1047" i="1"/>
  <c r="S1047" i="1"/>
  <c r="W1041" i="1"/>
  <c r="U1041" i="1"/>
  <c r="T1041" i="1"/>
  <c r="W1033" i="1"/>
  <c r="U1033" i="1"/>
  <c r="T1033" i="1"/>
  <c r="Z1031" i="1"/>
  <c r="S1031" i="1"/>
  <c r="T1026" i="1"/>
  <c r="U1026" i="1"/>
  <c r="W1026" i="1"/>
  <c r="Z1024" i="1"/>
  <c r="S1024" i="1"/>
  <c r="X1018" i="1"/>
  <c r="V1018" i="1"/>
  <c r="T1010" i="1"/>
  <c r="W1010" i="1"/>
  <c r="U1002" i="1"/>
  <c r="W1002" i="1"/>
  <c r="T1002" i="1"/>
  <c r="Z1000" i="1"/>
  <c r="S1000" i="1"/>
  <c r="T996" i="1"/>
  <c r="W996" i="1"/>
  <c r="U996" i="1"/>
  <c r="S994" i="1"/>
  <c r="Z994" i="1"/>
  <c r="W989" i="1"/>
  <c r="U989" i="1"/>
  <c r="T989" i="1"/>
  <c r="Z987" i="1"/>
  <c r="S987" i="1"/>
  <c r="T981" i="1"/>
  <c r="W981" i="1"/>
  <c r="Z979" i="1"/>
  <c r="S979" i="1"/>
  <c r="U973" i="1"/>
  <c r="W973" i="1"/>
  <c r="T973" i="1"/>
  <c r="Z971" i="1"/>
  <c r="S971" i="1"/>
  <c r="U966" i="1"/>
  <c r="T966" i="1"/>
  <c r="W966" i="1"/>
  <c r="Z958" i="1"/>
  <c r="S958" i="1"/>
  <c r="U952" i="1"/>
  <c r="W952" i="1"/>
  <c r="AA952" i="1" s="1"/>
  <c r="Z950" i="1"/>
  <c r="S950" i="1"/>
  <c r="T944" i="1"/>
  <c r="AA944" i="1" s="1"/>
  <c r="U944" i="1"/>
  <c r="U936" i="1"/>
  <c r="W936" i="1"/>
  <c r="Z934" i="1"/>
  <c r="S934" i="1"/>
  <c r="U928" i="1"/>
  <c r="W928" i="1"/>
  <c r="T928" i="1"/>
  <c r="W920" i="1"/>
  <c r="T920" i="1"/>
  <c r="S593" i="1"/>
  <c r="Z593" i="1"/>
  <c r="T913" i="1"/>
  <c r="U913" i="1"/>
  <c r="W913" i="1"/>
  <c r="Z911" i="1"/>
  <c r="S911" i="1"/>
  <c r="U907" i="1"/>
  <c r="T907" i="1"/>
  <c r="W907" i="1"/>
  <c r="Z905" i="1"/>
  <c r="S905" i="1"/>
  <c r="T899" i="1"/>
  <c r="W899" i="1"/>
  <c r="S897" i="1"/>
  <c r="Z897" i="1"/>
  <c r="W891" i="1"/>
  <c r="T891" i="1"/>
  <c r="U891" i="1"/>
  <c r="S889" i="1"/>
  <c r="Z889" i="1"/>
  <c r="T883" i="1"/>
  <c r="U883" i="1"/>
  <c r="W883" i="1"/>
  <c r="S881" i="1"/>
  <c r="Z881" i="1"/>
  <c r="U875" i="1"/>
  <c r="W875" i="1"/>
  <c r="T875" i="1"/>
  <c r="Z873" i="1"/>
  <c r="S873" i="1"/>
  <c r="W868" i="1"/>
  <c r="U868" i="1"/>
  <c r="T868" i="1"/>
  <c r="Z866" i="1"/>
  <c r="S866" i="1"/>
  <c r="U860" i="1"/>
  <c r="W860" i="1"/>
  <c r="T860" i="1"/>
  <c r="Z850" i="1"/>
  <c r="S850" i="1"/>
  <c r="T845" i="1"/>
  <c r="W845" i="1"/>
  <c r="U845" i="1"/>
  <c r="Z843" i="1"/>
  <c r="S843" i="1"/>
  <c r="U837" i="1"/>
  <c r="W837" i="1"/>
  <c r="T837" i="1"/>
  <c r="S835" i="1"/>
  <c r="Z835" i="1"/>
  <c r="T829" i="1"/>
  <c r="W829" i="1"/>
  <c r="Z827" i="1"/>
  <c r="S827" i="1"/>
  <c r="W822" i="1"/>
  <c r="T822" i="1"/>
  <c r="U814" i="1"/>
  <c r="W814" i="1"/>
  <c r="T814" i="1"/>
  <c r="Z812" i="1"/>
  <c r="S812" i="1"/>
  <c r="T806" i="1"/>
  <c r="U806" i="1"/>
  <c r="W806" i="1"/>
  <c r="S804" i="1"/>
  <c r="Z804" i="1"/>
  <c r="W799" i="1"/>
  <c r="U799" i="1"/>
  <c r="Z1534" i="1"/>
  <c r="S1534" i="1"/>
  <c r="U793" i="1"/>
  <c r="W793" i="1"/>
  <c r="T793" i="1"/>
  <c r="Z791" i="1"/>
  <c r="S791" i="1"/>
  <c r="T785" i="1"/>
  <c r="U785" i="1"/>
  <c r="Z783" i="1"/>
  <c r="S783" i="1"/>
  <c r="W778" i="1"/>
  <c r="T778" i="1"/>
  <c r="S776" i="1"/>
  <c r="Z776" i="1"/>
  <c r="T772" i="1"/>
  <c r="U772" i="1"/>
  <c r="W772" i="1"/>
  <c r="Z770" i="1"/>
  <c r="S770" i="1"/>
  <c r="W766" i="1"/>
  <c r="T766" i="1"/>
  <c r="U766" i="1"/>
  <c r="Z764" i="1"/>
  <c r="S764" i="1"/>
  <c r="T759" i="1"/>
  <c r="U759" i="1"/>
  <c r="W759" i="1"/>
  <c r="Z758" i="1"/>
  <c r="S758" i="1"/>
  <c r="U753" i="1"/>
  <c r="T753" i="1"/>
  <c r="W753" i="1"/>
  <c r="W745" i="1"/>
  <c r="U745" i="1"/>
  <c r="T745" i="1"/>
  <c r="S743" i="1"/>
  <c r="Z743" i="1"/>
  <c r="W737" i="1"/>
  <c r="U737" i="1"/>
  <c r="T737" i="1"/>
  <c r="S735" i="1"/>
  <c r="Z735" i="1"/>
  <c r="U729" i="1"/>
  <c r="T729" i="1"/>
  <c r="W729" i="1"/>
  <c r="W722" i="1"/>
  <c r="T722" i="1"/>
  <c r="Z721" i="1"/>
  <c r="S721" i="1"/>
  <c r="U717" i="1"/>
  <c r="T717" i="1"/>
  <c r="W717" i="1"/>
  <c r="S715" i="1"/>
  <c r="Z715" i="1"/>
  <c r="U710" i="1"/>
  <c r="T710" i="1"/>
  <c r="AA710" i="1" s="1"/>
  <c r="S709" i="1"/>
  <c r="Z709" i="1"/>
  <c r="U704" i="1"/>
  <c r="W704" i="1"/>
  <c r="T704" i="1"/>
  <c r="S1407" i="1"/>
  <c r="S1365" i="1"/>
  <c r="S978" i="1"/>
  <c r="S775" i="1"/>
  <c r="T211" i="1"/>
  <c r="X1611" i="1"/>
  <c r="V1611" i="1"/>
  <c r="U960" i="1"/>
  <c r="U920" i="1"/>
  <c r="W1487" i="1"/>
  <c r="W785" i="1"/>
  <c r="S1546" i="1"/>
  <c r="AE1383" i="1"/>
  <c r="AG1383" i="1" s="1"/>
  <c r="S1383" i="1"/>
  <c r="AE1329" i="1"/>
  <c r="AG1329" i="1" s="1"/>
  <c r="S1329" i="1"/>
  <c r="AE1263" i="1"/>
  <c r="AG1263" i="1" s="1"/>
  <c r="S1263" i="1"/>
  <c r="AE1232" i="1"/>
  <c r="AG1232" i="1" s="1"/>
  <c r="S1232" i="1"/>
  <c r="AE1175" i="1"/>
  <c r="AG1175" i="1" s="1"/>
  <c r="S1175" i="1"/>
  <c r="AE1124" i="1"/>
  <c r="AG1124" i="1" s="1"/>
  <c r="S1124" i="1"/>
  <c r="AE1062" i="1"/>
  <c r="AG1062" i="1" s="1"/>
  <c r="S1062" i="1"/>
  <c r="AE1054" i="1"/>
  <c r="AG1054" i="1" s="1"/>
  <c r="S1054" i="1"/>
  <c r="AE986" i="1"/>
  <c r="AG986" i="1" s="1"/>
  <c r="S986" i="1"/>
  <c r="AE970" i="1"/>
  <c r="AG970" i="1" s="1"/>
  <c r="S970" i="1"/>
  <c r="AE888" i="1"/>
  <c r="AG888" i="1" s="1"/>
  <c r="S888" i="1"/>
  <c r="AE865" i="1"/>
  <c r="AG865" i="1" s="1"/>
  <c r="S865" i="1"/>
  <c r="AE849" i="1"/>
  <c r="AG849" i="1" s="1"/>
  <c r="S849" i="1"/>
  <c r="AE842" i="1"/>
  <c r="AG842" i="1" s="1"/>
  <c r="S842" i="1"/>
  <c r="AE811" i="1"/>
  <c r="AG811" i="1" s="1"/>
  <c r="S811" i="1"/>
  <c r="AE803" i="1"/>
  <c r="AG803" i="1" s="1"/>
  <c r="S803" i="1"/>
  <c r="S1556" i="1"/>
  <c r="AE763" i="1"/>
  <c r="AG763" i="1" s="1"/>
  <c r="S763" i="1"/>
  <c r="AE757" i="1"/>
  <c r="AG757" i="1" s="1"/>
  <c r="S757" i="1"/>
  <c r="AE750" i="1"/>
  <c r="AG750" i="1" s="1"/>
  <c r="S750" i="1"/>
  <c r="AE742" i="1"/>
  <c r="AG742" i="1" s="1"/>
  <c r="S742" i="1"/>
  <c r="AE708" i="1"/>
  <c r="AG708" i="1" s="1"/>
  <c r="S708" i="1"/>
  <c r="S1213" i="1"/>
  <c r="S918" i="1"/>
  <c r="T1420" i="1"/>
  <c r="AA1420" i="1" s="1"/>
  <c r="T1397" i="1"/>
  <c r="V1423" i="1"/>
  <c r="X1423" i="1"/>
  <c r="X742" i="1"/>
  <c r="V742" i="1"/>
  <c r="W154" i="1"/>
  <c r="S234" i="1"/>
  <c r="S1593" i="1"/>
  <c r="AE1433" i="1"/>
  <c r="AG1433" i="1" s="1"/>
  <c r="S1433" i="1"/>
  <c r="S451" i="1"/>
  <c r="AE1358" i="1"/>
  <c r="AG1358" i="1" s="1"/>
  <c r="S1358" i="1"/>
  <c r="AE1289" i="1"/>
  <c r="AG1289" i="1" s="1"/>
  <c r="S1289" i="1"/>
  <c r="AE1248" i="1"/>
  <c r="AG1248" i="1" s="1"/>
  <c r="S1248" i="1"/>
  <c r="S1154" i="1"/>
  <c r="AE1154" i="1"/>
  <c r="AG1154" i="1" s="1"/>
  <c r="S1084" i="1"/>
  <c r="AE1084" i="1"/>
  <c r="AG1084" i="1" s="1"/>
  <c r="AE1023" i="1"/>
  <c r="AG1023" i="1" s="1"/>
  <c r="S1023" i="1"/>
  <c r="AE949" i="1"/>
  <c r="AG949" i="1" s="1"/>
  <c r="S949" i="1"/>
  <c r="Z1713" i="1"/>
  <c r="Z541" i="1"/>
  <c r="Z528" i="1"/>
  <c r="Z1726" i="1"/>
  <c r="Z440" i="1"/>
  <c r="S698" i="1"/>
  <c r="Z479" i="1"/>
  <c r="X1688" i="1"/>
  <c r="V1688" i="1"/>
  <c r="S137" i="1"/>
  <c r="Z383" i="1"/>
  <c r="S307" i="1"/>
  <c r="X113" i="1"/>
  <c r="V113" i="1"/>
  <c r="S666" i="1"/>
  <c r="Z3" i="1"/>
  <c r="AA589" i="1"/>
  <c r="Y589" i="1"/>
  <c r="S173" i="1"/>
  <c r="Z176" i="1"/>
  <c r="Z663" i="1"/>
  <c r="S1681" i="1"/>
  <c r="S382" i="1"/>
  <c r="S1442" i="1"/>
  <c r="S619" i="1"/>
  <c r="S1313" i="1"/>
  <c r="S1297" i="1"/>
  <c r="S1240" i="1"/>
  <c r="S1225" i="1"/>
  <c r="S547" i="1"/>
  <c r="V1199" i="1"/>
  <c r="X1199" i="1"/>
  <c r="S1146" i="1"/>
  <c r="S662" i="1"/>
  <c r="S1118" i="1"/>
  <c r="S185" i="1"/>
  <c r="V965" i="1"/>
  <c r="X965" i="1"/>
  <c r="S714" i="1"/>
  <c r="S1476" i="1"/>
  <c r="S1359" i="1"/>
  <c r="S1306" i="1"/>
  <c r="S1016" i="1"/>
  <c r="T1127" i="1"/>
  <c r="T799" i="1"/>
  <c r="U692" i="1"/>
  <c r="X1422" i="1"/>
  <c r="V1422" i="1"/>
  <c r="U778" i="1"/>
  <c r="AE1505" i="1"/>
  <c r="AG1505" i="1" s="1"/>
  <c r="S1505" i="1"/>
  <c r="S319" i="1"/>
  <c r="S623" i="1"/>
  <c r="AE1482" i="1"/>
  <c r="AG1482" i="1" s="1"/>
  <c r="S1482" i="1"/>
  <c r="AE1370" i="1"/>
  <c r="AG1370" i="1" s="1"/>
  <c r="S1370" i="1"/>
  <c r="AE1364" i="1"/>
  <c r="AG1364" i="1" s="1"/>
  <c r="S1364" i="1"/>
  <c r="AE1344" i="1"/>
  <c r="AG1344" i="1" s="1"/>
  <c r="S1344" i="1"/>
  <c r="AE1321" i="1"/>
  <c r="AG1321" i="1" s="1"/>
  <c r="S1321" i="1"/>
  <c r="S100" i="1"/>
  <c r="AE1030" i="1"/>
  <c r="AG1030" i="1" s="1"/>
  <c r="S1030" i="1"/>
  <c r="AE999" i="1"/>
  <c r="AG999" i="1" s="1"/>
  <c r="S999" i="1"/>
  <c r="S1447" i="1"/>
  <c r="S1305" i="1"/>
  <c r="S1015" i="1"/>
  <c r="S267" i="1"/>
  <c r="S858" i="1"/>
  <c r="S726" i="1"/>
  <c r="T607" i="1"/>
  <c r="T936" i="1"/>
  <c r="V1344" i="1"/>
  <c r="X1344" i="1"/>
  <c r="U822" i="1"/>
  <c r="W1379" i="1"/>
  <c r="AE1219" i="1"/>
  <c r="AG1219" i="1" s="1"/>
  <c r="S1219" i="1"/>
  <c r="AE1205" i="1"/>
  <c r="AG1205" i="1" s="1"/>
  <c r="S1205" i="1"/>
  <c r="AE1183" i="1"/>
  <c r="AG1183" i="1" s="1"/>
  <c r="S1183" i="1"/>
  <c r="AE1168" i="1"/>
  <c r="AG1168" i="1" s="1"/>
  <c r="S1168" i="1"/>
  <c r="AE1139" i="1"/>
  <c r="AG1139" i="1" s="1"/>
  <c r="S1139" i="1"/>
  <c r="AE1098" i="1"/>
  <c r="AG1098" i="1" s="1"/>
  <c r="S1098" i="1"/>
  <c r="S1473" i="1"/>
  <c r="S1524" i="1"/>
  <c r="S964" i="1"/>
  <c r="S857" i="1"/>
  <c r="S769" i="1"/>
  <c r="U611" i="1"/>
  <c r="U1420" i="1"/>
  <c r="V269" i="1"/>
  <c r="X269" i="1"/>
  <c r="V1204" i="1"/>
  <c r="X1204" i="1"/>
  <c r="U643" i="1"/>
  <c r="AA812" i="1"/>
  <c r="Y812" i="1"/>
  <c r="X992" i="1"/>
  <c r="Z359" i="1"/>
  <c r="Z1460" i="1"/>
  <c r="AE1046" i="1"/>
  <c r="AG1046" i="1" s="1"/>
  <c r="V1663" i="1"/>
  <c r="X1663" i="1"/>
  <c r="X309" i="1"/>
  <c r="V309" i="1"/>
  <c r="X547" i="1"/>
  <c r="V547" i="1"/>
  <c r="X1166" i="1"/>
  <c r="V1166" i="1"/>
  <c r="V539" i="1"/>
  <c r="X539" i="1"/>
  <c r="X763" i="1"/>
  <c r="V763" i="1"/>
  <c r="W1377" i="1"/>
  <c r="Y1231" i="1"/>
  <c r="AA1231" i="1"/>
  <c r="Z1261" i="1"/>
  <c r="S437" i="1"/>
  <c r="Z339" i="1"/>
  <c r="Z86" i="1"/>
  <c r="S1334" i="1"/>
  <c r="S1246" i="1"/>
  <c r="S1202" i="1"/>
  <c r="S1166" i="1"/>
  <c r="X185" i="1"/>
  <c r="V185" i="1"/>
  <c r="X1497" i="1"/>
  <c r="V1497" i="1"/>
  <c r="AA656" i="1"/>
  <c r="Y656" i="1"/>
  <c r="W623" i="1"/>
  <c r="AA623" i="1" s="1"/>
  <c r="U623" i="1"/>
  <c r="Z43" i="1"/>
  <c r="W1482" i="1"/>
  <c r="T1482" i="1"/>
  <c r="U1482" i="1"/>
  <c r="Z615" i="1"/>
  <c r="S615" i="1"/>
  <c r="X660" i="1"/>
  <c r="V660" i="1"/>
  <c r="Z674" i="1"/>
  <c r="S674" i="1"/>
  <c r="U249" i="1"/>
  <c r="W249" i="1"/>
  <c r="AA249" i="1" s="1"/>
  <c r="Z262" i="1"/>
  <c r="S262" i="1"/>
  <c r="W641" i="1"/>
  <c r="T641" i="1"/>
  <c r="S605" i="1"/>
  <c r="Z605" i="1"/>
  <c r="U1569" i="1"/>
  <c r="T1569" i="1"/>
  <c r="Z1464" i="1"/>
  <c r="S1464" i="1"/>
  <c r="W688" i="1"/>
  <c r="T688" i="1"/>
  <c r="Z1459" i="1"/>
  <c r="S1459" i="1"/>
  <c r="U633" i="1"/>
  <c r="W633" i="1"/>
  <c r="T633" i="1"/>
  <c r="Z1708" i="1"/>
  <c r="T1593" i="1"/>
  <c r="U1593" i="1"/>
  <c r="W1447" i="1"/>
  <c r="T1447" i="1"/>
  <c r="S1493" i="1"/>
  <c r="Z1493" i="1"/>
  <c r="U1442" i="1"/>
  <c r="W1442" i="1"/>
  <c r="Z1441" i="1"/>
  <c r="S1441" i="1"/>
  <c r="W1438" i="1"/>
  <c r="T1438" i="1"/>
  <c r="Z585" i="1"/>
  <c r="W1433" i="1"/>
  <c r="U1433" i="1"/>
  <c r="T1433" i="1"/>
  <c r="S1432" i="1"/>
  <c r="Z1432" i="1"/>
  <c r="T451" i="1"/>
  <c r="W451" i="1"/>
  <c r="U451" i="1"/>
  <c r="Z1428" i="1"/>
  <c r="S1428" i="1"/>
  <c r="W1423" i="1"/>
  <c r="T1423" i="1"/>
  <c r="T619" i="1"/>
  <c r="U619" i="1"/>
  <c r="W619" i="1"/>
  <c r="U179" i="1"/>
  <c r="T179" i="1"/>
  <c r="S1413" i="1"/>
  <c r="Z1413" i="1"/>
  <c r="T1407" i="1"/>
  <c r="W1407" i="1"/>
  <c r="U1407" i="1"/>
  <c r="Z1406" i="1"/>
  <c r="S1406" i="1"/>
  <c r="Z1399" i="1"/>
  <c r="S1399" i="1"/>
  <c r="T1395" i="1"/>
  <c r="W1395" i="1"/>
  <c r="Z1393" i="1"/>
  <c r="S1393" i="1"/>
  <c r="W678" i="1"/>
  <c r="U678" i="1"/>
  <c r="T678" i="1"/>
  <c r="W1383" i="1"/>
  <c r="AA1383" i="1" s="1"/>
  <c r="U1383" i="1"/>
  <c r="S1381" i="1"/>
  <c r="Z1381" i="1"/>
  <c r="W1370" i="1"/>
  <c r="U1370" i="1"/>
  <c r="T1370" i="1"/>
  <c r="Z1368" i="1"/>
  <c r="S1368" i="1"/>
  <c r="W1364" i="1"/>
  <c r="U1364" i="1"/>
  <c r="T1364" i="1"/>
  <c r="S526" i="1"/>
  <c r="Z526" i="1"/>
  <c r="W1358" i="1"/>
  <c r="U1358" i="1"/>
  <c r="T1350" i="1"/>
  <c r="W1350" i="1"/>
  <c r="U1350" i="1"/>
  <c r="Z1348" i="1"/>
  <c r="S1348" i="1"/>
  <c r="T1344" i="1"/>
  <c r="W1344" i="1"/>
  <c r="Z1342" i="1"/>
  <c r="S1342" i="1"/>
  <c r="W1706" i="1"/>
  <c r="T1706" i="1"/>
  <c r="U1706" i="1"/>
  <c r="Z1327" i="1"/>
  <c r="S1327" i="1"/>
  <c r="W1321" i="1"/>
  <c r="T1321" i="1"/>
  <c r="U1321" i="1"/>
  <c r="Z1319" i="1"/>
  <c r="S1319" i="1"/>
  <c r="W1313" i="1"/>
  <c r="U1313" i="1"/>
  <c r="Z1311" i="1"/>
  <c r="S1311" i="1"/>
  <c r="T1305" i="1"/>
  <c r="U1305" i="1"/>
  <c r="W1305" i="1"/>
  <c r="S1303" i="1"/>
  <c r="Z1303" i="1"/>
  <c r="W1297" i="1"/>
  <c r="U1297" i="1"/>
  <c r="T1297" i="1"/>
  <c r="W1289" i="1"/>
  <c r="U1289" i="1"/>
  <c r="W1552" i="1"/>
  <c r="U1552" i="1"/>
  <c r="U280" i="1"/>
  <c r="T280" i="1"/>
  <c r="W280" i="1"/>
  <c r="U1270" i="1"/>
  <c r="W1270" i="1"/>
  <c r="T1270" i="1"/>
  <c r="W1263" i="1"/>
  <c r="U1263" i="1"/>
  <c r="W1255" i="1"/>
  <c r="U1255" i="1"/>
  <c r="T1255" i="1"/>
  <c r="Z1253" i="1"/>
  <c r="S1253" i="1"/>
  <c r="T1248" i="1"/>
  <c r="U1248" i="1"/>
  <c r="T1240" i="1"/>
  <c r="W1240" i="1"/>
  <c r="AA726" i="1"/>
  <c r="Y726" i="1"/>
  <c r="S1245" i="1"/>
  <c r="S1020" i="1"/>
  <c r="T1580" i="1"/>
  <c r="V1415" i="1"/>
  <c r="X1415" i="1"/>
  <c r="U1377" i="1"/>
  <c r="X1118" i="1"/>
  <c r="V1118" i="1"/>
  <c r="X1090" i="1"/>
  <c r="V1090" i="1"/>
  <c r="X964" i="1"/>
  <c r="V964" i="1"/>
  <c r="W141" i="1"/>
  <c r="AA141" i="1" s="1"/>
  <c r="AE1095" i="1"/>
  <c r="AG1095" i="1" s="1"/>
  <c r="S1095" i="1"/>
  <c r="S991" i="1"/>
  <c r="AE991" i="1"/>
  <c r="AG991" i="1" s="1"/>
  <c r="S1463" i="1"/>
  <c r="S1280" i="1"/>
  <c r="S1089" i="1"/>
  <c r="U57" i="1"/>
  <c r="U1329" i="1"/>
  <c r="X1153" i="1"/>
  <c r="V1153" i="1"/>
  <c r="X31" i="1"/>
  <c r="V31" i="1"/>
  <c r="X924" i="1"/>
  <c r="V924" i="1"/>
  <c r="W179" i="1"/>
  <c r="Y805" i="1"/>
  <c r="AA805" i="1"/>
  <c r="Z1470" i="1"/>
  <c r="W166" i="1"/>
  <c r="AA166" i="1" s="1"/>
  <c r="U166" i="1"/>
  <c r="Z602" i="1"/>
  <c r="S602" i="1"/>
  <c r="U133" i="1"/>
  <c r="T133" i="1"/>
  <c r="W133" i="1"/>
  <c r="Z202" i="1"/>
  <c r="S202" i="1"/>
  <c r="W279" i="1"/>
  <c r="U279" i="1"/>
  <c r="T279" i="1"/>
  <c r="Z157" i="1"/>
  <c r="U164" i="1"/>
  <c r="W164" i="1"/>
  <c r="AA164" i="1" s="1"/>
  <c r="S310" i="1"/>
  <c r="Z310" i="1"/>
  <c r="T132" i="1"/>
  <c r="W132" i="1"/>
  <c r="U132" i="1"/>
  <c r="S572" i="1"/>
  <c r="Z572" i="1"/>
  <c r="W140" i="1"/>
  <c r="U140" i="1"/>
  <c r="T140" i="1"/>
  <c r="Z128" i="1"/>
  <c r="U145" i="1"/>
  <c r="V145" i="1" s="1"/>
  <c r="W145" i="1"/>
  <c r="T145" i="1"/>
  <c r="S93" i="1"/>
  <c r="Z93" i="1"/>
  <c r="Z631" i="1"/>
  <c r="Z106" i="1"/>
  <c r="W56" i="1"/>
  <c r="T56" i="1"/>
  <c r="U56" i="1"/>
  <c r="X56" i="1" s="1"/>
  <c r="T75" i="1"/>
  <c r="W75" i="1"/>
  <c r="Z63" i="1"/>
  <c r="U1626" i="1"/>
  <c r="W1626" i="1"/>
  <c r="Z83" i="1"/>
  <c r="S83" i="1"/>
  <c r="T421" i="1"/>
  <c r="W421" i="1"/>
  <c r="Z1585" i="1"/>
  <c r="T1522" i="1"/>
  <c r="U1522" i="1"/>
  <c r="W1522" i="1"/>
  <c r="U1517" i="1"/>
  <c r="W1517" i="1"/>
  <c r="T1517" i="1"/>
  <c r="Z1762" i="1"/>
  <c r="S1762" i="1"/>
  <c r="S1655" i="1"/>
  <c r="Z1655" i="1"/>
  <c r="U264" i="1"/>
  <c r="W264" i="1"/>
  <c r="T264" i="1"/>
  <c r="S1566" i="1"/>
  <c r="W1507" i="1"/>
  <c r="U1507" i="1"/>
  <c r="T1507" i="1"/>
  <c r="U649" i="1"/>
  <c r="T649" i="1"/>
  <c r="AA649" i="1" s="1"/>
  <c r="W1663" i="1"/>
  <c r="T1663" i="1"/>
  <c r="S1502" i="1"/>
  <c r="Z1502" i="1"/>
  <c r="W1611" i="1"/>
  <c r="T1611" i="1"/>
  <c r="Z1498" i="1"/>
  <c r="S1498" i="1"/>
  <c r="Z646" i="1"/>
  <c r="S646" i="1"/>
  <c r="T292" i="1"/>
  <c r="W292" i="1"/>
  <c r="U292" i="1"/>
  <c r="S306" i="1"/>
  <c r="Z306" i="1"/>
  <c r="W639" i="1"/>
  <c r="U639" i="1"/>
  <c r="T639" i="1"/>
  <c r="S642" i="1"/>
  <c r="U1489" i="1"/>
  <c r="T1489" i="1"/>
  <c r="W609" i="1"/>
  <c r="T609" i="1"/>
  <c r="U609" i="1"/>
  <c r="S531" i="1"/>
  <c r="Z531" i="1"/>
  <c r="U439" i="1"/>
  <c r="W439" i="1"/>
  <c r="AA439" i="1" s="1"/>
  <c r="Z659" i="1"/>
  <c r="S659" i="1"/>
  <c r="W1481" i="1"/>
  <c r="T1481" i="1"/>
  <c r="U1481" i="1"/>
  <c r="S107" i="1"/>
  <c r="Z107" i="1"/>
  <c r="W1480" i="1"/>
  <c r="AA1480" i="1" s="1"/>
  <c r="U1480" i="1"/>
  <c r="Z198" i="1"/>
  <c r="S198" i="1"/>
  <c r="W155" i="1"/>
  <c r="AA155" i="1" s="1"/>
  <c r="U155" i="1"/>
  <c r="S1475" i="1"/>
  <c r="Z1475" i="1"/>
  <c r="W309" i="1"/>
  <c r="T309" i="1"/>
  <c r="S1472" i="1"/>
  <c r="Z1472" i="1"/>
  <c r="W538" i="1"/>
  <c r="U538" i="1"/>
  <c r="T538" i="1"/>
  <c r="Z1469" i="1"/>
  <c r="S1469" i="1"/>
  <c r="W1465" i="1"/>
  <c r="AA1465" i="1" s="1"/>
  <c r="U1465" i="1"/>
  <c r="W1555" i="1"/>
  <c r="T1555" i="1"/>
  <c r="U1555" i="1"/>
  <c r="S1458" i="1"/>
  <c r="Z1458" i="1"/>
  <c r="T1455" i="1"/>
  <c r="U1455" i="1"/>
  <c r="W1455" i="1"/>
  <c r="W685" i="1"/>
  <c r="AA685" i="1" s="1"/>
  <c r="U685" i="1"/>
  <c r="Z304" i="1"/>
  <c r="S304" i="1"/>
  <c r="W1450" i="1"/>
  <c r="U1450" i="1"/>
  <c r="Z1448" i="1"/>
  <c r="S1448" i="1"/>
  <c r="W598" i="1"/>
  <c r="T598" i="1"/>
  <c r="U598" i="1"/>
  <c r="S1446" i="1"/>
  <c r="U35" i="1"/>
  <c r="X35" i="1" s="1"/>
  <c r="W35" i="1"/>
  <c r="Z1581" i="1"/>
  <c r="S1581" i="1"/>
  <c r="W256" i="1"/>
  <c r="T256" i="1"/>
  <c r="U256" i="1"/>
  <c r="S1437" i="1"/>
  <c r="Z1437" i="1"/>
  <c r="W1601" i="1"/>
  <c r="U1601" i="1"/>
  <c r="T1601" i="1"/>
  <c r="Z475" i="1"/>
  <c r="S475" i="1"/>
  <c r="W1429" i="1"/>
  <c r="T1429" i="1"/>
  <c r="U1429" i="1"/>
  <c r="T1422" i="1"/>
  <c r="W1422" i="1"/>
  <c r="W599" i="1"/>
  <c r="T599" i="1"/>
  <c r="U599" i="1"/>
  <c r="Z1417" i="1"/>
  <c r="S1417" i="1"/>
  <c r="W1414" i="1"/>
  <c r="U1414" i="1"/>
  <c r="T1414" i="1"/>
  <c r="Z1412" i="1"/>
  <c r="S1412" i="1"/>
  <c r="W570" i="1"/>
  <c r="T570" i="1"/>
  <c r="U570" i="1"/>
  <c r="S1709" i="1"/>
  <c r="Z1709" i="1"/>
  <c r="W1394" i="1"/>
  <c r="T1394" i="1"/>
  <c r="S1392" i="1"/>
  <c r="Z1392" i="1"/>
  <c r="W269" i="1"/>
  <c r="T269" i="1"/>
  <c r="W1382" i="1"/>
  <c r="T1382" i="1"/>
  <c r="U1382" i="1"/>
  <c r="U1376" i="1"/>
  <c r="W1376" i="1"/>
  <c r="S1375" i="1"/>
  <c r="Z1375" i="1"/>
  <c r="W1369" i="1"/>
  <c r="U1369" i="1"/>
  <c r="T1369" i="1"/>
  <c r="Z184" i="1"/>
  <c r="S184" i="1"/>
  <c r="U1363" i="1"/>
  <c r="W1363" i="1"/>
  <c r="T1363" i="1"/>
  <c r="S194" i="1"/>
  <c r="Z194" i="1"/>
  <c r="W1357" i="1"/>
  <c r="T1357" i="1"/>
  <c r="U1357" i="1"/>
  <c r="S1355" i="1"/>
  <c r="U1349" i="1"/>
  <c r="T1349" i="1"/>
  <c r="W1349" i="1"/>
  <c r="S1347" i="1"/>
  <c r="W1343" i="1"/>
  <c r="T1343" i="1"/>
  <c r="U1343" i="1"/>
  <c r="Z1341" i="1"/>
  <c r="S1341" i="1"/>
  <c r="W1336" i="1"/>
  <c r="U1336" i="1"/>
  <c r="W1328" i="1"/>
  <c r="T1328" i="1"/>
  <c r="Z1326" i="1"/>
  <c r="S1326" i="1"/>
  <c r="T1320" i="1"/>
  <c r="W1320" i="1"/>
  <c r="Z1318" i="1"/>
  <c r="S1318" i="1"/>
  <c r="W1312" i="1"/>
  <c r="T1312" i="1"/>
  <c r="U1312" i="1"/>
  <c r="Z1310" i="1"/>
  <c r="S1310" i="1"/>
  <c r="W1304" i="1"/>
  <c r="U1304" i="1"/>
  <c r="T1304" i="1"/>
  <c r="W1296" i="1"/>
  <c r="T1296" i="1"/>
  <c r="U1296" i="1"/>
  <c r="Z1294" i="1"/>
  <c r="S1294" i="1"/>
  <c r="T1288" i="1"/>
  <c r="W1288" i="1"/>
  <c r="U1288" i="1"/>
  <c r="S1286" i="1"/>
  <c r="S1260" i="1"/>
  <c r="S1398" i="1"/>
  <c r="S1279" i="1"/>
  <c r="T1626" i="1"/>
  <c r="T1623" i="1"/>
  <c r="T1546" i="1"/>
  <c r="T1376" i="1"/>
  <c r="T1336" i="1"/>
  <c r="U1328" i="1"/>
  <c r="X1152" i="1"/>
  <c r="V1152" i="1"/>
  <c r="W1489" i="1"/>
  <c r="W1569" i="1"/>
  <c r="Z642" i="1"/>
  <c r="S731" i="1"/>
  <c r="AE731" i="1"/>
  <c r="AG731" i="1" s="1"/>
  <c r="X757" i="1"/>
  <c r="V757" i="1"/>
  <c r="Y1039" i="1"/>
  <c r="AA1039" i="1"/>
  <c r="W1281" i="1"/>
  <c r="T1281" i="1"/>
  <c r="U1281" i="1"/>
  <c r="U1575" i="1"/>
  <c r="T1575" i="1"/>
  <c r="W1575" i="1"/>
  <c r="Z1273" i="1"/>
  <c r="S1273" i="1"/>
  <c r="W1269" i="1"/>
  <c r="T1269" i="1"/>
  <c r="U1269" i="1"/>
  <c r="Z1267" i="1"/>
  <c r="S1267" i="1"/>
  <c r="W1262" i="1"/>
  <c r="U1262" i="1"/>
  <c r="W1254" i="1"/>
  <c r="U1254" i="1"/>
  <c r="T1254" i="1"/>
  <c r="AA1247" i="1"/>
  <c r="Y1247" i="1"/>
  <c r="W1239" i="1"/>
  <c r="T1239" i="1"/>
  <c r="Z1237" i="1"/>
  <c r="S1237" i="1"/>
  <c r="U1231" i="1"/>
  <c r="T1231" i="1"/>
  <c r="S1229" i="1"/>
  <c r="Z1229" i="1"/>
  <c r="W1224" i="1"/>
  <c r="T1224" i="1"/>
  <c r="U1224" i="1"/>
  <c r="U1218" i="1"/>
  <c r="W1218" i="1"/>
  <c r="AA1218" i="1" s="1"/>
  <c r="Z1216" i="1"/>
  <c r="S1216" i="1"/>
  <c r="W1212" i="1"/>
  <c r="T1212" i="1"/>
  <c r="U1212" i="1"/>
  <c r="Z1210" i="1"/>
  <c r="S1210" i="1"/>
  <c r="W1204" i="1"/>
  <c r="T1204" i="1"/>
  <c r="W1196" i="1"/>
  <c r="T1196" i="1"/>
  <c r="U1196" i="1"/>
  <c r="Z1608" i="1"/>
  <c r="S1608" i="1"/>
  <c r="W378" i="1"/>
  <c r="AA378" i="1" s="1"/>
  <c r="U378" i="1"/>
  <c r="W1182" i="1"/>
  <c r="T1182" i="1"/>
  <c r="U1182" i="1"/>
  <c r="Z1180" i="1"/>
  <c r="S1180" i="1"/>
  <c r="W1174" i="1"/>
  <c r="U1174" i="1"/>
  <c r="W1167" i="1"/>
  <c r="T1167" i="1"/>
  <c r="U1167" i="1"/>
  <c r="U1160" i="1"/>
  <c r="T1160" i="1"/>
  <c r="Z1158" i="1"/>
  <c r="S1158" i="1"/>
  <c r="W1153" i="1"/>
  <c r="T1153" i="1"/>
  <c r="Z1151" i="1"/>
  <c r="S1151" i="1"/>
  <c r="V1145" i="1"/>
  <c r="X1145" i="1"/>
  <c r="W1138" i="1"/>
  <c r="U1138" i="1"/>
  <c r="T1138" i="1"/>
  <c r="S1136" i="1"/>
  <c r="Z1136" i="1"/>
  <c r="W1131" i="1"/>
  <c r="U1131" i="1"/>
  <c r="T1131" i="1"/>
  <c r="Z1129" i="1"/>
  <c r="S1129" i="1"/>
  <c r="W1123" i="1"/>
  <c r="T1123" i="1"/>
  <c r="U1123" i="1"/>
  <c r="AA125" i="1"/>
  <c r="S1116" i="1"/>
  <c r="Z1116" i="1"/>
  <c r="W1113" i="1"/>
  <c r="T1113" i="1"/>
  <c r="U1113" i="1"/>
  <c r="S1111" i="1"/>
  <c r="W1105" i="1"/>
  <c r="U1105" i="1"/>
  <c r="W1097" i="1"/>
  <c r="T1097" i="1"/>
  <c r="T1090" i="1"/>
  <c r="W1090" i="1"/>
  <c r="W1083" i="1"/>
  <c r="T1083" i="1"/>
  <c r="Z1082" i="1"/>
  <c r="S1082" i="1"/>
  <c r="W1076" i="1"/>
  <c r="U1076" i="1"/>
  <c r="T1076" i="1"/>
  <c r="Z1074" i="1"/>
  <c r="S1074" i="1"/>
  <c r="W1069" i="1"/>
  <c r="T1069" i="1"/>
  <c r="U1069" i="1"/>
  <c r="S1067" i="1"/>
  <c r="T1061" i="1"/>
  <c r="U1061" i="1"/>
  <c r="W1061" i="1"/>
  <c r="S1059" i="1"/>
  <c r="Z1059" i="1"/>
  <c r="W1053" i="1"/>
  <c r="T1053" i="1"/>
  <c r="U1053" i="1"/>
  <c r="Z1051" i="1"/>
  <c r="S1051" i="1"/>
  <c r="W1045" i="1"/>
  <c r="U1045" i="1"/>
  <c r="S1043" i="1"/>
  <c r="W1037" i="1"/>
  <c r="T1037" i="1"/>
  <c r="U1037" i="1"/>
  <c r="U1029" i="1"/>
  <c r="T1029" i="1"/>
  <c r="W1029" i="1"/>
  <c r="Z1028" i="1"/>
  <c r="S1028" i="1"/>
  <c r="W1022" i="1"/>
  <c r="U1022" i="1"/>
  <c r="T1022" i="1"/>
  <c r="W1014" i="1"/>
  <c r="U1014" i="1"/>
  <c r="T1014" i="1"/>
  <c r="S1012" i="1"/>
  <c r="W1006" i="1"/>
  <c r="T1006" i="1"/>
  <c r="U1006" i="1"/>
  <c r="Z1004" i="1"/>
  <c r="S1004" i="1"/>
  <c r="U476" i="1"/>
  <c r="W476" i="1"/>
  <c r="AA476" i="1" s="1"/>
  <c r="S293" i="1"/>
  <c r="Z293" i="1"/>
  <c r="W992" i="1"/>
  <c r="T992" i="1"/>
  <c r="U985" i="1"/>
  <c r="W985" i="1"/>
  <c r="T985" i="1"/>
  <c r="S983" i="1"/>
  <c r="Z983" i="1"/>
  <c r="W977" i="1"/>
  <c r="T977" i="1"/>
  <c r="U977" i="1"/>
  <c r="S975" i="1"/>
  <c r="Z975" i="1"/>
  <c r="Z968" i="1"/>
  <c r="S968" i="1"/>
  <c r="W963" i="1"/>
  <c r="T963" i="1"/>
  <c r="U963" i="1"/>
  <c r="S961" i="1"/>
  <c r="Z961" i="1"/>
  <c r="W956" i="1"/>
  <c r="U956" i="1"/>
  <c r="S954" i="1"/>
  <c r="Z954" i="1"/>
  <c r="W948" i="1"/>
  <c r="T948" i="1"/>
  <c r="U948" i="1"/>
  <c r="Z946" i="1"/>
  <c r="S946" i="1"/>
  <c r="W940" i="1"/>
  <c r="U940" i="1"/>
  <c r="T940" i="1"/>
  <c r="Z938" i="1"/>
  <c r="S938" i="1"/>
  <c r="W932" i="1"/>
  <c r="T932" i="1"/>
  <c r="U932" i="1"/>
  <c r="Z930" i="1"/>
  <c r="S930" i="1"/>
  <c r="T924" i="1"/>
  <c r="W924" i="1"/>
  <c r="S922" i="1"/>
  <c r="Z922" i="1"/>
  <c r="W917" i="1"/>
  <c r="T917" i="1"/>
  <c r="U917" i="1"/>
  <c r="Z915" i="1"/>
  <c r="S915" i="1"/>
  <c r="Z1573" i="1"/>
  <c r="S1573" i="1"/>
  <c r="W903" i="1"/>
  <c r="U903" i="1"/>
  <c r="T903" i="1"/>
  <c r="U895" i="1"/>
  <c r="W895" i="1"/>
  <c r="T895" i="1"/>
  <c r="S893" i="1"/>
  <c r="Z893" i="1"/>
  <c r="W887" i="1"/>
  <c r="T887" i="1"/>
  <c r="U887" i="1"/>
  <c r="W879" i="1"/>
  <c r="AA879" i="1" s="1"/>
  <c r="U879" i="1"/>
  <c r="W872" i="1"/>
  <c r="T872" i="1"/>
  <c r="U872" i="1"/>
  <c r="Z870" i="1"/>
  <c r="S870" i="1"/>
  <c r="W864" i="1"/>
  <c r="T864" i="1"/>
  <c r="U864" i="1"/>
  <c r="S862" i="1"/>
  <c r="Z862" i="1"/>
  <c r="W856" i="1"/>
  <c r="T856" i="1"/>
  <c r="U856" i="1"/>
  <c r="Z854" i="1"/>
  <c r="S854" i="1"/>
  <c r="T848" i="1"/>
  <c r="W848" i="1"/>
  <c r="U848" i="1"/>
  <c r="S847" i="1"/>
  <c r="Z847" i="1"/>
  <c r="W841" i="1"/>
  <c r="T841" i="1"/>
  <c r="U841" i="1"/>
  <c r="S839" i="1"/>
  <c r="Z839" i="1"/>
  <c r="W833" i="1"/>
  <c r="U833" i="1"/>
  <c r="T833" i="1"/>
  <c r="Z831" i="1"/>
  <c r="S831" i="1"/>
  <c r="W521" i="1"/>
  <c r="T521" i="1"/>
  <c r="W818" i="1"/>
  <c r="T818" i="1"/>
  <c r="S816" i="1"/>
  <c r="W810" i="1"/>
  <c r="T810" i="1"/>
  <c r="U810" i="1"/>
  <c r="S808" i="1"/>
  <c r="U30" i="1"/>
  <c r="W30" i="1"/>
  <c r="W797" i="1"/>
  <c r="T797" i="1"/>
  <c r="U797" i="1"/>
  <c r="S795" i="1"/>
  <c r="Z795" i="1"/>
  <c r="T789" i="1"/>
  <c r="W789" i="1"/>
  <c r="Z787" i="1"/>
  <c r="S787" i="1"/>
  <c r="W781" i="1"/>
  <c r="U781" i="1"/>
  <c r="T781" i="1"/>
  <c r="Z474" i="1"/>
  <c r="S474" i="1"/>
  <c r="U612" i="1"/>
  <c r="T612" i="1"/>
  <c r="AA612" i="1" s="1"/>
  <c r="T768" i="1"/>
  <c r="U768" i="1"/>
  <c r="W768" i="1"/>
  <c r="S89" i="1"/>
  <c r="T756" i="1"/>
  <c r="U756" i="1"/>
  <c r="S1590" i="1"/>
  <c r="Z1590" i="1"/>
  <c r="W749" i="1"/>
  <c r="U749" i="1"/>
  <c r="T749" i="1"/>
  <c r="T741" i="1"/>
  <c r="W741" i="1"/>
  <c r="U741" i="1"/>
  <c r="U733" i="1"/>
  <c r="T733" i="1"/>
  <c r="W733" i="1"/>
  <c r="T199" i="1"/>
  <c r="W199" i="1"/>
  <c r="U199" i="1"/>
  <c r="Z724" i="1"/>
  <c r="S724" i="1"/>
  <c r="U600" i="1"/>
  <c r="W600" i="1"/>
  <c r="T600" i="1"/>
  <c r="S712" i="1"/>
  <c r="Z1537" i="1"/>
  <c r="T701" i="1"/>
  <c r="U701" i="1"/>
  <c r="W701" i="1"/>
  <c r="S1094" i="1"/>
  <c r="T1238" i="1"/>
  <c r="T956" i="1"/>
  <c r="V1219" i="1"/>
  <c r="X1219" i="1"/>
  <c r="U1068" i="1"/>
  <c r="W1145" i="1"/>
  <c r="S1325" i="1"/>
  <c r="S1188" i="1"/>
  <c r="S997" i="1"/>
  <c r="S761" i="1"/>
  <c r="T755" i="1"/>
  <c r="V1067" i="1"/>
  <c r="X1067" i="1"/>
  <c r="U789" i="1"/>
  <c r="V826" i="1"/>
  <c r="Y1531" i="1"/>
  <c r="AA1531" i="1"/>
  <c r="W614" i="1"/>
  <c r="AA614" i="1" s="1"/>
  <c r="U614" i="1"/>
  <c r="W1381" i="1"/>
  <c r="U1381" i="1"/>
  <c r="Z1380" i="1"/>
  <c r="S1380" i="1"/>
  <c r="U658" i="1"/>
  <c r="W658" i="1"/>
  <c r="T658" i="1"/>
  <c r="S1374" i="1"/>
  <c r="Z1374" i="1"/>
  <c r="W1368" i="1"/>
  <c r="AA1368" i="1" s="1"/>
  <c r="U1368" i="1"/>
  <c r="S1367" i="1"/>
  <c r="Z1367" i="1"/>
  <c r="U526" i="1"/>
  <c r="W526" i="1"/>
  <c r="AA526" i="1" s="1"/>
  <c r="S1362" i="1"/>
  <c r="W1356" i="1"/>
  <c r="T1356" i="1"/>
  <c r="U1348" i="1"/>
  <c r="T1348" i="1"/>
  <c r="S146" i="1"/>
  <c r="Z146" i="1"/>
  <c r="W1342" i="1"/>
  <c r="AA1342" i="1" s="1"/>
  <c r="U1342" i="1"/>
  <c r="S1340" i="1"/>
  <c r="Z1340" i="1"/>
  <c r="T1335" i="1"/>
  <c r="W1335" i="1"/>
  <c r="U1335" i="1"/>
  <c r="W1327" i="1"/>
  <c r="U1327" i="1"/>
  <c r="T1327" i="1"/>
  <c r="W1319" i="1"/>
  <c r="T1319" i="1"/>
  <c r="Z1317" i="1"/>
  <c r="S1317" i="1"/>
  <c r="W1311" i="1"/>
  <c r="U1311" i="1"/>
  <c r="W1303" i="1"/>
  <c r="U1303" i="1"/>
  <c r="T1303" i="1"/>
  <c r="W1295" i="1"/>
  <c r="U1295" i="1"/>
  <c r="T1295" i="1"/>
  <c r="Z1293" i="1"/>
  <c r="S1293" i="1"/>
  <c r="T1287" i="1"/>
  <c r="U1287" i="1"/>
  <c r="S1285" i="1"/>
  <c r="Z1285" i="1"/>
  <c r="T1274" i="1"/>
  <c r="U1274" i="1"/>
  <c r="W1274" i="1"/>
  <c r="Z1579" i="1"/>
  <c r="S1579" i="1"/>
  <c r="W1268" i="1"/>
  <c r="U1268" i="1"/>
  <c r="S1266" i="1"/>
  <c r="Z1266" i="1"/>
  <c r="W1261" i="1"/>
  <c r="U1261" i="1"/>
  <c r="W1253" i="1"/>
  <c r="U1253" i="1"/>
  <c r="T1253" i="1"/>
  <c r="Z1251" i="1"/>
  <c r="S1251" i="1"/>
  <c r="Y1238" i="1"/>
  <c r="AA1238" i="1"/>
  <c r="S1236" i="1"/>
  <c r="Z1236" i="1"/>
  <c r="U1230" i="1"/>
  <c r="T1230" i="1"/>
  <c r="AA1230" i="1" s="1"/>
  <c r="W1223" i="1"/>
  <c r="U1223" i="1"/>
  <c r="T1223" i="1"/>
  <c r="W1211" i="1"/>
  <c r="U1211" i="1"/>
  <c r="T1211" i="1"/>
  <c r="S1209" i="1"/>
  <c r="W1203" i="1"/>
  <c r="T1203" i="1"/>
  <c r="U1203" i="1"/>
  <c r="W1195" i="1"/>
  <c r="T1195" i="1"/>
  <c r="U1195" i="1"/>
  <c r="Z1194" i="1"/>
  <c r="S1194" i="1"/>
  <c r="W1189" i="1"/>
  <c r="AA1189" i="1" s="1"/>
  <c r="U1189" i="1"/>
  <c r="W1181" i="1"/>
  <c r="U1181" i="1"/>
  <c r="T1181" i="1"/>
  <c r="Z1179" i="1"/>
  <c r="S1179" i="1"/>
  <c r="T1602" i="1"/>
  <c r="U1602" i="1"/>
  <c r="W1602" i="1"/>
  <c r="Z1172" i="1"/>
  <c r="S1172" i="1"/>
  <c r="W242" i="1"/>
  <c r="T242" i="1"/>
  <c r="U242" i="1"/>
  <c r="U1159" i="1"/>
  <c r="T1159" i="1"/>
  <c r="AA1159" i="1" s="1"/>
  <c r="Z50" i="1"/>
  <c r="S50" i="1"/>
  <c r="W1152" i="1"/>
  <c r="T1152" i="1"/>
  <c r="S1150" i="1"/>
  <c r="U1144" i="1"/>
  <c r="W1144" i="1"/>
  <c r="AA1144" i="1" s="1"/>
  <c r="W1137" i="1"/>
  <c r="T1137" i="1"/>
  <c r="Z1135" i="1"/>
  <c r="S1135" i="1"/>
  <c r="W1130" i="1"/>
  <c r="U1130" i="1"/>
  <c r="T1130" i="1"/>
  <c r="Z1128" i="1"/>
  <c r="S1128" i="1"/>
  <c r="W1122" i="1"/>
  <c r="U1122" i="1"/>
  <c r="W1112" i="1"/>
  <c r="T1112" i="1"/>
  <c r="S1110" i="1"/>
  <c r="U1104" i="1"/>
  <c r="W1104" i="1"/>
  <c r="AA1104" i="1" s="1"/>
  <c r="S1102" i="1"/>
  <c r="Z1102" i="1"/>
  <c r="W1096" i="1"/>
  <c r="U1096" i="1"/>
  <c r="T1096" i="1"/>
  <c r="W31" i="1"/>
  <c r="T31" i="1"/>
  <c r="W667" i="1"/>
  <c r="T667" i="1"/>
  <c r="U667" i="1"/>
  <c r="Z1081" i="1"/>
  <c r="S1081" i="1"/>
  <c r="W1075" i="1"/>
  <c r="T1075" i="1"/>
  <c r="U1075" i="1"/>
  <c r="Z1073" i="1"/>
  <c r="S1073" i="1"/>
  <c r="S1066" i="1"/>
  <c r="U1060" i="1"/>
  <c r="T1060" i="1"/>
  <c r="AA1060" i="1" s="1"/>
  <c r="S1058" i="1"/>
  <c r="W1052" i="1"/>
  <c r="U1052" i="1"/>
  <c r="T1052" i="1"/>
  <c r="T1044" i="1"/>
  <c r="U1044" i="1"/>
  <c r="W1044" i="1"/>
  <c r="S1042" i="1"/>
  <c r="W1036" i="1"/>
  <c r="U1036" i="1"/>
  <c r="T1036" i="1"/>
  <c r="U71" i="1"/>
  <c r="W71" i="1"/>
  <c r="AA71" i="1" s="1"/>
  <c r="Z1027" i="1"/>
  <c r="S1027" i="1"/>
  <c r="W1021" i="1"/>
  <c r="U1021" i="1"/>
  <c r="T1021" i="1"/>
  <c r="W1013" i="1"/>
  <c r="U1013" i="1"/>
  <c r="T1013" i="1"/>
  <c r="S1011" i="1"/>
  <c r="Z1011" i="1"/>
  <c r="W1005" i="1"/>
  <c r="U1005" i="1"/>
  <c r="T1005" i="1"/>
  <c r="Z1003" i="1"/>
  <c r="S1003" i="1"/>
  <c r="U998" i="1"/>
  <c r="W998" i="1"/>
  <c r="AA998" i="1" s="1"/>
  <c r="W1658" i="1"/>
  <c r="T1658" i="1"/>
  <c r="T984" i="1"/>
  <c r="W984" i="1"/>
  <c r="Z982" i="1"/>
  <c r="S982" i="1"/>
  <c r="W976" i="1"/>
  <c r="AA976" i="1" s="1"/>
  <c r="U976" i="1"/>
  <c r="S974" i="1"/>
  <c r="Z974" i="1"/>
  <c r="U969" i="1"/>
  <c r="W969" i="1"/>
  <c r="Z967" i="1"/>
  <c r="S967" i="1"/>
  <c r="W962" i="1"/>
  <c r="T962" i="1"/>
  <c r="U962" i="1"/>
  <c r="Z261" i="1"/>
  <c r="S261" i="1"/>
  <c r="W955" i="1"/>
  <c r="U955" i="1"/>
  <c r="Z953" i="1"/>
  <c r="S953" i="1"/>
  <c r="W947" i="1"/>
  <c r="T947" i="1"/>
  <c r="U947" i="1"/>
  <c r="Z945" i="1"/>
  <c r="S945" i="1"/>
  <c r="W939" i="1"/>
  <c r="AA939" i="1" s="1"/>
  <c r="U939" i="1"/>
  <c r="Z937" i="1"/>
  <c r="S937" i="1"/>
  <c r="W931" i="1"/>
  <c r="T931" i="1"/>
  <c r="U931" i="1"/>
  <c r="Z929" i="1"/>
  <c r="S929" i="1"/>
  <c r="Z921" i="1"/>
  <c r="S921" i="1"/>
  <c r="W916" i="1"/>
  <c r="T916" i="1"/>
  <c r="U916" i="1"/>
  <c r="Z914" i="1"/>
  <c r="S914" i="1"/>
  <c r="Z1699" i="1"/>
  <c r="S1699" i="1"/>
  <c r="W902" i="1"/>
  <c r="U902" i="1"/>
  <c r="T902" i="1"/>
  <c r="U894" i="1"/>
  <c r="W894" i="1"/>
  <c r="T894" i="1"/>
  <c r="Z892" i="1"/>
  <c r="S892" i="1"/>
  <c r="W886" i="1"/>
  <c r="T886" i="1"/>
  <c r="U886" i="1"/>
  <c r="S884" i="1"/>
  <c r="Z884" i="1"/>
  <c r="W878" i="1"/>
  <c r="AA878" i="1" s="1"/>
  <c r="U878" i="1"/>
  <c r="W871" i="1"/>
  <c r="U871" i="1"/>
  <c r="T871" i="1"/>
  <c r="Z869" i="1"/>
  <c r="S869" i="1"/>
  <c r="T863" i="1"/>
  <c r="AA863" i="1" s="1"/>
  <c r="U863" i="1"/>
  <c r="S861" i="1"/>
  <c r="Z861" i="1"/>
  <c r="W855" i="1"/>
  <c r="U855" i="1"/>
  <c r="T855" i="1"/>
  <c r="W617" i="1"/>
  <c r="AA617" i="1" s="1"/>
  <c r="U617" i="1"/>
  <c r="Z846" i="1"/>
  <c r="S846" i="1"/>
  <c r="W840" i="1"/>
  <c r="U840" i="1"/>
  <c r="T840" i="1"/>
  <c r="S838" i="1"/>
  <c r="Z838" i="1"/>
  <c r="W832" i="1"/>
  <c r="T832" i="1"/>
  <c r="U832" i="1"/>
  <c r="W825" i="1"/>
  <c r="T825" i="1"/>
  <c r="U825" i="1"/>
  <c r="S823" i="1"/>
  <c r="Z823" i="1"/>
  <c r="W817" i="1"/>
  <c r="T817" i="1"/>
  <c r="U817" i="1"/>
  <c r="S815" i="1"/>
  <c r="W809" i="1"/>
  <c r="U809" i="1"/>
  <c r="S807" i="1"/>
  <c r="U802" i="1"/>
  <c r="T802" i="1"/>
  <c r="W802" i="1"/>
  <c r="S800" i="1"/>
  <c r="Z800" i="1"/>
  <c r="Z794" i="1"/>
  <c r="S794" i="1"/>
  <c r="T788" i="1"/>
  <c r="U788" i="1"/>
  <c r="W788" i="1"/>
  <c r="S786" i="1"/>
  <c r="Z786" i="1"/>
  <c r="W780" i="1"/>
  <c r="AA780" i="1" s="1"/>
  <c r="U780" i="1"/>
  <c r="Z779" i="1"/>
  <c r="S779" i="1"/>
  <c r="U230" i="1"/>
  <c r="W230" i="1"/>
  <c r="AA230" i="1" s="1"/>
  <c r="S773" i="1"/>
  <c r="W767" i="1"/>
  <c r="U767" i="1"/>
  <c r="T767" i="1"/>
  <c r="Z196" i="1"/>
  <c r="S196" i="1"/>
  <c r="W762" i="1"/>
  <c r="AA762" i="1" s="1"/>
  <c r="U762" i="1"/>
  <c r="S754" i="1"/>
  <c r="Z754" i="1"/>
  <c r="W748" i="1"/>
  <c r="U748" i="1"/>
  <c r="T748" i="1"/>
  <c r="X740" i="1"/>
  <c r="V740" i="1"/>
  <c r="U732" i="1"/>
  <c r="T732" i="1"/>
  <c r="W732" i="1"/>
  <c r="Z730" i="1"/>
  <c r="S730" i="1"/>
  <c r="T725" i="1"/>
  <c r="W725" i="1"/>
  <c r="U725" i="1"/>
  <c r="Z723" i="1"/>
  <c r="S723" i="1"/>
  <c r="S718" i="1"/>
  <c r="Z718" i="1"/>
  <c r="T713" i="1"/>
  <c r="AA713" i="1" s="1"/>
  <c r="U713" i="1"/>
  <c r="S711" i="1"/>
  <c r="U706" i="1"/>
  <c r="W706" i="1"/>
  <c r="T706" i="1"/>
  <c r="W1757" i="1"/>
  <c r="U1757" i="1"/>
  <c r="T1757" i="1"/>
  <c r="S1187" i="1"/>
  <c r="S1121" i="1"/>
  <c r="T1174" i="1"/>
  <c r="T1145" i="1"/>
  <c r="T30" i="1"/>
  <c r="U984" i="1"/>
  <c r="X865" i="1"/>
  <c r="V865" i="1"/>
  <c r="U521" i="1"/>
  <c r="Y26" i="1"/>
  <c r="AA26" i="1"/>
  <c r="V1290" i="1"/>
  <c r="X1290" i="1"/>
  <c r="S1152" i="1"/>
  <c r="X1736" i="1"/>
  <c r="V1736" i="1"/>
  <c r="V200" i="1"/>
  <c r="X200" i="1"/>
  <c r="V1007" i="1"/>
  <c r="X1007" i="1"/>
  <c r="AA1323" i="1"/>
  <c r="Y1323" i="1"/>
  <c r="Y901" i="1"/>
  <c r="AA901" i="1"/>
  <c r="T1205" i="1"/>
  <c r="AA1205" i="1" s="1"/>
  <c r="X1695" i="1"/>
  <c r="V1695" i="1"/>
  <c r="U1161" i="1"/>
  <c r="V1629" i="1"/>
  <c r="Z1181" i="1"/>
  <c r="Z1137" i="1"/>
  <c r="Z1719" i="1"/>
  <c r="Z469" i="1"/>
  <c r="Z1725" i="1"/>
  <c r="Z592" i="1"/>
  <c r="Z1756" i="1"/>
  <c r="Z1675" i="1"/>
  <c r="Z1668" i="1"/>
  <c r="Z471" i="1"/>
  <c r="Z263" i="1"/>
  <c r="Z130" i="1"/>
  <c r="Z145" i="1"/>
  <c r="S969" i="1"/>
  <c r="T1225" i="1"/>
  <c r="AA1225" i="1" s="1"/>
  <c r="T662" i="1"/>
  <c r="X1741" i="1"/>
  <c r="V1741" i="1"/>
  <c r="S1274" i="1"/>
  <c r="AE1274" i="1"/>
  <c r="AG1274" i="1" s="1"/>
  <c r="S755" i="1"/>
  <c r="T941" i="1"/>
  <c r="AA941" i="1" s="1"/>
  <c r="T918" i="1"/>
  <c r="T720" i="1"/>
  <c r="V337" i="1"/>
  <c r="X337" i="1"/>
  <c r="U662" i="1"/>
  <c r="U100" i="1"/>
  <c r="V915" i="1"/>
  <c r="X915" i="1"/>
  <c r="U834" i="1"/>
  <c r="U769" i="1"/>
  <c r="Z1223" i="1"/>
  <c r="U1232" i="1"/>
  <c r="T1232" i="1"/>
  <c r="S1230" i="1"/>
  <c r="Z1230" i="1"/>
  <c r="W1219" i="1"/>
  <c r="T1219" i="1"/>
  <c r="T547" i="1"/>
  <c r="W547" i="1"/>
  <c r="U1197" i="1"/>
  <c r="T1197" i="1"/>
  <c r="W1197" i="1"/>
  <c r="S1195" i="1"/>
  <c r="Z1195" i="1"/>
  <c r="V1190" i="1"/>
  <c r="X1190" i="1"/>
  <c r="T1183" i="1"/>
  <c r="W1183" i="1"/>
  <c r="W1175" i="1"/>
  <c r="AA1175" i="1" s="1"/>
  <c r="U1175" i="1"/>
  <c r="S1602" i="1"/>
  <c r="Z1602" i="1"/>
  <c r="W1168" i="1"/>
  <c r="AA1168" i="1" s="1"/>
  <c r="U1168" i="1"/>
  <c r="W1146" i="1"/>
  <c r="AA1146" i="1" s="1"/>
  <c r="U1146" i="1"/>
  <c r="W1139" i="1"/>
  <c r="T1139" i="1"/>
  <c r="Y662" i="1"/>
  <c r="AA662" i="1"/>
  <c r="S1117" i="1"/>
  <c r="Z1117" i="1"/>
  <c r="W1114" i="1"/>
  <c r="U1114" i="1"/>
  <c r="T1114" i="1"/>
  <c r="Z1112" i="1"/>
  <c r="S1112" i="1"/>
  <c r="T1106" i="1"/>
  <c r="U1106" i="1"/>
  <c r="W1106" i="1"/>
  <c r="Z1096" i="1"/>
  <c r="S1096" i="1"/>
  <c r="W185" i="1"/>
  <c r="T185" i="1"/>
  <c r="Z31" i="1"/>
  <c r="S31" i="1"/>
  <c r="W1084" i="1"/>
  <c r="AA1084" i="1" s="1"/>
  <c r="U1084" i="1"/>
  <c r="T1077" i="1"/>
  <c r="W1077" i="1"/>
  <c r="U1077" i="1"/>
  <c r="Z1075" i="1"/>
  <c r="S1075" i="1"/>
  <c r="U1062" i="1"/>
  <c r="W1062" i="1"/>
  <c r="S1060" i="1"/>
  <c r="Z1060" i="1"/>
  <c r="W1054" i="1"/>
  <c r="U1054" i="1"/>
  <c r="T1054" i="1"/>
  <c r="Z1052" i="1"/>
  <c r="S1052" i="1"/>
  <c r="S1044" i="1"/>
  <c r="Z1044" i="1"/>
  <c r="U1038" i="1"/>
  <c r="W1038" i="1"/>
  <c r="T1030" i="1"/>
  <c r="W1030" i="1"/>
  <c r="Z71" i="1"/>
  <c r="S71" i="1"/>
  <c r="W1023" i="1"/>
  <c r="AA1023" i="1" s="1"/>
  <c r="U1023" i="1"/>
  <c r="W1015" i="1"/>
  <c r="AA1015" i="1" s="1"/>
  <c r="U1015" i="1"/>
  <c r="U986" i="1"/>
  <c r="W986" i="1"/>
  <c r="T986" i="1"/>
  <c r="S984" i="1"/>
  <c r="Z984" i="1"/>
  <c r="T978" i="1"/>
  <c r="W978" i="1"/>
  <c r="U978" i="1"/>
  <c r="T964" i="1"/>
  <c r="W964" i="1"/>
  <c r="S962" i="1"/>
  <c r="Z962" i="1"/>
  <c r="W957" i="1"/>
  <c r="AA957" i="1" s="1"/>
  <c r="U957" i="1"/>
  <c r="T949" i="1"/>
  <c r="U949" i="1"/>
  <c r="W949" i="1"/>
  <c r="S947" i="1"/>
  <c r="Z947" i="1"/>
  <c r="S939" i="1"/>
  <c r="Z939" i="1"/>
  <c r="S931" i="1"/>
  <c r="Z931" i="1"/>
  <c r="AA918" i="1"/>
  <c r="Y918" i="1"/>
  <c r="S908" i="1"/>
  <c r="Z908" i="1"/>
  <c r="W904" i="1"/>
  <c r="U904" i="1"/>
  <c r="T904" i="1"/>
  <c r="W896" i="1"/>
  <c r="AA896" i="1" s="1"/>
  <c r="U896" i="1"/>
  <c r="Z894" i="1"/>
  <c r="S894" i="1"/>
  <c r="T880" i="1"/>
  <c r="W880" i="1"/>
  <c r="U880" i="1"/>
  <c r="S878" i="1"/>
  <c r="Z878" i="1"/>
  <c r="Z871" i="1"/>
  <c r="S871" i="1"/>
  <c r="T865" i="1"/>
  <c r="W865" i="1"/>
  <c r="Z863" i="1"/>
  <c r="S863" i="1"/>
  <c r="W857" i="1"/>
  <c r="AA857" i="1" s="1"/>
  <c r="U857" i="1"/>
  <c r="W849" i="1"/>
  <c r="T849" i="1"/>
  <c r="U849" i="1"/>
  <c r="W842" i="1"/>
  <c r="U842" i="1"/>
  <c r="Z832" i="1"/>
  <c r="S832" i="1"/>
  <c r="T826" i="1"/>
  <c r="W826" i="1"/>
  <c r="Y826" i="1" s="1"/>
  <c r="S825" i="1"/>
  <c r="Z825" i="1"/>
  <c r="U819" i="1"/>
  <c r="W819" i="1"/>
  <c r="AA819" i="1" s="1"/>
  <c r="S817" i="1"/>
  <c r="Z817" i="1"/>
  <c r="W1556" i="1"/>
  <c r="AA1556" i="1" s="1"/>
  <c r="U1556" i="1"/>
  <c r="Z796" i="1"/>
  <c r="S796" i="1"/>
  <c r="W790" i="1"/>
  <c r="T790" i="1"/>
  <c r="W782" i="1"/>
  <c r="AA782" i="1" s="1"/>
  <c r="U782" i="1"/>
  <c r="Z780" i="1"/>
  <c r="S780" i="1"/>
  <c r="W775" i="1"/>
  <c r="AA775" i="1" s="1"/>
  <c r="U775" i="1"/>
  <c r="Z230" i="1"/>
  <c r="S230" i="1"/>
  <c r="S762" i="1"/>
  <c r="Z762" i="1"/>
  <c r="T742" i="1"/>
  <c r="W742" i="1"/>
  <c r="Z740" i="1"/>
  <c r="S740" i="1"/>
  <c r="W734" i="1"/>
  <c r="U734" i="1"/>
  <c r="T734" i="1"/>
  <c r="S732" i="1"/>
  <c r="Z732" i="1"/>
  <c r="T726" i="1"/>
  <c r="U726" i="1"/>
  <c r="S713" i="1"/>
  <c r="Z713" i="1"/>
  <c r="Z706" i="1"/>
  <c r="S706" i="1"/>
  <c r="T702" i="1"/>
  <c r="W702" i="1"/>
  <c r="U702" i="1"/>
  <c r="Z1757" i="1"/>
  <c r="S1757" i="1"/>
  <c r="T811" i="1"/>
  <c r="V1468" i="1"/>
  <c r="X1468" i="1"/>
  <c r="U1225" i="1"/>
  <c r="U1154" i="1"/>
  <c r="U1098" i="1"/>
  <c r="U708" i="1"/>
  <c r="V44" i="1"/>
  <c r="W1232" i="1"/>
  <c r="V1192" i="1"/>
  <c r="X1192" i="1"/>
  <c r="Y1330" i="1"/>
  <c r="AB1330" i="1" s="1"/>
  <c r="X480" i="1"/>
  <c r="X1704" i="1"/>
  <c r="V1704" i="1"/>
  <c r="AA764" i="1"/>
  <c r="Y764" i="1"/>
  <c r="V376" i="1"/>
  <c r="AA1603" i="1"/>
  <c r="Y1603" i="1"/>
  <c r="S966" i="1"/>
  <c r="AE966" i="1"/>
  <c r="AG966" i="1" s="1"/>
  <c r="S1119" i="1"/>
  <c r="S1026" i="1"/>
  <c r="S883" i="1"/>
  <c r="W1151" i="1"/>
  <c r="W747" i="1"/>
  <c r="Z860" i="1"/>
  <c r="W1166" i="1"/>
  <c r="T1166" i="1"/>
  <c r="U1129" i="1"/>
  <c r="W1129" i="1"/>
  <c r="W1121" i="1"/>
  <c r="AA1121" i="1" s="1"/>
  <c r="U1121" i="1"/>
  <c r="U1074" i="1"/>
  <c r="W1074" i="1"/>
  <c r="AA1074" i="1" s="1"/>
  <c r="U1059" i="1"/>
  <c r="W1059" i="1"/>
  <c r="T1059" i="1"/>
  <c r="U1043" i="1"/>
  <c r="T1043" i="1"/>
  <c r="U1028" i="1"/>
  <c r="T1028" i="1"/>
  <c r="AA1028" i="1" s="1"/>
  <c r="S1010" i="1"/>
  <c r="W1004" i="1"/>
  <c r="AA1004" i="1" s="1"/>
  <c r="U1004" i="1"/>
  <c r="Z996" i="1"/>
  <c r="S996" i="1"/>
  <c r="S960" i="1"/>
  <c r="S952" i="1"/>
  <c r="Z952" i="1"/>
  <c r="S944" i="1"/>
  <c r="U938" i="1"/>
  <c r="W938" i="1"/>
  <c r="AA938" i="1" s="1"/>
  <c r="U930" i="1"/>
  <c r="T930" i="1"/>
  <c r="AA930" i="1" s="1"/>
  <c r="T915" i="1"/>
  <c r="W915" i="1"/>
  <c r="S913" i="1"/>
  <c r="S891" i="1"/>
  <c r="W885" i="1"/>
  <c r="U885" i="1"/>
  <c r="U877" i="1"/>
  <c r="W877" i="1"/>
  <c r="AA877" i="1" s="1"/>
  <c r="S837" i="1"/>
  <c r="U816" i="1"/>
  <c r="W816" i="1"/>
  <c r="T816" i="1"/>
  <c r="Z814" i="1"/>
  <c r="S814" i="1"/>
  <c r="U801" i="1"/>
  <c r="T801" i="1"/>
  <c r="S799" i="1"/>
  <c r="S793" i="1"/>
  <c r="Z793" i="1"/>
  <c r="U787" i="1"/>
  <c r="T787" i="1"/>
  <c r="AA787" i="1" s="1"/>
  <c r="W89" i="1"/>
  <c r="AA89" i="1" s="1"/>
  <c r="U89" i="1"/>
  <c r="U761" i="1"/>
  <c r="W761" i="1"/>
  <c r="AA761" i="1" s="1"/>
  <c r="AA1590" i="1"/>
  <c r="Y1590" i="1"/>
  <c r="S753" i="1"/>
  <c r="U731" i="1"/>
  <c r="W731" i="1"/>
  <c r="AA731" i="1" s="1"/>
  <c r="S717" i="1"/>
  <c r="S710" i="1"/>
  <c r="S1101" i="1"/>
  <c r="T1116" i="1"/>
  <c r="T1020" i="1"/>
  <c r="T983" i="1"/>
  <c r="T885" i="1"/>
  <c r="U1590" i="1"/>
  <c r="Z1723" i="1"/>
  <c r="Z1760" i="1"/>
  <c r="S1582" i="1"/>
  <c r="Z543" i="1"/>
  <c r="S501" i="1"/>
  <c r="Z501" i="1"/>
  <c r="S1698" i="1"/>
  <c r="Z1670" i="1"/>
  <c r="Z1621" i="1"/>
  <c r="S1591" i="1"/>
  <c r="Z1591" i="1"/>
  <c r="S1560" i="1"/>
  <c r="Z355" i="1"/>
  <c r="Z97" i="1"/>
  <c r="Z458" i="1"/>
  <c r="Z246" i="1"/>
  <c r="S259" i="1"/>
  <c r="Z204" i="1"/>
  <c r="S225" i="1"/>
  <c r="S161" i="1"/>
  <c r="Z161" i="1"/>
  <c r="S1657" i="1"/>
  <c r="S1577" i="1"/>
  <c r="Z1577" i="1"/>
  <c r="S1640" i="1"/>
  <c r="Z434" i="1"/>
  <c r="S249" i="1"/>
  <c r="S1569" i="1"/>
  <c r="Z1569" i="1"/>
  <c r="S688" i="1"/>
  <c r="S1438" i="1"/>
  <c r="Z1438" i="1"/>
  <c r="S910" i="1"/>
  <c r="Z910" i="1"/>
  <c r="S880" i="1"/>
  <c r="U554" i="1"/>
  <c r="U70" i="1"/>
  <c r="U1693" i="1"/>
  <c r="U119" i="1"/>
  <c r="U507" i="1"/>
  <c r="U567" i="1"/>
  <c r="U1360" i="1"/>
  <c r="V401" i="1"/>
  <c r="W1628" i="1"/>
  <c r="W473" i="1"/>
  <c r="AA473" i="1" s="1"/>
  <c r="W1484" i="1"/>
  <c r="W898" i="1"/>
  <c r="Z137" i="1"/>
  <c r="Z1442" i="1"/>
  <c r="S1697" i="1"/>
  <c r="S864" i="1"/>
  <c r="AE864" i="1"/>
  <c r="AG864" i="1" s="1"/>
  <c r="S1756" i="1"/>
  <c r="S1517" i="1"/>
  <c r="S1554" i="1"/>
  <c r="S268" i="1"/>
  <c r="S1270" i="1"/>
  <c r="S1255" i="1"/>
  <c r="S1196" i="1"/>
  <c r="S1106" i="1"/>
  <c r="S896" i="1"/>
  <c r="S872" i="1"/>
  <c r="S781" i="1"/>
  <c r="S734" i="1"/>
  <c r="T1717" i="1"/>
  <c r="T335" i="1"/>
  <c r="AA335" i="1" s="1"/>
  <c r="T213" i="1"/>
  <c r="AA213" i="1" s="1"/>
  <c r="T1563" i="1"/>
  <c r="T1337" i="1"/>
  <c r="T995" i="1"/>
  <c r="U1755" i="1"/>
  <c r="U468" i="1"/>
  <c r="U1612" i="1"/>
  <c r="U58" i="1"/>
  <c r="U297" i="1"/>
  <c r="U506" i="1"/>
  <c r="U1430" i="1"/>
  <c r="U1389" i="1"/>
  <c r="U1359" i="1"/>
  <c r="U1040" i="1"/>
  <c r="U783" i="1"/>
  <c r="U716" i="1"/>
  <c r="V103" i="1"/>
  <c r="W511" i="1"/>
  <c r="W468" i="1"/>
  <c r="AA468" i="1" s="1"/>
  <c r="W113" i="1"/>
  <c r="W1534" i="1"/>
  <c r="W227" i="1"/>
  <c r="Z1698" i="1"/>
  <c r="Z698" i="1"/>
  <c r="Z1640" i="1"/>
  <c r="Z35" i="1"/>
  <c r="Z1146" i="1"/>
  <c r="W1634" i="1"/>
  <c r="AA1634" i="1" s="1"/>
  <c r="U1634" i="1"/>
  <c r="Z565" i="1"/>
  <c r="S528" i="1"/>
  <c r="Z1540" i="1"/>
  <c r="Z19" i="1"/>
  <c r="Z446" i="1"/>
  <c r="S1614" i="1"/>
  <c r="Z1614" i="1"/>
  <c r="Z318" i="1"/>
  <c r="Z282" i="1"/>
  <c r="Z226" i="1"/>
  <c r="Z435" i="1"/>
  <c r="Z1605" i="1"/>
  <c r="Z1649" i="1"/>
  <c r="Z671" i="1"/>
  <c r="Z251" i="1"/>
  <c r="S1627" i="1"/>
  <c r="S583" i="1"/>
  <c r="Z583" i="1"/>
  <c r="S1549" i="1"/>
  <c r="S633" i="1"/>
  <c r="Z633" i="1"/>
  <c r="S1423" i="1"/>
  <c r="S678" i="1"/>
  <c r="Z678" i="1"/>
  <c r="S1190" i="1"/>
  <c r="S993" i="1"/>
  <c r="S957" i="1"/>
  <c r="S904" i="1"/>
  <c r="Z904" i="1"/>
  <c r="S834" i="1"/>
  <c r="S819" i="1"/>
  <c r="S720" i="1"/>
  <c r="Z720" i="1"/>
  <c r="S1197" i="1"/>
  <c r="S933" i="1"/>
  <c r="S37" i="1"/>
  <c r="S782" i="1"/>
  <c r="T1662" i="1"/>
  <c r="T113" i="1"/>
  <c r="T58" i="1"/>
  <c r="AA58" i="1" s="1"/>
  <c r="T103" i="1"/>
  <c r="T1338" i="1"/>
  <c r="T1108" i="1"/>
  <c r="T867" i="1"/>
  <c r="Z1535" i="1"/>
  <c r="Z502" i="1"/>
  <c r="Z1544" i="1"/>
  <c r="Z542" i="1"/>
  <c r="Z496" i="1"/>
  <c r="S394" i="1"/>
  <c r="Z394" i="1"/>
  <c r="Z1630" i="1"/>
  <c r="T575" i="1"/>
  <c r="W575" i="1"/>
  <c r="Z449" i="1"/>
  <c r="U403" i="1"/>
  <c r="X403" i="1" s="1"/>
  <c r="W403" i="1"/>
  <c r="AA403" i="1" s="1"/>
  <c r="Z1654" i="1"/>
  <c r="Z432" i="1"/>
  <c r="Z1613" i="1"/>
  <c r="Z1684" i="1"/>
  <c r="Z110" i="1"/>
  <c r="Z334" i="1"/>
  <c r="Z594" i="1"/>
  <c r="Z336" i="1"/>
  <c r="S486" i="1"/>
  <c r="Z486" i="1"/>
  <c r="Z1594" i="1"/>
  <c r="Z552" i="1"/>
  <c r="Z278" i="1"/>
  <c r="W201" i="1"/>
  <c r="AA201" i="1" s="1"/>
  <c r="U201" i="1"/>
  <c r="Z98" i="1"/>
  <c r="W648" i="1"/>
  <c r="AA648" i="1" s="1"/>
  <c r="U648" i="1"/>
  <c r="S635" i="1"/>
  <c r="Z635" i="1"/>
  <c r="Z66" i="1"/>
  <c r="S132" i="1"/>
  <c r="Z132" i="1"/>
  <c r="Z140" i="1"/>
  <c r="Z57" i="1"/>
  <c r="Z56" i="1"/>
  <c r="W620" i="1"/>
  <c r="AA620" i="1" s="1"/>
  <c r="U620" i="1"/>
  <c r="S1611" i="1"/>
  <c r="Z1611" i="1"/>
  <c r="W1485" i="1"/>
  <c r="AA1485" i="1" s="1"/>
  <c r="U1485" i="1"/>
  <c r="Z538" i="1"/>
  <c r="S1455" i="1"/>
  <c r="Z1455" i="1"/>
  <c r="S256" i="1"/>
  <c r="Z256" i="1"/>
  <c r="W1424" i="1"/>
  <c r="AA1424" i="1" s="1"/>
  <c r="U1424" i="1"/>
  <c r="W1322" i="1"/>
  <c r="U1322" i="1"/>
  <c r="W1206" i="1"/>
  <c r="AA1206" i="1" s="1"/>
  <c r="U1206" i="1"/>
  <c r="W1091" i="1"/>
  <c r="U1091" i="1"/>
  <c r="S476" i="1"/>
  <c r="Z476" i="1"/>
  <c r="W971" i="1"/>
  <c r="AA971" i="1" s="1"/>
  <c r="U971" i="1"/>
  <c r="S895" i="1"/>
  <c r="Z895" i="1"/>
  <c r="S887" i="1"/>
  <c r="Z887" i="1"/>
  <c r="W850" i="1"/>
  <c r="AA850" i="1" s="1"/>
  <c r="U850" i="1"/>
  <c r="S833" i="1"/>
  <c r="Z833" i="1"/>
  <c r="S733" i="1"/>
  <c r="Z733" i="1"/>
  <c r="S600" i="1"/>
  <c r="Z600" i="1"/>
  <c r="S1594" i="1"/>
  <c r="S1663" i="1"/>
  <c r="S1552" i="1"/>
  <c r="S1269" i="1"/>
  <c r="S1254" i="1"/>
  <c r="S1161" i="1"/>
  <c r="S1105" i="1"/>
  <c r="T554" i="1"/>
  <c r="AA554" i="1" s="1"/>
  <c r="T487" i="1"/>
  <c r="T589" i="1"/>
  <c r="T433" i="1"/>
  <c r="T675" i="1"/>
  <c r="T1477" i="1"/>
  <c r="T1461" i="1"/>
  <c r="T1453" i="1"/>
  <c r="T1242" i="1"/>
  <c r="U1596" i="1"/>
  <c r="U1529" i="1"/>
  <c r="U1667" i="1"/>
  <c r="U213" i="1"/>
  <c r="U608" i="1"/>
  <c r="U626" i="1"/>
  <c r="U751" i="1"/>
  <c r="U715" i="1"/>
  <c r="W456" i="1"/>
  <c r="W103" i="1"/>
  <c r="Z249" i="1"/>
  <c r="W74" i="1"/>
  <c r="AA74" i="1" s="1"/>
  <c r="Z495" i="1"/>
  <c r="U206" i="1"/>
  <c r="U74" i="1"/>
  <c r="Z74" i="1"/>
  <c r="W287" i="1"/>
  <c r="T168" i="1"/>
  <c r="Z168" i="1"/>
  <c r="Z510" i="1"/>
  <c r="Z15" i="1"/>
  <c r="S157" i="1"/>
  <c r="V59" i="1"/>
  <c r="Z302" i="1"/>
  <c r="X1680" i="1"/>
  <c r="V1680" i="1"/>
  <c r="T1680" i="1"/>
  <c r="W1680" i="1"/>
  <c r="S448" i="1"/>
  <c r="Z448" i="1"/>
  <c r="W386" i="1"/>
  <c r="X443" i="1"/>
  <c r="V443" i="1"/>
  <c r="W443" i="1"/>
  <c r="Z443" i="1"/>
  <c r="U339" i="1"/>
  <c r="U23" i="1"/>
  <c r="V23" i="1" s="1"/>
  <c r="U1494" i="1"/>
  <c r="W1494" i="1"/>
  <c r="AA1494" i="1" s="1"/>
  <c r="Z23" i="1"/>
  <c r="W255" i="1"/>
  <c r="T112" i="1"/>
  <c r="AA112" i="1" s="1"/>
  <c r="Y23" i="1"/>
  <c r="AA23" i="1"/>
  <c r="T23" i="1"/>
  <c r="T461" i="1"/>
  <c r="AA461" i="1" s="1"/>
  <c r="U461" i="1"/>
  <c r="W270" i="1"/>
  <c r="U270" i="1"/>
  <c r="X270" i="1" s="1"/>
  <c r="T270" i="1"/>
  <c r="S473" i="1"/>
  <c r="U473" i="1"/>
  <c r="S74" i="1"/>
  <c r="V434" i="1"/>
  <c r="X434" i="1"/>
  <c r="S1646" i="1"/>
  <c r="T246" i="1"/>
  <c r="S386" i="1"/>
  <c r="S522" i="1"/>
  <c r="Z52" i="1"/>
  <c r="W434" i="1"/>
  <c r="Z27" i="1"/>
  <c r="T454" i="1"/>
  <c r="T434" i="1"/>
  <c r="Z386" i="1"/>
  <c r="X27" i="1"/>
  <c r="V27" i="1"/>
  <c r="W27" i="1"/>
  <c r="S27" i="1"/>
  <c r="T27" i="1"/>
  <c r="AA1743" i="1"/>
  <c r="AB1743" i="1" s="1"/>
  <c r="T1743" i="1"/>
  <c r="Z1743" i="1"/>
  <c r="U1743" i="1"/>
  <c r="S272" i="1"/>
  <c r="Z272" i="1"/>
  <c r="W435" i="1"/>
  <c r="Z466" i="1"/>
  <c r="U522" i="1"/>
  <c r="X522" i="1" s="1"/>
  <c r="T1551" i="1"/>
  <c r="W522" i="1"/>
  <c r="T226" i="1"/>
  <c r="AA226" i="1" s="1"/>
  <c r="S226" i="1"/>
  <c r="U226" i="1"/>
  <c r="S1743" i="1"/>
  <c r="T1760" i="1"/>
  <c r="U1760" i="1"/>
  <c r="T15" i="1"/>
  <c r="AA15" i="1" s="1"/>
  <c r="T333" i="1"/>
  <c r="Z333" i="1"/>
  <c r="V1537" i="1"/>
  <c r="X1537" i="1"/>
  <c r="W1659" i="1"/>
  <c r="S1537" i="1"/>
  <c r="W1537" i="1"/>
  <c r="U112" i="1"/>
  <c r="U1656" i="1"/>
  <c r="U52" i="1"/>
  <c r="W466" i="1"/>
  <c r="AA466" i="1" s="1"/>
  <c r="T488" i="1"/>
  <c r="W52" i="1"/>
  <c r="AA52" i="1" s="1"/>
  <c r="U466" i="1"/>
  <c r="X1711" i="1"/>
  <c r="V1711" i="1"/>
  <c r="T1711" i="1"/>
  <c r="S40" i="1"/>
  <c r="W1711" i="1"/>
  <c r="T191" i="1"/>
  <c r="W302" i="1"/>
  <c r="AA302" i="1" s="1"/>
  <c r="U1735" i="1"/>
  <c r="X488" i="1"/>
  <c r="V488" i="1"/>
  <c r="W488" i="1"/>
  <c r="W40" i="1"/>
  <c r="V246" i="1"/>
  <c r="W1738" i="1"/>
  <c r="T1738" i="1"/>
  <c r="X334" i="1"/>
  <c r="W334" i="1"/>
  <c r="V1738" i="1"/>
  <c r="V40" i="1"/>
  <c r="X40" i="1"/>
  <c r="T40" i="1"/>
  <c r="V13" i="1"/>
  <c r="X13" i="1"/>
  <c r="W13" i="1"/>
  <c r="U1649" i="1"/>
  <c r="S478" i="1"/>
  <c r="S16" i="1"/>
  <c r="U302" i="1"/>
  <c r="S640" i="1"/>
  <c r="U15" i="1"/>
  <c r="W188" i="1"/>
  <c r="T106" i="1"/>
  <c r="T427" i="1"/>
  <c r="X287" i="1"/>
  <c r="T16" i="1"/>
  <c r="AA16" i="1" s="1"/>
  <c r="U16" i="1"/>
  <c r="X16" i="1" s="1"/>
  <c r="Y16" i="1" s="1"/>
  <c r="S334" i="1"/>
  <c r="U510" i="1"/>
  <c r="T510" i="1"/>
  <c r="AA510" i="1" s="1"/>
  <c r="U231" i="1"/>
  <c r="T231" i="1"/>
  <c r="AA231" i="1" s="1"/>
  <c r="X495" i="1"/>
  <c r="S555" i="1"/>
  <c r="U172" i="1"/>
  <c r="W86" i="1"/>
  <c r="AA86" i="1" s="1"/>
  <c r="W3" i="1"/>
  <c r="AA3" i="1" s="1"/>
  <c r="W495" i="1"/>
  <c r="T495" i="1"/>
  <c r="S287" i="1"/>
  <c r="T287" i="1"/>
  <c r="T334" i="1"/>
  <c r="U49" i="1"/>
  <c r="U509" i="1"/>
  <c r="U86" i="1"/>
  <c r="U3" i="1"/>
  <c r="S495" i="1"/>
  <c r="U141" i="1"/>
  <c r="S21" i="1"/>
  <c r="U1659" i="1"/>
  <c r="T540" i="1"/>
  <c r="S1767" i="1"/>
  <c r="S86" i="1"/>
  <c r="S255" i="1"/>
  <c r="S513" i="1"/>
  <c r="S1631" i="1"/>
  <c r="S341" i="1"/>
  <c r="S409" i="1"/>
  <c r="S170" i="1"/>
  <c r="S510" i="1"/>
  <c r="S174" i="1"/>
  <c r="S488" i="1"/>
  <c r="S95" i="1"/>
  <c r="S686" i="1"/>
  <c r="S541" i="1"/>
  <c r="S427" i="1"/>
  <c r="S298" i="1"/>
  <c r="S330" i="1"/>
  <c r="S1673" i="1"/>
  <c r="S187" i="1"/>
  <c r="S246" i="1"/>
  <c r="S667" i="1"/>
  <c r="S1679" i="1"/>
  <c r="S208" i="1"/>
  <c r="S1077" i="1"/>
  <c r="S585" i="1"/>
  <c r="S1644" i="1"/>
  <c r="S296" i="1"/>
  <c r="S1599" i="1"/>
  <c r="S464" i="1"/>
  <c r="S346" i="1"/>
  <c r="S1561" i="1"/>
  <c r="S358" i="1"/>
  <c r="S1588" i="1"/>
  <c r="S388" i="1"/>
  <c r="S15" i="1"/>
  <c r="S1618" i="1"/>
  <c r="S575" i="1"/>
  <c r="S657" i="1"/>
  <c r="S532" i="1"/>
  <c r="S542" i="1"/>
  <c r="S128" i="1"/>
  <c r="S548" i="1"/>
  <c r="S563" i="1"/>
  <c r="S179" i="1"/>
  <c r="S534" i="1"/>
  <c r="S535" i="1"/>
  <c r="S520" i="1"/>
  <c r="S504" i="1"/>
  <c r="S81" i="1"/>
  <c r="S337" i="1"/>
  <c r="S422" i="1"/>
  <c r="S1717" i="1"/>
  <c r="S1742" i="1"/>
  <c r="S680" i="1"/>
  <c r="S411" i="1"/>
  <c r="S217" i="1"/>
  <c r="S502" i="1"/>
  <c r="S509" i="1"/>
  <c r="S175" i="1"/>
  <c r="S3" i="1"/>
  <c r="S1684" i="1"/>
  <c r="S7" i="1"/>
  <c r="S22" i="1"/>
  <c r="S404" i="1"/>
  <c r="S1388" i="1"/>
  <c r="S533" i="1"/>
  <c r="S392" i="1"/>
  <c r="S556" i="1"/>
  <c r="S339" i="1"/>
  <c r="S1723" i="1"/>
  <c r="S98" i="1"/>
  <c r="S66" i="1"/>
  <c r="S462" i="1"/>
  <c r="S1605" i="1"/>
  <c r="S110" i="1"/>
  <c r="S379" i="1"/>
  <c r="S1578" i="1"/>
  <c r="S80" i="1"/>
  <c r="S538" i="1"/>
  <c r="S587" i="1"/>
  <c r="S453" i="1"/>
  <c r="S661" i="1"/>
  <c r="S438" i="1"/>
  <c r="S485" i="1"/>
  <c r="S212" i="1"/>
  <c r="S1753" i="1"/>
  <c r="S1745" i="1"/>
  <c r="S43" i="1"/>
  <c r="S1727" i="1"/>
  <c r="S49" i="1"/>
  <c r="S393" i="1"/>
  <c r="S201" i="1"/>
  <c r="S44" i="1"/>
  <c r="S266" i="1"/>
  <c r="S113" i="1"/>
  <c r="S1765" i="1"/>
  <c r="S145" i="1"/>
  <c r="S42" i="1"/>
  <c r="S39" i="1"/>
  <c r="S222" i="1"/>
  <c r="S94" i="1"/>
  <c r="S511" i="1"/>
  <c r="S512" i="1"/>
  <c r="S435" i="1"/>
  <c r="S158" i="1"/>
  <c r="S63" i="1"/>
  <c r="S508" i="1"/>
  <c r="S23" i="1"/>
  <c r="S299" i="1"/>
  <c r="S468" i="1"/>
  <c r="S87" i="1"/>
  <c r="S455" i="1"/>
  <c r="S19" i="1"/>
  <c r="S1491" i="1"/>
  <c r="S1523" i="1"/>
  <c r="S20" i="1"/>
  <c r="S739" i="1"/>
  <c r="S122" i="1"/>
  <c r="S505" i="1"/>
  <c r="S123" i="1"/>
  <c r="S454" i="1"/>
  <c r="S6" i="1"/>
  <c r="S491" i="1"/>
  <c r="S1635" i="1"/>
  <c r="S497" i="1"/>
  <c r="S516" i="1"/>
  <c r="S741" i="1"/>
  <c r="S353" i="1"/>
  <c r="S302" i="1"/>
  <c r="S53" i="1"/>
  <c r="S1587" i="1"/>
  <c r="S1719" i="1"/>
  <c r="S270" i="1"/>
  <c r="S1665" i="1"/>
  <c r="S518" i="1"/>
  <c r="S200" i="1"/>
  <c r="S52" i="1"/>
  <c r="S1701" i="1"/>
  <c r="S106" i="1"/>
  <c r="S193" i="1"/>
  <c r="S164" i="1"/>
  <c r="S197" i="1"/>
  <c r="S1574" i="1"/>
  <c r="S1659" i="1"/>
  <c r="S529" i="1"/>
  <c r="S1589" i="1"/>
  <c r="S973" i="1"/>
  <c r="S13" i="1"/>
  <c r="S1624" i="1"/>
  <c r="S144" i="1"/>
  <c r="S1630" i="1"/>
  <c r="S540" i="1"/>
  <c r="S5" i="1"/>
  <c r="S18" i="1"/>
  <c r="S17" i="1"/>
  <c r="S1585" i="1"/>
  <c r="S1656" i="1"/>
  <c r="S273" i="1"/>
  <c r="S461" i="1"/>
  <c r="S466" i="1"/>
  <c r="S1696" i="1"/>
  <c r="S204" i="1"/>
  <c r="S445" i="1"/>
  <c r="S130" i="1"/>
  <c r="Y1018" i="1" l="1"/>
  <c r="V85" i="1"/>
  <c r="AA1079" i="1"/>
  <c r="AA1143" i="1"/>
  <c r="AA1082" i="1"/>
  <c r="AA293" i="1"/>
  <c r="AA424" i="1"/>
  <c r="AA910" i="1"/>
  <c r="V474" i="1"/>
  <c r="AA1089" i="1"/>
  <c r="Y198" i="1"/>
  <c r="AA933" i="1"/>
  <c r="AA91" i="1"/>
  <c r="X776" i="1"/>
  <c r="Y776" i="1" s="1"/>
  <c r="AB776" i="1" s="1"/>
  <c r="AC776" i="1" s="1"/>
  <c r="AA84" i="1"/>
  <c r="AA508" i="1"/>
  <c r="AA1226" i="1"/>
  <c r="AA1078" i="1"/>
  <c r="AA961" i="1"/>
  <c r="AA714" i="1"/>
  <c r="AA537" i="1"/>
  <c r="AA1207" i="1"/>
  <c r="AA1352" i="1"/>
  <c r="AA490" i="1"/>
  <c r="AA365" i="1"/>
  <c r="Y925" i="1"/>
  <c r="AA200" i="1"/>
  <c r="Y1207" i="1"/>
  <c r="Y398" i="1"/>
  <c r="AA393" i="1"/>
  <c r="X1089" i="1"/>
  <c r="Y1089" i="1" s="1"/>
  <c r="AA690" i="1"/>
  <c r="AA795" i="1"/>
  <c r="X1048" i="1"/>
  <c r="Y1048" i="1" s="1"/>
  <c r="AB1048" i="1" s="1"/>
  <c r="AC1048" i="1" s="1"/>
  <c r="AD1048" i="1" s="1"/>
  <c r="V795" i="1"/>
  <c r="AA743" i="1"/>
  <c r="V127" i="1"/>
  <c r="AA436" i="1"/>
  <c r="AA557" i="1"/>
  <c r="X1238" i="1"/>
  <c r="X1147" i="1"/>
  <c r="Y1147" i="1" s="1"/>
  <c r="AB1147" i="1" s="1"/>
  <c r="AC1147" i="1" s="1"/>
  <c r="AD1147" i="1" s="1"/>
  <c r="AA1746" i="1"/>
  <c r="AB1746" i="1" s="1"/>
  <c r="AC1746" i="1" s="1"/>
  <c r="AF1746" i="1" s="1"/>
  <c r="AA991" i="1"/>
  <c r="AA946" i="1"/>
  <c r="V926" i="1"/>
  <c r="AA351" i="1"/>
  <c r="AA1422" i="1"/>
  <c r="Y757" i="1"/>
  <c r="AB757" i="1" s="1"/>
  <c r="AC757" i="1" s="1"/>
  <c r="AD757" i="1" s="1"/>
  <c r="Y1690" i="1"/>
  <c r="X1623" i="1"/>
  <c r="V682" i="1"/>
  <c r="AA1646" i="1"/>
  <c r="AB1646" i="1" s="1"/>
  <c r="AC1646" i="1" s="1"/>
  <c r="X1257" i="1"/>
  <c r="X908" i="1"/>
  <c r="Y613" i="1"/>
  <c r="V351" i="1"/>
  <c r="AA550" i="1"/>
  <c r="Y257" i="1"/>
  <c r="X1012" i="1"/>
  <c r="Y1012" i="1" s="1"/>
  <c r="AB1012" i="1" s="1"/>
  <c r="AC1012" i="1" s="1"/>
  <c r="AD1012" i="1" s="1"/>
  <c r="Y82" i="1"/>
  <c r="AA536" i="1"/>
  <c r="AA398" i="1"/>
  <c r="Y1466" i="1"/>
  <c r="AA1117" i="1"/>
  <c r="AB1117" i="1" s="1"/>
  <c r="AC1117" i="1" s="1"/>
  <c r="AD1117" i="1" s="1"/>
  <c r="AA1098" i="1"/>
  <c r="AB1098" i="1" s="1"/>
  <c r="AC1098" i="1" s="1"/>
  <c r="AF1098" i="1" s="1"/>
  <c r="X888" i="1"/>
  <c r="Y888" i="1" s="1"/>
  <c r="Y708" i="1"/>
  <c r="AB708" i="1" s="1"/>
  <c r="AC708" i="1" s="1"/>
  <c r="X1016" i="1"/>
  <c r="Y695" i="1"/>
  <c r="AA1486" i="1"/>
  <c r="AA1018" i="1"/>
  <c r="Y1573" i="1"/>
  <c r="AB1573" i="1" s="1"/>
  <c r="AC1573" i="1" s="1"/>
  <c r="X1461" i="1"/>
  <c r="Y1461" i="1" s="1"/>
  <c r="AA1426" i="1"/>
  <c r="AA171" i="1"/>
  <c r="AA676" i="1"/>
  <c r="AB652" i="1"/>
  <c r="AC652" i="1" s="1"/>
  <c r="AA1100" i="1"/>
  <c r="Y214" i="1"/>
  <c r="AB214" i="1" s="1"/>
  <c r="AC214" i="1" s="1"/>
  <c r="AD214" i="1" s="1"/>
  <c r="AA69" i="1"/>
  <c r="AA847" i="1"/>
  <c r="AA727" i="1"/>
  <c r="Y859" i="1"/>
  <c r="AA99" i="1"/>
  <c r="AA716" i="1"/>
  <c r="AA820" i="1"/>
  <c r="X125" i="1"/>
  <c r="Y125" i="1" s="1"/>
  <c r="AB125" i="1" s="1"/>
  <c r="AC125" i="1" s="1"/>
  <c r="AD125" i="1" s="1"/>
  <c r="AE125" i="1" s="1"/>
  <c r="AG125" i="1" s="1"/>
  <c r="AA567" i="1"/>
  <c r="Y72" i="1"/>
  <c r="X1701" i="1"/>
  <c r="V1215" i="1"/>
  <c r="X835" i="1"/>
  <c r="Y835" i="1" s="1"/>
  <c r="X890" i="1"/>
  <c r="Y890" i="1" s="1"/>
  <c r="Y910" i="1"/>
  <c r="AB910" i="1" s="1"/>
  <c r="AC910" i="1" s="1"/>
  <c r="AD910" i="1" s="1"/>
  <c r="X1064" i="1"/>
  <c r="X1086" i="1"/>
  <c r="Y1086" i="1" s="1"/>
  <c r="AB1086" i="1" s="1"/>
  <c r="AC1086" i="1" s="1"/>
  <c r="AD1086" i="1" s="1"/>
  <c r="AA1063" i="1"/>
  <c r="X736" i="1"/>
  <c r="Y736" i="1" s="1"/>
  <c r="V1466" i="1"/>
  <c r="X1409" i="1"/>
  <c r="Y1409" i="1" s="1"/>
  <c r="AB1409" i="1" s="1"/>
  <c r="AC1409" i="1" s="1"/>
  <c r="AF1409" i="1" s="1"/>
  <c r="V1439" i="1"/>
  <c r="AB1701" i="1"/>
  <c r="AC1701" i="1" s="1"/>
  <c r="AF1701" i="1" s="1"/>
  <c r="Y1009" i="1"/>
  <c r="AA162" i="1"/>
  <c r="X463" i="1"/>
  <c r="Y463" i="1" s="1"/>
  <c r="Y1704" i="1"/>
  <c r="AA1072" i="1"/>
  <c r="X1063" i="1"/>
  <c r="Y1063" i="1" s="1"/>
  <c r="AA371" i="1"/>
  <c r="Y675" i="1"/>
  <c r="V82" i="1"/>
  <c r="Y1700" i="1"/>
  <c r="AB1700" i="1" s="1"/>
  <c r="AC1700" i="1" s="1"/>
  <c r="AD1700" i="1" s="1"/>
  <c r="X487" i="1"/>
  <c r="Y487" i="1" s="1"/>
  <c r="V770" i="1"/>
  <c r="Y337" i="1"/>
  <c r="AB805" i="1"/>
  <c r="AC805" i="1" s="1"/>
  <c r="AD805" i="1" s="1"/>
  <c r="Y1056" i="1"/>
  <c r="AA791" i="1"/>
  <c r="AA922" i="1"/>
  <c r="AA443" i="1"/>
  <c r="AA1359" i="1"/>
  <c r="AB1359" i="1" s="1"/>
  <c r="AC1359" i="1" s="1"/>
  <c r="AD1359" i="1" s="1"/>
  <c r="V727" i="1"/>
  <c r="Y1315" i="1"/>
  <c r="AB1315" i="1" s="1"/>
  <c r="AC1315" i="1" s="1"/>
  <c r="V675" i="1"/>
  <c r="Y1622" i="1"/>
  <c r="AB1622" i="1" s="1"/>
  <c r="AC1622" i="1" s="1"/>
  <c r="AF1622" i="1" s="1"/>
  <c r="V690" i="1"/>
  <c r="AA463" i="1"/>
  <c r="AA720" i="1"/>
  <c r="V72" i="1"/>
  <c r="X946" i="1"/>
  <c r="Y946" i="1" s="1"/>
  <c r="X366" i="1"/>
  <c r="Y366" i="1" s="1"/>
  <c r="AA935" i="1"/>
  <c r="AB935" i="1" s="1"/>
  <c r="AC935" i="1" s="1"/>
  <c r="AA366" i="1"/>
  <c r="Y127" i="1"/>
  <c r="AA1497" i="1"/>
  <c r="AB1497" i="1" s="1"/>
  <c r="AC1497" i="1" s="1"/>
  <c r="AF1497" i="1" s="1"/>
  <c r="AA1439" i="1"/>
  <c r="AB1439" i="1" s="1"/>
  <c r="AC1439" i="1" s="1"/>
  <c r="Y811" i="1"/>
  <c r="AB811" i="1" s="1"/>
  <c r="AC811" i="1" s="1"/>
  <c r="AD811" i="1" s="1"/>
  <c r="Y1749" i="1"/>
  <c r="AB1749" i="1" s="1"/>
  <c r="AC1749" i="1" s="1"/>
  <c r="AF1749" i="1" s="1"/>
  <c r="Y682" i="1"/>
  <c r="X1618" i="1"/>
  <c r="Y1016" i="1"/>
  <c r="AB1016" i="1" s="1"/>
  <c r="AC1016" i="1" s="1"/>
  <c r="AD1016" i="1" s="1"/>
  <c r="X1047" i="1"/>
  <c r="X1314" i="1"/>
  <c r="AA834" i="1"/>
  <c r="AA604" i="1"/>
  <c r="Y99" i="1"/>
  <c r="AA250" i="1"/>
  <c r="AA784" i="1"/>
  <c r="AA152" i="1"/>
  <c r="AA1070" i="1"/>
  <c r="AA1618" i="1"/>
  <c r="AB1618" i="1" s="1"/>
  <c r="AC1618" i="1" s="1"/>
  <c r="AF1618" i="1" s="1"/>
  <c r="V988" i="1"/>
  <c r="AA574" i="1"/>
  <c r="Y798" i="1"/>
  <c r="AA712" i="1"/>
  <c r="AA131" i="1"/>
  <c r="Y784" i="1"/>
  <c r="AA954" i="1"/>
  <c r="AA821" i="1"/>
  <c r="Y178" i="1"/>
  <c r="AB1589" i="1"/>
  <c r="AC1589" i="1" s="1"/>
  <c r="AF1589" i="1" s="1"/>
  <c r="AA1736" i="1"/>
  <c r="AB1736" i="1" s="1"/>
  <c r="AC1736" i="1" s="1"/>
  <c r="AF1736" i="1" s="1"/>
  <c r="X1351" i="1"/>
  <c r="Y1351" i="1" s="1"/>
  <c r="V1397" i="1"/>
  <c r="X32" i="1"/>
  <c r="AA675" i="1"/>
  <c r="AA1580" i="1"/>
  <c r="AB1580" i="1" s="1"/>
  <c r="AC1580" i="1" s="1"/>
  <c r="AD1580" i="1" s="1"/>
  <c r="AE1580" i="1" s="1"/>
  <c r="AG1580" i="1" s="1"/>
  <c r="V1717" i="1"/>
  <c r="Y1141" i="1"/>
  <c r="Y1731" i="1"/>
  <c r="AB1731" i="1" s="1"/>
  <c r="AC1731" i="1" s="1"/>
  <c r="AD1731" i="1" s="1"/>
  <c r="AE1731" i="1" s="1"/>
  <c r="AG1731" i="1" s="1"/>
  <c r="AA1125" i="1"/>
  <c r="AB1125" i="1" s="1"/>
  <c r="AC1125" i="1" s="1"/>
  <c r="AD1125" i="1" s="1"/>
  <c r="X433" i="1"/>
  <c r="Y433" i="1" s="1"/>
  <c r="AA1360" i="1"/>
  <c r="AA983" i="1"/>
  <c r="X512" i="1"/>
  <c r="Y512" i="1" s="1"/>
  <c r="V859" i="1"/>
  <c r="V1092" i="1"/>
  <c r="AA1148" i="1"/>
  <c r="AB1148" i="1" s="1"/>
  <c r="AC1148" i="1" s="1"/>
  <c r="AF1148" i="1" s="1"/>
  <c r="X390" i="1"/>
  <c r="Y390" i="1" s="1"/>
  <c r="X820" i="1"/>
  <c r="Y820" i="1" s="1"/>
  <c r="AA292" i="1"/>
  <c r="AA421" i="1"/>
  <c r="AA643" i="1"/>
  <c r="AA1229" i="1"/>
  <c r="AA93" i="1"/>
  <c r="AB1348" i="1"/>
  <c r="AC1348" i="1" s="1"/>
  <c r="AA459" i="1"/>
  <c r="AA496" i="1"/>
  <c r="AA851" i="1"/>
  <c r="X1205" i="1"/>
  <c r="Y1205" i="1" s="1"/>
  <c r="AB1205" i="1" s="1"/>
  <c r="AC1205" i="1" s="1"/>
  <c r="Y1064" i="1"/>
  <c r="AB1064" i="1" s="1"/>
  <c r="AC1064" i="1" s="1"/>
  <c r="V1046" i="1"/>
  <c r="V676" i="1"/>
  <c r="AA792" i="1"/>
  <c r="AB792" i="1" s="1"/>
  <c r="AC792" i="1" s="1"/>
  <c r="AD792" i="1" s="1"/>
  <c r="AA337" i="1"/>
  <c r="Y1578" i="1"/>
  <c r="AB1578" i="1" s="1"/>
  <c r="AC1578" i="1" s="1"/>
  <c r="AA539" i="1"/>
  <c r="X1615" i="1"/>
  <c r="Y1615" i="1" s="1"/>
  <c r="AB1615" i="1" s="1"/>
  <c r="AC1615" i="1" s="1"/>
  <c r="AD1615" i="1" s="1"/>
  <c r="AE1615" i="1" s="1"/>
  <c r="AG1615" i="1" s="1"/>
  <c r="AA487" i="1"/>
  <c r="AA451" i="1"/>
  <c r="Y113" i="1"/>
  <c r="Y239" i="1"/>
  <c r="AA353" i="1"/>
  <c r="AA1163" i="1"/>
  <c r="AA980" i="1"/>
  <c r="AA1158" i="1"/>
  <c r="AA301" i="1"/>
  <c r="AA100" i="1"/>
  <c r="Y1233" i="1"/>
  <c r="AB1233" i="1" s="1"/>
  <c r="AC1233" i="1" s="1"/>
  <c r="AF1233" i="1" s="1"/>
  <c r="V750" i="1"/>
  <c r="X1315" i="1"/>
  <c r="AA1466" i="1"/>
  <c r="AA897" i="1"/>
  <c r="AA500" i="1"/>
  <c r="AA390" i="1"/>
  <c r="Y968" i="1"/>
  <c r="AB968" i="1" s="1"/>
  <c r="AC968" i="1" s="1"/>
  <c r="AD968" i="1" s="1"/>
  <c r="X1148" i="1"/>
  <c r="AA507" i="1"/>
  <c r="AB85" i="1"/>
  <c r="AC85" i="1" s="1"/>
  <c r="Y795" i="1"/>
  <c r="Y813" i="1"/>
  <c r="AB813" i="1" s="1"/>
  <c r="AC813" i="1" s="1"/>
  <c r="AF813" i="1" s="1"/>
  <c r="AA1209" i="1"/>
  <c r="Y365" i="1"/>
  <c r="AA1017" i="1"/>
  <c r="AA1192" i="1"/>
  <c r="AA1170" i="1"/>
  <c r="AA1009" i="1"/>
  <c r="Y76" i="1"/>
  <c r="AA1198" i="1"/>
  <c r="AA889" i="1"/>
  <c r="Y477" i="1"/>
  <c r="AA893" i="1"/>
  <c r="AA1467" i="1"/>
  <c r="AB1467" i="1" s="1"/>
  <c r="AC1467" i="1" s="1"/>
  <c r="AD1467" i="1" s="1"/>
  <c r="AA1155" i="1"/>
  <c r="AA1703" i="1"/>
  <c r="AB1703" i="1" s="1"/>
  <c r="AC1703" i="1" s="1"/>
  <c r="X1017" i="1"/>
  <c r="Y1017" i="1" s="1"/>
  <c r="V1403" i="1"/>
  <c r="Y1558" i="1"/>
  <c r="AB1558" i="1" s="1"/>
  <c r="AC1558" i="1" s="1"/>
  <c r="V1247" i="1"/>
  <c r="V784" i="1"/>
  <c r="X791" i="1"/>
  <c r="Y791" i="1" s="1"/>
  <c r="V239" i="1"/>
  <c r="V289" i="1"/>
  <c r="AA1242" i="1"/>
  <c r="AB1242" i="1" s="1"/>
  <c r="AC1242" i="1" s="1"/>
  <c r="Y690" i="1"/>
  <c r="Y676" i="1"/>
  <c r="AA127" i="1"/>
  <c r="AA68" i="1"/>
  <c r="AA1071" i="1"/>
  <c r="AA911" i="1"/>
  <c r="AA328" i="1"/>
  <c r="AA975" i="1"/>
  <c r="AA1055" i="1"/>
  <c r="AA682" i="1"/>
  <c r="V1700" i="1"/>
  <c r="X951" i="1"/>
  <c r="Y951" i="1" s="1"/>
  <c r="AB951" i="1" s="1"/>
  <c r="AC951" i="1" s="1"/>
  <c r="X1660" i="1"/>
  <c r="Y1046" i="1"/>
  <c r="AB1046" i="1" s="1"/>
  <c r="AC1046" i="1" s="1"/>
  <c r="AA82" i="1"/>
  <c r="Y1403" i="1"/>
  <c r="AB1403" i="1" s="1"/>
  <c r="AC1403" i="1" s="1"/>
  <c r="AA1152" i="1"/>
  <c r="AA428" i="1"/>
  <c r="V1547" i="1"/>
  <c r="Y1025" i="1"/>
  <c r="AB1025" i="1" s="1"/>
  <c r="AC1025" i="1" s="1"/>
  <c r="AF1025" i="1" s="1"/>
  <c r="V1025" i="1"/>
  <c r="Y1329" i="1"/>
  <c r="AB1329" i="1" s="1"/>
  <c r="AC1329" i="1" s="1"/>
  <c r="AF1329" i="1" s="1"/>
  <c r="Y191" i="1"/>
  <c r="V601" i="1"/>
  <c r="AA890" i="1"/>
  <c r="AB756" i="1"/>
  <c r="AC756" i="1" s="1"/>
  <c r="AF756" i="1" s="1"/>
  <c r="Y1314" i="1"/>
  <c r="AB1314" i="1" s="1"/>
  <c r="AC1314" i="1" s="1"/>
  <c r="AF1314" i="1" s="1"/>
  <c r="AA1112" i="1"/>
  <c r="AA1199" i="1"/>
  <c r="X1191" i="1"/>
  <c r="Y1191" i="1" s="1"/>
  <c r="AB1191" i="1" s="1"/>
  <c r="AC1191" i="1" s="1"/>
  <c r="AD1191" i="1" s="1"/>
  <c r="V1298" i="1"/>
  <c r="V889" i="1"/>
  <c r="V76" i="1"/>
  <c r="V613" i="1"/>
  <c r="X901" i="1"/>
  <c r="X1184" i="1"/>
  <c r="Y1184" i="1" s="1"/>
  <c r="AB1184" i="1" s="1"/>
  <c r="AC1184" i="1" s="1"/>
  <c r="AD1184" i="1" s="1"/>
  <c r="AA190" i="1"/>
  <c r="AA744" i="1"/>
  <c r="Y539" i="1"/>
  <c r="V656" i="1"/>
  <c r="AA332" i="1"/>
  <c r="AA57" i="1"/>
  <c r="AA852" i="1"/>
  <c r="AA207" i="1"/>
  <c r="AA835" i="1"/>
  <c r="AA906" i="1"/>
  <c r="AA142" i="1"/>
  <c r="AA455" i="1"/>
  <c r="AA783" i="1"/>
  <c r="AA1176" i="1"/>
  <c r="AA1056" i="1"/>
  <c r="AA4" i="1"/>
  <c r="X504" i="1"/>
  <c r="Y504" i="1" s="1"/>
  <c r="AA376" i="1"/>
  <c r="AB376" i="1" s="1"/>
  <c r="AC376" i="1" s="1"/>
  <c r="AD376" i="1" s="1"/>
  <c r="AE376" i="1" s="1"/>
  <c r="AG376" i="1" s="1"/>
  <c r="V207" i="1"/>
  <c r="Y919" i="1"/>
  <c r="AB919" i="1" s="1"/>
  <c r="AC919" i="1" s="1"/>
  <c r="AF919" i="1" s="1"/>
  <c r="Y1631" i="1"/>
  <c r="AB1631" i="1" s="1"/>
  <c r="AC1631" i="1" s="1"/>
  <c r="AD1631" i="1" s="1"/>
  <c r="AE1631" i="1" s="1"/>
  <c r="AG1631" i="1" s="1"/>
  <c r="V1545" i="1"/>
  <c r="X1291" i="1"/>
  <c r="V1111" i="1"/>
  <c r="AA545" i="1"/>
  <c r="Y603" i="1"/>
  <c r="X1644" i="1"/>
  <c r="AB1043" i="1"/>
  <c r="AC1043" i="1" s="1"/>
  <c r="AD1043" i="1" s="1"/>
  <c r="Y1476" i="1"/>
  <c r="Y142" i="1"/>
  <c r="AA1366" i="1"/>
  <c r="AA215" i="1"/>
  <c r="AA695" i="1"/>
  <c r="AA613" i="1"/>
  <c r="AA1690" i="1"/>
  <c r="V1690" i="1"/>
  <c r="AA994" i="1"/>
  <c r="Y260" i="1"/>
  <c r="X190" i="1"/>
  <c r="Y190" i="1" s="1"/>
  <c r="AA311" i="1"/>
  <c r="AA117" i="1"/>
  <c r="AA1401" i="1"/>
  <c r="AB1401" i="1" s="1"/>
  <c r="AC1401" i="1" s="1"/>
  <c r="AD1401" i="1" s="1"/>
  <c r="AA1107" i="1"/>
  <c r="AA1476" i="1"/>
  <c r="AA1568" i="1"/>
  <c r="AA465" i="1"/>
  <c r="Y1337" i="1"/>
  <c r="AA342" i="1"/>
  <c r="AA888" i="1"/>
  <c r="V811" i="1"/>
  <c r="V972" i="1"/>
  <c r="X972" i="1"/>
  <c r="Y972" i="1" s="1"/>
  <c r="AB972" i="1" s="1"/>
  <c r="AC972" i="1" s="1"/>
  <c r="AF972" i="1" s="1"/>
  <c r="X1271" i="1"/>
  <c r="V1271" i="1"/>
  <c r="AA1095" i="1"/>
  <c r="Y1095" i="1"/>
  <c r="X1008" i="1"/>
  <c r="Y1008" i="1" s="1"/>
  <c r="AB1008" i="1" s="1"/>
  <c r="AC1008" i="1" s="1"/>
  <c r="V1008" i="1"/>
  <c r="X683" i="1"/>
  <c r="Y683" i="1" s="1"/>
  <c r="V683" i="1"/>
  <c r="AA1761" i="1"/>
  <c r="Y1761" i="1"/>
  <c r="X1484" i="1"/>
  <c r="V1484" i="1"/>
  <c r="X839" i="1"/>
  <c r="Y839" i="1" s="1"/>
  <c r="V839" i="1"/>
  <c r="AB1133" i="1"/>
  <c r="AC1133" i="1" s="1"/>
  <c r="AA1275" i="1"/>
  <c r="Y1275" i="1"/>
  <c r="X590" i="1"/>
  <c r="V590" i="1"/>
  <c r="AA582" i="1"/>
  <c r="Y582" i="1"/>
  <c r="AA380" i="1"/>
  <c r="V1156" i="1"/>
  <c r="X1156" i="1"/>
  <c r="Y1156" i="1" s="1"/>
  <c r="X1071" i="1"/>
  <c r="Y1071" i="1" s="1"/>
  <c r="V1071" i="1"/>
  <c r="X316" i="1"/>
  <c r="Y316" i="1" s="1"/>
  <c r="V316" i="1"/>
  <c r="Y1372" i="1"/>
  <c r="AA1372" i="1"/>
  <c r="Y1610" i="1"/>
  <c r="AA1610" i="1"/>
  <c r="AA777" i="1"/>
  <c r="AA70" i="1"/>
  <c r="X897" i="1"/>
  <c r="Y897" i="1" s="1"/>
  <c r="V897" i="1"/>
  <c r="AA260" i="1"/>
  <c r="V26" i="1"/>
  <c r="X26" i="1"/>
  <c r="V91" i="1"/>
  <c r="X91" i="1"/>
  <c r="Y91" i="1" s="1"/>
  <c r="Y995" i="1"/>
  <c r="AA995" i="1"/>
  <c r="X1742" i="1"/>
  <c r="V1742" i="1"/>
  <c r="V1307" i="1"/>
  <c r="X1307" i="1"/>
  <c r="X315" i="1"/>
  <c r="Y315" i="1" s="1"/>
  <c r="AB315" i="1" s="1"/>
  <c r="AC315" i="1" s="1"/>
  <c r="AD315" i="1" s="1"/>
  <c r="V315" i="1"/>
  <c r="V1622" i="1"/>
  <c r="X1622" i="1"/>
  <c r="AA1051" i="1"/>
  <c r="V1385" i="1"/>
  <c r="X1385" i="1"/>
  <c r="Y1111" i="1"/>
  <c r="Y866" i="1"/>
  <c r="AB866" i="1" s="1"/>
  <c r="AC866" i="1" s="1"/>
  <c r="AF866" i="1" s="1"/>
  <c r="V1024" i="1"/>
  <c r="X1024" i="1"/>
  <c r="Y1024" i="1" s="1"/>
  <c r="X556" i="1"/>
  <c r="Y556" i="1" s="1"/>
  <c r="V556" i="1"/>
  <c r="V873" i="1"/>
  <c r="X873" i="1"/>
  <c r="Y873" i="1" s="1"/>
  <c r="AB873" i="1" s="1"/>
  <c r="AC873" i="1" s="1"/>
  <c r="V881" i="1"/>
  <c r="X881" i="1"/>
  <c r="Y881" i="1" s="1"/>
  <c r="AB881" i="1" s="1"/>
  <c r="AC881" i="1" s="1"/>
  <c r="AD881" i="1" s="1"/>
  <c r="V882" i="1"/>
  <c r="X882" i="1"/>
  <c r="AA1468" i="1"/>
  <c r="Y1468" i="1"/>
  <c r="X162" i="1"/>
  <c r="Y162" i="1" s="1"/>
  <c r="V162" i="1"/>
  <c r="AA1024" i="1"/>
  <c r="AA603" i="1"/>
  <c r="V1163" i="1"/>
  <c r="X1163" i="1"/>
  <c r="Y1163" i="1" s="1"/>
  <c r="X905" i="1"/>
  <c r="Y905" i="1" s="1"/>
  <c r="V905" i="1"/>
  <c r="V1169" i="1"/>
  <c r="X1169" i="1"/>
  <c r="Y1169" i="1" s="1"/>
  <c r="AB1169" i="1" s="1"/>
  <c r="AC1169" i="1" s="1"/>
  <c r="X301" i="1"/>
  <c r="Y301" i="1" s="1"/>
  <c r="V301" i="1"/>
  <c r="Y1345" i="1"/>
  <c r="AA1345" i="1"/>
  <c r="V1009" i="1"/>
  <c r="AA870" i="1"/>
  <c r="V511" i="1"/>
  <c r="X511" i="1"/>
  <c r="Y511" i="1" s="1"/>
  <c r="V1425" i="1"/>
  <c r="X1425" i="1"/>
  <c r="Y1425" i="1" s="1"/>
  <c r="X1158" i="1"/>
  <c r="Y1158" i="1" s="1"/>
  <c r="V1158" i="1"/>
  <c r="V1371" i="1"/>
  <c r="X1371" i="1"/>
  <c r="Y1371" i="1" s="1"/>
  <c r="V941" i="1"/>
  <c r="X941" i="1"/>
  <c r="Y941" i="1" s="1"/>
  <c r="AB941" i="1" s="1"/>
  <c r="AC941" i="1" s="1"/>
  <c r="V1249" i="1"/>
  <c r="X1249" i="1"/>
  <c r="V1035" i="1"/>
  <c r="X1035" i="1"/>
  <c r="AA1524" i="1"/>
  <c r="Y1524" i="1"/>
  <c r="V912" i="1"/>
  <c r="X912" i="1"/>
  <c r="Y912" i="1" s="1"/>
  <c r="AA905" i="1"/>
  <c r="AA1276" i="1"/>
  <c r="AB1276" i="1" s="1"/>
  <c r="AC1276" i="1" s="1"/>
  <c r="AD1276" i="1" s="1"/>
  <c r="V707" i="1"/>
  <c r="X707" i="1"/>
  <c r="Y707" i="1" s="1"/>
  <c r="AB707" i="1" s="1"/>
  <c r="AC707" i="1" s="1"/>
  <c r="AF707" i="1" s="1"/>
  <c r="X923" i="1"/>
  <c r="Y923" i="1" s="1"/>
  <c r="V923" i="1"/>
  <c r="AA839" i="1"/>
  <c r="Y1331" i="1"/>
  <c r="AA1331" i="1"/>
  <c r="AA1111" i="1"/>
  <c r="Y804" i="1"/>
  <c r="AA804" i="1"/>
  <c r="V1031" i="1"/>
  <c r="AA715" i="1"/>
  <c r="X1513" i="1"/>
  <c r="V260" i="1"/>
  <c r="Y1742" i="1"/>
  <c r="AB1742" i="1" s="1"/>
  <c r="AC1742" i="1" s="1"/>
  <c r="AA1571" i="1"/>
  <c r="AB1571" i="1" s="1"/>
  <c r="AC1571" i="1" s="1"/>
  <c r="V1242" i="1"/>
  <c r="AA1162" i="1"/>
  <c r="AB1162" i="1" s="1"/>
  <c r="AC1162" i="1" s="1"/>
  <c r="V525" i="1"/>
  <c r="V1085" i="1"/>
  <c r="AA1720" i="1"/>
  <c r="Y1720" i="1"/>
  <c r="X719" i="1"/>
  <c r="Y719" i="1" s="1"/>
  <c r="V719" i="1"/>
  <c r="AA696" i="1"/>
  <c r="X922" i="1"/>
  <c r="Y922" i="1" s="1"/>
  <c r="V922" i="1"/>
  <c r="V1761" i="1"/>
  <c r="X1761" i="1"/>
  <c r="V724" i="1"/>
  <c r="X724" i="1"/>
  <c r="Y724" i="1" s="1"/>
  <c r="Y1714" i="1"/>
  <c r="AA1714" i="1"/>
  <c r="AA912" i="1"/>
  <c r="V187" i="1"/>
  <c r="X187" i="1"/>
  <c r="Y187" i="1" s="1"/>
  <c r="AB187" i="1" s="1"/>
  <c r="AC187" i="1" s="1"/>
  <c r="AA1019" i="1"/>
  <c r="Y1019" i="1"/>
  <c r="AA1483" i="1"/>
  <c r="X1170" i="1"/>
  <c r="Y1170" i="1" s="1"/>
  <c r="V1170" i="1"/>
  <c r="V703" i="1"/>
  <c r="X703" i="1"/>
  <c r="V866" i="1"/>
  <c r="X866" i="1"/>
  <c r="AA506" i="1"/>
  <c r="AA1156" i="1"/>
  <c r="V500" i="1"/>
  <c r="X500" i="1"/>
  <c r="Y500" i="1" s="1"/>
  <c r="AA1612" i="1"/>
  <c r="AA593" i="1"/>
  <c r="Y593" i="1"/>
  <c r="AA1397" i="1"/>
  <c r="Y1397" i="1"/>
  <c r="V1032" i="1"/>
  <c r="X1032" i="1"/>
  <c r="Y889" i="1"/>
  <c r="Y1051" i="1"/>
  <c r="V99" i="1"/>
  <c r="V1151" i="1"/>
  <c r="V1578" i="1"/>
  <c r="X373" i="1"/>
  <c r="Y373" i="1" s="1"/>
  <c r="AB373" i="1" s="1"/>
  <c r="AC373" i="1" s="1"/>
  <c r="AD373" i="1" s="1"/>
  <c r="V373" i="1"/>
  <c r="X712" i="1"/>
  <c r="Y712" i="1" s="1"/>
  <c r="V712" i="1"/>
  <c r="Y983" i="1"/>
  <c r="AA480" i="1"/>
  <c r="Y77" i="1"/>
  <c r="Y1070" i="1"/>
  <c r="X771" i="1"/>
  <c r="Y771" i="1" s="1"/>
  <c r="AB771" i="1" s="1"/>
  <c r="AC771" i="1" s="1"/>
  <c r="AD771" i="1" s="1"/>
  <c r="V771" i="1"/>
  <c r="AA660" i="1"/>
  <c r="Y660" i="1"/>
  <c r="V721" i="1"/>
  <c r="X721" i="1"/>
  <c r="X836" i="1"/>
  <c r="Y836" i="1" s="1"/>
  <c r="V131" i="1"/>
  <c r="AA993" i="1"/>
  <c r="Y993" i="1"/>
  <c r="AA1220" i="1"/>
  <c r="AA257" i="1"/>
  <c r="X550" i="1"/>
  <c r="Y550" i="1" s="1"/>
  <c r="Y1032" i="1"/>
  <c r="AB1032" i="1" s="1"/>
  <c r="AC1032" i="1" s="1"/>
  <c r="AF1032" i="1" s="1"/>
  <c r="Y750" i="1"/>
  <c r="AA750" i="1"/>
  <c r="AA680" i="1"/>
  <c r="AB680" i="1" s="1"/>
  <c r="AC680" i="1" s="1"/>
  <c r="AD680" i="1" s="1"/>
  <c r="AE680" i="1" s="1"/>
  <c r="AG680" i="1" s="1"/>
  <c r="AA679" i="1"/>
  <c r="AA297" i="1"/>
  <c r="Y428" i="1"/>
  <c r="V867" i="1"/>
  <c r="V1396" i="1"/>
  <c r="X933" i="1"/>
  <c r="Y933" i="1" s="1"/>
  <c r="AA1118" i="1"/>
  <c r="AA233" i="1"/>
  <c r="AA568" i="1"/>
  <c r="AB267" i="1"/>
  <c r="AC267" i="1" s="1"/>
  <c r="AD267" i="1" s="1"/>
  <c r="AA691" i="1"/>
  <c r="V739" i="1"/>
  <c r="AA1217" i="1"/>
  <c r="AA1425" i="1"/>
  <c r="AA595" i="1"/>
  <c r="AA454" i="1"/>
  <c r="V1207" i="1"/>
  <c r="Y1040" i="1"/>
  <c r="AB1040" i="1" s="1"/>
  <c r="AC1040" i="1" s="1"/>
  <c r="Y696" i="1"/>
  <c r="X693" i="1"/>
  <c r="Y693" i="1" s="1"/>
  <c r="AB693" i="1" s="1"/>
  <c r="AC693" i="1" s="1"/>
  <c r="AF693" i="1" s="1"/>
  <c r="V693" i="1"/>
  <c r="X573" i="1"/>
  <c r="Y573" i="1" s="1"/>
  <c r="AB573" i="1" s="1"/>
  <c r="AC573" i="1" s="1"/>
  <c r="AD573" i="1" s="1"/>
  <c r="V573" i="1"/>
  <c r="Y1563" i="1"/>
  <c r="AB1563" i="1" s="1"/>
  <c r="AC1563" i="1" s="1"/>
  <c r="AF1563" i="1" s="1"/>
  <c r="X1434" i="1"/>
  <c r="Y1434" i="1" s="1"/>
  <c r="AA865" i="1"/>
  <c r="V1401" i="1"/>
  <c r="V1051" i="1"/>
  <c r="X950" i="1"/>
  <c r="Y950" i="1" s="1"/>
  <c r="X1124" i="1"/>
  <c r="Y1124" i="1" s="1"/>
  <c r="V1124" i="1"/>
  <c r="Y51" i="1"/>
  <c r="AA1190" i="1"/>
  <c r="AA258" i="1"/>
  <c r="AA1688" i="1"/>
  <c r="Y1688" i="1"/>
  <c r="AA1141" i="1"/>
  <c r="AA1662" i="1"/>
  <c r="AA1530" i="1"/>
  <c r="AB1530" i="1" s="1"/>
  <c r="AC1530" i="1" s="1"/>
  <c r="AD1530" i="1" s="1"/>
  <c r="AE1530" i="1" s="1"/>
  <c r="AG1530" i="1" s="1"/>
  <c r="AA400" i="1"/>
  <c r="AA181" i="1"/>
  <c r="AA728" i="1"/>
  <c r="X918" i="1"/>
  <c r="Y1192" i="1"/>
  <c r="X1443" i="1"/>
  <c r="Y1443" i="1" s="1"/>
  <c r="AB1443" i="1" s="1"/>
  <c r="AC1443" i="1" s="1"/>
  <c r="X423" i="1"/>
  <c r="Y423" i="1" s="1"/>
  <c r="Y1215" i="1"/>
  <c r="Y638" i="1"/>
  <c r="V728" i="1"/>
  <c r="AA1351" i="1"/>
  <c r="X645" i="1"/>
  <c r="Y645" i="1" s="1"/>
  <c r="AB645" i="1" s="1"/>
  <c r="AC645" i="1" s="1"/>
  <c r="AD645" i="1" s="1"/>
  <c r="AE645" i="1" s="1"/>
  <c r="AG645" i="1" s="1"/>
  <c r="AB1258" i="1"/>
  <c r="AC1258" i="1" s="1"/>
  <c r="AD1258" i="1" s="1"/>
  <c r="AA412" i="1"/>
  <c r="AA1559" i="1"/>
  <c r="AA628" i="1"/>
  <c r="AA150" i="1"/>
  <c r="AB801" i="1"/>
  <c r="AC801" i="1" s="1"/>
  <c r="AD801" i="1" s="1"/>
  <c r="AA1132" i="1"/>
  <c r="AA1338" i="1"/>
  <c r="Y293" i="1"/>
  <c r="AB293" i="1" s="1"/>
  <c r="AC293" i="1" s="1"/>
  <c r="AD293" i="1" s="1"/>
  <c r="AA958" i="1"/>
  <c r="AA474" i="1"/>
  <c r="Y32" i="1"/>
  <c r="AB32" i="1" s="1"/>
  <c r="AC32" i="1" s="1"/>
  <c r="AD32" i="1" s="1"/>
  <c r="AA555" i="1"/>
  <c r="AA883" i="1"/>
  <c r="AA76" i="1"/>
  <c r="AA988" i="1"/>
  <c r="Y1199" i="1"/>
  <c r="AA415" i="1"/>
  <c r="AB1260" i="1"/>
  <c r="AC1260" i="1" s="1"/>
  <c r="AD1260" i="1" s="1"/>
  <c r="AA1496" i="1"/>
  <c r="AA316" i="1"/>
  <c r="Y1176" i="1"/>
  <c r="AA1471" i="1"/>
  <c r="AB1471" i="1" s="1"/>
  <c r="AC1471" i="1" s="1"/>
  <c r="AA683" i="1"/>
  <c r="AA477" i="1"/>
  <c r="Y988" i="1"/>
  <c r="AA1456" i="1"/>
  <c r="Y200" i="1"/>
  <c r="Y1035" i="1"/>
  <c r="AA1035" i="1"/>
  <c r="V1185" i="1"/>
  <c r="X1185" i="1"/>
  <c r="Y1185" i="1" s="1"/>
  <c r="AB1185" i="1" s="1"/>
  <c r="AC1185" i="1" s="1"/>
  <c r="AD1185" i="1" s="1"/>
  <c r="X68" i="1"/>
  <c r="Y68" i="1" s="1"/>
  <c r="V68" i="1"/>
  <c r="V691" i="1"/>
  <c r="X691" i="1"/>
  <c r="Y691" i="1" s="1"/>
  <c r="X911" i="1"/>
  <c r="Y911" i="1" s="1"/>
  <c r="V911" i="1"/>
  <c r="AA1246" i="1"/>
  <c r="Y1246" i="1"/>
  <c r="AA208" i="1"/>
  <c r="V764" i="1"/>
  <c r="X764" i="1"/>
  <c r="V927" i="1"/>
  <c r="X927" i="1"/>
  <c r="Y927" i="1" s="1"/>
  <c r="V1419" i="1"/>
  <c r="X1419" i="1"/>
  <c r="V813" i="1"/>
  <c r="X813" i="1"/>
  <c r="V454" i="1"/>
  <c r="X454" i="1"/>
  <c r="Y454" i="1" s="1"/>
  <c r="V909" i="1"/>
  <c r="X909" i="1"/>
  <c r="Y909" i="1" s="1"/>
  <c r="AB909" i="1" s="1"/>
  <c r="AC909" i="1" s="1"/>
  <c r="AD909" i="1" s="1"/>
  <c r="X584" i="1"/>
  <c r="V584" i="1"/>
  <c r="X1402" i="1"/>
  <c r="Y1402" i="1" s="1"/>
  <c r="AB1402" i="1" s="1"/>
  <c r="AC1402" i="1" s="1"/>
  <c r="AD1402" i="1" s="1"/>
  <c r="V1402" i="1"/>
  <c r="AA970" i="1"/>
  <c r="X1451" i="1"/>
  <c r="Y1451" i="1" s="1"/>
  <c r="AB1451" i="1" s="1"/>
  <c r="AC1451" i="1" s="1"/>
  <c r="AD1451" i="1" s="1"/>
  <c r="V1451" i="1"/>
  <c r="Y743" i="1"/>
  <c r="AC1031" i="1"/>
  <c r="AF1031" i="1" s="1"/>
  <c r="AA1704" i="1"/>
  <c r="Y1100" i="1"/>
  <c r="X1645" i="1"/>
  <c r="V1645" i="1"/>
  <c r="V687" i="1"/>
  <c r="X687" i="1"/>
  <c r="Y687" i="1" s="1"/>
  <c r="AA1567" i="1"/>
  <c r="Y1567" i="1"/>
  <c r="AA1283" i="1"/>
  <c r="Y1283" i="1"/>
  <c r="AA584" i="1"/>
  <c r="Y584" i="1"/>
  <c r="AA1365" i="1"/>
  <c r="AA1124" i="1"/>
  <c r="V217" i="1"/>
  <c r="X217" i="1"/>
  <c r="Y217" i="1" s="1"/>
  <c r="AB217" i="1" s="1"/>
  <c r="AC217" i="1" s="1"/>
  <c r="AD217" i="1" s="1"/>
  <c r="V1769" i="1"/>
  <c r="X1769" i="1"/>
  <c r="V824" i="1"/>
  <c r="X824" i="1"/>
  <c r="Y824" i="1" s="1"/>
  <c r="AB824" i="1" s="1"/>
  <c r="AC824" i="1" s="1"/>
  <c r="AD824" i="1" s="1"/>
  <c r="V1365" i="1"/>
  <c r="X1365" i="1"/>
  <c r="Y1365" i="1" s="1"/>
  <c r="X208" i="1"/>
  <c r="Y208" i="1" s="1"/>
  <c r="V208" i="1"/>
  <c r="X1177" i="1"/>
  <c r="Y1177" i="1" s="1"/>
  <c r="V1177" i="1"/>
  <c r="V906" i="1"/>
  <c r="X906" i="1"/>
  <c r="Y906" i="1" s="1"/>
  <c r="X1020" i="1"/>
  <c r="V1020" i="1"/>
  <c r="X69" i="1"/>
  <c r="Y69" i="1" s="1"/>
  <c r="V69" i="1"/>
  <c r="Y1307" i="1"/>
  <c r="AA1307" i="1"/>
  <c r="AA1020" i="1"/>
  <c r="Y1020" i="1"/>
  <c r="X774" i="1"/>
  <c r="V774" i="1"/>
  <c r="X400" i="1"/>
  <c r="Y400" i="1" s="1"/>
  <c r="V400" i="1"/>
  <c r="AA950" i="1"/>
  <c r="AA736" i="1"/>
  <c r="X679" i="1"/>
  <c r="Y679" i="1" s="1"/>
  <c r="V679" i="1"/>
  <c r="V694" i="1"/>
  <c r="X694" i="1"/>
  <c r="Y694" i="1" s="1"/>
  <c r="Y774" i="1"/>
  <c r="AA774" i="1"/>
  <c r="X340" i="1"/>
  <c r="Y340" i="1" s="1"/>
  <c r="AB340" i="1" s="1"/>
  <c r="AC340" i="1" s="1"/>
  <c r="V340" i="1"/>
  <c r="V536" i="1"/>
  <c r="X536" i="1"/>
  <c r="Y536" i="1" s="1"/>
  <c r="AA1298" i="1"/>
  <c r="Y1298" i="1"/>
  <c r="V546" i="1"/>
  <c r="X546" i="1"/>
  <c r="Y546" i="1" s="1"/>
  <c r="AB546" i="1" s="1"/>
  <c r="AC546" i="1" s="1"/>
  <c r="V595" i="1"/>
  <c r="X595" i="1"/>
  <c r="Y595" i="1" s="1"/>
  <c r="AA401" i="1"/>
  <c r="Y401" i="1"/>
  <c r="Y721" i="1"/>
  <c r="AB721" i="1" s="1"/>
  <c r="AC721" i="1" s="1"/>
  <c r="AA1645" i="1"/>
  <c r="Y1645" i="1"/>
  <c r="V555" i="1"/>
  <c r="X555" i="1"/>
  <c r="Y555" i="1" s="1"/>
  <c r="AB812" i="1"/>
  <c r="AC812" i="1" s="1"/>
  <c r="AF812" i="1" s="1"/>
  <c r="AA1473" i="1"/>
  <c r="AB1213" i="1"/>
  <c r="AC1213" i="1" s="1"/>
  <c r="AF1213" i="1" s="1"/>
  <c r="AA1264" i="1"/>
  <c r="AB1264" i="1" s="1"/>
  <c r="AC1264" i="1" s="1"/>
  <c r="AD1264" i="1" s="1"/>
  <c r="AA740" i="1"/>
  <c r="AB740" i="1" s="1"/>
  <c r="AC740" i="1" s="1"/>
  <c r="Y752" i="1"/>
  <c r="AB752" i="1" s="1"/>
  <c r="AC752" i="1" s="1"/>
  <c r="AF752" i="1" s="1"/>
  <c r="Y474" i="1"/>
  <c r="V995" i="1"/>
  <c r="V342" i="1"/>
  <c r="X1746" i="1"/>
  <c r="AB1247" i="1"/>
  <c r="AC1247" i="1" s="1"/>
  <c r="AF1247" i="1" s="1"/>
  <c r="V1337" i="1"/>
  <c r="X1524" i="1"/>
  <c r="AA1188" i="1"/>
  <c r="AA418" i="1"/>
  <c r="Y727" i="1"/>
  <c r="AA987" i="1"/>
  <c r="AA1495" i="1"/>
  <c r="AA72" i="1"/>
  <c r="AA926" i="1"/>
  <c r="Y926" i="1"/>
  <c r="X1330" i="1"/>
  <c r="AA120" i="1"/>
  <c r="AA1724" i="1"/>
  <c r="AA1080" i="1"/>
  <c r="V1107" i="1"/>
  <c r="Y843" i="1"/>
  <c r="V214" i="1"/>
  <c r="V1345" i="1"/>
  <c r="V398" i="1"/>
  <c r="AA654" i="1"/>
  <c r="V293" i="1"/>
  <c r="X1256" i="1"/>
  <c r="AA1067" i="1"/>
  <c r="AA1632" i="1"/>
  <c r="Y867" i="1"/>
  <c r="Y1293" i="1"/>
  <c r="AB1293" i="1" s="1"/>
  <c r="AC1293" i="1" s="1"/>
  <c r="AA346" i="1"/>
  <c r="X121" i="1"/>
  <c r="Y121" i="1" s="1"/>
  <c r="AB121" i="1" s="1"/>
  <c r="AC121" i="1" s="1"/>
  <c r="AD121" i="1" s="1"/>
  <c r="AE121" i="1" s="1"/>
  <c r="AG121" i="1" s="1"/>
  <c r="Y1644" i="1"/>
  <c r="AB1644" i="1" s="1"/>
  <c r="AC1644" i="1" s="1"/>
  <c r="AF1644" i="1" s="1"/>
  <c r="X1276" i="1"/>
  <c r="AA831" i="1"/>
  <c r="X1079" i="1"/>
  <c r="Y1079" i="1" s="1"/>
  <c r="AB1079" i="1" s="1"/>
  <c r="AC1079" i="1" s="1"/>
  <c r="AA1000" i="1"/>
  <c r="AB1000" i="1" s="1"/>
  <c r="AC1000" i="1" s="1"/>
  <c r="X1133" i="1"/>
  <c r="X1078" i="1"/>
  <c r="Y1078" i="1" s="1"/>
  <c r="X1503" i="1"/>
  <c r="Y1503" i="1" s="1"/>
  <c r="V743" i="1"/>
  <c r="X425" i="1"/>
  <c r="Y425" i="1" s="1"/>
  <c r="AB425" i="1" s="1"/>
  <c r="AC425" i="1" s="1"/>
  <c r="V1283" i="1"/>
  <c r="X1546" i="1"/>
  <c r="X898" i="1"/>
  <c r="Y722" i="1"/>
  <c r="Y858" i="1"/>
  <c r="X1598" i="1"/>
  <c r="AA719" i="1"/>
  <c r="X157" i="1"/>
  <c r="Y157" i="1" s="1"/>
  <c r="AA1108" i="1"/>
  <c r="Y1080" i="1"/>
  <c r="AA1337" i="1"/>
  <c r="AA1116" i="1"/>
  <c r="X1220" i="1"/>
  <c r="Y1220" i="1" s="1"/>
  <c r="X755" i="1"/>
  <c r="AA1356" i="1"/>
  <c r="X1457" i="1"/>
  <c r="Y1457" i="1" s="1"/>
  <c r="AB1457" i="1" s="1"/>
  <c r="AC1457" i="1" s="1"/>
  <c r="AD1457" i="1" s="1"/>
  <c r="Y1118" i="1"/>
  <c r="AB589" i="1"/>
  <c r="AC589" i="1" s="1"/>
  <c r="AF589" i="1" s="1"/>
  <c r="AA41" i="1"/>
  <c r="X854" i="1"/>
  <c r="Y854" i="1" s="1"/>
  <c r="AB854" i="1" s="1"/>
  <c r="AC854" i="1" s="1"/>
  <c r="Y970" i="1"/>
  <c r="AA441" i="1"/>
  <c r="V1100" i="1"/>
  <c r="X37" i="1"/>
  <c r="Y37" i="1" s="1"/>
  <c r="AB37" i="1" s="1"/>
  <c r="AC37" i="1" s="1"/>
  <c r="Y720" i="1"/>
  <c r="AA51" i="1"/>
  <c r="AA46" i="1"/>
  <c r="V435" i="1"/>
  <c r="Y1667" i="1"/>
  <c r="AB1667" i="1" s="1"/>
  <c r="AC1667" i="1" s="1"/>
  <c r="AA511" i="1"/>
  <c r="V1352" i="1"/>
  <c r="X844" i="1"/>
  <c r="Y844" i="1" s="1"/>
  <c r="AA1299" i="1"/>
  <c r="AB1299" i="1" s="1"/>
  <c r="AC1299" i="1" s="1"/>
  <c r="AF1299" i="1" s="1"/>
  <c r="X183" i="1"/>
  <c r="Y183" i="1" s="1"/>
  <c r="AB183" i="1" s="1"/>
  <c r="AC183" i="1" s="1"/>
  <c r="Y351" i="1"/>
  <c r="X1724" i="1"/>
  <c r="Y1724" i="1" s="1"/>
  <c r="Y1055" i="1"/>
  <c r="V1476" i="1"/>
  <c r="AA512" i="1"/>
  <c r="Y728" i="1"/>
  <c r="AA687" i="1"/>
  <c r="AA1508" i="1"/>
  <c r="Y480" i="1"/>
  <c r="Y1093" i="1"/>
  <c r="Y1536" i="1"/>
  <c r="AB1536" i="1" s="1"/>
  <c r="AC1536" i="1" s="1"/>
  <c r="AD1536" i="1" s="1"/>
  <c r="V1567" i="1"/>
  <c r="Y1271" i="1"/>
  <c r="AB1271" i="1" s="1"/>
  <c r="AC1271" i="1" s="1"/>
  <c r="X84" i="1"/>
  <c r="Y84" i="1" s="1"/>
  <c r="AA845" i="1"/>
  <c r="Y755" i="1"/>
  <c r="AB755" i="1" s="1"/>
  <c r="AC755" i="1" s="1"/>
  <c r="AF755" i="1" s="1"/>
  <c r="X1019" i="1"/>
  <c r="X1140" i="1"/>
  <c r="Y1140" i="1" s="1"/>
  <c r="AA241" i="1"/>
  <c r="AA908" i="1"/>
  <c r="AB908" i="1" s="1"/>
  <c r="AC908" i="1" s="1"/>
  <c r="AD908" i="1" s="1"/>
  <c r="Y852" i="1"/>
  <c r="AA1257" i="1"/>
  <c r="AB1257" i="1" s="1"/>
  <c r="AC1257" i="1" s="1"/>
  <c r="AD1257" i="1" s="1"/>
  <c r="X765" i="1"/>
  <c r="Y765" i="1" s="1"/>
  <c r="AB765" i="1" s="1"/>
  <c r="AC765" i="1" s="1"/>
  <c r="V372" i="1"/>
  <c r="X136" i="1"/>
  <c r="Y136" i="1" s="1"/>
  <c r="AB136" i="1" s="1"/>
  <c r="AC136" i="1" s="1"/>
  <c r="AD136" i="1" s="1"/>
  <c r="AE136" i="1" s="1"/>
  <c r="AG136" i="1" s="1"/>
  <c r="Y289" i="1"/>
  <c r="V51" i="1"/>
  <c r="V455" i="1"/>
  <c r="AA867" i="1"/>
  <c r="Y1092" i="1"/>
  <c r="AB1092" i="1" s="1"/>
  <c r="AC1092" i="1" s="1"/>
  <c r="AF1092" i="1" s="1"/>
  <c r="AA1353" i="1"/>
  <c r="AA1367" i="1"/>
  <c r="AA552" i="1"/>
  <c r="AA1419" i="1"/>
  <c r="AB1419" i="1" s="1"/>
  <c r="AC1419" i="1" s="1"/>
  <c r="AF1419" i="1" s="1"/>
  <c r="Y1396" i="1"/>
  <c r="AB1396" i="1" s="1"/>
  <c r="AC1396" i="1" s="1"/>
  <c r="AD1396" i="1" s="1"/>
  <c r="Y1116" i="1"/>
  <c r="Y601" i="1"/>
  <c r="AB601" i="1" s="1"/>
  <c r="AC601" i="1" s="1"/>
  <c r="AD601" i="1" s="1"/>
  <c r="Y131" i="1"/>
  <c r="AA1434" i="1"/>
  <c r="Y233" i="1"/>
  <c r="AA525" i="1"/>
  <c r="AA175" i="1"/>
  <c r="X175" i="1"/>
  <c r="Y175" i="1" s="1"/>
  <c r="X452" i="1"/>
  <c r="Y452" i="1" s="1"/>
  <c r="AB452" i="1" s="1"/>
  <c r="AC452" i="1" s="1"/>
  <c r="X993" i="1"/>
  <c r="V993" i="1"/>
  <c r="X1213" i="1"/>
  <c r="V1213" i="1"/>
  <c r="AB1665" i="1"/>
  <c r="AC1665" i="1" s="1"/>
  <c r="AD1665" i="1" s="1"/>
  <c r="X1400" i="1"/>
  <c r="Y1400" i="1" s="1"/>
  <c r="AB1400" i="1" s="1"/>
  <c r="AC1400" i="1" s="1"/>
  <c r="V1400" i="1"/>
  <c r="Y1669" i="1"/>
  <c r="AA1669" i="1"/>
  <c r="V1103" i="1"/>
  <c r="X1103" i="1"/>
  <c r="Y1103" i="1" s="1"/>
  <c r="V975" i="1"/>
  <c r="X975" i="1"/>
  <c r="Y975" i="1" s="1"/>
  <c r="X317" i="1"/>
  <c r="Y317" i="1" s="1"/>
  <c r="AB317" i="1" s="1"/>
  <c r="AC317" i="1" s="1"/>
  <c r="AD317" i="1" s="1"/>
  <c r="AE317" i="1" s="1"/>
  <c r="AG317" i="1" s="1"/>
  <c r="X758" i="1"/>
  <c r="Y758" i="1" s="1"/>
  <c r="AB758" i="1" s="1"/>
  <c r="AC758" i="1" s="1"/>
  <c r="AD758" i="1" s="1"/>
  <c r="AE758" i="1" s="1"/>
  <c r="AG758" i="1" s="1"/>
  <c r="V803" i="1"/>
  <c r="Y1546" i="1"/>
  <c r="AB1546" i="1" s="1"/>
  <c r="AC1546" i="1" s="1"/>
  <c r="V1241" i="1"/>
  <c r="V638" i="1"/>
  <c r="X88" i="1"/>
  <c r="Y88" i="1" s="1"/>
  <c r="AB88" i="1" s="1"/>
  <c r="AC88" i="1" s="1"/>
  <c r="AA999" i="1"/>
  <c r="AB999" i="1" s="1"/>
  <c r="AC999" i="1" s="1"/>
  <c r="AF999" i="1" s="1"/>
  <c r="X1108" i="1"/>
  <c r="Y1108" i="1" s="1"/>
  <c r="X410" i="1"/>
  <c r="Y410" i="1" s="1"/>
  <c r="AB410" i="1" s="1"/>
  <c r="AC410" i="1" s="1"/>
  <c r="V410" i="1"/>
  <c r="V796" i="1"/>
  <c r="X796" i="1"/>
  <c r="Y796" i="1" s="1"/>
  <c r="V959" i="1"/>
  <c r="X959" i="1"/>
  <c r="Y959" i="1" s="1"/>
  <c r="AB959" i="1" s="1"/>
  <c r="AC959" i="1" s="1"/>
  <c r="AD959" i="1" s="1"/>
  <c r="V1473" i="1"/>
  <c r="X1473" i="1"/>
  <c r="Y1473" i="1" s="1"/>
  <c r="X994" i="1"/>
  <c r="Y994" i="1" s="1"/>
  <c r="V994" i="1"/>
  <c r="Y1001" i="1"/>
  <c r="AA1001" i="1"/>
  <c r="AA1126" i="1"/>
  <c r="AA862" i="1"/>
  <c r="V943" i="1"/>
  <c r="X943" i="1"/>
  <c r="Y943" i="1" s="1"/>
  <c r="AB943" i="1" s="1"/>
  <c r="AC943" i="1" s="1"/>
  <c r="AD943" i="1" s="1"/>
  <c r="V1486" i="1"/>
  <c r="X1486" i="1"/>
  <c r="Y1486" i="1" s="1"/>
  <c r="V465" i="1"/>
  <c r="X465" i="1"/>
  <c r="Y465" i="1" s="1"/>
  <c r="V1132" i="1"/>
  <c r="X1132" i="1"/>
  <c r="Y1132" i="1" s="1"/>
  <c r="V1495" i="1"/>
  <c r="X1495" i="1"/>
  <c r="Y1495" i="1" s="1"/>
  <c r="V980" i="1"/>
  <c r="X980" i="1"/>
  <c r="Y980" i="1" s="1"/>
  <c r="AA1503" i="1"/>
  <c r="V215" i="1"/>
  <c r="X215" i="1"/>
  <c r="Y215" i="1" s="1"/>
  <c r="AA751" i="1"/>
  <c r="Y751" i="1"/>
  <c r="X1099" i="1"/>
  <c r="Y1099" i="1" s="1"/>
  <c r="V1099" i="1"/>
  <c r="AA843" i="1"/>
  <c r="X1456" i="1"/>
  <c r="Y1456" i="1" s="1"/>
  <c r="V1456" i="1"/>
  <c r="AA372" i="1"/>
  <c r="Y372" i="1"/>
  <c r="X1508" i="1"/>
  <c r="Y1508" i="1" s="1"/>
  <c r="V1508" i="1"/>
  <c r="V1518" i="1"/>
  <c r="X1518" i="1"/>
  <c r="Y1518" i="1" s="1"/>
  <c r="AA803" i="1"/>
  <c r="Y803" i="1"/>
  <c r="Y1256" i="1"/>
  <c r="AA1256" i="1"/>
  <c r="V1453" i="1"/>
  <c r="X1453" i="1"/>
  <c r="Y1453" i="1" s="1"/>
  <c r="X1384" i="1"/>
  <c r="V1384" i="1"/>
  <c r="AA1099" i="1"/>
  <c r="X935" i="1"/>
  <c r="V935" i="1"/>
  <c r="AA1280" i="1"/>
  <c r="Y1280" i="1"/>
  <c r="X747" i="1"/>
  <c r="V747" i="1"/>
  <c r="V95" i="1"/>
  <c r="Y1528" i="1"/>
  <c r="AB1528" i="1" s="1"/>
  <c r="AC1528" i="1" s="1"/>
  <c r="Y1241" i="1"/>
  <c r="AB1241" i="1" s="1"/>
  <c r="AC1241" i="1" s="1"/>
  <c r="AB1531" i="1"/>
  <c r="AC1531" i="1" s="1"/>
  <c r="AF1531" i="1" s="1"/>
  <c r="V142" i="1"/>
  <c r="AA519" i="1"/>
  <c r="AA156" i="1"/>
  <c r="AA1007" i="1"/>
  <c r="AA796" i="1"/>
  <c r="AA1538" i="1"/>
  <c r="Y1538" i="1"/>
  <c r="V589" i="1"/>
  <c r="X589" i="1"/>
  <c r="V1162" i="1"/>
  <c r="X1162" i="1"/>
  <c r="V1483" i="1"/>
  <c r="X1483" i="1"/>
  <c r="Y1483" i="1" s="1"/>
  <c r="V359" i="1"/>
  <c r="X359" i="1"/>
  <c r="Y359" i="1" s="1"/>
  <c r="AB359" i="1" s="1"/>
  <c r="AC359" i="1" s="1"/>
  <c r="X33" i="1"/>
  <c r="Y33" i="1" s="1"/>
  <c r="AB33" i="1" s="1"/>
  <c r="AC33" i="1" s="1"/>
  <c r="AD33" i="1" s="1"/>
  <c r="V33" i="1"/>
  <c r="X1001" i="1"/>
  <c r="V1001" i="1"/>
  <c r="V1126" i="1"/>
  <c r="X1126" i="1"/>
  <c r="Y1126" i="1" s="1"/>
  <c r="AA239" i="1"/>
  <c r="X862" i="1"/>
  <c r="Y862" i="1" s="1"/>
  <c r="V862" i="1"/>
  <c r="V1275" i="1"/>
  <c r="X1275" i="1"/>
  <c r="Y207" i="1"/>
  <c r="V1703" i="1"/>
  <c r="X1703" i="1"/>
  <c r="Y342" i="1"/>
  <c r="X1558" i="1"/>
  <c r="V1558" i="1"/>
  <c r="V1250" i="1"/>
  <c r="X1250" i="1"/>
  <c r="Y1352" i="1"/>
  <c r="V1338" i="1"/>
  <c r="X1338" i="1"/>
  <c r="Y1338" i="1" s="1"/>
  <c r="X1662" i="1"/>
  <c r="Y1662" i="1" s="1"/>
  <c r="V1662" i="1"/>
  <c r="X1234" i="1"/>
  <c r="Y1234" i="1" s="1"/>
  <c r="AB1234" i="1" s="1"/>
  <c r="AC1234" i="1" s="1"/>
  <c r="V1234" i="1"/>
  <c r="X1082" i="1"/>
  <c r="Y1082" i="1" s="1"/>
  <c r="V1082" i="1"/>
  <c r="X346" i="1"/>
  <c r="Y346" i="1" s="1"/>
  <c r="V812" i="1"/>
  <c r="X812" i="1"/>
  <c r="X120" i="1"/>
  <c r="Y120" i="1" s="1"/>
  <c r="V120" i="1"/>
  <c r="X1651" i="1"/>
  <c r="V1651" i="1"/>
  <c r="X1366" i="1"/>
  <c r="Y1366" i="1" s="1"/>
  <c r="V1366" i="1"/>
  <c r="V961" i="1"/>
  <c r="X961" i="1"/>
  <c r="Y961" i="1" s="1"/>
  <c r="AB961" i="1" s="1"/>
  <c r="AC961" i="1" s="1"/>
  <c r="AD961" i="1" s="1"/>
  <c r="X831" i="1"/>
  <c r="Y831" i="1" s="1"/>
  <c r="Y352" i="1"/>
  <c r="AB352" i="1" s="1"/>
  <c r="AC352" i="1" s="1"/>
  <c r="AD352" i="1" s="1"/>
  <c r="AA467" i="1"/>
  <c r="AA1214" i="1"/>
  <c r="Y1214" i="1"/>
  <c r="X1538" i="1"/>
  <c r="V1538" i="1"/>
  <c r="V1737" i="1"/>
  <c r="X1737" i="1"/>
  <c r="Y1737" i="1" s="1"/>
  <c r="AB1737" i="1" s="1"/>
  <c r="AC1737" i="1" s="1"/>
  <c r="AD1737" i="1" s="1"/>
  <c r="X1534" i="1"/>
  <c r="Y1534" i="1" s="1"/>
  <c r="V1534" i="1"/>
  <c r="X1768" i="1"/>
  <c r="V1768" i="1"/>
  <c r="X792" i="1"/>
  <c r="V792" i="1"/>
  <c r="X1136" i="1"/>
  <c r="Y1136" i="1" s="1"/>
  <c r="AB1136" i="1" s="1"/>
  <c r="AC1136" i="1" s="1"/>
  <c r="V1136" i="1"/>
  <c r="V353" i="1"/>
  <c r="X353" i="1"/>
  <c r="Y353" i="1" s="1"/>
  <c r="X1299" i="1"/>
  <c r="V1299" i="1"/>
  <c r="V582" i="1"/>
  <c r="X582" i="1"/>
  <c r="Y808" i="1"/>
  <c r="AA808" i="1"/>
  <c r="Y212" i="1"/>
  <c r="AA212" i="1"/>
  <c r="X847" i="1"/>
  <c r="Y847" i="1" s="1"/>
  <c r="V847" i="1"/>
  <c r="X1721" i="1"/>
  <c r="Y1721" i="1" s="1"/>
  <c r="AB1721" i="1" s="1"/>
  <c r="AC1721" i="1" s="1"/>
  <c r="V1721" i="1"/>
  <c r="X1198" i="1"/>
  <c r="Y1198" i="1" s="1"/>
  <c r="V1198" i="1"/>
  <c r="AA1306" i="1"/>
  <c r="Y1306" i="1"/>
  <c r="V874" i="1"/>
  <c r="X874" i="1"/>
  <c r="Y874" i="1" s="1"/>
  <c r="AB874" i="1" s="1"/>
  <c r="AC874" i="1" s="1"/>
  <c r="AD874" i="1" s="1"/>
  <c r="AA1518" i="1"/>
  <c r="X209" i="1"/>
  <c r="Y209" i="1" s="1"/>
  <c r="AB209" i="1" s="1"/>
  <c r="AC209" i="1" s="1"/>
  <c r="AD209" i="1" s="1"/>
  <c r="V209" i="1"/>
  <c r="V1282" i="1"/>
  <c r="X1282" i="1"/>
  <c r="AA1389" i="1"/>
  <c r="Y1651" i="1"/>
  <c r="AA1651" i="1"/>
  <c r="AA113" i="1"/>
  <c r="X1571" i="1"/>
  <c r="Y1384" i="1"/>
  <c r="AB1384" i="1" s="1"/>
  <c r="AC1384" i="1" s="1"/>
  <c r="AD1384" i="1" s="1"/>
  <c r="V1214" i="1"/>
  <c r="X1214" i="1"/>
  <c r="X328" i="1"/>
  <c r="Y328" i="1" s="1"/>
  <c r="V328" i="1"/>
  <c r="AA1629" i="1"/>
  <c r="Y1629" i="1"/>
  <c r="AA858" i="1"/>
  <c r="V574" i="1"/>
  <c r="X574" i="1"/>
  <c r="Y574" i="1" s="1"/>
  <c r="V1372" i="1"/>
  <c r="X1372" i="1"/>
  <c r="AA1415" i="1"/>
  <c r="Y590" i="1"/>
  <c r="AA590" i="1"/>
  <c r="X1628" i="1"/>
  <c r="V1628" i="1"/>
  <c r="X1610" i="1"/>
  <c r="V1610" i="1"/>
  <c r="X577" i="1"/>
  <c r="Y577" i="1" s="1"/>
  <c r="AB577" i="1" s="1"/>
  <c r="AC577" i="1" s="1"/>
  <c r="AD577" i="1" s="1"/>
  <c r="V577" i="1"/>
  <c r="AA556" i="1"/>
  <c r="AA388" i="1"/>
  <c r="X954" i="1"/>
  <c r="Y954" i="1" s="1"/>
  <c r="X1306" i="1"/>
  <c r="V1669" i="1"/>
  <c r="X1669" i="1"/>
  <c r="V1477" i="1"/>
  <c r="X1477" i="1"/>
  <c r="Y1477" i="1" s="1"/>
  <c r="AA1282" i="1"/>
  <c r="Y1282" i="1"/>
  <c r="AA1598" i="1"/>
  <c r="Y1598" i="1"/>
  <c r="AA1151" i="1"/>
  <c r="V1070" i="1"/>
  <c r="Y1408" i="1"/>
  <c r="AA1408" i="1"/>
  <c r="V48" i="1"/>
  <c r="X48" i="1"/>
  <c r="Y48" i="1" s="1"/>
  <c r="AB48" i="1" s="1"/>
  <c r="AC48" i="1" s="1"/>
  <c r="AD48" i="1" s="1"/>
  <c r="V991" i="1"/>
  <c r="X991" i="1"/>
  <c r="Y991" i="1" s="1"/>
  <c r="AA1291" i="1"/>
  <c r="Y1291" i="1"/>
  <c r="X1264" i="1"/>
  <c r="V1264" i="1"/>
  <c r="Y455" i="1"/>
  <c r="X517" i="1"/>
  <c r="Y517" i="1" s="1"/>
  <c r="AB517" i="1" s="1"/>
  <c r="AC517" i="1" s="1"/>
  <c r="AD517" i="1" s="1"/>
  <c r="AE517" i="1" s="1"/>
  <c r="AG517" i="1" s="1"/>
  <c r="X709" i="1"/>
  <c r="AA1378" i="1"/>
  <c r="AB1378" i="1" s="1"/>
  <c r="AC1378" i="1" s="1"/>
  <c r="AA1512" i="1"/>
  <c r="AA399" i="1"/>
  <c r="X1531" i="1"/>
  <c r="AA1693" i="1"/>
  <c r="V752" i="1"/>
  <c r="X752" i="1"/>
  <c r="X417" i="1"/>
  <c r="Y417" i="1" s="1"/>
  <c r="AB417" i="1" s="1"/>
  <c r="AC417" i="1" s="1"/>
  <c r="AF417" i="1" s="1"/>
  <c r="V417" i="1"/>
  <c r="V821" i="1"/>
  <c r="X821" i="1"/>
  <c r="Y821" i="1" s="1"/>
  <c r="X808" i="1"/>
  <c r="V808" i="1"/>
  <c r="V1226" i="1"/>
  <c r="X1226" i="1"/>
  <c r="Y1226" i="1" s="1"/>
  <c r="AA484" i="1"/>
  <c r="X1408" i="1"/>
  <c r="V1408" i="1"/>
  <c r="X424" i="1"/>
  <c r="Y424" i="1" s="1"/>
  <c r="V424" i="1"/>
  <c r="AA1453" i="1"/>
  <c r="X744" i="1"/>
  <c r="Y744" i="1" s="1"/>
  <c r="AA1717" i="1"/>
  <c r="AB1717" i="1" s="1"/>
  <c r="AC1717" i="1" s="1"/>
  <c r="AD1717" i="1" s="1"/>
  <c r="V257" i="1"/>
  <c r="V593" i="1"/>
  <c r="V352" i="1"/>
  <c r="X979" i="1"/>
  <c r="Y979" i="1" s="1"/>
  <c r="AB979" i="1" s="1"/>
  <c r="AC979" i="1" s="1"/>
  <c r="AD979" i="1" s="1"/>
  <c r="AA925" i="1"/>
  <c r="AA798" i="1"/>
  <c r="V1143" i="1"/>
  <c r="X1143" i="1"/>
  <c r="Y1143" i="1" s="1"/>
  <c r="X1624" i="1"/>
  <c r="V1624" i="1"/>
  <c r="V484" i="1"/>
  <c r="X484" i="1"/>
  <c r="Y484" i="1" s="1"/>
  <c r="AA1103" i="1"/>
  <c r="X467" i="1"/>
  <c r="Y467" i="1" s="1"/>
  <c r="V467" i="1"/>
  <c r="X999" i="1"/>
  <c r="V999" i="1"/>
  <c r="V1496" i="1"/>
  <c r="X1496" i="1"/>
  <c r="Y1496" i="1" s="1"/>
  <c r="V1280" i="1"/>
  <c r="AA1623" i="1"/>
  <c r="AB1623" i="1" s="1"/>
  <c r="AC1623" i="1" s="1"/>
  <c r="AD1623" i="1" s="1"/>
  <c r="AE1623" i="1" s="1"/>
  <c r="AG1623" i="1" s="1"/>
  <c r="X1378" i="1"/>
  <c r="Y934" i="1"/>
  <c r="AA934" i="1"/>
  <c r="V735" i="1"/>
  <c r="X735" i="1"/>
  <c r="AA927" i="1"/>
  <c r="V934" i="1"/>
  <c r="X934" i="1"/>
  <c r="V919" i="1"/>
  <c r="X919" i="1"/>
  <c r="V90" i="1"/>
  <c r="X90" i="1"/>
  <c r="Y90" i="1" s="1"/>
  <c r="AB1047" i="1"/>
  <c r="AC1047" i="1" s="1"/>
  <c r="AD1047" i="1" s="1"/>
  <c r="V1528" i="1"/>
  <c r="X1528" i="1"/>
  <c r="V1323" i="1"/>
  <c r="X1323" i="1"/>
  <c r="X1568" i="1"/>
  <c r="Y1568" i="1" s="1"/>
  <c r="V1568" i="1"/>
  <c r="V456" i="1"/>
  <c r="AA1588" i="1"/>
  <c r="Y1588" i="1"/>
  <c r="AA923" i="1"/>
  <c r="AA724" i="1"/>
  <c r="V804" i="1"/>
  <c r="X804" i="1"/>
  <c r="V870" i="1"/>
  <c r="X870" i="1"/>
  <c r="Y870" i="1" s="1"/>
  <c r="V987" i="1"/>
  <c r="X987" i="1"/>
  <c r="Y987" i="1" s="1"/>
  <c r="Y1460" i="1"/>
  <c r="AA1460" i="1"/>
  <c r="X1632" i="1"/>
  <c r="Y1632" i="1" s="1"/>
  <c r="V1632" i="1"/>
  <c r="AA638" i="1"/>
  <c r="AA1140" i="1"/>
  <c r="AA859" i="1"/>
  <c r="AA1449" i="1"/>
  <c r="AA262" i="1"/>
  <c r="AA129" i="1"/>
  <c r="AA383" i="1"/>
  <c r="AA423" i="1"/>
  <c r="V380" i="1"/>
  <c r="X380" i="1"/>
  <c r="Y380" i="1" s="1"/>
  <c r="AA1477" i="1"/>
  <c r="AA789" i="1"/>
  <c r="AB1039" i="1"/>
  <c r="AC1039" i="1" s="1"/>
  <c r="AD1039" i="1" s="1"/>
  <c r="AA1545" i="1"/>
  <c r="AB1545" i="1" s="1"/>
  <c r="AC1545" i="1" s="1"/>
  <c r="AD1545" i="1" s="1"/>
  <c r="AE1545" i="1" s="1"/>
  <c r="AG1545" i="1" s="1"/>
  <c r="V1739" i="1"/>
  <c r="V1399" i="1"/>
  <c r="AA1696" i="1"/>
  <c r="Y1666" i="1"/>
  <c r="AB1666" i="1" s="1"/>
  <c r="AC1666" i="1" s="1"/>
  <c r="AF1666" i="1" s="1"/>
  <c r="AA1250" i="1"/>
  <c r="AB1250" i="1" s="1"/>
  <c r="AC1250" i="1" s="1"/>
  <c r="AA55" i="1"/>
  <c r="AA321" i="1"/>
  <c r="AA1656" i="1"/>
  <c r="AA1739" i="1"/>
  <c r="AB1739" i="1" s="1"/>
  <c r="AC1739" i="1" s="1"/>
  <c r="AD1739" i="1" s="1"/>
  <c r="Y958" i="1"/>
  <c r="Y1755" i="1"/>
  <c r="AA1755" i="1"/>
  <c r="V805" i="1"/>
  <c r="X805" i="1"/>
  <c r="V1460" i="1"/>
  <c r="X1460" i="1"/>
  <c r="AA836" i="1"/>
  <c r="AA289" i="1"/>
  <c r="V118" i="1"/>
  <c r="X118" i="1"/>
  <c r="Y118" i="1" s="1"/>
  <c r="AB118" i="1" s="1"/>
  <c r="AC118" i="1" s="1"/>
  <c r="AA1461" i="1"/>
  <c r="AA678" i="1"/>
  <c r="AA640" i="1"/>
  <c r="AA594" i="1"/>
  <c r="X893" i="1"/>
  <c r="Y893" i="1" s="1"/>
  <c r="X508" i="1"/>
  <c r="Y508" i="1" s="1"/>
  <c r="Y763" i="1"/>
  <c r="AB763" i="1" s="1"/>
  <c r="AC763" i="1" s="1"/>
  <c r="AD763" i="1" s="1"/>
  <c r="Y1067" i="1"/>
  <c r="V1714" i="1"/>
  <c r="X250" i="1"/>
  <c r="Y250" i="1" s="1"/>
  <c r="AA936" i="1"/>
  <c r="X1731" i="1"/>
  <c r="X942" i="1"/>
  <c r="Y942" i="1" s="1"/>
  <c r="AB942" i="1" s="1"/>
  <c r="AC942" i="1" s="1"/>
  <c r="AA578" i="1"/>
  <c r="AA1741" i="1"/>
  <c r="AB1741" i="1" s="1"/>
  <c r="AC1741" i="1" s="1"/>
  <c r="AD1741" i="1" s="1"/>
  <c r="AE1741" i="1" s="1"/>
  <c r="AG1741" i="1" s="1"/>
  <c r="X1331" i="1"/>
  <c r="AA1085" i="1"/>
  <c r="AB1085" i="1" s="1"/>
  <c r="AC1085" i="1" s="1"/>
  <c r="AF1085" i="1" s="1"/>
  <c r="AA44" i="1"/>
  <c r="AB44" i="1" s="1"/>
  <c r="AC44" i="1" s="1"/>
  <c r="AD44" i="1" s="1"/>
  <c r="AE44" i="1" s="1"/>
  <c r="Y1513" i="1"/>
  <c r="AB1513" i="1" s="1"/>
  <c r="AC1513" i="1" s="1"/>
  <c r="AF1513" i="1" s="1"/>
  <c r="AA1215" i="1"/>
  <c r="X181" i="1"/>
  <c r="Y181" i="1" s="1"/>
  <c r="V181" i="1"/>
  <c r="Y1249" i="1"/>
  <c r="AA1249" i="1"/>
  <c r="V1000" i="1"/>
  <c r="X1000" i="1"/>
  <c r="Y1415" i="1"/>
  <c r="Y139" i="1"/>
  <c r="AA1385" i="1"/>
  <c r="Y1385" i="1"/>
  <c r="AA433" i="1"/>
  <c r="Y1107" i="1"/>
  <c r="V798" i="1"/>
  <c r="Y1007" i="1"/>
  <c r="AA199" i="1"/>
  <c r="AA132" i="1"/>
  <c r="AA929" i="1"/>
  <c r="AA1479" i="1"/>
  <c r="AA177" i="1"/>
  <c r="AA192" i="1"/>
  <c r="AA303" i="1"/>
  <c r="Y525" i="1"/>
  <c r="AA739" i="1"/>
  <c r="AB739" i="1" s="1"/>
  <c r="AC739" i="1" s="1"/>
  <c r="AF739" i="1" s="1"/>
  <c r="V273" i="1"/>
  <c r="X568" i="1"/>
  <c r="Y568" i="1" s="1"/>
  <c r="V568" i="1"/>
  <c r="AA844" i="1"/>
  <c r="X1095" i="1"/>
  <c r="V1095" i="1"/>
  <c r="AA456" i="1"/>
  <c r="X1603" i="1"/>
  <c r="V652" i="1"/>
  <c r="Y1190" i="1"/>
  <c r="X1233" i="1"/>
  <c r="X604" i="1"/>
  <c r="Y604" i="1" s="1"/>
  <c r="AA1181" i="1"/>
  <c r="X1217" i="1"/>
  <c r="Y1217" i="1" s="1"/>
  <c r="V1176" i="1"/>
  <c r="AA768" i="1"/>
  <c r="V925" i="1"/>
  <c r="V720" i="1"/>
  <c r="X777" i="1"/>
  <c r="Y777" i="1" s="1"/>
  <c r="Y258" i="1"/>
  <c r="AB1287" i="1"/>
  <c r="AC1287" i="1" s="1"/>
  <c r="AD1287" i="1" s="1"/>
  <c r="X851" i="1"/>
  <c r="Y851" i="1" s="1"/>
  <c r="AB1294" i="1"/>
  <c r="AC1294" i="1" s="1"/>
  <c r="Y1290" i="1"/>
  <c r="AB1290" i="1" s="1"/>
  <c r="AC1290" i="1" s="1"/>
  <c r="AD1290" i="1" s="1"/>
  <c r="X393" i="1"/>
  <c r="Y393" i="1" s="1"/>
  <c r="Y714" i="1"/>
  <c r="V828" i="1"/>
  <c r="X828" i="1"/>
  <c r="Y828" i="1" s="1"/>
  <c r="AB828" i="1" s="1"/>
  <c r="AC828" i="1" s="1"/>
  <c r="AD828" i="1" s="1"/>
  <c r="AA694" i="1"/>
  <c r="AA1371" i="1"/>
  <c r="AC1330" i="1"/>
  <c r="AF1330" i="1" s="1"/>
  <c r="Y965" i="1"/>
  <c r="AA965" i="1"/>
  <c r="V827" i="1"/>
  <c r="X827" i="1"/>
  <c r="Y827" i="1" s="1"/>
  <c r="AB827" i="1" s="1"/>
  <c r="AC827" i="1" s="1"/>
  <c r="AD827" i="1" s="1"/>
  <c r="X1155" i="1"/>
  <c r="Y1155" i="1" s="1"/>
  <c r="V1155" i="1"/>
  <c r="AA1534" i="1"/>
  <c r="AB26" i="1"/>
  <c r="AC26" i="1" s="1"/>
  <c r="AF26" i="1" s="1"/>
  <c r="Y1152" i="1"/>
  <c r="AA1455" i="1"/>
  <c r="AA718" i="1"/>
  <c r="AA1454" i="1"/>
  <c r="AA453" i="1"/>
  <c r="AA1708" i="1"/>
  <c r="AA65" i="1"/>
  <c r="AB1248" i="1"/>
  <c r="AC1248" i="1" s="1"/>
  <c r="AD1248" i="1" s="1"/>
  <c r="AA479" i="1"/>
  <c r="AA235" i="1"/>
  <c r="V267" i="1"/>
  <c r="X1530" i="1"/>
  <c r="V477" i="1"/>
  <c r="AA1177" i="1"/>
  <c r="AA90" i="1"/>
  <c r="V1039" i="1"/>
  <c r="X1039" i="1"/>
  <c r="X87" i="1"/>
  <c r="Y87" i="1" s="1"/>
  <c r="V385" i="1"/>
  <c r="AA411" i="1"/>
  <c r="AA40" i="1"/>
  <c r="AA501" i="1"/>
  <c r="X106" i="1"/>
  <c r="Y106" i="1" s="1"/>
  <c r="AA591" i="1"/>
  <c r="X102" i="1"/>
  <c r="Y102" i="1" s="1"/>
  <c r="AB102" i="1" s="1"/>
  <c r="AC102" i="1" s="1"/>
  <c r="X152" i="1"/>
  <c r="Y152" i="1" s="1"/>
  <c r="V152" i="1"/>
  <c r="Y272" i="1"/>
  <c r="V335" i="1"/>
  <c r="X335" i="1"/>
  <c r="Y335" i="1" s="1"/>
  <c r="AB335" i="1" s="1"/>
  <c r="AC335" i="1" s="1"/>
  <c r="AA513" i="1"/>
  <c r="AA263" i="1"/>
  <c r="AA253" i="1"/>
  <c r="V272" i="1"/>
  <c r="AA1054" i="1"/>
  <c r="AA928" i="1"/>
  <c r="AA1674" i="1"/>
  <c r="AA326" i="1"/>
  <c r="AA524" i="1"/>
  <c r="AC1768" i="1"/>
  <c r="AF1768" i="1" s="1"/>
  <c r="AA625" i="1"/>
  <c r="AA185" i="1"/>
  <c r="AA1171" i="1"/>
  <c r="Y1675" i="1"/>
  <c r="AA349" i="1"/>
  <c r="AA1444" i="1"/>
  <c r="V1646" i="1"/>
  <c r="AA61" i="1"/>
  <c r="AB385" i="1"/>
  <c r="AC385" i="1" s="1"/>
  <c r="AD385" i="1" s="1"/>
  <c r="AA264" i="1"/>
  <c r="Y485" i="1"/>
  <c r="AB485" i="1" s="1"/>
  <c r="AC485" i="1" s="1"/>
  <c r="AD485" i="1" s="1"/>
  <c r="AA677" i="1"/>
  <c r="AA904" i="1"/>
  <c r="AA1200" i="1"/>
  <c r="AA1355" i="1"/>
  <c r="AA193" i="1"/>
  <c r="V529" i="1"/>
  <c r="AA167" i="1"/>
  <c r="AA1718" i="1"/>
  <c r="AA294" i="1"/>
  <c r="AA817" i="1"/>
  <c r="V696" i="1"/>
  <c r="AA1005" i="1"/>
  <c r="AA1211" i="1"/>
  <c r="AA1357" i="1"/>
  <c r="AA140" i="1"/>
  <c r="Y924" i="1"/>
  <c r="AA829" i="1"/>
  <c r="AA1094" i="1"/>
  <c r="AA1120" i="1"/>
  <c r="AA1526" i="1"/>
  <c r="AA1459" i="1"/>
  <c r="AA38" i="1"/>
  <c r="AA447" i="1"/>
  <c r="AA265" i="1"/>
  <c r="AA299" i="1"/>
  <c r="AA1702" i="1"/>
  <c r="AA583" i="1"/>
  <c r="X513" i="1"/>
  <c r="Y513" i="1" s="1"/>
  <c r="AA785" i="1"/>
  <c r="AA621" i="1"/>
  <c r="AB770" i="1"/>
  <c r="AC770" i="1" s="1"/>
  <c r="AD770" i="1" s="1"/>
  <c r="AA279" i="1"/>
  <c r="AA189" i="1"/>
  <c r="AA1003" i="1"/>
  <c r="AA307" i="1"/>
  <c r="AA255" i="1"/>
  <c r="Y483" i="1"/>
  <c r="AA559" i="1"/>
  <c r="Y241" i="1"/>
  <c r="X637" i="1"/>
  <c r="Y637" i="1" s="1"/>
  <c r="AB637" i="1" s="1"/>
  <c r="AC637" i="1" s="1"/>
  <c r="AA1223" i="1"/>
  <c r="AA300" i="1"/>
  <c r="AA674" i="1"/>
  <c r="AA116" i="1"/>
  <c r="AA650" i="1"/>
  <c r="AA173" i="1"/>
  <c r="AB735" i="1"/>
  <c r="AC735" i="1" s="1"/>
  <c r="AA737" i="1"/>
  <c r="AA1109" i="1"/>
  <c r="AA655" i="1"/>
  <c r="AB1562" i="1"/>
  <c r="AC1562" i="1" s="1"/>
  <c r="AF1562" i="1" s="1"/>
  <c r="AA1166" i="1"/>
  <c r="AA1519" i="1"/>
  <c r="AA672" i="1"/>
  <c r="V1551" i="1"/>
  <c r="V168" i="1"/>
  <c r="AA1053" i="1"/>
  <c r="AA1182" i="1"/>
  <c r="AA1671" i="1"/>
  <c r="AA24" i="1"/>
  <c r="V35" i="1"/>
  <c r="AA1624" i="1"/>
  <c r="AB1624" i="1" s="1"/>
  <c r="AC1624" i="1" s="1"/>
  <c r="AF1624" i="1" s="1"/>
  <c r="AA729" i="1"/>
  <c r="AA981" i="1"/>
  <c r="AA786" i="1"/>
  <c r="AA1210" i="1"/>
  <c r="AA1392" i="1"/>
  <c r="AA1475" i="1"/>
  <c r="AA202" i="1"/>
  <c r="Y123" i="1"/>
  <c r="AC1769" i="1"/>
  <c r="AD1769" i="1" s="1"/>
  <c r="AA228" i="1"/>
  <c r="AA469" i="1"/>
  <c r="X344" i="1"/>
  <c r="Y344" i="1" s="1"/>
  <c r="AB344" i="1" s="1"/>
  <c r="AC344" i="1" s="1"/>
  <c r="AD344" i="1" s="1"/>
  <c r="AE344" i="1" s="1"/>
  <c r="AG344" i="1" s="1"/>
  <c r="AA414" i="1"/>
  <c r="AA471" i="1"/>
  <c r="AC1743" i="1"/>
  <c r="AD1743" i="1" s="1"/>
  <c r="V1665" i="1"/>
  <c r="X1665" i="1"/>
  <c r="AB16" i="1"/>
  <c r="AC16" i="1" s="1"/>
  <c r="AD16" i="1" s="1"/>
  <c r="X358" i="1"/>
  <c r="Y358" i="1" s="1"/>
  <c r="AB358" i="1" s="1"/>
  <c r="AC358" i="1" s="1"/>
  <c r="AD358" i="1" s="1"/>
  <c r="V358" i="1"/>
  <c r="X1588" i="1"/>
  <c r="V1588" i="1"/>
  <c r="AA516" i="1"/>
  <c r="X245" i="1"/>
  <c r="Y245" i="1" s="1"/>
  <c r="AB245" i="1" s="1"/>
  <c r="AC245" i="1" s="1"/>
  <c r="AD245" i="1" s="1"/>
  <c r="AE245" i="1" s="1"/>
  <c r="AG245" i="1" s="1"/>
  <c r="AA535" i="1"/>
  <c r="AA18" i="1"/>
  <c r="Y1695" i="1"/>
  <c r="AB1695" i="1" s="1"/>
  <c r="AC1695" i="1" s="1"/>
  <c r="X255" i="1"/>
  <c r="Y255" i="1" s="1"/>
  <c r="AA462" i="1"/>
  <c r="AA114" i="1"/>
  <c r="V81" i="1"/>
  <c r="X81" i="1"/>
  <c r="Y81" i="1" s="1"/>
  <c r="AB81" i="1" s="1"/>
  <c r="AC81" i="1" s="1"/>
  <c r="AD81" i="1" s="1"/>
  <c r="V485" i="1"/>
  <c r="X634" i="1"/>
  <c r="Y634" i="1" s="1"/>
  <c r="AB634" i="1" s="1"/>
  <c r="AC634" i="1" s="1"/>
  <c r="V634" i="1"/>
  <c r="X1585" i="1"/>
  <c r="AA43" i="1"/>
  <c r="AA587" i="1"/>
  <c r="AA375" i="1"/>
  <c r="X491" i="1"/>
  <c r="Y491" i="1" s="1"/>
  <c r="X145" i="1"/>
  <c r="Y145" i="1" s="1"/>
  <c r="AA204" i="1"/>
  <c r="AE683" i="1"/>
  <c r="AG683" i="1" s="1"/>
  <c r="AB95" i="1"/>
  <c r="AC95" i="1" s="1"/>
  <c r="AF95" i="1" s="1"/>
  <c r="AA206" i="1"/>
  <c r="X640" i="1"/>
  <c r="Y640" i="1" s="1"/>
  <c r="V640" i="1"/>
  <c r="V1637" i="1"/>
  <c r="X1637" i="1"/>
  <c r="AA382" i="1"/>
  <c r="AA361" i="1"/>
  <c r="AA790" i="1"/>
  <c r="Y790" i="1"/>
  <c r="AA1382" i="1"/>
  <c r="AA225" i="1"/>
  <c r="AA285" i="1"/>
  <c r="AA147" i="1"/>
  <c r="AA902" i="1"/>
  <c r="AA962" i="1"/>
  <c r="AA644" i="1"/>
  <c r="AA631" i="1"/>
  <c r="AA1753" i="1"/>
  <c r="AA159" i="1"/>
  <c r="V191" i="1"/>
  <c r="AA840" i="1"/>
  <c r="AA1137" i="1"/>
  <c r="AA1203" i="1"/>
  <c r="AA1222" i="1"/>
  <c r="AA194" i="1"/>
  <c r="AA172" i="1"/>
  <c r="AA760" i="1"/>
  <c r="AA364" i="1"/>
  <c r="AA1388" i="1"/>
  <c r="AA1472" i="1"/>
  <c r="AA642" i="1"/>
  <c r="AB1300" i="1"/>
  <c r="AC1300" i="1" s="1"/>
  <c r="AF1300" i="1" s="1"/>
  <c r="AA323" i="1"/>
  <c r="AA1605" i="1"/>
  <c r="X12" i="1"/>
  <c r="V12" i="1"/>
  <c r="AA624" i="1"/>
  <c r="AA437" i="1"/>
  <c r="AA1414" i="1"/>
  <c r="AA387" i="1"/>
  <c r="Y168" i="1"/>
  <c r="Y501" i="1"/>
  <c r="Y287" i="1"/>
  <c r="X1720" i="1"/>
  <c r="AB764" i="1"/>
  <c r="AC764" i="1" s="1"/>
  <c r="AF764" i="1" s="1"/>
  <c r="AB1284" i="1"/>
  <c r="AC1284" i="1" s="1"/>
  <c r="AD1284" i="1" s="1"/>
  <c r="AA596" i="1"/>
  <c r="AA6" i="1"/>
  <c r="AA504" i="1"/>
  <c r="AA62" i="1"/>
  <c r="AA179" i="1"/>
  <c r="AA891" i="1"/>
  <c r="AA1685" i="1"/>
  <c r="AA435" i="1"/>
  <c r="AA947" i="1"/>
  <c r="AA1427" i="1"/>
  <c r="AA1539" i="1"/>
  <c r="AA234" i="1"/>
  <c r="AA653" i="1"/>
  <c r="AA153" i="1"/>
  <c r="AA602" i="1"/>
  <c r="AA277" i="1"/>
  <c r="AA1470" i="1"/>
  <c r="AA106" i="1"/>
  <c r="Y434" i="1"/>
  <c r="X448" i="1"/>
  <c r="Y448" i="1" s="1"/>
  <c r="AB448" i="1" s="1"/>
  <c r="AC448" i="1" s="1"/>
  <c r="AF448" i="1" s="1"/>
  <c r="AA103" i="1"/>
  <c r="AA1066" i="1"/>
  <c r="AA1488" i="1"/>
  <c r="V468" i="1"/>
  <c r="X468" i="1"/>
  <c r="Y468" i="1" s="1"/>
  <c r="AB468" i="1" s="1"/>
  <c r="AC468" i="1" s="1"/>
  <c r="AD468" i="1" s="1"/>
  <c r="AB1603" i="1"/>
  <c r="AC1603" i="1" s="1"/>
  <c r="AD1603" i="1" s="1"/>
  <c r="AE1603" i="1" s="1"/>
  <c r="AG1603" i="1" s="1"/>
  <c r="Y403" i="1"/>
  <c r="AB403" i="1" s="1"/>
  <c r="AC403" i="1" s="1"/>
  <c r="AD403" i="1" s="1"/>
  <c r="AA837" i="1"/>
  <c r="AA336" i="1"/>
  <c r="V56" i="1"/>
  <c r="X224" i="1"/>
  <c r="Y224" i="1" s="1"/>
  <c r="AB918" i="1"/>
  <c r="AC918" i="1" s="1"/>
  <c r="AD918" i="1" s="1"/>
  <c r="AB1529" i="1"/>
  <c r="AC1529" i="1" s="1"/>
  <c r="AF1529" i="1" s="1"/>
  <c r="AA816" i="1"/>
  <c r="AA269" i="1"/>
  <c r="AA518" i="1"/>
  <c r="AA1670" i="1"/>
  <c r="AA331" i="1"/>
  <c r="AA1595" i="1"/>
  <c r="AA104" i="1"/>
  <c r="AA123" i="1"/>
  <c r="AA94" i="1"/>
  <c r="AA472" i="1"/>
  <c r="AA700" i="1"/>
  <c r="X427" i="1"/>
  <c r="Y427" i="1" s="1"/>
  <c r="AA168" i="1"/>
  <c r="AA864" i="1"/>
  <c r="AA1113" i="1"/>
  <c r="AA1138" i="1"/>
  <c r="AA920" i="1"/>
  <c r="AA1049" i="1"/>
  <c r="AA196" i="1"/>
  <c r="AA1187" i="1"/>
  <c r="AA186" i="1"/>
  <c r="AA78" i="1"/>
  <c r="AA126" i="1"/>
  <c r="AA1075" i="1"/>
  <c r="AA841" i="1"/>
  <c r="AA985" i="1"/>
  <c r="AA1014" i="1"/>
  <c r="AA668" i="1"/>
  <c r="AA96" i="1"/>
  <c r="AB1292" i="1"/>
  <c r="AC1292" i="1" s="1"/>
  <c r="AF1292" i="1" s="1"/>
  <c r="AA1607" i="1"/>
  <c r="AB1259" i="1"/>
  <c r="AC1259" i="1" s="1"/>
  <c r="AD1259" i="1" s="1"/>
  <c r="AA855" i="1"/>
  <c r="AA313" i="1"/>
  <c r="AA530" i="1"/>
  <c r="Y309" i="1"/>
  <c r="AA1374" i="1"/>
  <c r="AB1593" i="1"/>
  <c r="AC1593" i="1" s="1"/>
  <c r="AF1593" i="1" s="1"/>
  <c r="AA446" i="1"/>
  <c r="X23" i="1"/>
  <c r="AB662" i="1"/>
  <c r="AC662" i="1" s="1"/>
  <c r="AD662" i="1" s="1"/>
  <c r="AA1013" i="1"/>
  <c r="AA1083" i="1"/>
  <c r="AA1153" i="1"/>
  <c r="AA1364" i="1"/>
  <c r="AA822" i="1"/>
  <c r="AA1165" i="1"/>
  <c r="AA73" i="1"/>
  <c r="AA1474" i="1"/>
  <c r="AA494" i="1"/>
  <c r="AA347" i="1"/>
  <c r="AA404" i="1"/>
  <c r="AA515" i="1"/>
  <c r="AA275" i="1"/>
  <c r="AA396" i="1"/>
  <c r="AA397" i="1"/>
  <c r="AB1160" i="1"/>
  <c r="AC1160" i="1" s="1"/>
  <c r="AA497" i="1"/>
  <c r="AA54" i="1"/>
  <c r="AA394" i="1"/>
  <c r="AA246" i="1"/>
  <c r="AB246" i="1" s="1"/>
  <c r="AC246" i="1" s="1"/>
  <c r="AA706" i="1"/>
  <c r="AA886" i="1"/>
  <c r="AA945" i="1"/>
  <c r="AA218" i="1"/>
  <c r="AA288" i="1"/>
  <c r="AA115" i="1"/>
  <c r="AA308" i="1"/>
  <c r="AB1323" i="1"/>
  <c r="AC1323" i="1" s="1"/>
  <c r="AF1323" i="1" s="1"/>
  <c r="AA1438" i="1"/>
  <c r="AB656" i="1"/>
  <c r="AC656" i="1" s="1"/>
  <c r="AF656" i="1" s="1"/>
  <c r="AA384" i="1"/>
  <c r="AC882" i="1"/>
  <c r="AF882" i="1" s="1"/>
  <c r="AA984" i="1"/>
  <c r="AA1061" i="1"/>
  <c r="AA1090" i="1"/>
  <c r="AA145" i="1"/>
  <c r="AA973" i="1"/>
  <c r="AA1208" i="1"/>
  <c r="AA629" i="1"/>
  <c r="AA1506" i="1"/>
  <c r="AA286" i="1"/>
  <c r="AA222" i="1"/>
  <c r="AA440" i="1"/>
  <c r="AA1565" i="1"/>
  <c r="AA514" i="1"/>
  <c r="AA322" i="1"/>
  <c r="AA79" i="1"/>
  <c r="AA549" i="1"/>
  <c r="Y204" i="1"/>
  <c r="AA348" i="1"/>
  <c r="Y964" i="1"/>
  <c r="AA875" i="1"/>
  <c r="AA1339" i="1"/>
  <c r="AA45" i="1"/>
  <c r="AA195" i="1"/>
  <c r="AA481" i="1"/>
  <c r="AA413" i="1"/>
  <c r="AA368" i="1"/>
  <c r="AA725" i="1"/>
  <c r="AA924" i="1"/>
  <c r="AA977" i="1"/>
  <c r="AA1006" i="1"/>
  <c r="AA1069" i="1"/>
  <c r="AA1167" i="1"/>
  <c r="AA1204" i="1"/>
  <c r="AA280" i="1"/>
  <c r="AA717" i="1"/>
  <c r="AA420" i="1"/>
  <c r="AA611" i="1"/>
  <c r="AA794" i="1"/>
  <c r="AA1110" i="1"/>
  <c r="AA1412" i="1"/>
  <c r="AA224" i="1"/>
  <c r="AA1428" i="1"/>
  <c r="AA615" i="1"/>
  <c r="AA216" i="1"/>
  <c r="AA238" i="1"/>
  <c r="AA565" i="1"/>
  <c r="AA486" i="1"/>
  <c r="AA77" i="1"/>
  <c r="AA1684" i="1"/>
  <c r="AA248" i="1"/>
  <c r="AA442" i="1"/>
  <c r="AA632" i="1"/>
  <c r="AA457" i="1"/>
  <c r="AA483" i="1"/>
  <c r="AA205" i="1"/>
  <c r="Y149" i="1"/>
  <c r="AA903" i="1"/>
  <c r="AA1076" i="1"/>
  <c r="AA1212" i="1"/>
  <c r="AA1363" i="1"/>
  <c r="AA730" i="1"/>
  <c r="AA974" i="1"/>
  <c r="AA1354" i="1"/>
  <c r="AA610" i="1"/>
  <c r="AA1393" i="1"/>
  <c r="AA1432" i="1"/>
  <c r="AA553" i="1"/>
  <c r="AA281" i="1"/>
  <c r="AA502" i="1"/>
  <c r="AA422" i="1"/>
  <c r="AA663" i="1"/>
  <c r="AA80" i="1"/>
  <c r="AA671" i="1"/>
  <c r="AA318" i="1"/>
  <c r="AA541" i="1"/>
  <c r="AA374" i="1"/>
  <c r="AA109" i="1"/>
  <c r="AA533" i="1"/>
  <c r="AC1660" i="1"/>
  <c r="AA651" i="1"/>
  <c r="AA60" i="1"/>
  <c r="AA569" i="1"/>
  <c r="AB23" i="1"/>
  <c r="AC23" i="1" s="1"/>
  <c r="AD23" i="1" s="1"/>
  <c r="AE23" i="1" s="1"/>
  <c r="AG23" i="1" s="1"/>
  <c r="AB1590" i="1"/>
  <c r="AC1590" i="1" s="1"/>
  <c r="AD1590" i="1" s="1"/>
  <c r="AA767" i="1"/>
  <c r="AA825" i="1"/>
  <c r="AA538" i="1"/>
  <c r="AA639" i="1"/>
  <c r="AA641" i="1"/>
  <c r="AB1231" i="1"/>
  <c r="AC1231" i="1" s="1"/>
  <c r="AF1231" i="1" s="1"/>
  <c r="AA913" i="1"/>
  <c r="AA823" i="1"/>
  <c r="AA953" i="1"/>
  <c r="AA499" i="1"/>
  <c r="AA646" i="1"/>
  <c r="AA1418" i="1"/>
  <c r="AA305" i="1"/>
  <c r="AA666" i="1"/>
  <c r="AA282" i="1"/>
  <c r="AA432" i="1"/>
  <c r="AA527" i="1"/>
  <c r="AA290" i="1"/>
  <c r="AA367" i="1"/>
  <c r="AA363" i="1"/>
  <c r="AA657" i="1"/>
  <c r="AA329" i="1"/>
  <c r="AA356" i="1"/>
  <c r="AA1542" i="1"/>
  <c r="AA464" i="1"/>
  <c r="AA325" i="1"/>
  <c r="AA686" i="1"/>
  <c r="X333" i="1"/>
  <c r="Y333" i="1" s="1"/>
  <c r="AA333" i="1"/>
  <c r="V360" i="1"/>
  <c r="X360" i="1"/>
  <c r="Y360" i="1" s="1"/>
  <c r="X1013" i="1"/>
  <c r="Y1013" i="1" s="1"/>
  <c r="V1013" i="1"/>
  <c r="Y1327" i="1"/>
  <c r="AA1327" i="1"/>
  <c r="AA1304" i="1"/>
  <c r="Y1304" i="1"/>
  <c r="V489" i="1"/>
  <c r="X489" i="1"/>
  <c r="Y489" i="1" s="1"/>
  <c r="Y1261" i="1"/>
  <c r="AA1261" i="1"/>
  <c r="X256" i="1"/>
  <c r="Y256" i="1" s="1"/>
  <c r="V256" i="1"/>
  <c r="Y1663" i="1"/>
  <c r="AA1663" i="1"/>
  <c r="V653" i="1"/>
  <c r="X653" i="1"/>
  <c r="Y653" i="1" s="1"/>
  <c r="X1539" i="1"/>
  <c r="Y1539" i="1" s="1"/>
  <c r="V1539" i="1"/>
  <c r="X706" i="1"/>
  <c r="Y706" i="1" s="1"/>
  <c r="V706" i="1"/>
  <c r="X526" i="1"/>
  <c r="Y526" i="1" s="1"/>
  <c r="AB526" i="1" s="1"/>
  <c r="AC526" i="1" s="1"/>
  <c r="V526" i="1"/>
  <c r="V639" i="1"/>
  <c r="X639" i="1"/>
  <c r="Y639" i="1" s="1"/>
  <c r="X732" i="1"/>
  <c r="V732" i="1"/>
  <c r="V1223" i="1"/>
  <c r="X1223" i="1"/>
  <c r="Y1223" i="1" s="1"/>
  <c r="AA56" i="1"/>
  <c r="Y56" i="1"/>
  <c r="V478" i="1"/>
  <c r="X478" i="1"/>
  <c r="Y478" i="1" s="1"/>
  <c r="X538" i="1"/>
  <c r="Y538" i="1" s="1"/>
  <c r="V538" i="1"/>
  <c r="V759" i="1"/>
  <c r="X759" i="1"/>
  <c r="Y759" i="1" s="1"/>
  <c r="V806" i="1"/>
  <c r="X806" i="1"/>
  <c r="V868" i="1"/>
  <c r="X868" i="1"/>
  <c r="V1689" i="1"/>
  <c r="X1689" i="1"/>
  <c r="V1481" i="1"/>
  <c r="X1481" i="1"/>
  <c r="Y1481" i="1" s="1"/>
  <c r="AA1305" i="1"/>
  <c r="Y1305" i="1"/>
  <c r="AA1706" i="1"/>
  <c r="Y1706" i="1"/>
  <c r="X816" i="1"/>
  <c r="Y816" i="1" s="1"/>
  <c r="V816" i="1"/>
  <c r="X1517" i="1"/>
  <c r="V1517" i="1"/>
  <c r="AA1263" i="1"/>
  <c r="Y1263" i="1"/>
  <c r="AA849" i="1"/>
  <c r="AA1052" i="1"/>
  <c r="AA256" i="1"/>
  <c r="AA1423" i="1"/>
  <c r="V1224" i="1"/>
  <c r="X1224" i="1"/>
  <c r="Y1224" i="1" s="1"/>
  <c r="AA1394" i="1"/>
  <c r="V1270" i="1"/>
  <c r="X1270" i="1"/>
  <c r="X1499" i="1"/>
  <c r="V1499" i="1"/>
  <c r="Y1021" i="1"/>
  <c r="AA1021" i="1"/>
  <c r="Y1268" i="1"/>
  <c r="AA1268" i="1"/>
  <c r="V1061" i="1"/>
  <c r="X1061" i="1"/>
  <c r="Y1061" i="1" s="1"/>
  <c r="AA1343" i="1"/>
  <c r="Y1343" i="1"/>
  <c r="X1507" i="1"/>
  <c r="Y1507" i="1" s="1"/>
  <c r="V1507" i="1"/>
  <c r="AA1322" i="1"/>
  <c r="Y1322" i="1"/>
  <c r="X1313" i="1"/>
  <c r="V1313" i="1"/>
  <c r="V966" i="1"/>
  <c r="X966" i="1"/>
  <c r="Y966" i="1" s="1"/>
  <c r="V626" i="1"/>
  <c r="X626" i="1"/>
  <c r="Y626" i="1" s="1"/>
  <c r="AB626" i="1" s="1"/>
  <c r="AC626" i="1" s="1"/>
  <c r="X797" i="1"/>
  <c r="Y797" i="1" s="1"/>
  <c r="V797" i="1"/>
  <c r="X1131" i="1"/>
  <c r="Y1131" i="1" s="1"/>
  <c r="V1131" i="1"/>
  <c r="Y1240" i="1"/>
  <c r="AA1240" i="1"/>
  <c r="AA807" i="1"/>
  <c r="Y807" i="1"/>
  <c r="X251" i="1"/>
  <c r="Y251" i="1" s="1"/>
  <c r="V251" i="1"/>
  <c r="X1677" i="1"/>
  <c r="V1677" i="1"/>
  <c r="X247" i="1"/>
  <c r="Y247" i="1" s="1"/>
  <c r="V247" i="1"/>
  <c r="V17" i="1"/>
  <c r="X17" i="1"/>
  <c r="Y17" i="1" s="1"/>
  <c r="V608" i="1"/>
  <c r="X608" i="1"/>
  <c r="Y608" i="1" s="1"/>
  <c r="AB608" i="1" s="1"/>
  <c r="AC608" i="1" s="1"/>
  <c r="X1068" i="1"/>
  <c r="Y1068" i="1" s="1"/>
  <c r="AB1068" i="1" s="1"/>
  <c r="AC1068" i="1" s="1"/>
  <c r="V1068" i="1"/>
  <c r="Y856" i="1"/>
  <c r="AA856" i="1"/>
  <c r="V1006" i="1"/>
  <c r="X1006" i="1"/>
  <c r="Y1006" i="1" s="1"/>
  <c r="V1105" i="1"/>
  <c r="X1105" i="1"/>
  <c r="X1269" i="1"/>
  <c r="V1269" i="1"/>
  <c r="X807" i="1"/>
  <c r="V807" i="1"/>
  <c r="V1209" i="1"/>
  <c r="X1209" i="1"/>
  <c r="Y1209" i="1" s="1"/>
  <c r="V1340" i="1"/>
  <c r="X1340" i="1"/>
  <c r="Y1340" i="1" s="1"/>
  <c r="AA268" i="1"/>
  <c r="V1627" i="1"/>
  <c r="X1627" i="1"/>
  <c r="Y1627" i="1" s="1"/>
  <c r="X259" i="1"/>
  <c r="Y259" i="1" s="1"/>
  <c r="V259" i="1"/>
  <c r="Y579" i="1"/>
  <c r="AA579" i="1"/>
  <c r="V4" i="1"/>
  <c r="X4" i="1"/>
  <c r="Y4" i="1" s="1"/>
  <c r="Y13" i="1"/>
  <c r="AA13" i="1"/>
  <c r="AA434" i="1"/>
  <c r="X213" i="1"/>
  <c r="Y213" i="1" s="1"/>
  <c r="AB213" i="1" s="1"/>
  <c r="AC213" i="1" s="1"/>
  <c r="V213" i="1"/>
  <c r="Y456" i="1"/>
  <c r="X701" i="1"/>
  <c r="V701" i="1"/>
  <c r="X733" i="1"/>
  <c r="V733" i="1"/>
  <c r="AA797" i="1"/>
  <c r="AA833" i="1"/>
  <c r="Y1037" i="1"/>
  <c r="AA1037" i="1"/>
  <c r="AA1105" i="1"/>
  <c r="Y1105" i="1"/>
  <c r="V46" i="1"/>
  <c r="X46" i="1"/>
  <c r="Y46" i="1" s="1"/>
  <c r="Y20" i="1"/>
  <c r="AA20" i="1"/>
  <c r="Y1729" i="1"/>
  <c r="AA1729" i="1"/>
  <c r="X1619" i="1"/>
  <c r="V1619" i="1"/>
  <c r="AA221" i="1"/>
  <c r="Y1541" i="1"/>
  <c r="AA1541" i="1"/>
  <c r="AA22" i="1"/>
  <c r="Y1522" i="1"/>
  <c r="AA1522" i="1"/>
  <c r="X561" i="1"/>
  <c r="Y561" i="1" s="1"/>
  <c r="V561" i="1"/>
  <c r="V1218" i="1"/>
  <c r="X1218" i="1"/>
  <c r="Y1218" i="1" s="1"/>
  <c r="AB1218" i="1" s="1"/>
  <c r="AC1218" i="1" s="1"/>
  <c r="X124" i="1"/>
  <c r="Y124" i="1" s="1"/>
  <c r="V124" i="1"/>
  <c r="AA1678" i="1"/>
  <c r="Y1678" i="1"/>
  <c r="X1430" i="1"/>
  <c r="Y1430" i="1" s="1"/>
  <c r="AB1430" i="1" s="1"/>
  <c r="AC1430" i="1" s="1"/>
  <c r="V1430" i="1"/>
  <c r="X521" i="1"/>
  <c r="Y521" i="1" s="1"/>
  <c r="V521" i="1"/>
  <c r="X1195" i="1"/>
  <c r="Y1195" i="1" s="1"/>
  <c r="V1195" i="1"/>
  <c r="AA599" i="1"/>
  <c r="Y1153" i="1"/>
  <c r="V1442" i="1"/>
  <c r="X1442" i="1"/>
  <c r="AA242" i="1"/>
  <c r="X476" i="1"/>
  <c r="Y476" i="1" s="1"/>
  <c r="AB476" i="1" s="1"/>
  <c r="AC476" i="1" s="1"/>
  <c r="V476" i="1"/>
  <c r="AA1370" i="1"/>
  <c r="Y1370" i="1"/>
  <c r="V768" i="1"/>
  <c r="X768" i="1"/>
  <c r="Y768" i="1" s="1"/>
  <c r="X830" i="1"/>
  <c r="Y830" i="1" s="1"/>
  <c r="V830" i="1"/>
  <c r="Y1042" i="1"/>
  <c r="AA1042" i="1"/>
  <c r="AA1440" i="1"/>
  <c r="Y1440" i="1"/>
  <c r="X188" i="1"/>
  <c r="Y188" i="1" s="1"/>
  <c r="V403" i="1"/>
  <c r="X1667" i="1"/>
  <c r="V1667" i="1"/>
  <c r="AA575" i="1"/>
  <c r="X1755" i="1"/>
  <c r="V1755" i="1"/>
  <c r="Y575" i="1"/>
  <c r="X741" i="1"/>
  <c r="V741" i="1"/>
  <c r="Y30" i="1"/>
  <c r="AA30" i="1"/>
  <c r="Y948" i="1"/>
  <c r="AA948" i="1"/>
  <c r="X1231" i="1"/>
  <c r="V1231" i="1"/>
  <c r="Y1269" i="1"/>
  <c r="AA1269" i="1"/>
  <c r="AA1619" i="1"/>
  <c r="Y1619" i="1"/>
  <c r="X562" i="1"/>
  <c r="Y562" i="1" s="1"/>
  <c r="V562" i="1"/>
  <c r="X343" i="1"/>
  <c r="Y343" i="1" s="1"/>
  <c r="AB343" i="1" s="1"/>
  <c r="AC343" i="1" s="1"/>
  <c r="V343" i="1"/>
  <c r="AA407" i="1"/>
  <c r="X1674" i="1"/>
  <c r="Y1674" i="1" s="1"/>
  <c r="V1674" i="1"/>
  <c r="Y1750" i="1"/>
  <c r="AA1750" i="1"/>
  <c r="X1114" i="1"/>
  <c r="Y1114" i="1" s="1"/>
  <c r="V1114" i="1"/>
  <c r="X955" i="1"/>
  <c r="V955" i="1"/>
  <c r="V361" i="1"/>
  <c r="X361" i="1"/>
  <c r="Y361" i="1" s="1"/>
  <c r="AA470" i="1"/>
  <c r="X761" i="1"/>
  <c r="Y761" i="1" s="1"/>
  <c r="AB761" i="1" s="1"/>
  <c r="AC761" i="1" s="1"/>
  <c r="V761" i="1"/>
  <c r="AA963" i="1"/>
  <c r="Y963" i="1"/>
  <c r="AA1442" i="1"/>
  <c r="Y1442" i="1"/>
  <c r="AA561" i="1"/>
  <c r="AA1697" i="1"/>
  <c r="Y1697" i="1"/>
  <c r="X1130" i="1"/>
  <c r="Y1130" i="1" s="1"/>
  <c r="V1130" i="1"/>
  <c r="X1368" i="1"/>
  <c r="Y1368" i="1" s="1"/>
  <c r="AB1368" i="1" s="1"/>
  <c r="AC1368" i="1" s="1"/>
  <c r="V1368" i="1"/>
  <c r="V199" i="1"/>
  <c r="X199" i="1"/>
  <c r="Y199" i="1" s="1"/>
  <c r="V1322" i="1"/>
  <c r="X1322" i="1"/>
  <c r="AA1130" i="1"/>
  <c r="AA940" i="1"/>
  <c r="X451" i="1"/>
  <c r="Y451" i="1" s="1"/>
  <c r="V451" i="1"/>
  <c r="X1557" i="1"/>
  <c r="V1557" i="1"/>
  <c r="AA733" i="1"/>
  <c r="Y733" i="1"/>
  <c r="Y917" i="1"/>
  <c r="AA917" i="1"/>
  <c r="X1569" i="1"/>
  <c r="Y1569" i="1" s="1"/>
  <c r="V1569" i="1"/>
  <c r="X137" i="1"/>
  <c r="Y137" i="1" s="1"/>
  <c r="V137" i="1"/>
  <c r="X1565" i="1"/>
  <c r="Y1565" i="1" s="1"/>
  <c r="V1565" i="1"/>
  <c r="X833" i="1"/>
  <c r="Y833" i="1" s="1"/>
  <c r="V833" i="1"/>
  <c r="X1167" i="1"/>
  <c r="Y1167" i="1" s="1"/>
  <c r="V1167" i="1"/>
  <c r="X884" i="1"/>
  <c r="Y884" i="1" s="1"/>
  <c r="AB884" i="1" s="1"/>
  <c r="AC884" i="1" s="1"/>
  <c r="V884" i="1"/>
  <c r="X1228" i="1"/>
  <c r="Y1228" i="1" s="1"/>
  <c r="V1228" i="1"/>
  <c r="AA449" i="1"/>
  <c r="AA110" i="1"/>
  <c r="Y1537" i="1"/>
  <c r="AA1537" i="1"/>
  <c r="X1529" i="1"/>
  <c r="V1529" i="1"/>
  <c r="V1062" i="1"/>
  <c r="X1062" i="1"/>
  <c r="AA1139" i="1"/>
  <c r="Y1139" i="1"/>
  <c r="AA534" i="1"/>
  <c r="X624" i="1"/>
  <c r="Y624" i="1" s="1"/>
  <c r="V624" i="1"/>
  <c r="X677" i="1"/>
  <c r="Y677" i="1" s="1"/>
  <c r="V677" i="1"/>
  <c r="V437" i="1"/>
  <c r="X437" i="1"/>
  <c r="Y437" i="1" s="1"/>
  <c r="V1763" i="1"/>
  <c r="X1763" i="1"/>
  <c r="X407" i="1"/>
  <c r="Y407" i="1" s="1"/>
  <c r="V407" i="1"/>
  <c r="V472" i="1"/>
  <c r="X472" i="1"/>
  <c r="Y472" i="1" s="1"/>
  <c r="V14" i="1"/>
  <c r="X14" i="1"/>
  <c r="AA1059" i="1"/>
  <c r="X1335" i="1"/>
  <c r="V1335" i="1"/>
  <c r="X599" i="1"/>
  <c r="Y599" i="1" s="1"/>
  <c r="V599" i="1"/>
  <c r="V166" i="1"/>
  <c r="X166" i="1"/>
  <c r="Y166" i="1" s="1"/>
  <c r="AB166" i="1" s="1"/>
  <c r="AC166" i="1" s="1"/>
  <c r="AA688" i="1"/>
  <c r="Y688" i="1"/>
  <c r="AA802" i="1"/>
  <c r="Y802" i="1"/>
  <c r="X242" i="1"/>
  <c r="Y242" i="1" s="1"/>
  <c r="V242" i="1"/>
  <c r="X879" i="1"/>
  <c r="Y879" i="1" s="1"/>
  <c r="AB879" i="1" s="1"/>
  <c r="AC879" i="1" s="1"/>
  <c r="V879" i="1"/>
  <c r="X1522" i="1"/>
  <c r="V1522" i="1"/>
  <c r="AA1270" i="1"/>
  <c r="Y1270" i="1"/>
  <c r="AA284" i="1"/>
  <c r="X1594" i="1"/>
  <c r="V1594" i="1"/>
  <c r="AA832" i="1"/>
  <c r="X1262" i="1"/>
  <c r="V1262" i="1"/>
  <c r="X1512" i="1"/>
  <c r="Y1512" i="1" s="1"/>
  <c r="V1512" i="1"/>
  <c r="X715" i="1"/>
  <c r="Y715" i="1" s="1"/>
  <c r="V715" i="1"/>
  <c r="V506" i="1"/>
  <c r="X506" i="1"/>
  <c r="Y506" i="1" s="1"/>
  <c r="Y1295" i="1"/>
  <c r="AA1295" i="1"/>
  <c r="X1196" i="1"/>
  <c r="Y1196" i="1" s="1"/>
  <c r="V1196" i="1"/>
  <c r="X394" i="1"/>
  <c r="Y394" i="1" s="1"/>
  <c r="V394" i="1"/>
  <c r="AA1097" i="1"/>
  <c r="Y1097" i="1"/>
  <c r="X1699" i="1"/>
  <c r="V1699" i="1"/>
  <c r="V1094" i="1"/>
  <c r="X1094" i="1"/>
  <c r="Y1094" i="1" s="1"/>
  <c r="V222" i="1"/>
  <c r="X222" i="1"/>
  <c r="Y222" i="1" s="1"/>
  <c r="AA227" i="1"/>
  <c r="Y227" i="1"/>
  <c r="Y701" i="1"/>
  <c r="AA701" i="1"/>
  <c r="X977" i="1"/>
  <c r="Y977" i="1" s="1"/>
  <c r="V977" i="1"/>
  <c r="AA1131" i="1"/>
  <c r="Y1422" i="1"/>
  <c r="V1066" i="1"/>
  <c r="X1066" i="1"/>
  <c r="Y1066" i="1" s="1"/>
  <c r="AA1285" i="1"/>
  <c r="Y1285" i="1"/>
  <c r="X596" i="1"/>
  <c r="Y596" i="1" s="1"/>
  <c r="V596" i="1"/>
  <c r="AA247" i="1"/>
  <c r="AA17" i="1"/>
  <c r="AA548" i="1"/>
  <c r="AA232" i="1"/>
  <c r="X141" i="1"/>
  <c r="Y141" i="1" s="1"/>
  <c r="AB141" i="1" s="1"/>
  <c r="AC141" i="1" s="1"/>
  <c r="V141" i="1"/>
  <c r="AA188" i="1"/>
  <c r="X801" i="1"/>
  <c r="V801" i="1"/>
  <c r="AA915" i="1"/>
  <c r="X734" i="1"/>
  <c r="V734" i="1"/>
  <c r="X782" i="1"/>
  <c r="Y782" i="1" s="1"/>
  <c r="AB782" i="1" s="1"/>
  <c r="AC782" i="1" s="1"/>
  <c r="V782" i="1"/>
  <c r="AA1106" i="1"/>
  <c r="X1146" i="1"/>
  <c r="Y1146" i="1" s="1"/>
  <c r="AB1146" i="1" s="1"/>
  <c r="AC1146" i="1" s="1"/>
  <c r="V1146" i="1"/>
  <c r="AA1197" i="1"/>
  <c r="V534" i="1"/>
  <c r="X534" i="1"/>
  <c r="Y534" i="1" s="1"/>
  <c r="X1727" i="1"/>
  <c r="V1727" i="1"/>
  <c r="AA562" i="1"/>
  <c r="Y1561" i="1"/>
  <c r="AA1561" i="1"/>
  <c r="V655" i="1"/>
  <c r="X655" i="1"/>
  <c r="Y655" i="1" s="1"/>
  <c r="Y1682" i="1"/>
  <c r="AA1682" i="1"/>
  <c r="X616" i="1"/>
  <c r="Y616" i="1" s="1"/>
  <c r="V616" i="1"/>
  <c r="V418" i="1"/>
  <c r="X418" i="1"/>
  <c r="Y418" i="1" s="1"/>
  <c r="X21" i="1"/>
  <c r="V21" i="1"/>
  <c r="X537" i="1"/>
  <c r="Y537" i="1" s="1"/>
  <c r="V537" i="1"/>
  <c r="V1633" i="1"/>
  <c r="X1633" i="1"/>
  <c r="Y1633" i="1" s="1"/>
  <c r="X1556" i="1"/>
  <c r="Y1556" i="1" s="1"/>
  <c r="AB1556" i="1" s="1"/>
  <c r="AC1556" i="1" s="1"/>
  <c r="V1556" i="1"/>
  <c r="X832" i="1"/>
  <c r="Y832" i="1" s="1"/>
  <c r="V832" i="1"/>
  <c r="V1052" i="1"/>
  <c r="X1052" i="1"/>
  <c r="Y1052" i="1" s="1"/>
  <c r="V284" i="1"/>
  <c r="X284" i="1"/>
  <c r="Y284" i="1" s="1"/>
  <c r="Y1254" i="1"/>
  <c r="AA1254" i="1"/>
  <c r="AB726" i="1"/>
  <c r="AC726" i="1" s="1"/>
  <c r="X201" i="1"/>
  <c r="Y201" i="1" s="1"/>
  <c r="AB201" i="1" s="1"/>
  <c r="AC201" i="1" s="1"/>
  <c r="V201" i="1"/>
  <c r="V931" i="1"/>
  <c r="X931" i="1"/>
  <c r="Y931" i="1" s="1"/>
  <c r="V1295" i="1"/>
  <c r="X1295" i="1"/>
  <c r="AA521" i="1"/>
  <c r="V850" i="1"/>
  <c r="X850" i="1"/>
  <c r="Y850" i="1" s="1"/>
  <c r="AB850" i="1" s="1"/>
  <c r="AC850" i="1" s="1"/>
  <c r="Y1484" i="1"/>
  <c r="AA1484" i="1"/>
  <c r="X802" i="1"/>
  <c r="V802" i="1"/>
  <c r="X1370" i="1"/>
  <c r="V1370" i="1"/>
  <c r="V108" i="1"/>
  <c r="X108" i="1"/>
  <c r="Y108" i="1" s="1"/>
  <c r="V751" i="1"/>
  <c r="X751" i="1"/>
  <c r="X1029" i="1"/>
  <c r="V1029" i="1"/>
  <c r="Y1394" i="1"/>
  <c r="V928" i="1"/>
  <c r="X928" i="1"/>
  <c r="Y928" i="1" s="1"/>
  <c r="AA108" i="1"/>
  <c r="X548" i="1"/>
  <c r="Y548" i="1" s="1"/>
  <c r="V548" i="1"/>
  <c r="AA488" i="1"/>
  <c r="X1037" i="1"/>
  <c r="V1037" i="1"/>
  <c r="V280" i="1"/>
  <c r="X280" i="1"/>
  <c r="Y280" i="1" s="1"/>
  <c r="X982" i="1"/>
  <c r="Y982" i="1" s="1"/>
  <c r="V982" i="1"/>
  <c r="V1362" i="1"/>
  <c r="X1362" i="1"/>
  <c r="Y1362" i="1" s="1"/>
  <c r="X1621" i="1"/>
  <c r="V1621" i="1"/>
  <c r="X1612" i="1"/>
  <c r="Y1612" i="1" s="1"/>
  <c r="V1612" i="1"/>
  <c r="X948" i="1"/>
  <c r="V948" i="1"/>
  <c r="X1069" i="1"/>
  <c r="Y1069" i="1" s="1"/>
  <c r="V1069" i="1"/>
  <c r="AA738" i="1"/>
  <c r="Y738" i="1"/>
  <c r="Y1659" i="1"/>
  <c r="AA1659" i="1"/>
  <c r="X1693" i="1"/>
  <c r="Y1693" i="1" s="1"/>
  <c r="V1693" i="1"/>
  <c r="X702" i="1"/>
  <c r="Y702" i="1" s="1"/>
  <c r="V702" i="1"/>
  <c r="AA734" i="1"/>
  <c r="Y734" i="1"/>
  <c r="X880" i="1"/>
  <c r="V880" i="1"/>
  <c r="X978" i="1"/>
  <c r="Y978" i="1" s="1"/>
  <c r="V978" i="1"/>
  <c r="AA1030" i="1"/>
  <c r="X1106" i="1"/>
  <c r="Y1106" i="1" s="1"/>
  <c r="V1106" i="1"/>
  <c r="Y1377" i="1"/>
  <c r="AA1377" i="1"/>
  <c r="Y547" i="1"/>
  <c r="Y269" i="1"/>
  <c r="Y1727" i="1"/>
  <c r="AA1727" i="1"/>
  <c r="AA101" i="1"/>
  <c r="V163" i="1"/>
  <c r="X163" i="1"/>
  <c r="Y163" i="1" s="1"/>
  <c r="X549" i="1"/>
  <c r="Y549" i="1" s="1"/>
  <c r="V549" i="1"/>
  <c r="AA616" i="1"/>
  <c r="V530" i="1"/>
  <c r="X530" i="1"/>
  <c r="Y530" i="1" s="1"/>
  <c r="AA1763" i="1"/>
  <c r="Y1763" i="1"/>
  <c r="Y21" i="1"/>
  <c r="AA21" i="1"/>
  <c r="V938" i="1"/>
  <c r="X938" i="1"/>
  <c r="Y938" i="1" s="1"/>
  <c r="AB938" i="1" s="1"/>
  <c r="AC938" i="1" s="1"/>
  <c r="AA1219" i="1"/>
  <c r="X1159" i="1"/>
  <c r="Y1159" i="1" s="1"/>
  <c r="AB1159" i="1" s="1"/>
  <c r="AC1159" i="1" s="1"/>
  <c r="V1159" i="1"/>
  <c r="AA1636" i="1"/>
  <c r="Y1335" i="1"/>
  <c r="AA1335" i="1"/>
  <c r="Y1738" i="1"/>
  <c r="AA1738" i="1"/>
  <c r="AA898" i="1"/>
  <c r="Y898" i="1"/>
  <c r="AA894" i="1"/>
  <c r="X1230" i="1"/>
  <c r="Y1230" i="1" s="1"/>
  <c r="AB1230" i="1" s="1"/>
  <c r="AC1230" i="1" s="1"/>
  <c r="V1230" i="1"/>
  <c r="X940" i="1"/>
  <c r="Y940" i="1" s="1"/>
  <c r="V940" i="1"/>
  <c r="X917" i="1"/>
  <c r="V917" i="1"/>
  <c r="AA1262" i="1"/>
  <c r="Y1262" i="1"/>
  <c r="V1488" i="1"/>
  <c r="X1488" i="1"/>
  <c r="Y1488" i="1" s="1"/>
  <c r="AA1680" i="1"/>
  <c r="X70" i="1"/>
  <c r="Y70" i="1" s="1"/>
  <c r="V70" i="1"/>
  <c r="X731" i="1"/>
  <c r="Y731" i="1" s="1"/>
  <c r="AB731" i="1" s="1"/>
  <c r="AC731" i="1" s="1"/>
  <c r="V731" i="1"/>
  <c r="X1028" i="1"/>
  <c r="Y1028" i="1" s="1"/>
  <c r="AB1028" i="1" s="1"/>
  <c r="AC1028" i="1" s="1"/>
  <c r="V1028" i="1"/>
  <c r="AA702" i="1"/>
  <c r="X842" i="1"/>
  <c r="V842" i="1"/>
  <c r="AA880" i="1"/>
  <c r="Y880" i="1"/>
  <c r="AA978" i="1"/>
  <c r="X1197" i="1"/>
  <c r="Y1197" i="1" s="1"/>
  <c r="V1197" i="1"/>
  <c r="Y1757" i="1"/>
  <c r="AA1757" i="1"/>
  <c r="V886" i="1"/>
  <c r="X886" i="1"/>
  <c r="Y886" i="1" s="1"/>
  <c r="AA1044" i="1"/>
  <c r="Y1044" i="1"/>
  <c r="X1181" i="1"/>
  <c r="Y1181" i="1" s="1"/>
  <c r="V1181" i="1"/>
  <c r="X1253" i="1"/>
  <c r="V1253" i="1"/>
  <c r="Y1319" i="1"/>
  <c r="AA1319" i="1"/>
  <c r="Y1381" i="1"/>
  <c r="AA1381" i="1"/>
  <c r="X789" i="1"/>
  <c r="Y789" i="1" s="1"/>
  <c r="V789" i="1"/>
  <c r="Y1296" i="1"/>
  <c r="AA1296" i="1"/>
  <c r="Y1328" i="1"/>
  <c r="AA1328" i="1"/>
  <c r="V1414" i="1"/>
  <c r="X1414" i="1"/>
  <c r="Y1414" i="1" s="1"/>
  <c r="AA1601" i="1"/>
  <c r="Y1601" i="1"/>
  <c r="X1450" i="1"/>
  <c r="V1450" i="1"/>
  <c r="X1489" i="1"/>
  <c r="V1489" i="1"/>
  <c r="AA1173" i="1"/>
  <c r="Y1173" i="1"/>
  <c r="AA1202" i="1"/>
  <c r="X1273" i="1"/>
  <c r="V1273" i="1"/>
  <c r="V1334" i="1"/>
  <c r="X1334" i="1"/>
  <c r="X644" i="1"/>
  <c r="Y644" i="1" s="1"/>
  <c r="V644" i="1"/>
  <c r="AA430" i="1"/>
  <c r="V107" i="1"/>
  <c r="X107" i="1"/>
  <c r="Y107" i="1" s="1"/>
  <c r="X1502" i="1"/>
  <c r="Y1502" i="1" s="1"/>
  <c r="V1502" i="1"/>
  <c r="X83" i="1"/>
  <c r="Y83" i="1" s="1"/>
  <c r="AB83" i="1" s="1"/>
  <c r="AC83" i="1" s="1"/>
  <c r="V83" i="1"/>
  <c r="X631" i="1"/>
  <c r="Y631" i="1" s="1"/>
  <c r="V631" i="1"/>
  <c r="AA157" i="1"/>
  <c r="AA59" i="1"/>
  <c r="Y59" i="1"/>
  <c r="AA220" i="1"/>
  <c r="V518" i="1"/>
  <c r="X518" i="1"/>
  <c r="Y518" i="1" s="1"/>
  <c r="AA320" i="1"/>
  <c r="V291" i="1"/>
  <c r="X291" i="1"/>
  <c r="Y291" i="1" s="1"/>
  <c r="X699" i="1"/>
  <c r="Y699" i="1" s="1"/>
  <c r="AB699" i="1" s="1"/>
  <c r="AC699" i="1" s="1"/>
  <c r="V699" i="1"/>
  <c r="V1548" i="1"/>
  <c r="X1548" i="1"/>
  <c r="AA520" i="1"/>
  <c r="X651" i="1"/>
  <c r="Y651" i="1" s="1"/>
  <c r="V651" i="1"/>
  <c r="V1363" i="1"/>
  <c r="X1363" i="1"/>
  <c r="Y1363" i="1" s="1"/>
  <c r="V1305" i="1"/>
  <c r="X1305" i="1"/>
  <c r="X863" i="1"/>
  <c r="Y863" i="1" s="1"/>
  <c r="AB863" i="1" s="1"/>
  <c r="AC863" i="1" s="1"/>
  <c r="V863" i="1"/>
  <c r="AA1481" i="1"/>
  <c r="AA98" i="1"/>
  <c r="AA31" i="1"/>
  <c r="AA1344" i="1"/>
  <c r="Y1344" i="1"/>
  <c r="X748" i="1"/>
  <c r="V748" i="1"/>
  <c r="X292" i="1"/>
  <c r="Y292" i="1" s="1"/>
  <c r="V292" i="1"/>
  <c r="X778" i="1"/>
  <c r="V778" i="1"/>
  <c r="V411" i="1"/>
  <c r="X411" i="1"/>
  <c r="Y411" i="1" s="1"/>
  <c r="X297" i="1"/>
  <c r="Y297" i="1" s="1"/>
  <c r="V297" i="1"/>
  <c r="Y1090" i="1"/>
  <c r="AA814" i="1"/>
  <c r="Y814" i="1"/>
  <c r="AA887" i="1"/>
  <c r="X1160" i="1"/>
  <c r="V1160" i="1"/>
  <c r="V1011" i="1"/>
  <c r="X1011" i="1"/>
  <c r="Y1011" i="1" s="1"/>
  <c r="V1526" i="1"/>
  <c r="X1526" i="1"/>
  <c r="Y1526" i="1" s="1"/>
  <c r="X221" i="1"/>
  <c r="Y221" i="1" s="1"/>
  <c r="V221" i="1"/>
  <c r="X110" i="1"/>
  <c r="Y110" i="1" s="1"/>
  <c r="V110" i="1"/>
  <c r="AA1196" i="1"/>
  <c r="V509" i="1"/>
  <c r="X509" i="1"/>
  <c r="Y509" i="1" s="1"/>
  <c r="Y1711" i="1"/>
  <c r="AA1711" i="1"/>
  <c r="AA747" i="1"/>
  <c r="Y747" i="1"/>
  <c r="Y842" i="1"/>
  <c r="AA842" i="1"/>
  <c r="Y1038" i="1"/>
  <c r="AA1038" i="1"/>
  <c r="V1077" i="1"/>
  <c r="X1077" i="1"/>
  <c r="Y1077" i="1" s="1"/>
  <c r="AA547" i="1"/>
  <c r="AA732" i="1"/>
  <c r="Y732" i="1"/>
  <c r="X825" i="1"/>
  <c r="Y825" i="1" s="1"/>
  <c r="V825" i="1"/>
  <c r="V855" i="1"/>
  <c r="X855" i="1"/>
  <c r="Y855" i="1" s="1"/>
  <c r="Y916" i="1"/>
  <c r="AA916" i="1"/>
  <c r="X976" i="1"/>
  <c r="Y976" i="1" s="1"/>
  <c r="AB976" i="1" s="1"/>
  <c r="AC976" i="1" s="1"/>
  <c r="V976" i="1"/>
  <c r="X1044" i="1"/>
  <c r="V1044" i="1"/>
  <c r="V1122" i="1"/>
  <c r="X1122" i="1"/>
  <c r="AA1253" i="1"/>
  <c r="Y1253" i="1"/>
  <c r="X1287" i="1"/>
  <c r="V1287" i="1"/>
  <c r="X614" i="1"/>
  <c r="Y614" i="1" s="1"/>
  <c r="AB614" i="1" s="1"/>
  <c r="AC614" i="1" s="1"/>
  <c r="V614" i="1"/>
  <c r="V1336" i="1"/>
  <c r="X1336" i="1"/>
  <c r="AA1450" i="1"/>
  <c r="Y1450" i="1"/>
  <c r="X133" i="1"/>
  <c r="Y133" i="1" s="1"/>
  <c r="V133" i="1"/>
  <c r="Y1399" i="1"/>
  <c r="AA1399" i="1"/>
  <c r="V1173" i="1"/>
  <c r="X1173" i="1"/>
  <c r="AA1252" i="1"/>
  <c r="Y1252" i="1"/>
  <c r="V194" i="1"/>
  <c r="X194" i="1"/>
  <c r="Y194" i="1" s="1"/>
  <c r="AA1502" i="1"/>
  <c r="V93" i="1"/>
  <c r="X93" i="1"/>
  <c r="Y93" i="1" s="1"/>
  <c r="V673" i="1"/>
  <c r="X673" i="1"/>
  <c r="Y673" i="1" s="1"/>
  <c r="AB673" i="1" s="1"/>
  <c r="AC673" i="1" s="1"/>
  <c r="X210" i="1"/>
  <c r="Y210" i="1" s="1"/>
  <c r="AB210" i="1" s="1"/>
  <c r="AC210" i="1" s="1"/>
  <c r="V210" i="1"/>
  <c r="X587" i="1"/>
  <c r="Y587" i="1" s="1"/>
  <c r="V587" i="1"/>
  <c r="AA1515" i="1"/>
  <c r="X1562" i="1"/>
  <c r="V1562" i="1"/>
  <c r="X379" i="1"/>
  <c r="Y379" i="1" s="1"/>
  <c r="V379" i="1"/>
  <c r="X672" i="1"/>
  <c r="Y672" i="1" s="1"/>
  <c r="V672" i="1"/>
  <c r="X442" i="1"/>
  <c r="Y442" i="1" s="1"/>
  <c r="V442" i="1"/>
  <c r="AA1548" i="1"/>
  <c r="Y1548" i="1"/>
  <c r="V1625" i="1"/>
  <c r="X1625" i="1"/>
  <c r="Y1625" i="1" s="1"/>
  <c r="V332" i="1"/>
  <c r="X332" i="1"/>
  <c r="Y332" i="1" s="1"/>
  <c r="V406" i="1"/>
  <c r="X406" i="1"/>
  <c r="Y406" i="1" s="1"/>
  <c r="AB406" i="1" s="1"/>
  <c r="AC406" i="1" s="1"/>
  <c r="X1084" i="1"/>
  <c r="Y1084" i="1" s="1"/>
  <c r="AB1084" i="1" s="1"/>
  <c r="AC1084" i="1" s="1"/>
  <c r="V1084" i="1"/>
  <c r="AA667" i="1"/>
  <c r="V685" i="1"/>
  <c r="X685" i="1"/>
  <c r="Y685" i="1" s="1"/>
  <c r="AB685" i="1" s="1"/>
  <c r="AC685" i="1" s="1"/>
  <c r="V611" i="1"/>
  <c r="X611" i="1"/>
  <c r="Y611" i="1" s="1"/>
  <c r="X197" i="1"/>
  <c r="Y197" i="1" s="1"/>
  <c r="V197" i="1"/>
  <c r="X1059" i="1"/>
  <c r="Y1059" i="1" s="1"/>
  <c r="V1059" i="1"/>
  <c r="X713" i="1"/>
  <c r="Y713" i="1" s="1"/>
  <c r="AB713" i="1" s="1"/>
  <c r="AC713" i="1" s="1"/>
  <c r="V713" i="1"/>
  <c r="Y955" i="1"/>
  <c r="AA955" i="1"/>
  <c r="AA1123" i="1"/>
  <c r="Y1123" i="1"/>
  <c r="X1343" i="1"/>
  <c r="V1343" i="1"/>
  <c r="V649" i="1"/>
  <c r="X649" i="1"/>
  <c r="Y649" i="1" s="1"/>
  <c r="AB649" i="1" s="1"/>
  <c r="AC649" i="1" s="1"/>
  <c r="X230" i="1"/>
  <c r="Y230" i="1" s="1"/>
  <c r="AB230" i="1" s="1"/>
  <c r="AC230" i="1" s="1"/>
  <c r="V230" i="1"/>
  <c r="X1021" i="1"/>
  <c r="V1021" i="1"/>
  <c r="X1268" i="1"/>
  <c r="V1268" i="1"/>
  <c r="AA1029" i="1"/>
  <c r="Y1029" i="1"/>
  <c r="X1312" i="1"/>
  <c r="V1312" i="1"/>
  <c r="V1527" i="1"/>
  <c r="X1527" i="1"/>
  <c r="X894" i="1"/>
  <c r="Y894" i="1" s="1"/>
  <c r="V894" i="1"/>
  <c r="V887" i="1"/>
  <c r="X887" i="1"/>
  <c r="Y887" i="1" s="1"/>
  <c r="X1455" i="1"/>
  <c r="Y1455" i="1" s="1"/>
  <c r="V1455" i="1"/>
  <c r="V856" i="1"/>
  <c r="X856" i="1"/>
  <c r="AA1224" i="1"/>
  <c r="V1482" i="1"/>
  <c r="X1482" i="1"/>
  <c r="Y1482" i="1" s="1"/>
  <c r="X1026" i="1"/>
  <c r="Y1026" i="1" s="1"/>
  <c r="V1026" i="1"/>
  <c r="V1424" i="1"/>
  <c r="X1424" i="1"/>
  <c r="Y1424" i="1" s="1"/>
  <c r="AB1424" i="1" s="1"/>
  <c r="AC1424" i="1" s="1"/>
  <c r="X58" i="1"/>
  <c r="Y58" i="1" s="1"/>
  <c r="AB58" i="1" s="1"/>
  <c r="AC58" i="1" s="1"/>
  <c r="V58" i="1"/>
  <c r="Y1313" i="1"/>
  <c r="AA1313" i="1"/>
  <c r="Y1423" i="1"/>
  <c r="V738" i="1"/>
  <c r="X738" i="1"/>
  <c r="V261" i="1"/>
  <c r="X261" i="1"/>
  <c r="Y261" i="1" s="1"/>
  <c r="AB261" i="1" s="1"/>
  <c r="AC261" i="1" s="1"/>
  <c r="V458" i="1"/>
  <c r="X458" i="1"/>
  <c r="Y458" i="1" s="1"/>
  <c r="AB458" i="1" s="1"/>
  <c r="AC458" i="1" s="1"/>
  <c r="AA1599" i="1"/>
  <c r="Y1599" i="1"/>
  <c r="AA1654" i="1"/>
  <c r="Y1654" i="1"/>
  <c r="V172" i="1"/>
  <c r="X172" i="1"/>
  <c r="Y172" i="1" s="1"/>
  <c r="V49" i="1"/>
  <c r="X49" i="1"/>
  <c r="Y49" i="1" s="1"/>
  <c r="AA334" i="1"/>
  <c r="Y270" i="1"/>
  <c r="X554" i="1"/>
  <c r="Y554" i="1" s="1"/>
  <c r="AB554" i="1" s="1"/>
  <c r="AC554" i="1" s="1"/>
  <c r="V554" i="1"/>
  <c r="X930" i="1"/>
  <c r="Y930" i="1" s="1"/>
  <c r="AB930" i="1" s="1"/>
  <c r="AC930" i="1" s="1"/>
  <c r="V930" i="1"/>
  <c r="X1043" i="1"/>
  <c r="V1043" i="1"/>
  <c r="X708" i="1"/>
  <c r="V708" i="1"/>
  <c r="AA742" i="1"/>
  <c r="Y742" i="1"/>
  <c r="X849" i="1"/>
  <c r="Y849" i="1" s="1"/>
  <c r="V849" i="1"/>
  <c r="V1038" i="1"/>
  <c r="X1038" i="1"/>
  <c r="AA1077" i="1"/>
  <c r="X1168" i="1"/>
  <c r="Y1168" i="1" s="1"/>
  <c r="AB1168" i="1" s="1"/>
  <c r="AC1168" i="1" s="1"/>
  <c r="V1168" i="1"/>
  <c r="V767" i="1"/>
  <c r="X767" i="1"/>
  <c r="Y767" i="1" s="1"/>
  <c r="X667" i="1"/>
  <c r="Y667" i="1" s="1"/>
  <c r="V667" i="1"/>
  <c r="AA1122" i="1"/>
  <c r="Y1122" i="1"/>
  <c r="X1189" i="1"/>
  <c r="Y1189" i="1" s="1"/>
  <c r="AB1189" i="1" s="1"/>
  <c r="AC1189" i="1" s="1"/>
  <c r="V1189" i="1"/>
  <c r="X1261" i="1"/>
  <c r="V1261" i="1"/>
  <c r="V1327" i="1"/>
  <c r="X1327" i="1"/>
  <c r="X1304" i="1"/>
  <c r="V1304" i="1"/>
  <c r="Y1336" i="1"/>
  <c r="AA1336" i="1"/>
  <c r="Y1517" i="1"/>
  <c r="AA1517" i="1"/>
  <c r="V132" i="1"/>
  <c r="X132" i="1"/>
  <c r="Y132" i="1" s="1"/>
  <c r="Y31" i="1"/>
  <c r="X1263" i="1"/>
  <c r="V1263" i="1"/>
  <c r="V1364" i="1"/>
  <c r="X1364" i="1"/>
  <c r="Y1364" i="1" s="1"/>
  <c r="AA1395" i="1"/>
  <c r="Y1395" i="1"/>
  <c r="V619" i="1"/>
  <c r="X619" i="1"/>
  <c r="Y619" i="1" s="1"/>
  <c r="V1202" i="1"/>
  <c r="X1202" i="1"/>
  <c r="Y1202" i="1" s="1"/>
  <c r="X1279" i="1"/>
  <c r="V1279" i="1"/>
  <c r="V1388" i="1"/>
  <c r="X1388" i="1"/>
  <c r="Y1388" i="1" s="1"/>
  <c r="X1446" i="1"/>
  <c r="Y1446" i="1" s="1"/>
  <c r="V1446" i="1"/>
  <c r="X430" i="1"/>
  <c r="Y430" i="1" s="1"/>
  <c r="V430" i="1"/>
  <c r="X1472" i="1"/>
  <c r="Y1472" i="1" s="1"/>
  <c r="V1472" i="1"/>
  <c r="X642" i="1"/>
  <c r="Y642" i="1" s="1"/>
  <c r="V642" i="1"/>
  <c r="V1655" i="1"/>
  <c r="X1655" i="1"/>
  <c r="X220" i="1"/>
  <c r="Y220" i="1" s="1"/>
  <c r="V220" i="1"/>
  <c r="V1515" i="1"/>
  <c r="X1515" i="1"/>
  <c r="Y1515" i="1" s="1"/>
  <c r="V545" i="1"/>
  <c r="X545" i="1"/>
  <c r="Y545" i="1" s="1"/>
  <c r="X254" i="1"/>
  <c r="Y254" i="1" s="1"/>
  <c r="V254" i="1"/>
  <c r="V462" i="1"/>
  <c r="X462" i="1"/>
  <c r="Y462" i="1" s="1"/>
  <c r="V329" i="1"/>
  <c r="X329" i="1"/>
  <c r="Y329" i="1" s="1"/>
  <c r="AA5" i="1"/>
  <c r="V356" i="1"/>
  <c r="X356" i="1"/>
  <c r="Y356" i="1" s="1"/>
  <c r="X560" i="1"/>
  <c r="Y560" i="1" s="1"/>
  <c r="AB560" i="1" s="1"/>
  <c r="AC560" i="1" s="1"/>
  <c r="V560" i="1"/>
  <c r="V470" i="1"/>
  <c r="X470" i="1"/>
  <c r="Y470" i="1" s="1"/>
  <c r="AA1557" i="1"/>
  <c r="Y1557" i="1"/>
  <c r="V1636" i="1"/>
  <c r="X1636" i="1"/>
  <c r="Y1636" i="1" s="1"/>
  <c r="V1596" i="1"/>
  <c r="X1596" i="1"/>
  <c r="Y1596" i="1" s="1"/>
  <c r="AB1596" i="1" s="1"/>
  <c r="AC1596" i="1" s="1"/>
  <c r="V971" i="1"/>
  <c r="X971" i="1"/>
  <c r="Y971" i="1" s="1"/>
  <c r="AB971" i="1" s="1"/>
  <c r="AC971" i="1" s="1"/>
  <c r="V89" i="1"/>
  <c r="X89" i="1"/>
  <c r="Y89" i="1" s="1"/>
  <c r="AB89" i="1" s="1"/>
  <c r="AC89" i="1" s="1"/>
  <c r="V857" i="1"/>
  <c r="X857" i="1"/>
  <c r="Y857" i="1" s="1"/>
  <c r="AB857" i="1" s="1"/>
  <c r="AC857" i="1" s="1"/>
  <c r="V896" i="1"/>
  <c r="X896" i="1"/>
  <c r="Y896" i="1" s="1"/>
  <c r="AB896" i="1" s="1"/>
  <c r="AC896" i="1" s="1"/>
  <c r="AA949" i="1"/>
  <c r="AA986" i="1"/>
  <c r="AA1114" i="1"/>
  <c r="V769" i="1"/>
  <c r="X769" i="1"/>
  <c r="Y769" i="1" s="1"/>
  <c r="AB769" i="1" s="1"/>
  <c r="AC769" i="1" s="1"/>
  <c r="Y865" i="1"/>
  <c r="AA748" i="1"/>
  <c r="Y748" i="1"/>
  <c r="AA931" i="1"/>
  <c r="X962" i="1"/>
  <c r="Y962" i="1" s="1"/>
  <c r="V962" i="1"/>
  <c r="AA1658" i="1"/>
  <c r="Y1658" i="1"/>
  <c r="X1060" i="1"/>
  <c r="Y1060" i="1" s="1"/>
  <c r="AB1060" i="1" s="1"/>
  <c r="AC1060" i="1" s="1"/>
  <c r="V1060" i="1"/>
  <c r="V1096" i="1"/>
  <c r="X1096" i="1"/>
  <c r="Y1096" i="1" s="1"/>
  <c r="AA1195" i="1"/>
  <c r="Y1219" i="1"/>
  <c r="AA741" i="1"/>
  <c r="Y741" i="1"/>
  <c r="V612" i="1"/>
  <c r="X612" i="1"/>
  <c r="Y612" i="1" s="1"/>
  <c r="AB612" i="1" s="1"/>
  <c r="AC612" i="1" s="1"/>
  <c r="X30" i="1"/>
  <c r="V30" i="1"/>
  <c r="X864" i="1"/>
  <c r="Y864" i="1" s="1"/>
  <c r="V864" i="1"/>
  <c r="AA895" i="1"/>
  <c r="V1045" i="1"/>
  <c r="X1045" i="1"/>
  <c r="V1113" i="1"/>
  <c r="X1113" i="1"/>
  <c r="Y1113" i="1" s="1"/>
  <c r="V1174" i="1"/>
  <c r="X1174" i="1"/>
  <c r="Y1174" i="1" s="1"/>
  <c r="V1328" i="1"/>
  <c r="X1328" i="1"/>
  <c r="Y1312" i="1"/>
  <c r="AA1312" i="1"/>
  <c r="V1369" i="1"/>
  <c r="X1369" i="1"/>
  <c r="Y1369" i="1" s="1"/>
  <c r="Y35" i="1"/>
  <c r="AA35" i="1"/>
  <c r="AA309" i="1"/>
  <c r="AA1507" i="1"/>
  <c r="X164" i="1"/>
  <c r="Y164" i="1" s="1"/>
  <c r="AB164" i="1" s="1"/>
  <c r="AC164" i="1" s="1"/>
  <c r="V164" i="1"/>
  <c r="X1552" i="1"/>
  <c r="V1552" i="1"/>
  <c r="V1350" i="1"/>
  <c r="X1350" i="1"/>
  <c r="Y103" i="1"/>
  <c r="AA766" i="1"/>
  <c r="X814" i="1"/>
  <c r="V814" i="1"/>
  <c r="V875" i="1"/>
  <c r="X875" i="1"/>
  <c r="Y875" i="1" s="1"/>
  <c r="X996" i="1"/>
  <c r="V996" i="1"/>
  <c r="AA1087" i="1"/>
  <c r="X1258" i="1"/>
  <c r="V1258" i="1"/>
  <c r="V1316" i="1"/>
  <c r="X1316" i="1"/>
  <c r="X1373" i="1"/>
  <c r="Y1373" i="1" s="1"/>
  <c r="V1373" i="1"/>
  <c r="Y2" i="1"/>
  <c r="AA2" i="1"/>
  <c r="Y1585" i="1"/>
  <c r="AA1585" i="1"/>
  <c r="X320" i="1"/>
  <c r="Y320" i="1" s="1"/>
  <c r="V320" i="1"/>
  <c r="V326" i="1"/>
  <c r="X326" i="1"/>
  <c r="Y326" i="1" s="1"/>
  <c r="V412" i="1"/>
  <c r="X412" i="1"/>
  <c r="Y412" i="1" s="1"/>
  <c r="V1561" i="1"/>
  <c r="X1561" i="1"/>
  <c r="Y829" i="1"/>
  <c r="X303" i="1"/>
  <c r="Y303" i="1" s="1"/>
  <c r="V303" i="1"/>
  <c r="X25" i="1"/>
  <c r="Y25" i="1" s="1"/>
  <c r="V25" i="1"/>
  <c r="X47" i="1"/>
  <c r="Y47" i="1" s="1"/>
  <c r="V47" i="1"/>
  <c r="V1722" i="1"/>
  <c r="X1722" i="1"/>
  <c r="V94" i="1"/>
  <c r="X94" i="1"/>
  <c r="Y94" i="1" s="1"/>
  <c r="AA661" i="1"/>
  <c r="AA664" i="1"/>
  <c r="AA416" i="1"/>
  <c r="AA14" i="1"/>
  <c r="Y14" i="1"/>
  <c r="AA1633" i="1"/>
  <c r="V159" i="1"/>
  <c r="X159" i="1"/>
  <c r="Y159" i="1" s="1"/>
  <c r="X232" i="1"/>
  <c r="Y232" i="1" s="1"/>
  <c r="V232" i="1"/>
  <c r="V130" i="1"/>
  <c r="X130" i="1"/>
  <c r="Y130" i="1" s="1"/>
  <c r="AE1547" i="1"/>
  <c r="AG1547" i="1" s="1"/>
  <c r="Y1628" i="1"/>
  <c r="AA1628" i="1"/>
  <c r="V1590" i="1"/>
  <c r="X1590" i="1"/>
  <c r="X1074" i="1"/>
  <c r="Y1074" i="1" s="1"/>
  <c r="AB1074" i="1" s="1"/>
  <c r="AC1074" i="1" s="1"/>
  <c r="V1074" i="1"/>
  <c r="X1098" i="1"/>
  <c r="V1098" i="1"/>
  <c r="X949" i="1"/>
  <c r="Y949" i="1" s="1"/>
  <c r="V949" i="1"/>
  <c r="V986" i="1"/>
  <c r="X986" i="1"/>
  <c r="Y986" i="1" s="1"/>
  <c r="X1175" i="1"/>
  <c r="Y1175" i="1" s="1"/>
  <c r="AB1175" i="1" s="1"/>
  <c r="AC1175" i="1" s="1"/>
  <c r="V1175" i="1"/>
  <c r="X834" i="1"/>
  <c r="Y834" i="1" s="1"/>
  <c r="V834" i="1"/>
  <c r="AB901" i="1"/>
  <c r="AC901" i="1" s="1"/>
  <c r="X780" i="1"/>
  <c r="Y780" i="1" s="1"/>
  <c r="AB780" i="1" s="1"/>
  <c r="AC780" i="1" s="1"/>
  <c r="V780" i="1"/>
  <c r="X809" i="1"/>
  <c r="V809" i="1"/>
  <c r="V902" i="1"/>
  <c r="X902" i="1"/>
  <c r="Y902" i="1" s="1"/>
  <c r="AA1096" i="1"/>
  <c r="X1203" i="1"/>
  <c r="Y1203" i="1" s="1"/>
  <c r="V1203" i="1"/>
  <c r="AB1238" i="1"/>
  <c r="AC1238" i="1" s="1"/>
  <c r="X1303" i="1"/>
  <c r="V1303" i="1"/>
  <c r="V1342" i="1"/>
  <c r="X1342" i="1"/>
  <c r="Y1342" i="1" s="1"/>
  <c r="AB1342" i="1" s="1"/>
  <c r="AC1342" i="1" s="1"/>
  <c r="X841" i="1"/>
  <c r="Y841" i="1" s="1"/>
  <c r="V841" i="1"/>
  <c r="V895" i="1"/>
  <c r="X895" i="1"/>
  <c r="Y895" i="1" s="1"/>
  <c r="AA1045" i="1"/>
  <c r="Y1045" i="1"/>
  <c r="V1138" i="1"/>
  <c r="X1138" i="1"/>
  <c r="Y1138" i="1" s="1"/>
  <c r="AA1174" i="1"/>
  <c r="X1288" i="1"/>
  <c r="V1288" i="1"/>
  <c r="AA1349" i="1"/>
  <c r="AA1369" i="1"/>
  <c r="X1429" i="1"/>
  <c r="V1429" i="1"/>
  <c r="X439" i="1"/>
  <c r="Y439" i="1" s="1"/>
  <c r="AB439" i="1" s="1"/>
  <c r="AC439" i="1" s="1"/>
  <c r="V439" i="1"/>
  <c r="V1329" i="1"/>
  <c r="X1329" i="1"/>
  <c r="X1248" i="1"/>
  <c r="V1248" i="1"/>
  <c r="Y1552" i="1"/>
  <c r="AA1552" i="1"/>
  <c r="Y1350" i="1"/>
  <c r="AA1350" i="1"/>
  <c r="V1383" i="1"/>
  <c r="X1383" i="1"/>
  <c r="Y1383" i="1" s="1"/>
  <c r="AB1383" i="1" s="1"/>
  <c r="AC1383" i="1" s="1"/>
  <c r="AA1407" i="1"/>
  <c r="X1593" i="1"/>
  <c r="V1593" i="1"/>
  <c r="AA793" i="1"/>
  <c r="AA907" i="1"/>
  <c r="AA996" i="1"/>
  <c r="Y996" i="1"/>
  <c r="X1057" i="1"/>
  <c r="Y1057" i="1" s="1"/>
  <c r="AB1057" i="1" s="1"/>
  <c r="AC1057" i="1" s="1"/>
  <c r="V1057" i="1"/>
  <c r="V1087" i="1"/>
  <c r="X1087" i="1"/>
  <c r="Y1087" i="1" s="1"/>
  <c r="V1208" i="1"/>
  <c r="X1208" i="1"/>
  <c r="Y1208" i="1" s="1"/>
  <c r="V1444" i="1"/>
  <c r="X1444" i="1"/>
  <c r="Y1444" i="1" s="1"/>
  <c r="V167" i="1"/>
  <c r="X167" i="1"/>
  <c r="Y167" i="1" s="1"/>
  <c r="AA310" i="1"/>
  <c r="X1449" i="1"/>
  <c r="Y1449" i="1" s="1"/>
  <c r="V1449" i="1"/>
  <c r="X262" i="1"/>
  <c r="Y262" i="1" s="1"/>
  <c r="V262" i="1"/>
  <c r="V388" i="1"/>
  <c r="X388" i="1"/>
  <c r="Y388" i="1" s="1"/>
  <c r="AA1570" i="1"/>
  <c r="Y1570" i="1"/>
  <c r="X571" i="1"/>
  <c r="V571" i="1"/>
  <c r="X129" i="1"/>
  <c r="Y129" i="1" s="1"/>
  <c r="V129" i="1"/>
  <c r="X625" i="1"/>
  <c r="Y625" i="1" s="1"/>
  <c r="V625" i="1"/>
  <c r="V341" i="1"/>
  <c r="X341" i="1"/>
  <c r="Y341" i="1" s="1"/>
  <c r="AA1591" i="1"/>
  <c r="Y1591" i="1"/>
  <c r="Y1686" i="1"/>
  <c r="AA1686" i="1"/>
  <c r="V1726" i="1"/>
  <c r="X1726" i="1"/>
  <c r="AA1723" i="1"/>
  <c r="Y1723" i="1"/>
  <c r="X413" i="1"/>
  <c r="Y413" i="1" s="1"/>
  <c r="V413" i="1"/>
  <c r="X367" i="1"/>
  <c r="Y367" i="1" s="1"/>
  <c r="V367" i="1"/>
  <c r="X1679" i="1"/>
  <c r="V1679" i="1"/>
  <c r="X193" i="1"/>
  <c r="Y193" i="1" s="1"/>
  <c r="V193" i="1"/>
  <c r="X271" i="1"/>
  <c r="Y271" i="1" s="1"/>
  <c r="AB271" i="1" s="1"/>
  <c r="AC271" i="1" s="1"/>
  <c r="V271" i="1"/>
  <c r="AA1744" i="1"/>
  <c r="Y1744" i="1"/>
  <c r="X1617" i="1"/>
  <c r="V1617" i="1"/>
  <c r="X1532" i="1"/>
  <c r="V1532" i="1"/>
  <c r="V150" i="1"/>
  <c r="X150" i="1"/>
  <c r="Y150" i="1" s="1"/>
  <c r="V661" i="1"/>
  <c r="X661" i="1"/>
  <c r="Y661" i="1" s="1"/>
  <c r="V1520" i="1"/>
  <c r="X1520" i="1"/>
  <c r="X348" i="1"/>
  <c r="Y348" i="1" s="1"/>
  <c r="V348" i="1"/>
  <c r="V516" i="1"/>
  <c r="X516" i="1"/>
  <c r="Y516" i="1" s="1"/>
  <c r="V1734" i="1"/>
  <c r="X1734" i="1"/>
  <c r="X1121" i="1"/>
  <c r="Y1121" i="1" s="1"/>
  <c r="AB1121" i="1" s="1"/>
  <c r="AC1121" i="1" s="1"/>
  <c r="V1121" i="1"/>
  <c r="V1154" i="1"/>
  <c r="X1154" i="1"/>
  <c r="Y1154" i="1" s="1"/>
  <c r="AB1154" i="1" s="1"/>
  <c r="AC1154" i="1" s="1"/>
  <c r="Y915" i="1"/>
  <c r="X984" i="1"/>
  <c r="Y984" i="1" s="1"/>
  <c r="V984" i="1"/>
  <c r="Y809" i="1"/>
  <c r="AA809" i="1"/>
  <c r="X840" i="1"/>
  <c r="Y840" i="1" s="1"/>
  <c r="V840" i="1"/>
  <c r="X871" i="1"/>
  <c r="V871" i="1"/>
  <c r="X998" i="1"/>
  <c r="Y998" i="1" s="1"/>
  <c r="AB998" i="1" s="1"/>
  <c r="AC998" i="1" s="1"/>
  <c r="V998" i="1"/>
  <c r="Y1602" i="1"/>
  <c r="AA1602" i="1"/>
  <c r="Y1274" i="1"/>
  <c r="AA1274" i="1"/>
  <c r="AA1303" i="1"/>
  <c r="Y1303" i="1"/>
  <c r="X810" i="1"/>
  <c r="V810" i="1"/>
  <c r="V956" i="1"/>
  <c r="X956" i="1"/>
  <c r="V1014" i="1"/>
  <c r="X1014" i="1"/>
  <c r="Y1014" i="1" s="1"/>
  <c r="X1212" i="1"/>
  <c r="Y1212" i="1" s="1"/>
  <c r="V1212" i="1"/>
  <c r="AA1575" i="1"/>
  <c r="Y1575" i="1"/>
  <c r="Y1288" i="1"/>
  <c r="AA1288" i="1"/>
  <c r="X570" i="1"/>
  <c r="V570" i="1"/>
  <c r="X1377" i="1"/>
  <c r="V1377" i="1"/>
  <c r="V1289" i="1"/>
  <c r="X1289" i="1"/>
  <c r="X1321" i="1"/>
  <c r="V1321" i="1"/>
  <c r="X623" i="1"/>
  <c r="Y623" i="1" s="1"/>
  <c r="AB623" i="1" s="1"/>
  <c r="AC623" i="1" s="1"/>
  <c r="V623" i="1"/>
  <c r="V692" i="1"/>
  <c r="X692" i="1"/>
  <c r="Y692" i="1" s="1"/>
  <c r="AA1487" i="1"/>
  <c r="X717" i="1"/>
  <c r="Y717" i="1" s="1"/>
  <c r="V717" i="1"/>
  <c r="X745" i="1"/>
  <c r="V745" i="1"/>
  <c r="V793" i="1"/>
  <c r="X793" i="1"/>
  <c r="Y793" i="1" s="1"/>
  <c r="AA1149" i="1"/>
  <c r="V1178" i="1"/>
  <c r="X1178" i="1"/>
  <c r="Y1178" i="1" s="1"/>
  <c r="X1235" i="1"/>
  <c r="V1235" i="1"/>
  <c r="V1284" i="1"/>
  <c r="X1284" i="1"/>
  <c r="AA1404" i="1"/>
  <c r="V636" i="1"/>
  <c r="X636" i="1"/>
  <c r="Y636" i="1" s="1"/>
  <c r="AB636" i="1" s="1"/>
  <c r="AC636" i="1" s="1"/>
  <c r="V444" i="1"/>
  <c r="X444" i="1"/>
  <c r="Y444" i="1" s="1"/>
  <c r="AB444" i="1" s="1"/>
  <c r="AC444" i="1" s="1"/>
  <c r="AA576" i="1"/>
  <c r="Y576" i="1"/>
  <c r="AA754" i="1"/>
  <c r="Y754" i="1"/>
  <c r="AA900" i="1"/>
  <c r="V921" i="1"/>
  <c r="X921" i="1"/>
  <c r="V974" i="1"/>
  <c r="X974" i="1"/>
  <c r="Y974" i="1" s="1"/>
  <c r="X1115" i="1"/>
  <c r="Y1115" i="1" s="1"/>
  <c r="AB1115" i="1" s="1"/>
  <c r="AC1115" i="1" s="1"/>
  <c r="V1115" i="1"/>
  <c r="AA1301" i="1"/>
  <c r="Y1301" i="1"/>
  <c r="X1374" i="1"/>
  <c r="Y1374" i="1" s="1"/>
  <c r="V1374" i="1"/>
  <c r="V1504" i="1"/>
  <c r="X1504" i="1"/>
  <c r="Y1504" i="1" s="1"/>
  <c r="V1464" i="1"/>
  <c r="X1464" i="1"/>
  <c r="X1664" i="1"/>
  <c r="V1664" i="1"/>
  <c r="X1570" i="1"/>
  <c r="V1570" i="1"/>
  <c r="AA571" i="1"/>
  <c r="Y571" i="1"/>
  <c r="X663" i="1"/>
  <c r="Y663" i="1" s="1"/>
  <c r="V663" i="1"/>
  <c r="Y1649" i="1"/>
  <c r="AA1649" i="1"/>
  <c r="AA1604" i="1"/>
  <c r="Y1604" i="1"/>
  <c r="X386" i="1"/>
  <c r="Y386" i="1" s="1"/>
  <c r="V386" i="1"/>
  <c r="X479" i="1"/>
  <c r="Y479" i="1" s="1"/>
  <c r="V479" i="1"/>
  <c r="V1670" i="1"/>
  <c r="X1670" i="1"/>
  <c r="Y1670" i="1" s="1"/>
  <c r="Y1726" i="1"/>
  <c r="AA1726" i="1"/>
  <c r="AA528" i="1"/>
  <c r="X541" i="1"/>
  <c r="Y541" i="1" s="1"/>
  <c r="V541" i="1"/>
  <c r="V1767" i="1"/>
  <c r="X1767" i="1"/>
  <c r="Y1030" i="1"/>
  <c r="V1576" i="1"/>
  <c r="X1576" i="1"/>
  <c r="Y1576" i="1" s="1"/>
  <c r="AA369" i="1"/>
  <c r="X1533" i="1"/>
  <c r="V1533" i="1"/>
  <c r="Y1679" i="1"/>
  <c r="AA1679" i="1"/>
  <c r="V109" i="1"/>
  <c r="X109" i="1"/>
  <c r="Y109" i="1" s="1"/>
  <c r="X362" i="1"/>
  <c r="Y362" i="1" s="1"/>
  <c r="AB362" i="1" s="1"/>
  <c r="AC362" i="1" s="1"/>
  <c r="V362" i="1"/>
  <c r="X1606" i="1"/>
  <c r="V1606" i="1"/>
  <c r="V104" i="1"/>
  <c r="X104" i="1"/>
  <c r="Y104" i="1" s="1"/>
  <c r="V1638" i="1"/>
  <c r="X1638" i="1"/>
  <c r="V228" i="1"/>
  <c r="X228" i="1"/>
  <c r="Y228" i="1" s="1"/>
  <c r="V469" i="1"/>
  <c r="X469" i="1"/>
  <c r="Y469" i="1" s="1"/>
  <c r="X689" i="1"/>
  <c r="Y689" i="1" s="1"/>
  <c r="V689" i="1"/>
  <c r="AA1617" i="1"/>
  <c r="Y1617" i="1"/>
  <c r="AA1532" i="1"/>
  <c r="Y1532" i="1"/>
  <c r="AA1715" i="1"/>
  <c r="Y1715" i="1"/>
  <c r="X416" i="1"/>
  <c r="Y416" i="1" s="1"/>
  <c r="V416" i="1"/>
  <c r="V278" i="1"/>
  <c r="X278" i="1"/>
  <c r="Y278" i="1" s="1"/>
  <c r="V569" i="1"/>
  <c r="X569" i="1"/>
  <c r="Y569" i="1" s="1"/>
  <c r="X205" i="1"/>
  <c r="Y205" i="1" s="1"/>
  <c r="V205" i="1"/>
  <c r="AA1734" i="1"/>
  <c r="Y1734" i="1"/>
  <c r="AA635" i="1"/>
  <c r="AA130" i="1"/>
  <c r="Y98" i="1"/>
  <c r="X1485" i="1"/>
  <c r="Y1485" i="1" s="1"/>
  <c r="AB1485" i="1" s="1"/>
  <c r="AC1485" i="1" s="1"/>
  <c r="V1485" i="1"/>
  <c r="X716" i="1"/>
  <c r="Y716" i="1" s="1"/>
  <c r="V716" i="1"/>
  <c r="X1360" i="1"/>
  <c r="Y1360" i="1" s="1"/>
  <c r="V1360" i="1"/>
  <c r="V787" i="1"/>
  <c r="X787" i="1"/>
  <c r="Y787" i="1" s="1"/>
  <c r="AB787" i="1" s="1"/>
  <c r="AC787" i="1" s="1"/>
  <c r="X877" i="1"/>
  <c r="Y877" i="1" s="1"/>
  <c r="AB877" i="1" s="1"/>
  <c r="AC877" i="1" s="1"/>
  <c r="V877" i="1"/>
  <c r="AF703" i="1"/>
  <c r="AD703" i="1"/>
  <c r="X1225" i="1"/>
  <c r="Y1225" i="1" s="1"/>
  <c r="AB1225" i="1" s="1"/>
  <c r="AC1225" i="1" s="1"/>
  <c r="V1225" i="1"/>
  <c r="X904" i="1"/>
  <c r="Y904" i="1" s="1"/>
  <c r="V904" i="1"/>
  <c r="V957" i="1"/>
  <c r="X957" i="1"/>
  <c r="Y957" i="1" s="1"/>
  <c r="AB957" i="1" s="1"/>
  <c r="AC957" i="1" s="1"/>
  <c r="X1054" i="1"/>
  <c r="Y1054" i="1" s="1"/>
  <c r="V1054" i="1"/>
  <c r="AA1183" i="1"/>
  <c r="Y871" i="1"/>
  <c r="AA871" i="1"/>
  <c r="X939" i="1"/>
  <c r="Y939" i="1" s="1"/>
  <c r="AB939" i="1" s="1"/>
  <c r="AC939" i="1" s="1"/>
  <c r="V939" i="1"/>
  <c r="X71" i="1"/>
  <c r="Y71" i="1" s="1"/>
  <c r="AB71" i="1" s="1"/>
  <c r="AC71" i="1" s="1"/>
  <c r="V71" i="1"/>
  <c r="X1602" i="1"/>
  <c r="V1602" i="1"/>
  <c r="X1274" i="1"/>
  <c r="V1274" i="1"/>
  <c r="X1311" i="1"/>
  <c r="V1311" i="1"/>
  <c r="AA658" i="1"/>
  <c r="Y658" i="1"/>
  <c r="AA1145" i="1"/>
  <c r="X749" i="1"/>
  <c r="V749" i="1"/>
  <c r="V903" i="1"/>
  <c r="X903" i="1"/>
  <c r="Y903" i="1" s="1"/>
  <c r="V932" i="1"/>
  <c r="X932" i="1"/>
  <c r="Y932" i="1" s="1"/>
  <c r="Y956" i="1"/>
  <c r="AA956" i="1"/>
  <c r="X1076" i="1"/>
  <c r="Y1076" i="1" s="1"/>
  <c r="V1076" i="1"/>
  <c r="Y1145" i="1"/>
  <c r="AA1239" i="1"/>
  <c r="Y1239" i="1"/>
  <c r="Y1320" i="1"/>
  <c r="AA1320" i="1"/>
  <c r="X1349" i="1"/>
  <c r="Y1349" i="1" s="1"/>
  <c r="V1349" i="1"/>
  <c r="Y1429" i="1"/>
  <c r="AA1429" i="1"/>
  <c r="V598" i="1"/>
  <c r="X598" i="1"/>
  <c r="Y598" i="1" s="1"/>
  <c r="X1555" i="1"/>
  <c r="V1555" i="1"/>
  <c r="V155" i="1"/>
  <c r="X155" i="1"/>
  <c r="Y155" i="1" s="1"/>
  <c r="AB155" i="1" s="1"/>
  <c r="AC155" i="1" s="1"/>
  <c r="V279" i="1"/>
  <c r="X279" i="1"/>
  <c r="Y279" i="1" s="1"/>
  <c r="AA1289" i="1"/>
  <c r="Y1289" i="1"/>
  <c r="V1358" i="1"/>
  <c r="X1358" i="1"/>
  <c r="V920" i="1"/>
  <c r="X920" i="1"/>
  <c r="Y920" i="1" s="1"/>
  <c r="AA745" i="1"/>
  <c r="Y745" i="1"/>
  <c r="AA772" i="1"/>
  <c r="X907" i="1"/>
  <c r="Y907" i="1" s="1"/>
  <c r="V907" i="1"/>
  <c r="X936" i="1"/>
  <c r="Y936" i="1" s="1"/>
  <c r="V936" i="1"/>
  <c r="AA1119" i="1"/>
  <c r="X1149" i="1"/>
  <c r="Y1149" i="1" s="1"/>
  <c r="V1149" i="1"/>
  <c r="AA1178" i="1"/>
  <c r="AA1235" i="1"/>
  <c r="Y1235" i="1"/>
  <c r="AA1324" i="1"/>
  <c r="Y1324" i="1"/>
  <c r="X1346" i="1"/>
  <c r="Y1346" i="1" s="1"/>
  <c r="AB1346" i="1" s="1"/>
  <c r="AC1346" i="1" s="1"/>
  <c r="V1346" i="1"/>
  <c r="X1379" i="1"/>
  <c r="Y1379" i="1" s="1"/>
  <c r="V1379" i="1"/>
  <c r="X629" i="1"/>
  <c r="Y629" i="1" s="1"/>
  <c r="V629" i="1"/>
  <c r="V1462" i="1"/>
  <c r="X1462" i="1"/>
  <c r="V1478" i="1"/>
  <c r="X1478" i="1"/>
  <c r="Y1478" i="1" s="1"/>
  <c r="AB1478" i="1" s="1"/>
  <c r="AC1478" i="1" s="1"/>
  <c r="V1487" i="1"/>
  <c r="X1487" i="1"/>
  <c r="Y1487" i="1" s="1"/>
  <c r="AA692" i="1"/>
  <c r="V1519" i="1"/>
  <c r="X1519" i="1"/>
  <c r="Y1519" i="1" s="1"/>
  <c r="X684" i="1"/>
  <c r="Y684" i="1" s="1"/>
  <c r="V684" i="1"/>
  <c r="X607" i="1"/>
  <c r="Y607" i="1" s="1"/>
  <c r="V607" i="1"/>
  <c r="X576" i="1"/>
  <c r="V576" i="1"/>
  <c r="X705" i="1"/>
  <c r="V705" i="1"/>
  <c r="Y800" i="1"/>
  <c r="AA800" i="1"/>
  <c r="V823" i="1"/>
  <c r="X823" i="1"/>
  <c r="Y823" i="1" s="1"/>
  <c r="V846" i="1"/>
  <c r="X846" i="1"/>
  <c r="Y846" i="1" s="1"/>
  <c r="V1088" i="1"/>
  <c r="X1088" i="1"/>
  <c r="Y1088" i="1" s="1"/>
  <c r="V1142" i="1"/>
  <c r="X1142" i="1"/>
  <c r="Y1142" i="1" s="1"/>
  <c r="AB1142" i="1" s="1"/>
  <c r="AC1142" i="1" s="1"/>
  <c r="X1221" i="1"/>
  <c r="V1221" i="1"/>
  <c r="X1579" i="1"/>
  <c r="V1579" i="1"/>
  <c r="X1301" i="1"/>
  <c r="V1301" i="1"/>
  <c r="X73" i="1"/>
  <c r="Y73" i="1" s="1"/>
  <c r="V73" i="1"/>
  <c r="X1583" i="1"/>
  <c r="V1583" i="1"/>
  <c r="X499" i="1"/>
  <c r="Y499" i="1" s="1"/>
  <c r="V499" i="1"/>
  <c r="V1216" i="1"/>
  <c r="X1216" i="1"/>
  <c r="AA1267" i="1"/>
  <c r="Y1267" i="1"/>
  <c r="X1355" i="1"/>
  <c r="Y1355" i="1" s="1"/>
  <c r="V1355" i="1"/>
  <c r="V34" i="1"/>
  <c r="X34" i="1"/>
  <c r="V1398" i="1"/>
  <c r="X1398" i="1"/>
  <c r="AA304" i="1"/>
  <c r="AA1469" i="1"/>
  <c r="V1506" i="1"/>
  <c r="X1506" i="1"/>
  <c r="Y1506" i="1" s="1"/>
  <c r="Y1712" i="1"/>
  <c r="AA1712" i="1"/>
  <c r="AA572" i="1"/>
  <c r="Y572" i="1"/>
  <c r="V147" i="1"/>
  <c r="X147" i="1"/>
  <c r="Y147" i="1" s="1"/>
  <c r="V1491" i="1"/>
  <c r="X1491" i="1"/>
  <c r="Y1491" i="1" s="1"/>
  <c r="V585" i="1"/>
  <c r="X585" i="1"/>
  <c r="AA1464" i="1"/>
  <c r="Y1464" i="1"/>
  <c r="X286" i="1"/>
  <c r="Y286" i="1" s="1"/>
  <c r="V286" i="1"/>
  <c r="X426" i="1"/>
  <c r="Y426" i="1" s="1"/>
  <c r="V426" i="1"/>
  <c r="AA1664" i="1"/>
  <c r="Y1664" i="1"/>
  <c r="AA203" i="1"/>
  <c r="V1554" i="1"/>
  <c r="X1554" i="1"/>
  <c r="AA445" i="1"/>
  <c r="V80" i="1"/>
  <c r="X80" i="1"/>
  <c r="Y80" i="1" s="1"/>
  <c r="X182" i="1"/>
  <c r="Y182" i="1" s="1"/>
  <c r="V182" i="1"/>
  <c r="V318" i="1"/>
  <c r="X318" i="1"/>
  <c r="Y318" i="1" s="1"/>
  <c r="AA10" i="1"/>
  <c r="Y1767" i="1"/>
  <c r="AA1767" i="1"/>
  <c r="V28" i="1"/>
  <c r="X28" i="1"/>
  <c r="Y28" i="1" s="1"/>
  <c r="AB28" i="1" s="1"/>
  <c r="AC28" i="1" s="1"/>
  <c r="Y981" i="1"/>
  <c r="X116" i="1"/>
  <c r="Y116" i="1" s="1"/>
  <c r="V116" i="1"/>
  <c r="AA1576" i="1"/>
  <c r="V369" i="1"/>
  <c r="X369" i="1"/>
  <c r="Y369" i="1" s="1"/>
  <c r="AA1533" i="1"/>
  <c r="Y1533" i="1"/>
  <c r="AA1747" i="1"/>
  <c r="X657" i="1"/>
  <c r="Y657" i="1" s="1"/>
  <c r="V657" i="1"/>
  <c r="Y1606" i="1"/>
  <c r="AA1606" i="1"/>
  <c r="X392" i="1"/>
  <c r="Y392" i="1" s="1"/>
  <c r="V392" i="1"/>
  <c r="X111" i="1"/>
  <c r="Y111" i="1" s="1"/>
  <c r="V111" i="1"/>
  <c r="AA1638" i="1"/>
  <c r="Y1638" i="1"/>
  <c r="V1592" i="1"/>
  <c r="X1592" i="1"/>
  <c r="V1744" i="1"/>
  <c r="X1744" i="1"/>
  <c r="X665" i="1"/>
  <c r="Y665" i="1" s="1"/>
  <c r="V665" i="1"/>
  <c r="AA492" i="1"/>
  <c r="X1635" i="1"/>
  <c r="V1635" i="1"/>
  <c r="X1715" i="1"/>
  <c r="V1715" i="1"/>
  <c r="X370" i="1"/>
  <c r="Y370" i="1" s="1"/>
  <c r="V370" i="1"/>
  <c r="V235" i="1"/>
  <c r="X235" i="1"/>
  <c r="Y235" i="1" s="1"/>
  <c r="X399" i="1"/>
  <c r="Y399" i="1" s="1"/>
  <c r="V399" i="1"/>
  <c r="AA144" i="1"/>
  <c r="X635" i="1"/>
  <c r="Y635" i="1" s="1"/>
  <c r="V635" i="1"/>
  <c r="X1634" i="1"/>
  <c r="Y1634" i="1" s="1"/>
  <c r="AB1634" i="1" s="1"/>
  <c r="AC1634" i="1" s="1"/>
  <c r="V1634" i="1"/>
  <c r="V783" i="1"/>
  <c r="X783" i="1"/>
  <c r="Y783" i="1" s="1"/>
  <c r="V567" i="1"/>
  <c r="X567" i="1"/>
  <c r="Y567" i="1" s="1"/>
  <c r="X885" i="1"/>
  <c r="V885" i="1"/>
  <c r="AA1129" i="1"/>
  <c r="Y1129" i="1"/>
  <c r="AC709" i="1"/>
  <c r="V726" i="1"/>
  <c r="X726" i="1"/>
  <c r="V819" i="1"/>
  <c r="X819" i="1"/>
  <c r="Y819" i="1" s="1"/>
  <c r="AB819" i="1" s="1"/>
  <c r="AC819" i="1" s="1"/>
  <c r="V1015" i="1"/>
  <c r="X1015" i="1"/>
  <c r="Y1015" i="1" s="1"/>
  <c r="AB1015" i="1" s="1"/>
  <c r="AC1015" i="1" s="1"/>
  <c r="X1232" i="1"/>
  <c r="V1232" i="1"/>
  <c r="X100" i="1"/>
  <c r="Y100" i="1" s="1"/>
  <c r="V100" i="1"/>
  <c r="X725" i="1"/>
  <c r="Y725" i="1" s="1"/>
  <c r="V725" i="1"/>
  <c r="X817" i="1"/>
  <c r="Y817" i="1" s="1"/>
  <c r="V817" i="1"/>
  <c r="X878" i="1"/>
  <c r="Y878" i="1" s="1"/>
  <c r="AB878" i="1" s="1"/>
  <c r="AC878" i="1" s="1"/>
  <c r="V878" i="1"/>
  <c r="Y1311" i="1"/>
  <c r="AA1311" i="1"/>
  <c r="X658" i="1"/>
  <c r="V658" i="1"/>
  <c r="Y749" i="1"/>
  <c r="AA749" i="1"/>
  <c r="V781" i="1"/>
  <c r="X781" i="1"/>
  <c r="Y810" i="1"/>
  <c r="AA810" i="1"/>
  <c r="V985" i="1"/>
  <c r="X985" i="1"/>
  <c r="Y985" i="1" s="1"/>
  <c r="V1053" i="1"/>
  <c r="X1053" i="1"/>
  <c r="Y1053" i="1" s="1"/>
  <c r="V1182" i="1"/>
  <c r="X1182" i="1"/>
  <c r="Y1182" i="1" s="1"/>
  <c r="V1575" i="1"/>
  <c r="X1575" i="1"/>
  <c r="Y1376" i="1"/>
  <c r="AA1376" i="1"/>
  <c r="AA570" i="1"/>
  <c r="Y570" i="1"/>
  <c r="X609" i="1"/>
  <c r="Y609" i="1" s="1"/>
  <c r="V609" i="1"/>
  <c r="V264" i="1"/>
  <c r="X264" i="1"/>
  <c r="Y264" i="1" s="1"/>
  <c r="AA1626" i="1"/>
  <c r="AA1321" i="1"/>
  <c r="Y1321" i="1"/>
  <c r="Y1358" i="1"/>
  <c r="AA1358" i="1"/>
  <c r="X678" i="1"/>
  <c r="Y678" i="1" s="1"/>
  <c r="V678" i="1"/>
  <c r="X1433" i="1"/>
  <c r="V1433" i="1"/>
  <c r="X643" i="1"/>
  <c r="Y643" i="1" s="1"/>
  <c r="V643" i="1"/>
  <c r="X822" i="1"/>
  <c r="Y822" i="1" s="1"/>
  <c r="V822" i="1"/>
  <c r="V960" i="1"/>
  <c r="X960" i="1"/>
  <c r="Y960" i="1" s="1"/>
  <c r="AB960" i="1" s="1"/>
  <c r="AC960" i="1" s="1"/>
  <c r="AA753" i="1"/>
  <c r="Y753" i="1"/>
  <c r="V772" i="1"/>
  <c r="X772" i="1"/>
  <c r="Y772" i="1" s="1"/>
  <c r="X883" i="1"/>
  <c r="Y883" i="1" s="1"/>
  <c r="V883" i="1"/>
  <c r="X944" i="1"/>
  <c r="Y944" i="1" s="1"/>
  <c r="AB944" i="1" s="1"/>
  <c r="AC944" i="1" s="1"/>
  <c r="V944" i="1"/>
  <c r="V973" i="1"/>
  <c r="X973" i="1"/>
  <c r="Y973" i="1" s="1"/>
  <c r="V1033" i="1"/>
  <c r="X1033" i="1"/>
  <c r="X1119" i="1"/>
  <c r="Y1119" i="1" s="1"/>
  <c r="V1119" i="1"/>
  <c r="AA1265" i="1"/>
  <c r="Y1265" i="1"/>
  <c r="V1404" i="1"/>
  <c r="X1404" i="1"/>
  <c r="Y1404" i="1" s="1"/>
  <c r="V154" i="1"/>
  <c r="X154" i="1"/>
  <c r="Y154" i="1" s="1"/>
  <c r="X1587" i="1"/>
  <c r="V1587" i="1"/>
  <c r="AA607" i="1"/>
  <c r="Y75" i="1"/>
  <c r="X730" i="1"/>
  <c r="Y730" i="1" s="1"/>
  <c r="V730" i="1"/>
  <c r="X779" i="1"/>
  <c r="Y779" i="1" s="1"/>
  <c r="V779" i="1"/>
  <c r="X1003" i="1"/>
  <c r="Y1003" i="1" s="1"/>
  <c r="V1003" i="1"/>
  <c r="X1058" i="1"/>
  <c r="Y1058" i="1" s="1"/>
  <c r="AB1058" i="1" s="1"/>
  <c r="AC1058" i="1" s="1"/>
  <c r="V1058" i="1"/>
  <c r="X1172" i="1"/>
  <c r="Y1172" i="1" s="1"/>
  <c r="AB1172" i="1" s="1"/>
  <c r="AC1172" i="1" s="1"/>
  <c r="V1172" i="1"/>
  <c r="AA1221" i="1"/>
  <c r="Y1221" i="1"/>
  <c r="AA1333" i="1"/>
  <c r="Y1333" i="1"/>
  <c r="V621" i="1"/>
  <c r="X621" i="1"/>
  <c r="Y621" i="1" s="1"/>
  <c r="X1436" i="1"/>
  <c r="V1436" i="1"/>
  <c r="V610" i="1"/>
  <c r="X610" i="1"/>
  <c r="Y610" i="1" s="1"/>
  <c r="V1294" i="1"/>
  <c r="X1294" i="1"/>
  <c r="V1326" i="1"/>
  <c r="X1326" i="1"/>
  <c r="Y34" i="1"/>
  <c r="AA34" i="1"/>
  <c r="X1469" i="1"/>
  <c r="Y1469" i="1" s="1"/>
  <c r="V1469" i="1"/>
  <c r="V1712" i="1"/>
  <c r="X1712" i="1"/>
  <c r="X597" i="1"/>
  <c r="Y597" i="1" s="1"/>
  <c r="AB597" i="1" s="1"/>
  <c r="AC597" i="1" s="1"/>
  <c r="V597" i="1"/>
  <c r="AA1491" i="1"/>
  <c r="X177" i="1"/>
  <c r="Y177" i="1" s="1"/>
  <c r="V177" i="1"/>
  <c r="AA426" i="1"/>
  <c r="AA1543" i="1"/>
  <c r="V180" i="1"/>
  <c r="X180" i="1"/>
  <c r="Y180" i="1" s="1"/>
  <c r="AB180" i="1" s="1"/>
  <c r="AC180" i="1" s="1"/>
  <c r="X305" i="1"/>
  <c r="Y305" i="1" s="1"/>
  <c r="V305" i="1"/>
  <c r="AA1554" i="1"/>
  <c r="Y1554" i="1"/>
  <c r="AA182" i="1"/>
  <c r="X666" i="1"/>
  <c r="Y666" i="1" s="1"/>
  <c r="V666" i="1"/>
  <c r="X282" i="1"/>
  <c r="Y282" i="1" s="1"/>
  <c r="V282" i="1"/>
  <c r="X355" i="1"/>
  <c r="Y355" i="1" s="1"/>
  <c r="AB355" i="1" s="1"/>
  <c r="AC355" i="1" s="1"/>
  <c r="V355" i="1"/>
  <c r="V1698" i="1"/>
  <c r="X1698" i="1"/>
  <c r="X134" i="1"/>
  <c r="Y134" i="1" s="1"/>
  <c r="V134" i="1"/>
  <c r="V218" i="1"/>
  <c r="X218" i="1"/>
  <c r="Y218" i="1" s="1"/>
  <c r="X1595" i="1"/>
  <c r="Y1595" i="1" s="1"/>
  <c r="V1595" i="1"/>
  <c r="X1719" i="1"/>
  <c r="V1719" i="1"/>
  <c r="Y1083" i="1"/>
  <c r="X41" i="1"/>
  <c r="Y41" i="1" s="1"/>
  <c r="V41" i="1"/>
  <c r="AA491" i="1"/>
  <c r="AA1637" i="1"/>
  <c r="Y1637" i="1"/>
  <c r="AA111" i="1"/>
  <c r="AA391" i="1"/>
  <c r="V492" i="1"/>
  <c r="X492" i="1"/>
  <c r="Y492" i="1" s="1"/>
  <c r="Y1635" i="1"/>
  <c r="AA1635" i="1"/>
  <c r="V493" i="1"/>
  <c r="X493" i="1"/>
  <c r="Y493" i="1" s="1"/>
  <c r="AA135" i="1"/>
  <c r="Y135" i="1"/>
  <c r="AA370" i="1"/>
  <c r="Y1735" i="1"/>
  <c r="AA1735" i="1"/>
  <c r="AA558" i="1"/>
  <c r="X144" i="1"/>
  <c r="Y144" i="1" s="1"/>
  <c r="V144" i="1"/>
  <c r="V1091" i="1"/>
  <c r="X1091" i="1"/>
  <c r="X648" i="1"/>
  <c r="Y648" i="1" s="1"/>
  <c r="AB648" i="1" s="1"/>
  <c r="AC648" i="1" s="1"/>
  <c r="V648" i="1"/>
  <c r="V1040" i="1"/>
  <c r="X1040" i="1"/>
  <c r="AF1547" i="1"/>
  <c r="AD1547" i="1"/>
  <c r="V507" i="1"/>
  <c r="X507" i="1"/>
  <c r="Y507" i="1" s="1"/>
  <c r="AA885" i="1"/>
  <c r="Y885" i="1"/>
  <c r="X1129" i="1"/>
  <c r="V1129" i="1"/>
  <c r="V775" i="1"/>
  <c r="X775" i="1"/>
  <c r="Y775" i="1" s="1"/>
  <c r="AB775" i="1" s="1"/>
  <c r="AC775" i="1" s="1"/>
  <c r="X1161" i="1"/>
  <c r="Y1161" i="1" s="1"/>
  <c r="AB1161" i="1" s="1"/>
  <c r="AC1161" i="1" s="1"/>
  <c r="V1161" i="1"/>
  <c r="X762" i="1"/>
  <c r="Y762" i="1" s="1"/>
  <c r="AB762" i="1" s="1"/>
  <c r="AC762" i="1" s="1"/>
  <c r="V762" i="1"/>
  <c r="Y788" i="1"/>
  <c r="AA788" i="1"/>
  <c r="AA969" i="1"/>
  <c r="Y969" i="1"/>
  <c r="X1036" i="1"/>
  <c r="V1036" i="1"/>
  <c r="X1075" i="1"/>
  <c r="Y1075" i="1" s="1"/>
  <c r="V1075" i="1"/>
  <c r="X1104" i="1"/>
  <c r="Y1104" i="1" s="1"/>
  <c r="AB1104" i="1" s="1"/>
  <c r="AC1104" i="1" s="1"/>
  <c r="V1104" i="1"/>
  <c r="X1144" i="1"/>
  <c r="Y1144" i="1" s="1"/>
  <c r="AB1144" i="1" s="1"/>
  <c r="AC1144" i="1" s="1"/>
  <c r="V1144" i="1"/>
  <c r="AA600" i="1"/>
  <c r="AA781" i="1"/>
  <c r="Y781" i="1"/>
  <c r="X872" i="1"/>
  <c r="V872" i="1"/>
  <c r="AA932" i="1"/>
  <c r="X1022" i="1"/>
  <c r="Y1022" i="1" s="1"/>
  <c r="V1022" i="1"/>
  <c r="X1281" i="1"/>
  <c r="V1281" i="1"/>
  <c r="AA1569" i="1"/>
  <c r="V1357" i="1"/>
  <c r="X1357" i="1"/>
  <c r="Y1357" i="1" s="1"/>
  <c r="X1376" i="1"/>
  <c r="V1376" i="1"/>
  <c r="AA598" i="1"/>
  <c r="AA1555" i="1"/>
  <c r="Y1555" i="1"/>
  <c r="V1626" i="1"/>
  <c r="X1626" i="1"/>
  <c r="Y1626" i="1" s="1"/>
  <c r="V1297" i="1"/>
  <c r="X1297" i="1"/>
  <c r="AA1433" i="1"/>
  <c r="Y1433" i="1"/>
  <c r="AA633" i="1"/>
  <c r="Y185" i="1"/>
  <c r="X799" i="1"/>
  <c r="V799" i="1"/>
  <c r="AA860" i="1"/>
  <c r="AA1033" i="1"/>
  <c r="Y1033" i="1"/>
  <c r="AA1065" i="1"/>
  <c r="X1292" i="1"/>
  <c r="V1292" i="1"/>
  <c r="V1324" i="1"/>
  <c r="X1324" i="1"/>
  <c r="Y1462" i="1"/>
  <c r="AA1462" i="1"/>
  <c r="AA1509" i="1"/>
  <c r="Y1509" i="1"/>
  <c r="AA684" i="1"/>
  <c r="X711" i="1"/>
  <c r="Y711" i="1" s="1"/>
  <c r="AB711" i="1" s="1"/>
  <c r="AC711" i="1" s="1"/>
  <c r="V711" i="1"/>
  <c r="X800" i="1"/>
  <c r="V800" i="1"/>
  <c r="AA876" i="1"/>
  <c r="V953" i="1"/>
  <c r="X953" i="1"/>
  <c r="Y953" i="1" s="1"/>
  <c r="X1034" i="1"/>
  <c r="V1034" i="1"/>
  <c r="AA1201" i="1"/>
  <c r="AA1251" i="1"/>
  <c r="Y1251" i="1"/>
  <c r="X1278" i="1"/>
  <c r="V1278" i="1"/>
  <c r="X1333" i="1"/>
  <c r="V1333" i="1"/>
  <c r="X1380" i="1"/>
  <c r="V1380" i="1"/>
  <c r="AA324" i="1"/>
  <c r="V460" i="1"/>
  <c r="X460" i="1"/>
  <c r="Y460" i="1" s="1"/>
  <c r="AB460" i="1" s="1"/>
  <c r="AC460" i="1" s="1"/>
  <c r="X1608" i="1"/>
  <c r="Y1608" i="1" s="1"/>
  <c r="AB1608" i="1" s="1"/>
  <c r="AC1608" i="1" s="1"/>
  <c r="V1608" i="1"/>
  <c r="Y1245" i="1"/>
  <c r="AA1245" i="1"/>
  <c r="Y1302" i="1"/>
  <c r="AA1302" i="1"/>
  <c r="X1421" i="1"/>
  <c r="Y1421" i="1" s="1"/>
  <c r="AB1421" i="1" s="1"/>
  <c r="AC1421" i="1" s="1"/>
  <c r="V1421" i="1"/>
  <c r="AA1581" i="1"/>
  <c r="Y1581" i="1"/>
  <c r="X304" i="1"/>
  <c r="Y304" i="1" s="1"/>
  <c r="V304" i="1"/>
  <c r="V285" i="1"/>
  <c r="X285" i="1"/>
  <c r="Y285" i="1" s="1"/>
  <c r="X1498" i="1"/>
  <c r="V1498" i="1"/>
  <c r="X310" i="1"/>
  <c r="Y310" i="1" s="1"/>
  <c r="V310" i="1"/>
  <c r="AA585" i="1"/>
  <c r="Y585" i="1"/>
  <c r="X674" i="1"/>
  <c r="Y674" i="1" s="1"/>
  <c r="V674" i="1"/>
  <c r="X203" i="1"/>
  <c r="Y203" i="1" s="1"/>
  <c r="V203" i="1"/>
  <c r="V18" i="1"/>
  <c r="X18" i="1"/>
  <c r="Y18" i="1" s="1"/>
  <c r="X294" i="1"/>
  <c r="Y294" i="1" s="1"/>
  <c r="V294" i="1"/>
  <c r="AA1505" i="1"/>
  <c r="X1577" i="1"/>
  <c r="V1577" i="1"/>
  <c r="X422" i="1"/>
  <c r="Y422" i="1" s="1"/>
  <c r="V422" i="1"/>
  <c r="X445" i="1"/>
  <c r="Y445" i="1" s="1"/>
  <c r="V445" i="1"/>
  <c r="X671" i="1"/>
  <c r="Y671" i="1" s="1"/>
  <c r="V671" i="1"/>
  <c r="Y551" i="1"/>
  <c r="AA551" i="1"/>
  <c r="X384" i="1"/>
  <c r="Y384" i="1" s="1"/>
  <c r="V384" i="1"/>
  <c r="X10" i="1"/>
  <c r="Y10" i="1" s="1"/>
  <c r="V10" i="1"/>
  <c r="X446" i="1"/>
  <c r="Y446" i="1" s="1"/>
  <c r="V446" i="1"/>
  <c r="AA1698" i="1"/>
  <c r="Y1698" i="1"/>
  <c r="X1671" i="1"/>
  <c r="Y1671" i="1" s="1"/>
  <c r="V1671" i="1"/>
  <c r="X432" i="1"/>
  <c r="Y432" i="1" s="1"/>
  <c r="V432" i="1"/>
  <c r="X219" i="1"/>
  <c r="Y219" i="1" s="1"/>
  <c r="AB219" i="1" s="1"/>
  <c r="AC219" i="1" s="1"/>
  <c r="V219" i="1"/>
  <c r="X153" i="1"/>
  <c r="Y153" i="1" s="1"/>
  <c r="V153" i="1"/>
  <c r="V402" i="1"/>
  <c r="X402" i="1"/>
  <c r="Y402" i="1" s="1"/>
  <c r="X1747" i="1"/>
  <c r="Y1747" i="1" s="1"/>
  <c r="V1747" i="1"/>
  <c r="X1620" i="1"/>
  <c r="V1620" i="1"/>
  <c r="AA1592" i="1"/>
  <c r="Y1592" i="1"/>
  <c r="V11" i="1"/>
  <c r="X11" i="1"/>
  <c r="V588" i="1"/>
  <c r="X588" i="1"/>
  <c r="Y588" i="1" s="1"/>
  <c r="Y481" i="1"/>
  <c r="X263" i="1"/>
  <c r="Y263" i="1" s="1"/>
  <c r="V263" i="1"/>
  <c r="AA665" i="1"/>
  <c r="X397" i="1"/>
  <c r="Y397" i="1" s="1"/>
  <c r="V397" i="1"/>
  <c r="V544" i="1"/>
  <c r="X544" i="1"/>
  <c r="Y544" i="1" s="1"/>
  <c r="AA1535" i="1"/>
  <c r="Y1535" i="1"/>
  <c r="AA312" i="1"/>
  <c r="X558" i="1"/>
  <c r="Y558" i="1" s="1"/>
  <c r="V558" i="1"/>
  <c r="AA1643" i="1"/>
  <c r="Y1643" i="1"/>
  <c r="X1764" i="1"/>
  <c r="V1764" i="1"/>
  <c r="V92" i="1"/>
  <c r="X92" i="1"/>
  <c r="Y92" i="1" s="1"/>
  <c r="X1716" i="1"/>
  <c r="V1716" i="1"/>
  <c r="AA1091" i="1"/>
  <c r="Y1091" i="1"/>
  <c r="V1359" i="1"/>
  <c r="X1359" i="1"/>
  <c r="X119" i="1"/>
  <c r="Y119" i="1" s="1"/>
  <c r="AB119" i="1" s="1"/>
  <c r="AC119" i="1" s="1"/>
  <c r="V119" i="1"/>
  <c r="X1004" i="1"/>
  <c r="Y1004" i="1" s="1"/>
  <c r="AB1004" i="1" s="1"/>
  <c r="AC1004" i="1" s="1"/>
  <c r="V1004" i="1"/>
  <c r="Y1232" i="1"/>
  <c r="AA1232" i="1"/>
  <c r="V1023" i="1"/>
  <c r="X1023" i="1"/>
  <c r="Y1023" i="1" s="1"/>
  <c r="AB1023" i="1" s="1"/>
  <c r="AC1023" i="1" s="1"/>
  <c r="X662" i="1"/>
  <c r="V662" i="1"/>
  <c r="X788" i="1"/>
  <c r="V788" i="1"/>
  <c r="X617" i="1"/>
  <c r="Y617" i="1" s="1"/>
  <c r="AB617" i="1" s="1"/>
  <c r="AC617" i="1" s="1"/>
  <c r="V617" i="1"/>
  <c r="X969" i="1"/>
  <c r="V969" i="1"/>
  <c r="X1005" i="1"/>
  <c r="Y1005" i="1" s="1"/>
  <c r="V1005" i="1"/>
  <c r="Y1036" i="1"/>
  <c r="AA1036" i="1"/>
  <c r="X1211" i="1"/>
  <c r="Y1211" i="1" s="1"/>
  <c r="V1211" i="1"/>
  <c r="X1348" i="1"/>
  <c r="V1348" i="1"/>
  <c r="V600" i="1"/>
  <c r="X600" i="1"/>
  <c r="Y600" i="1" s="1"/>
  <c r="X848" i="1"/>
  <c r="Y848" i="1" s="1"/>
  <c r="V848" i="1"/>
  <c r="X963" i="1"/>
  <c r="V963" i="1"/>
  <c r="AA992" i="1"/>
  <c r="Y992" i="1"/>
  <c r="AA1022" i="1"/>
  <c r="X1123" i="1"/>
  <c r="V1123" i="1"/>
  <c r="AA1489" i="1"/>
  <c r="Y1489" i="1"/>
  <c r="V1296" i="1"/>
  <c r="X1296" i="1"/>
  <c r="X1382" i="1"/>
  <c r="Y1382" i="1" s="1"/>
  <c r="V1382" i="1"/>
  <c r="X1465" i="1"/>
  <c r="Y1465" i="1" s="1"/>
  <c r="AB1465" i="1" s="1"/>
  <c r="AC1465" i="1" s="1"/>
  <c r="V1465" i="1"/>
  <c r="AA609" i="1"/>
  <c r="V140" i="1"/>
  <c r="X140" i="1"/>
  <c r="Y140" i="1" s="1"/>
  <c r="V57" i="1"/>
  <c r="X57" i="1"/>
  <c r="Y57" i="1" s="1"/>
  <c r="X1255" i="1"/>
  <c r="V1255" i="1"/>
  <c r="AA1297" i="1"/>
  <c r="Y1297" i="1"/>
  <c r="V179" i="1"/>
  <c r="X179" i="1"/>
  <c r="Y179" i="1" s="1"/>
  <c r="X633" i="1"/>
  <c r="Y633" i="1" s="1"/>
  <c r="V633" i="1"/>
  <c r="Y1151" i="1"/>
  <c r="AA722" i="1"/>
  <c r="V753" i="1"/>
  <c r="X753" i="1"/>
  <c r="Y799" i="1"/>
  <c r="AA799" i="1"/>
  <c r="X860" i="1"/>
  <c r="Y860" i="1" s="1"/>
  <c r="V860" i="1"/>
  <c r="AA1002" i="1"/>
  <c r="V1065" i="1"/>
  <c r="X1065" i="1"/>
  <c r="Y1065" i="1" s="1"/>
  <c r="AA1093" i="1"/>
  <c r="X1243" i="1"/>
  <c r="V1243" i="1"/>
  <c r="AA1361" i="1"/>
  <c r="AA431" i="1"/>
  <c r="AA1587" i="1"/>
  <c r="Y1587" i="1"/>
  <c r="Y1438" i="1"/>
  <c r="AA779" i="1"/>
  <c r="AA853" i="1"/>
  <c r="X876" i="1"/>
  <c r="Y876" i="1" s="1"/>
  <c r="V876" i="1"/>
  <c r="AA982" i="1"/>
  <c r="AA1011" i="1"/>
  <c r="AA1034" i="1"/>
  <c r="Y1034" i="1"/>
  <c r="X1120" i="1"/>
  <c r="Y1120" i="1" s="1"/>
  <c r="V1120" i="1"/>
  <c r="X1150" i="1"/>
  <c r="Y1150" i="1" s="1"/>
  <c r="V1150" i="1"/>
  <c r="V1201" i="1"/>
  <c r="X1201" i="1"/>
  <c r="Y1201" i="1" s="1"/>
  <c r="X1251" i="1"/>
  <c r="V1251" i="1"/>
  <c r="AA1278" i="1"/>
  <c r="Y1278" i="1"/>
  <c r="AA1309" i="1"/>
  <c r="Y1309" i="1"/>
  <c r="AA1362" i="1"/>
  <c r="AA1380" i="1"/>
  <c r="Y1380" i="1"/>
  <c r="V324" i="1"/>
  <c r="X324" i="1"/>
  <c r="Y324" i="1" s="1"/>
  <c r="AA1436" i="1"/>
  <c r="Y1436" i="1"/>
  <c r="Y1353" i="1"/>
  <c r="X1245" i="1"/>
  <c r="V1245" i="1"/>
  <c r="Y1273" i="1"/>
  <c r="AA1273" i="1"/>
  <c r="X1709" i="1"/>
  <c r="V1709" i="1"/>
  <c r="X1581" i="1"/>
  <c r="V1581" i="1"/>
  <c r="AA107" i="1"/>
  <c r="V686" i="1"/>
  <c r="X686" i="1"/>
  <c r="Y686" i="1" s="1"/>
  <c r="X1470" i="1"/>
  <c r="Y1470" i="1" s="1"/>
  <c r="V1470" i="1"/>
  <c r="X387" i="1"/>
  <c r="Y387" i="1" s="1"/>
  <c r="V387" i="1"/>
  <c r="AA1572" i="1"/>
  <c r="V277" i="1"/>
  <c r="X277" i="1"/>
  <c r="Y277" i="1" s="1"/>
  <c r="Y1112" i="1"/>
  <c r="V1505" i="1"/>
  <c r="X1505" i="1"/>
  <c r="Y1505" i="1" s="1"/>
  <c r="AA1577" i="1"/>
  <c r="Y1577" i="1"/>
  <c r="V1657" i="1"/>
  <c r="X1657" i="1"/>
  <c r="X389" i="1"/>
  <c r="Y389" i="1" s="1"/>
  <c r="V389" i="1"/>
  <c r="X1560" i="1"/>
  <c r="V1560" i="1"/>
  <c r="V1687" i="1"/>
  <c r="X1687" i="1"/>
  <c r="AA1754" i="1"/>
  <c r="Y1754" i="1"/>
  <c r="V189" i="1"/>
  <c r="X189" i="1"/>
  <c r="Y189" i="1" s="1"/>
  <c r="AA1752" i="1"/>
  <c r="Y1752" i="1"/>
  <c r="X1733" i="1"/>
  <c r="V1733" i="1"/>
  <c r="AA1584" i="1"/>
  <c r="Y1584" i="1"/>
  <c r="AA12" i="1"/>
  <c r="Y12" i="1"/>
  <c r="Y528" i="1"/>
  <c r="X471" i="1"/>
  <c r="Y471" i="1" s="1"/>
  <c r="V471" i="1"/>
  <c r="X533" i="1"/>
  <c r="Y533" i="1" s="1"/>
  <c r="V533" i="1"/>
  <c r="X535" i="1"/>
  <c r="Y535" i="1" s="1"/>
  <c r="V535" i="1"/>
  <c r="X391" i="1"/>
  <c r="Y391" i="1" s="1"/>
  <c r="V391" i="1"/>
  <c r="AA165" i="1"/>
  <c r="X375" i="1"/>
  <c r="Y375" i="1" s="1"/>
  <c r="V375" i="1"/>
  <c r="V368" i="1"/>
  <c r="X368" i="1"/>
  <c r="Y368" i="1" s="1"/>
  <c r="AA544" i="1"/>
  <c r="Y1525" i="1"/>
  <c r="AA1525" i="1"/>
  <c r="X1678" i="1"/>
  <c r="V1678" i="1"/>
  <c r="X1759" i="1"/>
  <c r="V1759" i="1"/>
  <c r="X115" i="1"/>
  <c r="Y115" i="1" s="1"/>
  <c r="V115" i="1"/>
  <c r="V312" i="1"/>
  <c r="X312" i="1"/>
  <c r="Y312" i="1" s="1"/>
  <c r="AA540" i="1"/>
  <c r="V1643" i="1"/>
  <c r="X1643" i="1"/>
  <c r="Y1764" i="1"/>
  <c r="AA1764" i="1"/>
  <c r="Y1716" i="1"/>
  <c r="AA1716" i="1"/>
  <c r="V1206" i="1"/>
  <c r="X1206" i="1"/>
  <c r="Y1206" i="1" s="1"/>
  <c r="AB1206" i="1" s="1"/>
  <c r="AC1206" i="1" s="1"/>
  <c r="X620" i="1"/>
  <c r="Y620" i="1" s="1"/>
  <c r="AB620" i="1" s="1"/>
  <c r="AC620" i="1" s="1"/>
  <c r="V620" i="1"/>
  <c r="V1389" i="1"/>
  <c r="X1389" i="1"/>
  <c r="Y1389" i="1" s="1"/>
  <c r="AA826" i="1"/>
  <c r="AB826" i="1" s="1"/>
  <c r="AC826" i="1" s="1"/>
  <c r="AA964" i="1"/>
  <c r="Y1062" i="1"/>
  <c r="AA1062" i="1"/>
  <c r="X1757" i="1"/>
  <c r="V1757" i="1"/>
  <c r="V916" i="1"/>
  <c r="X916" i="1"/>
  <c r="X947" i="1"/>
  <c r="Y947" i="1" s="1"/>
  <c r="V947" i="1"/>
  <c r="V1381" i="1"/>
  <c r="X1381" i="1"/>
  <c r="X756" i="1"/>
  <c r="V756" i="1"/>
  <c r="AA818" i="1"/>
  <c r="Y818" i="1"/>
  <c r="AA848" i="1"/>
  <c r="Y872" i="1"/>
  <c r="AA872" i="1"/>
  <c r="V378" i="1"/>
  <c r="X378" i="1"/>
  <c r="Y378" i="1" s="1"/>
  <c r="AB378" i="1" s="1"/>
  <c r="AC378" i="1" s="1"/>
  <c r="X1254" i="1"/>
  <c r="V1254" i="1"/>
  <c r="Y1281" i="1"/>
  <c r="AA1281" i="1"/>
  <c r="X1601" i="1"/>
  <c r="V1601" i="1"/>
  <c r="X1480" i="1"/>
  <c r="Y1480" i="1" s="1"/>
  <c r="AB1480" i="1" s="1"/>
  <c r="AC1480" i="1" s="1"/>
  <c r="V1480" i="1"/>
  <c r="Y1611" i="1"/>
  <c r="AA1611" i="1"/>
  <c r="AA75" i="1"/>
  <c r="AA133" i="1"/>
  <c r="Y1255" i="1"/>
  <c r="AA1255" i="1"/>
  <c r="X1706" i="1"/>
  <c r="V1706" i="1"/>
  <c r="AA619" i="1"/>
  <c r="X249" i="1"/>
  <c r="Y249" i="1" s="1"/>
  <c r="AB249" i="1" s="1"/>
  <c r="AC249" i="1" s="1"/>
  <c r="V249" i="1"/>
  <c r="Y1166" i="1"/>
  <c r="Y1204" i="1"/>
  <c r="X913" i="1"/>
  <c r="Y913" i="1" s="1"/>
  <c r="V913" i="1"/>
  <c r="V1002" i="1"/>
  <c r="X1002" i="1"/>
  <c r="Y1002" i="1" s="1"/>
  <c r="X1041" i="1"/>
  <c r="V1041" i="1"/>
  <c r="X1072" i="1"/>
  <c r="Y1072" i="1" s="1"/>
  <c r="V1072" i="1"/>
  <c r="V1157" i="1"/>
  <c r="X1157" i="1"/>
  <c r="Y1157" i="1" s="1"/>
  <c r="X1410" i="1"/>
  <c r="V1410" i="1"/>
  <c r="V1490" i="1"/>
  <c r="X1490" i="1"/>
  <c r="Y1490" i="1" s="1"/>
  <c r="V1509" i="1"/>
  <c r="X1509" i="1"/>
  <c r="X211" i="1"/>
  <c r="Y211" i="1" s="1"/>
  <c r="V211" i="1"/>
  <c r="X760" i="1"/>
  <c r="Y760" i="1" s="1"/>
  <c r="V760" i="1"/>
  <c r="AA830" i="1"/>
  <c r="Y1699" i="1"/>
  <c r="AA1699" i="1"/>
  <c r="X929" i="1"/>
  <c r="Y929" i="1" s="1"/>
  <c r="V929" i="1"/>
  <c r="AA1150" i="1"/>
  <c r="AA1179" i="1"/>
  <c r="Y1179" i="1"/>
  <c r="AA1228" i="1"/>
  <c r="X1479" i="1"/>
  <c r="Y1479" i="1" s="1"/>
  <c r="V1479" i="1"/>
  <c r="X453" i="1"/>
  <c r="Y453" i="1" s="1"/>
  <c r="V453" i="1"/>
  <c r="V364" i="1"/>
  <c r="X364" i="1"/>
  <c r="Y364" i="1" s="1"/>
  <c r="V1222" i="1"/>
  <c r="X1222" i="1"/>
  <c r="Y1222" i="1" s="1"/>
  <c r="X1302" i="1"/>
  <c r="V1302" i="1"/>
  <c r="AA1334" i="1"/>
  <c r="Y1334" i="1"/>
  <c r="AA1709" i="1"/>
  <c r="Y1709" i="1"/>
  <c r="Y1566" i="1"/>
  <c r="AA1566" i="1"/>
  <c r="X1406" i="1"/>
  <c r="V1406" i="1"/>
  <c r="AA1499" i="1"/>
  <c r="Y1499" i="1"/>
  <c r="V1572" i="1"/>
  <c r="X1572" i="1"/>
  <c r="Y1572" i="1" s="1"/>
  <c r="X1729" i="1"/>
  <c r="V1729" i="1"/>
  <c r="V268" i="1"/>
  <c r="X268" i="1"/>
  <c r="Y268" i="1" s="1"/>
  <c r="AA251" i="1"/>
  <c r="Y1657" i="1"/>
  <c r="AA1657" i="1"/>
  <c r="Y581" i="1"/>
  <c r="AA581" i="1"/>
  <c r="V551" i="1"/>
  <c r="X551" i="1"/>
  <c r="X307" i="1"/>
  <c r="Y307" i="1" s="1"/>
  <c r="V307" i="1"/>
  <c r="AA389" i="1"/>
  <c r="Y1560" i="1"/>
  <c r="AA1560" i="1"/>
  <c r="V1599" i="1"/>
  <c r="X1599" i="1"/>
  <c r="AA19" i="1"/>
  <c r="Y19" i="1"/>
  <c r="Y1687" i="1"/>
  <c r="AA1687" i="1"/>
  <c r="X505" i="1"/>
  <c r="Y505" i="1" s="1"/>
  <c r="AB505" i="1" s="1"/>
  <c r="AC505" i="1" s="1"/>
  <c r="V505" i="1"/>
  <c r="AB1760" i="1"/>
  <c r="AC1760" i="1" s="1"/>
  <c r="X1654" i="1"/>
  <c r="V1654" i="1"/>
  <c r="X1754" i="1"/>
  <c r="V1754" i="1"/>
  <c r="V664" i="1"/>
  <c r="X664" i="1"/>
  <c r="Y664" i="1" s="1"/>
  <c r="X1752" i="1"/>
  <c r="V1752" i="1"/>
  <c r="AA379" i="1"/>
  <c r="V322" i="1"/>
  <c r="X322" i="1"/>
  <c r="Y322" i="1" s="1"/>
  <c r="AA1613" i="1"/>
  <c r="Y1613" i="1"/>
  <c r="AA291" i="1"/>
  <c r="AA1733" i="1"/>
  <c r="Y1733" i="1"/>
  <c r="V1584" i="1"/>
  <c r="X1584" i="1"/>
  <c r="V395" i="1"/>
  <c r="X395" i="1"/>
  <c r="Y395" i="1" s="1"/>
  <c r="V654" i="1"/>
  <c r="X654" i="1"/>
  <c r="Y654" i="1" s="1"/>
  <c r="X1427" i="1"/>
  <c r="Y1427" i="1" s="1"/>
  <c r="V1427" i="1"/>
  <c r="X632" i="1"/>
  <c r="Y632" i="1" s="1"/>
  <c r="V632" i="1"/>
  <c r="X457" i="1"/>
  <c r="Y457" i="1" s="1"/>
  <c r="V457" i="1"/>
  <c r="AA1759" i="1"/>
  <c r="Y1759" i="1"/>
  <c r="AA1594" i="1"/>
  <c r="Y1594" i="1"/>
  <c r="X1697" i="1"/>
  <c r="V1697" i="1"/>
  <c r="X540" i="1"/>
  <c r="Y540" i="1" s="1"/>
  <c r="V540" i="1"/>
  <c r="AA704" i="1"/>
  <c r="V891" i="1"/>
  <c r="X891" i="1"/>
  <c r="Y891" i="1" s="1"/>
  <c r="Y1010" i="1"/>
  <c r="AA1010" i="1"/>
  <c r="AA1041" i="1"/>
  <c r="Y1041" i="1"/>
  <c r="Y1101" i="1"/>
  <c r="AA1101" i="1"/>
  <c r="AA1127" i="1"/>
  <c r="V1186" i="1"/>
  <c r="X1186" i="1"/>
  <c r="Y1186" i="1" s="1"/>
  <c r="V1691" i="1"/>
  <c r="X1691" i="1"/>
  <c r="Y1691" i="1" s="1"/>
  <c r="AB1691" i="1" s="1"/>
  <c r="AC1691" i="1" s="1"/>
  <c r="Y1243" i="1"/>
  <c r="AA1243" i="1"/>
  <c r="V1361" i="1"/>
  <c r="X1361" i="1"/>
  <c r="Y1361" i="1" s="1"/>
  <c r="X1386" i="1"/>
  <c r="Y1386" i="1" s="1"/>
  <c r="V1386" i="1"/>
  <c r="X1435" i="1"/>
  <c r="V1435" i="1"/>
  <c r="V431" i="1"/>
  <c r="X431" i="1"/>
  <c r="Y431" i="1" s="1"/>
  <c r="AA1490" i="1"/>
  <c r="AA1500" i="1"/>
  <c r="X1647" i="1"/>
  <c r="Y1647" i="1" s="1"/>
  <c r="V1647" i="1"/>
  <c r="X122" i="1"/>
  <c r="Y122" i="1" s="1"/>
  <c r="AB122" i="1" s="1"/>
  <c r="AC122" i="1" s="1"/>
  <c r="V122" i="1"/>
  <c r="AA211" i="1"/>
  <c r="V718" i="1"/>
  <c r="X718" i="1"/>
  <c r="Y718" i="1" s="1"/>
  <c r="AA1102" i="1"/>
  <c r="V1259" i="1"/>
  <c r="X1259" i="1"/>
  <c r="X1285" i="1"/>
  <c r="V1285" i="1"/>
  <c r="AA1317" i="1"/>
  <c r="Y1317" i="1"/>
  <c r="AA1340" i="1"/>
  <c r="V1405" i="1"/>
  <c r="X1405" i="1"/>
  <c r="Y1405" i="1" s="1"/>
  <c r="X1454" i="1"/>
  <c r="Y1454" i="1" s="1"/>
  <c r="V1454" i="1"/>
  <c r="AA1510" i="1"/>
  <c r="V618" i="1"/>
  <c r="X618" i="1"/>
  <c r="Y618" i="1" s="1"/>
  <c r="X1252" i="1"/>
  <c r="V1252" i="1"/>
  <c r="AA1279" i="1"/>
  <c r="Y1279" i="1"/>
  <c r="AA1310" i="1"/>
  <c r="Y1310" i="1"/>
  <c r="AA1446" i="1"/>
  <c r="AA306" i="1"/>
  <c r="Y1655" i="1"/>
  <c r="AA1655" i="1"/>
  <c r="AA63" i="1"/>
  <c r="Y1356" i="1"/>
  <c r="Y1137" i="1"/>
  <c r="AA1406" i="1"/>
  <c r="Y1406" i="1"/>
  <c r="X1441" i="1"/>
  <c r="Y1441" i="1" s="1"/>
  <c r="AB1441" i="1" s="1"/>
  <c r="AC1441" i="1" s="1"/>
  <c r="V1441" i="1"/>
  <c r="X1708" i="1"/>
  <c r="Y1708" i="1" s="1"/>
  <c r="V1708" i="1"/>
  <c r="V615" i="1"/>
  <c r="X615" i="1"/>
  <c r="Y615" i="1" s="1"/>
  <c r="X65" i="1"/>
  <c r="Y65" i="1" s="1"/>
  <c r="V65" i="1"/>
  <c r="Y1183" i="1"/>
  <c r="X1730" i="1"/>
  <c r="V1730" i="1"/>
  <c r="X234" i="1"/>
  <c r="Y234" i="1" s="1"/>
  <c r="V234" i="1"/>
  <c r="V1681" i="1"/>
  <c r="X1681" i="1"/>
  <c r="Y1681" i="1" s="1"/>
  <c r="AA1627" i="1"/>
  <c r="AA87" i="1"/>
  <c r="X97" i="1"/>
  <c r="Y97" i="1" s="1"/>
  <c r="AB97" i="1" s="1"/>
  <c r="AC97" i="1" s="1"/>
  <c r="V97" i="1"/>
  <c r="AA137" i="1"/>
  <c r="Y1621" i="1"/>
  <c r="AA1621" i="1"/>
  <c r="X19" i="1"/>
  <c r="V19" i="1"/>
  <c r="X1540" i="1"/>
  <c r="V1540" i="1"/>
  <c r="AA498" i="1"/>
  <c r="V1523" i="1"/>
  <c r="X1523" i="1"/>
  <c r="AA124" i="1"/>
  <c r="AA243" i="1"/>
  <c r="V331" i="1"/>
  <c r="X331" i="1"/>
  <c r="Y331" i="1" s="1"/>
  <c r="AA360" i="1"/>
  <c r="AA697" i="1"/>
  <c r="V158" i="1"/>
  <c r="X158" i="1"/>
  <c r="Y158" i="1" s="1"/>
  <c r="AB158" i="1" s="1"/>
  <c r="AC158" i="1" s="1"/>
  <c r="X436" i="1"/>
  <c r="Y436" i="1" s="1"/>
  <c r="V436" i="1"/>
  <c r="AE1536" i="1"/>
  <c r="AG1536" i="1" s="1"/>
  <c r="AA29" i="1"/>
  <c r="Y1354" i="1"/>
  <c r="X415" i="1"/>
  <c r="Y415" i="1" s="1"/>
  <c r="V415" i="1"/>
  <c r="AA402" i="1"/>
  <c r="X396" i="1"/>
  <c r="Y396" i="1" s="1"/>
  <c r="V396" i="1"/>
  <c r="AA542" i="1"/>
  <c r="V5" i="1"/>
  <c r="X5" i="1"/>
  <c r="Y5" i="1" s="1"/>
  <c r="Y1447" i="1"/>
  <c r="AA395" i="1"/>
  <c r="Y11" i="1"/>
  <c r="AA11" i="1"/>
  <c r="AA197" i="1"/>
  <c r="X1673" i="1"/>
  <c r="V1673" i="1"/>
  <c r="V114" i="1"/>
  <c r="X114" i="1"/>
  <c r="Y114" i="1" s="1"/>
  <c r="X1586" i="1"/>
  <c r="V1586" i="1"/>
  <c r="AA1625" i="1"/>
  <c r="X1710" i="1"/>
  <c r="V1710" i="1"/>
  <c r="X520" i="1"/>
  <c r="Y520" i="1" s="1"/>
  <c r="V520" i="1"/>
  <c r="V174" i="1"/>
  <c r="X174" i="1"/>
  <c r="Y174" i="1" s="1"/>
  <c r="V579" i="1"/>
  <c r="X579" i="1"/>
  <c r="V1685" i="1"/>
  <c r="X1685" i="1"/>
  <c r="Y1685" i="1" s="1"/>
  <c r="Y160" i="1"/>
  <c r="V330" i="1"/>
  <c r="X330" i="1"/>
  <c r="Y330" i="1" s="1"/>
  <c r="AA327" i="1"/>
  <c r="X557" i="1"/>
  <c r="Y557" i="1" s="1"/>
  <c r="V557" i="1"/>
  <c r="AA429" i="1"/>
  <c r="X1750" i="1"/>
  <c r="V1750" i="1"/>
  <c r="V670" i="1"/>
  <c r="X670" i="1"/>
  <c r="Y670" i="1" s="1"/>
  <c r="AB670" i="1" s="1"/>
  <c r="AC670" i="1" s="1"/>
  <c r="AA169" i="1"/>
  <c r="AA489" i="1"/>
  <c r="AA92" i="1"/>
  <c r="X283" i="1"/>
  <c r="Y283" i="1" s="1"/>
  <c r="V283" i="1"/>
  <c r="Y514" i="1"/>
  <c r="X1420" i="1"/>
  <c r="Y1420" i="1" s="1"/>
  <c r="AB1420" i="1" s="1"/>
  <c r="AC1420" i="1" s="1"/>
  <c r="V1420" i="1"/>
  <c r="AA1379" i="1"/>
  <c r="AA154" i="1"/>
  <c r="V704" i="1"/>
  <c r="X704" i="1"/>
  <c r="Y704" i="1" s="1"/>
  <c r="X729" i="1"/>
  <c r="Y729" i="1" s="1"/>
  <c r="V729" i="1"/>
  <c r="AA759" i="1"/>
  <c r="AA778" i="1"/>
  <c r="Y778" i="1"/>
  <c r="AA806" i="1"/>
  <c r="Y806" i="1"/>
  <c r="V952" i="1"/>
  <c r="X952" i="1"/>
  <c r="Y952" i="1" s="1"/>
  <c r="AB952" i="1" s="1"/>
  <c r="AC952" i="1" s="1"/>
  <c r="X1101" i="1"/>
  <c r="V1101" i="1"/>
  <c r="V1127" i="1"/>
  <c r="X1127" i="1"/>
  <c r="Y1127" i="1" s="1"/>
  <c r="AA1157" i="1"/>
  <c r="AA1186" i="1"/>
  <c r="AA1272" i="1"/>
  <c r="Y1272" i="1"/>
  <c r="X1332" i="1"/>
  <c r="V1332" i="1"/>
  <c r="X519" i="1"/>
  <c r="Y519" i="1" s="1"/>
  <c r="V519" i="1"/>
  <c r="AA1386" i="1"/>
  <c r="AA1410" i="1"/>
  <c r="Y1410" i="1"/>
  <c r="Y1435" i="1"/>
  <c r="AA1435" i="1"/>
  <c r="V1452" i="1"/>
  <c r="X1452" i="1"/>
  <c r="Y1452" i="1" s="1"/>
  <c r="AB1452" i="1" s="1"/>
  <c r="AC1452" i="1" s="1"/>
  <c r="AA345" i="1"/>
  <c r="AA350" i="1"/>
  <c r="X1500" i="1"/>
  <c r="Y1500" i="1" s="1"/>
  <c r="V1500" i="1"/>
  <c r="AA1647" i="1"/>
  <c r="X196" i="1"/>
  <c r="Y196" i="1" s="1"/>
  <c r="V196" i="1"/>
  <c r="X786" i="1"/>
  <c r="Y786" i="1" s="1"/>
  <c r="V786" i="1"/>
  <c r="AA861" i="1"/>
  <c r="X914" i="1"/>
  <c r="Y914" i="1" s="1"/>
  <c r="V914" i="1"/>
  <c r="AA937" i="1"/>
  <c r="X1042" i="1"/>
  <c r="V1042" i="1"/>
  <c r="AA1073" i="1"/>
  <c r="X1102" i="1"/>
  <c r="Y1102" i="1" s="1"/>
  <c r="V1102" i="1"/>
  <c r="AA1128" i="1"/>
  <c r="AA50" i="1"/>
  <c r="X1317" i="1"/>
  <c r="V1317" i="1"/>
  <c r="X1367" i="1"/>
  <c r="Y1367" i="1" s="1"/>
  <c r="V1367" i="1"/>
  <c r="AA1387" i="1"/>
  <c r="AA1405" i="1"/>
  <c r="X1440" i="1"/>
  <c r="V1440" i="1"/>
  <c r="V1564" i="1"/>
  <c r="X1564" i="1"/>
  <c r="AA1180" i="1"/>
  <c r="X1229" i="1"/>
  <c r="Y1229" i="1" s="1"/>
  <c r="V1229" i="1"/>
  <c r="AA1341" i="1"/>
  <c r="AA475" i="1"/>
  <c r="AA659" i="1"/>
  <c r="Y659" i="1"/>
  <c r="V306" i="1"/>
  <c r="X306" i="1"/>
  <c r="Y306" i="1" s="1"/>
  <c r="X63" i="1"/>
  <c r="Y63" i="1" s="1"/>
  <c r="V63" i="1"/>
  <c r="AA151" i="1"/>
  <c r="AA198" i="1"/>
  <c r="X1428" i="1"/>
  <c r="Y1428" i="1" s="1"/>
  <c r="V1428" i="1"/>
  <c r="AA627" i="1"/>
  <c r="X414" i="1"/>
  <c r="Y414" i="1" s="1"/>
  <c r="V414" i="1"/>
  <c r="X382" i="1"/>
  <c r="Y382" i="1" s="1"/>
  <c r="V382" i="1"/>
  <c r="AA1681" i="1"/>
  <c r="AA266" i="1"/>
  <c r="AA236" i="1"/>
  <c r="X1605" i="1"/>
  <c r="Y1605" i="1" s="1"/>
  <c r="V1605" i="1"/>
  <c r="AA259" i="1"/>
  <c r="V383" i="1"/>
  <c r="X383" i="1"/>
  <c r="Y383" i="1" s="1"/>
  <c r="AA408" i="1"/>
  <c r="Y1540" i="1"/>
  <c r="AA1540" i="1"/>
  <c r="AA1677" i="1"/>
  <c r="Y1677" i="1"/>
  <c r="X498" i="1"/>
  <c r="Y498" i="1" s="1"/>
  <c r="V498" i="1"/>
  <c r="Y1523" i="1"/>
  <c r="AA1523" i="1"/>
  <c r="X192" i="1"/>
  <c r="Y192" i="1" s="1"/>
  <c r="V192" i="1"/>
  <c r="V243" i="1"/>
  <c r="X243" i="1"/>
  <c r="Y243" i="1" s="1"/>
  <c r="Y1639" i="1"/>
  <c r="AA1639" i="1"/>
  <c r="AA254" i="1"/>
  <c r="X697" i="1"/>
  <c r="Y697" i="1" s="1"/>
  <c r="V697" i="1"/>
  <c r="X1765" i="1"/>
  <c r="V1765" i="1"/>
  <c r="X29" i="1"/>
  <c r="Y29" i="1" s="1"/>
  <c r="V29" i="1"/>
  <c r="X1609" i="1"/>
  <c r="V1609" i="1"/>
  <c r="X1661" i="1"/>
  <c r="V1661" i="1"/>
  <c r="Y236" i="1"/>
  <c r="AA1740" i="1"/>
  <c r="Y1740" i="1"/>
  <c r="X542" i="1"/>
  <c r="Y542" i="1" s="1"/>
  <c r="V542" i="1"/>
  <c r="V288" i="1"/>
  <c r="X288" i="1"/>
  <c r="Y288" i="1" s="1"/>
  <c r="Y1689" i="1"/>
  <c r="AA1689" i="1"/>
  <c r="X42" i="1"/>
  <c r="Y42" i="1" s="1"/>
  <c r="V42" i="1"/>
  <c r="V1652" i="1"/>
  <c r="X1652" i="1"/>
  <c r="Y1652" i="1" s="1"/>
  <c r="V1550" i="1"/>
  <c r="X1550" i="1"/>
  <c r="X594" i="1"/>
  <c r="Y594" i="1" s="1"/>
  <c r="V594" i="1"/>
  <c r="Y1758" i="1"/>
  <c r="AA1758" i="1"/>
  <c r="X1525" i="1"/>
  <c r="V1525" i="1"/>
  <c r="AA47" i="1"/>
  <c r="Y1722" i="1"/>
  <c r="AA1722" i="1"/>
  <c r="AA1586" i="1"/>
  <c r="Y1586" i="1"/>
  <c r="X1641" i="1"/>
  <c r="V1641" i="1"/>
  <c r="AA1710" i="1"/>
  <c r="Y1710" i="1"/>
  <c r="AA174" i="1"/>
  <c r="AA523" i="1"/>
  <c r="X1542" i="1"/>
  <c r="Y1542" i="1" s="1"/>
  <c r="V1542" i="1"/>
  <c r="V336" i="1"/>
  <c r="X336" i="1"/>
  <c r="Y336" i="1" s="1"/>
  <c r="AA330" i="1"/>
  <c r="AA178" i="1"/>
  <c r="X327" i="1"/>
  <c r="Y327" i="1" s="1"/>
  <c r="V327" i="1"/>
  <c r="V156" i="1"/>
  <c r="X156" i="1"/>
  <c r="Y156" i="1" s="1"/>
  <c r="AA493" i="1"/>
  <c r="X429" i="1"/>
  <c r="Y429" i="1" s="1"/>
  <c r="V429" i="1"/>
  <c r="V325" i="1"/>
  <c r="X325" i="1"/>
  <c r="Y325" i="1" s="1"/>
  <c r="V700" i="1"/>
  <c r="X700" i="1"/>
  <c r="Y700" i="1" s="1"/>
  <c r="AA1527" i="1"/>
  <c r="Y1527" i="1"/>
  <c r="X169" i="1"/>
  <c r="Y169" i="1" s="1"/>
  <c r="V169" i="1"/>
  <c r="AA478" i="1"/>
  <c r="AA283" i="1"/>
  <c r="Y449" i="1"/>
  <c r="V1300" i="1"/>
  <c r="X1300" i="1"/>
  <c r="Y1332" i="1"/>
  <c r="AA1332" i="1"/>
  <c r="V345" i="1"/>
  <c r="X345" i="1"/>
  <c r="Y345" i="1" s="1"/>
  <c r="X350" i="1"/>
  <c r="Y350" i="1" s="1"/>
  <c r="V350" i="1"/>
  <c r="Y1511" i="1"/>
  <c r="AA1511" i="1"/>
  <c r="X861" i="1"/>
  <c r="Y861" i="1" s="1"/>
  <c r="V861" i="1"/>
  <c r="X937" i="1"/>
  <c r="Y937" i="1" s="1"/>
  <c r="V937" i="1"/>
  <c r="X990" i="1"/>
  <c r="Y990" i="1" s="1"/>
  <c r="AB990" i="1" s="1"/>
  <c r="AC990" i="1" s="1"/>
  <c r="V990" i="1"/>
  <c r="X1073" i="1"/>
  <c r="Y1073" i="1" s="1"/>
  <c r="V1073" i="1"/>
  <c r="X1128" i="1"/>
  <c r="Y1128" i="1" s="1"/>
  <c r="V1128" i="1"/>
  <c r="X1387" i="1"/>
  <c r="Y1387" i="1" s="1"/>
  <c r="V1387" i="1"/>
  <c r="V1426" i="1"/>
  <c r="X1426" i="1"/>
  <c r="Y1426" i="1" s="1"/>
  <c r="X171" i="1"/>
  <c r="Y171" i="1" s="1"/>
  <c r="V171" i="1"/>
  <c r="Y1564" i="1"/>
  <c r="AA1564" i="1"/>
  <c r="X1566" i="1"/>
  <c r="V1566" i="1"/>
  <c r="V1341" i="1"/>
  <c r="X1341" i="1"/>
  <c r="Y1341" i="1" s="1"/>
  <c r="X184" i="1"/>
  <c r="Y184" i="1" s="1"/>
  <c r="AB184" i="1" s="1"/>
  <c r="AC184" i="1" s="1"/>
  <c r="V184" i="1"/>
  <c r="X1412" i="1"/>
  <c r="Y1412" i="1" s="1"/>
  <c r="V1412" i="1"/>
  <c r="V475" i="1"/>
  <c r="X475" i="1"/>
  <c r="Y475" i="1" s="1"/>
  <c r="AA1458" i="1"/>
  <c r="Y1458" i="1"/>
  <c r="V659" i="1"/>
  <c r="X659" i="1"/>
  <c r="AA1616" i="1"/>
  <c r="Y1616" i="1"/>
  <c r="V313" i="1"/>
  <c r="X313" i="1"/>
  <c r="Y313" i="1" s="1"/>
  <c r="X105" i="1"/>
  <c r="Y105" i="1" s="1"/>
  <c r="V105" i="1"/>
  <c r="X295" i="1"/>
  <c r="Y295" i="1" s="1"/>
  <c r="V295" i="1"/>
  <c r="X238" i="1"/>
  <c r="Y238" i="1" s="1"/>
  <c r="V238" i="1"/>
  <c r="Y1730" i="1"/>
  <c r="AA1730" i="1"/>
  <c r="Y43" i="1"/>
  <c r="X319" i="1"/>
  <c r="Y319" i="1" s="1"/>
  <c r="AB319" i="1" s="1"/>
  <c r="AC319" i="1" s="1"/>
  <c r="V319" i="1"/>
  <c r="X266" i="1"/>
  <c r="Y266" i="1" s="1"/>
  <c r="V266" i="1"/>
  <c r="X225" i="1"/>
  <c r="Y225" i="1" s="1"/>
  <c r="V225" i="1"/>
  <c r="V53" i="1"/>
  <c r="X53" i="1"/>
  <c r="Y53" i="1" s="1"/>
  <c r="X482" i="1"/>
  <c r="Y482" i="1" s="1"/>
  <c r="V482" i="1"/>
  <c r="X408" i="1"/>
  <c r="Y408" i="1" s="1"/>
  <c r="V408" i="1"/>
  <c r="X440" i="1"/>
  <c r="Y440" i="1" s="1"/>
  <c r="V440" i="1"/>
  <c r="Y1713" i="1"/>
  <c r="AA1713" i="1"/>
  <c r="X1639" i="1"/>
  <c r="V1639" i="1"/>
  <c r="V240" i="1"/>
  <c r="X240" i="1"/>
  <c r="Y240" i="1" s="1"/>
  <c r="AA1765" i="1"/>
  <c r="Y1765" i="1"/>
  <c r="X650" i="1"/>
  <c r="Y650" i="1" s="1"/>
  <c r="V650" i="1"/>
  <c r="Y1609" i="1"/>
  <c r="AA1609" i="1"/>
  <c r="V1696" i="1"/>
  <c r="X1696" i="1"/>
  <c r="Y1696" i="1" s="1"/>
  <c r="AA25" i="1"/>
  <c r="V296" i="1"/>
  <c r="X296" i="1"/>
  <c r="Y296" i="1" s="1"/>
  <c r="V38" i="1"/>
  <c r="X38" i="1"/>
  <c r="Y38" i="1" s="1"/>
  <c r="Y1661" i="1"/>
  <c r="AA1661" i="1"/>
  <c r="Y1543" i="1"/>
  <c r="V532" i="1"/>
  <c r="X532" i="1"/>
  <c r="Y532" i="1" s="1"/>
  <c r="V1544" i="1"/>
  <c r="X1544" i="1"/>
  <c r="Y1672" i="1"/>
  <c r="AA1672" i="1"/>
  <c r="V1758" i="1"/>
  <c r="X1758" i="1"/>
  <c r="AA1673" i="1"/>
  <c r="Y1673" i="1"/>
  <c r="X1766" i="1"/>
  <c r="V1766" i="1"/>
  <c r="Y1694" i="1"/>
  <c r="AA1694" i="1"/>
  <c r="X523" i="1"/>
  <c r="Y523" i="1" s="1"/>
  <c r="V523" i="1"/>
  <c r="X564" i="1"/>
  <c r="Y564" i="1" s="1"/>
  <c r="V564" i="1"/>
  <c r="Y195" i="1"/>
  <c r="V311" i="1"/>
  <c r="X311" i="1"/>
  <c r="Y311" i="1" s="1"/>
  <c r="X1650" i="1"/>
  <c r="V1650" i="1"/>
  <c r="Y1728" i="1"/>
  <c r="AA1728" i="1"/>
  <c r="X441" i="1"/>
  <c r="Y441" i="1" s="1"/>
  <c r="V441" i="1"/>
  <c r="AA1676" i="1"/>
  <c r="Y1676" i="1"/>
  <c r="V229" i="1"/>
  <c r="X229" i="1"/>
  <c r="Y229" i="1" s="1"/>
  <c r="V61" i="1"/>
  <c r="X61" i="1"/>
  <c r="Y61" i="1" s="1"/>
  <c r="X308" i="1"/>
  <c r="Y308" i="1" s="1"/>
  <c r="V308" i="1"/>
  <c r="V837" i="1"/>
  <c r="X837" i="1"/>
  <c r="Y837" i="1" s="1"/>
  <c r="AA868" i="1"/>
  <c r="Y868" i="1"/>
  <c r="V1193" i="1"/>
  <c r="X1193" i="1"/>
  <c r="Y1193" i="1" s="1"/>
  <c r="AB1193" i="1" s="1"/>
  <c r="AC1193" i="1" s="1"/>
  <c r="X591" i="1"/>
  <c r="Y591" i="1" s="1"/>
  <c r="V591" i="1"/>
  <c r="AA148" i="1"/>
  <c r="AA746" i="1"/>
  <c r="Y746" i="1"/>
  <c r="AA838" i="1"/>
  <c r="AA914" i="1"/>
  <c r="AA967" i="1"/>
  <c r="V50" i="1"/>
  <c r="X50" i="1"/>
  <c r="Y50" i="1" s="1"/>
  <c r="X1187" i="1"/>
  <c r="Y1187" i="1" s="1"/>
  <c r="V1187" i="1"/>
  <c r="V1236" i="1"/>
  <c r="X1236" i="1"/>
  <c r="Y1236" i="1" s="1"/>
  <c r="V1445" i="1"/>
  <c r="X1445" i="1"/>
  <c r="AA1553" i="1"/>
  <c r="Y1553" i="1"/>
  <c r="X186" i="1"/>
  <c r="Y186" i="1" s="1"/>
  <c r="V186" i="1"/>
  <c r="X78" i="1"/>
  <c r="Y78" i="1" s="1"/>
  <c r="V78" i="1"/>
  <c r="AA1501" i="1"/>
  <c r="X1180" i="1"/>
  <c r="Y1180" i="1" s="1"/>
  <c r="V1180" i="1"/>
  <c r="AA1318" i="1"/>
  <c r="Y1318" i="1"/>
  <c r="X1392" i="1"/>
  <c r="Y1392" i="1" s="1"/>
  <c r="V1392" i="1"/>
  <c r="X1458" i="1"/>
  <c r="V1458" i="1"/>
  <c r="X1475" i="1"/>
  <c r="Y1475" i="1" s="1"/>
  <c r="V1475" i="1"/>
  <c r="V1616" i="1"/>
  <c r="X1616" i="1"/>
  <c r="X202" i="1"/>
  <c r="Y202" i="1" s="1"/>
  <c r="V202" i="1"/>
  <c r="V151" i="1"/>
  <c r="X151" i="1"/>
  <c r="Y151" i="1" s="1"/>
  <c r="V1493" i="1"/>
  <c r="X1493" i="1"/>
  <c r="AA605" i="1"/>
  <c r="AA618" i="1"/>
  <c r="X216" i="1"/>
  <c r="Y216" i="1" s="1"/>
  <c r="V216" i="1"/>
  <c r="X627" i="1"/>
  <c r="Y627" i="1" s="1"/>
  <c r="V627" i="1"/>
  <c r="V244" i="1"/>
  <c r="X244" i="1"/>
  <c r="Y244" i="1" s="1"/>
  <c r="X281" i="1"/>
  <c r="Y281" i="1" s="1"/>
  <c r="V281" i="1"/>
  <c r="X1702" i="1"/>
  <c r="Y1702" i="1" s="1"/>
  <c r="V1702" i="1"/>
  <c r="X8" i="1"/>
  <c r="V8" i="1"/>
  <c r="V698" i="1"/>
  <c r="X698" i="1"/>
  <c r="Y698" i="1" s="1"/>
  <c r="AA543" i="1"/>
  <c r="X1713" i="1"/>
  <c r="V1713" i="1"/>
  <c r="V494" i="1"/>
  <c r="X494" i="1"/>
  <c r="Y494" i="1" s="1"/>
  <c r="X552" i="1"/>
  <c r="Y552" i="1" s="1"/>
  <c r="V552" i="1"/>
  <c r="V1668" i="1"/>
  <c r="X1668" i="1"/>
  <c r="X563" i="1"/>
  <c r="Y563" i="1" s="1"/>
  <c r="AB563" i="1" s="1"/>
  <c r="AC563" i="1" s="1"/>
  <c r="V563" i="1"/>
  <c r="X1707" i="1"/>
  <c r="V1707" i="1"/>
  <c r="X515" i="1"/>
  <c r="Y515" i="1" s="1"/>
  <c r="V515" i="1"/>
  <c r="V566" i="1"/>
  <c r="X566" i="1"/>
  <c r="Y566" i="1" s="1"/>
  <c r="V1589" i="1"/>
  <c r="X1589" i="1"/>
  <c r="AA1705" i="1"/>
  <c r="Y1705" i="1"/>
  <c r="V248" i="1"/>
  <c r="X248" i="1"/>
  <c r="Y248" i="1" s="1"/>
  <c r="Y1544" i="1"/>
  <c r="AA1544" i="1"/>
  <c r="Y1574" i="1"/>
  <c r="AA1574" i="1"/>
  <c r="V1672" i="1"/>
  <c r="X1672" i="1"/>
  <c r="AA42" i="1"/>
  <c r="AA1652" i="1"/>
  <c r="X321" i="1"/>
  <c r="Y321" i="1" s="1"/>
  <c r="V321" i="1"/>
  <c r="Y1550" i="1"/>
  <c r="AA1550" i="1"/>
  <c r="AA1707" i="1"/>
  <c r="Y1707" i="1"/>
  <c r="AA191" i="1"/>
  <c r="AA427" i="1"/>
  <c r="AA377" i="1"/>
  <c r="AA1732" i="1"/>
  <c r="Y1732" i="1"/>
  <c r="X381" i="1"/>
  <c r="Y381" i="1" s="1"/>
  <c r="V381" i="1"/>
  <c r="AA1641" i="1"/>
  <c r="Y1641" i="1"/>
  <c r="Y1766" i="1"/>
  <c r="AA1766" i="1"/>
  <c r="X36" i="1"/>
  <c r="Y36" i="1" s="1"/>
  <c r="AB36" i="1" s="1"/>
  <c r="AC36" i="1" s="1"/>
  <c r="V36" i="1"/>
  <c r="V237" i="1"/>
  <c r="X237" i="1"/>
  <c r="Y237" i="1" s="1"/>
  <c r="V578" i="1"/>
  <c r="X578" i="1"/>
  <c r="Y578" i="1" s="1"/>
  <c r="AA1650" i="1"/>
  <c r="Y1650" i="1"/>
  <c r="X1728" i="1"/>
  <c r="V1728" i="1"/>
  <c r="X1745" i="1"/>
  <c r="Y1745" i="1" s="1"/>
  <c r="V1745" i="1"/>
  <c r="X1676" i="1"/>
  <c r="V1676" i="1"/>
  <c r="V1574" i="1"/>
  <c r="X1574" i="1"/>
  <c r="V7" i="1"/>
  <c r="X7" i="1"/>
  <c r="V1756" i="1"/>
  <c r="X1756" i="1"/>
  <c r="Y421" i="1"/>
  <c r="V527" i="1"/>
  <c r="X527" i="1"/>
  <c r="Y527" i="1" s="1"/>
  <c r="Y543" i="1"/>
  <c r="X785" i="1"/>
  <c r="Y785" i="1" s="1"/>
  <c r="V785" i="1"/>
  <c r="X989" i="1"/>
  <c r="Y989" i="1" s="1"/>
  <c r="V989" i="1"/>
  <c r="AA1134" i="1"/>
  <c r="V1164" i="1"/>
  <c r="X1164" i="1"/>
  <c r="Y1164" i="1" s="1"/>
  <c r="AB1164" i="1" s="1"/>
  <c r="AC1164" i="1" s="1"/>
  <c r="AA1227" i="1"/>
  <c r="Y1642" i="1"/>
  <c r="AA1642" i="1"/>
  <c r="AA1308" i="1"/>
  <c r="Y1308" i="1"/>
  <c r="X606" i="1"/>
  <c r="Y606" i="1" s="1"/>
  <c r="AB606" i="1" s="1"/>
  <c r="AC606" i="1" s="1"/>
  <c r="V606" i="1"/>
  <c r="X668" i="1"/>
  <c r="Y668" i="1" s="1"/>
  <c r="V668" i="1"/>
  <c r="AA274" i="1"/>
  <c r="X148" i="1"/>
  <c r="Y148" i="1" s="1"/>
  <c r="V148" i="1"/>
  <c r="V723" i="1"/>
  <c r="X723" i="1"/>
  <c r="Y723" i="1" s="1"/>
  <c r="X746" i="1"/>
  <c r="V746" i="1"/>
  <c r="AA815" i="1"/>
  <c r="Y815" i="1"/>
  <c r="X838" i="1"/>
  <c r="Y838" i="1" s="1"/>
  <c r="V838" i="1"/>
  <c r="AA892" i="1"/>
  <c r="X945" i="1"/>
  <c r="Y945" i="1" s="1"/>
  <c r="V945" i="1"/>
  <c r="X967" i="1"/>
  <c r="Y967" i="1" s="1"/>
  <c r="V967" i="1"/>
  <c r="X1050" i="1"/>
  <c r="V1050" i="1"/>
  <c r="X1081" i="1"/>
  <c r="Y1081" i="1" s="1"/>
  <c r="AB1081" i="1" s="1"/>
  <c r="AC1081" i="1" s="1"/>
  <c r="V1081" i="1"/>
  <c r="AA1236" i="1"/>
  <c r="AA1266" i="1"/>
  <c r="Y1266" i="1"/>
  <c r="AA1325" i="1"/>
  <c r="Y1325" i="1"/>
  <c r="AA146" i="1"/>
  <c r="Y1411" i="1"/>
  <c r="AA1411" i="1"/>
  <c r="AA1445" i="1"/>
  <c r="Y1445" i="1"/>
  <c r="X1553" i="1"/>
  <c r="V1553" i="1"/>
  <c r="V1501" i="1"/>
  <c r="X1501" i="1"/>
  <c r="Y1501" i="1" s="1"/>
  <c r="X1210" i="1"/>
  <c r="Y1210" i="1" s="1"/>
  <c r="V1210" i="1"/>
  <c r="V1260" i="1"/>
  <c r="X1260" i="1"/>
  <c r="Y1286" i="1"/>
  <c r="AA1286" i="1"/>
  <c r="X1318" i="1"/>
  <c r="V1318" i="1"/>
  <c r="AA1375" i="1"/>
  <c r="AA1448" i="1"/>
  <c r="Y1463" i="1"/>
  <c r="AA1463" i="1"/>
  <c r="AA531" i="1"/>
  <c r="AA1762" i="1"/>
  <c r="Y1762" i="1"/>
  <c r="AA128" i="1"/>
  <c r="AA669" i="1"/>
  <c r="AA105" i="1"/>
  <c r="X1413" i="1"/>
  <c r="Y1413" i="1" s="1"/>
  <c r="V1413" i="1"/>
  <c r="Y1493" i="1"/>
  <c r="AA1493" i="1"/>
  <c r="X605" i="1"/>
  <c r="Y605" i="1" s="1"/>
  <c r="V605" i="1"/>
  <c r="AA295" i="1"/>
  <c r="AA160" i="1"/>
  <c r="X592" i="1"/>
  <c r="Y592" i="1" s="1"/>
  <c r="V592" i="1"/>
  <c r="AA1675" i="1"/>
  <c r="V300" i="1"/>
  <c r="X300" i="1"/>
  <c r="Y300" i="1" s="1"/>
  <c r="X583" i="1"/>
  <c r="Y583" i="1" s="1"/>
  <c r="V583" i="1"/>
  <c r="AA67" i="1"/>
  <c r="AA176" i="1"/>
  <c r="X161" i="1"/>
  <c r="Y161" i="1" s="1"/>
  <c r="V161" i="1"/>
  <c r="AA53" i="1"/>
  <c r="V354" i="1"/>
  <c r="X354" i="1"/>
  <c r="Y354" i="1" s="1"/>
  <c r="AA482" i="1"/>
  <c r="Y8" i="1"/>
  <c r="AA8" i="1"/>
  <c r="AA1614" i="1"/>
  <c r="AA698" i="1"/>
  <c r="AA272" i="1"/>
  <c r="V565" i="1"/>
  <c r="X565" i="1"/>
  <c r="Y565" i="1" s="1"/>
  <c r="Y1668" i="1"/>
  <c r="AA1668" i="1"/>
  <c r="Y899" i="1"/>
  <c r="X647" i="1"/>
  <c r="Y647" i="1" s="1"/>
  <c r="V647" i="1"/>
  <c r="X405" i="1"/>
  <c r="Y405" i="1" s="1"/>
  <c r="V405" i="1"/>
  <c r="X1648" i="1"/>
  <c r="V1648" i="1"/>
  <c r="AA240" i="1"/>
  <c r="V459" i="1"/>
  <c r="X459" i="1"/>
  <c r="Y459" i="1" s="1"/>
  <c r="X496" i="1"/>
  <c r="Y496" i="1" s="1"/>
  <c r="V496" i="1"/>
  <c r="Y853" i="1"/>
  <c r="AA296" i="1"/>
  <c r="X1521" i="1"/>
  <c r="Y1521" i="1" s="1"/>
  <c r="V1521" i="1"/>
  <c r="AA532" i="1"/>
  <c r="AA244" i="1"/>
  <c r="X9" i="1"/>
  <c r="Y9" i="1" s="1"/>
  <c r="V9" i="1"/>
  <c r="X447" i="1"/>
  <c r="Y447" i="1" s="1"/>
  <c r="V447" i="1"/>
  <c r="AA450" i="1"/>
  <c r="X377" i="1"/>
  <c r="Y377" i="1" s="1"/>
  <c r="V377" i="1"/>
  <c r="X314" i="1"/>
  <c r="Y314" i="1" s="1"/>
  <c r="V314" i="1"/>
  <c r="Y641" i="1"/>
  <c r="AA381" i="1"/>
  <c r="X524" i="1"/>
  <c r="Y524" i="1" s="1"/>
  <c r="V524" i="1"/>
  <c r="V438" i="1"/>
  <c r="X438" i="1"/>
  <c r="Y438" i="1" s="1"/>
  <c r="X1694" i="1"/>
  <c r="V1694" i="1"/>
  <c r="X252" i="1"/>
  <c r="Y252" i="1" s="1"/>
  <c r="V252" i="1"/>
  <c r="AA564" i="1"/>
  <c r="AA237" i="1"/>
  <c r="Y681" i="1"/>
  <c r="X357" i="1"/>
  <c r="Y357" i="1" s="1"/>
  <c r="V357" i="1"/>
  <c r="AA1745" i="1"/>
  <c r="AA276" i="1"/>
  <c r="AA49" i="1"/>
  <c r="AA229" i="1"/>
  <c r="Y1756" i="1"/>
  <c r="AA1756" i="1"/>
  <c r="V1692" i="1"/>
  <c r="X1692" i="1"/>
  <c r="X1753" i="1"/>
  <c r="Y1753" i="1" s="1"/>
  <c r="V1753" i="1"/>
  <c r="Y404" i="1"/>
  <c r="X1407" i="1"/>
  <c r="Y1407" i="1" s="1"/>
  <c r="V1407" i="1"/>
  <c r="AA1447" i="1"/>
  <c r="AA1482" i="1"/>
  <c r="AB273" i="1"/>
  <c r="AC273" i="1" s="1"/>
  <c r="X710" i="1"/>
  <c r="Y710" i="1" s="1"/>
  <c r="AB710" i="1" s="1"/>
  <c r="AC710" i="1" s="1"/>
  <c r="V710" i="1"/>
  <c r="V737" i="1"/>
  <c r="X737" i="1"/>
  <c r="Y737" i="1" s="1"/>
  <c r="AA899" i="1"/>
  <c r="AA966" i="1"/>
  <c r="AA989" i="1"/>
  <c r="V1049" i="1"/>
  <c r="X1049" i="1"/>
  <c r="Y1049" i="1" s="1"/>
  <c r="V1109" i="1"/>
  <c r="X1109" i="1"/>
  <c r="Y1109" i="1" s="1"/>
  <c r="X1134" i="1"/>
  <c r="Y1134" i="1" s="1"/>
  <c r="V1134" i="1"/>
  <c r="V1200" i="1"/>
  <c r="X1200" i="1"/>
  <c r="Y1200" i="1" s="1"/>
  <c r="V1227" i="1"/>
  <c r="X1227" i="1"/>
  <c r="Y1227" i="1" s="1"/>
  <c r="V1642" i="1"/>
  <c r="X1642" i="1"/>
  <c r="V1277" i="1"/>
  <c r="X1277" i="1"/>
  <c r="AA1390" i="1"/>
  <c r="X1416" i="1"/>
  <c r="Y1416" i="1" s="1"/>
  <c r="AB1416" i="1" s="1"/>
  <c r="AC1416" i="1" s="1"/>
  <c r="V1416" i="1"/>
  <c r="AA630" i="1"/>
  <c r="V96" i="1"/>
  <c r="X96" i="1"/>
  <c r="Y96" i="1" s="1"/>
  <c r="AA139" i="1"/>
  <c r="X274" i="1"/>
  <c r="Y274" i="1" s="1"/>
  <c r="V274" i="1"/>
  <c r="AA723" i="1"/>
  <c r="AA773" i="1"/>
  <c r="Y773" i="1"/>
  <c r="X815" i="1"/>
  <c r="V815" i="1"/>
  <c r="AA869" i="1"/>
  <c r="X892" i="1"/>
  <c r="Y892" i="1" s="1"/>
  <c r="V892" i="1"/>
  <c r="AA997" i="1"/>
  <c r="Y997" i="1"/>
  <c r="AA1027" i="1"/>
  <c r="AA1050" i="1"/>
  <c r="Y1050" i="1"/>
  <c r="V1135" i="1"/>
  <c r="X1135" i="1"/>
  <c r="Y1135" i="1" s="1"/>
  <c r="AA1244" i="1"/>
  <c r="Y1244" i="1"/>
  <c r="X146" i="1"/>
  <c r="Y146" i="1" s="1"/>
  <c r="V146" i="1"/>
  <c r="AA1391" i="1"/>
  <c r="AA1431" i="1"/>
  <c r="AA586" i="1"/>
  <c r="Y586" i="1"/>
  <c r="V622" i="1"/>
  <c r="X622" i="1"/>
  <c r="Y622" i="1" s="1"/>
  <c r="AB622" i="1" s="1"/>
  <c r="AC622" i="1" s="1"/>
  <c r="V1237" i="1"/>
  <c r="X1237" i="1"/>
  <c r="X1286" i="1"/>
  <c r="V1286" i="1"/>
  <c r="X1375" i="1"/>
  <c r="Y1375" i="1" s="1"/>
  <c r="V1375" i="1"/>
  <c r="V1417" i="1"/>
  <c r="X1417" i="1"/>
  <c r="V1437" i="1"/>
  <c r="X1437" i="1"/>
  <c r="V1448" i="1"/>
  <c r="X1448" i="1"/>
  <c r="Y1448" i="1" s="1"/>
  <c r="X1463" i="1"/>
  <c r="V1463" i="1"/>
  <c r="V531" i="1"/>
  <c r="X531" i="1"/>
  <c r="Y531" i="1" s="1"/>
  <c r="X646" i="1"/>
  <c r="Y646" i="1" s="1"/>
  <c r="V646" i="1"/>
  <c r="X128" i="1"/>
  <c r="Y128" i="1" s="1"/>
  <c r="V128" i="1"/>
  <c r="V669" i="1"/>
  <c r="X669" i="1"/>
  <c r="Y669" i="1" s="1"/>
  <c r="AA681" i="1"/>
  <c r="X1393" i="1"/>
  <c r="Y1393" i="1" s="1"/>
  <c r="V1393" i="1"/>
  <c r="AA1413" i="1"/>
  <c r="X1459" i="1"/>
  <c r="Y1459" i="1" s="1"/>
  <c r="V1459" i="1"/>
  <c r="Y1516" i="1"/>
  <c r="AA1516" i="1"/>
  <c r="V553" i="1"/>
  <c r="X553" i="1"/>
  <c r="Y553" i="1" s="1"/>
  <c r="Y1551" i="1"/>
  <c r="AA1551" i="1"/>
  <c r="AA138" i="1"/>
  <c r="AA592" i="1"/>
  <c r="X1549" i="1"/>
  <c r="Y1549" i="1" s="1"/>
  <c r="V1549" i="1"/>
  <c r="V67" i="1"/>
  <c r="X67" i="1"/>
  <c r="Y67" i="1" s="1"/>
  <c r="V253" i="1"/>
  <c r="X253" i="1"/>
  <c r="Y253" i="1" s="1"/>
  <c r="AA161" i="1"/>
  <c r="V173" i="1"/>
  <c r="X173" i="1"/>
  <c r="Y173" i="1" s="1"/>
  <c r="AA354" i="1"/>
  <c r="AA1597" i="1"/>
  <c r="Y1597" i="1"/>
  <c r="V39" i="1"/>
  <c r="X39" i="1"/>
  <c r="Y39" i="1" s="1"/>
  <c r="AB39" i="1" s="1"/>
  <c r="AC39" i="1" s="1"/>
  <c r="X1614" i="1"/>
  <c r="Y1614" i="1" s="1"/>
  <c r="V1614" i="1"/>
  <c r="X347" i="1"/>
  <c r="Y347" i="1" s="1"/>
  <c r="V347" i="1"/>
  <c r="AA647" i="1"/>
  <c r="AA405" i="1"/>
  <c r="V1684" i="1"/>
  <c r="X1684" i="1"/>
  <c r="Y1684" i="1" s="1"/>
  <c r="AA566" i="1"/>
  <c r="X275" i="1"/>
  <c r="Y275" i="1" s="1"/>
  <c r="V275" i="1"/>
  <c r="AA1521" i="1"/>
  <c r="X1705" i="1"/>
  <c r="V1705" i="1"/>
  <c r="AA1600" i="1"/>
  <c r="Y1600" i="1"/>
  <c r="V1748" i="1"/>
  <c r="X1748" i="1"/>
  <c r="AA419" i="1"/>
  <c r="AA9" i="1"/>
  <c r="V24" i="1"/>
  <c r="X24" i="1"/>
  <c r="Y24" i="1" s="1"/>
  <c r="V450" i="1"/>
  <c r="X450" i="1"/>
  <c r="Y450" i="1" s="1"/>
  <c r="X64" i="1"/>
  <c r="Y64" i="1" s="1"/>
  <c r="V64" i="1"/>
  <c r="AA314" i="1"/>
  <c r="X1732" i="1"/>
  <c r="V1732" i="1"/>
  <c r="AB529" i="1"/>
  <c r="AC529" i="1" s="1"/>
  <c r="AA438" i="1"/>
  <c r="AA252" i="1"/>
  <c r="AA509" i="1"/>
  <c r="AA1653" i="1"/>
  <c r="X170" i="1"/>
  <c r="Y170" i="1" s="1"/>
  <c r="V170" i="1"/>
  <c r="V371" i="1"/>
  <c r="X371" i="1"/>
  <c r="Y371" i="1" s="1"/>
  <c r="AA357" i="1"/>
  <c r="V60" i="1"/>
  <c r="X60" i="1"/>
  <c r="Y60" i="1" s="1"/>
  <c r="AA298" i="1"/>
  <c r="AA580" i="1"/>
  <c r="AA66" i="1"/>
  <c r="Y7" i="1"/>
  <c r="AA7" i="1"/>
  <c r="X6" i="1"/>
  <c r="Y6" i="1" s="1"/>
  <c r="V6" i="1"/>
  <c r="AA1692" i="1"/>
  <c r="Y1692" i="1"/>
  <c r="X490" i="1"/>
  <c r="Y490" i="1" s="1"/>
  <c r="V490" i="1"/>
  <c r="X766" i="1"/>
  <c r="Y766" i="1" s="1"/>
  <c r="V766" i="1"/>
  <c r="V845" i="1"/>
  <c r="X845" i="1"/>
  <c r="Y845" i="1" s="1"/>
  <c r="AA1026" i="1"/>
  <c r="Y1277" i="1"/>
  <c r="AA1277" i="1"/>
  <c r="X1339" i="1"/>
  <c r="Y1339" i="1" s="1"/>
  <c r="V1339" i="1"/>
  <c r="AA1373" i="1"/>
  <c r="X1390" i="1"/>
  <c r="Y1390" i="1" s="1"/>
  <c r="V1390" i="1"/>
  <c r="AA1514" i="1"/>
  <c r="Y1514" i="1"/>
  <c r="V794" i="1"/>
  <c r="X794" i="1"/>
  <c r="Y794" i="1" s="1"/>
  <c r="Y921" i="1"/>
  <c r="AA921" i="1"/>
  <c r="X997" i="1"/>
  <c r="V997" i="1"/>
  <c r="X1110" i="1"/>
  <c r="Y1110" i="1" s="1"/>
  <c r="V1110" i="1"/>
  <c r="AA1135" i="1"/>
  <c r="X1165" i="1"/>
  <c r="Y1165" i="1" s="1"/>
  <c r="V1165" i="1"/>
  <c r="V1325" i="1"/>
  <c r="X1325" i="1"/>
  <c r="X1391" i="1"/>
  <c r="Y1391" i="1" s="1"/>
  <c r="V1391" i="1"/>
  <c r="X1411" i="1"/>
  <c r="V1411" i="1"/>
  <c r="V1474" i="1"/>
  <c r="X1474" i="1"/>
  <c r="Y1474" i="1" s="1"/>
  <c r="AA1498" i="1"/>
  <c r="Y1498" i="1"/>
  <c r="X1188" i="1"/>
  <c r="Y1188" i="1" s="1"/>
  <c r="V1188" i="1"/>
  <c r="Y1237" i="1"/>
  <c r="AA1237" i="1"/>
  <c r="V1347" i="1"/>
  <c r="X1347" i="1"/>
  <c r="Y1347" i="1" s="1"/>
  <c r="AB1347" i="1" s="1"/>
  <c r="AC1347" i="1" s="1"/>
  <c r="AA1417" i="1"/>
  <c r="Y1417" i="1"/>
  <c r="AA1437" i="1"/>
  <c r="Y1437" i="1"/>
  <c r="X1762" i="1"/>
  <c r="V1762" i="1"/>
  <c r="V265" i="1"/>
  <c r="X265" i="1"/>
  <c r="Y265" i="1" s="1"/>
  <c r="X1432" i="1"/>
  <c r="Y1432" i="1" s="1"/>
  <c r="V1432" i="1"/>
  <c r="V1492" i="1"/>
  <c r="X1492" i="1"/>
  <c r="Y1492" i="1" s="1"/>
  <c r="V1516" i="1"/>
  <c r="X1516" i="1"/>
  <c r="AA1683" i="1"/>
  <c r="Y1683" i="1"/>
  <c r="V138" i="1"/>
  <c r="X138" i="1"/>
  <c r="Y138" i="1" s="1"/>
  <c r="V502" i="1"/>
  <c r="X502" i="1"/>
  <c r="Y502" i="1" s="1"/>
  <c r="AA1549" i="1"/>
  <c r="AA1640" i="1"/>
  <c r="Y1640" i="1"/>
  <c r="X1597" i="1"/>
  <c r="V1597" i="1"/>
  <c r="AA409" i="1"/>
  <c r="V1591" i="1"/>
  <c r="X1591" i="1"/>
  <c r="Y1582" i="1"/>
  <c r="AA1582" i="1"/>
  <c r="V1723" i="1"/>
  <c r="X1723" i="1"/>
  <c r="V486" i="1"/>
  <c r="X486" i="1"/>
  <c r="Y486" i="1" s="1"/>
  <c r="Y1630" i="1"/>
  <c r="AA1630" i="1"/>
  <c r="AA143" i="1"/>
  <c r="AA134" i="1"/>
  <c r="AA1648" i="1"/>
  <c r="Y1648" i="1"/>
  <c r="V290" i="1"/>
  <c r="X290" i="1"/>
  <c r="Y290" i="1" s="1"/>
  <c r="Y900" i="1"/>
  <c r="X1535" i="1"/>
  <c r="V1535" i="1"/>
  <c r="V503" i="1"/>
  <c r="X503" i="1"/>
  <c r="Y503" i="1" s="1"/>
  <c r="AB503" i="1" s="1"/>
  <c r="AC503" i="1" s="1"/>
  <c r="X374" i="1"/>
  <c r="Y374" i="1" s="1"/>
  <c r="V374" i="1"/>
  <c r="X363" i="1"/>
  <c r="Y363" i="1" s="1"/>
  <c r="V363" i="1"/>
  <c r="AA163" i="1"/>
  <c r="V79" i="1"/>
  <c r="X79" i="1"/>
  <c r="Y79" i="1" s="1"/>
  <c r="X1600" i="1"/>
  <c r="V1600" i="1"/>
  <c r="X338" i="1"/>
  <c r="Y338" i="1" s="1"/>
  <c r="AB338" i="1" s="1"/>
  <c r="AC338" i="1" s="1"/>
  <c r="V338" i="1"/>
  <c r="X1751" i="1"/>
  <c r="V1751" i="1"/>
  <c r="Y1748" i="1"/>
  <c r="AA1748" i="1"/>
  <c r="X55" i="1"/>
  <c r="Y55" i="1" s="1"/>
  <c r="V55" i="1"/>
  <c r="X419" i="1"/>
  <c r="Y419" i="1" s="1"/>
  <c r="V419" i="1"/>
  <c r="V1607" i="1"/>
  <c r="X1607" i="1"/>
  <c r="Y1607" i="1" s="1"/>
  <c r="V323" i="1"/>
  <c r="X323" i="1"/>
  <c r="Y323" i="1" s="1"/>
  <c r="AA64" i="1"/>
  <c r="AA588" i="1"/>
  <c r="X299" i="1"/>
  <c r="Y299" i="1" s="1"/>
  <c r="V299" i="1"/>
  <c r="AA170" i="1"/>
  <c r="X559" i="1"/>
  <c r="Y559" i="1" s="1"/>
  <c r="V559" i="1"/>
  <c r="AA1725" i="1"/>
  <c r="Y1725" i="1"/>
  <c r="X117" i="1"/>
  <c r="Y117" i="1" s="1"/>
  <c r="V117" i="1"/>
  <c r="V464" i="1"/>
  <c r="X464" i="1"/>
  <c r="Y464" i="1" s="1"/>
  <c r="V66" i="1"/>
  <c r="X66" i="1"/>
  <c r="Y66" i="1" s="1"/>
  <c r="V276" i="1"/>
  <c r="X276" i="1"/>
  <c r="Y276" i="1" s="1"/>
  <c r="V497" i="1"/>
  <c r="X497" i="1"/>
  <c r="Y497" i="1" s="1"/>
  <c r="V54" i="1"/>
  <c r="X54" i="1"/>
  <c r="Y54" i="1" s="1"/>
  <c r="X1171" i="1"/>
  <c r="Y1171" i="1" s="1"/>
  <c r="V1171" i="1"/>
  <c r="AA1316" i="1"/>
  <c r="Y1316" i="1"/>
  <c r="V420" i="1"/>
  <c r="X420" i="1"/>
  <c r="Y420" i="1" s="1"/>
  <c r="X630" i="1"/>
  <c r="Y630" i="1" s="1"/>
  <c r="V630" i="1"/>
  <c r="X2" i="1"/>
  <c r="V2" i="1"/>
  <c r="V1514" i="1"/>
  <c r="X1514" i="1"/>
  <c r="X45" i="1"/>
  <c r="Y45" i="1" s="1"/>
  <c r="V45" i="1"/>
  <c r="V223" i="1"/>
  <c r="X223" i="1"/>
  <c r="Y223" i="1" s="1"/>
  <c r="AB223" i="1" s="1"/>
  <c r="AC223" i="1" s="1"/>
  <c r="AA705" i="1"/>
  <c r="Y705" i="1"/>
  <c r="V754" i="1"/>
  <c r="X754" i="1"/>
  <c r="V773" i="1"/>
  <c r="X773" i="1"/>
  <c r="AA846" i="1"/>
  <c r="V869" i="1"/>
  <c r="X869" i="1"/>
  <c r="Y869" i="1" s="1"/>
  <c r="X1027" i="1"/>
  <c r="Y1027" i="1" s="1"/>
  <c r="V1027" i="1"/>
  <c r="AA1088" i="1"/>
  <c r="X1194" i="1"/>
  <c r="Y1194" i="1" s="1"/>
  <c r="AB1194" i="1" s="1"/>
  <c r="AC1194" i="1" s="1"/>
  <c r="V1194" i="1"/>
  <c r="X1244" i="1"/>
  <c r="V1244" i="1"/>
  <c r="AA1579" i="1"/>
  <c r="Y1579" i="1"/>
  <c r="V1431" i="1"/>
  <c r="X1431" i="1"/>
  <c r="Y1431" i="1" s="1"/>
  <c r="Y1583" i="1"/>
  <c r="AA1583" i="1"/>
  <c r="X586" i="1"/>
  <c r="V586" i="1"/>
  <c r="AA1504" i="1"/>
  <c r="AA1216" i="1"/>
  <c r="Y1216" i="1"/>
  <c r="AA1326" i="1"/>
  <c r="Y1326" i="1"/>
  <c r="Y1398" i="1"/>
  <c r="AA1398" i="1"/>
  <c r="X572" i="1"/>
  <c r="V572" i="1"/>
  <c r="X602" i="1"/>
  <c r="Y602" i="1" s="1"/>
  <c r="V602" i="1"/>
  <c r="X1418" i="1"/>
  <c r="Y1418" i="1" s="1"/>
  <c r="V1418" i="1"/>
  <c r="AA1492" i="1"/>
  <c r="X20" i="1"/>
  <c r="V20" i="1"/>
  <c r="X1718" i="1"/>
  <c r="Y1718" i="1" s="1"/>
  <c r="V1718" i="1"/>
  <c r="V1640" i="1"/>
  <c r="X1640" i="1"/>
  <c r="V1604" i="1"/>
  <c r="X1604" i="1"/>
  <c r="V409" i="1"/>
  <c r="X409" i="1"/>
  <c r="Y409" i="1" s="1"/>
  <c r="AA341" i="1"/>
  <c r="X1686" i="1"/>
  <c r="V1686" i="1"/>
  <c r="V1630" i="1"/>
  <c r="X1630" i="1"/>
  <c r="X143" i="1"/>
  <c r="Y143" i="1" s="1"/>
  <c r="V143" i="1"/>
  <c r="Y1719" i="1"/>
  <c r="AA1719" i="1"/>
  <c r="X101" i="1"/>
  <c r="Y101" i="1" s="1"/>
  <c r="V101" i="1"/>
  <c r="AA149" i="1"/>
  <c r="X1541" i="1"/>
  <c r="V1541" i="1"/>
  <c r="X22" i="1"/>
  <c r="Y22" i="1" s="1"/>
  <c r="V22" i="1"/>
  <c r="Y1620" i="1"/>
  <c r="AA1620" i="1"/>
  <c r="Y1751" i="1"/>
  <c r="AA1751" i="1"/>
  <c r="V349" i="1"/>
  <c r="X349" i="1"/>
  <c r="Y349" i="1" s="1"/>
  <c r="AA392" i="1"/>
  <c r="X1559" i="1"/>
  <c r="Y1559" i="1" s="1"/>
  <c r="V1559" i="1"/>
  <c r="X628" i="1"/>
  <c r="Y628" i="1" s="1"/>
  <c r="V628" i="1"/>
  <c r="Y126" i="1"/>
  <c r="X1682" i="1"/>
  <c r="V1682" i="1"/>
  <c r="Y1510" i="1"/>
  <c r="V165" i="1"/>
  <c r="X165" i="1"/>
  <c r="Y165" i="1" s="1"/>
  <c r="X1653" i="1"/>
  <c r="Y1653" i="1" s="1"/>
  <c r="V1653" i="1"/>
  <c r="V1725" i="1"/>
  <c r="X1725" i="1"/>
  <c r="AA689" i="1"/>
  <c r="V62" i="1"/>
  <c r="X62" i="1"/>
  <c r="Y62" i="1" s="1"/>
  <c r="X298" i="1"/>
  <c r="Y298" i="1" s="1"/>
  <c r="V298" i="1"/>
  <c r="V580" i="1"/>
  <c r="X580" i="1"/>
  <c r="Y580" i="1" s="1"/>
  <c r="AA278" i="1"/>
  <c r="Y1520" i="1"/>
  <c r="AA1520" i="1"/>
  <c r="Y176" i="1"/>
  <c r="X74" i="1"/>
  <c r="Y74" i="1" s="1"/>
  <c r="AB74" i="1" s="1"/>
  <c r="AC74" i="1" s="1"/>
  <c r="V74" i="1"/>
  <c r="V206" i="1"/>
  <c r="X206" i="1"/>
  <c r="Y206" i="1" s="1"/>
  <c r="AA287" i="1"/>
  <c r="V270" i="1"/>
  <c r="Y1680" i="1"/>
  <c r="AA495" i="1"/>
  <c r="AA386" i="1"/>
  <c r="Y443" i="1"/>
  <c r="V339" i="1"/>
  <c r="X339" i="1"/>
  <c r="Y339" i="1" s="1"/>
  <c r="AB339" i="1" s="1"/>
  <c r="AC339" i="1" s="1"/>
  <c r="X1494" i="1"/>
  <c r="Y1494" i="1" s="1"/>
  <c r="AB1494" i="1" s="1"/>
  <c r="AC1494" i="1" s="1"/>
  <c r="V1494" i="1"/>
  <c r="AA270" i="1"/>
  <c r="V461" i="1"/>
  <c r="X461" i="1"/>
  <c r="Y461" i="1" s="1"/>
  <c r="AB461" i="1" s="1"/>
  <c r="AC461" i="1" s="1"/>
  <c r="X473" i="1"/>
  <c r="Y473" i="1" s="1"/>
  <c r="AB473" i="1" s="1"/>
  <c r="AC473" i="1" s="1"/>
  <c r="V473" i="1"/>
  <c r="Y522" i="1"/>
  <c r="AA522" i="1"/>
  <c r="AA27" i="1"/>
  <c r="Y27" i="1"/>
  <c r="V1743" i="1"/>
  <c r="X1743" i="1"/>
  <c r="Y435" i="1"/>
  <c r="V522" i="1"/>
  <c r="V226" i="1"/>
  <c r="X226" i="1"/>
  <c r="Y226" i="1" s="1"/>
  <c r="AB226" i="1" s="1"/>
  <c r="AC226" i="1" s="1"/>
  <c r="V1760" i="1"/>
  <c r="X1760" i="1"/>
  <c r="V1659" i="1"/>
  <c r="X1659" i="1"/>
  <c r="V112" i="1"/>
  <c r="X112" i="1"/>
  <c r="Y112" i="1" s="1"/>
  <c r="AB112" i="1" s="1"/>
  <c r="AC112" i="1" s="1"/>
  <c r="X466" i="1"/>
  <c r="Y466" i="1" s="1"/>
  <c r="AB466" i="1" s="1"/>
  <c r="AC466" i="1" s="1"/>
  <c r="V466" i="1"/>
  <c r="V52" i="1"/>
  <c r="X52" i="1"/>
  <c r="Y52" i="1" s="1"/>
  <c r="AB52" i="1" s="1"/>
  <c r="AC52" i="1" s="1"/>
  <c r="V1656" i="1"/>
  <c r="X1656" i="1"/>
  <c r="Y1656" i="1" s="1"/>
  <c r="X1735" i="1"/>
  <c r="V1735" i="1"/>
  <c r="Y495" i="1"/>
  <c r="Y488" i="1"/>
  <c r="Y40" i="1"/>
  <c r="Y334" i="1"/>
  <c r="V1649" i="1"/>
  <c r="X1649" i="1"/>
  <c r="V16" i="1"/>
  <c r="V302" i="1"/>
  <c r="X302" i="1"/>
  <c r="Y302" i="1" s="1"/>
  <c r="AB302" i="1" s="1"/>
  <c r="AC302" i="1" s="1"/>
  <c r="X15" i="1"/>
  <c r="Y15" i="1" s="1"/>
  <c r="AB15" i="1" s="1"/>
  <c r="AC15" i="1" s="1"/>
  <c r="V15" i="1"/>
  <c r="V86" i="1"/>
  <c r="X86" i="1"/>
  <c r="Y86" i="1" s="1"/>
  <c r="AB86" i="1" s="1"/>
  <c r="AC86" i="1" s="1"/>
  <c r="V510" i="1"/>
  <c r="X510" i="1"/>
  <c r="Y510" i="1" s="1"/>
  <c r="AB510" i="1" s="1"/>
  <c r="AC510" i="1" s="1"/>
  <c r="V3" i="1"/>
  <c r="X3" i="1"/>
  <c r="Y3" i="1" s="1"/>
  <c r="AB3" i="1" s="1"/>
  <c r="AC3" i="1" s="1"/>
  <c r="X231" i="1"/>
  <c r="Y231" i="1" s="1"/>
  <c r="AB231" i="1" s="1"/>
  <c r="AC231" i="1" s="1"/>
  <c r="V231" i="1"/>
  <c r="AB236" i="1" l="1"/>
  <c r="AC236" i="1" s="1"/>
  <c r="AD236" i="1" s="1"/>
  <c r="AE236" i="1" s="1"/>
  <c r="AG236" i="1" s="1"/>
  <c r="AB1018" i="1"/>
  <c r="AC1018" i="1" s="1"/>
  <c r="AD1018" i="1" s="1"/>
  <c r="AB714" i="1"/>
  <c r="AC714" i="1" s="1"/>
  <c r="AF714" i="1" s="1"/>
  <c r="AB1082" i="1"/>
  <c r="AC1082" i="1" s="1"/>
  <c r="AF1082" i="1" s="1"/>
  <c r="AB424" i="1"/>
  <c r="AC424" i="1" s="1"/>
  <c r="AD424" i="1" s="1"/>
  <c r="AE424" i="1" s="1"/>
  <c r="AG424" i="1" s="1"/>
  <c r="AB1143" i="1"/>
  <c r="AC1143" i="1" s="1"/>
  <c r="AD1143" i="1" s="1"/>
  <c r="AB933" i="1"/>
  <c r="AC933" i="1" s="1"/>
  <c r="AF933" i="1" s="1"/>
  <c r="AB1226" i="1"/>
  <c r="AC1226" i="1" s="1"/>
  <c r="AD1226" i="1" s="1"/>
  <c r="AB508" i="1"/>
  <c r="AC508" i="1" s="1"/>
  <c r="AF508" i="1" s="1"/>
  <c r="AB91" i="1"/>
  <c r="AC91" i="1" s="1"/>
  <c r="AD91" i="1" s="1"/>
  <c r="AE91" i="1" s="1"/>
  <c r="AG91" i="1" s="1"/>
  <c r="AB1089" i="1"/>
  <c r="AC1089" i="1" s="1"/>
  <c r="AD1089" i="1" s="1"/>
  <c r="AB198" i="1"/>
  <c r="AC198" i="1" s="1"/>
  <c r="AF198" i="1" s="1"/>
  <c r="AB1078" i="1"/>
  <c r="AC1078" i="1" s="1"/>
  <c r="AD1078" i="1" s="1"/>
  <c r="AB743" i="1"/>
  <c r="AC743" i="1" s="1"/>
  <c r="AD743" i="1" s="1"/>
  <c r="AB537" i="1"/>
  <c r="AC537" i="1" s="1"/>
  <c r="AD537" i="1" s="1"/>
  <c r="AE537" i="1" s="1"/>
  <c r="AG537" i="1" s="1"/>
  <c r="AB525" i="1"/>
  <c r="AC525" i="1" s="1"/>
  <c r="AF525" i="1" s="1"/>
  <c r="AB1207" i="1"/>
  <c r="AC1207" i="1" s="1"/>
  <c r="AF1207" i="1" s="1"/>
  <c r="AB84" i="1"/>
  <c r="AC84" i="1" s="1"/>
  <c r="AD84" i="1" s="1"/>
  <c r="AE84" i="1" s="1"/>
  <c r="AB398" i="1"/>
  <c r="AC398" i="1" s="1"/>
  <c r="AD398" i="1" s="1"/>
  <c r="AE398" i="1" s="1"/>
  <c r="AG398" i="1" s="1"/>
  <c r="AB490" i="1"/>
  <c r="AC490" i="1" s="1"/>
  <c r="AD490" i="1" s="1"/>
  <c r="AE490" i="1" s="1"/>
  <c r="AG490" i="1" s="1"/>
  <c r="AB1100" i="1"/>
  <c r="AC1100" i="1" s="1"/>
  <c r="AF1100" i="1" s="1"/>
  <c r="AB925" i="1"/>
  <c r="AC925" i="1" s="1"/>
  <c r="AF925" i="1" s="1"/>
  <c r="AB365" i="1"/>
  <c r="AC365" i="1" s="1"/>
  <c r="AD365" i="1" s="1"/>
  <c r="AE365" i="1" s="1"/>
  <c r="AG365" i="1" s="1"/>
  <c r="AB200" i="1"/>
  <c r="AC200" i="1" s="1"/>
  <c r="AD200" i="1" s="1"/>
  <c r="AE200" i="1" s="1"/>
  <c r="AG200" i="1" s="1"/>
  <c r="AB393" i="1"/>
  <c r="AC393" i="1" s="1"/>
  <c r="AD393" i="1" s="1"/>
  <c r="AE393" i="1" s="1"/>
  <c r="AG393" i="1" s="1"/>
  <c r="AB795" i="1"/>
  <c r="AC795" i="1" s="1"/>
  <c r="AD795" i="1" s="1"/>
  <c r="AB690" i="1"/>
  <c r="AC690" i="1" s="1"/>
  <c r="AD690" i="1" s="1"/>
  <c r="AB1352" i="1"/>
  <c r="AC1352" i="1" s="1"/>
  <c r="AD1352" i="1" s="1"/>
  <c r="AE293" i="1"/>
  <c r="AG293" i="1" s="1"/>
  <c r="AE267" i="1"/>
  <c r="AG267" i="1" s="1"/>
  <c r="AB436" i="1"/>
  <c r="AC436" i="1" s="1"/>
  <c r="AF436" i="1" s="1"/>
  <c r="AB991" i="1"/>
  <c r="AC991" i="1" s="1"/>
  <c r="AF991" i="1" s="1"/>
  <c r="AB1345" i="1"/>
  <c r="AC1345" i="1" s="1"/>
  <c r="AD1345" i="1" s="1"/>
  <c r="AB1517" i="1"/>
  <c r="AC1517" i="1" s="1"/>
  <c r="AF1517" i="1" s="1"/>
  <c r="AB1561" i="1"/>
  <c r="AC1561" i="1" s="1"/>
  <c r="AF1561" i="1" s="1"/>
  <c r="AB557" i="1"/>
  <c r="AC557" i="1" s="1"/>
  <c r="AD557" i="1" s="1"/>
  <c r="AE557" i="1" s="1"/>
  <c r="AG557" i="1" s="1"/>
  <c r="AB1462" i="1"/>
  <c r="AC1462" i="1" s="1"/>
  <c r="AD1462" i="1" s="1"/>
  <c r="AB1408" i="1"/>
  <c r="AC1408" i="1" s="1"/>
  <c r="AD1408" i="1" s="1"/>
  <c r="AB1435" i="1"/>
  <c r="AC1435" i="1" s="1"/>
  <c r="AF1435" i="1" s="1"/>
  <c r="AB946" i="1"/>
  <c r="AC946" i="1" s="1"/>
  <c r="AD946" i="1" s="1"/>
  <c r="AB250" i="1"/>
  <c r="AC250" i="1" s="1"/>
  <c r="AD250" i="1" s="1"/>
  <c r="AE250" i="1" s="1"/>
  <c r="AG250" i="1" s="1"/>
  <c r="AB1051" i="1"/>
  <c r="AC1051" i="1" s="1"/>
  <c r="AF1051" i="1" s="1"/>
  <c r="AB917" i="1"/>
  <c r="AC917" i="1" s="1"/>
  <c r="AF917" i="1" s="1"/>
  <c r="AB948" i="1"/>
  <c r="AC948" i="1" s="1"/>
  <c r="AF948" i="1" s="1"/>
  <c r="AB1422" i="1"/>
  <c r="AC1422" i="1" s="1"/>
  <c r="AF1422" i="1" s="1"/>
  <c r="AD1292" i="1"/>
  <c r="AF1536" i="1"/>
  <c r="AB1605" i="1"/>
  <c r="AC1605" i="1" s="1"/>
  <c r="AD1605" i="1" s="1"/>
  <c r="AE1605" i="1" s="1"/>
  <c r="AG1605" i="1" s="1"/>
  <c r="AB550" i="1"/>
  <c r="AC550" i="1" s="1"/>
  <c r="AD550" i="1" s="1"/>
  <c r="AE550" i="1" s="1"/>
  <c r="AG550" i="1" s="1"/>
  <c r="AB69" i="1"/>
  <c r="AC69" i="1" s="1"/>
  <c r="AD69" i="1" s="1"/>
  <c r="AE69" i="1" s="1"/>
  <c r="AB351" i="1"/>
  <c r="AC351" i="1" s="1"/>
  <c r="AF351" i="1" s="1"/>
  <c r="AB820" i="1"/>
  <c r="AC820" i="1" s="1"/>
  <c r="AD820" i="1" s="1"/>
  <c r="AF763" i="1"/>
  <c r="AD764" i="1"/>
  <c r="AB1353" i="1"/>
  <c r="AC1353" i="1" s="1"/>
  <c r="AD1353" i="1" s="1"/>
  <c r="AB716" i="1"/>
  <c r="AC716" i="1" s="1"/>
  <c r="AF716" i="1" s="1"/>
  <c r="AB774" i="1"/>
  <c r="AC774" i="1" s="1"/>
  <c r="AF774" i="1" s="1"/>
  <c r="AB1035" i="1"/>
  <c r="AC1035" i="1" s="1"/>
  <c r="AF1035" i="1" s="1"/>
  <c r="AE662" i="1"/>
  <c r="AG662" i="1" s="1"/>
  <c r="AB1716" i="1"/>
  <c r="AC1716" i="1" s="1"/>
  <c r="AD1716" i="1" s="1"/>
  <c r="AE1716" i="1" s="1"/>
  <c r="AG1716" i="1" s="1"/>
  <c r="AB1295" i="1"/>
  <c r="AC1295" i="1" s="1"/>
  <c r="AF1295" i="1" s="1"/>
  <c r="AB720" i="1"/>
  <c r="AC720" i="1" s="1"/>
  <c r="AD720" i="1" s="1"/>
  <c r="AB1397" i="1"/>
  <c r="AC1397" i="1" s="1"/>
  <c r="AF1397" i="1" s="1"/>
  <c r="AB1690" i="1"/>
  <c r="AC1690" i="1" s="1"/>
  <c r="AF1690" i="1" s="1"/>
  <c r="AB613" i="1"/>
  <c r="AC613" i="1" s="1"/>
  <c r="AD613" i="1" s="1"/>
  <c r="AE613" i="1" s="1"/>
  <c r="AG613" i="1" s="1"/>
  <c r="AB1544" i="1"/>
  <c r="AC1544" i="1" s="1"/>
  <c r="AF1544" i="1" s="1"/>
  <c r="AB1730" i="1"/>
  <c r="AC1730" i="1" s="1"/>
  <c r="AF1730" i="1" s="1"/>
  <c r="AB345" i="1"/>
  <c r="AC345" i="1" s="1"/>
  <c r="AD345" i="1" s="1"/>
  <c r="AE345" i="1" s="1"/>
  <c r="AG345" i="1" s="1"/>
  <c r="AB1552" i="1"/>
  <c r="AC1552" i="1" s="1"/>
  <c r="AD1552" i="1" s="1"/>
  <c r="AE1552" i="1" s="1"/>
  <c r="AG1552" i="1" s="1"/>
  <c r="AB695" i="1"/>
  <c r="AC695" i="1" s="1"/>
  <c r="AD695" i="1" s="1"/>
  <c r="AE695" i="1" s="1"/>
  <c r="AG695" i="1" s="1"/>
  <c r="AF1573" i="1"/>
  <c r="AD1573" i="1"/>
  <c r="AE1573" i="1" s="1"/>
  <c r="AG1573" i="1" s="1"/>
  <c r="AB1426" i="1"/>
  <c r="AC1426" i="1" s="1"/>
  <c r="AF1426" i="1" s="1"/>
  <c r="AB82" i="1"/>
  <c r="AC82" i="1" s="1"/>
  <c r="AF82" i="1" s="1"/>
  <c r="AB1217" i="1"/>
  <c r="AC1217" i="1" s="1"/>
  <c r="AF1217" i="1" s="1"/>
  <c r="AB507" i="1"/>
  <c r="AC507" i="1" s="1"/>
  <c r="AF507" i="1" s="1"/>
  <c r="AB1399" i="1"/>
  <c r="AC1399" i="1" s="1"/>
  <c r="AF1399" i="1" s="1"/>
  <c r="AB683" i="1"/>
  <c r="AC683" i="1" s="1"/>
  <c r="AF683" i="1" s="1"/>
  <c r="AB1524" i="1"/>
  <c r="AC1524" i="1" s="1"/>
  <c r="AF1524" i="1" s="1"/>
  <c r="AE1590" i="1"/>
  <c r="AG1590" i="1" s="1"/>
  <c r="AB1072" i="1"/>
  <c r="AC1072" i="1" s="1"/>
  <c r="AD1072" i="1" s="1"/>
  <c r="AB215" i="1"/>
  <c r="AC215" i="1" s="1"/>
  <c r="AD215" i="1" s="1"/>
  <c r="AE215" i="1" s="1"/>
  <c r="AG215" i="1" s="1"/>
  <c r="AE1402" i="1"/>
  <c r="AG1402" i="1" s="1"/>
  <c r="AB171" i="1"/>
  <c r="AC171" i="1" s="1"/>
  <c r="AF171" i="1" s="1"/>
  <c r="AB1663" i="1"/>
  <c r="AC1663" i="1" s="1"/>
  <c r="AD1663" i="1" s="1"/>
  <c r="AE1663" i="1" s="1"/>
  <c r="AG1663" i="1" s="1"/>
  <c r="AB1669" i="1"/>
  <c r="AC1669" i="1" s="1"/>
  <c r="AF1669" i="1" s="1"/>
  <c r="AB1338" i="1"/>
  <c r="AC1338" i="1" s="1"/>
  <c r="AF1338" i="1" s="1"/>
  <c r="AB1486" i="1"/>
  <c r="AC1486" i="1" s="1"/>
  <c r="AD1486" i="1" s="1"/>
  <c r="AB238" i="1"/>
  <c r="AC238" i="1" s="1"/>
  <c r="AD238" i="1" s="1"/>
  <c r="AE238" i="1" s="1"/>
  <c r="AG238" i="1" s="1"/>
  <c r="AB821" i="1"/>
  <c r="AC821" i="1" s="1"/>
  <c r="AF821" i="1" s="1"/>
  <c r="AB371" i="1"/>
  <c r="AC371" i="1" s="1"/>
  <c r="AD371" i="1" s="1"/>
  <c r="AE371" i="1" s="1"/>
  <c r="AG371" i="1" s="1"/>
  <c r="AB888" i="1"/>
  <c r="AC888" i="1" s="1"/>
  <c r="AF888" i="1" s="1"/>
  <c r="AB958" i="1"/>
  <c r="AC958" i="1" s="1"/>
  <c r="AD958" i="1" s="1"/>
  <c r="AB257" i="1"/>
  <c r="AC257" i="1" s="1"/>
  <c r="AF257" i="1" s="1"/>
  <c r="AB57" i="1"/>
  <c r="AC57" i="1" s="1"/>
  <c r="AD57" i="1" s="1"/>
  <c r="AE57" i="1" s="1"/>
  <c r="AB954" i="1"/>
  <c r="AC954" i="1" s="1"/>
  <c r="AD954" i="1" s="1"/>
  <c r="AB852" i="1"/>
  <c r="AC852" i="1" s="1"/>
  <c r="AD852" i="1" s="1"/>
  <c r="AB847" i="1"/>
  <c r="AC847" i="1" s="1"/>
  <c r="AD847" i="1" s="1"/>
  <c r="AB1063" i="1"/>
  <c r="AC1063" i="1" s="1"/>
  <c r="AD1063" i="1" s="1"/>
  <c r="AB604" i="1"/>
  <c r="AC604" i="1" s="1"/>
  <c r="AD604" i="1" s="1"/>
  <c r="AE604" i="1" s="1"/>
  <c r="AG604" i="1" s="1"/>
  <c r="AB744" i="1"/>
  <c r="AC744" i="1" s="1"/>
  <c r="AF744" i="1" s="1"/>
  <c r="AB994" i="1"/>
  <c r="AC994" i="1" s="1"/>
  <c r="AD994" i="1" s="1"/>
  <c r="AB911" i="1"/>
  <c r="AC911" i="1" s="1"/>
  <c r="AF911" i="1" s="1"/>
  <c r="AB463" i="1"/>
  <c r="AC463" i="1" s="1"/>
  <c r="AD463" i="1" s="1"/>
  <c r="AE463" i="1" s="1"/>
  <c r="AG463" i="1" s="1"/>
  <c r="AB72" i="1"/>
  <c r="AC72" i="1" s="1"/>
  <c r="AD72" i="1" s="1"/>
  <c r="AE72" i="1" s="1"/>
  <c r="AB1111" i="1"/>
  <c r="AC1111" i="1" s="1"/>
  <c r="AD1111" i="1" s="1"/>
  <c r="AB1466" i="1"/>
  <c r="AC1466" i="1" s="1"/>
  <c r="AD1466" i="1" s="1"/>
  <c r="AB834" i="1"/>
  <c r="AC834" i="1" s="1"/>
  <c r="AD834" i="1" s="1"/>
  <c r="AB1390" i="1"/>
  <c r="AC1390" i="1" s="1"/>
  <c r="AF1390" i="1" s="1"/>
  <c r="AB1155" i="1"/>
  <c r="AC1155" i="1" s="1"/>
  <c r="AD1155" i="1" s="1"/>
  <c r="AB1132" i="1"/>
  <c r="AC1132" i="1" s="1"/>
  <c r="AF1132" i="1" s="1"/>
  <c r="AB536" i="1"/>
  <c r="AC536" i="1" s="1"/>
  <c r="AD536" i="1" s="1"/>
  <c r="AE536" i="1" s="1"/>
  <c r="AG536" i="1" s="1"/>
  <c r="AB1037" i="1"/>
  <c r="AC1037" i="1" s="1"/>
  <c r="AF1037" i="1" s="1"/>
  <c r="AB777" i="1"/>
  <c r="AC777" i="1" s="1"/>
  <c r="AD777" i="1" s="1"/>
  <c r="AB727" i="1"/>
  <c r="AC727" i="1" s="1"/>
  <c r="AD727" i="1" s="1"/>
  <c r="AB1704" i="1"/>
  <c r="AC1704" i="1" s="1"/>
  <c r="AD1704" i="1" s="1"/>
  <c r="AE1704" i="1" s="1"/>
  <c r="AG1704" i="1" s="1"/>
  <c r="AB1009" i="1"/>
  <c r="AC1009" i="1" s="1"/>
  <c r="AD1009" i="1" s="1"/>
  <c r="AB1198" i="1"/>
  <c r="AC1198" i="1" s="1"/>
  <c r="AD1198" i="1" s="1"/>
  <c r="AD1529" i="1"/>
  <c r="AB1256" i="1"/>
  <c r="AC1256" i="1" s="1"/>
  <c r="AD1256" i="1" s="1"/>
  <c r="AB567" i="1"/>
  <c r="AC567" i="1" s="1"/>
  <c r="AD567" i="1" s="1"/>
  <c r="AE567" i="1" s="1"/>
  <c r="AG567" i="1" s="1"/>
  <c r="AB301" i="1"/>
  <c r="AC301" i="1" s="1"/>
  <c r="AF301" i="1" s="1"/>
  <c r="AB162" i="1"/>
  <c r="AC162" i="1" s="1"/>
  <c r="AD162" i="1" s="1"/>
  <c r="AE162" i="1" s="1"/>
  <c r="AG162" i="1" s="1"/>
  <c r="AB99" i="1"/>
  <c r="AC99" i="1" s="1"/>
  <c r="AD99" i="1" s="1"/>
  <c r="AE99" i="1" s="1"/>
  <c r="AB73" i="1"/>
  <c r="AC73" i="1" s="1"/>
  <c r="AF73" i="1" s="1"/>
  <c r="AB1038" i="1"/>
  <c r="AC1038" i="1" s="1"/>
  <c r="AF1038" i="1" s="1"/>
  <c r="AB292" i="1"/>
  <c r="AC292" i="1" s="1"/>
  <c r="AD292" i="1" s="1"/>
  <c r="AE292" i="1" s="1"/>
  <c r="AG292" i="1" s="1"/>
  <c r="AB1017" i="1"/>
  <c r="AC1017" i="1" s="1"/>
  <c r="AD1017" i="1" s="1"/>
  <c r="AB784" i="1"/>
  <c r="AC784" i="1" s="1"/>
  <c r="AD784" i="1" s="1"/>
  <c r="AB326" i="1"/>
  <c r="AC326" i="1" s="1"/>
  <c r="AF326" i="1" s="1"/>
  <c r="AD1148" i="1"/>
  <c r="AB1512" i="1"/>
  <c r="AC1512" i="1" s="1"/>
  <c r="AF1512" i="1" s="1"/>
  <c r="AB1112" i="1"/>
  <c r="AC1112" i="1" s="1"/>
  <c r="AF1112" i="1" s="1"/>
  <c r="AB1170" i="1"/>
  <c r="AC1170" i="1" s="1"/>
  <c r="AF1170" i="1" s="1"/>
  <c r="AB675" i="1"/>
  <c r="AC675" i="1" s="1"/>
  <c r="AD675" i="1" s="1"/>
  <c r="AE675" i="1" s="1"/>
  <c r="AG675" i="1" s="1"/>
  <c r="AB100" i="1"/>
  <c r="AC100" i="1" s="1"/>
  <c r="AD100" i="1" s="1"/>
  <c r="AE100" i="1" s="1"/>
  <c r="AG100" i="1" s="1"/>
  <c r="AB443" i="1"/>
  <c r="AC443" i="1" s="1"/>
  <c r="AF443" i="1" s="1"/>
  <c r="AB1588" i="1"/>
  <c r="AC1588" i="1" s="1"/>
  <c r="AD1588" i="1" s="1"/>
  <c r="AE1588" i="1" s="1"/>
  <c r="AG1588" i="1" s="1"/>
  <c r="AB922" i="1"/>
  <c r="AC922" i="1" s="1"/>
  <c r="AF922" i="1" s="1"/>
  <c r="AB859" i="1"/>
  <c r="AC859" i="1" s="1"/>
  <c r="AD859" i="1" s="1"/>
  <c r="AB480" i="1"/>
  <c r="AC480" i="1" s="1"/>
  <c r="AF480" i="1" s="1"/>
  <c r="AB1425" i="1"/>
  <c r="AC1425" i="1" s="1"/>
  <c r="AD1425" i="1" s="1"/>
  <c r="AB676" i="1"/>
  <c r="AC676" i="1" s="1"/>
  <c r="AD676" i="1" s="1"/>
  <c r="AE676" i="1" s="1"/>
  <c r="AG676" i="1" s="1"/>
  <c r="AB127" i="1"/>
  <c r="AC127" i="1" s="1"/>
  <c r="AD127" i="1" s="1"/>
  <c r="AE127" i="1" s="1"/>
  <c r="AG127" i="1" s="1"/>
  <c r="AB1356" i="1"/>
  <c r="AC1356" i="1" s="1"/>
  <c r="AD1356" i="1" s="1"/>
  <c r="AB1056" i="1"/>
  <c r="AC1056" i="1" s="1"/>
  <c r="AD1056" i="1" s="1"/>
  <c r="AB421" i="1"/>
  <c r="AC421" i="1" s="1"/>
  <c r="AD421" i="1" s="1"/>
  <c r="AE421" i="1" s="1"/>
  <c r="AG421" i="1" s="1"/>
  <c r="AE690" i="1"/>
  <c r="AG690" i="1" s="1"/>
  <c r="AB487" i="1"/>
  <c r="AC487" i="1" s="1"/>
  <c r="AD487" i="1" s="1"/>
  <c r="AE487" i="1" s="1"/>
  <c r="AG487" i="1" s="1"/>
  <c r="AB1141" i="1"/>
  <c r="AC1141" i="1" s="1"/>
  <c r="AD1141" i="1" s="1"/>
  <c r="AE1141" i="1" s="1"/>
  <c r="AG1141" i="1" s="1"/>
  <c r="AB337" i="1"/>
  <c r="AC337" i="1" s="1"/>
  <c r="AD337" i="1" s="1"/>
  <c r="AE337" i="1" s="1"/>
  <c r="AG337" i="1" s="1"/>
  <c r="AB366" i="1"/>
  <c r="AC366" i="1" s="1"/>
  <c r="AD366" i="1" s="1"/>
  <c r="AE366" i="1" s="1"/>
  <c r="AG366" i="1" s="1"/>
  <c r="AB178" i="1"/>
  <c r="AC178" i="1" s="1"/>
  <c r="AF178" i="1" s="1"/>
  <c r="AB798" i="1"/>
  <c r="AC798" i="1" s="1"/>
  <c r="AF798" i="1" s="1"/>
  <c r="AB420" i="1"/>
  <c r="AC420" i="1" s="1"/>
  <c r="AD420" i="1" s="1"/>
  <c r="AE420" i="1" s="1"/>
  <c r="AG420" i="1" s="1"/>
  <c r="AB390" i="1"/>
  <c r="AC390" i="1" s="1"/>
  <c r="AD390" i="1" s="1"/>
  <c r="AE390" i="1" s="1"/>
  <c r="AG390" i="1" s="1"/>
  <c r="AB380" i="1"/>
  <c r="AC380" i="1" s="1"/>
  <c r="AD380" i="1" s="1"/>
  <c r="AE380" i="1" s="1"/>
  <c r="AG380" i="1" s="1"/>
  <c r="AB791" i="1"/>
  <c r="AC791" i="1" s="1"/>
  <c r="AD791" i="1" s="1"/>
  <c r="AB307" i="1"/>
  <c r="AC307" i="1" s="1"/>
  <c r="AF307" i="1" s="1"/>
  <c r="AB1281" i="1"/>
  <c r="AC1281" i="1" s="1"/>
  <c r="AD1281" i="1" s="1"/>
  <c r="AB906" i="1"/>
  <c r="AC906" i="1" s="1"/>
  <c r="AF906" i="1" s="1"/>
  <c r="AB1070" i="1"/>
  <c r="AC1070" i="1" s="1"/>
  <c r="AD1070" i="1" s="1"/>
  <c r="AB1020" i="1"/>
  <c r="AC1020" i="1" s="1"/>
  <c r="AD1020" i="1" s="1"/>
  <c r="AB897" i="1"/>
  <c r="AC897" i="1" s="1"/>
  <c r="AD897" i="1" s="1"/>
  <c r="AB1165" i="1"/>
  <c r="AC1165" i="1" s="1"/>
  <c r="AD1165" i="1" s="1"/>
  <c r="AD1736" i="1"/>
  <c r="AE1736" i="1" s="1"/>
  <c r="AG1736" i="1" s="1"/>
  <c r="AF1623" i="1"/>
  <c r="AB1192" i="1"/>
  <c r="AC1192" i="1" s="1"/>
  <c r="AD1192" i="1" s="1"/>
  <c r="AB682" i="1"/>
  <c r="AC682" i="1" s="1"/>
  <c r="AD682" i="1" s="1"/>
  <c r="AE682" i="1" s="1"/>
  <c r="AG682" i="1" s="1"/>
  <c r="AF1039" i="1"/>
  <c r="AF1401" i="1"/>
  <c r="AB574" i="1"/>
  <c r="AC574" i="1" s="1"/>
  <c r="AD574" i="1" s="1"/>
  <c r="AE574" i="1" s="1"/>
  <c r="AG574" i="1" s="1"/>
  <c r="AB1748" i="1"/>
  <c r="AC1748" i="1" s="1"/>
  <c r="AD1748" i="1" s="1"/>
  <c r="AE1748" i="1" s="1"/>
  <c r="AG1748" i="1" s="1"/>
  <c r="AB1582" i="1"/>
  <c r="AC1582" i="1" s="1"/>
  <c r="AD1582" i="1" s="1"/>
  <c r="AE1582" i="1" s="1"/>
  <c r="AG1582" i="1" s="1"/>
  <c r="AB1237" i="1"/>
  <c r="AC1237" i="1" s="1"/>
  <c r="AD1237" i="1" s="1"/>
  <c r="AB1277" i="1"/>
  <c r="AC1277" i="1" s="1"/>
  <c r="AD1277" i="1" s="1"/>
  <c r="AB1566" i="1"/>
  <c r="AC1566" i="1" s="1"/>
  <c r="AF1566" i="1" s="1"/>
  <c r="AB545" i="1"/>
  <c r="AC545" i="1" s="1"/>
  <c r="AF545" i="1" s="1"/>
  <c r="AB890" i="1"/>
  <c r="AC890" i="1" s="1"/>
  <c r="AD890" i="1" s="1"/>
  <c r="AB488" i="1"/>
  <c r="AC488" i="1" s="1"/>
  <c r="AF488" i="1" s="1"/>
  <c r="AB643" i="1"/>
  <c r="AC643" i="1" s="1"/>
  <c r="AF643" i="1" s="1"/>
  <c r="AB152" i="1"/>
  <c r="AC152" i="1" s="1"/>
  <c r="AD152" i="1" s="1"/>
  <c r="AE152" i="1" s="1"/>
  <c r="AG152" i="1" s="1"/>
  <c r="AB1454" i="1"/>
  <c r="AC1454" i="1" s="1"/>
  <c r="AD1454" i="1" s="1"/>
  <c r="AB131" i="1"/>
  <c r="AC131" i="1" s="1"/>
  <c r="AF131" i="1" s="1"/>
  <c r="AB1366" i="1"/>
  <c r="AC1366" i="1" s="1"/>
  <c r="AD1366" i="1" s="1"/>
  <c r="AB1680" i="1"/>
  <c r="AC1680" i="1" s="1"/>
  <c r="AD1680" i="1" s="1"/>
  <c r="AE1680" i="1" s="1"/>
  <c r="AG1680" i="1" s="1"/>
  <c r="AB1007" i="1"/>
  <c r="AC1007" i="1" s="1"/>
  <c r="AD1007" i="1" s="1"/>
  <c r="AB500" i="1"/>
  <c r="AC500" i="1" s="1"/>
  <c r="AF500" i="1" s="1"/>
  <c r="AB539" i="1"/>
  <c r="AC539" i="1" s="1"/>
  <c r="AD539" i="1" s="1"/>
  <c r="AE539" i="1" s="1"/>
  <c r="AG539" i="1" s="1"/>
  <c r="AB893" i="1"/>
  <c r="AC893" i="1" s="1"/>
  <c r="AF893" i="1" s="1"/>
  <c r="AB1520" i="1"/>
  <c r="AC1520" i="1" s="1"/>
  <c r="AF1520" i="1" s="1"/>
  <c r="AB1229" i="1"/>
  <c r="AC1229" i="1" s="1"/>
  <c r="AF1229" i="1" s="1"/>
  <c r="AB20" i="1"/>
  <c r="AC20" i="1" s="1"/>
  <c r="AD20" i="1" s="1"/>
  <c r="AE20" i="1" s="1"/>
  <c r="AG20" i="1" s="1"/>
  <c r="AB712" i="1"/>
  <c r="AC712" i="1" s="1"/>
  <c r="AF712" i="1" s="1"/>
  <c r="AB995" i="1"/>
  <c r="AC995" i="1" s="1"/>
  <c r="AF995" i="1" s="1"/>
  <c r="AB76" i="1"/>
  <c r="AC76" i="1" s="1"/>
  <c r="AF76" i="1" s="1"/>
  <c r="AB1567" i="1"/>
  <c r="AC1567" i="1" s="1"/>
  <c r="AF1567" i="1" s="1"/>
  <c r="AB260" i="1"/>
  <c r="AC260" i="1" s="1"/>
  <c r="AF260" i="1" s="1"/>
  <c r="AE1700" i="1"/>
  <c r="AG1700" i="1" s="1"/>
  <c r="AF881" i="1"/>
  <c r="AB1337" i="1"/>
  <c r="AC1337" i="1" s="1"/>
  <c r="AD1337" i="1" s="1"/>
  <c r="AE1717" i="1"/>
  <c r="AG1717" i="1" s="1"/>
  <c r="AB1124" i="1"/>
  <c r="AC1124" i="1" s="1"/>
  <c r="AF1124" i="1" s="1"/>
  <c r="AB77" i="1"/>
  <c r="AC77" i="1" s="1"/>
  <c r="AF77" i="1" s="1"/>
  <c r="AB983" i="1"/>
  <c r="AC983" i="1" s="1"/>
  <c r="AD983" i="1" s="1"/>
  <c r="AE217" i="1"/>
  <c r="AG217" i="1" s="1"/>
  <c r="AB433" i="1"/>
  <c r="AC433" i="1" s="1"/>
  <c r="AD433" i="1" s="1"/>
  <c r="AE433" i="1" s="1"/>
  <c r="AG433" i="1" s="1"/>
  <c r="AF1133" i="1"/>
  <c r="AD1133" i="1"/>
  <c r="AD1162" i="1"/>
  <c r="AF1162" i="1"/>
  <c r="AD1558" i="1"/>
  <c r="AE1558" i="1" s="1"/>
  <c r="AG1558" i="1" s="1"/>
  <c r="AF1558" i="1"/>
  <c r="AB1163" i="1"/>
  <c r="AC1163" i="1" s="1"/>
  <c r="AD1163" i="1" s="1"/>
  <c r="AB602" i="1"/>
  <c r="AC602" i="1" s="1"/>
  <c r="AD602" i="1" s="1"/>
  <c r="AE602" i="1" s="1"/>
  <c r="AG602" i="1" s="1"/>
  <c r="AF801" i="1"/>
  <c r="AB1761" i="1"/>
  <c r="AC1761" i="1" s="1"/>
  <c r="AD1761" i="1" s="1"/>
  <c r="AE1761" i="1" s="1"/>
  <c r="AG1761" i="1" s="1"/>
  <c r="AB1209" i="1"/>
  <c r="AC1209" i="1" s="1"/>
  <c r="AD1209" i="1" s="1"/>
  <c r="AB1473" i="1"/>
  <c r="AC1473" i="1" s="1"/>
  <c r="AD1473" i="1" s="1"/>
  <c r="AB912" i="1"/>
  <c r="AC912" i="1" s="1"/>
  <c r="AD912" i="1" s="1"/>
  <c r="AB459" i="1"/>
  <c r="AC459" i="1" s="1"/>
  <c r="AD459" i="1" s="1"/>
  <c r="AE459" i="1" s="1"/>
  <c r="AG459" i="1" s="1"/>
  <c r="AB191" i="1"/>
  <c r="AC191" i="1" s="1"/>
  <c r="AF191" i="1" s="1"/>
  <c r="AB415" i="1"/>
  <c r="AC415" i="1" s="1"/>
  <c r="AD415" i="1" s="1"/>
  <c r="AE415" i="1" s="1"/>
  <c r="AG415" i="1" s="1"/>
  <c r="AB93" i="1"/>
  <c r="AC93" i="1" s="1"/>
  <c r="AD93" i="1" s="1"/>
  <c r="AE93" i="1" s="1"/>
  <c r="AG93" i="1" s="1"/>
  <c r="AB451" i="1"/>
  <c r="AC451" i="1" s="1"/>
  <c r="AD451" i="1" s="1"/>
  <c r="AE451" i="1" s="1"/>
  <c r="AG451" i="1" s="1"/>
  <c r="AB1269" i="1"/>
  <c r="AC1269" i="1" s="1"/>
  <c r="AF1269" i="1" s="1"/>
  <c r="AF811" i="1"/>
  <c r="AB1280" i="1"/>
  <c r="AC1280" i="1" s="1"/>
  <c r="AF1280" i="1" s="1"/>
  <c r="AB975" i="1"/>
  <c r="AC975" i="1" s="1"/>
  <c r="AF975" i="1" s="1"/>
  <c r="AB175" i="1"/>
  <c r="AC175" i="1" s="1"/>
  <c r="AD175" i="1" s="1"/>
  <c r="AE175" i="1" s="1"/>
  <c r="AG175" i="1" s="1"/>
  <c r="AB1724" i="1"/>
  <c r="AC1724" i="1" s="1"/>
  <c r="AD1724" i="1" s="1"/>
  <c r="AE1724" i="1" s="1"/>
  <c r="AG1724" i="1" s="1"/>
  <c r="AB889" i="1"/>
  <c r="AC889" i="1" s="1"/>
  <c r="AD889" i="1" s="1"/>
  <c r="AB1612" i="1"/>
  <c r="AC1612" i="1" s="1"/>
  <c r="AD1612" i="1" s="1"/>
  <c r="AE1612" i="1" s="1"/>
  <c r="AG1612" i="1" s="1"/>
  <c r="AB1629" i="1"/>
  <c r="AC1629" i="1" s="1"/>
  <c r="AF1629" i="1" s="1"/>
  <c r="AB496" i="1"/>
  <c r="AC496" i="1" s="1"/>
  <c r="AD496" i="1" s="1"/>
  <c r="AE496" i="1" s="1"/>
  <c r="AG496" i="1" s="1"/>
  <c r="AB303" i="1"/>
  <c r="AC303" i="1" s="1"/>
  <c r="AD303" i="1" s="1"/>
  <c r="AE303" i="1" s="1"/>
  <c r="AG303" i="1" s="1"/>
  <c r="AD1618" i="1"/>
  <c r="AE1618" i="1" s="1"/>
  <c r="AG1618" i="1" s="1"/>
  <c r="AB353" i="1"/>
  <c r="AC353" i="1" s="1"/>
  <c r="AD353" i="1" s="1"/>
  <c r="AE353" i="1" s="1"/>
  <c r="AG353" i="1" s="1"/>
  <c r="AB603" i="1"/>
  <c r="AC603" i="1" s="1"/>
  <c r="AD603" i="1" s="1"/>
  <c r="AE603" i="1" s="1"/>
  <c r="AG603" i="1" s="1"/>
  <c r="AD1768" i="1"/>
  <c r="AE1768" i="1" s="1"/>
  <c r="AG1768" i="1" s="1"/>
  <c r="AF908" i="1"/>
  <c r="AB1689" i="1"/>
  <c r="AC1689" i="1" s="1"/>
  <c r="AF1689" i="1" s="1"/>
  <c r="AB1540" i="1"/>
  <c r="AC1540" i="1" s="1"/>
  <c r="AF1540" i="1" s="1"/>
  <c r="AB1101" i="1"/>
  <c r="AC1101" i="1" s="1"/>
  <c r="AD1101" i="1" s="1"/>
  <c r="AD1213" i="1"/>
  <c r="AF1260" i="1"/>
  <c r="AB706" i="1"/>
  <c r="AC706" i="1" s="1"/>
  <c r="AD706" i="1" s="1"/>
  <c r="AB750" i="1"/>
  <c r="AC750" i="1" s="1"/>
  <c r="AD750" i="1" s="1"/>
  <c r="AB719" i="1"/>
  <c r="AC719" i="1" s="1"/>
  <c r="AD719" i="1" s="1"/>
  <c r="AB1468" i="1"/>
  <c r="AC1468" i="1" s="1"/>
  <c r="AF1468" i="1" s="1"/>
  <c r="AD756" i="1"/>
  <c r="AB1055" i="1"/>
  <c r="AC1055" i="1" s="1"/>
  <c r="AD1055" i="1" s="1"/>
  <c r="AB1550" i="1"/>
  <c r="AC1550" i="1" s="1"/>
  <c r="AD1550" i="1" s="1"/>
  <c r="AE1550" i="1" s="1"/>
  <c r="AG1550" i="1" s="1"/>
  <c r="AB1722" i="1"/>
  <c r="AC1722" i="1" s="1"/>
  <c r="AD1722" i="1" s="1"/>
  <c r="AE1722" i="1" s="1"/>
  <c r="AG1722" i="1" s="1"/>
  <c r="AB1687" i="1"/>
  <c r="AC1687" i="1" s="1"/>
  <c r="AD1687" i="1" s="1"/>
  <c r="AE1687" i="1" s="1"/>
  <c r="AG1687" i="1" s="1"/>
  <c r="AB1255" i="1"/>
  <c r="AC1255" i="1" s="1"/>
  <c r="AD1255" i="1" s="1"/>
  <c r="AB4" i="1"/>
  <c r="AC4" i="1" s="1"/>
  <c r="AD4" i="1" s="1"/>
  <c r="AE4" i="1" s="1"/>
  <c r="AG4" i="1" s="1"/>
  <c r="AB465" i="1"/>
  <c r="AC465" i="1" s="1"/>
  <c r="AD465" i="1" s="1"/>
  <c r="AE465" i="1" s="1"/>
  <c r="AG465" i="1" s="1"/>
  <c r="AB233" i="1"/>
  <c r="AC233" i="1" s="1"/>
  <c r="AD233" i="1" s="1"/>
  <c r="AE233" i="1" s="1"/>
  <c r="AG233" i="1" s="1"/>
  <c r="AB867" i="1"/>
  <c r="AC867" i="1" s="1"/>
  <c r="AD867" i="1" s="1"/>
  <c r="AB477" i="1"/>
  <c r="AC477" i="1" s="1"/>
  <c r="AD477" i="1" s="1"/>
  <c r="AE477" i="1" s="1"/>
  <c r="AG477" i="1" s="1"/>
  <c r="AB190" i="1"/>
  <c r="AC190" i="1" s="1"/>
  <c r="AF190" i="1" s="1"/>
  <c r="AB835" i="1"/>
  <c r="AC835" i="1" s="1"/>
  <c r="AF835" i="1" s="1"/>
  <c r="AB980" i="1"/>
  <c r="AC980" i="1" s="1"/>
  <c r="AD980" i="1" s="1"/>
  <c r="AB1187" i="1"/>
  <c r="AC1187" i="1" s="1"/>
  <c r="AD1187" i="1" s="1"/>
  <c r="AB1357" i="1"/>
  <c r="AC1357" i="1" s="1"/>
  <c r="AF1357" i="1" s="1"/>
  <c r="AB116" i="1"/>
  <c r="AC116" i="1" s="1"/>
  <c r="AD116" i="1" s="1"/>
  <c r="AE116" i="1" s="1"/>
  <c r="AG116" i="1" s="1"/>
  <c r="AB1519" i="1"/>
  <c r="AC1519" i="1" s="1"/>
  <c r="AD1519" i="1" s="1"/>
  <c r="AB1360" i="1"/>
  <c r="AC1360" i="1" s="1"/>
  <c r="AD1360" i="1" s="1"/>
  <c r="AB150" i="1"/>
  <c r="AC150" i="1" s="1"/>
  <c r="AD150" i="1" s="1"/>
  <c r="AE150" i="1" s="1"/>
  <c r="AG150" i="1" s="1"/>
  <c r="AB1282" i="1"/>
  <c r="AC1282" i="1" s="1"/>
  <c r="AF1282" i="1" s="1"/>
  <c r="AB113" i="1"/>
  <c r="AC113" i="1" s="1"/>
  <c r="AD113" i="1" s="1"/>
  <c r="AE113" i="1" s="1"/>
  <c r="AG113" i="1" s="1"/>
  <c r="AB1662" i="1"/>
  <c r="AC1662" i="1" s="1"/>
  <c r="AD1662" i="1" s="1"/>
  <c r="AE1662" i="1" s="1"/>
  <c r="AG1662" i="1" s="1"/>
  <c r="AB239" i="1"/>
  <c r="AC239" i="1" s="1"/>
  <c r="AD239" i="1" s="1"/>
  <c r="AE239" i="1" s="1"/>
  <c r="AG239" i="1" s="1"/>
  <c r="AB1538" i="1"/>
  <c r="AC1538" i="1" s="1"/>
  <c r="AF1538" i="1" s="1"/>
  <c r="AB1456" i="1"/>
  <c r="AC1456" i="1" s="1"/>
  <c r="AD1456" i="1" s="1"/>
  <c r="AE1456" i="1" s="1"/>
  <c r="AG1456" i="1" s="1"/>
  <c r="AB1434" i="1"/>
  <c r="AC1434" i="1" s="1"/>
  <c r="AD1434" i="1" s="1"/>
  <c r="AB1720" i="1"/>
  <c r="AC1720" i="1" s="1"/>
  <c r="AD1720" i="1" s="1"/>
  <c r="AE1720" i="1" s="1"/>
  <c r="AG1720" i="1" s="1"/>
  <c r="AB332" i="1"/>
  <c r="AC332" i="1" s="1"/>
  <c r="AD332" i="1" s="1"/>
  <c r="AE332" i="1" s="1"/>
  <c r="AG332" i="1" s="1"/>
  <c r="AF267" i="1"/>
  <c r="AB568" i="1"/>
  <c r="AC568" i="1" s="1"/>
  <c r="AF568" i="1" s="1"/>
  <c r="AF1590" i="1"/>
  <c r="AB342" i="1"/>
  <c r="AC342" i="1" s="1"/>
  <c r="AD342" i="1" s="1"/>
  <c r="AE342" i="1" s="1"/>
  <c r="AG342" i="1" s="1"/>
  <c r="AB328" i="1"/>
  <c r="AC328" i="1" s="1"/>
  <c r="AD328" i="1" s="1"/>
  <c r="AE328" i="1" s="1"/>
  <c r="AG328" i="1" s="1"/>
  <c r="AB628" i="1"/>
  <c r="AC628" i="1" s="1"/>
  <c r="AD628" i="1" s="1"/>
  <c r="AE628" i="1" s="1"/>
  <c r="AG628" i="1" s="1"/>
  <c r="AB323" i="1"/>
  <c r="AC323" i="1" s="1"/>
  <c r="AD323" i="1" s="1"/>
  <c r="AE323" i="1" s="1"/>
  <c r="AG323" i="1" s="1"/>
  <c r="AB195" i="1"/>
  <c r="AC195" i="1" s="1"/>
  <c r="AD195" i="1" s="1"/>
  <c r="AE195" i="1" s="1"/>
  <c r="AG195" i="1" s="1"/>
  <c r="AB41" i="1"/>
  <c r="AC41" i="1" s="1"/>
  <c r="AF41" i="1" s="1"/>
  <c r="AF1739" i="1"/>
  <c r="AB1496" i="1"/>
  <c r="AC1496" i="1" s="1"/>
  <c r="AD1496" i="1" s="1"/>
  <c r="AB1651" i="1"/>
  <c r="AC1651" i="1" s="1"/>
  <c r="AD1651" i="1" s="1"/>
  <c r="AE1651" i="1" s="1"/>
  <c r="AG1651" i="1" s="1"/>
  <c r="AB1126" i="1"/>
  <c r="AC1126" i="1" s="1"/>
  <c r="AD1126" i="1" s="1"/>
  <c r="AB1275" i="1"/>
  <c r="AC1275" i="1" s="1"/>
  <c r="AD1275" i="1" s="1"/>
  <c r="AF1530" i="1"/>
  <c r="AB1158" i="1"/>
  <c r="AC1158" i="1" s="1"/>
  <c r="AD1158" i="1" s="1"/>
  <c r="AB1071" i="1"/>
  <c r="AC1071" i="1" s="1"/>
  <c r="AD1071" i="1" s="1"/>
  <c r="AB441" i="1"/>
  <c r="AC441" i="1" s="1"/>
  <c r="AF441" i="1" s="1"/>
  <c r="AB1118" i="1"/>
  <c r="AC1118" i="1" s="1"/>
  <c r="AF1118" i="1" s="1"/>
  <c r="AB1559" i="1"/>
  <c r="AC1559" i="1" s="1"/>
  <c r="AD1559" i="1" s="1"/>
  <c r="AE1559" i="1" s="1"/>
  <c r="AG1559" i="1" s="1"/>
  <c r="AB1274" i="1"/>
  <c r="AC1274" i="1" s="1"/>
  <c r="AF1274" i="1" s="1"/>
  <c r="AB1052" i="1"/>
  <c r="AC1052" i="1" s="1"/>
  <c r="AF1052" i="1" s="1"/>
  <c r="AB1674" i="1"/>
  <c r="AC1674" i="1" s="1"/>
  <c r="AD1674" i="1" s="1"/>
  <c r="AE1674" i="1" s="1"/>
  <c r="AG1674" i="1" s="1"/>
  <c r="AB851" i="1"/>
  <c r="AC851" i="1" s="1"/>
  <c r="AF851" i="1" s="1"/>
  <c r="AE601" i="1"/>
  <c r="AG601" i="1" s="1"/>
  <c r="AB1476" i="1"/>
  <c r="AC1476" i="1" s="1"/>
  <c r="AD1476" i="1" s="1"/>
  <c r="AB142" i="1"/>
  <c r="AC142" i="1" s="1"/>
  <c r="AF142" i="1" s="1"/>
  <c r="AB423" i="1"/>
  <c r="AC423" i="1" s="1"/>
  <c r="AF423" i="1" s="1"/>
  <c r="AB428" i="1"/>
  <c r="AC428" i="1" s="1"/>
  <c r="AD428" i="1" s="1"/>
  <c r="AE428" i="1" s="1"/>
  <c r="AG428" i="1" s="1"/>
  <c r="AD1242" i="1"/>
  <c r="AF1242" i="1"/>
  <c r="AD1046" i="1"/>
  <c r="AF1046" i="1"/>
  <c r="AB1107" i="1"/>
  <c r="AC1107" i="1" s="1"/>
  <c r="AF1107" i="1" s="1"/>
  <c r="AB1375" i="1"/>
  <c r="AC1375" i="1" s="1"/>
  <c r="AF1375" i="1" s="1"/>
  <c r="AB783" i="1"/>
  <c r="AC783" i="1" s="1"/>
  <c r="AD783" i="1" s="1"/>
  <c r="AB1076" i="1"/>
  <c r="AC1076" i="1" s="1"/>
  <c r="AD1076" i="1" s="1"/>
  <c r="AF1043" i="1"/>
  <c r="AB1246" i="1"/>
  <c r="AC1246" i="1" s="1"/>
  <c r="AD1246" i="1" s="1"/>
  <c r="AF805" i="1"/>
  <c r="AB1385" i="1"/>
  <c r="AC1385" i="1" s="1"/>
  <c r="AD1385" i="1" s="1"/>
  <c r="AB311" i="1"/>
  <c r="AC311" i="1" s="1"/>
  <c r="AD311" i="1" s="1"/>
  <c r="AE311" i="1" s="1"/>
  <c r="AG311" i="1" s="1"/>
  <c r="AB1718" i="1"/>
  <c r="AC1718" i="1" s="1"/>
  <c r="AF1718" i="1" s="1"/>
  <c r="AB472" i="1"/>
  <c r="AC472" i="1" s="1"/>
  <c r="AD472" i="1" s="1"/>
  <c r="AE472" i="1" s="1"/>
  <c r="AG472" i="1" s="1"/>
  <c r="AF32" i="1"/>
  <c r="AB512" i="1"/>
  <c r="AC512" i="1" s="1"/>
  <c r="AD512" i="1" s="1"/>
  <c r="AE512" i="1" s="1"/>
  <c r="AG512" i="1" s="1"/>
  <c r="AB400" i="1"/>
  <c r="AC400" i="1" s="1"/>
  <c r="AD400" i="1" s="1"/>
  <c r="AE400" i="1" s="1"/>
  <c r="AG400" i="1" s="1"/>
  <c r="AB1176" i="1"/>
  <c r="AC1176" i="1" s="1"/>
  <c r="AD1176" i="1" s="1"/>
  <c r="AB593" i="1"/>
  <c r="AC593" i="1" s="1"/>
  <c r="AD593" i="1" s="1"/>
  <c r="AE593" i="1" s="1"/>
  <c r="AG593" i="1" s="1"/>
  <c r="AB1331" i="1"/>
  <c r="AC1331" i="1" s="1"/>
  <c r="AD1331" i="1" s="1"/>
  <c r="AB475" i="1"/>
  <c r="AC475" i="1" s="1"/>
  <c r="AD475" i="1" s="1"/>
  <c r="AE475" i="1" s="1"/>
  <c r="AG475" i="1" s="1"/>
  <c r="AB367" i="1"/>
  <c r="AC367" i="1" s="1"/>
  <c r="AD367" i="1" s="1"/>
  <c r="AE367" i="1" s="1"/>
  <c r="AG367" i="1" s="1"/>
  <c r="AD813" i="1"/>
  <c r="AF1047" i="1"/>
  <c r="AB1019" i="1"/>
  <c r="AC1019" i="1" s="1"/>
  <c r="AF1019" i="1" s="1"/>
  <c r="AB804" i="1"/>
  <c r="AC804" i="1" s="1"/>
  <c r="AD804" i="1" s="1"/>
  <c r="AF1125" i="1"/>
  <c r="AB35" i="1"/>
  <c r="AC35" i="1" s="1"/>
  <c r="AD35" i="1" s="1"/>
  <c r="AD1513" i="1"/>
  <c r="AD1329" i="1"/>
  <c r="AB297" i="1"/>
  <c r="AC297" i="1" s="1"/>
  <c r="AD297" i="1" s="1"/>
  <c r="AE297" i="1" s="1"/>
  <c r="AG297" i="1" s="1"/>
  <c r="AB934" i="1"/>
  <c r="AC934" i="1" s="1"/>
  <c r="AF934" i="1" s="1"/>
  <c r="AB346" i="1"/>
  <c r="AC346" i="1" s="1"/>
  <c r="AD346" i="1" s="1"/>
  <c r="AE346" i="1" s="1"/>
  <c r="AG346" i="1" s="1"/>
  <c r="AB1291" i="1"/>
  <c r="AC1291" i="1" s="1"/>
  <c r="AD1291" i="1" s="1"/>
  <c r="AB104" i="1"/>
  <c r="AC104" i="1" s="1"/>
  <c r="AD104" i="1" s="1"/>
  <c r="AE104" i="1" s="1"/>
  <c r="AG104" i="1" s="1"/>
  <c r="AB519" i="1"/>
  <c r="AC519" i="1" s="1"/>
  <c r="AD519" i="1" s="1"/>
  <c r="AE519" i="1" s="1"/>
  <c r="AG519" i="1" s="1"/>
  <c r="AB715" i="1"/>
  <c r="AC715" i="1" s="1"/>
  <c r="AD715" i="1" s="1"/>
  <c r="AB1152" i="1"/>
  <c r="AC1152" i="1" s="1"/>
  <c r="AD1152" i="1" s="1"/>
  <c r="AB1190" i="1"/>
  <c r="AC1190" i="1" s="1"/>
  <c r="AD1190" i="1" s="1"/>
  <c r="AB1249" i="1"/>
  <c r="AC1249" i="1" s="1"/>
  <c r="AF1249" i="1" s="1"/>
  <c r="AB1568" i="1"/>
  <c r="AC1568" i="1" s="1"/>
  <c r="AD1568" i="1" s="1"/>
  <c r="AE1568" i="1" s="1"/>
  <c r="AG1568" i="1" s="1"/>
  <c r="AB207" i="1"/>
  <c r="AC207" i="1" s="1"/>
  <c r="AF207" i="1" s="1"/>
  <c r="AB993" i="1"/>
  <c r="AC993" i="1" s="1"/>
  <c r="AB1372" i="1"/>
  <c r="AC1372" i="1" s="1"/>
  <c r="AF1372" i="1" s="1"/>
  <c r="AB1645" i="1"/>
  <c r="AC1645" i="1" s="1"/>
  <c r="AD1645" i="1" s="1"/>
  <c r="AE1645" i="1" s="1"/>
  <c r="AG1645" i="1" s="1"/>
  <c r="AB6" i="1"/>
  <c r="AC6" i="1" s="1"/>
  <c r="AD6" i="1" s="1"/>
  <c r="AE6" i="1" s="1"/>
  <c r="AG6" i="1" s="1"/>
  <c r="AB70" i="1"/>
  <c r="AC70" i="1" s="1"/>
  <c r="AD70" i="1" s="1"/>
  <c r="AE70" i="1" s="1"/>
  <c r="AB839" i="1"/>
  <c r="AC839" i="1" s="1"/>
  <c r="AD839" i="1" s="1"/>
  <c r="AB584" i="1"/>
  <c r="AC584" i="1" s="1"/>
  <c r="AD584" i="1" s="1"/>
  <c r="AE584" i="1" s="1"/>
  <c r="AG584" i="1" s="1"/>
  <c r="AB265" i="1"/>
  <c r="AC265" i="1" s="1"/>
  <c r="AD265" i="1" s="1"/>
  <c r="AE265" i="1" s="1"/>
  <c r="AG265" i="1" s="1"/>
  <c r="AB1583" i="1"/>
  <c r="AC1583" i="1" s="1"/>
  <c r="AD1583" i="1" s="1"/>
  <c r="AE1583" i="1" s="1"/>
  <c r="AG1583" i="1" s="1"/>
  <c r="AB7" i="1"/>
  <c r="AC7" i="1" s="1"/>
  <c r="AD7" i="1" s="1"/>
  <c r="AE7" i="1" s="1"/>
  <c r="AG7" i="1" s="1"/>
  <c r="AB899" i="1"/>
  <c r="AC899" i="1" s="1"/>
  <c r="AD899" i="1" s="1"/>
  <c r="AB1560" i="1"/>
  <c r="AC1560" i="1" s="1"/>
  <c r="AD1560" i="1" s="1"/>
  <c r="AE1560" i="1" s="1"/>
  <c r="AG1560" i="1" s="1"/>
  <c r="AB1311" i="1"/>
  <c r="AC1311" i="1" s="1"/>
  <c r="AD1311" i="1" s="1"/>
  <c r="AB1628" i="1"/>
  <c r="AC1628" i="1" s="1"/>
  <c r="AD1628" i="1" s="1"/>
  <c r="AE1628" i="1" s="1"/>
  <c r="AG1628" i="1" s="1"/>
  <c r="AB372" i="1"/>
  <c r="AC372" i="1" s="1"/>
  <c r="AD372" i="1" s="1"/>
  <c r="AE372" i="1" s="1"/>
  <c r="AG372" i="1" s="1"/>
  <c r="AB1156" i="1"/>
  <c r="AC1156" i="1" s="1"/>
  <c r="AD1156" i="1" s="1"/>
  <c r="AB905" i="1"/>
  <c r="AC905" i="1" s="1"/>
  <c r="AF905" i="1" s="1"/>
  <c r="AB117" i="1"/>
  <c r="AC117" i="1" s="1"/>
  <c r="AD117" i="1" s="1"/>
  <c r="AE117" i="1" s="1"/>
  <c r="AG117" i="1" s="1"/>
  <c r="AB277" i="1"/>
  <c r="AC277" i="1" s="1"/>
  <c r="AD277" i="1" s="1"/>
  <c r="AE277" i="1" s="1"/>
  <c r="AG277" i="1" s="1"/>
  <c r="AB294" i="1"/>
  <c r="AC294" i="1" s="1"/>
  <c r="AF294" i="1" s="1"/>
  <c r="AB430" i="1"/>
  <c r="AC430" i="1" s="1"/>
  <c r="AD430" i="1" s="1"/>
  <c r="AE430" i="1" s="1"/>
  <c r="AG430" i="1" s="1"/>
  <c r="AB501" i="1"/>
  <c r="AC501" i="1" s="1"/>
  <c r="AD501" i="1" s="1"/>
  <c r="AE501" i="1" s="1"/>
  <c r="AG501" i="1" s="1"/>
  <c r="AB640" i="1"/>
  <c r="AC640" i="1" s="1"/>
  <c r="AF640" i="1" s="1"/>
  <c r="AB455" i="1"/>
  <c r="AC455" i="1" s="1"/>
  <c r="AD455" i="1" s="1"/>
  <c r="AE455" i="1" s="1"/>
  <c r="AG455" i="1" s="1"/>
  <c r="AB68" i="1"/>
  <c r="AC68" i="1" s="1"/>
  <c r="AD68" i="1" s="1"/>
  <c r="AE68" i="1" s="1"/>
  <c r="AB1199" i="1"/>
  <c r="AC1199" i="1" s="1"/>
  <c r="AD1199" i="1" s="1"/>
  <c r="AB316" i="1"/>
  <c r="AC316" i="1" s="1"/>
  <c r="AD316" i="1" s="1"/>
  <c r="AE316" i="1" s="1"/>
  <c r="AG316" i="1" s="1"/>
  <c r="AB1166" i="1"/>
  <c r="AC1166" i="1" s="1"/>
  <c r="AD1166" i="1" s="1"/>
  <c r="AB660" i="1"/>
  <c r="AC660" i="1" s="1"/>
  <c r="AF660" i="1" s="1"/>
  <c r="AB156" i="1"/>
  <c r="AC156" i="1" s="1"/>
  <c r="AD156" i="1" s="1"/>
  <c r="AE156" i="1" s="1"/>
  <c r="AG156" i="1" s="1"/>
  <c r="AB1095" i="1"/>
  <c r="AC1095" i="1" s="1"/>
  <c r="AD1095" i="1" s="1"/>
  <c r="AB1210" i="1"/>
  <c r="AC1210" i="1" s="1"/>
  <c r="AD1210" i="1" s="1"/>
  <c r="AB594" i="1"/>
  <c r="AC594" i="1" s="1"/>
  <c r="AF594" i="1" s="1"/>
  <c r="AB1585" i="1"/>
  <c r="AC1585" i="1" s="1"/>
  <c r="AF1585" i="1" s="1"/>
  <c r="AB1750" i="1"/>
  <c r="AC1750" i="1" s="1"/>
  <c r="AF1750" i="1" s="1"/>
  <c r="AB1215" i="1"/>
  <c r="AC1215" i="1" s="1"/>
  <c r="AD1215" i="1" s="1"/>
  <c r="AB1477" i="1"/>
  <c r="AC1477" i="1" s="1"/>
  <c r="AD1477" i="1" s="1"/>
  <c r="AB555" i="1"/>
  <c r="AC555" i="1" s="1"/>
  <c r="AF555" i="1" s="1"/>
  <c r="AB1688" i="1"/>
  <c r="AC1688" i="1" s="1"/>
  <c r="AD1688" i="1" s="1"/>
  <c r="AE1688" i="1" s="1"/>
  <c r="AG1688" i="1" s="1"/>
  <c r="AB1024" i="1"/>
  <c r="AC1024" i="1" s="1"/>
  <c r="AD1024" i="1" s="1"/>
  <c r="AE573" i="1"/>
  <c r="AG573" i="1" s="1"/>
  <c r="AB696" i="1"/>
  <c r="AC696" i="1" s="1"/>
  <c r="AD696" i="1" s="1"/>
  <c r="AE373" i="1"/>
  <c r="AG373" i="1" s="1"/>
  <c r="AD1271" i="1"/>
  <c r="AF1271" i="1"/>
  <c r="AD873" i="1"/>
  <c r="AF873" i="1"/>
  <c r="AD1742" i="1"/>
  <c r="AE1742" i="1" s="1"/>
  <c r="AG1742" i="1" s="1"/>
  <c r="AF1742" i="1"/>
  <c r="AD1571" i="1"/>
  <c r="AE1571" i="1" s="1"/>
  <c r="AG1571" i="1" s="1"/>
  <c r="AF1571" i="1"/>
  <c r="AF792" i="1"/>
  <c r="AB923" i="1"/>
  <c r="AC923" i="1" s="1"/>
  <c r="AD923" i="1" s="1"/>
  <c r="AB1073" i="1"/>
  <c r="AC1073" i="1" s="1"/>
  <c r="AD1073" i="1" s="1"/>
  <c r="AB678" i="1"/>
  <c r="AC678" i="1" s="1"/>
  <c r="AD678" i="1" s="1"/>
  <c r="AE678" i="1" s="1"/>
  <c r="AG678" i="1" s="1"/>
  <c r="AB363" i="1"/>
  <c r="AC363" i="1" s="1"/>
  <c r="AD363" i="1" s="1"/>
  <c r="AE363" i="1" s="1"/>
  <c r="AG363" i="1" s="1"/>
  <c r="AB412" i="1"/>
  <c r="AC412" i="1" s="1"/>
  <c r="AF412" i="1" s="1"/>
  <c r="AB767" i="1"/>
  <c r="AC767" i="1" s="1"/>
  <c r="AD767" i="1" s="1"/>
  <c r="AB836" i="1"/>
  <c r="AC836" i="1" s="1"/>
  <c r="AD836" i="1" s="1"/>
  <c r="AB638" i="1"/>
  <c r="AC638" i="1" s="1"/>
  <c r="AD638" i="1" s="1"/>
  <c r="AE638" i="1" s="1"/>
  <c r="AG638" i="1" s="1"/>
  <c r="AB796" i="1"/>
  <c r="AC796" i="1" s="1"/>
  <c r="AF796" i="1" s="1"/>
  <c r="AB650" i="1"/>
  <c r="AC650" i="1" s="1"/>
  <c r="AD650" i="1" s="1"/>
  <c r="AE650" i="1" s="1"/>
  <c r="AG650" i="1" s="1"/>
  <c r="AB1354" i="1"/>
  <c r="AC1354" i="1" s="1"/>
  <c r="AD1354" i="1" s="1"/>
  <c r="AB883" i="1"/>
  <c r="AC883" i="1" s="1"/>
  <c r="AD883" i="1" s="1"/>
  <c r="AD1025" i="1"/>
  <c r="AD1531" i="1"/>
  <c r="AE1531" i="1" s="1"/>
  <c r="AG1531" i="1" s="1"/>
  <c r="AB258" i="1"/>
  <c r="AC258" i="1" s="1"/>
  <c r="AF258" i="1" s="1"/>
  <c r="AB926" i="1"/>
  <c r="AC926" i="1" s="1"/>
  <c r="AD926" i="1" s="1"/>
  <c r="AB679" i="1"/>
  <c r="AC679" i="1" s="1"/>
  <c r="AD679" i="1" s="1"/>
  <c r="AE679" i="1" s="1"/>
  <c r="AG679" i="1" s="1"/>
  <c r="AB988" i="1"/>
  <c r="AC988" i="1" s="1"/>
  <c r="AD988" i="1" s="1"/>
  <c r="AB1418" i="1"/>
  <c r="AC1418" i="1" s="1"/>
  <c r="AD1418" i="1" s="1"/>
  <c r="AB1120" i="1"/>
  <c r="AC1120" i="1" s="1"/>
  <c r="AD1120" i="1" s="1"/>
  <c r="AB1632" i="1"/>
  <c r="AC1632" i="1" s="1"/>
  <c r="AD1632" i="1" s="1"/>
  <c r="AE1632" i="1" s="1"/>
  <c r="AG1632" i="1" s="1"/>
  <c r="AB556" i="1"/>
  <c r="AC556" i="1" s="1"/>
  <c r="AF556" i="1" s="1"/>
  <c r="AB595" i="1"/>
  <c r="AC595" i="1" s="1"/>
  <c r="AD595" i="1" s="1"/>
  <c r="AE595" i="1" s="1"/>
  <c r="AB208" i="1"/>
  <c r="AC208" i="1" s="1"/>
  <c r="AF208" i="1" s="1"/>
  <c r="AB1620" i="1"/>
  <c r="AC1620" i="1" s="1"/>
  <c r="AD1620" i="1" s="1"/>
  <c r="AE1620" i="1" s="1"/>
  <c r="AG1620" i="1" s="1"/>
  <c r="AB1668" i="1"/>
  <c r="AC1668" i="1" s="1"/>
  <c r="AF1668" i="1" s="1"/>
  <c r="AB1212" i="1"/>
  <c r="AC1212" i="1" s="1"/>
  <c r="AD1212" i="1" s="1"/>
  <c r="AB875" i="1"/>
  <c r="AC875" i="1" s="1"/>
  <c r="AD875" i="1" s="1"/>
  <c r="AD656" i="1"/>
  <c r="AE656" i="1" s="1"/>
  <c r="AG656" i="1" s="1"/>
  <c r="AB59" i="1"/>
  <c r="AC59" i="1" s="1"/>
  <c r="AD59" i="1" s="1"/>
  <c r="AE59" i="1" s="1"/>
  <c r="AB13" i="1"/>
  <c r="AC13" i="1" s="1"/>
  <c r="AD13" i="1" s="1"/>
  <c r="AE13" i="1" s="1"/>
  <c r="AG13" i="1" s="1"/>
  <c r="AB181" i="1"/>
  <c r="AC181" i="1" s="1"/>
  <c r="AF181" i="1" s="1"/>
  <c r="AB1067" i="1"/>
  <c r="AC1067" i="1" s="1"/>
  <c r="AD1067" i="1" s="1"/>
  <c r="AB1099" i="1"/>
  <c r="AC1099" i="1" s="1"/>
  <c r="AD1099" i="1" s="1"/>
  <c r="AB474" i="1"/>
  <c r="AC474" i="1" s="1"/>
  <c r="AD474" i="1" s="1"/>
  <c r="AE474" i="1" s="1"/>
  <c r="AG474" i="1" s="1"/>
  <c r="AB1283" i="1"/>
  <c r="AC1283" i="1" s="1"/>
  <c r="AD1283" i="1" s="1"/>
  <c r="AB582" i="1"/>
  <c r="AC582" i="1" s="1"/>
  <c r="AD582" i="1" s="1"/>
  <c r="AE582" i="1" s="1"/>
  <c r="AG582" i="1" s="1"/>
  <c r="AB1656" i="1"/>
  <c r="AC1656" i="1" s="1"/>
  <c r="AD1656" i="1" s="1"/>
  <c r="AE1656" i="1" s="1"/>
  <c r="AG1656" i="1" s="1"/>
  <c r="AB1307" i="1"/>
  <c r="AC1307" i="1" s="1"/>
  <c r="AF1307" i="1" s="1"/>
  <c r="AB724" i="1"/>
  <c r="AC724" i="1" s="1"/>
  <c r="AD724" i="1" s="1"/>
  <c r="AB138" i="1"/>
  <c r="AC138" i="1" s="1"/>
  <c r="AF138" i="1" s="1"/>
  <c r="AB114" i="1"/>
  <c r="AC114" i="1" s="1"/>
  <c r="AD114" i="1" s="1"/>
  <c r="AE114" i="1" s="1"/>
  <c r="AG114" i="1" s="1"/>
  <c r="AB18" i="1"/>
  <c r="AC18" i="1" s="1"/>
  <c r="AD18" i="1" s="1"/>
  <c r="AE18" i="1" s="1"/>
  <c r="AG18" i="1" s="1"/>
  <c r="AB1702" i="1"/>
  <c r="AC1702" i="1" s="1"/>
  <c r="AF1702" i="1" s="1"/>
  <c r="AB235" i="1"/>
  <c r="AC235" i="1" s="1"/>
  <c r="AD235" i="1" s="1"/>
  <c r="AE235" i="1" s="1"/>
  <c r="AG235" i="1" s="1"/>
  <c r="AD1701" i="1"/>
  <c r="AE1701" i="1" s="1"/>
  <c r="AG1701" i="1" s="1"/>
  <c r="AB1108" i="1"/>
  <c r="AC1108" i="1" s="1"/>
  <c r="AF1108" i="1" s="1"/>
  <c r="AB615" i="1"/>
  <c r="AC615" i="1" s="1"/>
  <c r="AD615" i="1" s="1"/>
  <c r="AE615" i="1" s="1"/>
  <c r="AG615" i="1" s="1"/>
  <c r="AB320" i="1"/>
  <c r="AC320" i="1" s="1"/>
  <c r="AD320" i="1" s="1"/>
  <c r="AE320" i="1" s="1"/>
  <c r="AG320" i="1" s="1"/>
  <c r="AF968" i="1"/>
  <c r="AB120" i="1"/>
  <c r="AC120" i="1" s="1"/>
  <c r="AD120" i="1" s="1"/>
  <c r="AE120" i="1" s="1"/>
  <c r="AG120" i="1" s="1"/>
  <c r="AB300" i="1"/>
  <c r="AC300" i="1" s="1"/>
  <c r="AD300" i="1" s="1"/>
  <c r="AE300" i="1" s="1"/>
  <c r="AG300" i="1" s="1"/>
  <c r="AB1351" i="1"/>
  <c r="AC1351" i="1" s="1"/>
  <c r="AD1351" i="1" s="1"/>
  <c r="AB1365" i="1"/>
  <c r="AC1365" i="1" s="1"/>
  <c r="AD1365" i="1" s="1"/>
  <c r="AB1188" i="1"/>
  <c r="AC1188" i="1" s="1"/>
  <c r="AD1188" i="1" s="1"/>
  <c r="AB865" i="1"/>
  <c r="AC865" i="1" s="1"/>
  <c r="AF865" i="1" s="1"/>
  <c r="AB694" i="1"/>
  <c r="AC694" i="1" s="1"/>
  <c r="AD694" i="1" s="1"/>
  <c r="AE694" i="1" s="1"/>
  <c r="AG694" i="1" s="1"/>
  <c r="AB728" i="1"/>
  <c r="AC728" i="1" s="1"/>
  <c r="AD728" i="1" s="1"/>
  <c r="AB1298" i="1"/>
  <c r="AC1298" i="1" s="1"/>
  <c r="AF1298" i="1" s="1"/>
  <c r="AB454" i="1"/>
  <c r="AC454" i="1" s="1"/>
  <c r="AD454" i="1" s="1"/>
  <c r="AE454" i="1" s="1"/>
  <c r="AG454" i="1" s="1"/>
  <c r="AB691" i="1"/>
  <c r="AC691" i="1" s="1"/>
  <c r="AD691" i="1" s="1"/>
  <c r="AE691" i="1" s="1"/>
  <c r="AG691" i="1" s="1"/>
  <c r="AB591" i="1"/>
  <c r="AC591" i="1" s="1"/>
  <c r="AF591" i="1" s="1"/>
  <c r="AB1054" i="1"/>
  <c r="AC1054" i="1" s="1"/>
  <c r="AF1054" i="1" s="1"/>
  <c r="AB2" i="1"/>
  <c r="AC2" i="1" s="1"/>
  <c r="AF2" i="1" s="1"/>
  <c r="AD1031" i="1"/>
  <c r="AB1313" i="1"/>
  <c r="AC1313" i="1" s="1"/>
  <c r="AD1313" i="1" s="1"/>
  <c r="AB1711" i="1"/>
  <c r="AC1711" i="1" s="1"/>
  <c r="AF1711" i="1" s="1"/>
  <c r="AD26" i="1"/>
  <c r="AE26" i="1" s="1"/>
  <c r="AG26" i="1" s="1"/>
  <c r="AB1069" i="1"/>
  <c r="AC1069" i="1" s="1"/>
  <c r="AD1069" i="1" s="1"/>
  <c r="AD1247" i="1"/>
  <c r="AB506" i="1"/>
  <c r="AC506" i="1" s="1"/>
  <c r="AD506" i="1" s="1"/>
  <c r="AE506" i="1" s="1"/>
  <c r="AG506" i="1" s="1"/>
  <c r="AD739" i="1"/>
  <c r="AB241" i="1"/>
  <c r="AC241" i="1" s="1"/>
  <c r="AD241" i="1" s="1"/>
  <c r="AE241" i="1" s="1"/>
  <c r="AG241" i="1" s="1"/>
  <c r="AB870" i="1"/>
  <c r="AC870" i="1" s="1"/>
  <c r="AD870" i="1" s="1"/>
  <c r="AE315" i="1"/>
  <c r="AG315" i="1" s="1"/>
  <c r="AB1306" i="1"/>
  <c r="AC1306" i="1" s="1"/>
  <c r="AF1306" i="1" s="1"/>
  <c r="AB1214" i="1"/>
  <c r="AC1214" i="1" s="1"/>
  <c r="AD1214" i="1" s="1"/>
  <c r="AB1483" i="1"/>
  <c r="AC1483" i="1" s="1"/>
  <c r="AD1483" i="1" s="1"/>
  <c r="AB1001" i="1"/>
  <c r="AC1001" i="1" s="1"/>
  <c r="AB51" i="1"/>
  <c r="AC51" i="1" s="1"/>
  <c r="AD51" i="1" s="1"/>
  <c r="AE51" i="1" s="1"/>
  <c r="AB1220" i="1"/>
  <c r="AC1220" i="1" s="1"/>
  <c r="AD1220" i="1" s="1"/>
  <c r="AB1610" i="1"/>
  <c r="AC1610" i="1" s="1"/>
  <c r="AD1032" i="1"/>
  <c r="AB630" i="1"/>
  <c r="AC630" i="1" s="1"/>
  <c r="AD630" i="1" s="1"/>
  <c r="AE630" i="1" s="1"/>
  <c r="AG630" i="1" s="1"/>
  <c r="AB78" i="1"/>
  <c r="AC78" i="1" s="1"/>
  <c r="AF78" i="1" s="1"/>
  <c r="AB1116" i="1"/>
  <c r="AC1116" i="1" s="1"/>
  <c r="AD1116" i="1" s="1"/>
  <c r="AB1211" i="1"/>
  <c r="AC1211" i="1" s="1"/>
  <c r="AF1211" i="1" s="1"/>
  <c r="AB264" i="1"/>
  <c r="AC264" i="1" s="1"/>
  <c r="AD264" i="1" s="1"/>
  <c r="AE264" i="1" s="1"/>
  <c r="AG264" i="1" s="1"/>
  <c r="AD752" i="1"/>
  <c r="AB40" i="1"/>
  <c r="AC40" i="1" s="1"/>
  <c r="AD40" i="1" s="1"/>
  <c r="AE40" i="1" s="1"/>
  <c r="AB479" i="1"/>
  <c r="AC479" i="1" s="1"/>
  <c r="AD479" i="1" s="1"/>
  <c r="AE479" i="1" s="1"/>
  <c r="AG479" i="1" s="1"/>
  <c r="AB789" i="1"/>
  <c r="AC789" i="1" s="1"/>
  <c r="AD789" i="1" s="1"/>
  <c r="AB845" i="1"/>
  <c r="AC845" i="1" s="1"/>
  <c r="AF845" i="1" s="1"/>
  <c r="AB578" i="1"/>
  <c r="AC578" i="1" s="1"/>
  <c r="AD578" i="1" s="1"/>
  <c r="AE578" i="1" s="1"/>
  <c r="AG578" i="1" s="1"/>
  <c r="AB1671" i="1"/>
  <c r="AC1671" i="1" s="1"/>
  <c r="AF1671" i="1" s="1"/>
  <c r="AB1003" i="1"/>
  <c r="AC1003" i="1" s="1"/>
  <c r="AD1003" i="1" s="1"/>
  <c r="AB1541" i="1"/>
  <c r="AC1541" i="1" s="1"/>
  <c r="AD1541" i="1" s="1"/>
  <c r="AE1541" i="1" s="1"/>
  <c r="AG1541" i="1" s="1"/>
  <c r="AB1223" i="1"/>
  <c r="AC1223" i="1" s="1"/>
  <c r="AD1223" i="1" s="1"/>
  <c r="AB1518" i="1"/>
  <c r="AC1518" i="1" s="1"/>
  <c r="AD1518" i="1" s="1"/>
  <c r="AB1714" i="1"/>
  <c r="AC1714" i="1" s="1"/>
  <c r="AF1714" i="1" s="1"/>
  <c r="AB1140" i="1"/>
  <c r="AC1140" i="1" s="1"/>
  <c r="AD1140" i="1" s="1"/>
  <c r="AF1191" i="1"/>
  <c r="AE1769" i="1"/>
  <c r="AG1769" i="1" s="1"/>
  <c r="AB722" i="1"/>
  <c r="AC722" i="1" s="1"/>
  <c r="AD722" i="1" s="1"/>
  <c r="AB1080" i="1"/>
  <c r="AC1080" i="1" s="1"/>
  <c r="AD1080" i="1" s="1"/>
  <c r="AE48" i="1"/>
  <c r="AE214" i="1"/>
  <c r="AG214" i="1" s="1"/>
  <c r="AB687" i="1"/>
  <c r="AC687" i="1" s="1"/>
  <c r="AF687" i="1" s="1"/>
  <c r="AB843" i="1"/>
  <c r="AC843" i="1" s="1"/>
  <c r="AD843" i="1" s="1"/>
  <c r="AB970" i="1"/>
  <c r="AC970" i="1" s="1"/>
  <c r="AD970" i="1" s="1"/>
  <c r="AB401" i="1"/>
  <c r="AC401" i="1" s="1"/>
  <c r="AD401" i="1" s="1"/>
  <c r="AE401" i="1" s="1"/>
  <c r="AG401" i="1" s="1"/>
  <c r="AB1503" i="1"/>
  <c r="AC1503" i="1" s="1"/>
  <c r="AF1503" i="1" s="1"/>
  <c r="AB844" i="1"/>
  <c r="AC844" i="1" s="1"/>
  <c r="AD844" i="1" s="1"/>
  <c r="AF740" i="1"/>
  <c r="AD740" i="1"/>
  <c r="AD340" i="1"/>
  <c r="AE340" i="1" s="1"/>
  <c r="AG340" i="1" s="1"/>
  <c r="AF340" i="1"/>
  <c r="AF1000" i="1"/>
  <c r="AD1000" i="1"/>
  <c r="AB61" i="1"/>
  <c r="AC61" i="1" s="1"/>
  <c r="AD61" i="1" s="1"/>
  <c r="AE61" i="1" s="1"/>
  <c r="AB1449" i="1"/>
  <c r="AC1449" i="1" s="1"/>
  <c r="AD1449" i="1" s="1"/>
  <c r="AB289" i="1"/>
  <c r="AC289" i="1" s="1"/>
  <c r="AD289" i="1" s="1"/>
  <c r="AE289" i="1" s="1"/>
  <c r="AG289" i="1" s="1"/>
  <c r="AB177" i="1"/>
  <c r="AC177" i="1" s="1"/>
  <c r="AD177" i="1" s="1"/>
  <c r="AE177" i="1" s="1"/>
  <c r="AG177" i="1" s="1"/>
  <c r="AB1177" i="1"/>
  <c r="AC1177" i="1" s="1"/>
  <c r="AD1177" i="1" s="1"/>
  <c r="AB1367" i="1"/>
  <c r="AC1367" i="1" s="1"/>
  <c r="AD1367" i="1" s="1"/>
  <c r="AB1093" i="1"/>
  <c r="AC1093" i="1" s="1"/>
  <c r="AD1093" i="1" s="1"/>
  <c r="AB47" i="1"/>
  <c r="AC47" i="1" s="1"/>
  <c r="AD47" i="1" s="1"/>
  <c r="AE47" i="1" s="1"/>
  <c r="AF1258" i="1"/>
  <c r="AB530" i="1"/>
  <c r="AC530" i="1" s="1"/>
  <c r="AD530" i="1" s="1"/>
  <c r="AE530" i="1" s="1"/>
  <c r="AG530" i="1" s="1"/>
  <c r="AD1299" i="1"/>
  <c r="AF1248" i="1"/>
  <c r="AB1685" i="1"/>
  <c r="AC1685" i="1" s="1"/>
  <c r="AD1685" i="1" s="1"/>
  <c r="AE1685" i="1" s="1"/>
  <c r="AG1685" i="1" s="1"/>
  <c r="AF1359" i="1"/>
  <c r="AB831" i="1"/>
  <c r="AC831" i="1" s="1"/>
  <c r="AD831" i="1" s="1"/>
  <c r="AB431" i="1"/>
  <c r="AC431" i="1" s="1"/>
  <c r="AD431" i="1" s="1"/>
  <c r="AE431" i="1" s="1"/>
  <c r="AG431" i="1" s="1"/>
  <c r="AB348" i="1"/>
  <c r="AC348" i="1" s="1"/>
  <c r="AD348" i="1" s="1"/>
  <c r="AE348" i="1" s="1"/>
  <c r="AG348" i="1" s="1"/>
  <c r="AF214" i="1"/>
  <c r="AB299" i="1"/>
  <c r="AC299" i="1" s="1"/>
  <c r="AD299" i="1" s="1"/>
  <c r="AE299" i="1" s="1"/>
  <c r="AG299" i="1" s="1"/>
  <c r="AB24" i="1"/>
  <c r="AC24" i="1" s="1"/>
  <c r="AD24" i="1" s="1"/>
  <c r="AE24" i="1" s="1"/>
  <c r="AG24" i="1" s="1"/>
  <c r="AB1475" i="1"/>
  <c r="AC1475" i="1" s="1"/>
  <c r="AF1475" i="1" s="1"/>
  <c r="AB1699" i="1"/>
  <c r="AC1699" i="1" s="1"/>
  <c r="AD1699" i="1" s="1"/>
  <c r="AE1699" i="1" s="1"/>
  <c r="AG1699" i="1" s="1"/>
  <c r="AB263" i="1"/>
  <c r="AC263" i="1" s="1"/>
  <c r="AD263" i="1" s="1"/>
  <c r="AE263" i="1" s="1"/>
  <c r="AG263" i="1" s="1"/>
  <c r="AB956" i="1"/>
  <c r="AC956" i="1" s="1"/>
  <c r="AD956" i="1" s="1"/>
  <c r="AF1731" i="1"/>
  <c r="AB1729" i="1"/>
  <c r="AC1729" i="1" s="1"/>
  <c r="AF1729" i="1" s="1"/>
  <c r="AB858" i="1"/>
  <c r="AC858" i="1" s="1"/>
  <c r="AF858" i="1" s="1"/>
  <c r="AB1103" i="1"/>
  <c r="AC1103" i="1" s="1"/>
  <c r="AD1103" i="1" s="1"/>
  <c r="AF1287" i="1"/>
  <c r="AB580" i="1"/>
  <c r="AC580" i="1" s="1"/>
  <c r="AF580" i="1" s="1"/>
  <c r="AF1700" i="1"/>
  <c r="AB192" i="1"/>
  <c r="AC192" i="1" s="1"/>
  <c r="AD192" i="1" s="1"/>
  <c r="AE192" i="1" s="1"/>
  <c r="AG192" i="1" s="1"/>
  <c r="AB1364" i="1"/>
  <c r="AC1364" i="1" s="1"/>
  <c r="AD1364" i="1" s="1"/>
  <c r="AD1746" i="1"/>
  <c r="AE1746" i="1" s="1"/>
  <c r="AG1746" i="1" s="1"/>
  <c r="AB833" i="1"/>
  <c r="AC833" i="1" s="1"/>
  <c r="AD833" i="1" s="1"/>
  <c r="AF1257" i="1"/>
  <c r="AF1016" i="1"/>
  <c r="AB987" i="1"/>
  <c r="AC987" i="1" s="1"/>
  <c r="AF987" i="1" s="1"/>
  <c r="AB202" i="1"/>
  <c r="AC202" i="1" s="1"/>
  <c r="AF202" i="1" s="1"/>
  <c r="AB1495" i="1"/>
  <c r="AC1495" i="1" s="1"/>
  <c r="AD1495" i="1" s="1"/>
  <c r="AB1508" i="1"/>
  <c r="AC1508" i="1" s="1"/>
  <c r="AD1508" i="1" s="1"/>
  <c r="AB1075" i="1"/>
  <c r="AC1075" i="1" s="1"/>
  <c r="AD1075" i="1" s="1"/>
  <c r="AB1208" i="1"/>
  <c r="AC1208" i="1" s="1"/>
  <c r="AD1208" i="1" s="1"/>
  <c r="AB350" i="1"/>
  <c r="AC350" i="1" s="1"/>
  <c r="AD350" i="1" s="1"/>
  <c r="AE350" i="1" s="1"/>
  <c r="AG350" i="1" s="1"/>
  <c r="AB1523" i="1"/>
  <c r="AC1523" i="1" s="1"/>
  <c r="AD1523" i="1" s="1"/>
  <c r="AB1427" i="1"/>
  <c r="AC1427" i="1" s="1"/>
  <c r="AD1427" i="1" s="1"/>
  <c r="AE1427" i="1" s="1"/>
  <c r="AG1427" i="1" s="1"/>
  <c r="AB1036" i="1"/>
  <c r="AC1036" i="1" s="1"/>
  <c r="AF1036" i="1" s="1"/>
  <c r="AB907" i="1"/>
  <c r="AC907" i="1" s="1"/>
  <c r="AD907" i="1" s="1"/>
  <c r="AB1288" i="1"/>
  <c r="AC1288" i="1" s="1"/>
  <c r="AF1288" i="1" s="1"/>
  <c r="AB1602" i="1"/>
  <c r="AC1602" i="1" s="1"/>
  <c r="AF1602" i="1" s="1"/>
  <c r="AB254" i="1"/>
  <c r="AC254" i="1" s="1"/>
  <c r="AD254" i="1" s="1"/>
  <c r="AE254" i="1" s="1"/>
  <c r="AG254" i="1" s="1"/>
  <c r="AB411" i="1"/>
  <c r="AC411" i="1" s="1"/>
  <c r="AF411" i="1" s="1"/>
  <c r="AD1300" i="1"/>
  <c r="AB456" i="1"/>
  <c r="AC456" i="1" s="1"/>
  <c r="AD456" i="1" s="1"/>
  <c r="AE456" i="1" s="1"/>
  <c r="AG456" i="1" s="1"/>
  <c r="AD1419" i="1"/>
  <c r="AB1453" i="1"/>
  <c r="AC1453" i="1" s="1"/>
  <c r="AD1453" i="1" s="1"/>
  <c r="AB950" i="1"/>
  <c r="AC950" i="1" s="1"/>
  <c r="AD950" i="1" s="1"/>
  <c r="AB1094" i="1"/>
  <c r="AC1094" i="1" s="1"/>
  <c r="AF1094" i="1" s="1"/>
  <c r="AB65" i="1"/>
  <c r="AC65" i="1" s="1"/>
  <c r="AD65" i="1" s="1"/>
  <c r="AE65" i="1" s="1"/>
  <c r="AB1392" i="1"/>
  <c r="AC1392" i="1" s="1"/>
  <c r="AD1392" i="1" s="1"/>
  <c r="AB654" i="1"/>
  <c r="AC654" i="1" s="1"/>
  <c r="AF654" i="1" s="1"/>
  <c r="AB1572" i="1"/>
  <c r="AC1572" i="1" s="1"/>
  <c r="AD1572" i="1" s="1"/>
  <c r="AE1572" i="1" s="1"/>
  <c r="AG1572" i="1" s="1"/>
  <c r="AB829" i="1"/>
  <c r="AC829" i="1" s="1"/>
  <c r="AD829" i="1" s="1"/>
  <c r="AD1330" i="1"/>
  <c r="AD755" i="1"/>
  <c r="AB46" i="1"/>
  <c r="AC46" i="1" s="1"/>
  <c r="AD46" i="1" s="1"/>
  <c r="AE46" i="1" s="1"/>
  <c r="AB797" i="1"/>
  <c r="AC797" i="1" s="1"/>
  <c r="AD797" i="1" s="1"/>
  <c r="AF909" i="1"/>
  <c r="AF1384" i="1"/>
  <c r="AB467" i="1"/>
  <c r="AC467" i="1" s="1"/>
  <c r="AD467" i="1" s="1"/>
  <c r="AE467" i="1" s="1"/>
  <c r="AG467" i="1" s="1"/>
  <c r="AB511" i="1"/>
  <c r="AC511" i="1" s="1"/>
  <c r="AD511" i="1" s="1"/>
  <c r="AE511" i="1" s="1"/>
  <c r="AG511" i="1" s="1"/>
  <c r="AB1501" i="1"/>
  <c r="AC1501" i="1" s="1"/>
  <c r="AD1501" i="1" s="1"/>
  <c r="AB1109" i="1"/>
  <c r="AC1109" i="1" s="1"/>
  <c r="AF1109" i="1" s="1"/>
  <c r="AB1607" i="1"/>
  <c r="AC1607" i="1" s="1"/>
  <c r="AF1607" i="1" s="1"/>
  <c r="AB1696" i="1"/>
  <c r="AC1696" i="1" s="1"/>
  <c r="AD1696" i="1" s="1"/>
  <c r="AE1696" i="1" s="1"/>
  <c r="AG1696" i="1" s="1"/>
  <c r="AB1505" i="1"/>
  <c r="AC1505" i="1" s="1"/>
  <c r="AF1505" i="1" s="1"/>
  <c r="AB876" i="1"/>
  <c r="AC876" i="1" s="1"/>
  <c r="AF876" i="1" s="1"/>
  <c r="AB799" i="1"/>
  <c r="AC799" i="1" s="1"/>
  <c r="AF799" i="1" s="1"/>
  <c r="AB1181" i="1"/>
  <c r="AC1181" i="1" s="1"/>
  <c r="AD1181" i="1" s="1"/>
  <c r="AD866" i="1"/>
  <c r="AB768" i="1"/>
  <c r="AC768" i="1" s="1"/>
  <c r="AF768" i="1" s="1"/>
  <c r="AD1622" i="1"/>
  <c r="AE1622" i="1" s="1"/>
  <c r="AG1622" i="1" s="1"/>
  <c r="AB736" i="1"/>
  <c r="AC736" i="1" s="1"/>
  <c r="AF736" i="1" s="1"/>
  <c r="AB552" i="1"/>
  <c r="AC552" i="1" s="1"/>
  <c r="AD552" i="1" s="1"/>
  <c r="AE552" i="1" s="1"/>
  <c r="AG552" i="1" s="1"/>
  <c r="AB1472" i="1"/>
  <c r="AC1472" i="1" s="1"/>
  <c r="AD1472" i="1" s="1"/>
  <c r="AB1551" i="1"/>
  <c r="AC1551" i="1" s="1"/>
  <c r="AD1551" i="1" s="1"/>
  <c r="AE1551" i="1" s="1"/>
  <c r="AG1551" i="1" s="1"/>
  <c r="AB1273" i="1"/>
  <c r="AC1273" i="1" s="1"/>
  <c r="AF1273" i="1" s="1"/>
  <c r="AB418" i="1"/>
  <c r="AC418" i="1" s="1"/>
  <c r="AD418" i="1" s="1"/>
  <c r="AE418" i="1" s="1"/>
  <c r="AG418" i="1" s="1"/>
  <c r="AB751" i="1"/>
  <c r="AC751" i="1" s="1"/>
  <c r="AF751" i="1" s="1"/>
  <c r="AD1409" i="1"/>
  <c r="AB139" i="1"/>
  <c r="AC139" i="1" s="1"/>
  <c r="AF139" i="1" s="1"/>
  <c r="AB1461" i="1"/>
  <c r="AC1461" i="1" s="1"/>
  <c r="AD1461" i="1" s="1"/>
  <c r="AF317" i="1"/>
  <c r="AB212" i="1"/>
  <c r="AC212" i="1" s="1"/>
  <c r="AB484" i="1"/>
  <c r="AC484" i="1" s="1"/>
  <c r="AD484" i="1" s="1"/>
  <c r="AE484" i="1" s="1"/>
  <c r="AG484" i="1" s="1"/>
  <c r="AE1737" i="1"/>
  <c r="AG1737" i="1" s="1"/>
  <c r="AE352" i="1"/>
  <c r="AG352" i="1" s="1"/>
  <c r="AF315" i="1"/>
  <c r="AE385" i="1"/>
  <c r="AG385" i="1" s="1"/>
  <c r="AD707" i="1"/>
  <c r="AF1241" i="1"/>
  <c r="AD1241" i="1"/>
  <c r="AB936" i="1"/>
  <c r="AC936" i="1" s="1"/>
  <c r="AD936" i="1" s="1"/>
  <c r="AB167" i="1"/>
  <c r="AC167" i="1" s="1"/>
  <c r="AF167" i="1" s="1"/>
  <c r="AF918" i="1"/>
  <c r="AB321" i="1"/>
  <c r="AC321" i="1" s="1"/>
  <c r="AD321" i="1" s="1"/>
  <c r="AE321" i="1" s="1"/>
  <c r="AG321" i="1" s="1"/>
  <c r="AB132" i="1"/>
  <c r="AC132" i="1" s="1"/>
  <c r="AD132" i="1" s="1"/>
  <c r="AE132" i="1" s="1"/>
  <c r="AG132" i="1" s="1"/>
  <c r="AB60" i="1"/>
  <c r="AC60" i="1" s="1"/>
  <c r="AF60" i="1" s="1"/>
  <c r="AB737" i="1"/>
  <c r="AC737" i="1" s="1"/>
  <c r="AF737" i="1" s="1"/>
  <c r="AB1521" i="1"/>
  <c r="AC1521" i="1" s="1"/>
  <c r="AF1521" i="1" s="1"/>
  <c r="AB989" i="1"/>
  <c r="AC989" i="1" s="1"/>
  <c r="AD989" i="1" s="1"/>
  <c r="AB1151" i="1"/>
  <c r="AC1151" i="1" s="1"/>
  <c r="AF1151" i="1" s="1"/>
  <c r="AB902" i="1"/>
  <c r="AC902" i="1" s="1"/>
  <c r="AD902" i="1" s="1"/>
  <c r="AB611" i="1"/>
  <c r="AC611" i="1" s="1"/>
  <c r="AD611" i="1" s="1"/>
  <c r="AE611" i="1" s="1"/>
  <c r="AG611" i="1" s="1"/>
  <c r="AB110" i="1"/>
  <c r="AC110" i="1" s="1"/>
  <c r="AF110" i="1" s="1"/>
  <c r="AF1603" i="1"/>
  <c r="AB199" i="1"/>
  <c r="AC199" i="1" s="1"/>
  <c r="AF199" i="1" s="1"/>
  <c r="AB17" i="1"/>
  <c r="AC17" i="1" s="1"/>
  <c r="AD17" i="1" s="1"/>
  <c r="AE17" i="1" s="1"/>
  <c r="AG17" i="1" s="1"/>
  <c r="AE577" i="1"/>
  <c r="AG577" i="1" s="1"/>
  <c r="AB513" i="1"/>
  <c r="AC513" i="1" s="1"/>
  <c r="AD513" i="1" s="1"/>
  <c r="AE513" i="1" s="1"/>
  <c r="AG513" i="1" s="1"/>
  <c r="AB1534" i="1"/>
  <c r="AC1534" i="1" s="1"/>
  <c r="AD919" i="1"/>
  <c r="AB515" i="1"/>
  <c r="AC515" i="1" s="1"/>
  <c r="AF515" i="1" s="1"/>
  <c r="AB929" i="1"/>
  <c r="AC929" i="1" s="1"/>
  <c r="AF929" i="1" s="1"/>
  <c r="AB1026" i="1"/>
  <c r="AC1026" i="1" s="1"/>
  <c r="AD1026" i="1" s="1"/>
  <c r="AB482" i="1"/>
  <c r="AC482" i="1" s="1"/>
  <c r="AD482" i="1" s="1"/>
  <c r="AE482" i="1" s="1"/>
  <c r="AG482" i="1" s="1"/>
  <c r="AB295" i="1"/>
  <c r="AC295" i="1" s="1"/>
  <c r="AD295" i="1" s="1"/>
  <c r="AE295" i="1" s="1"/>
  <c r="AG295" i="1" s="1"/>
  <c r="AB632" i="1"/>
  <c r="AC632" i="1" s="1"/>
  <c r="AF632" i="1" s="1"/>
  <c r="AB558" i="1"/>
  <c r="AC558" i="1" s="1"/>
  <c r="AD558" i="1" s="1"/>
  <c r="AE558" i="1" s="1"/>
  <c r="AG558" i="1" s="1"/>
  <c r="AB1245" i="1"/>
  <c r="AC1245" i="1" s="1"/>
  <c r="AF1245" i="1" s="1"/>
  <c r="AE1739" i="1"/>
  <c r="AG1739" i="1" s="1"/>
  <c r="AF125" i="1"/>
  <c r="AB1460" i="1"/>
  <c r="AC1460" i="1" s="1"/>
  <c r="AB1598" i="1"/>
  <c r="AC1598" i="1" s="1"/>
  <c r="AD1598" i="1" s="1"/>
  <c r="AE1598" i="1" s="1"/>
  <c r="AG1598" i="1" s="1"/>
  <c r="AB808" i="1"/>
  <c r="AC808" i="1" s="1"/>
  <c r="AB862" i="1"/>
  <c r="AC862" i="1" s="1"/>
  <c r="AD862" i="1" s="1"/>
  <c r="AB1479" i="1"/>
  <c r="AC1479" i="1" s="1"/>
  <c r="AD1479" i="1" s="1"/>
  <c r="AB440" i="1"/>
  <c r="AC440" i="1" s="1"/>
  <c r="AD440" i="1" s="1"/>
  <c r="AE440" i="1" s="1"/>
  <c r="AG440" i="1" s="1"/>
  <c r="AB50" i="1"/>
  <c r="AC50" i="1" s="1"/>
  <c r="AF50" i="1" s="1"/>
  <c r="AB803" i="1"/>
  <c r="AC803" i="1" s="1"/>
  <c r="AB1128" i="1"/>
  <c r="AC1128" i="1" s="1"/>
  <c r="AF1128" i="1" s="1"/>
  <c r="AB253" i="1"/>
  <c r="AC253" i="1" s="1"/>
  <c r="AD253" i="1" s="1"/>
  <c r="AE253" i="1" s="1"/>
  <c r="AG253" i="1" s="1"/>
  <c r="AB1745" i="1"/>
  <c r="AC1745" i="1" s="1"/>
  <c r="AD1745" i="1" s="1"/>
  <c r="AE1745" i="1" s="1"/>
  <c r="AG1745" i="1" s="1"/>
  <c r="AB449" i="1"/>
  <c r="AC449" i="1" s="1"/>
  <c r="AD449" i="1" s="1"/>
  <c r="AE449" i="1" s="1"/>
  <c r="AG449" i="1" s="1"/>
  <c r="AD1562" i="1"/>
  <c r="AE1562" i="1" s="1"/>
  <c r="AG1562" i="1" s="1"/>
  <c r="AB414" i="1"/>
  <c r="AC414" i="1" s="1"/>
  <c r="AD414" i="1" s="1"/>
  <c r="AE414" i="1" s="1"/>
  <c r="AG414" i="1" s="1"/>
  <c r="AF1284" i="1"/>
  <c r="AB1708" i="1"/>
  <c r="AC1708" i="1" s="1"/>
  <c r="AF1708" i="1" s="1"/>
  <c r="AB1222" i="1"/>
  <c r="AC1222" i="1" s="1"/>
  <c r="AD1222" i="1" s="1"/>
  <c r="AB872" i="1"/>
  <c r="AC872" i="1" s="1"/>
  <c r="AF872" i="1" s="1"/>
  <c r="AD999" i="1"/>
  <c r="AB1182" i="1"/>
  <c r="AC1182" i="1" s="1"/>
  <c r="AD1182" i="1" s="1"/>
  <c r="AF1545" i="1"/>
  <c r="AB981" i="1"/>
  <c r="AC981" i="1" s="1"/>
  <c r="AD981" i="1" s="1"/>
  <c r="AB1712" i="1"/>
  <c r="AC1712" i="1" s="1"/>
  <c r="AF1712" i="1" s="1"/>
  <c r="AB1320" i="1"/>
  <c r="AC1320" i="1" s="1"/>
  <c r="AD1320" i="1" s="1"/>
  <c r="AB1014" i="1"/>
  <c r="AC1014" i="1" s="1"/>
  <c r="AD1014" i="1" s="1"/>
  <c r="AB1336" i="1"/>
  <c r="AC1336" i="1" s="1"/>
  <c r="AD1336" i="1" s="1"/>
  <c r="AE1529" i="1"/>
  <c r="AG1529" i="1" s="1"/>
  <c r="AB1755" i="1"/>
  <c r="AC1755" i="1" s="1"/>
  <c r="AF1755" i="1" s="1"/>
  <c r="AF1717" i="1"/>
  <c r="AB1203" i="1"/>
  <c r="AC1203" i="1" s="1"/>
  <c r="AD1203" i="1" s="1"/>
  <c r="AB535" i="1"/>
  <c r="AC535" i="1" s="1"/>
  <c r="AD535" i="1" s="1"/>
  <c r="AE535" i="1" s="1"/>
  <c r="AG535" i="1" s="1"/>
  <c r="AB1227" i="1"/>
  <c r="AC1227" i="1" s="1"/>
  <c r="AD1227" i="1" s="1"/>
  <c r="AB718" i="1"/>
  <c r="AC718" i="1" s="1"/>
  <c r="AF718" i="1" s="1"/>
  <c r="AB471" i="1"/>
  <c r="AC471" i="1" s="1"/>
  <c r="AD471" i="1" s="1"/>
  <c r="AE471" i="1" s="1"/>
  <c r="AG471" i="1" s="1"/>
  <c r="AB154" i="1"/>
  <c r="AC154" i="1" s="1"/>
  <c r="AD154" i="1" s="1"/>
  <c r="AE154" i="1" s="1"/>
  <c r="AG154" i="1" s="1"/>
  <c r="AB469" i="1"/>
  <c r="AC469" i="1" s="1"/>
  <c r="AF469" i="1" s="1"/>
  <c r="AB840" i="1"/>
  <c r="AC840" i="1" s="1"/>
  <c r="AD840" i="1" s="1"/>
  <c r="AF1665" i="1"/>
  <c r="AB388" i="1"/>
  <c r="AC388" i="1" s="1"/>
  <c r="AF388" i="1" s="1"/>
  <c r="AF1290" i="1"/>
  <c r="AB247" i="1"/>
  <c r="AC247" i="1" s="1"/>
  <c r="AD247" i="1" s="1"/>
  <c r="AE247" i="1" s="1"/>
  <c r="AG247" i="1" s="1"/>
  <c r="AD1098" i="1"/>
  <c r="AB1371" i="1"/>
  <c r="AC1371" i="1" s="1"/>
  <c r="AD1371" i="1" s="1"/>
  <c r="AB399" i="1"/>
  <c r="AC399" i="1" s="1"/>
  <c r="AF399" i="1" s="1"/>
  <c r="AB1474" i="1"/>
  <c r="AC1474" i="1" s="1"/>
  <c r="AD1474" i="1" s="1"/>
  <c r="AB668" i="1"/>
  <c r="AC668" i="1" s="1"/>
  <c r="AF668" i="1" s="1"/>
  <c r="AB313" i="1"/>
  <c r="AC313" i="1" s="1"/>
  <c r="AD313" i="1" s="1"/>
  <c r="AE313" i="1" s="1"/>
  <c r="AG313" i="1" s="1"/>
  <c r="AB1053" i="1"/>
  <c r="AC1053" i="1" s="1"/>
  <c r="AF1053" i="1" s="1"/>
  <c r="AB1506" i="1"/>
  <c r="AC1506" i="1" s="1"/>
  <c r="AF1506" i="1" s="1"/>
  <c r="AB1197" i="1"/>
  <c r="AC1197" i="1" s="1"/>
  <c r="AF1197" i="1" s="1"/>
  <c r="AB1693" i="1"/>
  <c r="AC1693" i="1" s="1"/>
  <c r="AD1693" i="1" s="1"/>
  <c r="AE1693" i="1" s="1"/>
  <c r="AG1693" i="1" s="1"/>
  <c r="AB196" i="1"/>
  <c r="AC196" i="1" s="1"/>
  <c r="AD196" i="1" s="1"/>
  <c r="AE196" i="1" s="1"/>
  <c r="AG196" i="1" s="1"/>
  <c r="AB729" i="1"/>
  <c r="AC729" i="1" s="1"/>
  <c r="AD729" i="1" s="1"/>
  <c r="AB1389" i="1"/>
  <c r="AC1389" i="1" s="1"/>
  <c r="AD1389" i="1" s="1"/>
  <c r="AB559" i="1"/>
  <c r="AC559" i="1" s="1"/>
  <c r="AF559" i="1" s="1"/>
  <c r="AD1314" i="1"/>
  <c r="AB920" i="1"/>
  <c r="AC920" i="1" s="1"/>
  <c r="AF920" i="1" s="1"/>
  <c r="AB314" i="1"/>
  <c r="AC314" i="1" s="1"/>
  <c r="AF314" i="1" s="1"/>
  <c r="AB1463" i="1"/>
  <c r="AC1463" i="1" s="1"/>
  <c r="AF1463" i="1" s="1"/>
  <c r="AB818" i="1"/>
  <c r="AC818" i="1" s="1"/>
  <c r="AD818" i="1" s="1"/>
  <c r="AB1062" i="1"/>
  <c r="AC1062" i="1" s="1"/>
  <c r="AD1062" i="1" s="1"/>
  <c r="AB1686" i="1"/>
  <c r="AC1686" i="1" s="1"/>
  <c r="AD1686" i="1" s="1"/>
  <c r="AE1686" i="1" s="1"/>
  <c r="AG1686" i="1" s="1"/>
  <c r="AD1563" i="1"/>
  <c r="AE1563" i="1" s="1"/>
  <c r="AG1563" i="1" s="1"/>
  <c r="AB1319" i="1"/>
  <c r="AC1319" i="1" s="1"/>
  <c r="AD1319" i="1" s="1"/>
  <c r="AD1666" i="1"/>
  <c r="AE1666" i="1" s="1"/>
  <c r="AG1666" i="1" s="1"/>
  <c r="AB1254" i="1"/>
  <c r="AC1254" i="1" s="1"/>
  <c r="AD1254" i="1" s="1"/>
  <c r="AB1097" i="1"/>
  <c r="AC1097" i="1" s="1"/>
  <c r="AF1097" i="1" s="1"/>
  <c r="AF943" i="1"/>
  <c r="AB1415" i="1"/>
  <c r="AC1415" i="1" s="1"/>
  <c r="AD1415" i="1" s="1"/>
  <c r="AB590" i="1"/>
  <c r="AC590" i="1" s="1"/>
  <c r="AB786" i="1"/>
  <c r="AC786" i="1" s="1"/>
  <c r="AF786" i="1" s="1"/>
  <c r="AB1049" i="1"/>
  <c r="AC1049" i="1" s="1"/>
  <c r="AD1049" i="1" s="1"/>
  <c r="AB1171" i="1"/>
  <c r="AC1171" i="1" s="1"/>
  <c r="AD1171" i="1" s="1"/>
  <c r="AB129" i="1"/>
  <c r="AC129" i="1" s="1"/>
  <c r="AD129" i="1" s="1"/>
  <c r="AE129" i="1" s="1"/>
  <c r="AG129" i="1" s="1"/>
  <c r="AE209" i="1"/>
  <c r="AG209" i="1" s="1"/>
  <c r="AB651" i="1"/>
  <c r="AC651" i="1" s="1"/>
  <c r="AF651" i="1" s="1"/>
  <c r="AB596" i="1"/>
  <c r="AC596" i="1" s="1"/>
  <c r="AF596" i="1" s="1"/>
  <c r="AB1751" i="1"/>
  <c r="AC1751" i="1" s="1"/>
  <c r="AF1751" i="1" s="1"/>
  <c r="AB347" i="1"/>
  <c r="AC347" i="1" s="1"/>
  <c r="AF347" i="1" s="1"/>
  <c r="AB1694" i="1"/>
  <c r="AC1694" i="1" s="1"/>
  <c r="AF1694" i="1" s="1"/>
  <c r="AB1564" i="1"/>
  <c r="AC1564" i="1" s="1"/>
  <c r="AF1564" i="1" s="1"/>
  <c r="AB383" i="1"/>
  <c r="AC383" i="1" s="1"/>
  <c r="AF383" i="1" s="1"/>
  <c r="AB395" i="1"/>
  <c r="AC395" i="1" s="1"/>
  <c r="AD395" i="1" s="1"/>
  <c r="AE395" i="1" s="1"/>
  <c r="AG395" i="1" s="1"/>
  <c r="AB1635" i="1"/>
  <c r="AC1635" i="1" s="1"/>
  <c r="AD1635" i="1" s="1"/>
  <c r="AE1635" i="1" s="1"/>
  <c r="AG1635" i="1" s="1"/>
  <c r="AB218" i="1"/>
  <c r="AC218" i="1" s="1"/>
  <c r="AF218" i="1" s="1"/>
  <c r="AB985" i="1"/>
  <c r="AC985" i="1" s="1"/>
  <c r="AF985" i="1" s="1"/>
  <c r="AB262" i="1"/>
  <c r="AC262" i="1" s="1"/>
  <c r="AD262" i="1" s="1"/>
  <c r="AE262" i="1" s="1"/>
  <c r="AG262" i="1" s="1"/>
  <c r="AB642" i="1"/>
  <c r="AC642" i="1" s="1"/>
  <c r="AD642" i="1" s="1"/>
  <c r="AE642" i="1" s="1"/>
  <c r="AG642" i="1" s="1"/>
  <c r="AB1455" i="1"/>
  <c r="AC1455" i="1" s="1"/>
  <c r="AF1455" i="1" s="1"/>
  <c r="AD1231" i="1"/>
  <c r="AB1537" i="1"/>
  <c r="AC1537" i="1" s="1"/>
  <c r="AD1537" i="1" s="1"/>
  <c r="AE1537" i="1" s="1"/>
  <c r="AG1537" i="1" s="1"/>
  <c r="AB1021" i="1"/>
  <c r="AC1021" i="1" s="1"/>
  <c r="AD1021" i="1" s="1"/>
  <c r="AB1327" i="1"/>
  <c r="AC1327" i="1" s="1"/>
  <c r="AF1327" i="1" s="1"/>
  <c r="AF33" i="1"/>
  <c r="AB927" i="1"/>
  <c r="AC927" i="1" s="1"/>
  <c r="AB55" i="1"/>
  <c r="AC55" i="1" s="1"/>
  <c r="AD55" i="1" s="1"/>
  <c r="AE55" i="1" s="1"/>
  <c r="AB189" i="1"/>
  <c r="AC189" i="1" s="1"/>
  <c r="AD189" i="1" s="1"/>
  <c r="AE189" i="1" s="1"/>
  <c r="AG189" i="1" s="1"/>
  <c r="AB655" i="1"/>
  <c r="AC655" i="1" s="1"/>
  <c r="AD655" i="1" s="1"/>
  <c r="AE655" i="1" s="1"/>
  <c r="AG655" i="1" s="1"/>
  <c r="AF1012" i="1"/>
  <c r="AB1630" i="1"/>
  <c r="AC1630" i="1" s="1"/>
  <c r="AF1630" i="1" s="1"/>
  <c r="AB502" i="1"/>
  <c r="AC502" i="1" s="1"/>
  <c r="AF502" i="1" s="1"/>
  <c r="AB1135" i="1"/>
  <c r="AC1135" i="1" s="1"/>
  <c r="AD1135" i="1" s="1"/>
  <c r="AB1639" i="1"/>
  <c r="AC1639" i="1" s="1"/>
  <c r="AD1639" i="1" s="1"/>
  <c r="AE1639" i="1" s="1"/>
  <c r="AG1639" i="1" s="1"/>
  <c r="AB1137" i="1"/>
  <c r="AC1137" i="1" s="1"/>
  <c r="AD1137" i="1" s="1"/>
  <c r="AB453" i="1"/>
  <c r="AC453" i="1" s="1"/>
  <c r="AD453" i="1" s="1"/>
  <c r="AE453" i="1" s="1"/>
  <c r="AG453" i="1" s="1"/>
  <c r="AB285" i="1"/>
  <c r="AC285" i="1" s="1"/>
  <c r="AD285" i="1" s="1"/>
  <c r="AE285" i="1" s="1"/>
  <c r="AG285" i="1" s="1"/>
  <c r="AB841" i="1"/>
  <c r="AC841" i="1" s="1"/>
  <c r="AF841" i="1" s="1"/>
  <c r="AB1395" i="1"/>
  <c r="AC1395" i="1" s="1"/>
  <c r="AF1395" i="1" s="1"/>
  <c r="AB579" i="1"/>
  <c r="AC579" i="1" s="1"/>
  <c r="AD579" i="1" s="1"/>
  <c r="AE579" i="1" s="1"/>
  <c r="AG579" i="1" s="1"/>
  <c r="AB965" i="1"/>
  <c r="AC965" i="1" s="1"/>
  <c r="AF965" i="1" s="1"/>
  <c r="AB90" i="1"/>
  <c r="AC90" i="1" s="1"/>
  <c r="AB186" i="1"/>
  <c r="AC186" i="1" s="1"/>
  <c r="AD186" i="1" s="1"/>
  <c r="AE186" i="1" s="1"/>
  <c r="AG186" i="1" s="1"/>
  <c r="AB255" i="1"/>
  <c r="AC255" i="1" s="1"/>
  <c r="AD255" i="1" s="1"/>
  <c r="AE255" i="1" s="1"/>
  <c r="AG255" i="1" s="1"/>
  <c r="AB45" i="1"/>
  <c r="AC45" i="1" s="1"/>
  <c r="AF45" i="1" s="1"/>
  <c r="AF23" i="1"/>
  <c r="AB391" i="1"/>
  <c r="AC391" i="1" s="1"/>
  <c r="AF391" i="1" s="1"/>
  <c r="AB1438" i="1"/>
  <c r="AC1438" i="1" s="1"/>
  <c r="AF1438" i="1" s="1"/>
  <c r="AB272" i="1"/>
  <c r="AC272" i="1" s="1"/>
  <c r="AF272" i="1" s="1"/>
  <c r="AF1580" i="1"/>
  <c r="AB464" i="1"/>
  <c r="AC464" i="1" s="1"/>
  <c r="AD464" i="1" s="1"/>
  <c r="AE464" i="1" s="1"/>
  <c r="AG464" i="1" s="1"/>
  <c r="AB140" i="1"/>
  <c r="AC140" i="1" s="1"/>
  <c r="AD140" i="1" s="1"/>
  <c r="AE140" i="1" s="1"/>
  <c r="AG140" i="1" s="1"/>
  <c r="AB671" i="1"/>
  <c r="AC671" i="1" s="1"/>
  <c r="AF671" i="1" s="1"/>
  <c r="AB1659" i="1"/>
  <c r="AC1659" i="1" s="1"/>
  <c r="AF1659" i="1" s="1"/>
  <c r="AF1467" i="1"/>
  <c r="AE485" i="1"/>
  <c r="AG485" i="1" s="1"/>
  <c r="AF961" i="1"/>
  <c r="AF874" i="1"/>
  <c r="AF352" i="1"/>
  <c r="AB1675" i="1"/>
  <c r="AC1675" i="1" s="1"/>
  <c r="AF1675" i="1" s="1"/>
  <c r="AB483" i="1"/>
  <c r="AC483" i="1" s="1"/>
  <c r="AD483" i="1" s="1"/>
  <c r="AE483" i="1" s="1"/>
  <c r="AG483" i="1" s="1"/>
  <c r="AF601" i="1"/>
  <c r="AF1615" i="1"/>
  <c r="AB924" i="1"/>
  <c r="AC924" i="1" s="1"/>
  <c r="AD924" i="1" s="1"/>
  <c r="AF770" i="1"/>
  <c r="AF358" i="1"/>
  <c r="AF1147" i="1"/>
  <c r="AE696" i="1"/>
  <c r="AG696" i="1" s="1"/>
  <c r="AF485" i="1"/>
  <c r="AF1048" i="1"/>
  <c r="AB123" i="1"/>
  <c r="AC123" i="1" s="1"/>
  <c r="AD123" i="1" s="1"/>
  <c r="AE123" i="1" s="1"/>
  <c r="AG123" i="1" s="1"/>
  <c r="AB194" i="1"/>
  <c r="AC194" i="1" s="1"/>
  <c r="AF194" i="1" s="1"/>
  <c r="AB447" i="1"/>
  <c r="AC447" i="1" s="1"/>
  <c r="AD447" i="1" s="1"/>
  <c r="AE447" i="1" s="1"/>
  <c r="AG447" i="1" s="1"/>
  <c r="AB1406" i="1"/>
  <c r="AC1406" i="1" s="1"/>
  <c r="AF1406" i="1" s="1"/>
  <c r="AB1178" i="1"/>
  <c r="AC1178" i="1" s="1"/>
  <c r="AD1178" i="1" s="1"/>
  <c r="AB672" i="1"/>
  <c r="AC672" i="1" s="1"/>
  <c r="AF672" i="1" s="1"/>
  <c r="AB224" i="1"/>
  <c r="AC224" i="1" s="1"/>
  <c r="AF224" i="1" s="1"/>
  <c r="AB806" i="1"/>
  <c r="AC806" i="1" s="1"/>
  <c r="AF806" i="1" s="1"/>
  <c r="AB742" i="1"/>
  <c r="AC742" i="1" s="1"/>
  <c r="AD742" i="1" s="1"/>
  <c r="AF573" i="1"/>
  <c r="AD693" i="1"/>
  <c r="AE693" i="1" s="1"/>
  <c r="AG693" i="1" s="1"/>
  <c r="AB553" i="1"/>
  <c r="AC553" i="1" s="1"/>
  <c r="AF553" i="1" s="1"/>
  <c r="AB817" i="1"/>
  <c r="AC817" i="1" s="1"/>
  <c r="AD817" i="1" s="1"/>
  <c r="AB279" i="1"/>
  <c r="AC279" i="1" s="1"/>
  <c r="AF279" i="1" s="1"/>
  <c r="AB1122" i="1"/>
  <c r="AC1122" i="1" s="1"/>
  <c r="AD1122" i="1" s="1"/>
  <c r="AB172" i="1"/>
  <c r="AC172" i="1" s="1"/>
  <c r="AF172" i="1" s="1"/>
  <c r="AB894" i="1"/>
  <c r="AC894" i="1" s="1"/>
  <c r="AD894" i="1" s="1"/>
  <c r="AB379" i="1"/>
  <c r="AC379" i="1" s="1"/>
  <c r="AD379" i="1" s="1"/>
  <c r="AE379" i="1" s="1"/>
  <c r="AG379" i="1" s="1"/>
  <c r="AB1414" i="1"/>
  <c r="AC1414" i="1" s="1"/>
  <c r="AD1414" i="1" s="1"/>
  <c r="AD1497" i="1"/>
  <c r="AE1497" i="1" s="1"/>
  <c r="AG1497" i="1" s="1"/>
  <c r="AB504" i="1"/>
  <c r="AC504" i="1" s="1"/>
  <c r="AD504" i="1" s="1"/>
  <c r="AE504" i="1" s="1"/>
  <c r="AG504" i="1" s="1"/>
  <c r="AB1575" i="1"/>
  <c r="AC1575" i="1" s="1"/>
  <c r="AD1575" i="1" s="1"/>
  <c r="AE1575" i="1" s="1"/>
  <c r="AG1575" i="1" s="1"/>
  <c r="AB1734" i="1"/>
  <c r="AC1734" i="1" s="1"/>
  <c r="AD1734" i="1" s="1"/>
  <c r="AE1734" i="1" s="1"/>
  <c r="AG1734" i="1" s="1"/>
  <c r="AB937" i="1"/>
  <c r="AC937" i="1" s="1"/>
  <c r="AD937" i="1" s="1"/>
  <c r="AB1005" i="1"/>
  <c r="AC1005" i="1" s="1"/>
  <c r="AF1005" i="1" s="1"/>
  <c r="AD812" i="1"/>
  <c r="AB185" i="1"/>
  <c r="AC185" i="1" s="1"/>
  <c r="AD185" i="1" s="1"/>
  <c r="AE185" i="1" s="1"/>
  <c r="AG185" i="1" s="1"/>
  <c r="AB499" i="1"/>
  <c r="AC499" i="1" s="1"/>
  <c r="AF499" i="1" s="1"/>
  <c r="AB394" i="1"/>
  <c r="AC394" i="1" s="1"/>
  <c r="AD394" i="1" s="1"/>
  <c r="AE394" i="1" s="1"/>
  <c r="AG394" i="1" s="1"/>
  <c r="AB1339" i="1"/>
  <c r="AC1339" i="1" s="1"/>
  <c r="AF1339" i="1" s="1"/>
  <c r="AB1239" i="1"/>
  <c r="AC1239" i="1" s="1"/>
  <c r="AD1239" i="1" s="1"/>
  <c r="AB569" i="1"/>
  <c r="AC569" i="1" s="1"/>
  <c r="AF569" i="1" s="1"/>
  <c r="AB27" i="1"/>
  <c r="AC27" i="1" s="1"/>
  <c r="AD27" i="1" s="1"/>
  <c r="AE27" i="1" s="1"/>
  <c r="AG27" i="1" s="1"/>
  <c r="AB243" i="1"/>
  <c r="AC243" i="1" s="1"/>
  <c r="AD243" i="1" s="1"/>
  <c r="AE243" i="1" s="1"/>
  <c r="AG243" i="1" s="1"/>
  <c r="AB514" i="1"/>
  <c r="AC514" i="1" s="1"/>
  <c r="AD514" i="1" s="1"/>
  <c r="AE514" i="1" s="1"/>
  <c r="AG514" i="1" s="1"/>
  <c r="AB160" i="1"/>
  <c r="AC160" i="1" s="1"/>
  <c r="AD160" i="1" s="1"/>
  <c r="AE160" i="1" s="1"/>
  <c r="AB234" i="1"/>
  <c r="AC234" i="1" s="1"/>
  <c r="AF234" i="1" s="1"/>
  <c r="AB1186" i="1"/>
  <c r="AC1186" i="1" s="1"/>
  <c r="AF1186" i="1" s="1"/>
  <c r="AB913" i="1"/>
  <c r="AC913" i="1" s="1"/>
  <c r="AF913" i="1" s="1"/>
  <c r="AF1769" i="1"/>
  <c r="AB1150" i="1"/>
  <c r="AC1150" i="1" s="1"/>
  <c r="AD1150" i="1" s="1"/>
  <c r="AB674" i="1"/>
  <c r="AC674" i="1" s="1"/>
  <c r="AF674" i="1" s="1"/>
  <c r="AB1302" i="1"/>
  <c r="AC1302" i="1" s="1"/>
  <c r="AD1302" i="1" s="1"/>
  <c r="AB657" i="1"/>
  <c r="AC657" i="1" s="1"/>
  <c r="AD657" i="1" s="1"/>
  <c r="AE657" i="1" s="1"/>
  <c r="AG657" i="1" s="1"/>
  <c r="AB286" i="1"/>
  <c r="AC286" i="1" s="1"/>
  <c r="AD286" i="1" s="1"/>
  <c r="AE286" i="1" s="1"/>
  <c r="AG286" i="1" s="1"/>
  <c r="AB800" i="1"/>
  <c r="AC800" i="1" s="1"/>
  <c r="AD800" i="1" s="1"/>
  <c r="AB1130" i="1"/>
  <c r="AC1130" i="1" s="1"/>
  <c r="AD1130" i="1" s="1"/>
  <c r="AB30" i="1"/>
  <c r="AC30" i="1" s="1"/>
  <c r="AD30" i="1" s="1"/>
  <c r="AF136" i="1"/>
  <c r="AD1085" i="1"/>
  <c r="AB1268" i="1"/>
  <c r="AC1268" i="1" s="1"/>
  <c r="AF1268" i="1" s="1"/>
  <c r="AF385" i="1"/>
  <c r="AF757" i="1"/>
  <c r="AB87" i="1"/>
  <c r="AC87" i="1" s="1"/>
  <c r="AD87" i="1" s="1"/>
  <c r="AE87" i="1" s="1"/>
  <c r="AG87" i="1" s="1"/>
  <c r="AB205" i="1"/>
  <c r="AC205" i="1" s="1"/>
  <c r="AD205" i="1" s="1"/>
  <c r="AE205" i="1" s="1"/>
  <c r="AG205" i="1" s="1"/>
  <c r="AB38" i="1"/>
  <c r="AC38" i="1" s="1"/>
  <c r="AD38" i="1" s="1"/>
  <c r="AE38" i="1" s="1"/>
  <c r="AB1595" i="1"/>
  <c r="AC1595" i="1" s="1"/>
  <c r="AF1595" i="1" s="1"/>
  <c r="AB1404" i="1"/>
  <c r="AC1404" i="1" s="1"/>
  <c r="AD1404" i="1" s="1"/>
  <c r="AB823" i="1"/>
  <c r="AC823" i="1" s="1"/>
  <c r="AD823" i="1" s="1"/>
  <c r="AB1289" i="1"/>
  <c r="AC1289" i="1" s="1"/>
  <c r="AF1289" i="1" s="1"/>
  <c r="AB228" i="1"/>
  <c r="AC228" i="1" s="1"/>
  <c r="AD228" i="1" s="1"/>
  <c r="AE228" i="1" s="1"/>
  <c r="AG228" i="1" s="1"/>
  <c r="AB1363" i="1"/>
  <c r="AC1363" i="1" s="1"/>
  <c r="AF1363" i="1" s="1"/>
  <c r="AB1061" i="1"/>
  <c r="AC1061" i="1" s="1"/>
  <c r="AD1061" i="1" s="1"/>
  <c r="AB1398" i="1"/>
  <c r="AC1398" i="1" s="1"/>
  <c r="AF1398" i="1" s="1"/>
  <c r="AB54" i="1"/>
  <c r="AC54" i="1" s="1"/>
  <c r="AD54" i="1" s="1"/>
  <c r="AE54" i="1" s="1"/>
  <c r="AB173" i="1"/>
  <c r="AC173" i="1" s="1"/>
  <c r="AF173" i="1" s="1"/>
  <c r="AB306" i="1"/>
  <c r="AC306" i="1" s="1"/>
  <c r="AD306" i="1" s="1"/>
  <c r="AE306" i="1" s="1"/>
  <c r="AG306" i="1" s="1"/>
  <c r="AB1655" i="1"/>
  <c r="AC1655" i="1" s="1"/>
  <c r="AD1655" i="1" s="1"/>
  <c r="AE1655" i="1" s="1"/>
  <c r="AG1655" i="1" s="1"/>
  <c r="AB1647" i="1"/>
  <c r="AC1647" i="1" s="1"/>
  <c r="AD1647" i="1" s="1"/>
  <c r="AE1647" i="1" s="1"/>
  <c r="AG1647" i="1" s="1"/>
  <c r="AB1764" i="1"/>
  <c r="AC1764" i="1" s="1"/>
  <c r="AF1764" i="1" s="1"/>
  <c r="AB1470" i="1"/>
  <c r="AC1470" i="1" s="1"/>
  <c r="AF1470" i="1" s="1"/>
  <c r="AB432" i="1"/>
  <c r="AC432" i="1" s="1"/>
  <c r="AF432" i="1" s="1"/>
  <c r="AF1741" i="1"/>
  <c r="AB725" i="1"/>
  <c r="AC725" i="1" s="1"/>
  <c r="AF725" i="1" s="1"/>
  <c r="AB904" i="1"/>
  <c r="AC904" i="1" s="1"/>
  <c r="AD904" i="1" s="1"/>
  <c r="AB1030" i="1"/>
  <c r="AC1030" i="1" s="1"/>
  <c r="AD1030" i="1" s="1"/>
  <c r="AB1649" i="1"/>
  <c r="AC1649" i="1" s="1"/>
  <c r="AD1649" i="1" s="1"/>
  <c r="AE1649" i="1" s="1"/>
  <c r="AG1649" i="1" s="1"/>
  <c r="AB984" i="1"/>
  <c r="AC984" i="1" s="1"/>
  <c r="AD984" i="1" s="1"/>
  <c r="AB516" i="1"/>
  <c r="AC516" i="1" s="1"/>
  <c r="AD516" i="1" s="1"/>
  <c r="AE516" i="1" s="1"/>
  <c r="AG516" i="1" s="1"/>
  <c r="AB955" i="1"/>
  <c r="AC955" i="1" s="1"/>
  <c r="AF955" i="1" s="1"/>
  <c r="AB842" i="1"/>
  <c r="AC842" i="1" s="1"/>
  <c r="AD842" i="1" s="1"/>
  <c r="AB1328" i="1"/>
  <c r="AC1328" i="1" s="1"/>
  <c r="AF1328" i="1" s="1"/>
  <c r="AB688" i="1"/>
  <c r="AC688" i="1" s="1"/>
  <c r="AD688" i="1" s="1"/>
  <c r="AE688" i="1" s="1"/>
  <c r="AG688" i="1" s="1"/>
  <c r="AB478" i="1"/>
  <c r="AC478" i="1" s="1"/>
  <c r="AF478" i="1" s="1"/>
  <c r="AB427" i="1"/>
  <c r="AC427" i="1" s="1"/>
  <c r="AF427" i="1" s="1"/>
  <c r="AB1653" i="1"/>
  <c r="AC1653" i="1" s="1"/>
  <c r="AF1653" i="1" s="1"/>
  <c r="AB1614" i="1"/>
  <c r="AC1614" i="1" s="1"/>
  <c r="AD1614" i="1" s="1"/>
  <c r="AE1614" i="1" s="1"/>
  <c r="AG1614" i="1" s="1"/>
  <c r="AB549" i="1"/>
  <c r="AC549" i="1" s="1"/>
  <c r="AD549" i="1" s="1"/>
  <c r="AE549" i="1" s="1"/>
  <c r="AG549" i="1" s="1"/>
  <c r="AB437" i="1"/>
  <c r="AC437" i="1" s="1"/>
  <c r="AD437" i="1" s="1"/>
  <c r="AE437" i="1" s="1"/>
  <c r="AG437" i="1" s="1"/>
  <c r="AB497" i="1"/>
  <c r="AC497" i="1" s="1"/>
  <c r="AD497" i="1" s="1"/>
  <c r="AE497" i="1" s="1"/>
  <c r="AG497" i="1" s="1"/>
  <c r="AB1448" i="1"/>
  <c r="AC1448" i="1" s="1"/>
  <c r="AF1448" i="1" s="1"/>
  <c r="AB631" i="1"/>
  <c r="AC631" i="1" s="1"/>
  <c r="AD631" i="1" s="1"/>
  <c r="AE631" i="1" s="1"/>
  <c r="AG631" i="1" s="1"/>
  <c r="AB1459" i="1"/>
  <c r="AC1459" i="1" s="1"/>
  <c r="AD1459" i="1" s="1"/>
  <c r="AE1459" i="1" s="1"/>
  <c r="AG1459" i="1" s="1"/>
  <c r="AB524" i="1"/>
  <c r="AC524" i="1" s="1"/>
  <c r="AD524" i="1" s="1"/>
  <c r="AE524" i="1" s="1"/>
  <c r="AG524" i="1" s="1"/>
  <c r="AB704" i="1"/>
  <c r="AC704" i="1" s="1"/>
  <c r="AF704" i="1" s="1"/>
  <c r="AB422" i="1"/>
  <c r="AC422" i="1" s="1"/>
  <c r="AD422" i="1" s="1"/>
  <c r="AE422" i="1" s="1"/>
  <c r="AG422" i="1" s="1"/>
  <c r="AB276" i="1"/>
  <c r="AC276" i="1" s="1"/>
  <c r="AD276" i="1" s="1"/>
  <c r="AE276" i="1" s="1"/>
  <c r="AG276" i="1" s="1"/>
  <c r="AB766" i="1"/>
  <c r="AC766" i="1" s="1"/>
  <c r="AD766" i="1" s="1"/>
  <c r="AB565" i="1"/>
  <c r="AC565" i="1" s="1"/>
  <c r="AF565" i="1" s="1"/>
  <c r="AB583" i="1"/>
  <c r="AC583" i="1" s="1"/>
  <c r="AF583" i="1" s="1"/>
  <c r="AB148" i="1"/>
  <c r="AC148" i="1" s="1"/>
  <c r="AD148" i="1" s="1"/>
  <c r="AE148" i="1" s="1"/>
  <c r="AG148" i="1" s="1"/>
  <c r="AB1180" i="1"/>
  <c r="AC1180" i="1" s="1"/>
  <c r="AD1180" i="1" s="1"/>
  <c r="AB1672" i="1"/>
  <c r="AC1672" i="1" s="1"/>
  <c r="AD1672" i="1" s="1"/>
  <c r="AE1672" i="1" s="1"/>
  <c r="AG1672" i="1" s="1"/>
  <c r="AB1609" i="1"/>
  <c r="AC1609" i="1" s="1"/>
  <c r="AF1609" i="1" s="1"/>
  <c r="AB1332" i="1"/>
  <c r="AC1332" i="1" s="1"/>
  <c r="AF1332" i="1" s="1"/>
  <c r="AB429" i="1"/>
  <c r="AC429" i="1" s="1"/>
  <c r="AF429" i="1" s="1"/>
  <c r="AB11" i="1"/>
  <c r="AC11" i="1" s="1"/>
  <c r="AF11" i="1" s="1"/>
  <c r="AB598" i="1"/>
  <c r="AC598" i="1" s="1"/>
  <c r="AF598" i="1" s="1"/>
  <c r="AD1749" i="1"/>
  <c r="AE1749" i="1" s="1"/>
  <c r="AG1749" i="1" s="1"/>
  <c r="AB329" i="1"/>
  <c r="AC329" i="1" s="1"/>
  <c r="AD329" i="1" s="1"/>
  <c r="AE329" i="1" s="1"/>
  <c r="AG329" i="1" s="1"/>
  <c r="AD1323" i="1"/>
  <c r="AB221" i="1"/>
  <c r="AC221" i="1" s="1"/>
  <c r="AD221" i="1" s="1"/>
  <c r="AE221" i="1" s="1"/>
  <c r="AG221" i="1" s="1"/>
  <c r="AB1757" i="1"/>
  <c r="AC1757" i="1" s="1"/>
  <c r="AF1757" i="1" s="1"/>
  <c r="AB1335" i="1"/>
  <c r="AC1335" i="1" s="1"/>
  <c r="AD1335" i="1" s="1"/>
  <c r="AB677" i="1"/>
  <c r="AC677" i="1" s="1"/>
  <c r="AD677" i="1" s="1"/>
  <c r="AE677" i="1" s="1"/>
  <c r="AG677" i="1" s="1"/>
  <c r="AB1042" i="1"/>
  <c r="AC1042" i="1" s="1"/>
  <c r="AD1042" i="1" s="1"/>
  <c r="AB1240" i="1"/>
  <c r="AC1240" i="1" s="1"/>
  <c r="AF1240" i="1" s="1"/>
  <c r="AD1644" i="1"/>
  <c r="AE1644" i="1" s="1"/>
  <c r="AG1644" i="1" s="1"/>
  <c r="AB790" i="1"/>
  <c r="AC790" i="1" s="1"/>
  <c r="AF790" i="1" s="1"/>
  <c r="AB281" i="1"/>
  <c r="AC281" i="1" s="1"/>
  <c r="AD281" i="1" s="1"/>
  <c r="AE281" i="1" s="1"/>
  <c r="AG281" i="1" s="1"/>
  <c r="AB283" i="1"/>
  <c r="AC283" i="1" s="1"/>
  <c r="AF283" i="1" s="1"/>
  <c r="AB1183" i="1"/>
  <c r="AC1183" i="1" s="1"/>
  <c r="AF1183" i="1" s="1"/>
  <c r="AB14" i="1"/>
  <c r="AC14" i="1" s="1"/>
  <c r="AD14" i="1" s="1"/>
  <c r="AE14" i="1" s="1"/>
  <c r="AG14" i="1" s="1"/>
  <c r="AB698" i="1"/>
  <c r="AC698" i="1" s="1"/>
  <c r="AF698" i="1" s="1"/>
  <c r="AB837" i="1"/>
  <c r="AC837" i="1" s="1"/>
  <c r="AD837" i="1" s="1"/>
  <c r="AB349" i="1"/>
  <c r="AC349" i="1" s="1"/>
  <c r="AD349" i="1" s="1"/>
  <c r="AE349" i="1" s="1"/>
  <c r="AG349" i="1" s="1"/>
  <c r="AB1027" i="1"/>
  <c r="AC1027" i="1" s="1"/>
  <c r="AD1027" i="1" s="1"/>
  <c r="AB794" i="1"/>
  <c r="AC794" i="1" s="1"/>
  <c r="AF794" i="1" s="1"/>
  <c r="AB641" i="1"/>
  <c r="AC641" i="1" s="1"/>
  <c r="AD641" i="1" s="1"/>
  <c r="AE641" i="1" s="1"/>
  <c r="AG641" i="1" s="1"/>
  <c r="AB785" i="1"/>
  <c r="AC785" i="1" s="1"/>
  <c r="AD785" i="1" s="1"/>
  <c r="AB151" i="1"/>
  <c r="AC151" i="1" s="1"/>
  <c r="AD151" i="1" s="1"/>
  <c r="AE151" i="1" s="1"/>
  <c r="AG151" i="1" s="1"/>
  <c r="AB408" i="1"/>
  <c r="AC408" i="1" s="1"/>
  <c r="AD408" i="1" s="1"/>
  <c r="AE408" i="1" s="1"/>
  <c r="AG408" i="1" s="1"/>
  <c r="AB1412" i="1"/>
  <c r="AC1412" i="1" s="1"/>
  <c r="AF1412" i="1" s="1"/>
  <c r="AB382" i="1"/>
  <c r="AC382" i="1" s="1"/>
  <c r="AF382" i="1" s="1"/>
  <c r="AB1355" i="1"/>
  <c r="AC1355" i="1" s="1"/>
  <c r="AD1355" i="1" s="1"/>
  <c r="AB1379" i="1"/>
  <c r="AC1379" i="1" s="1"/>
  <c r="AD1379" i="1" s="1"/>
  <c r="AB625" i="1"/>
  <c r="AC625" i="1" s="1"/>
  <c r="AD625" i="1" s="1"/>
  <c r="AE625" i="1" s="1"/>
  <c r="AG625" i="1" s="1"/>
  <c r="AB1444" i="1"/>
  <c r="AC1444" i="1" s="1"/>
  <c r="AD1444" i="1" s="1"/>
  <c r="AB1059" i="1"/>
  <c r="AC1059" i="1" s="1"/>
  <c r="AD1059" i="1" s="1"/>
  <c r="AB1526" i="1"/>
  <c r="AC1526" i="1" s="1"/>
  <c r="AD1526" i="1" s="1"/>
  <c r="AE1526" i="1" s="1"/>
  <c r="AG1526" i="1" s="1"/>
  <c r="AB928" i="1"/>
  <c r="AC928" i="1" s="1"/>
  <c r="AF928" i="1" s="1"/>
  <c r="AB575" i="1"/>
  <c r="AC575" i="1" s="1"/>
  <c r="AD575" i="1" s="1"/>
  <c r="AE575" i="1" s="1"/>
  <c r="AG575" i="1" s="1"/>
  <c r="AD589" i="1"/>
  <c r="AE589" i="1" s="1"/>
  <c r="AG589" i="1" s="1"/>
  <c r="AD417" i="1"/>
  <c r="AE417" i="1" s="1"/>
  <c r="AG417" i="1" s="1"/>
  <c r="AB106" i="1"/>
  <c r="AC106" i="1" s="1"/>
  <c r="AD106" i="1" s="1"/>
  <c r="AE106" i="1" s="1"/>
  <c r="AG106" i="1" s="1"/>
  <c r="AB325" i="1"/>
  <c r="AC325" i="1" s="1"/>
  <c r="AD325" i="1" s="1"/>
  <c r="AE325" i="1" s="1"/>
  <c r="AG325" i="1" s="1"/>
  <c r="AF577" i="1"/>
  <c r="AB1432" i="1"/>
  <c r="AC1432" i="1" s="1"/>
  <c r="AD1432" i="1" s="1"/>
  <c r="AB953" i="1"/>
  <c r="AC953" i="1" s="1"/>
  <c r="AD953" i="1" s="1"/>
  <c r="AB822" i="1"/>
  <c r="AC822" i="1" s="1"/>
  <c r="AD822" i="1" s="1"/>
  <c r="AB193" i="1"/>
  <c r="AC193" i="1" s="1"/>
  <c r="AF193" i="1" s="1"/>
  <c r="AF645" i="1"/>
  <c r="AF1743" i="1"/>
  <c r="AB143" i="1"/>
  <c r="AC143" i="1" s="1"/>
  <c r="AF143" i="1" s="1"/>
  <c r="AB146" i="1"/>
  <c r="AC146" i="1" s="1"/>
  <c r="AD146" i="1" s="1"/>
  <c r="AE146" i="1" s="1"/>
  <c r="AG146" i="1" s="1"/>
  <c r="AB853" i="1"/>
  <c r="AC853" i="1" s="1"/>
  <c r="AD853" i="1" s="1"/>
  <c r="AB869" i="1"/>
  <c r="AC869" i="1" s="1"/>
  <c r="AD869" i="1" s="1"/>
  <c r="AB79" i="1"/>
  <c r="AC79" i="1" s="1"/>
  <c r="AF79" i="1" s="1"/>
  <c r="AB1393" i="1"/>
  <c r="AC1393" i="1" s="1"/>
  <c r="AD1393" i="1" s="1"/>
  <c r="AB1200" i="1"/>
  <c r="AC1200" i="1" s="1"/>
  <c r="AD1200" i="1" s="1"/>
  <c r="AB1574" i="1"/>
  <c r="AC1574" i="1" s="1"/>
  <c r="AF1574" i="1" s="1"/>
  <c r="AB1010" i="1"/>
  <c r="AC1010" i="1" s="1"/>
  <c r="AD1010" i="1" s="1"/>
  <c r="AB457" i="1"/>
  <c r="AC457" i="1" s="1"/>
  <c r="AD457" i="1" s="1"/>
  <c r="AE457" i="1" s="1"/>
  <c r="AG457" i="1" s="1"/>
  <c r="AB322" i="1"/>
  <c r="AC322" i="1" s="1"/>
  <c r="AF322" i="1" s="1"/>
  <c r="AD882" i="1"/>
  <c r="AB860" i="1"/>
  <c r="AC860" i="1" s="1"/>
  <c r="AD860" i="1" s="1"/>
  <c r="AB621" i="1"/>
  <c r="AC621" i="1" s="1"/>
  <c r="AD621" i="1" s="1"/>
  <c r="AE621" i="1" s="1"/>
  <c r="AG621" i="1" s="1"/>
  <c r="AB1376" i="1"/>
  <c r="AC1376" i="1" s="1"/>
  <c r="AD1376" i="1" s="1"/>
  <c r="AB147" i="1"/>
  <c r="AC147" i="1" s="1"/>
  <c r="AD147" i="1" s="1"/>
  <c r="AE147" i="1" s="1"/>
  <c r="AG147" i="1" s="1"/>
  <c r="AB1429" i="1"/>
  <c r="AC1429" i="1" s="1"/>
  <c r="AF1429" i="1" s="1"/>
  <c r="AB871" i="1"/>
  <c r="AC871" i="1" s="1"/>
  <c r="AD871" i="1" s="1"/>
  <c r="AB462" i="1"/>
  <c r="AC462" i="1" s="1"/>
  <c r="AD462" i="1" s="1"/>
  <c r="AE462" i="1" s="1"/>
  <c r="AG462" i="1" s="1"/>
  <c r="AB619" i="1"/>
  <c r="AC619" i="1" s="1"/>
  <c r="AD619" i="1" s="1"/>
  <c r="AE619" i="1" s="1"/>
  <c r="AG619" i="1" s="1"/>
  <c r="AB1484" i="1"/>
  <c r="AC1484" i="1" s="1"/>
  <c r="AF1484" i="1" s="1"/>
  <c r="AB534" i="1"/>
  <c r="AC534" i="1" s="1"/>
  <c r="AD534" i="1" s="1"/>
  <c r="AE534" i="1" s="1"/>
  <c r="AG534" i="1" s="1"/>
  <c r="AB360" i="1"/>
  <c r="AC360" i="1" s="1"/>
  <c r="AD360" i="1" s="1"/>
  <c r="AE360" i="1" s="1"/>
  <c r="AG360" i="1" s="1"/>
  <c r="AF44" i="1"/>
  <c r="AG44" i="1" s="1"/>
  <c r="AB188" i="1"/>
  <c r="AC188" i="1" s="1"/>
  <c r="AF188" i="1" s="1"/>
  <c r="AB298" i="1"/>
  <c r="AC298" i="1" s="1"/>
  <c r="AD298" i="1" s="1"/>
  <c r="AE298" i="1" s="1"/>
  <c r="AG298" i="1" s="1"/>
  <c r="AB1077" i="1"/>
  <c r="AC1077" i="1" s="1"/>
  <c r="AD1077" i="1" s="1"/>
  <c r="AE1665" i="1"/>
  <c r="AG1665" i="1" s="1"/>
  <c r="AF245" i="1"/>
  <c r="AE81" i="1"/>
  <c r="AF517" i="1"/>
  <c r="AF217" i="1"/>
  <c r="AE358" i="1"/>
  <c r="AG358" i="1" s="1"/>
  <c r="AB305" i="1"/>
  <c r="AC305" i="1" s="1"/>
  <c r="AD305" i="1" s="1"/>
  <c r="AE305" i="1" s="1"/>
  <c r="AG305" i="1" s="1"/>
  <c r="AB66" i="1"/>
  <c r="AC66" i="1" s="1"/>
  <c r="AD66" i="1" s="1"/>
  <c r="AE66" i="1" s="1"/>
  <c r="AB170" i="1"/>
  <c r="AC170" i="1" s="1"/>
  <c r="AF170" i="1" s="1"/>
  <c r="AB145" i="1"/>
  <c r="AC145" i="1" s="1"/>
  <c r="AF145" i="1" s="1"/>
  <c r="AB43" i="1"/>
  <c r="AC43" i="1" s="1"/>
  <c r="AD43" i="1" s="1"/>
  <c r="AE43" i="1" s="1"/>
  <c r="AD1589" i="1"/>
  <c r="AE1589" i="1" s="1"/>
  <c r="AG1589" i="1" s="1"/>
  <c r="AB375" i="1"/>
  <c r="AC375" i="1" s="1"/>
  <c r="AF375" i="1" s="1"/>
  <c r="AB94" i="1"/>
  <c r="AC94" i="1" s="1"/>
  <c r="AF94" i="1" s="1"/>
  <c r="AB256" i="1"/>
  <c r="AC256" i="1" s="1"/>
  <c r="AD256" i="1" s="1"/>
  <c r="AE256" i="1" s="1"/>
  <c r="AG256" i="1" s="1"/>
  <c r="AB203" i="1"/>
  <c r="AC203" i="1" s="1"/>
  <c r="AD203" i="1" s="1"/>
  <c r="AE203" i="1" s="1"/>
  <c r="AG203" i="1" s="1"/>
  <c r="AD1624" i="1"/>
  <c r="AE1624" i="1" s="1"/>
  <c r="AG1624" i="1" s="1"/>
  <c r="AF16" i="1"/>
  <c r="AB108" i="1"/>
  <c r="AC108" i="1" s="1"/>
  <c r="AD108" i="1" s="1"/>
  <c r="AE108" i="1" s="1"/>
  <c r="AG108" i="1" s="1"/>
  <c r="AB587" i="1"/>
  <c r="AC587" i="1" s="1"/>
  <c r="AD587" i="1" s="1"/>
  <c r="AE587" i="1" s="1"/>
  <c r="AG587" i="1" s="1"/>
  <c r="AB204" i="1"/>
  <c r="AC204" i="1" s="1"/>
  <c r="AD204" i="1" s="1"/>
  <c r="AE204" i="1" s="1"/>
  <c r="AG204" i="1" s="1"/>
  <c r="AF81" i="1"/>
  <c r="AD95" i="1"/>
  <c r="AE95" i="1" s="1"/>
  <c r="AG95" i="1" s="1"/>
  <c r="AF293" i="1"/>
  <c r="AB206" i="1"/>
  <c r="AC206" i="1" s="1"/>
  <c r="AD206" i="1" s="1"/>
  <c r="AE206" i="1" s="1"/>
  <c r="AG206" i="1" s="1"/>
  <c r="AB356" i="1"/>
  <c r="AC356" i="1" s="1"/>
  <c r="AD356" i="1" s="1"/>
  <c r="AE356" i="1" s="1"/>
  <c r="AG356" i="1" s="1"/>
  <c r="AF771" i="1"/>
  <c r="AF827" i="1"/>
  <c r="AF1451" i="1"/>
  <c r="AF824" i="1"/>
  <c r="AB157" i="1"/>
  <c r="AC157" i="1" s="1"/>
  <c r="AF157" i="1" s="1"/>
  <c r="AF376" i="1"/>
  <c r="AD1092" i="1"/>
  <c r="AF209" i="1"/>
  <c r="AF910" i="1"/>
  <c r="AD972" i="1"/>
  <c r="AF1402" i="1"/>
  <c r="AE468" i="1"/>
  <c r="AG468" i="1" s="1"/>
  <c r="AF979" i="1"/>
  <c r="AF1184" i="1"/>
  <c r="AB149" i="1"/>
  <c r="AC149" i="1" s="1"/>
  <c r="AF149" i="1" s="1"/>
  <c r="AF1185" i="1"/>
  <c r="AF828" i="1"/>
  <c r="AB964" i="1"/>
  <c r="AC964" i="1" s="1"/>
  <c r="AD964" i="1" s="1"/>
  <c r="AF344" i="1"/>
  <c r="AB434" i="1"/>
  <c r="AC434" i="1" s="1"/>
  <c r="AD434" i="1" s="1"/>
  <c r="AE434" i="1" s="1"/>
  <c r="AG434" i="1" s="1"/>
  <c r="AF48" i="1"/>
  <c r="AF121" i="1"/>
  <c r="AF959" i="1"/>
  <c r="AF680" i="1"/>
  <c r="AD1205" i="1"/>
  <c r="AF1205" i="1"/>
  <c r="AD1660" i="1"/>
  <c r="AE1660" i="1" s="1"/>
  <c r="AG1660" i="1" s="1"/>
  <c r="AF1660" i="1"/>
  <c r="AD776" i="1"/>
  <c r="AF776" i="1"/>
  <c r="AD1064" i="1"/>
  <c r="AF1064" i="1"/>
  <c r="AF1667" i="1"/>
  <c r="AD1667" i="1"/>
  <c r="AE1667" i="1" s="1"/>
  <c r="AG1667" i="1" s="1"/>
  <c r="AD951" i="1"/>
  <c r="AF951" i="1"/>
  <c r="AD634" i="1"/>
  <c r="AE634" i="1" s="1"/>
  <c r="AG634" i="1" s="1"/>
  <c r="AF634" i="1"/>
  <c r="AD1528" i="1"/>
  <c r="AE1528" i="1" s="1"/>
  <c r="AG1528" i="1" s="1"/>
  <c r="AF1528" i="1"/>
  <c r="AF1471" i="1"/>
  <c r="AD1471" i="1"/>
  <c r="AB442" i="1"/>
  <c r="AC442" i="1" s="1"/>
  <c r="AD442" i="1" s="1"/>
  <c r="AE442" i="1" s="1"/>
  <c r="AG442" i="1" s="1"/>
  <c r="AB222" i="1"/>
  <c r="AC222" i="1" s="1"/>
  <c r="AF222" i="1" s="1"/>
  <c r="AD85" i="1"/>
  <c r="AE85" i="1" s="1"/>
  <c r="AF85" i="1"/>
  <c r="AB855" i="1"/>
  <c r="AC855" i="1" s="1"/>
  <c r="AF855" i="1" s="1"/>
  <c r="AB741" i="1"/>
  <c r="AC741" i="1" s="1"/>
  <c r="AF741" i="1" s="1"/>
  <c r="AF1160" i="1"/>
  <c r="AD1160" i="1"/>
  <c r="AD1040" i="1"/>
  <c r="AF1040" i="1"/>
  <c r="AB492" i="1"/>
  <c r="AC492" i="1" s="1"/>
  <c r="AD492" i="1" s="1"/>
  <c r="AE492" i="1" s="1"/>
  <c r="AG492" i="1" s="1"/>
  <c r="AB1265" i="1"/>
  <c r="AC1265" i="1" s="1"/>
  <c r="AD1265" i="1" s="1"/>
  <c r="AD359" i="1"/>
  <c r="AE359" i="1" s="1"/>
  <c r="AG359" i="1" s="1"/>
  <c r="AF359" i="1"/>
  <c r="AB1013" i="1"/>
  <c r="AC1013" i="1" s="1"/>
  <c r="AD1013" i="1" s="1"/>
  <c r="AF1396" i="1"/>
  <c r="AB1565" i="1"/>
  <c r="AC1565" i="1" s="1"/>
  <c r="AD1565" i="1" s="1"/>
  <c r="AE1565" i="1" s="1"/>
  <c r="AG1565" i="1" s="1"/>
  <c r="AF1259" i="1"/>
  <c r="AB435" i="1"/>
  <c r="AC435" i="1" s="1"/>
  <c r="AD435" i="1" s="1"/>
  <c r="AE435" i="1" s="1"/>
  <c r="AG435" i="1" s="1"/>
  <c r="AB760" i="1"/>
  <c r="AC760" i="1" s="1"/>
  <c r="AF760" i="1" s="1"/>
  <c r="AB1670" i="1"/>
  <c r="AC1670" i="1" s="1"/>
  <c r="AD1670" i="1" s="1"/>
  <c r="AE1670" i="1" s="1"/>
  <c r="AG1670" i="1" s="1"/>
  <c r="AB915" i="1"/>
  <c r="AC915" i="1" s="1"/>
  <c r="AD915" i="1" s="1"/>
  <c r="AB1113" i="1"/>
  <c r="AC1113" i="1" s="1"/>
  <c r="AF1113" i="1" s="1"/>
  <c r="AB533" i="1"/>
  <c r="AC533" i="1" s="1"/>
  <c r="AD533" i="1" s="1"/>
  <c r="AE533" i="1" s="1"/>
  <c r="AG533" i="1" s="1"/>
  <c r="AB1469" i="1"/>
  <c r="AC1469" i="1" s="1"/>
  <c r="AD1469" i="1" s="1"/>
  <c r="AB392" i="1"/>
  <c r="AC392" i="1" s="1"/>
  <c r="AD392" i="1" s="1"/>
  <c r="AE392" i="1" s="1"/>
  <c r="AG392" i="1" s="1"/>
  <c r="AB974" i="1"/>
  <c r="AC974" i="1" s="1"/>
  <c r="AF974" i="1" s="1"/>
  <c r="AB21" i="1"/>
  <c r="AC21" i="1" s="1"/>
  <c r="AD21" i="1" s="1"/>
  <c r="AE21" i="1" s="1"/>
  <c r="AG21" i="1" s="1"/>
  <c r="AB269" i="1"/>
  <c r="AC269" i="1" s="1"/>
  <c r="AD269" i="1" s="1"/>
  <c r="AE269" i="1" s="1"/>
  <c r="AG269" i="1" s="1"/>
  <c r="AF468" i="1"/>
  <c r="AB538" i="1"/>
  <c r="AC538" i="1" s="1"/>
  <c r="AF538" i="1" s="1"/>
  <c r="AB168" i="1"/>
  <c r="AC168" i="1" s="1"/>
  <c r="AD168" i="1" s="1"/>
  <c r="AE168" i="1" s="1"/>
  <c r="AG168" i="1" s="1"/>
  <c r="AB115" i="1"/>
  <c r="AC115" i="1" s="1"/>
  <c r="AD115" i="1" s="1"/>
  <c r="AE115" i="1" s="1"/>
  <c r="AG115" i="1" s="1"/>
  <c r="AB109" i="1"/>
  <c r="AC109" i="1" s="1"/>
  <c r="AD109" i="1" s="1"/>
  <c r="AE109" i="1" s="1"/>
  <c r="AG109" i="1" s="1"/>
  <c r="AB364" i="1"/>
  <c r="AC364" i="1" s="1"/>
  <c r="AD364" i="1" s="1"/>
  <c r="AE364" i="1" s="1"/>
  <c r="AG364" i="1" s="1"/>
  <c r="AB1756" i="1"/>
  <c r="AC1756" i="1" s="1"/>
  <c r="AF1756" i="1" s="1"/>
  <c r="AB1413" i="1"/>
  <c r="AC1413" i="1" s="1"/>
  <c r="AD1413" i="1" s="1"/>
  <c r="AB723" i="1"/>
  <c r="AC723" i="1" s="1"/>
  <c r="AD723" i="1" s="1"/>
  <c r="AB1728" i="1"/>
  <c r="AC1728" i="1" s="1"/>
  <c r="AF1728" i="1" s="1"/>
  <c r="AB1713" i="1"/>
  <c r="AC1713" i="1" s="1"/>
  <c r="AF1713" i="1" s="1"/>
  <c r="AB63" i="1"/>
  <c r="AC63" i="1" s="1"/>
  <c r="AD63" i="1" s="1"/>
  <c r="AE63" i="1" s="1"/>
  <c r="AB493" i="1"/>
  <c r="AC493" i="1" s="1"/>
  <c r="AF493" i="1" s="1"/>
  <c r="AB34" i="1"/>
  <c r="AC34" i="1" s="1"/>
  <c r="AF34" i="1" s="1"/>
  <c r="AB1754" i="1"/>
  <c r="AC1754" i="1" s="1"/>
  <c r="AF1754" i="1" s="1"/>
  <c r="AB1091" i="1"/>
  <c r="AC1091" i="1" s="1"/>
  <c r="AD1091" i="1" s="1"/>
  <c r="AB1569" i="1"/>
  <c r="AC1569" i="1" s="1"/>
  <c r="AF1569" i="1" s="1"/>
  <c r="AB1698" i="1"/>
  <c r="AC1698" i="1" s="1"/>
  <c r="AD1698" i="1" s="1"/>
  <c r="AE1698" i="1" s="1"/>
  <c r="AG1698" i="1" s="1"/>
  <c r="AB1626" i="1"/>
  <c r="AC1626" i="1" s="1"/>
  <c r="AD1626" i="1" s="1"/>
  <c r="AE1626" i="1" s="1"/>
  <c r="AG1626" i="1" s="1"/>
  <c r="AB945" i="1"/>
  <c r="AC945" i="1" s="1"/>
  <c r="AF945" i="1" s="1"/>
  <c r="AB1677" i="1"/>
  <c r="AC1677" i="1" s="1"/>
  <c r="AD1677" i="1" s="1"/>
  <c r="AE1677" i="1" s="1"/>
  <c r="AG1677" i="1" s="1"/>
  <c r="AB387" i="1"/>
  <c r="AC387" i="1" s="1"/>
  <c r="AF387" i="1" s="1"/>
  <c r="AB746" i="1"/>
  <c r="AC746" i="1" s="1"/>
  <c r="AD746" i="1" s="1"/>
  <c r="AB1382" i="1"/>
  <c r="AC1382" i="1" s="1"/>
  <c r="AD1382" i="1" s="1"/>
  <c r="AB1747" i="1"/>
  <c r="AC1747" i="1" s="1"/>
  <c r="AD1747" i="1" s="1"/>
  <c r="AE1747" i="1" s="1"/>
  <c r="AG1747" i="1" s="1"/>
  <c r="AB413" i="1"/>
  <c r="AC413" i="1" s="1"/>
  <c r="AD413" i="1" s="1"/>
  <c r="AE413" i="1" s="1"/>
  <c r="AG413" i="1" s="1"/>
  <c r="AB1138" i="1"/>
  <c r="AC1138" i="1" s="1"/>
  <c r="AD1138" i="1" s="1"/>
  <c r="AB886" i="1"/>
  <c r="AC886" i="1" s="1"/>
  <c r="AD886" i="1" s="1"/>
  <c r="AB832" i="1"/>
  <c r="AC832" i="1" s="1"/>
  <c r="AD832" i="1" s="1"/>
  <c r="AF1276" i="1"/>
  <c r="AB1407" i="1"/>
  <c r="AC1407" i="1" s="1"/>
  <c r="AD1407" i="1" s="1"/>
  <c r="AB973" i="1"/>
  <c r="AC973" i="1" s="1"/>
  <c r="AD973" i="1" s="1"/>
  <c r="AB80" i="1"/>
  <c r="AC80" i="1" s="1"/>
  <c r="AD80" i="1" s="1"/>
  <c r="AE80" i="1" s="1"/>
  <c r="AB1504" i="1"/>
  <c r="AC1504" i="1" s="1"/>
  <c r="AD1504" i="1" s="1"/>
  <c r="AB130" i="1"/>
  <c r="AC130" i="1" s="1"/>
  <c r="AF130" i="1" s="1"/>
  <c r="AB1636" i="1"/>
  <c r="AC1636" i="1" s="1"/>
  <c r="AF1636" i="1" s="1"/>
  <c r="AB126" i="1"/>
  <c r="AC126" i="1" s="1"/>
  <c r="AD126" i="1" s="1"/>
  <c r="AE126" i="1" s="1"/>
  <c r="AG126" i="1" s="1"/>
  <c r="AB404" i="1"/>
  <c r="AC404" i="1" s="1"/>
  <c r="AD404" i="1" s="1"/>
  <c r="AE404" i="1" s="1"/>
  <c r="AG404" i="1" s="1"/>
  <c r="AB288" i="1"/>
  <c r="AC288" i="1" s="1"/>
  <c r="AD288" i="1" s="1"/>
  <c r="AE288" i="1" s="1"/>
  <c r="AG288" i="1" s="1"/>
  <c r="AB324" i="1"/>
  <c r="AC324" i="1" s="1"/>
  <c r="AD324" i="1" s="1"/>
  <c r="AE324" i="1" s="1"/>
  <c r="AG324" i="1" s="1"/>
  <c r="AB903" i="1"/>
  <c r="AC903" i="1" s="1"/>
  <c r="AD903" i="1" s="1"/>
  <c r="AB416" i="1"/>
  <c r="AC416" i="1" s="1"/>
  <c r="AD416" i="1" s="1"/>
  <c r="AE416" i="1" s="1"/>
  <c r="AG416" i="1" s="1"/>
  <c r="AD652" i="1"/>
  <c r="AE652" i="1" s="1"/>
  <c r="AG652" i="1" s="1"/>
  <c r="AF652" i="1"/>
  <c r="AB997" i="1"/>
  <c r="AC997" i="1" s="1"/>
  <c r="AD997" i="1" s="1"/>
  <c r="AB1705" i="1"/>
  <c r="AC1705" i="1" s="1"/>
  <c r="AF1705" i="1" s="1"/>
  <c r="AB1065" i="1"/>
  <c r="AC1065" i="1" s="1"/>
  <c r="AD1065" i="1" s="1"/>
  <c r="AB962" i="1"/>
  <c r="AC962" i="1" s="1"/>
  <c r="AD962" i="1" s="1"/>
  <c r="AB163" i="1"/>
  <c r="AC163" i="1" s="1"/>
  <c r="AD163" i="1" s="1"/>
  <c r="AE163" i="1" s="1"/>
  <c r="AB275" i="1"/>
  <c r="AC275" i="1" s="1"/>
  <c r="AD275" i="1" s="1"/>
  <c r="AE275" i="1" s="1"/>
  <c r="AG275" i="1" s="1"/>
  <c r="AB1753" i="1"/>
  <c r="AC1753" i="1" s="1"/>
  <c r="AF1753" i="1" s="1"/>
  <c r="AB494" i="1"/>
  <c r="AC494" i="1" s="1"/>
  <c r="AF494" i="1" s="1"/>
  <c r="AB627" i="1"/>
  <c r="AC627" i="1" s="1"/>
  <c r="AD627" i="1" s="1"/>
  <c r="AE627" i="1" s="1"/>
  <c r="AG627" i="1" s="1"/>
  <c r="AB1157" i="1"/>
  <c r="AC1157" i="1" s="1"/>
  <c r="AD1157" i="1" s="1"/>
  <c r="AB947" i="1"/>
  <c r="AC947" i="1" s="1"/>
  <c r="AD947" i="1" s="1"/>
  <c r="AB1034" i="1"/>
  <c r="AC1034" i="1" s="1"/>
  <c r="AF1034" i="1" s="1"/>
  <c r="AB481" i="1"/>
  <c r="AC481" i="1" s="1"/>
  <c r="AD481" i="1" s="1"/>
  <c r="AE481" i="1" s="1"/>
  <c r="AG481" i="1" s="1"/>
  <c r="AB153" i="1"/>
  <c r="AC153" i="1" s="1"/>
  <c r="AF153" i="1" s="1"/>
  <c r="AB384" i="1"/>
  <c r="AC384" i="1" s="1"/>
  <c r="AD384" i="1" s="1"/>
  <c r="AE384" i="1" s="1"/>
  <c r="AG384" i="1" s="1"/>
  <c r="AB541" i="1"/>
  <c r="AC541" i="1" s="1"/>
  <c r="AD541" i="1" s="1"/>
  <c r="AE541" i="1" s="1"/>
  <c r="AG541" i="1" s="1"/>
  <c r="AB1374" i="1"/>
  <c r="AC1374" i="1" s="1"/>
  <c r="AD1374" i="1" s="1"/>
  <c r="AB717" i="1"/>
  <c r="AC717" i="1" s="1"/>
  <c r="AD717" i="1" s="1"/>
  <c r="AB1369" i="1"/>
  <c r="AC1369" i="1" s="1"/>
  <c r="AD1369" i="1" s="1"/>
  <c r="AB1388" i="1"/>
  <c r="AC1388" i="1" s="1"/>
  <c r="AD1388" i="1" s="1"/>
  <c r="AB814" i="1"/>
  <c r="AC814" i="1" s="1"/>
  <c r="AD814" i="1" s="1"/>
  <c r="AB1488" i="1"/>
  <c r="AC1488" i="1" s="1"/>
  <c r="AD1488" i="1" s="1"/>
  <c r="AB978" i="1"/>
  <c r="AC978" i="1" s="1"/>
  <c r="AF978" i="1" s="1"/>
  <c r="AF1631" i="1"/>
  <c r="AD37" i="1"/>
  <c r="AE37" i="1" s="1"/>
  <c r="AF37" i="1"/>
  <c r="AB318" i="1"/>
  <c r="AC318" i="1" s="1"/>
  <c r="AF318" i="1" s="1"/>
  <c r="AB661" i="1"/>
  <c r="AC661" i="1" s="1"/>
  <c r="AD661" i="1" s="1"/>
  <c r="AE661" i="1" s="1"/>
  <c r="AG661" i="1" s="1"/>
  <c r="AB1654" i="1"/>
  <c r="AC1654" i="1" s="1"/>
  <c r="AD1654" i="1" s="1"/>
  <c r="AE1654" i="1" s="1"/>
  <c r="AG1654" i="1" s="1"/>
  <c r="AB1066" i="1"/>
  <c r="AC1066" i="1" s="1"/>
  <c r="AD1066" i="1" s="1"/>
  <c r="AB357" i="1"/>
  <c r="AC357" i="1" s="1"/>
  <c r="AD357" i="1" s="1"/>
  <c r="AE357" i="1" s="1"/>
  <c r="AG357" i="1" s="1"/>
  <c r="AB308" i="1"/>
  <c r="AC308" i="1" s="1"/>
  <c r="AF308" i="1" s="1"/>
  <c r="AB969" i="1"/>
  <c r="AC969" i="1" s="1"/>
  <c r="AD969" i="1" s="1"/>
  <c r="AB610" i="1"/>
  <c r="AC610" i="1" s="1"/>
  <c r="AD610" i="1" s="1"/>
  <c r="AE610" i="1" s="1"/>
  <c r="AG610" i="1" s="1"/>
  <c r="AF1264" i="1"/>
  <c r="AB1310" i="1"/>
  <c r="AC1310" i="1" s="1"/>
  <c r="AF1310" i="1" s="1"/>
  <c r="AB1041" i="1"/>
  <c r="AC1041" i="1" s="1"/>
  <c r="AD1041" i="1" s="1"/>
  <c r="AB609" i="1"/>
  <c r="AC609" i="1" s="1"/>
  <c r="AF609" i="1" s="1"/>
  <c r="AB1533" i="1"/>
  <c r="AC1533" i="1" s="1"/>
  <c r="AF1533" i="1" s="1"/>
  <c r="AB1167" i="1"/>
  <c r="AC1167" i="1" s="1"/>
  <c r="AF1167" i="1" s="1"/>
  <c r="AB1153" i="1"/>
  <c r="AC1153" i="1" s="1"/>
  <c r="AD1153" i="1" s="1"/>
  <c r="AD1233" i="1"/>
  <c r="AB1613" i="1"/>
  <c r="AC1613" i="1" s="1"/>
  <c r="AD1613" i="1" s="1"/>
  <c r="AE1613" i="1" s="1"/>
  <c r="AG1613" i="1" s="1"/>
  <c r="AB446" i="1"/>
  <c r="AC446" i="1" s="1"/>
  <c r="AD446" i="1" s="1"/>
  <c r="AE446" i="1" s="1"/>
  <c r="AG446" i="1" s="1"/>
  <c r="AB635" i="1"/>
  <c r="AC635" i="1" s="1"/>
  <c r="AD635" i="1" s="1"/>
  <c r="AE635" i="1" s="1"/>
  <c r="AG635" i="1" s="1"/>
  <c r="AB932" i="1"/>
  <c r="AC932" i="1" s="1"/>
  <c r="AF932" i="1" s="1"/>
  <c r="AB1087" i="1"/>
  <c r="AC1087" i="1" s="1"/>
  <c r="AD1087" i="1" s="1"/>
  <c r="AB1482" i="1"/>
  <c r="AC1482" i="1" s="1"/>
  <c r="AD1482" i="1" s="1"/>
  <c r="AF373" i="1"/>
  <c r="AB1308" i="1"/>
  <c r="AC1308" i="1" s="1"/>
  <c r="AD1308" i="1" s="1"/>
  <c r="AB240" i="1"/>
  <c r="AC240" i="1" s="1"/>
  <c r="AD240" i="1" s="1"/>
  <c r="AE240" i="1" s="1"/>
  <c r="AG240" i="1" s="1"/>
  <c r="AB5" i="1"/>
  <c r="AC5" i="1" s="1"/>
  <c r="AD5" i="1" s="1"/>
  <c r="AE5" i="1" s="1"/>
  <c r="AG5" i="1" s="1"/>
  <c r="AB1179" i="1"/>
  <c r="AC1179" i="1" s="1"/>
  <c r="AD1179" i="1" s="1"/>
  <c r="AB1491" i="1"/>
  <c r="AC1491" i="1" s="1"/>
  <c r="AD1491" i="1" s="1"/>
  <c r="AE1491" i="1" s="1"/>
  <c r="AG1491" i="1" s="1"/>
  <c r="AB309" i="1"/>
  <c r="AC309" i="1" s="1"/>
  <c r="AD309" i="1" s="1"/>
  <c r="AE309" i="1" s="1"/>
  <c r="AG309" i="1" s="1"/>
  <c r="AB361" i="1"/>
  <c r="AC361" i="1" s="1"/>
  <c r="AD361" i="1" s="1"/>
  <c r="AE361" i="1" s="1"/>
  <c r="AG361" i="1" s="1"/>
  <c r="AF1086" i="1"/>
  <c r="AB1579" i="1"/>
  <c r="AC1579" i="1" s="1"/>
  <c r="AF1579" i="1" s="1"/>
  <c r="AB646" i="1"/>
  <c r="AC646" i="1" s="1"/>
  <c r="AF646" i="1" s="1"/>
  <c r="AB225" i="1"/>
  <c r="AC225" i="1" s="1"/>
  <c r="AD225" i="1" s="1"/>
  <c r="AE225" i="1" s="1"/>
  <c r="AG225" i="1" s="1"/>
  <c r="AB891" i="1"/>
  <c r="AC891" i="1" s="1"/>
  <c r="AD891" i="1" s="1"/>
  <c r="AB179" i="1"/>
  <c r="AC179" i="1" s="1"/>
  <c r="AD179" i="1" s="1"/>
  <c r="AE179" i="1" s="1"/>
  <c r="AG179" i="1" s="1"/>
  <c r="AB864" i="1"/>
  <c r="AC864" i="1" s="1"/>
  <c r="AD864" i="1" s="1"/>
  <c r="AF662" i="1"/>
  <c r="AB1006" i="1"/>
  <c r="AC1006" i="1" s="1"/>
  <c r="AD1006" i="1" s="1"/>
  <c r="AD448" i="1"/>
  <c r="AE448" i="1" s="1"/>
  <c r="AG448" i="1" s="1"/>
  <c r="AB1428" i="1"/>
  <c r="AC1428" i="1" s="1"/>
  <c r="AD1428" i="1" s="1"/>
  <c r="AB331" i="1"/>
  <c r="AC331" i="1" s="1"/>
  <c r="AD331" i="1" s="1"/>
  <c r="AE331" i="1" s="1"/>
  <c r="AG331" i="1" s="1"/>
  <c r="AB1361" i="1"/>
  <c r="AC1361" i="1" s="1"/>
  <c r="AD1361" i="1" s="1"/>
  <c r="AB268" i="1"/>
  <c r="AC268" i="1" s="1"/>
  <c r="AD268" i="1" s="1"/>
  <c r="AE268" i="1" s="1"/>
  <c r="AG268" i="1" s="1"/>
  <c r="AB304" i="1"/>
  <c r="AC304" i="1" s="1"/>
  <c r="AF304" i="1" s="1"/>
  <c r="AB1446" i="1"/>
  <c r="AC1446" i="1" s="1"/>
  <c r="AF1446" i="1" s="1"/>
  <c r="AF403" i="1"/>
  <c r="AB62" i="1"/>
  <c r="AC62" i="1" s="1"/>
  <c r="AD62" i="1" s="1"/>
  <c r="AE62" i="1" s="1"/>
  <c r="AB900" i="1"/>
  <c r="AC900" i="1" s="1"/>
  <c r="AD900" i="1" s="1"/>
  <c r="AB1516" i="1"/>
  <c r="AC1516" i="1" s="1"/>
  <c r="AF1516" i="1" s="1"/>
  <c r="AB892" i="1"/>
  <c r="AC892" i="1" s="1"/>
  <c r="AD892" i="1" s="1"/>
  <c r="AB1511" i="1"/>
  <c r="AC1511" i="1" s="1"/>
  <c r="AF1511" i="1" s="1"/>
  <c r="AB1527" i="1"/>
  <c r="AC1527" i="1" s="1"/>
  <c r="AF1527" i="1" s="1"/>
  <c r="AD1593" i="1"/>
  <c r="AE1593" i="1" s="1"/>
  <c r="AG1593" i="1" s="1"/>
  <c r="AB588" i="1"/>
  <c r="AC588" i="1" s="1"/>
  <c r="AF588" i="1" s="1"/>
  <c r="AB551" i="1"/>
  <c r="AC551" i="1" s="1"/>
  <c r="AF551" i="1" s="1"/>
  <c r="AB1083" i="1"/>
  <c r="AC1083" i="1" s="1"/>
  <c r="AF1083" i="1" s="1"/>
  <c r="AB666" i="1"/>
  <c r="AC666" i="1" s="1"/>
  <c r="AF666" i="1" s="1"/>
  <c r="AB159" i="1"/>
  <c r="AC159" i="1" s="1"/>
  <c r="AD159" i="1" s="1"/>
  <c r="AE159" i="1" s="1"/>
  <c r="AG159" i="1" s="1"/>
  <c r="AB1029" i="1"/>
  <c r="AC1029" i="1" s="1"/>
  <c r="AF1029" i="1" s="1"/>
  <c r="AB1090" i="1"/>
  <c r="AC1090" i="1" s="1"/>
  <c r="AF1090" i="1" s="1"/>
  <c r="AB518" i="1"/>
  <c r="AC518" i="1" s="1"/>
  <c r="AD518" i="1" s="1"/>
  <c r="AE518" i="1" s="1"/>
  <c r="AG518" i="1" s="1"/>
  <c r="AB644" i="1"/>
  <c r="AC644" i="1" s="1"/>
  <c r="AD644" i="1" s="1"/>
  <c r="AE644" i="1" s="1"/>
  <c r="AG644" i="1" s="1"/>
  <c r="AB898" i="1"/>
  <c r="AC898" i="1" s="1"/>
  <c r="AF898" i="1" s="1"/>
  <c r="AB280" i="1"/>
  <c r="AC280" i="1" s="1"/>
  <c r="AD280" i="1" s="1"/>
  <c r="AE280" i="1" s="1"/>
  <c r="AG280" i="1" s="1"/>
  <c r="AB1633" i="1"/>
  <c r="AC1633" i="1" s="1"/>
  <c r="AD1633" i="1" s="1"/>
  <c r="AE1633" i="1" s="1"/>
  <c r="AG1633" i="1" s="1"/>
  <c r="AB977" i="1"/>
  <c r="AC977" i="1" s="1"/>
  <c r="AF977" i="1" s="1"/>
  <c r="AB624" i="1"/>
  <c r="AC624" i="1" s="1"/>
  <c r="AD624" i="1" s="1"/>
  <c r="AE624" i="1" s="1"/>
  <c r="AG624" i="1" s="1"/>
  <c r="AF1117" i="1"/>
  <c r="AB639" i="1"/>
  <c r="AC639" i="1" s="1"/>
  <c r="AD639" i="1" s="1"/>
  <c r="AE639" i="1" s="1"/>
  <c r="AG639" i="1" s="1"/>
  <c r="AB333" i="1"/>
  <c r="AC333" i="1" s="1"/>
  <c r="AD333" i="1" s="1"/>
  <c r="AE333" i="1" s="1"/>
  <c r="AG333" i="1" s="1"/>
  <c r="AB1587" i="1"/>
  <c r="AC1587" i="1" s="1"/>
  <c r="AD1587" i="1" s="1"/>
  <c r="AE1587" i="1" s="1"/>
  <c r="AG1587" i="1" s="1"/>
  <c r="AB310" i="1"/>
  <c r="AC310" i="1" s="1"/>
  <c r="AD310" i="1" s="1"/>
  <c r="AE310" i="1" s="1"/>
  <c r="AG310" i="1" s="1"/>
  <c r="AF758" i="1"/>
  <c r="AB486" i="1"/>
  <c r="AC486" i="1" s="1"/>
  <c r="AF486" i="1" s="1"/>
  <c r="AB527" i="1"/>
  <c r="AC527" i="1" s="1"/>
  <c r="AD527" i="1" s="1"/>
  <c r="AE527" i="1" s="1"/>
  <c r="AG527" i="1" s="1"/>
  <c r="AB1119" i="1"/>
  <c r="AC1119" i="1" s="1"/>
  <c r="AD1119" i="1" s="1"/>
  <c r="AB825" i="1"/>
  <c r="AC825" i="1" s="1"/>
  <c r="AF825" i="1" s="1"/>
  <c r="AB96" i="1"/>
  <c r="AC96" i="1" s="1"/>
  <c r="AD96" i="1" s="1"/>
  <c r="AE96" i="1" s="1"/>
  <c r="AG96" i="1" s="1"/>
  <c r="AB374" i="1"/>
  <c r="AC374" i="1" s="1"/>
  <c r="AD374" i="1" s="1"/>
  <c r="AE374" i="1" s="1"/>
  <c r="AG374" i="1" s="1"/>
  <c r="AB248" i="1"/>
  <c r="AC248" i="1" s="1"/>
  <c r="AF248" i="1" s="1"/>
  <c r="AB1765" i="1"/>
  <c r="AC1765" i="1" s="1"/>
  <c r="AF1765" i="1" s="1"/>
  <c r="AB1204" i="1"/>
  <c r="AC1204" i="1" s="1"/>
  <c r="AD1204" i="1" s="1"/>
  <c r="AB397" i="1"/>
  <c r="AC397" i="1" s="1"/>
  <c r="AD397" i="1" s="1"/>
  <c r="AE397" i="1" s="1"/>
  <c r="AG397" i="1" s="1"/>
  <c r="AB369" i="1"/>
  <c r="AC369" i="1" s="1"/>
  <c r="AD369" i="1" s="1"/>
  <c r="AE369" i="1" s="1"/>
  <c r="AG369" i="1" s="1"/>
  <c r="AB629" i="1"/>
  <c r="AC629" i="1" s="1"/>
  <c r="AD629" i="1" s="1"/>
  <c r="AE629" i="1" s="1"/>
  <c r="AG629" i="1" s="1"/>
  <c r="AF1737" i="1"/>
  <c r="AB1543" i="1"/>
  <c r="AC1543" i="1" s="1"/>
  <c r="AD1543" i="1" s="1"/>
  <c r="AE1543" i="1" s="1"/>
  <c r="AG1543" i="1" s="1"/>
  <c r="AB730" i="1"/>
  <c r="AC730" i="1" s="1"/>
  <c r="AF730" i="1" s="1"/>
  <c r="AB570" i="1"/>
  <c r="AC570" i="1" s="1"/>
  <c r="AD570" i="1" s="1"/>
  <c r="AE570" i="1" s="1"/>
  <c r="AG570" i="1" s="1"/>
  <c r="AB1129" i="1"/>
  <c r="AC1129" i="1" s="1"/>
  <c r="AD1129" i="1" s="1"/>
  <c r="AB599" i="1"/>
  <c r="AC599" i="1" s="1"/>
  <c r="AD599" i="1" s="1"/>
  <c r="AE599" i="1" s="1"/>
  <c r="AG599" i="1" s="1"/>
  <c r="AB705" i="1"/>
  <c r="AC705" i="1" s="1"/>
  <c r="AF705" i="1" s="1"/>
  <c r="AB697" i="1"/>
  <c r="AC697" i="1" s="1"/>
  <c r="AF697" i="1" s="1"/>
  <c r="AB368" i="1"/>
  <c r="AC368" i="1" s="1"/>
  <c r="AD368" i="1" s="1"/>
  <c r="AE368" i="1" s="1"/>
  <c r="AG368" i="1" s="1"/>
  <c r="AB10" i="1"/>
  <c r="AC10" i="1" s="1"/>
  <c r="AD10" i="1" s="1"/>
  <c r="AE10" i="1" s="1"/>
  <c r="AG10" i="1" s="1"/>
  <c r="AB491" i="1"/>
  <c r="AC491" i="1" s="1"/>
  <c r="AD491" i="1" s="1"/>
  <c r="AE491" i="1" s="1"/>
  <c r="AG491" i="1" s="1"/>
  <c r="AB1539" i="1"/>
  <c r="AC1539" i="1" s="1"/>
  <c r="AD1539" i="1" s="1"/>
  <c r="AE1539" i="1" s="1"/>
  <c r="AG1539" i="1" s="1"/>
  <c r="AF1457" i="1"/>
  <c r="AB1553" i="1"/>
  <c r="AC1553" i="1" s="1"/>
  <c r="AF1553" i="1" s="1"/>
  <c r="AB336" i="1"/>
  <c r="AC336" i="1" s="1"/>
  <c r="AF336" i="1" s="1"/>
  <c r="AB282" i="1"/>
  <c r="AC282" i="1" s="1"/>
  <c r="AD282" i="1" s="1"/>
  <c r="AE282" i="1" s="1"/>
  <c r="AG282" i="1" s="1"/>
  <c r="AB75" i="1"/>
  <c r="AC75" i="1" s="1"/>
  <c r="AF75" i="1" s="1"/>
  <c r="AB663" i="1"/>
  <c r="AC663" i="1" s="1"/>
  <c r="AD663" i="1" s="1"/>
  <c r="AE663" i="1" s="1"/>
  <c r="AG663" i="1" s="1"/>
  <c r="AB816" i="1"/>
  <c r="AC816" i="1" s="1"/>
  <c r="AD816" i="1" s="1"/>
  <c r="AB653" i="1"/>
  <c r="AC653" i="1" s="1"/>
  <c r="AD653" i="1" s="1"/>
  <c r="AE653" i="1" s="1"/>
  <c r="AG653" i="1" s="1"/>
  <c r="AB287" i="1"/>
  <c r="AC287" i="1" s="1"/>
  <c r="AD287" i="1" s="1"/>
  <c r="AE287" i="1" s="1"/>
  <c r="AG287" i="1" s="1"/>
  <c r="AB1110" i="1"/>
  <c r="AC1110" i="1" s="1"/>
  <c r="AD1110" i="1" s="1"/>
  <c r="AB334" i="1"/>
  <c r="AC334" i="1" s="1"/>
  <c r="AD334" i="1" s="1"/>
  <c r="AE334" i="1" s="1"/>
  <c r="AG334" i="1" s="1"/>
  <c r="AB290" i="1"/>
  <c r="AC290" i="1" s="1"/>
  <c r="AD290" i="1" s="1"/>
  <c r="AE290" i="1" s="1"/>
  <c r="AG290" i="1" s="1"/>
  <c r="AB450" i="1"/>
  <c r="AC450" i="1" s="1"/>
  <c r="AF450" i="1" s="1"/>
  <c r="AB1684" i="1"/>
  <c r="AC1684" i="1" s="1"/>
  <c r="AF1684" i="1" s="1"/>
  <c r="AB566" i="1"/>
  <c r="AC566" i="1" s="1"/>
  <c r="AF566" i="1" s="1"/>
  <c r="AB216" i="1"/>
  <c r="AC216" i="1" s="1"/>
  <c r="AD216" i="1" s="1"/>
  <c r="AE216" i="1" s="1"/>
  <c r="AB700" i="1"/>
  <c r="AC700" i="1" s="1"/>
  <c r="AD700" i="1" s="1"/>
  <c r="AE700" i="1" s="1"/>
  <c r="AG700" i="1" s="1"/>
  <c r="AB1542" i="1"/>
  <c r="AC1542" i="1" s="1"/>
  <c r="AD1542" i="1" s="1"/>
  <c r="AE1542" i="1" s="1"/>
  <c r="AG1542" i="1" s="1"/>
  <c r="AB330" i="1"/>
  <c r="AC330" i="1" s="1"/>
  <c r="AD330" i="1" s="1"/>
  <c r="AE330" i="1" s="1"/>
  <c r="AG330" i="1" s="1"/>
  <c r="AB396" i="1"/>
  <c r="AC396" i="1" s="1"/>
  <c r="AD396" i="1" s="1"/>
  <c r="AE396" i="1" s="1"/>
  <c r="AG396" i="1" s="1"/>
  <c r="AB1681" i="1"/>
  <c r="AC1681" i="1" s="1"/>
  <c r="AF1681" i="1" s="1"/>
  <c r="AB664" i="1"/>
  <c r="AC664" i="1" s="1"/>
  <c r="AD664" i="1" s="1"/>
  <c r="AE664" i="1" s="1"/>
  <c r="AG664" i="1" s="1"/>
  <c r="AB312" i="1"/>
  <c r="AC312" i="1" s="1"/>
  <c r="AD312" i="1" s="1"/>
  <c r="AE312" i="1" s="1"/>
  <c r="AG312" i="1" s="1"/>
  <c r="AB135" i="1"/>
  <c r="AC135" i="1" s="1"/>
  <c r="AF135" i="1" s="1"/>
  <c r="AB1358" i="1"/>
  <c r="AC1358" i="1" s="1"/>
  <c r="AD1358" i="1" s="1"/>
  <c r="AB111" i="1"/>
  <c r="AC111" i="1" s="1"/>
  <c r="AD111" i="1" s="1"/>
  <c r="AE111" i="1" s="1"/>
  <c r="AG111" i="1" s="1"/>
  <c r="AB1088" i="1"/>
  <c r="AC1088" i="1" s="1"/>
  <c r="AD1088" i="1" s="1"/>
  <c r="AB1349" i="1"/>
  <c r="AC1349" i="1" s="1"/>
  <c r="AD1349" i="1" s="1"/>
  <c r="AB1726" i="1"/>
  <c r="AC1726" i="1" s="1"/>
  <c r="AD1726" i="1" s="1"/>
  <c r="AE1726" i="1" s="1"/>
  <c r="AG1726" i="1" s="1"/>
  <c r="AB103" i="1"/>
  <c r="AC103" i="1" s="1"/>
  <c r="AD103" i="1" s="1"/>
  <c r="AE103" i="1" s="1"/>
  <c r="AG103" i="1" s="1"/>
  <c r="AB1423" i="1"/>
  <c r="AC1423" i="1" s="1"/>
  <c r="AF1423" i="1" s="1"/>
  <c r="AB1381" i="1"/>
  <c r="AC1381" i="1" s="1"/>
  <c r="AF1381" i="1" s="1"/>
  <c r="AB1738" i="1"/>
  <c r="AC1738" i="1" s="1"/>
  <c r="AF1738" i="1" s="1"/>
  <c r="AB1727" i="1"/>
  <c r="AC1727" i="1" s="1"/>
  <c r="AD1727" i="1" s="1"/>
  <c r="AE1727" i="1" s="1"/>
  <c r="AG1727" i="1" s="1"/>
  <c r="AB701" i="1"/>
  <c r="AC701" i="1" s="1"/>
  <c r="AF701" i="1" s="1"/>
  <c r="AD1008" i="1"/>
  <c r="AF1008" i="1"/>
  <c r="AB686" i="1"/>
  <c r="AC686" i="1" s="1"/>
  <c r="AD686" i="1" s="1"/>
  <c r="AE686" i="1" s="1"/>
  <c r="AG686" i="1" s="1"/>
  <c r="AB270" i="1"/>
  <c r="AC270" i="1" s="1"/>
  <c r="AD270" i="1" s="1"/>
  <c r="AE270" i="1" s="1"/>
  <c r="AG270" i="1" s="1"/>
  <c r="AB1548" i="1"/>
  <c r="AC1548" i="1" s="1"/>
  <c r="AF1548" i="1" s="1"/>
  <c r="AD1443" i="1"/>
  <c r="AF1443" i="1"/>
  <c r="AB1380" i="1"/>
  <c r="AC1380" i="1" s="1"/>
  <c r="AB1581" i="1"/>
  <c r="AC1581" i="1" s="1"/>
  <c r="AD1596" i="1"/>
  <c r="AE1596" i="1" s="1"/>
  <c r="AG1596" i="1" s="1"/>
  <c r="AF1596" i="1"/>
  <c r="AB868" i="1"/>
  <c r="AC868" i="1" s="1"/>
  <c r="AB576" i="1"/>
  <c r="AC576" i="1" s="1"/>
  <c r="AB1723" i="1"/>
  <c r="AC1723" i="1" s="1"/>
  <c r="AB1599" i="1"/>
  <c r="AC1599" i="1" s="1"/>
  <c r="AB1387" i="1"/>
  <c r="AC1387" i="1" s="1"/>
  <c r="AD102" i="1"/>
  <c r="AE102" i="1" s="1"/>
  <c r="AG102" i="1" s="1"/>
  <c r="AF102" i="1"/>
  <c r="AB1692" i="1"/>
  <c r="AC1692" i="1" s="1"/>
  <c r="AD1142" i="1"/>
  <c r="AE1142" i="1" s="1"/>
  <c r="AG1142" i="1" s="1"/>
  <c r="AF1142" i="1"/>
  <c r="AB1370" i="1"/>
  <c r="AC1370" i="1" s="1"/>
  <c r="AB1762" i="1"/>
  <c r="AC1762" i="1" s="1"/>
  <c r="AD1485" i="1"/>
  <c r="AF1485" i="1"/>
  <c r="AB996" i="1"/>
  <c r="AC996" i="1" s="1"/>
  <c r="AD713" i="1"/>
  <c r="AF713" i="1"/>
  <c r="AB98" i="1"/>
  <c r="AC98" i="1" s="1"/>
  <c r="AD335" i="1"/>
  <c r="AE335" i="1" s="1"/>
  <c r="AG335" i="1" s="1"/>
  <c r="AF335" i="1"/>
  <c r="AB1697" i="1"/>
  <c r="AC1697" i="1" s="1"/>
  <c r="AD184" i="1"/>
  <c r="AE184" i="1" s="1"/>
  <c r="AG184" i="1" s="1"/>
  <c r="AF184" i="1"/>
  <c r="AB1500" i="1"/>
  <c r="AC1500" i="1" s="1"/>
  <c r="AB1733" i="1"/>
  <c r="AC1733" i="1" s="1"/>
  <c r="AD612" i="1"/>
  <c r="AE612" i="1" s="1"/>
  <c r="AG612" i="1" s="1"/>
  <c r="AF612" i="1"/>
  <c r="AF1378" i="1"/>
  <c r="AD1378" i="1"/>
  <c r="AB409" i="1"/>
  <c r="AC409" i="1" s="1"/>
  <c r="AD1347" i="1"/>
  <c r="AF1347" i="1"/>
  <c r="AD529" i="1"/>
  <c r="AE529" i="1" s="1"/>
  <c r="AG529" i="1" s="1"/>
  <c r="AF529" i="1"/>
  <c r="AD39" i="1"/>
  <c r="AE39" i="1" s="1"/>
  <c r="AF39" i="1"/>
  <c r="AB681" i="1"/>
  <c r="AC681" i="1" s="1"/>
  <c r="AB377" i="1"/>
  <c r="AC377" i="1" s="1"/>
  <c r="AB8" i="1"/>
  <c r="AC8" i="1" s="1"/>
  <c r="AB592" i="1"/>
  <c r="AC592" i="1" s="1"/>
  <c r="AB1445" i="1"/>
  <c r="AC1445" i="1" s="1"/>
  <c r="AD606" i="1"/>
  <c r="AE606" i="1" s="1"/>
  <c r="AG606" i="1" s="1"/>
  <c r="AF606" i="1"/>
  <c r="AB1650" i="1"/>
  <c r="AC1650" i="1" s="1"/>
  <c r="AB564" i="1"/>
  <c r="AC564" i="1" s="1"/>
  <c r="AB532" i="1"/>
  <c r="AC532" i="1" s="1"/>
  <c r="AB53" i="1"/>
  <c r="AC53" i="1" s="1"/>
  <c r="AB1341" i="1"/>
  <c r="AC1341" i="1" s="1"/>
  <c r="AB29" i="1"/>
  <c r="AC29" i="1" s="1"/>
  <c r="AD670" i="1"/>
  <c r="AE670" i="1" s="1"/>
  <c r="AG670" i="1" s="1"/>
  <c r="AF670" i="1"/>
  <c r="AB174" i="1"/>
  <c r="AC174" i="1" s="1"/>
  <c r="AB211" i="1"/>
  <c r="AC211" i="1" s="1"/>
  <c r="AB1611" i="1"/>
  <c r="AC1611" i="1" s="1"/>
  <c r="AD1206" i="1"/>
  <c r="AF1206" i="1"/>
  <c r="AB1232" i="1"/>
  <c r="AC1232" i="1" s="1"/>
  <c r="AB1535" i="1"/>
  <c r="AC1535" i="1" s="1"/>
  <c r="AB1022" i="1"/>
  <c r="AC1022" i="1" s="1"/>
  <c r="AB753" i="1"/>
  <c r="AC753" i="1" s="1"/>
  <c r="AB1321" i="1"/>
  <c r="AC1321" i="1" s="1"/>
  <c r="AD878" i="1"/>
  <c r="AF878" i="1"/>
  <c r="AB1606" i="1"/>
  <c r="AC1606" i="1" s="1"/>
  <c r="AB846" i="1"/>
  <c r="AC846" i="1" s="1"/>
  <c r="AB1235" i="1"/>
  <c r="AC1235" i="1" s="1"/>
  <c r="AB658" i="1"/>
  <c r="AC658" i="1" s="1"/>
  <c r="AB1617" i="1"/>
  <c r="AC1617" i="1" s="1"/>
  <c r="AD1115" i="1"/>
  <c r="AF1115" i="1"/>
  <c r="AB692" i="1"/>
  <c r="AC692" i="1" s="1"/>
  <c r="AD271" i="1"/>
  <c r="AE271" i="1" s="1"/>
  <c r="AG271" i="1" s="1"/>
  <c r="AF271" i="1"/>
  <c r="AB1591" i="1"/>
  <c r="AC1591" i="1" s="1"/>
  <c r="AD439" i="1"/>
  <c r="AE439" i="1" s="1"/>
  <c r="AG439" i="1" s="1"/>
  <c r="AF439" i="1"/>
  <c r="AB1373" i="1"/>
  <c r="AC1373" i="1" s="1"/>
  <c r="AB1312" i="1"/>
  <c r="AC1312" i="1" s="1"/>
  <c r="AB748" i="1"/>
  <c r="AC748" i="1" s="1"/>
  <c r="AB849" i="1"/>
  <c r="AC849" i="1" s="1"/>
  <c r="AB509" i="1"/>
  <c r="AC509" i="1" s="1"/>
  <c r="AD863" i="1"/>
  <c r="AF863" i="1"/>
  <c r="AB1502" i="1"/>
  <c r="AC1502" i="1" s="1"/>
  <c r="AB1296" i="1"/>
  <c r="AC1296" i="1" s="1"/>
  <c r="AB1763" i="1"/>
  <c r="AC1763" i="1" s="1"/>
  <c r="AB547" i="1"/>
  <c r="AC547" i="1" s="1"/>
  <c r="AB702" i="1"/>
  <c r="AC702" i="1" s="1"/>
  <c r="AB830" i="1"/>
  <c r="AC830" i="1" s="1"/>
  <c r="AF708" i="1"/>
  <c r="AD708" i="1"/>
  <c r="AB966" i="1"/>
  <c r="AC966" i="1" s="1"/>
  <c r="AB1481" i="1"/>
  <c r="AC1481" i="1" s="1"/>
  <c r="AB1673" i="1"/>
  <c r="AC1673" i="1" s="1"/>
  <c r="AB1584" i="1"/>
  <c r="AC1584" i="1" s="1"/>
  <c r="AD230" i="1"/>
  <c r="AE230" i="1" s="1"/>
  <c r="AG230" i="1" s="1"/>
  <c r="AF230" i="1"/>
  <c r="AB1678" i="1"/>
  <c r="AC1678" i="1" s="1"/>
  <c r="AD710" i="1"/>
  <c r="AF710" i="1"/>
  <c r="AB1641" i="1"/>
  <c r="AC1641" i="1" s="1"/>
  <c r="AB778" i="1"/>
  <c r="AC778" i="1" s="1"/>
  <c r="AB1252" i="1"/>
  <c r="AC1252" i="1" s="1"/>
  <c r="AD141" i="1"/>
  <c r="AE141" i="1" s="1"/>
  <c r="AG141" i="1" s="1"/>
  <c r="AF141" i="1"/>
  <c r="AD761" i="1"/>
  <c r="AF761" i="1"/>
  <c r="AD273" i="1"/>
  <c r="AE273" i="1" s="1"/>
  <c r="AG273" i="1" s="1"/>
  <c r="AF273" i="1"/>
  <c r="AB1405" i="1"/>
  <c r="AC1405" i="1" s="1"/>
  <c r="AB1577" i="1"/>
  <c r="AC1577" i="1" s="1"/>
  <c r="AD1421" i="1"/>
  <c r="AF1421" i="1"/>
  <c r="AB607" i="1"/>
  <c r="AC607" i="1" s="1"/>
  <c r="AD458" i="1"/>
  <c r="AE458" i="1" s="1"/>
  <c r="AG458" i="1" s="1"/>
  <c r="AF458" i="1"/>
  <c r="AB165" i="1"/>
  <c r="AC165" i="1" s="1"/>
  <c r="AB1251" i="1"/>
  <c r="AC1251" i="1" s="1"/>
  <c r="AB1715" i="1"/>
  <c r="AC1715" i="1" s="1"/>
  <c r="AB1303" i="1"/>
  <c r="AC1303" i="1" s="1"/>
  <c r="AD526" i="1"/>
  <c r="AE526" i="1" s="1"/>
  <c r="AG526" i="1" s="1"/>
  <c r="AF526" i="1"/>
  <c r="AB1244" i="1"/>
  <c r="AC1244" i="1" s="1"/>
  <c r="AB1752" i="1"/>
  <c r="AC1752" i="1" s="1"/>
  <c r="AD636" i="1"/>
  <c r="AE636" i="1" s="1"/>
  <c r="AG636" i="1" s="1"/>
  <c r="AF636" i="1"/>
  <c r="AB733" i="1"/>
  <c r="AC733" i="1" s="1"/>
  <c r="AB1510" i="1"/>
  <c r="AC1510" i="1" s="1"/>
  <c r="AB1732" i="1"/>
  <c r="AC1732" i="1" s="1"/>
  <c r="AB992" i="1"/>
  <c r="AC992" i="1" s="1"/>
  <c r="AB1554" i="1"/>
  <c r="AC1554" i="1" s="1"/>
  <c r="AD362" i="1"/>
  <c r="AE362" i="1" s="1"/>
  <c r="AG362" i="1" s="1"/>
  <c r="AF362" i="1"/>
  <c r="AB1515" i="1"/>
  <c r="AC1515" i="1" s="1"/>
  <c r="AB1253" i="1"/>
  <c r="AC1253" i="1" s="1"/>
  <c r="AB22" i="1"/>
  <c r="AC22" i="1" s="1"/>
  <c r="AD857" i="1"/>
  <c r="AF857" i="1"/>
  <c r="AD343" i="1"/>
  <c r="AE343" i="1" s="1"/>
  <c r="AG343" i="1" s="1"/>
  <c r="AF343" i="1"/>
  <c r="AE1743" i="1"/>
  <c r="AG1743" i="1" s="1"/>
  <c r="AB386" i="1"/>
  <c r="AC386" i="1" s="1"/>
  <c r="AD386" i="1" s="1"/>
  <c r="AE386" i="1" s="1"/>
  <c r="AG386" i="1" s="1"/>
  <c r="AB1316" i="1"/>
  <c r="AC1316" i="1" s="1"/>
  <c r="AB1725" i="1"/>
  <c r="AC1725" i="1" s="1"/>
  <c r="AD503" i="1"/>
  <c r="AE503" i="1" s="1"/>
  <c r="AG503" i="1" s="1"/>
  <c r="AF503" i="1"/>
  <c r="AB1683" i="1"/>
  <c r="AC1683" i="1" s="1"/>
  <c r="AB128" i="1"/>
  <c r="AC128" i="1" s="1"/>
  <c r="AB1050" i="1"/>
  <c r="AC1050" i="1" s="1"/>
  <c r="AB1411" i="1"/>
  <c r="AC1411" i="1" s="1"/>
  <c r="AB105" i="1"/>
  <c r="AC105" i="1" s="1"/>
  <c r="AD990" i="1"/>
  <c r="AF990" i="1"/>
  <c r="AB327" i="1"/>
  <c r="AC327" i="1" s="1"/>
  <c r="AB42" i="1"/>
  <c r="AC42" i="1" s="1"/>
  <c r="AB1102" i="1"/>
  <c r="AC1102" i="1" s="1"/>
  <c r="AB1127" i="1"/>
  <c r="AC1127" i="1" s="1"/>
  <c r="AD158" i="1"/>
  <c r="AE158" i="1" s="1"/>
  <c r="AG158" i="1" s="1"/>
  <c r="AF158" i="1"/>
  <c r="AB1621" i="1"/>
  <c r="AC1621" i="1" s="1"/>
  <c r="AD1760" i="1"/>
  <c r="AE1760" i="1" s="1"/>
  <c r="AG1760" i="1" s="1"/>
  <c r="AF1760" i="1"/>
  <c r="AB581" i="1"/>
  <c r="AC581" i="1" s="1"/>
  <c r="AB1525" i="1"/>
  <c r="AC1525" i="1" s="1"/>
  <c r="AB1201" i="1"/>
  <c r="AC1201" i="1" s="1"/>
  <c r="AB544" i="1"/>
  <c r="AC544" i="1" s="1"/>
  <c r="AD1608" i="1"/>
  <c r="AE1608" i="1" s="1"/>
  <c r="AG1608" i="1" s="1"/>
  <c r="AF1608" i="1"/>
  <c r="AD648" i="1"/>
  <c r="AE648" i="1" s="1"/>
  <c r="AG648" i="1" s="1"/>
  <c r="AF648" i="1"/>
  <c r="AD180" i="1"/>
  <c r="AE180" i="1" s="1"/>
  <c r="AG180" i="1" s="1"/>
  <c r="AF180" i="1"/>
  <c r="AD1058" i="1"/>
  <c r="AF1058" i="1"/>
  <c r="AD960" i="1"/>
  <c r="AF960" i="1"/>
  <c r="AB1767" i="1"/>
  <c r="AC1767" i="1" s="1"/>
  <c r="AB426" i="1"/>
  <c r="AC426" i="1" s="1"/>
  <c r="AB1487" i="1"/>
  <c r="AC1487" i="1" s="1"/>
  <c r="AB1679" i="1"/>
  <c r="AC1679" i="1" s="1"/>
  <c r="AD1154" i="1"/>
  <c r="AF1154" i="1"/>
  <c r="AB341" i="1"/>
  <c r="AC341" i="1" s="1"/>
  <c r="AD1342" i="1"/>
  <c r="AF1342" i="1"/>
  <c r="AB31" i="1"/>
  <c r="AC31" i="1" s="1"/>
  <c r="AF935" i="1"/>
  <c r="AD935" i="1"/>
  <c r="AB1625" i="1"/>
  <c r="AC1625" i="1" s="1"/>
  <c r="AD210" i="1"/>
  <c r="AE210" i="1" s="1"/>
  <c r="AG210" i="1" s="1"/>
  <c r="AF210" i="1"/>
  <c r="AB133" i="1"/>
  <c r="AC133" i="1" s="1"/>
  <c r="AD699" i="1"/>
  <c r="AE699" i="1" s="1"/>
  <c r="AG699" i="1" s="1"/>
  <c r="AF699" i="1"/>
  <c r="AB107" i="1"/>
  <c r="AC107" i="1" s="1"/>
  <c r="AB1377" i="1"/>
  <c r="AC1377" i="1" s="1"/>
  <c r="AB548" i="1"/>
  <c r="AC548" i="1" s="1"/>
  <c r="AD879" i="1"/>
  <c r="AF879" i="1"/>
  <c r="AB1442" i="1"/>
  <c r="AC1442" i="1" s="1"/>
  <c r="AB562" i="1"/>
  <c r="AC562" i="1" s="1"/>
  <c r="AB1105" i="1"/>
  <c r="AC1105" i="1" s="1"/>
  <c r="AB251" i="1"/>
  <c r="AC251" i="1" s="1"/>
  <c r="AB1263" i="1"/>
  <c r="AC1263" i="1" s="1"/>
  <c r="AB1261" i="1"/>
  <c r="AC1261" i="1" s="1"/>
  <c r="AD166" i="1"/>
  <c r="AE166" i="1" s="1"/>
  <c r="AG166" i="1" s="1"/>
  <c r="AF166" i="1"/>
  <c r="AB1216" i="1"/>
  <c r="AC1216" i="1" s="1"/>
  <c r="AD164" i="1"/>
  <c r="AE164" i="1" s="1"/>
  <c r="AG164" i="1" s="1"/>
  <c r="AF164" i="1"/>
  <c r="AB67" i="1"/>
  <c r="AC67" i="1" s="1"/>
  <c r="AD1081" i="1"/>
  <c r="AF1081" i="1"/>
  <c r="AD219" i="1"/>
  <c r="AE219" i="1" s="1"/>
  <c r="AG219" i="1" s="1"/>
  <c r="AF219" i="1"/>
  <c r="AB1710" i="1"/>
  <c r="AC1710" i="1" s="1"/>
  <c r="AB1333" i="1"/>
  <c r="AC1333" i="1" s="1"/>
  <c r="AD850" i="1"/>
  <c r="AF850" i="1"/>
  <c r="AB1706" i="1"/>
  <c r="AC1706" i="1" s="1"/>
  <c r="AD775" i="1"/>
  <c r="AF775" i="1"/>
  <c r="AD554" i="1"/>
  <c r="AE554" i="1" s="1"/>
  <c r="AG554" i="1" s="1"/>
  <c r="AF554" i="1"/>
  <c r="AF1546" i="1"/>
  <c r="AD1546" i="1"/>
  <c r="AE1546" i="1" s="1"/>
  <c r="AG1546" i="1" s="1"/>
  <c r="AB1549" i="1"/>
  <c r="AC1549" i="1" s="1"/>
  <c r="AF1294" i="1"/>
  <c r="AD1294" i="1"/>
  <c r="AB1594" i="1"/>
  <c r="AC1594" i="1" s="1"/>
  <c r="AB772" i="1"/>
  <c r="AC772" i="1" s="1"/>
  <c r="AB572" i="1"/>
  <c r="AC572" i="1" s="1"/>
  <c r="AB895" i="1"/>
  <c r="AC895" i="1" s="1"/>
  <c r="AB1652" i="1"/>
  <c r="AC1652" i="1" s="1"/>
  <c r="AB445" i="1"/>
  <c r="AC445" i="1" s="1"/>
  <c r="AB1324" i="1"/>
  <c r="AC1324" i="1" s="1"/>
  <c r="AB1532" i="1"/>
  <c r="AC1532" i="1" s="1"/>
  <c r="AB732" i="1"/>
  <c r="AC732" i="1" s="1"/>
  <c r="AB419" i="1"/>
  <c r="AC419" i="1" s="1"/>
  <c r="AB498" i="1"/>
  <c r="AC498" i="1" s="1"/>
  <c r="AD819" i="1"/>
  <c r="AF819" i="1"/>
  <c r="AF901" i="1"/>
  <c r="AD901" i="1"/>
  <c r="AB470" i="1"/>
  <c r="AC470" i="1" s="1"/>
  <c r="AB284" i="1"/>
  <c r="AC284" i="1" s="1"/>
  <c r="AB244" i="1"/>
  <c r="AC244" i="1" s="1"/>
  <c r="AB229" i="1"/>
  <c r="AC229" i="1" s="1"/>
  <c r="AB523" i="1"/>
  <c r="AC523" i="1" s="1"/>
  <c r="AD1452" i="1"/>
  <c r="AF1452" i="1"/>
  <c r="AB1447" i="1"/>
  <c r="AC1447" i="1" s="1"/>
  <c r="AD1465" i="1"/>
  <c r="AE1465" i="1" s="1"/>
  <c r="AG1465" i="1" s="1"/>
  <c r="AF1465" i="1"/>
  <c r="AB848" i="1"/>
  <c r="AC848" i="1" s="1"/>
  <c r="AD735" i="1"/>
  <c r="AF735" i="1"/>
  <c r="AD460" i="1"/>
  <c r="AE460" i="1" s="1"/>
  <c r="AG460" i="1" s="1"/>
  <c r="AF460" i="1"/>
  <c r="AB134" i="1"/>
  <c r="AC134" i="1" s="1"/>
  <c r="AD957" i="1"/>
  <c r="AF957" i="1"/>
  <c r="AB689" i="1"/>
  <c r="AC689" i="1" s="1"/>
  <c r="AD998" i="1"/>
  <c r="AF998" i="1"/>
  <c r="AF560" i="1"/>
  <c r="AD560" i="1"/>
  <c r="AE560" i="1" s="1"/>
  <c r="AG560" i="1" s="1"/>
  <c r="AB1202" i="1"/>
  <c r="AC1202" i="1" s="1"/>
  <c r="AD673" i="1"/>
  <c r="AE673" i="1" s="1"/>
  <c r="AG673" i="1" s="1"/>
  <c r="AF673" i="1"/>
  <c r="AB291" i="1"/>
  <c r="AC291" i="1" s="1"/>
  <c r="AB940" i="1"/>
  <c r="AC940" i="1" s="1"/>
  <c r="AB931" i="1"/>
  <c r="AC931" i="1" s="1"/>
  <c r="AF1348" i="1"/>
  <c r="AD1348" i="1"/>
  <c r="AB1195" i="1"/>
  <c r="AC1195" i="1" s="1"/>
  <c r="AB561" i="1"/>
  <c r="AC561" i="1" s="1"/>
  <c r="AD1004" i="1"/>
  <c r="AF1004" i="1"/>
  <c r="AF1400" i="1"/>
  <c r="AD1400" i="1"/>
  <c r="AD1169" i="1"/>
  <c r="AF1169" i="1"/>
  <c r="AD930" i="1"/>
  <c r="AF930" i="1"/>
  <c r="AD1368" i="1"/>
  <c r="AF1368" i="1"/>
  <c r="AB1648" i="1"/>
  <c r="AC1648" i="1" s="1"/>
  <c r="AB540" i="1"/>
  <c r="AC540" i="1" s="1"/>
  <c r="AB1489" i="1"/>
  <c r="AC1489" i="1" s="1"/>
  <c r="AB1123" i="1"/>
  <c r="AC1123" i="1" s="1"/>
  <c r="AF1646" i="1"/>
  <c r="AD1646" i="1"/>
  <c r="AE1646" i="1" s="1"/>
  <c r="AG1646" i="1" s="1"/>
  <c r="AB1640" i="1"/>
  <c r="AC1640" i="1" s="1"/>
  <c r="AB1318" i="1"/>
  <c r="AC1318" i="1" s="1"/>
  <c r="AD944" i="1"/>
  <c r="AF944" i="1"/>
  <c r="AD183" i="1"/>
  <c r="AE183" i="1" s="1"/>
  <c r="AG183" i="1" s="1"/>
  <c r="AF183" i="1"/>
  <c r="AD119" i="1"/>
  <c r="AE119" i="1" s="1"/>
  <c r="AF119" i="1"/>
  <c r="AB1011" i="1"/>
  <c r="AC1011" i="1" s="1"/>
  <c r="AB124" i="1"/>
  <c r="AC124" i="1" s="1"/>
  <c r="AB1267" i="1"/>
  <c r="AC1267" i="1" s="1"/>
  <c r="AD1084" i="1"/>
  <c r="AF1084" i="1"/>
  <c r="AD877" i="1"/>
  <c r="AF877" i="1"/>
  <c r="AD261" i="1"/>
  <c r="AE261" i="1" s="1"/>
  <c r="AG261" i="1" s="1"/>
  <c r="AF261" i="1"/>
  <c r="AB880" i="1"/>
  <c r="AC880" i="1" s="1"/>
  <c r="AB669" i="1"/>
  <c r="AC669" i="1" s="1"/>
  <c r="AB1134" i="1"/>
  <c r="AC1134" i="1" s="1"/>
  <c r="AB1499" i="1"/>
  <c r="AC1499" i="1" s="1"/>
  <c r="AB1044" i="1"/>
  <c r="AC1044" i="1" s="1"/>
  <c r="AE403" i="1"/>
  <c r="AG403" i="1" s="1"/>
  <c r="AD88" i="1"/>
  <c r="AE88" i="1" s="1"/>
  <c r="AF88" i="1"/>
  <c r="AB1597" i="1"/>
  <c r="AC1597" i="1" s="1"/>
  <c r="AB354" i="1"/>
  <c r="AC354" i="1" s="1"/>
  <c r="AB838" i="1"/>
  <c r="AC838" i="1" s="1"/>
  <c r="AB1642" i="1"/>
  <c r="AC1642" i="1" s="1"/>
  <c r="AB237" i="1"/>
  <c r="AC237" i="1" s="1"/>
  <c r="AB1707" i="1"/>
  <c r="AC1707" i="1" s="1"/>
  <c r="AB1661" i="1"/>
  <c r="AC1661" i="1" s="1"/>
  <c r="AB520" i="1"/>
  <c r="AC520" i="1" s="1"/>
  <c r="AB1279" i="1"/>
  <c r="AC1279" i="1" s="1"/>
  <c r="AD505" i="1"/>
  <c r="AE505" i="1" s="1"/>
  <c r="AG505" i="1" s="1"/>
  <c r="AF505" i="1"/>
  <c r="AB1657" i="1"/>
  <c r="AC1657" i="1" s="1"/>
  <c r="AB1490" i="1"/>
  <c r="AC1490" i="1" s="1"/>
  <c r="AD1480" i="1"/>
  <c r="AF1480" i="1"/>
  <c r="AB528" i="1"/>
  <c r="AC528" i="1" s="1"/>
  <c r="AB600" i="1"/>
  <c r="AC600" i="1" s="1"/>
  <c r="AB1033" i="1"/>
  <c r="AC1033" i="1" s="1"/>
  <c r="AB788" i="1"/>
  <c r="AC788" i="1" s="1"/>
  <c r="AB810" i="1"/>
  <c r="AC810" i="1" s="1"/>
  <c r="AD1478" i="1"/>
  <c r="AF1478" i="1"/>
  <c r="AB1149" i="1"/>
  <c r="AC1149" i="1" s="1"/>
  <c r="AB1145" i="1"/>
  <c r="AC1145" i="1" s="1"/>
  <c r="AD1175" i="1"/>
  <c r="AF1175" i="1"/>
  <c r="AB1219" i="1"/>
  <c r="AC1219" i="1" s="1"/>
  <c r="AB220" i="1"/>
  <c r="AC220" i="1" s="1"/>
  <c r="AB667" i="1"/>
  <c r="AC667" i="1" s="1"/>
  <c r="AB49" i="1"/>
  <c r="AC49" i="1" s="1"/>
  <c r="AB887" i="1"/>
  <c r="AC887" i="1" s="1"/>
  <c r="AB197" i="1"/>
  <c r="AC197" i="1" s="1"/>
  <c r="AB1450" i="1"/>
  <c r="AC1450" i="1" s="1"/>
  <c r="AB1285" i="1"/>
  <c r="AC1285" i="1" s="1"/>
  <c r="AB227" i="1"/>
  <c r="AC227" i="1" s="1"/>
  <c r="AB242" i="1"/>
  <c r="AC242" i="1" s="1"/>
  <c r="AB1228" i="1"/>
  <c r="AC1228" i="1" s="1"/>
  <c r="AB963" i="1"/>
  <c r="AC963" i="1" s="1"/>
  <c r="AB1619" i="1"/>
  <c r="AC1619" i="1" s="1"/>
  <c r="AB1522" i="1"/>
  <c r="AC1522" i="1" s="1"/>
  <c r="AD213" i="1"/>
  <c r="AE213" i="1" s="1"/>
  <c r="AG213" i="1" s="1"/>
  <c r="AF213" i="1"/>
  <c r="AB259" i="1"/>
  <c r="AC259" i="1" s="1"/>
  <c r="AB856" i="1"/>
  <c r="AC856" i="1" s="1"/>
  <c r="AB807" i="1"/>
  <c r="AC807" i="1" s="1"/>
  <c r="AB489" i="1"/>
  <c r="AC489" i="1" s="1"/>
  <c r="AF769" i="1"/>
  <c r="AD769" i="1"/>
  <c r="AD1146" i="1"/>
  <c r="AF1146" i="1"/>
  <c r="AB1740" i="1"/>
  <c r="AC1740" i="1" s="1"/>
  <c r="AB1297" i="1"/>
  <c r="AC1297" i="1" s="1"/>
  <c r="AD597" i="1"/>
  <c r="AE597" i="1" s="1"/>
  <c r="AF597" i="1"/>
  <c r="AD938" i="1"/>
  <c r="AF938" i="1"/>
  <c r="AF1057" i="1"/>
  <c r="AD1057" i="1"/>
  <c r="AD782" i="1"/>
  <c r="AF782" i="1"/>
  <c r="AF1346" i="1"/>
  <c r="AD1346" i="1"/>
  <c r="AB1045" i="1"/>
  <c r="AC1045" i="1" s="1"/>
  <c r="AD1721" i="1"/>
  <c r="AE1721" i="1" s="1"/>
  <c r="AG1721" i="1" s="1"/>
  <c r="AF1721" i="1"/>
  <c r="AD1015" i="1"/>
  <c r="AF1015" i="1"/>
  <c r="AB684" i="1"/>
  <c r="AC684" i="1" s="1"/>
  <c r="AB25" i="1"/>
  <c r="AC25" i="1" s="1"/>
  <c r="AB1305" i="1"/>
  <c r="AC1305" i="1" s="1"/>
  <c r="AF563" i="1"/>
  <c r="AD563" i="1"/>
  <c r="AE563" i="1" s="1"/>
  <c r="AG563" i="1" s="1"/>
  <c r="AB1278" i="1"/>
  <c r="AC1278" i="1" s="1"/>
  <c r="AB571" i="1"/>
  <c r="AC571" i="1" s="1"/>
  <c r="AF780" i="1"/>
  <c r="AD780" i="1"/>
  <c r="AB1557" i="1"/>
  <c r="AC1557" i="1" s="1"/>
  <c r="AD83" i="1"/>
  <c r="AE83" i="1" s="1"/>
  <c r="AF83" i="1"/>
  <c r="AB1431" i="1"/>
  <c r="AC1431" i="1" s="1"/>
  <c r="AD620" i="1"/>
  <c r="AE620" i="1" s="1"/>
  <c r="AG620" i="1" s="1"/>
  <c r="AF620" i="1"/>
  <c r="AB1664" i="1"/>
  <c r="AC1664" i="1" s="1"/>
  <c r="AD622" i="1"/>
  <c r="AE622" i="1" s="1"/>
  <c r="AG622" i="1" s="1"/>
  <c r="AF622" i="1"/>
  <c r="AD1416" i="1"/>
  <c r="AE1416" i="1" s="1"/>
  <c r="AF1416" i="1"/>
  <c r="AB252" i="1"/>
  <c r="AC252" i="1" s="1"/>
  <c r="AB605" i="1"/>
  <c r="AC605" i="1" s="1"/>
  <c r="AB169" i="1"/>
  <c r="AC169" i="1" s="1"/>
  <c r="AB1386" i="1"/>
  <c r="AC1386" i="1" s="1"/>
  <c r="AF765" i="1"/>
  <c r="AD765" i="1"/>
  <c r="AD1234" i="1"/>
  <c r="AF1234" i="1"/>
  <c r="AB986" i="1"/>
  <c r="AC986" i="1" s="1"/>
  <c r="AB1174" i="1"/>
  <c r="AC1174" i="1" s="1"/>
  <c r="AD425" i="1"/>
  <c r="AE425" i="1" s="1"/>
  <c r="AG425" i="1" s="1"/>
  <c r="AF425" i="1"/>
  <c r="AD89" i="1"/>
  <c r="AE89" i="1" s="1"/>
  <c r="AG89" i="1" s="1"/>
  <c r="AF89" i="1"/>
  <c r="AF649" i="1"/>
  <c r="AD649" i="1"/>
  <c r="AE649" i="1" s="1"/>
  <c r="AG649" i="1" s="1"/>
  <c r="AB616" i="1"/>
  <c r="AC616" i="1" s="1"/>
  <c r="AB521" i="1"/>
  <c r="AC521" i="1" s="1"/>
  <c r="AB1627" i="1"/>
  <c r="AC1627" i="1" s="1"/>
  <c r="AF826" i="1"/>
  <c r="AD826" i="1"/>
  <c r="AD731" i="1"/>
  <c r="AF731" i="1"/>
  <c r="AD1691" i="1"/>
  <c r="AE1691" i="1" s="1"/>
  <c r="AG1691" i="1" s="1"/>
  <c r="AF1691" i="1"/>
  <c r="AD1161" i="1"/>
  <c r="AF1161" i="1"/>
  <c r="AD1060" i="1"/>
  <c r="AF1060" i="1"/>
  <c r="AB1509" i="1"/>
  <c r="AC1509" i="1" s="1"/>
  <c r="AB1570" i="1"/>
  <c r="AC1570" i="1" s="1"/>
  <c r="AB982" i="1"/>
  <c r="AC982" i="1" s="1"/>
  <c r="AB1638" i="1"/>
  <c r="AC1638" i="1" s="1"/>
  <c r="AF1703" i="1"/>
  <c r="AD1703" i="1"/>
  <c r="AE1703" i="1" s="1"/>
  <c r="AG1703" i="1" s="1"/>
  <c r="AB1601" i="1"/>
  <c r="AC1601" i="1" s="1"/>
  <c r="AB381" i="1"/>
  <c r="AC381" i="1" s="1"/>
  <c r="AF452" i="1"/>
  <c r="AD452" i="1"/>
  <c r="AE452" i="1" s="1"/>
  <c r="AG452" i="1" s="1"/>
  <c r="AB738" i="1"/>
  <c r="AC738" i="1" s="1"/>
  <c r="AB1440" i="1"/>
  <c r="AC1440" i="1" s="1"/>
  <c r="AB1391" i="1"/>
  <c r="AC1391" i="1" s="1"/>
  <c r="AD942" i="1"/>
  <c r="AF942" i="1"/>
  <c r="AB1002" i="1"/>
  <c r="AC1002" i="1" s="1"/>
  <c r="AB1221" i="1"/>
  <c r="AC1221" i="1" s="1"/>
  <c r="AD896" i="1"/>
  <c r="AF896" i="1"/>
  <c r="AD406" i="1"/>
  <c r="AE406" i="1" s="1"/>
  <c r="AG406" i="1" s="1"/>
  <c r="AF406" i="1"/>
  <c r="AB1343" i="1"/>
  <c r="AC1343" i="1" s="1"/>
  <c r="AB967" i="1"/>
  <c r="AC967" i="1" s="1"/>
  <c r="AB1272" i="1"/>
  <c r="AC1272" i="1" s="1"/>
  <c r="AB1592" i="1"/>
  <c r="AC1592" i="1" s="1"/>
  <c r="AD1074" i="1"/>
  <c r="AF1074" i="1"/>
  <c r="AB759" i="1"/>
  <c r="AC759" i="1" s="1"/>
  <c r="AB1586" i="1"/>
  <c r="AC1586" i="1" s="1"/>
  <c r="AB1317" i="1"/>
  <c r="AC1317" i="1" s="1"/>
  <c r="AD28" i="1"/>
  <c r="AE28" i="1" s="1"/>
  <c r="AG28" i="1" s="1"/>
  <c r="AF28" i="1"/>
  <c r="AD1189" i="1"/>
  <c r="AF1189" i="1"/>
  <c r="AF1293" i="1"/>
  <c r="AD1293" i="1"/>
  <c r="AB101" i="1"/>
  <c r="AC101" i="1" s="1"/>
  <c r="AD223" i="1"/>
  <c r="AE223" i="1" s="1"/>
  <c r="AG223" i="1" s="1"/>
  <c r="AF223" i="1"/>
  <c r="AB1492" i="1"/>
  <c r="AC1492" i="1" s="1"/>
  <c r="AB531" i="1"/>
  <c r="AC531" i="1" s="1"/>
  <c r="AB522" i="1"/>
  <c r="AC522" i="1" s="1"/>
  <c r="AF522" i="1" s="1"/>
  <c r="AB1719" i="1"/>
  <c r="AC1719" i="1" s="1"/>
  <c r="AB64" i="1"/>
  <c r="AC64" i="1" s="1"/>
  <c r="AB9" i="1"/>
  <c r="AC9" i="1" s="1"/>
  <c r="AB405" i="1"/>
  <c r="AC405" i="1" s="1"/>
  <c r="AB1493" i="1"/>
  <c r="AC1493" i="1" s="1"/>
  <c r="AB1286" i="1"/>
  <c r="AC1286" i="1" s="1"/>
  <c r="AB1325" i="1"/>
  <c r="AC1325" i="1" s="1"/>
  <c r="AB815" i="1"/>
  <c r="AC815" i="1" s="1"/>
  <c r="AB1676" i="1"/>
  <c r="AC1676" i="1" s="1"/>
  <c r="AB266" i="1"/>
  <c r="AC266" i="1" s="1"/>
  <c r="AB1616" i="1"/>
  <c r="AC1616" i="1" s="1"/>
  <c r="AB861" i="1"/>
  <c r="AC861" i="1" s="1"/>
  <c r="AD952" i="1"/>
  <c r="AF952" i="1"/>
  <c r="AD1250" i="1"/>
  <c r="AF1250" i="1"/>
  <c r="AF97" i="1"/>
  <c r="AD97" i="1"/>
  <c r="AE97" i="1" s="1"/>
  <c r="AG97" i="1" s="1"/>
  <c r="AB1709" i="1"/>
  <c r="AC1709" i="1" s="1"/>
  <c r="AB1436" i="1"/>
  <c r="AC1436" i="1" s="1"/>
  <c r="AB633" i="1"/>
  <c r="AC633" i="1" s="1"/>
  <c r="AB402" i="1"/>
  <c r="AC402" i="1" s="1"/>
  <c r="AB1555" i="1"/>
  <c r="AC1555" i="1" s="1"/>
  <c r="AB781" i="1"/>
  <c r="AC781" i="1" s="1"/>
  <c r="AB144" i="1"/>
  <c r="AC144" i="1" s="1"/>
  <c r="AB1637" i="1"/>
  <c r="AC1637" i="1" s="1"/>
  <c r="AB779" i="1"/>
  <c r="AC779" i="1" s="1"/>
  <c r="AD1634" i="1"/>
  <c r="AE1634" i="1" s="1"/>
  <c r="AG1634" i="1" s="1"/>
  <c r="AF1634" i="1"/>
  <c r="AB665" i="1"/>
  <c r="AC665" i="1" s="1"/>
  <c r="AB1464" i="1"/>
  <c r="AC1464" i="1" s="1"/>
  <c r="AF155" i="1"/>
  <c r="AD155" i="1"/>
  <c r="AE155" i="1" s="1"/>
  <c r="AG155" i="1" s="1"/>
  <c r="AD1383" i="1"/>
  <c r="AF1383" i="1"/>
  <c r="AD1238" i="1"/>
  <c r="AF1238" i="1"/>
  <c r="AD58" i="1"/>
  <c r="AE58" i="1" s="1"/>
  <c r="AF58" i="1"/>
  <c r="AD1028" i="1"/>
  <c r="AF1028" i="1"/>
  <c r="AD1230" i="1"/>
  <c r="AF1230" i="1"/>
  <c r="AB1682" i="1"/>
  <c r="AC1682" i="1" s="1"/>
  <c r="AB802" i="1"/>
  <c r="AC802" i="1" s="1"/>
  <c r="AB407" i="1"/>
  <c r="AC407" i="1" s="1"/>
  <c r="AD637" i="1"/>
  <c r="AE637" i="1" s="1"/>
  <c r="AG637" i="1" s="1"/>
  <c r="AF637" i="1"/>
  <c r="AB137" i="1"/>
  <c r="AC137" i="1" s="1"/>
  <c r="AD1556" i="1"/>
  <c r="AE1556" i="1" s="1"/>
  <c r="AG1556" i="1" s="1"/>
  <c r="AF1556" i="1"/>
  <c r="AD378" i="1"/>
  <c r="AE378" i="1" s="1"/>
  <c r="AG378" i="1" s="1"/>
  <c r="AF378" i="1"/>
  <c r="AD1144" i="1"/>
  <c r="AF1144" i="1"/>
  <c r="AD939" i="1"/>
  <c r="AF939" i="1"/>
  <c r="AD614" i="1"/>
  <c r="AE614" i="1" s="1"/>
  <c r="AG614" i="1" s="1"/>
  <c r="AF614" i="1"/>
  <c r="AB1643" i="1"/>
  <c r="AC1643" i="1" s="1"/>
  <c r="AD444" i="1"/>
  <c r="AE444" i="1" s="1"/>
  <c r="AG444" i="1" s="1"/>
  <c r="AF444" i="1"/>
  <c r="AD1168" i="1"/>
  <c r="AF1168" i="1"/>
  <c r="AF721" i="1"/>
  <c r="AD721" i="1"/>
  <c r="AE721" i="1" s="1"/>
  <c r="AG721" i="1" s="1"/>
  <c r="AB1514" i="1"/>
  <c r="AC1514" i="1" s="1"/>
  <c r="AB1309" i="1"/>
  <c r="AC1309" i="1" s="1"/>
  <c r="AB1433" i="1"/>
  <c r="AC1433" i="1" s="1"/>
  <c r="AB176" i="1"/>
  <c r="AC176" i="1" s="1"/>
  <c r="AB1437" i="1"/>
  <c r="AC1437" i="1" s="1"/>
  <c r="AB659" i="1"/>
  <c r="AC659" i="1" s="1"/>
  <c r="AB232" i="1"/>
  <c r="AC232" i="1" s="1"/>
  <c r="AB1270" i="1"/>
  <c r="AC1270" i="1" s="1"/>
  <c r="AB1224" i="1"/>
  <c r="AC1224" i="1" s="1"/>
  <c r="AB370" i="1"/>
  <c r="AC370" i="1" s="1"/>
  <c r="AD787" i="1"/>
  <c r="AF787" i="1"/>
  <c r="AB734" i="1"/>
  <c r="AC734" i="1" s="1"/>
  <c r="AB1417" i="1"/>
  <c r="AC1417" i="1" s="1"/>
  <c r="AB1759" i="1"/>
  <c r="AC1759" i="1" s="1"/>
  <c r="AD1194" i="1"/>
  <c r="AF1194" i="1"/>
  <c r="AD1164" i="1"/>
  <c r="AF1164" i="1"/>
  <c r="AD36" i="1"/>
  <c r="AE36" i="1" s="1"/>
  <c r="AG36" i="1" s="1"/>
  <c r="AF36" i="1"/>
  <c r="AD1441" i="1"/>
  <c r="AF1441" i="1"/>
  <c r="AB618" i="1"/>
  <c r="AC618" i="1" s="1"/>
  <c r="AD249" i="1"/>
  <c r="AE249" i="1" s="1"/>
  <c r="AG249" i="1" s="1"/>
  <c r="AF249" i="1"/>
  <c r="AD118" i="1"/>
  <c r="AE118" i="1" s="1"/>
  <c r="AG118" i="1" s="1"/>
  <c r="AF118" i="1"/>
  <c r="AD617" i="1"/>
  <c r="AE617" i="1" s="1"/>
  <c r="AG617" i="1" s="1"/>
  <c r="AF617" i="1"/>
  <c r="AB92" i="1"/>
  <c r="AC92" i="1" s="1"/>
  <c r="AD941" i="1"/>
  <c r="AF941" i="1"/>
  <c r="AD711" i="1"/>
  <c r="AF711" i="1"/>
  <c r="AD762" i="1"/>
  <c r="AF762" i="1"/>
  <c r="AF709" i="1"/>
  <c r="AD709" i="1"/>
  <c r="AF1315" i="1"/>
  <c r="AD1315" i="1"/>
  <c r="AB1576" i="1"/>
  <c r="AC1576" i="1" s="1"/>
  <c r="AD623" i="1"/>
  <c r="AE623" i="1" s="1"/>
  <c r="AG623" i="1" s="1"/>
  <c r="AF623" i="1"/>
  <c r="AB1096" i="1"/>
  <c r="AC1096" i="1" s="1"/>
  <c r="AD1424" i="1"/>
  <c r="AF1424" i="1"/>
  <c r="AF685" i="1"/>
  <c r="AD685" i="1"/>
  <c r="AE685" i="1" s="1"/>
  <c r="AG685" i="1" s="1"/>
  <c r="AD976" i="1"/>
  <c r="AF976" i="1"/>
  <c r="AD201" i="1"/>
  <c r="AE201" i="1" s="1"/>
  <c r="AG201" i="1" s="1"/>
  <c r="AF201" i="1"/>
  <c r="AB1196" i="1"/>
  <c r="AC1196" i="1" s="1"/>
  <c r="AB1114" i="1"/>
  <c r="AC1114" i="1" s="1"/>
  <c r="AD1430" i="1"/>
  <c r="AF1430" i="1"/>
  <c r="AD1068" i="1"/>
  <c r="AF1068" i="1"/>
  <c r="AD71" i="1"/>
  <c r="AE71" i="1" s="1"/>
  <c r="AF71" i="1"/>
  <c r="AB1458" i="1"/>
  <c r="AC1458" i="1" s="1"/>
  <c r="AD1121" i="1"/>
  <c r="AF1121" i="1"/>
  <c r="AD122" i="1"/>
  <c r="AE122" i="1" s="1"/>
  <c r="AF122" i="1"/>
  <c r="AB773" i="1"/>
  <c r="AC773" i="1" s="1"/>
  <c r="AB745" i="1"/>
  <c r="AC745" i="1" s="1"/>
  <c r="AB1658" i="1"/>
  <c r="AC1658" i="1" s="1"/>
  <c r="AB1262" i="1"/>
  <c r="AC1262" i="1" s="1"/>
  <c r="AB1139" i="1"/>
  <c r="AC1139" i="1" s="1"/>
  <c r="AB1507" i="1"/>
  <c r="AC1507" i="1" s="1"/>
  <c r="AD1104" i="1"/>
  <c r="AF1104" i="1"/>
  <c r="AB1173" i="1"/>
  <c r="AC1173" i="1" s="1"/>
  <c r="AD410" i="1"/>
  <c r="AE410" i="1" s="1"/>
  <c r="AG410" i="1" s="1"/>
  <c r="AF410" i="1"/>
  <c r="AD626" i="1"/>
  <c r="AE626" i="1" s="1"/>
  <c r="AG626" i="1" s="1"/>
  <c r="AF626" i="1"/>
  <c r="AB274" i="1"/>
  <c r="AC274" i="1" s="1"/>
  <c r="AB543" i="1"/>
  <c r="AC543" i="1" s="1"/>
  <c r="AD1023" i="1"/>
  <c r="AF1023" i="1"/>
  <c r="AB585" i="1"/>
  <c r="AC585" i="1" s="1"/>
  <c r="AD546" i="1"/>
  <c r="AE546" i="1" s="1"/>
  <c r="AG546" i="1" s="1"/>
  <c r="AF546" i="1"/>
  <c r="AB1301" i="1"/>
  <c r="AC1301" i="1" s="1"/>
  <c r="AB1744" i="1"/>
  <c r="AC1744" i="1" s="1"/>
  <c r="AD187" i="1"/>
  <c r="AE187" i="1" s="1"/>
  <c r="AG187" i="1" s="1"/>
  <c r="AF187" i="1"/>
  <c r="AD1218" i="1"/>
  <c r="AF1218" i="1"/>
  <c r="AB1600" i="1"/>
  <c r="AC1600" i="1" s="1"/>
  <c r="AD1172" i="1"/>
  <c r="AF1172" i="1"/>
  <c r="AB1326" i="1"/>
  <c r="AC1326" i="1" s="1"/>
  <c r="AD338" i="1"/>
  <c r="AE338" i="1" s="1"/>
  <c r="AG338" i="1" s="1"/>
  <c r="AF338" i="1"/>
  <c r="AB1498" i="1"/>
  <c r="AC1498" i="1" s="1"/>
  <c r="AB921" i="1"/>
  <c r="AC921" i="1" s="1"/>
  <c r="AB586" i="1"/>
  <c r="AC586" i="1" s="1"/>
  <c r="AB438" i="1"/>
  <c r="AC438" i="1" s="1"/>
  <c r="AD854" i="1"/>
  <c r="AF854" i="1"/>
  <c r="AB647" i="1"/>
  <c r="AC647" i="1" s="1"/>
  <c r="AB161" i="1"/>
  <c r="AC161" i="1" s="1"/>
  <c r="AB1266" i="1"/>
  <c r="AC1266" i="1" s="1"/>
  <c r="AB1766" i="1"/>
  <c r="AC1766" i="1" s="1"/>
  <c r="AB1236" i="1"/>
  <c r="AC1236" i="1" s="1"/>
  <c r="AD1193" i="1"/>
  <c r="AF1193" i="1"/>
  <c r="AB296" i="1"/>
  <c r="AC296" i="1" s="1"/>
  <c r="AF319" i="1"/>
  <c r="AD319" i="1"/>
  <c r="AE319" i="1" s="1"/>
  <c r="AG319" i="1" s="1"/>
  <c r="AB1758" i="1"/>
  <c r="AC1758" i="1" s="1"/>
  <c r="AB542" i="1"/>
  <c r="AC542" i="1" s="1"/>
  <c r="AB914" i="1"/>
  <c r="AC914" i="1" s="1"/>
  <c r="AB1410" i="1"/>
  <c r="AC1410" i="1" s="1"/>
  <c r="AD1420" i="1"/>
  <c r="AF1420" i="1"/>
  <c r="AF1578" i="1"/>
  <c r="AD1578" i="1"/>
  <c r="AE1578" i="1" s="1"/>
  <c r="AG1578" i="1" s="1"/>
  <c r="AB1243" i="1"/>
  <c r="AC1243" i="1" s="1"/>
  <c r="AB19" i="1"/>
  <c r="AC19" i="1" s="1"/>
  <c r="AB1334" i="1"/>
  <c r="AC1334" i="1" s="1"/>
  <c r="AB12" i="1"/>
  <c r="AC12" i="1" s="1"/>
  <c r="AB389" i="1"/>
  <c r="AC389" i="1" s="1"/>
  <c r="AD1079" i="1"/>
  <c r="AF1079" i="1"/>
  <c r="AD1136" i="1"/>
  <c r="AF1136" i="1"/>
  <c r="AB885" i="1"/>
  <c r="AC885" i="1" s="1"/>
  <c r="AB1735" i="1"/>
  <c r="AC1735" i="1" s="1"/>
  <c r="AD355" i="1"/>
  <c r="AE355" i="1" s="1"/>
  <c r="AG355" i="1" s="1"/>
  <c r="AF355" i="1"/>
  <c r="AB749" i="1"/>
  <c r="AC749" i="1" s="1"/>
  <c r="AB182" i="1"/>
  <c r="AC182" i="1" s="1"/>
  <c r="AD1225" i="1"/>
  <c r="AF1225" i="1"/>
  <c r="AB278" i="1"/>
  <c r="AC278" i="1" s="1"/>
  <c r="AB1604" i="1"/>
  <c r="AC1604" i="1" s="1"/>
  <c r="AB754" i="1"/>
  <c r="AC754" i="1" s="1"/>
  <c r="AB793" i="1"/>
  <c r="AC793" i="1" s="1"/>
  <c r="AB809" i="1"/>
  <c r="AC809" i="1" s="1"/>
  <c r="AF1695" i="1"/>
  <c r="AD1695" i="1"/>
  <c r="AE1695" i="1" s="1"/>
  <c r="AG1695" i="1" s="1"/>
  <c r="AB1350" i="1"/>
  <c r="AC1350" i="1" s="1"/>
  <c r="AF1439" i="1"/>
  <c r="AD1439" i="1"/>
  <c r="AB949" i="1"/>
  <c r="AC949" i="1" s="1"/>
  <c r="AD971" i="1"/>
  <c r="AF971" i="1"/>
  <c r="AB916" i="1"/>
  <c r="AC916" i="1" s="1"/>
  <c r="AB747" i="1"/>
  <c r="AC747" i="1" s="1"/>
  <c r="AB1344" i="1"/>
  <c r="AC1344" i="1" s="1"/>
  <c r="AD1159" i="1"/>
  <c r="AF1159" i="1"/>
  <c r="AB1106" i="1"/>
  <c r="AC1106" i="1" s="1"/>
  <c r="AB1362" i="1"/>
  <c r="AC1362" i="1" s="1"/>
  <c r="AB1394" i="1"/>
  <c r="AC1394" i="1" s="1"/>
  <c r="AD726" i="1"/>
  <c r="AF726" i="1"/>
  <c r="AD884" i="1"/>
  <c r="AF884" i="1"/>
  <c r="AD1403" i="1"/>
  <c r="AF1403" i="1"/>
  <c r="AD476" i="1"/>
  <c r="AE476" i="1" s="1"/>
  <c r="AG476" i="1" s="1"/>
  <c r="AF476" i="1"/>
  <c r="AB1340" i="1"/>
  <c r="AC1340" i="1" s="1"/>
  <c r="AD608" i="1"/>
  <c r="AE608" i="1" s="1"/>
  <c r="AG608" i="1" s="1"/>
  <c r="AF608" i="1"/>
  <c r="AB1131" i="1"/>
  <c r="AC1131" i="1" s="1"/>
  <c r="AB1322" i="1"/>
  <c r="AC1322" i="1" s="1"/>
  <c r="AB56" i="1"/>
  <c r="AC56" i="1" s="1"/>
  <c r="AB1304" i="1"/>
  <c r="AC1304" i="1" s="1"/>
  <c r="AD302" i="1"/>
  <c r="AE302" i="1" s="1"/>
  <c r="AG302" i="1" s="1"/>
  <c r="AF302" i="1"/>
  <c r="AD466" i="1"/>
  <c r="AE466" i="1" s="1"/>
  <c r="AG466" i="1" s="1"/>
  <c r="AF466" i="1"/>
  <c r="AD1494" i="1"/>
  <c r="AF1494" i="1"/>
  <c r="AD86" i="1"/>
  <c r="AE86" i="1" s="1"/>
  <c r="AF86" i="1"/>
  <c r="AD52" i="1"/>
  <c r="AE52" i="1" s="1"/>
  <c r="AF52" i="1"/>
  <c r="AD74" i="1"/>
  <c r="AE74" i="1" s="1"/>
  <c r="AF74" i="1"/>
  <c r="AD112" i="1"/>
  <c r="AE112" i="1" s="1"/>
  <c r="AG112" i="1" s="1"/>
  <c r="AF112" i="1"/>
  <c r="AE16" i="1"/>
  <c r="AG16" i="1" s="1"/>
  <c r="AD473" i="1"/>
  <c r="AE473" i="1" s="1"/>
  <c r="AG473" i="1" s="1"/>
  <c r="AF473" i="1"/>
  <c r="AD339" i="1"/>
  <c r="AE339" i="1" s="1"/>
  <c r="AG339" i="1" s="1"/>
  <c r="AF339" i="1"/>
  <c r="AD510" i="1"/>
  <c r="AE510" i="1" s="1"/>
  <c r="AG510" i="1" s="1"/>
  <c r="AF510" i="1"/>
  <c r="AD246" i="1"/>
  <c r="AE246" i="1" s="1"/>
  <c r="AG246" i="1" s="1"/>
  <c r="AF246" i="1"/>
  <c r="AD15" i="1"/>
  <c r="AE15" i="1" s="1"/>
  <c r="AG15" i="1" s="1"/>
  <c r="AF15" i="1"/>
  <c r="AD461" i="1"/>
  <c r="AE461" i="1" s="1"/>
  <c r="AG461" i="1" s="1"/>
  <c r="AF461" i="1"/>
  <c r="AD231" i="1"/>
  <c r="AE231" i="1" s="1"/>
  <c r="AG231" i="1" s="1"/>
  <c r="AF231" i="1"/>
  <c r="AD3" i="1"/>
  <c r="AE3" i="1" s="1"/>
  <c r="AG3" i="1" s="1"/>
  <c r="AF3" i="1"/>
  <c r="AD226" i="1"/>
  <c r="AE226" i="1" s="1"/>
  <c r="AG226" i="1" s="1"/>
  <c r="AF226" i="1"/>
  <c r="AB495" i="1"/>
  <c r="AC495" i="1" s="1"/>
  <c r="AG1416" i="1" l="1"/>
  <c r="AF236" i="1"/>
  <c r="AF1018" i="1"/>
  <c r="AD714" i="1"/>
  <c r="AG71" i="1"/>
  <c r="AG88" i="1"/>
  <c r="AF1143" i="1"/>
  <c r="AD933" i="1"/>
  <c r="AD1082" i="1"/>
  <c r="AF424" i="1"/>
  <c r="AF1226" i="1"/>
  <c r="AF91" i="1"/>
  <c r="AD508" i="1"/>
  <c r="AE508" i="1" s="1"/>
  <c r="AG508" i="1" s="1"/>
  <c r="AG58" i="1"/>
  <c r="AF1089" i="1"/>
  <c r="AD198" i="1"/>
  <c r="AE198" i="1" s="1"/>
  <c r="AG198" i="1" s="1"/>
  <c r="AF743" i="1"/>
  <c r="AF1078" i="1"/>
  <c r="AD525" i="1"/>
  <c r="AE525" i="1" s="1"/>
  <c r="AG525" i="1" s="1"/>
  <c r="AD1207" i="1"/>
  <c r="AF537" i="1"/>
  <c r="AF795" i="1"/>
  <c r="AF398" i="1"/>
  <c r="AD1100" i="1"/>
  <c r="AF1352" i="1"/>
  <c r="AF84" i="1"/>
  <c r="AF365" i="1"/>
  <c r="AD925" i="1"/>
  <c r="AF490" i="1"/>
  <c r="AF690" i="1"/>
  <c r="AF200" i="1"/>
  <c r="AF393" i="1"/>
  <c r="AD1517" i="1"/>
  <c r="AG81" i="1"/>
  <c r="AG119" i="1"/>
  <c r="AG48" i="1"/>
  <c r="AD436" i="1"/>
  <c r="AE436" i="1" s="1"/>
  <c r="AG436" i="1" s="1"/>
  <c r="AG122" i="1"/>
  <c r="AD991" i="1"/>
  <c r="AG597" i="1"/>
  <c r="AG52" i="1"/>
  <c r="AG84" i="1"/>
  <c r="AG86" i="1"/>
  <c r="AG85" i="1"/>
  <c r="AF1345" i="1"/>
  <c r="AG74" i="1"/>
  <c r="AG37" i="1"/>
  <c r="AG39" i="1"/>
  <c r="AG83" i="1"/>
  <c r="AD1051" i="1"/>
  <c r="AF1462" i="1"/>
  <c r="AD1561" i="1"/>
  <c r="AE1561" i="1" s="1"/>
  <c r="AG1561" i="1" s="1"/>
  <c r="AF1408" i="1"/>
  <c r="AF1552" i="1"/>
  <c r="AD774" i="1"/>
  <c r="AF1761" i="1"/>
  <c r="AD1524" i="1"/>
  <c r="AE1524" i="1" s="1"/>
  <c r="AG1524" i="1" s="1"/>
  <c r="AD1435" i="1"/>
  <c r="AF946" i="1"/>
  <c r="AF557" i="1"/>
  <c r="AF1582" i="1"/>
  <c r="AF1605" i="1"/>
  <c r="AF250" i="1"/>
  <c r="AD1132" i="1"/>
  <c r="AD1397" i="1"/>
  <c r="AF1237" i="1"/>
  <c r="AD1422" i="1"/>
  <c r="AF1353" i="1"/>
  <c r="AF345" i="1"/>
  <c r="AF7" i="1"/>
  <c r="AD917" i="1"/>
  <c r="AD948" i="1"/>
  <c r="AD1035" i="1"/>
  <c r="AF1716" i="1"/>
  <c r="AD1629" i="1"/>
  <c r="AE1629" i="1" s="1"/>
  <c r="AG1629" i="1" s="1"/>
  <c r="AF1748" i="1"/>
  <c r="AF1663" i="1"/>
  <c r="AF536" i="1"/>
  <c r="AF69" i="1"/>
  <c r="AG69" i="1" s="1"/>
  <c r="AD1338" i="1"/>
  <c r="AF72" i="1"/>
  <c r="AG72" i="1" s="1"/>
  <c r="AF695" i="1"/>
  <c r="AD716" i="1"/>
  <c r="AD507" i="1"/>
  <c r="AE507" i="1" s="1"/>
  <c r="AG507" i="1" s="1"/>
  <c r="AD1217" i="1"/>
  <c r="AF550" i="1"/>
  <c r="AD683" i="1"/>
  <c r="AF1466" i="1"/>
  <c r="AF371" i="1"/>
  <c r="AD1390" i="1"/>
  <c r="AF1486" i="1"/>
  <c r="AF834" i="1"/>
  <c r="AD821" i="1"/>
  <c r="AD82" i="1"/>
  <c r="AE82" i="1" s="1"/>
  <c r="AG82" i="1" s="1"/>
  <c r="AF1588" i="1"/>
  <c r="AF1155" i="1"/>
  <c r="AF820" i="1"/>
  <c r="AD1307" i="1"/>
  <c r="AF162" i="1"/>
  <c r="AD1468" i="1"/>
  <c r="AD1295" i="1"/>
  <c r="AF1111" i="1"/>
  <c r="AD351" i="1"/>
  <c r="AE351" i="1" s="1"/>
  <c r="AG351" i="1" s="1"/>
  <c r="AD888" i="1"/>
  <c r="AF238" i="1"/>
  <c r="AF958" i="1"/>
  <c r="AD257" i="1"/>
  <c r="AE257" i="1" s="1"/>
  <c r="AG257" i="1" s="1"/>
  <c r="AD1730" i="1"/>
  <c r="AE1730" i="1" s="1"/>
  <c r="AG1730" i="1" s="1"/>
  <c r="AF1072" i="1"/>
  <c r="AD1690" i="1"/>
  <c r="AE1690" i="1" s="1"/>
  <c r="AG1690" i="1" s="1"/>
  <c r="AF847" i="1"/>
  <c r="AD1544" i="1"/>
  <c r="AE1544" i="1" s="1"/>
  <c r="AG1544" i="1" s="1"/>
  <c r="AF720" i="1"/>
  <c r="AF613" i="1"/>
  <c r="AD1399" i="1"/>
  <c r="AF954" i="1"/>
  <c r="AD1567" i="1"/>
  <c r="AE1567" i="1" s="1"/>
  <c r="AG1567" i="1" s="1"/>
  <c r="AD171" i="1"/>
  <c r="AE171" i="1" s="1"/>
  <c r="AG171" i="1" s="1"/>
  <c r="AF1281" i="1"/>
  <c r="AD1426" i="1"/>
  <c r="AF727" i="1"/>
  <c r="AD1037" i="1"/>
  <c r="AF1063" i="1"/>
  <c r="AF57" i="1"/>
  <c r="AG57" i="1" s="1"/>
  <c r="AF215" i="1"/>
  <c r="AF1722" i="1"/>
  <c r="AF604" i="1"/>
  <c r="AD1327" i="1"/>
  <c r="AF1277" i="1"/>
  <c r="AF1699" i="1"/>
  <c r="AD1669" i="1"/>
  <c r="AE1669" i="1" s="1"/>
  <c r="AG1669" i="1" s="1"/>
  <c r="AD911" i="1"/>
  <c r="AD744" i="1"/>
  <c r="AF1275" i="1"/>
  <c r="AF20" i="1"/>
  <c r="AF994" i="1"/>
  <c r="AF1009" i="1"/>
  <c r="AF852" i="1"/>
  <c r="AF463" i="1"/>
  <c r="AF1256" i="1"/>
  <c r="AF1062" i="1"/>
  <c r="AD1463" i="1"/>
  <c r="AF777" i="1"/>
  <c r="AF100" i="1"/>
  <c r="AF784" i="1"/>
  <c r="AF1198" i="1"/>
  <c r="AF675" i="1"/>
  <c r="AD1170" i="1"/>
  <c r="AF1425" i="1"/>
  <c r="AF859" i="1"/>
  <c r="AF1704" i="1"/>
  <c r="AD443" i="1"/>
  <c r="AE443" i="1" s="1"/>
  <c r="AG443" i="1" s="1"/>
  <c r="AD922" i="1"/>
  <c r="AF567" i="1"/>
  <c r="AD480" i="1"/>
  <c r="AE480" i="1" s="1"/>
  <c r="AG480" i="1" s="1"/>
  <c r="AF99" i="1"/>
  <c r="AG99" i="1" s="1"/>
  <c r="AD301" i="1"/>
  <c r="AE301" i="1" s="1"/>
  <c r="AG301" i="1" s="1"/>
  <c r="AD73" i="1"/>
  <c r="AE73" i="1" s="1"/>
  <c r="AG73" i="1" s="1"/>
  <c r="AD1512" i="1"/>
  <c r="AF804" i="1"/>
  <c r="AD995" i="1"/>
  <c r="AF1687" i="1"/>
  <c r="AF1255" i="1"/>
  <c r="AD1520" i="1"/>
  <c r="AF127" i="1"/>
  <c r="AF1017" i="1"/>
  <c r="AD326" i="1"/>
  <c r="AE326" i="1" s="1"/>
  <c r="AG326" i="1" s="1"/>
  <c r="AD1668" i="1"/>
  <c r="AE1668" i="1" s="1"/>
  <c r="AG1668" i="1" s="1"/>
  <c r="AF1385" i="1"/>
  <c r="AF1620" i="1"/>
  <c r="AD1566" i="1"/>
  <c r="AE1566" i="1" s="1"/>
  <c r="AG1566" i="1" s="1"/>
  <c r="AF292" i="1"/>
  <c r="AF1335" i="1"/>
  <c r="AD1112" i="1"/>
  <c r="AD1038" i="1"/>
  <c r="AF676" i="1"/>
  <c r="AF1056" i="1"/>
  <c r="AF1356" i="1"/>
  <c r="AF421" i="1"/>
  <c r="AD1585" i="1"/>
  <c r="AE1585" i="1" s="1"/>
  <c r="AG1585" i="1" s="1"/>
  <c r="AD712" i="1"/>
  <c r="AF1141" i="1"/>
  <c r="AD178" i="1"/>
  <c r="AE178" i="1" s="1"/>
  <c r="AG178" i="1" s="1"/>
  <c r="AF366" i="1"/>
  <c r="AF574" i="1"/>
  <c r="AF487" i="1"/>
  <c r="AF791" i="1"/>
  <c r="AF337" i="1"/>
  <c r="AF380" i="1"/>
  <c r="AD500" i="1"/>
  <c r="AE500" i="1" s="1"/>
  <c r="AG500" i="1" s="1"/>
  <c r="AF390" i="1"/>
  <c r="AD798" i="1"/>
  <c r="AD307" i="1"/>
  <c r="AE307" i="1" s="1"/>
  <c r="AG307" i="1" s="1"/>
  <c r="AD893" i="1"/>
  <c r="AF1007" i="1"/>
  <c r="AF420" i="1"/>
  <c r="AD906" i="1"/>
  <c r="AD1229" i="1"/>
  <c r="AF1165" i="1"/>
  <c r="AF1070" i="1"/>
  <c r="AD131" i="1"/>
  <c r="AE131" i="1" s="1"/>
  <c r="AG131" i="1" s="1"/>
  <c r="AD545" i="1"/>
  <c r="AE545" i="1" s="1"/>
  <c r="AG545" i="1" s="1"/>
  <c r="AD488" i="1"/>
  <c r="AE488" i="1" s="1"/>
  <c r="AG488" i="1" s="1"/>
  <c r="AD643" i="1"/>
  <c r="AE643" i="1" s="1"/>
  <c r="AG643" i="1" s="1"/>
  <c r="AF1366" i="1"/>
  <c r="AF1192" i="1"/>
  <c r="AF152" i="1"/>
  <c r="AF890" i="1"/>
  <c r="AD1602" i="1"/>
  <c r="AE1602" i="1" s="1"/>
  <c r="AG1602" i="1" s="1"/>
  <c r="AF1291" i="1"/>
  <c r="AF539" i="1"/>
  <c r="AF584" i="1"/>
  <c r="AD1538" i="1"/>
  <c r="AE1538" i="1" s="1"/>
  <c r="AG1538" i="1" s="1"/>
  <c r="AF1454" i="1"/>
  <c r="AD1540" i="1"/>
  <c r="AE1540" i="1" s="1"/>
  <c r="AG1540" i="1" s="1"/>
  <c r="AD934" i="1"/>
  <c r="AF1020" i="1"/>
  <c r="AD1269" i="1"/>
  <c r="AD965" i="1"/>
  <c r="AF1651" i="1"/>
  <c r="AF682" i="1"/>
  <c r="AF897" i="1"/>
  <c r="AD1689" i="1"/>
  <c r="AE1689" i="1" s="1"/>
  <c r="AG1689" i="1" s="1"/>
  <c r="AF1680" i="1"/>
  <c r="AF1720" i="1"/>
  <c r="AD1280" i="1"/>
  <c r="AD1240" i="1"/>
  <c r="AF750" i="1"/>
  <c r="AF1101" i="1"/>
  <c r="AD260" i="1"/>
  <c r="AE260" i="1" s="1"/>
  <c r="AG260" i="1" s="1"/>
  <c r="AD76" i="1"/>
  <c r="AE76" i="1" s="1"/>
  <c r="AG76" i="1" s="1"/>
  <c r="AD77" i="1"/>
  <c r="AE77" i="1" s="1"/>
  <c r="AG77" i="1" s="1"/>
  <c r="AD1124" i="1"/>
  <c r="AF299" i="1"/>
  <c r="AF93" i="1"/>
  <c r="AF428" i="1"/>
  <c r="AD423" i="1"/>
  <c r="AE423" i="1" s="1"/>
  <c r="AG423" i="1" s="1"/>
  <c r="AF1476" i="1"/>
  <c r="AD594" i="1"/>
  <c r="AE594" i="1" s="1"/>
  <c r="AG594" i="1" s="1"/>
  <c r="AF1126" i="1"/>
  <c r="AD41" i="1"/>
  <c r="AE41" i="1" s="1"/>
  <c r="AG41" i="1" s="1"/>
  <c r="AF113" i="1"/>
  <c r="AF451" i="1"/>
  <c r="AF433" i="1"/>
  <c r="AF239" i="1"/>
  <c r="AF1496" i="1"/>
  <c r="AF1212" i="1"/>
  <c r="AF1337" i="1"/>
  <c r="AF465" i="1"/>
  <c r="AF839" i="1"/>
  <c r="AF1354" i="1"/>
  <c r="AD1702" i="1"/>
  <c r="AE1702" i="1" s="1"/>
  <c r="AG1702" i="1" s="1"/>
  <c r="AF602" i="1"/>
  <c r="AF867" i="1"/>
  <c r="AD142" i="1"/>
  <c r="AE142" i="1" s="1"/>
  <c r="AG142" i="1" s="1"/>
  <c r="AF1662" i="1"/>
  <c r="AF177" i="1"/>
  <c r="AF889" i="1"/>
  <c r="AF346" i="1"/>
  <c r="AF1176" i="1"/>
  <c r="AF430" i="1"/>
  <c r="AF628" i="1"/>
  <c r="AF323" i="1"/>
  <c r="AF477" i="1"/>
  <c r="AF983" i="1"/>
  <c r="AF1434" i="1"/>
  <c r="AF117" i="1"/>
  <c r="AD555" i="1"/>
  <c r="AE555" i="1" s="1"/>
  <c r="AG555" i="1" s="1"/>
  <c r="AF455" i="1"/>
  <c r="AF1163" i="1"/>
  <c r="AF719" i="1"/>
  <c r="AF501" i="1"/>
  <c r="AF1024" i="1"/>
  <c r="AF1456" i="1"/>
  <c r="AD640" i="1"/>
  <c r="AE640" i="1" s="1"/>
  <c r="AG640" i="1" s="1"/>
  <c r="AD1107" i="1"/>
  <c r="AF70" i="1"/>
  <c r="AG70" i="1" s="1"/>
  <c r="AD975" i="1"/>
  <c r="AF175" i="1"/>
  <c r="AF400" i="1"/>
  <c r="AD190" i="1"/>
  <c r="AE190" i="1" s="1"/>
  <c r="AG190" i="1" s="1"/>
  <c r="AF4" i="1"/>
  <c r="AF980" i="1"/>
  <c r="AF265" i="1"/>
  <c r="AD1118" i="1"/>
  <c r="AF233" i="1"/>
  <c r="AF1477" i="1"/>
  <c r="AF512" i="1"/>
  <c r="AF1628" i="1"/>
  <c r="AF1360" i="1"/>
  <c r="AF1519" i="1"/>
  <c r="AF342" i="1"/>
  <c r="AD441" i="1"/>
  <c r="AE441" i="1" s="1"/>
  <c r="AG441" i="1" s="1"/>
  <c r="AD1711" i="1"/>
  <c r="AE1711" i="1" s="1"/>
  <c r="AG1711" i="1" s="1"/>
  <c r="AF1560" i="1"/>
  <c r="AF1055" i="1"/>
  <c r="AF1612" i="1"/>
  <c r="AF1550" i="1"/>
  <c r="AF475" i="1"/>
  <c r="AF316" i="1"/>
  <c r="AD568" i="1"/>
  <c r="AE568" i="1" s="1"/>
  <c r="AG568" i="1" s="1"/>
  <c r="AD1052" i="1"/>
  <c r="AF116" i="1"/>
  <c r="AD851" i="1"/>
  <c r="AF1583" i="1"/>
  <c r="AF104" i="1"/>
  <c r="AF1724" i="1"/>
  <c r="AF328" i="1"/>
  <c r="AF332" i="1"/>
  <c r="AD1282" i="1"/>
  <c r="AF459" i="1"/>
  <c r="AD191" i="1"/>
  <c r="AE191" i="1" s="1"/>
  <c r="AG191" i="1" s="1"/>
  <c r="AF603" i="1"/>
  <c r="AF912" i="1"/>
  <c r="AD1511" i="1"/>
  <c r="AF415" i="1"/>
  <c r="AD2" i="1"/>
  <c r="AE2" i="1" s="1"/>
  <c r="AG2" i="1" s="1"/>
  <c r="AF926" i="1"/>
  <c r="AF1158" i="1"/>
  <c r="AF1187" i="1"/>
  <c r="AF1473" i="1"/>
  <c r="AF706" i="1"/>
  <c r="AF1071" i="1"/>
  <c r="AF1311" i="1"/>
  <c r="AF150" i="1"/>
  <c r="AF496" i="1"/>
  <c r="AD1357" i="1"/>
  <c r="AF593" i="1"/>
  <c r="AF1688" i="1"/>
  <c r="AF195" i="1"/>
  <c r="AF1559" i="1"/>
  <c r="AF303" i="1"/>
  <c r="AF1674" i="1"/>
  <c r="AF1209" i="1"/>
  <c r="AD1671" i="1"/>
  <c r="AE1671" i="1" s="1"/>
  <c r="AG1671" i="1" s="1"/>
  <c r="AD1274" i="1"/>
  <c r="AD835" i="1"/>
  <c r="AF353" i="1"/>
  <c r="AD556" i="1"/>
  <c r="AE556" i="1" s="1"/>
  <c r="AG556" i="1" s="1"/>
  <c r="AF1166" i="1"/>
  <c r="AF1003" i="1"/>
  <c r="AD1375" i="1"/>
  <c r="AF1632" i="1"/>
  <c r="AF715" i="1"/>
  <c r="AF783" i="1"/>
  <c r="AF1067" i="1"/>
  <c r="AF372" i="1"/>
  <c r="AF156" i="1"/>
  <c r="AF899" i="1"/>
  <c r="AF1199" i="1"/>
  <c r="AF519" i="1"/>
  <c r="AF696" i="1"/>
  <c r="AF1152" i="1"/>
  <c r="AF367" i="1"/>
  <c r="AF1076" i="1"/>
  <c r="AF320" i="1"/>
  <c r="AF1246" i="1"/>
  <c r="AF51" i="1"/>
  <c r="AG51" i="1" s="1"/>
  <c r="AD1718" i="1"/>
  <c r="AE1718" i="1" s="1"/>
  <c r="AG1718" i="1" s="1"/>
  <c r="AF472" i="1"/>
  <c r="AF1010" i="1"/>
  <c r="AF1190" i="1"/>
  <c r="AD905" i="1"/>
  <c r="AF68" i="1"/>
  <c r="AG68" i="1" s="1"/>
  <c r="AF728" i="1"/>
  <c r="AD294" i="1"/>
  <c r="AE294" i="1" s="1"/>
  <c r="AG294" i="1" s="1"/>
  <c r="AF1551" i="1"/>
  <c r="AD1372" i="1"/>
  <c r="AF923" i="1"/>
  <c r="AD1019" i="1"/>
  <c r="AF311" i="1"/>
  <c r="AF1336" i="1"/>
  <c r="AD258" i="1"/>
  <c r="AE258" i="1" s="1"/>
  <c r="AG258" i="1" s="1"/>
  <c r="AD181" i="1"/>
  <c r="AE181" i="1" s="1"/>
  <c r="AG181" i="1" s="1"/>
  <c r="AF1156" i="1"/>
  <c r="AD1249" i="1"/>
  <c r="AF277" i="1"/>
  <c r="AD207" i="1"/>
  <c r="AE207" i="1" s="1"/>
  <c r="AG207" i="1" s="1"/>
  <c r="AF1568" i="1"/>
  <c r="AF1649" i="1"/>
  <c r="AF1541" i="1"/>
  <c r="AD1054" i="1"/>
  <c r="AD1750" i="1"/>
  <c r="AE1750" i="1" s="1"/>
  <c r="AG1750" i="1" s="1"/>
  <c r="AD1245" i="1"/>
  <c r="AF35" i="1"/>
  <c r="AF1645" i="1"/>
  <c r="AF993" i="1"/>
  <c r="AD993" i="1"/>
  <c r="AF1210" i="1"/>
  <c r="AF297" i="1"/>
  <c r="AD1548" i="1"/>
  <c r="AE1548" i="1" s="1"/>
  <c r="AG1548" i="1" s="1"/>
  <c r="AF1331" i="1"/>
  <c r="AF1215" i="1"/>
  <c r="AD660" i="1"/>
  <c r="AE660" i="1" s="1"/>
  <c r="AG660" i="1" s="1"/>
  <c r="AF1283" i="1"/>
  <c r="AF578" i="1"/>
  <c r="AF6" i="1"/>
  <c r="AF1095" i="1"/>
  <c r="AF506" i="1"/>
  <c r="AF1099" i="1"/>
  <c r="AD412" i="1"/>
  <c r="AE412" i="1" s="1"/>
  <c r="AG412" i="1" s="1"/>
  <c r="AF615" i="1"/>
  <c r="AD1211" i="1"/>
  <c r="AF836" i="1"/>
  <c r="AF348" i="1"/>
  <c r="AF1069" i="1"/>
  <c r="AF844" i="1"/>
  <c r="AF241" i="1"/>
  <c r="AF1116" i="1"/>
  <c r="AF1518" i="1"/>
  <c r="AF1656" i="1"/>
  <c r="AF1427" i="1"/>
  <c r="AF1365" i="1"/>
  <c r="AF1188" i="1"/>
  <c r="AD78" i="1"/>
  <c r="AE78" i="1" s="1"/>
  <c r="AG78" i="1" s="1"/>
  <c r="AF1351" i="1"/>
  <c r="AF1073" i="1"/>
  <c r="AD138" i="1"/>
  <c r="AE138" i="1" s="1"/>
  <c r="AG138" i="1" s="1"/>
  <c r="AF988" i="1"/>
  <c r="AF650" i="1"/>
  <c r="AF1140" i="1"/>
  <c r="AF120" i="1"/>
  <c r="AF1418" i="1"/>
  <c r="AF724" i="1"/>
  <c r="AF595" i="1"/>
  <c r="AG595" i="1" s="1"/>
  <c r="AF767" i="1"/>
  <c r="AF678" i="1"/>
  <c r="AF694" i="1"/>
  <c r="AF474" i="1"/>
  <c r="AF679" i="1"/>
  <c r="AD591" i="1"/>
  <c r="AE591" i="1" s="1"/>
  <c r="AG591" i="1" s="1"/>
  <c r="AD687" i="1"/>
  <c r="AE687" i="1" s="1"/>
  <c r="AG687" i="1" s="1"/>
  <c r="AF1214" i="1"/>
  <c r="AD1288" i="1"/>
  <c r="AD845" i="1"/>
  <c r="AF831" i="1"/>
  <c r="AF61" i="1"/>
  <c r="AG61" i="1" s="1"/>
  <c r="AD1714" i="1"/>
  <c r="AE1714" i="1" s="1"/>
  <c r="AG1714" i="1" s="1"/>
  <c r="AF264" i="1"/>
  <c r="AF114" i="1"/>
  <c r="AD806" i="1"/>
  <c r="AF638" i="1"/>
  <c r="AF1313" i="1"/>
  <c r="AF1308" i="1"/>
  <c r="AF1220" i="1"/>
  <c r="AF789" i="1"/>
  <c r="AD955" i="1"/>
  <c r="AF582" i="1"/>
  <c r="AF1483" i="1"/>
  <c r="AF13" i="1"/>
  <c r="AF235" i="1"/>
  <c r="AD1754" i="1"/>
  <c r="AE1754" i="1" s="1"/>
  <c r="AG1754" i="1" s="1"/>
  <c r="AF192" i="1"/>
  <c r="AD1036" i="1"/>
  <c r="AD876" i="1"/>
  <c r="AF40" i="1"/>
  <c r="AG40" i="1" s="1"/>
  <c r="AD1609" i="1"/>
  <c r="AE1609" i="1" s="1"/>
  <c r="AG1609" i="1" s="1"/>
  <c r="AD1108" i="1"/>
  <c r="AF18" i="1"/>
  <c r="AF956" i="1"/>
  <c r="AD865" i="1"/>
  <c r="AD1306" i="1"/>
  <c r="AD796" i="1"/>
  <c r="AF1223" i="1"/>
  <c r="AF454" i="1"/>
  <c r="AD799" i="1"/>
  <c r="AF1120" i="1"/>
  <c r="AF479" i="1"/>
  <c r="AF30" i="1"/>
  <c r="AF691" i="1"/>
  <c r="AD1298" i="1"/>
  <c r="AF59" i="1"/>
  <c r="AG59" i="1" s="1"/>
  <c r="AF870" i="1"/>
  <c r="AF630" i="1"/>
  <c r="AF1080" i="1"/>
  <c r="AF883" i="1"/>
  <c r="AF1610" i="1"/>
  <c r="AD1610" i="1"/>
  <c r="AE1610" i="1" s="1"/>
  <c r="AG1610" i="1" s="1"/>
  <c r="AD1398" i="1"/>
  <c r="AF875" i="1"/>
  <c r="AF970" i="1"/>
  <c r="AF363" i="1"/>
  <c r="AF300" i="1"/>
  <c r="AF1672" i="1"/>
  <c r="AF1320" i="1"/>
  <c r="AD208" i="1"/>
  <c r="AE208" i="1" s="1"/>
  <c r="AG208" i="1" s="1"/>
  <c r="AF1001" i="1"/>
  <c r="AD1001" i="1"/>
  <c r="AF843" i="1"/>
  <c r="AF552" i="1"/>
  <c r="AF1461" i="1"/>
  <c r="AF1693" i="1"/>
  <c r="AF722" i="1"/>
  <c r="AF401" i="1"/>
  <c r="AF797" i="1"/>
  <c r="AF1367" i="1"/>
  <c r="AD411" i="1"/>
  <c r="AE411" i="1" s="1"/>
  <c r="AG411" i="1" s="1"/>
  <c r="AF263" i="1"/>
  <c r="AF289" i="1"/>
  <c r="AD736" i="1"/>
  <c r="AD1503" i="1"/>
  <c r="AD1475" i="1"/>
  <c r="AF46" i="1"/>
  <c r="AG46" i="1" s="1"/>
  <c r="AF1453" i="1"/>
  <c r="AD202" i="1"/>
  <c r="AE202" i="1" s="1"/>
  <c r="AG202" i="1" s="1"/>
  <c r="AF950" i="1"/>
  <c r="AD1506" i="1"/>
  <c r="AD841" i="1"/>
  <c r="AF467" i="1"/>
  <c r="AD1109" i="1"/>
  <c r="AF530" i="1"/>
  <c r="AF47" i="1"/>
  <c r="AG47" i="1" s="1"/>
  <c r="AF1093" i="1"/>
  <c r="AF1181" i="1"/>
  <c r="AD768" i="1"/>
  <c r="AF1392" i="1"/>
  <c r="AD654" i="1"/>
  <c r="AE654" i="1" s="1"/>
  <c r="AG654" i="1" s="1"/>
  <c r="AF431" i="1"/>
  <c r="AF254" i="1"/>
  <c r="AD580" i="1"/>
  <c r="AE580" i="1" s="1"/>
  <c r="AG580" i="1" s="1"/>
  <c r="AF829" i="1"/>
  <c r="AF1177" i="1"/>
  <c r="AF558" i="1"/>
  <c r="AF833" i="1"/>
  <c r="AF24" i="1"/>
  <c r="AD139" i="1"/>
  <c r="AE139" i="1" s="1"/>
  <c r="AG139" i="1" s="1"/>
  <c r="AF907" i="1"/>
  <c r="AD1505" i="1"/>
  <c r="AF1696" i="1"/>
  <c r="AF611" i="1"/>
  <c r="AF1449" i="1"/>
  <c r="AF1572" i="1"/>
  <c r="AF1364" i="1"/>
  <c r="AF65" i="1"/>
  <c r="AG65" i="1" s="1"/>
  <c r="AD1094" i="1"/>
  <c r="AD737" i="1"/>
  <c r="AF1319" i="1"/>
  <c r="AF1537" i="1"/>
  <c r="AD1738" i="1"/>
  <c r="AE1738" i="1" s="1"/>
  <c r="AG1738" i="1" s="1"/>
  <c r="AD1729" i="1"/>
  <c r="AE1729" i="1" s="1"/>
  <c r="AG1729" i="1" s="1"/>
  <c r="AF1575" i="1"/>
  <c r="AF350" i="1"/>
  <c r="AF1103" i="1"/>
  <c r="AD858" i="1"/>
  <c r="AD1712" i="1"/>
  <c r="AE1712" i="1" s="1"/>
  <c r="AG1712" i="1" s="1"/>
  <c r="AF1472" i="1"/>
  <c r="AF456" i="1"/>
  <c r="AD1751" i="1"/>
  <c r="AE1751" i="1" s="1"/>
  <c r="AG1751" i="1" s="1"/>
  <c r="AF1021" i="1"/>
  <c r="AF1495" i="1"/>
  <c r="AF1686" i="1"/>
  <c r="AF742" i="1"/>
  <c r="AD1273" i="1"/>
  <c r="AD1268" i="1"/>
  <c r="AD751" i="1"/>
  <c r="AE751" i="1" s="1"/>
  <c r="AG751" i="1" s="1"/>
  <c r="AD987" i="1"/>
  <c r="AD1607" i="1"/>
  <c r="AE1607" i="1" s="1"/>
  <c r="AG1607" i="1" s="1"/>
  <c r="AF1685" i="1"/>
  <c r="AF418" i="1"/>
  <c r="AD1579" i="1"/>
  <c r="AE1579" i="1" s="1"/>
  <c r="AG1579" i="1" s="1"/>
  <c r="AF1376" i="1"/>
  <c r="AF1208" i="1"/>
  <c r="AD872" i="1"/>
  <c r="AF1501" i="1"/>
  <c r="AF579" i="1"/>
  <c r="AF511" i="1"/>
  <c r="AF1075" i="1"/>
  <c r="AF1508" i="1"/>
  <c r="AF1523" i="1"/>
  <c r="AF440" i="1"/>
  <c r="AD1053" i="1"/>
  <c r="AF285" i="1"/>
  <c r="AD50" i="1"/>
  <c r="AE50" i="1" s="1"/>
  <c r="AG50" i="1" s="1"/>
  <c r="AF1182" i="1"/>
  <c r="AF840" i="1"/>
  <c r="AF818" i="1"/>
  <c r="AD515" i="1"/>
  <c r="AE515" i="1" s="1"/>
  <c r="AG515" i="1" s="1"/>
  <c r="AD929" i="1"/>
  <c r="AD1521" i="1"/>
  <c r="AE1521" i="1" s="1"/>
  <c r="AG1521" i="1" s="1"/>
  <c r="AF313" i="1"/>
  <c r="AF1479" i="1"/>
  <c r="AF484" i="1"/>
  <c r="AD1395" i="1"/>
  <c r="AF471" i="1"/>
  <c r="AD167" i="1"/>
  <c r="AE167" i="1" s="1"/>
  <c r="AG167" i="1" s="1"/>
  <c r="AF1745" i="1"/>
  <c r="AD632" i="1"/>
  <c r="AE632" i="1" s="1"/>
  <c r="AG632" i="1" s="1"/>
  <c r="AD399" i="1"/>
  <c r="AE399" i="1" s="1"/>
  <c r="AG399" i="1" s="1"/>
  <c r="AD1097" i="1"/>
  <c r="AD469" i="1"/>
  <c r="AE469" i="1" s="1"/>
  <c r="AG469" i="1" s="1"/>
  <c r="AF902" i="1"/>
  <c r="AD651" i="1"/>
  <c r="AE651" i="1" s="1"/>
  <c r="AG651" i="1" s="1"/>
  <c r="AD212" i="1"/>
  <c r="AE212" i="1" s="1"/>
  <c r="AG212" i="1" s="1"/>
  <c r="AF212" i="1"/>
  <c r="AF1026" i="1"/>
  <c r="AF253" i="1"/>
  <c r="AF936" i="1"/>
  <c r="AF154" i="1"/>
  <c r="AF189" i="1"/>
  <c r="AF55" i="1"/>
  <c r="AG55" i="1" s="1"/>
  <c r="AF655" i="1"/>
  <c r="AD1197" i="1"/>
  <c r="AD1455" i="1"/>
  <c r="AF17" i="1"/>
  <c r="AD1128" i="1"/>
  <c r="AD502" i="1"/>
  <c r="AE502" i="1" s="1"/>
  <c r="AG502" i="1" s="1"/>
  <c r="AD110" i="1"/>
  <c r="AE110" i="1" s="1"/>
  <c r="AG110" i="1" s="1"/>
  <c r="AF1171" i="1"/>
  <c r="AF395" i="1"/>
  <c r="AF1227" i="1"/>
  <c r="AF186" i="1"/>
  <c r="AF981" i="1"/>
  <c r="AF862" i="1"/>
  <c r="AD314" i="1"/>
  <c r="AE314" i="1" s="1"/>
  <c r="AG314" i="1" s="1"/>
  <c r="AD388" i="1"/>
  <c r="AE388" i="1" s="1"/>
  <c r="AG388" i="1" s="1"/>
  <c r="AD718" i="1"/>
  <c r="AF642" i="1"/>
  <c r="AF295" i="1"/>
  <c r="AF129" i="1"/>
  <c r="AF989" i="1"/>
  <c r="AD668" i="1"/>
  <c r="AE668" i="1" s="1"/>
  <c r="AG668" i="1" s="1"/>
  <c r="AD1151" i="1"/>
  <c r="AF453" i="1"/>
  <c r="AF482" i="1"/>
  <c r="AD596" i="1"/>
  <c r="AE596" i="1" s="1"/>
  <c r="AG596" i="1" s="1"/>
  <c r="AD60" i="1"/>
  <c r="AE60" i="1" s="1"/>
  <c r="AG60" i="1" s="1"/>
  <c r="AD347" i="1"/>
  <c r="AE347" i="1" s="1"/>
  <c r="AG347" i="1" s="1"/>
  <c r="AD985" i="1"/>
  <c r="AF1474" i="1"/>
  <c r="AF1014" i="1"/>
  <c r="AF1137" i="1"/>
  <c r="AD1708" i="1"/>
  <c r="AE1708" i="1" s="1"/>
  <c r="AG1708" i="1" s="1"/>
  <c r="AD559" i="1"/>
  <c r="AE559" i="1" s="1"/>
  <c r="AG559" i="1" s="1"/>
  <c r="AF800" i="1"/>
  <c r="AF247" i="1"/>
  <c r="AD927" i="1"/>
  <c r="AF927" i="1"/>
  <c r="AD1381" i="1"/>
  <c r="AD1533" i="1"/>
  <c r="AE1533" i="1" s="1"/>
  <c r="AG1533" i="1" s="1"/>
  <c r="AF1639" i="1"/>
  <c r="AD786" i="1"/>
  <c r="AD1564" i="1"/>
  <c r="AE1564" i="1" s="1"/>
  <c r="AG1564" i="1" s="1"/>
  <c r="AD1757" i="1"/>
  <c r="AE1757" i="1" s="1"/>
  <c r="AG1757" i="1" s="1"/>
  <c r="AD920" i="1"/>
  <c r="AF871" i="1"/>
  <c r="AF535" i="1"/>
  <c r="AF1415" i="1"/>
  <c r="AF803" i="1"/>
  <c r="AD803" i="1"/>
  <c r="AF1635" i="1"/>
  <c r="AD383" i="1"/>
  <c r="AE383" i="1" s="1"/>
  <c r="AG383" i="1" s="1"/>
  <c r="AF1049" i="1"/>
  <c r="AF1042" i="1"/>
  <c r="AF1135" i="1"/>
  <c r="AD741" i="1"/>
  <c r="AD1574" i="1"/>
  <c r="AE1574" i="1" s="1"/>
  <c r="AG1574" i="1" s="1"/>
  <c r="AD1630" i="1"/>
  <c r="AE1630" i="1" s="1"/>
  <c r="AG1630" i="1" s="1"/>
  <c r="AD1755" i="1"/>
  <c r="AE1755" i="1" s="1"/>
  <c r="AG1755" i="1" s="1"/>
  <c r="AF1460" i="1"/>
  <c r="AD1460" i="1"/>
  <c r="AF1389" i="1"/>
  <c r="AD218" i="1"/>
  <c r="AE218" i="1" s="1"/>
  <c r="AG218" i="1" s="1"/>
  <c r="AD45" i="1"/>
  <c r="AE45" i="1" s="1"/>
  <c r="AG45" i="1" s="1"/>
  <c r="AF1203" i="1"/>
  <c r="AF1302" i="1"/>
  <c r="AF1239" i="1"/>
  <c r="AF1122" i="1"/>
  <c r="AF729" i="1"/>
  <c r="AF1254" i="1"/>
  <c r="AF262" i="1"/>
  <c r="AF414" i="1"/>
  <c r="AF321" i="1"/>
  <c r="AF132" i="1"/>
  <c r="AD90" i="1"/>
  <c r="AE90" i="1" s="1"/>
  <c r="AG90" i="1" s="1"/>
  <c r="AF90" i="1"/>
  <c r="AF1727" i="1"/>
  <c r="AD199" i="1"/>
  <c r="AE199" i="1" s="1"/>
  <c r="AG199" i="1" s="1"/>
  <c r="AD1694" i="1"/>
  <c r="AE1694" i="1" s="1"/>
  <c r="AG1694" i="1" s="1"/>
  <c r="AF1222" i="1"/>
  <c r="AF513" i="1"/>
  <c r="AF196" i="1"/>
  <c r="AF449" i="1"/>
  <c r="AF1371" i="1"/>
  <c r="AF1265" i="1"/>
  <c r="AD590" i="1"/>
  <c r="AE590" i="1" s="1"/>
  <c r="AG590" i="1" s="1"/>
  <c r="AF590" i="1"/>
  <c r="AD1429" i="1"/>
  <c r="AD34" i="1"/>
  <c r="AF1726" i="1"/>
  <c r="AF842" i="1"/>
  <c r="AF1598" i="1"/>
  <c r="AF808" i="1"/>
  <c r="AD808" i="1"/>
  <c r="AD1534" i="1"/>
  <c r="AE1534" i="1" s="1"/>
  <c r="AG1534" i="1" s="1"/>
  <c r="AF1534" i="1"/>
  <c r="AD1659" i="1"/>
  <c r="AE1659" i="1" s="1"/>
  <c r="AG1659" i="1" s="1"/>
  <c r="AD1728" i="1"/>
  <c r="AE1728" i="1" s="1"/>
  <c r="AG1728" i="1" s="1"/>
  <c r="AD391" i="1"/>
  <c r="AE391" i="1" s="1"/>
  <c r="AG391" i="1" s="1"/>
  <c r="AD1438" i="1"/>
  <c r="AF255" i="1"/>
  <c r="AD551" i="1"/>
  <c r="AE551" i="1" s="1"/>
  <c r="AG551" i="1" s="1"/>
  <c r="AD11" i="1"/>
  <c r="AE11" i="1" s="1"/>
  <c r="AG11" i="1" s="1"/>
  <c r="AD272" i="1"/>
  <c r="AE272" i="1" s="1"/>
  <c r="AG272" i="1" s="1"/>
  <c r="AF464" i="1"/>
  <c r="AF140" i="1"/>
  <c r="AD671" i="1"/>
  <c r="AE671" i="1" s="1"/>
  <c r="AG671" i="1" s="1"/>
  <c r="AD1675" i="1"/>
  <c r="AE1675" i="1" s="1"/>
  <c r="AG1675" i="1" s="1"/>
  <c r="AD1186" i="1"/>
  <c r="AF228" i="1"/>
  <c r="AF106" i="1"/>
  <c r="AF984" i="1"/>
  <c r="AD1448" i="1"/>
  <c r="AF483" i="1"/>
  <c r="AD1363" i="1"/>
  <c r="AF147" i="1"/>
  <c r="AF1061" i="1"/>
  <c r="AD725" i="1"/>
  <c r="AD322" i="1"/>
  <c r="AE322" i="1" s="1"/>
  <c r="AG322" i="1" s="1"/>
  <c r="AF360" i="1"/>
  <c r="AF457" i="1"/>
  <c r="AF1459" i="1"/>
  <c r="AF160" i="1"/>
  <c r="AG160" i="1" s="1"/>
  <c r="AD188" i="1"/>
  <c r="AE188" i="1" s="1"/>
  <c r="AG188" i="1" s="1"/>
  <c r="AD382" i="1"/>
  <c r="AE382" i="1" s="1"/>
  <c r="AG382" i="1" s="1"/>
  <c r="AD598" i="1"/>
  <c r="AE598" i="1" s="1"/>
  <c r="AG598" i="1" s="1"/>
  <c r="AF1526" i="1"/>
  <c r="AF1444" i="1"/>
  <c r="AF688" i="1"/>
  <c r="AF625" i="1"/>
  <c r="AD173" i="1"/>
  <c r="AE173" i="1" s="1"/>
  <c r="AG173" i="1" s="1"/>
  <c r="AF306" i="1"/>
  <c r="AF1200" i="1"/>
  <c r="AF408" i="1"/>
  <c r="AD234" i="1"/>
  <c r="AE234" i="1" s="1"/>
  <c r="AG234" i="1" s="1"/>
  <c r="AD283" i="1"/>
  <c r="AE283" i="1" s="1"/>
  <c r="AG283" i="1" s="1"/>
  <c r="AF185" i="1"/>
  <c r="AD583" i="1"/>
  <c r="AE583" i="1" s="1"/>
  <c r="AG583" i="1" s="1"/>
  <c r="AD672" i="1"/>
  <c r="AE672" i="1" s="1"/>
  <c r="AG672" i="1" s="1"/>
  <c r="AF631" i="1"/>
  <c r="AF822" i="1"/>
  <c r="AF1178" i="1"/>
  <c r="AD1412" i="1"/>
  <c r="AF1432" i="1"/>
  <c r="AF516" i="1"/>
  <c r="AF243" i="1"/>
  <c r="AF504" i="1"/>
  <c r="AD790" i="1"/>
  <c r="AF151" i="1"/>
  <c r="AD432" i="1"/>
  <c r="AE432" i="1" s="1"/>
  <c r="AG432" i="1" s="1"/>
  <c r="AF853" i="1"/>
  <c r="AF27" i="1"/>
  <c r="AD1653" i="1"/>
  <c r="AE1653" i="1" s="1"/>
  <c r="AG1653" i="1" s="1"/>
  <c r="AF286" i="1"/>
  <c r="AF497" i="1"/>
  <c r="AD1470" i="1"/>
  <c r="AF657" i="1"/>
  <c r="AF894" i="1"/>
  <c r="AD429" i="1"/>
  <c r="AE429" i="1" s="1"/>
  <c r="AG429" i="1" s="1"/>
  <c r="AD569" i="1"/>
  <c r="AE569" i="1" s="1"/>
  <c r="AG569" i="1" s="1"/>
  <c r="AF1393" i="1"/>
  <c r="AD79" i="1"/>
  <c r="AE79" i="1" s="1"/>
  <c r="AG79" i="1" s="1"/>
  <c r="AF534" i="1"/>
  <c r="AF38" i="1"/>
  <c r="AG38" i="1" s="1"/>
  <c r="AF1130" i="1"/>
  <c r="AF1027" i="1"/>
  <c r="AD224" i="1"/>
  <c r="AE224" i="1" s="1"/>
  <c r="AG224" i="1" s="1"/>
  <c r="AF924" i="1"/>
  <c r="AF379" i="1"/>
  <c r="AF1059" i="1"/>
  <c r="AD478" i="1"/>
  <c r="AE478" i="1" s="1"/>
  <c r="AG478" i="1" s="1"/>
  <c r="AF394" i="1"/>
  <c r="AF123" i="1"/>
  <c r="AD172" i="1"/>
  <c r="AE172" i="1" s="1"/>
  <c r="AG172" i="1" s="1"/>
  <c r="AF349" i="1"/>
  <c r="AF1614" i="1"/>
  <c r="AD499" i="1"/>
  <c r="AE499" i="1" s="1"/>
  <c r="AG499" i="1" s="1"/>
  <c r="AF1404" i="1"/>
  <c r="AD143" i="1"/>
  <c r="AE143" i="1" s="1"/>
  <c r="AG143" i="1" s="1"/>
  <c r="AD928" i="1"/>
  <c r="AD1595" i="1"/>
  <c r="AE1595" i="1" s="1"/>
  <c r="AG1595" i="1" s="1"/>
  <c r="AF148" i="1"/>
  <c r="AD279" i="1"/>
  <c r="AE279" i="1" s="1"/>
  <c r="AG279" i="1" s="1"/>
  <c r="AD1339" i="1"/>
  <c r="AD194" i="1"/>
  <c r="AE194" i="1" s="1"/>
  <c r="AG194" i="1" s="1"/>
  <c r="AF904" i="1"/>
  <c r="AF462" i="1"/>
  <c r="AF524" i="1"/>
  <c r="AF146" i="1"/>
  <c r="AF205" i="1"/>
  <c r="AF1180" i="1"/>
  <c r="AF619" i="1"/>
  <c r="AD427" i="1"/>
  <c r="AE427" i="1" s="1"/>
  <c r="AG427" i="1" s="1"/>
  <c r="AF937" i="1"/>
  <c r="AD794" i="1"/>
  <c r="AF305" i="1"/>
  <c r="AF447" i="1"/>
  <c r="AD1183" i="1"/>
  <c r="AF1355" i="1"/>
  <c r="AD674" i="1"/>
  <c r="AE674" i="1" s="1"/>
  <c r="AG674" i="1" s="1"/>
  <c r="AF21" i="1"/>
  <c r="AF860" i="1"/>
  <c r="AF997" i="1"/>
  <c r="AF1734" i="1"/>
  <c r="AD1484" i="1"/>
  <c r="AD913" i="1"/>
  <c r="AF549" i="1"/>
  <c r="AF329" i="1"/>
  <c r="AD704" i="1"/>
  <c r="AD565" i="1"/>
  <c r="AE565" i="1" s="1"/>
  <c r="AG565" i="1" s="1"/>
  <c r="AF14" i="1"/>
  <c r="AF1613" i="1"/>
  <c r="AF1647" i="1"/>
  <c r="AF1379" i="1"/>
  <c r="AD1516" i="1"/>
  <c r="AF1077" i="1"/>
  <c r="AF1150" i="1"/>
  <c r="AF1698" i="1"/>
  <c r="AF281" i="1"/>
  <c r="AD701" i="1"/>
  <c r="AF785" i="1"/>
  <c r="AF575" i="1"/>
  <c r="AF221" i="1"/>
  <c r="AF953" i="1"/>
  <c r="AF437" i="1"/>
  <c r="AD1289" i="1"/>
  <c r="AD1332" i="1"/>
  <c r="AD1764" i="1"/>
  <c r="AE1764" i="1" s="1"/>
  <c r="AG1764" i="1" s="1"/>
  <c r="AF325" i="1"/>
  <c r="AD698" i="1"/>
  <c r="AE698" i="1" s="1"/>
  <c r="AG698" i="1" s="1"/>
  <c r="AD553" i="1"/>
  <c r="AE553" i="1" s="1"/>
  <c r="AG553" i="1" s="1"/>
  <c r="AF570" i="1"/>
  <c r="AF677" i="1"/>
  <c r="AD193" i="1"/>
  <c r="AE193" i="1" s="1"/>
  <c r="AG193" i="1" s="1"/>
  <c r="AF823" i="1"/>
  <c r="AD1406" i="1"/>
  <c r="AF837" i="1"/>
  <c r="AF621" i="1"/>
  <c r="AF514" i="1"/>
  <c r="AF817" i="1"/>
  <c r="AF766" i="1"/>
  <c r="AF1030" i="1"/>
  <c r="AF422" i="1"/>
  <c r="AF87" i="1"/>
  <c r="AF1091" i="1"/>
  <c r="AF641" i="1"/>
  <c r="AF1654" i="1"/>
  <c r="AF1655" i="1"/>
  <c r="AF869" i="1"/>
  <c r="AF276" i="1"/>
  <c r="AF54" i="1"/>
  <c r="AG54" i="1" s="1"/>
  <c r="AF1414" i="1"/>
  <c r="AD1328" i="1"/>
  <c r="AD1005" i="1"/>
  <c r="AF1358" i="1"/>
  <c r="AF298" i="1"/>
  <c r="AD170" i="1"/>
  <c r="AE170" i="1" s="1"/>
  <c r="AG170" i="1" s="1"/>
  <c r="AF66" i="1"/>
  <c r="AG66" i="1" s="1"/>
  <c r="AD145" i="1"/>
  <c r="AE145" i="1" s="1"/>
  <c r="AG145" i="1" s="1"/>
  <c r="AF108" i="1"/>
  <c r="AF43" i="1"/>
  <c r="AG43" i="1" s="1"/>
  <c r="AD1527" i="1"/>
  <c r="AE1527" i="1" s="1"/>
  <c r="AG1527" i="1" s="1"/>
  <c r="AF204" i="1"/>
  <c r="AF203" i="1"/>
  <c r="AD94" i="1"/>
  <c r="AE94" i="1" s="1"/>
  <c r="AG94" i="1" s="1"/>
  <c r="AF587" i="1"/>
  <c r="AF356" i="1"/>
  <c r="AF1587" i="1"/>
  <c r="AD375" i="1"/>
  <c r="AE375" i="1" s="1"/>
  <c r="AG375" i="1" s="1"/>
  <c r="AF256" i="1"/>
  <c r="AF206" i="1"/>
  <c r="AD157" i="1"/>
  <c r="AE157" i="1" s="1"/>
  <c r="AG157" i="1" s="1"/>
  <c r="AF62" i="1"/>
  <c r="AG62" i="1" s="1"/>
  <c r="AD493" i="1"/>
  <c r="AE493" i="1" s="1"/>
  <c r="AG493" i="1" s="1"/>
  <c r="AD153" i="1"/>
  <c r="AE153" i="1" s="1"/>
  <c r="AG153" i="1" s="1"/>
  <c r="AF886" i="1"/>
  <c r="AD730" i="1"/>
  <c r="AD538" i="1"/>
  <c r="AE538" i="1" s="1"/>
  <c r="AG538" i="1" s="1"/>
  <c r="AF541" i="1"/>
  <c r="AF404" i="1"/>
  <c r="AF330" i="1"/>
  <c r="AF434" i="1"/>
  <c r="AF446" i="1"/>
  <c r="AF599" i="1"/>
  <c r="AD308" i="1"/>
  <c r="AE308" i="1" s="1"/>
  <c r="AG308" i="1" s="1"/>
  <c r="AD978" i="1"/>
  <c r="AF864" i="1"/>
  <c r="AF900" i="1"/>
  <c r="AF1388" i="1"/>
  <c r="AF663" i="1"/>
  <c r="AF1407" i="1"/>
  <c r="AF357" i="1"/>
  <c r="AD75" i="1"/>
  <c r="AE75" i="1" s="1"/>
  <c r="AG75" i="1" s="1"/>
  <c r="AD1681" i="1"/>
  <c r="AE1681" i="1" s="1"/>
  <c r="AG1681" i="1" s="1"/>
  <c r="AF364" i="1"/>
  <c r="AF374" i="1"/>
  <c r="AF80" i="1"/>
  <c r="AG80" i="1" s="1"/>
  <c r="AF1382" i="1"/>
  <c r="AF1488" i="1"/>
  <c r="AD977" i="1"/>
  <c r="AF333" i="1"/>
  <c r="AF518" i="1"/>
  <c r="AD646" i="1"/>
  <c r="AE646" i="1" s="1"/>
  <c r="AG646" i="1" s="1"/>
  <c r="AF442" i="1"/>
  <c r="AD318" i="1"/>
  <c r="AE318" i="1" s="1"/>
  <c r="AG318" i="1" s="1"/>
  <c r="AF700" i="1"/>
  <c r="AD486" i="1"/>
  <c r="AE486" i="1" s="1"/>
  <c r="AG486" i="1" s="1"/>
  <c r="AD1090" i="1"/>
  <c r="AD855" i="1"/>
  <c r="AF392" i="1"/>
  <c r="AF661" i="1"/>
  <c r="AD304" i="1"/>
  <c r="AE304" i="1" s="1"/>
  <c r="AG304" i="1" s="1"/>
  <c r="AF369" i="1"/>
  <c r="AF527" i="1"/>
  <c r="AF225" i="1"/>
  <c r="AF635" i="1"/>
  <c r="AD222" i="1"/>
  <c r="AE222" i="1" s="1"/>
  <c r="AG222" i="1" s="1"/>
  <c r="AD1423" i="1"/>
  <c r="AF309" i="1"/>
  <c r="AF288" i="1"/>
  <c r="AF1491" i="1"/>
  <c r="AF915" i="1"/>
  <c r="AF1065" i="1"/>
  <c r="AF10" i="1"/>
  <c r="AD1569" i="1"/>
  <c r="AE1569" i="1" s="1"/>
  <c r="AG1569" i="1" s="1"/>
  <c r="AF629" i="1"/>
  <c r="AF361" i="1"/>
  <c r="AD1083" i="1"/>
  <c r="AD149" i="1"/>
  <c r="AE149" i="1" s="1"/>
  <c r="AG149" i="1" s="1"/>
  <c r="AF1066" i="1"/>
  <c r="AF268" i="1"/>
  <c r="AF1119" i="1"/>
  <c r="AF1204" i="1"/>
  <c r="AF310" i="1"/>
  <c r="AD1446" i="1"/>
  <c r="AF368" i="1"/>
  <c r="AD1753" i="1"/>
  <c r="AE1753" i="1" s="1"/>
  <c r="AG1753" i="1" s="1"/>
  <c r="AF1349" i="1"/>
  <c r="AF1469" i="1"/>
  <c r="AF492" i="1"/>
  <c r="AF111" i="1"/>
  <c r="AF491" i="1"/>
  <c r="AF947" i="1"/>
  <c r="AD609" i="1"/>
  <c r="AE609" i="1" s="1"/>
  <c r="AG609" i="1" s="1"/>
  <c r="AF1138" i="1"/>
  <c r="AF275" i="1"/>
  <c r="AF1153" i="1"/>
  <c r="AF1670" i="1"/>
  <c r="AD135" i="1"/>
  <c r="AE135" i="1" s="1"/>
  <c r="AG135" i="1" s="1"/>
  <c r="AD666" i="1"/>
  <c r="AE666" i="1" s="1"/>
  <c r="AG666" i="1" s="1"/>
  <c r="AF334" i="1"/>
  <c r="AF413" i="1"/>
  <c r="AF1157" i="1"/>
  <c r="AF964" i="1"/>
  <c r="AD450" i="1"/>
  <c r="AE450" i="1" s="1"/>
  <c r="AG450" i="1" s="1"/>
  <c r="AD1167" i="1"/>
  <c r="AF723" i="1"/>
  <c r="AF1413" i="1"/>
  <c r="AF481" i="1"/>
  <c r="AF1088" i="1"/>
  <c r="AF290" i="1"/>
  <c r="AF1747" i="1"/>
  <c r="AF891" i="1"/>
  <c r="AF1110" i="1"/>
  <c r="AD588" i="1"/>
  <c r="AE588" i="1" s="1"/>
  <c r="AG588" i="1" s="1"/>
  <c r="AF1542" i="1"/>
  <c r="AF216" i="1"/>
  <c r="AG216" i="1" s="1"/>
  <c r="AF324" i="1"/>
  <c r="AF1374" i="1"/>
  <c r="AF1361" i="1"/>
  <c r="AF397" i="1"/>
  <c r="AD1113" i="1"/>
  <c r="AD974" i="1"/>
  <c r="AF435" i="1"/>
  <c r="AF627" i="1"/>
  <c r="AF5" i="1"/>
  <c r="AF240" i="1"/>
  <c r="AF269" i="1"/>
  <c r="AF1504" i="1"/>
  <c r="AD494" i="1"/>
  <c r="AE494" i="1" s="1"/>
  <c r="AG494" i="1" s="1"/>
  <c r="AF115" i="1"/>
  <c r="AF396" i="1"/>
  <c r="AF1041" i="1"/>
  <c r="AF1677" i="1"/>
  <c r="AF96" i="1"/>
  <c r="AF270" i="1"/>
  <c r="AF168" i="1"/>
  <c r="AF179" i="1"/>
  <c r="AF1013" i="1"/>
  <c r="AF1543" i="1"/>
  <c r="AF1006" i="1"/>
  <c r="AD1029" i="1"/>
  <c r="AF280" i="1"/>
  <c r="AF63" i="1"/>
  <c r="AG63" i="1" s="1"/>
  <c r="AD1756" i="1"/>
  <c r="AE1756" i="1" s="1"/>
  <c r="AG1756" i="1" s="1"/>
  <c r="AF282" i="1"/>
  <c r="AF1087" i="1"/>
  <c r="AF816" i="1"/>
  <c r="AF610" i="1"/>
  <c r="AD1553" i="1"/>
  <c r="AE1553" i="1" s="1"/>
  <c r="AG1553" i="1" s="1"/>
  <c r="AD898" i="1"/>
  <c r="AD1713" i="1"/>
  <c r="AE1713" i="1" s="1"/>
  <c r="AG1713" i="1" s="1"/>
  <c r="AD932" i="1"/>
  <c r="AD1310" i="1"/>
  <c r="AF109" i="1"/>
  <c r="AF717" i="1"/>
  <c r="AF892" i="1"/>
  <c r="AF1428" i="1"/>
  <c r="AD697" i="1"/>
  <c r="AE697" i="1" s="1"/>
  <c r="AG697" i="1" s="1"/>
  <c r="AF1565" i="1"/>
  <c r="AF331" i="1"/>
  <c r="AD248" i="1"/>
  <c r="AE248" i="1" s="1"/>
  <c r="AG248" i="1" s="1"/>
  <c r="AF287" i="1"/>
  <c r="AD387" i="1"/>
  <c r="AE387" i="1" s="1"/>
  <c r="AG387" i="1" s="1"/>
  <c r="AF1129" i="1"/>
  <c r="AD705" i="1"/>
  <c r="AF814" i="1"/>
  <c r="AF653" i="1"/>
  <c r="AF384" i="1"/>
  <c r="AD1765" i="1"/>
  <c r="AE1765" i="1" s="1"/>
  <c r="AG1765" i="1" s="1"/>
  <c r="AD566" i="1"/>
  <c r="AE566" i="1" s="1"/>
  <c r="AG566" i="1" s="1"/>
  <c r="AF686" i="1"/>
  <c r="AD130" i="1"/>
  <c r="AE130" i="1" s="1"/>
  <c r="AG130" i="1" s="1"/>
  <c r="AF624" i="1"/>
  <c r="AD1684" i="1"/>
  <c r="AE1684" i="1" s="1"/>
  <c r="AG1684" i="1" s="1"/>
  <c r="AF1179" i="1"/>
  <c r="AD336" i="1"/>
  <c r="AE336" i="1" s="1"/>
  <c r="AG336" i="1" s="1"/>
  <c r="AD1705" i="1"/>
  <c r="AE1705" i="1" s="1"/>
  <c r="AG1705" i="1" s="1"/>
  <c r="AF903" i="1"/>
  <c r="AF664" i="1"/>
  <c r="AD760" i="1"/>
  <c r="AF416" i="1"/>
  <c r="AF1626" i="1"/>
  <c r="AF746" i="1"/>
  <c r="AD825" i="1"/>
  <c r="AF103" i="1"/>
  <c r="AD945" i="1"/>
  <c r="AF533" i="1"/>
  <c r="AF1369" i="1"/>
  <c r="AD1636" i="1"/>
  <c r="AE1636" i="1" s="1"/>
  <c r="AG1636" i="1" s="1"/>
  <c r="AF163" i="1"/>
  <c r="AG163" i="1" s="1"/>
  <c r="AF1482" i="1"/>
  <c r="AF962" i="1"/>
  <c r="AF1633" i="1"/>
  <c r="AF312" i="1"/>
  <c r="AF969" i="1"/>
  <c r="AF126" i="1"/>
  <c r="AF639" i="1"/>
  <c r="AF973" i="1"/>
  <c r="AF1539" i="1"/>
  <c r="AF832" i="1"/>
  <c r="AF159" i="1"/>
  <c r="AD1034" i="1"/>
  <c r="AF644" i="1"/>
  <c r="AD522" i="1"/>
  <c r="AE522" i="1" s="1"/>
  <c r="AG522" i="1" s="1"/>
  <c r="AD1498" i="1"/>
  <c r="AF1498" i="1"/>
  <c r="AF1318" i="1"/>
  <c r="AD1318" i="1"/>
  <c r="AD29" i="1"/>
  <c r="AE29" i="1" s="1"/>
  <c r="AG29" i="1" s="1"/>
  <c r="AF29" i="1"/>
  <c r="AD1340" i="1"/>
  <c r="AF1340" i="1"/>
  <c r="AF1139" i="1"/>
  <c r="AD1139" i="1"/>
  <c r="AF754" i="1"/>
  <c r="AD754" i="1"/>
  <c r="AF1044" i="1"/>
  <c r="AD1044" i="1"/>
  <c r="AD1201" i="1"/>
  <c r="AF1201" i="1"/>
  <c r="AF868" i="1"/>
  <c r="AD868" i="1"/>
  <c r="AF1481" i="1"/>
  <c r="AD1481" i="1"/>
  <c r="AF1766" i="1"/>
  <c r="AD1766" i="1"/>
  <c r="AE1766" i="1" s="1"/>
  <c r="AG1766" i="1" s="1"/>
  <c r="AD838" i="1"/>
  <c r="AF838" i="1"/>
  <c r="AD523" i="1"/>
  <c r="AE523" i="1" s="1"/>
  <c r="AG523" i="1" s="1"/>
  <c r="AF523" i="1"/>
  <c r="AD107" i="1"/>
  <c r="AE107" i="1" s="1"/>
  <c r="AG107" i="1" s="1"/>
  <c r="AF107" i="1"/>
  <c r="AD949" i="1"/>
  <c r="AF949" i="1"/>
  <c r="AD409" i="1"/>
  <c r="AE409" i="1" s="1"/>
  <c r="AG409" i="1" s="1"/>
  <c r="AF409" i="1"/>
  <c r="AD1492" i="1"/>
  <c r="AF1492" i="1"/>
  <c r="AD520" i="1"/>
  <c r="AE520" i="1" s="1"/>
  <c r="AG520" i="1" s="1"/>
  <c r="AF520" i="1"/>
  <c r="AF669" i="1"/>
  <c r="AD669" i="1"/>
  <c r="AE669" i="1" s="1"/>
  <c r="AG669" i="1" s="1"/>
  <c r="AD732" i="1"/>
  <c r="AF732" i="1"/>
  <c r="AD67" i="1"/>
  <c r="AE67" i="1" s="1"/>
  <c r="AF67" i="1"/>
  <c r="AF426" i="1"/>
  <c r="AD426" i="1"/>
  <c r="AE426" i="1" s="1"/>
  <c r="AG426" i="1" s="1"/>
  <c r="AF1584" i="1"/>
  <c r="AD1584" i="1"/>
  <c r="AE1584" i="1" s="1"/>
  <c r="AG1584" i="1" s="1"/>
  <c r="AF1326" i="1"/>
  <c r="AD1326" i="1"/>
  <c r="AF745" i="1"/>
  <c r="AD745" i="1"/>
  <c r="AF1270" i="1"/>
  <c r="AD1270" i="1"/>
  <c r="AD521" i="1"/>
  <c r="AE521" i="1" s="1"/>
  <c r="AG521" i="1" s="1"/>
  <c r="AF521" i="1"/>
  <c r="AD169" i="1"/>
  <c r="AE169" i="1" s="1"/>
  <c r="AG169" i="1" s="1"/>
  <c r="AF169" i="1"/>
  <c r="AD1431" i="1"/>
  <c r="AF1431" i="1"/>
  <c r="AD49" i="1"/>
  <c r="AE49" i="1" s="1"/>
  <c r="AF49" i="1"/>
  <c r="AF810" i="1"/>
  <c r="AD810" i="1"/>
  <c r="AD1123" i="1"/>
  <c r="AF1123" i="1"/>
  <c r="AD244" i="1"/>
  <c r="AE244" i="1" s="1"/>
  <c r="AG244" i="1" s="1"/>
  <c r="AF244" i="1"/>
  <c r="AD1767" i="1"/>
  <c r="AE1767" i="1" s="1"/>
  <c r="AG1767" i="1" s="1"/>
  <c r="AF1767" i="1"/>
  <c r="AD581" i="1"/>
  <c r="AE581" i="1" s="1"/>
  <c r="AG581" i="1" s="1"/>
  <c r="AF581" i="1"/>
  <c r="AD1127" i="1"/>
  <c r="AF1127" i="1"/>
  <c r="AD1683" i="1"/>
  <c r="AE1683" i="1" s="1"/>
  <c r="AG1683" i="1" s="1"/>
  <c r="AF1683" i="1"/>
  <c r="AF1252" i="1"/>
  <c r="AD1252" i="1"/>
  <c r="AF1678" i="1"/>
  <c r="AD1678" i="1"/>
  <c r="AE1678" i="1" s="1"/>
  <c r="AG1678" i="1" s="1"/>
  <c r="AF1235" i="1"/>
  <c r="AD1235" i="1"/>
  <c r="AD98" i="1"/>
  <c r="AE98" i="1" s="1"/>
  <c r="AF98" i="1"/>
  <c r="AF1762" i="1"/>
  <c r="AD1762" i="1"/>
  <c r="AE1762" i="1" s="1"/>
  <c r="AG1762" i="1" s="1"/>
  <c r="AF1599" i="1"/>
  <c r="AD1599" i="1"/>
  <c r="AE1599" i="1" s="1"/>
  <c r="AG1599" i="1" s="1"/>
  <c r="AD1592" i="1"/>
  <c r="AE1592" i="1" s="1"/>
  <c r="AG1592" i="1" s="1"/>
  <c r="AF1592" i="1"/>
  <c r="AD124" i="1"/>
  <c r="AE124" i="1" s="1"/>
  <c r="AG124" i="1" s="1"/>
  <c r="AF124" i="1"/>
  <c r="AF1105" i="1"/>
  <c r="AD1105" i="1"/>
  <c r="AF1244" i="1"/>
  <c r="AD1244" i="1"/>
  <c r="AD1387" i="1"/>
  <c r="AF1387" i="1"/>
  <c r="AF1489" i="1"/>
  <c r="AD1489" i="1"/>
  <c r="AE1489" i="1" s="1"/>
  <c r="AG1489" i="1" s="1"/>
  <c r="AF1697" i="1"/>
  <c r="AD1697" i="1"/>
  <c r="AE1697" i="1" s="1"/>
  <c r="AG1697" i="1" s="1"/>
  <c r="AD633" i="1"/>
  <c r="AE633" i="1" s="1"/>
  <c r="AG633" i="1" s="1"/>
  <c r="AF633" i="1"/>
  <c r="AF1221" i="1"/>
  <c r="AD1221" i="1"/>
  <c r="AF291" i="1"/>
  <c r="AD291" i="1"/>
  <c r="AE291" i="1" s="1"/>
  <c r="AG291" i="1" s="1"/>
  <c r="AD128" i="1"/>
  <c r="AE128" i="1" s="1"/>
  <c r="AG128" i="1" s="1"/>
  <c r="AF128" i="1"/>
  <c r="AD1195" i="1"/>
  <c r="AF1195" i="1"/>
  <c r="AD1621" i="1"/>
  <c r="AE1621" i="1" s="1"/>
  <c r="AG1621" i="1" s="1"/>
  <c r="AF1621" i="1"/>
  <c r="AD1251" i="1"/>
  <c r="AF1251" i="1"/>
  <c r="AD1735" i="1"/>
  <c r="AE1735" i="1" s="1"/>
  <c r="AG1735" i="1" s="1"/>
  <c r="AF1735" i="1"/>
  <c r="AF1279" i="1"/>
  <c r="AD1279" i="1"/>
  <c r="AD53" i="1"/>
  <c r="AE53" i="1" s="1"/>
  <c r="AF53" i="1"/>
  <c r="AD1278" i="1"/>
  <c r="AF1278" i="1"/>
  <c r="AD229" i="1"/>
  <c r="AE229" i="1" s="1"/>
  <c r="AG229" i="1" s="1"/>
  <c r="AF229" i="1"/>
  <c r="AD1525" i="1"/>
  <c r="AE1525" i="1" s="1"/>
  <c r="AG1525" i="1" s="1"/>
  <c r="AF1525" i="1"/>
  <c r="AD134" i="1"/>
  <c r="AE134" i="1" s="1"/>
  <c r="AG134" i="1" s="1"/>
  <c r="AF134" i="1"/>
  <c r="AD296" i="1"/>
  <c r="AE296" i="1" s="1"/>
  <c r="AG296" i="1" s="1"/>
  <c r="AF296" i="1"/>
  <c r="AF986" i="1"/>
  <c r="AD986" i="1"/>
  <c r="AD528" i="1"/>
  <c r="AE528" i="1" s="1"/>
  <c r="AG528" i="1" s="1"/>
  <c r="AF528" i="1"/>
  <c r="AD1594" i="1"/>
  <c r="AE1594" i="1" s="1"/>
  <c r="AG1594" i="1" s="1"/>
  <c r="AF1594" i="1"/>
  <c r="AD1706" i="1"/>
  <c r="AE1706" i="1" s="1"/>
  <c r="AG1706" i="1" s="1"/>
  <c r="AF1706" i="1"/>
  <c r="AF658" i="1"/>
  <c r="AD658" i="1"/>
  <c r="AE658" i="1" s="1"/>
  <c r="AG658" i="1" s="1"/>
  <c r="AF1733" i="1"/>
  <c r="AD1733" i="1"/>
  <c r="AE1733" i="1" s="1"/>
  <c r="AG1733" i="1" s="1"/>
  <c r="AF1304" i="1"/>
  <c r="AD1304" i="1"/>
  <c r="AD747" i="1"/>
  <c r="AF747" i="1"/>
  <c r="AD1410" i="1"/>
  <c r="AF1410" i="1"/>
  <c r="AF1173" i="1"/>
  <c r="AD1173" i="1"/>
  <c r="AF734" i="1"/>
  <c r="AD734" i="1"/>
  <c r="AD1309" i="1"/>
  <c r="AF1309" i="1"/>
  <c r="AD779" i="1"/>
  <c r="AF779" i="1"/>
  <c r="AF815" i="1"/>
  <c r="AD815" i="1"/>
  <c r="AD1228" i="1"/>
  <c r="AF1228" i="1"/>
  <c r="AF667" i="1"/>
  <c r="AD667" i="1"/>
  <c r="AE667" i="1" s="1"/>
  <c r="AG667" i="1" s="1"/>
  <c r="AF1261" i="1"/>
  <c r="AD1261" i="1"/>
  <c r="AD1102" i="1"/>
  <c r="AE1102" i="1" s="1"/>
  <c r="AG1102" i="1" s="1"/>
  <c r="AF1102" i="1"/>
  <c r="AF1554" i="1"/>
  <c r="AD1554" i="1"/>
  <c r="AE1554" i="1" s="1"/>
  <c r="AG1554" i="1" s="1"/>
  <c r="AD607" i="1"/>
  <c r="AE607" i="1" s="1"/>
  <c r="AG607" i="1" s="1"/>
  <c r="AF607" i="1"/>
  <c r="AD1296" i="1"/>
  <c r="AF1296" i="1"/>
  <c r="AD846" i="1"/>
  <c r="AF846" i="1"/>
  <c r="AD1500" i="1"/>
  <c r="AE1500" i="1" s="1"/>
  <c r="AG1500" i="1" s="1"/>
  <c r="AF1500" i="1"/>
  <c r="AF1723" i="1"/>
  <c r="AD1723" i="1"/>
  <c r="AE1723" i="1" s="1"/>
  <c r="AG1723" i="1" s="1"/>
  <c r="AD407" i="1"/>
  <c r="AE407" i="1" s="1"/>
  <c r="AG407" i="1" s="1"/>
  <c r="AF407" i="1"/>
  <c r="AF1312" i="1"/>
  <c r="AD1312" i="1"/>
  <c r="AF773" i="1"/>
  <c r="AD773" i="1"/>
  <c r="AF1464" i="1"/>
  <c r="AD1464" i="1"/>
  <c r="AF1440" i="1"/>
  <c r="AD1440" i="1"/>
  <c r="AD1045" i="1"/>
  <c r="AF1045" i="1"/>
  <c r="AD600" i="1"/>
  <c r="AE600" i="1" s="1"/>
  <c r="AG600" i="1" s="1"/>
  <c r="AF600" i="1"/>
  <c r="AF1011" i="1"/>
  <c r="AD1011" i="1"/>
  <c r="AD1710" i="1"/>
  <c r="AE1710" i="1" s="1"/>
  <c r="AG1710" i="1" s="1"/>
  <c r="AF1710" i="1"/>
  <c r="AD659" i="1"/>
  <c r="AE659" i="1" s="1"/>
  <c r="AG659" i="1" s="1"/>
  <c r="AF659" i="1"/>
  <c r="AF237" i="1"/>
  <c r="AD237" i="1"/>
  <c r="AE237" i="1" s="1"/>
  <c r="AG237" i="1" s="1"/>
  <c r="AD1445" i="1"/>
  <c r="AF1445" i="1"/>
  <c r="AF1604" i="1"/>
  <c r="AD1604" i="1"/>
  <c r="AE1604" i="1" s="1"/>
  <c r="AG1604" i="1" s="1"/>
  <c r="AD848" i="1"/>
  <c r="AF848" i="1"/>
  <c r="AD31" i="1"/>
  <c r="AF31" i="1"/>
  <c r="AD592" i="1"/>
  <c r="AE592" i="1" s="1"/>
  <c r="AG592" i="1" s="1"/>
  <c r="AF592" i="1"/>
  <c r="AF389" i="1"/>
  <c r="AD389" i="1"/>
  <c r="AE389" i="1" s="1"/>
  <c r="AG389" i="1" s="1"/>
  <c r="AD419" i="1"/>
  <c r="AE419" i="1" s="1"/>
  <c r="AG419" i="1" s="1"/>
  <c r="AF419" i="1"/>
  <c r="AD562" i="1"/>
  <c r="AE562" i="1" s="1"/>
  <c r="AG562" i="1" s="1"/>
  <c r="AF562" i="1"/>
  <c r="AD1253" i="1"/>
  <c r="AF1253" i="1"/>
  <c r="AF1266" i="1"/>
  <c r="AD1266" i="1"/>
  <c r="AD689" i="1"/>
  <c r="AE689" i="1" s="1"/>
  <c r="AG689" i="1" s="1"/>
  <c r="AF689" i="1"/>
  <c r="AD1515" i="1"/>
  <c r="AF1515" i="1"/>
  <c r="AD547" i="1"/>
  <c r="AE547" i="1" s="1"/>
  <c r="AG547" i="1" s="1"/>
  <c r="AF547" i="1"/>
  <c r="AF386" i="1"/>
  <c r="AF916" i="1"/>
  <c r="AD916" i="1"/>
  <c r="AD92" i="1"/>
  <c r="AE92" i="1" s="1"/>
  <c r="AG92" i="1" s="1"/>
  <c r="AF92" i="1"/>
  <c r="AF1709" i="1"/>
  <c r="AD1709" i="1"/>
  <c r="AE1709" i="1" s="1"/>
  <c r="AG1709" i="1" s="1"/>
  <c r="AF1325" i="1"/>
  <c r="AD1325" i="1"/>
  <c r="AD242" i="1"/>
  <c r="AE242" i="1" s="1"/>
  <c r="AG242" i="1" s="1"/>
  <c r="AF242" i="1"/>
  <c r="AD220" i="1"/>
  <c r="AE220" i="1" s="1"/>
  <c r="AG220" i="1" s="1"/>
  <c r="AF220" i="1"/>
  <c r="AF1532" i="1"/>
  <c r="AD1532" i="1"/>
  <c r="AE1532" i="1" s="1"/>
  <c r="AG1532" i="1" s="1"/>
  <c r="AF1263" i="1"/>
  <c r="AD1263" i="1"/>
  <c r="AD1625" i="1"/>
  <c r="AE1625" i="1" s="1"/>
  <c r="AG1625" i="1" s="1"/>
  <c r="AF1625" i="1"/>
  <c r="AD1502" i="1"/>
  <c r="AF1502" i="1"/>
  <c r="AD576" i="1"/>
  <c r="AE576" i="1" s="1"/>
  <c r="AG576" i="1" s="1"/>
  <c r="AF576" i="1"/>
  <c r="AD895" i="1"/>
  <c r="AF895" i="1"/>
  <c r="AD327" i="1"/>
  <c r="AE327" i="1" s="1"/>
  <c r="AG327" i="1" s="1"/>
  <c r="AF327" i="1"/>
  <c r="AF1196" i="1"/>
  <c r="AD1196" i="1"/>
  <c r="AD381" i="1"/>
  <c r="AE381" i="1" s="1"/>
  <c r="AG381" i="1" s="1"/>
  <c r="AF381" i="1"/>
  <c r="AF1707" i="1"/>
  <c r="AD1707" i="1"/>
  <c r="AE1707" i="1" s="1"/>
  <c r="AG1707" i="1" s="1"/>
  <c r="AF1050" i="1"/>
  <c r="AD1050" i="1"/>
  <c r="AD1262" i="1"/>
  <c r="AF1262" i="1"/>
  <c r="AD665" i="1"/>
  <c r="AE665" i="1" s="1"/>
  <c r="AG665" i="1" s="1"/>
  <c r="AF665" i="1"/>
  <c r="AD1510" i="1"/>
  <c r="AF1510" i="1"/>
  <c r="AD1377" i="1"/>
  <c r="AF1377" i="1"/>
  <c r="AD1373" i="1"/>
  <c r="AF1373" i="1"/>
  <c r="AD278" i="1"/>
  <c r="AE278" i="1" s="1"/>
  <c r="AG278" i="1" s="1"/>
  <c r="AF278" i="1"/>
  <c r="AD1676" i="1"/>
  <c r="AE1676" i="1" s="1"/>
  <c r="AG1676" i="1" s="1"/>
  <c r="AF1676" i="1"/>
  <c r="AD1487" i="1"/>
  <c r="AF1487" i="1"/>
  <c r="AD12" i="1"/>
  <c r="AE12" i="1" s="1"/>
  <c r="AG12" i="1" s="1"/>
  <c r="AF12" i="1"/>
  <c r="AD1658" i="1"/>
  <c r="AE1658" i="1" s="1"/>
  <c r="AG1658" i="1" s="1"/>
  <c r="AF1658" i="1"/>
  <c r="AD1450" i="1"/>
  <c r="AF1450" i="1"/>
  <c r="AD1442" i="1"/>
  <c r="AF1442" i="1"/>
  <c r="AD1022" i="1"/>
  <c r="AF1022" i="1"/>
  <c r="AF1581" i="1"/>
  <c r="AD1581" i="1"/>
  <c r="AE1581" i="1" s="1"/>
  <c r="AG1581" i="1" s="1"/>
  <c r="AD585" i="1"/>
  <c r="AE585" i="1" s="1"/>
  <c r="AG585" i="1" s="1"/>
  <c r="AF585" i="1"/>
  <c r="AD684" i="1"/>
  <c r="AE684" i="1" s="1"/>
  <c r="AG684" i="1" s="1"/>
  <c r="AF684" i="1"/>
  <c r="AD681" i="1"/>
  <c r="AE681" i="1" s="1"/>
  <c r="AG681" i="1" s="1"/>
  <c r="AF681" i="1"/>
  <c r="AD1437" i="1"/>
  <c r="AF1437" i="1"/>
  <c r="AD887" i="1"/>
  <c r="AF887" i="1"/>
  <c r="AF133" i="1"/>
  <c r="AD133" i="1"/>
  <c r="AE133" i="1" s="1"/>
  <c r="AG133" i="1" s="1"/>
  <c r="AF1350" i="1"/>
  <c r="AD1350" i="1"/>
  <c r="AD914" i="1"/>
  <c r="AF914" i="1"/>
  <c r="AD438" i="1"/>
  <c r="AE438" i="1" s="1"/>
  <c r="AG438" i="1" s="1"/>
  <c r="AF438" i="1"/>
  <c r="AD176" i="1"/>
  <c r="AE176" i="1" s="1"/>
  <c r="AG176" i="1" s="1"/>
  <c r="AF176" i="1"/>
  <c r="AD542" i="1"/>
  <c r="AE542" i="1" s="1"/>
  <c r="AG542" i="1" s="1"/>
  <c r="AF542" i="1"/>
  <c r="AD543" i="1"/>
  <c r="AE543" i="1" s="1"/>
  <c r="AG543" i="1" s="1"/>
  <c r="AF543" i="1"/>
  <c r="AF1643" i="1"/>
  <c r="AD1643" i="1"/>
  <c r="AE1643" i="1" s="1"/>
  <c r="AG1643" i="1" s="1"/>
  <c r="AF1637" i="1"/>
  <c r="AD1637" i="1"/>
  <c r="AE1637" i="1" s="1"/>
  <c r="AG1637" i="1" s="1"/>
  <c r="AF1286" i="1"/>
  <c r="AD1286" i="1"/>
  <c r="AF1317" i="1"/>
  <c r="AD1317" i="1"/>
  <c r="AD1343" i="1"/>
  <c r="AF1343" i="1"/>
  <c r="AD1297" i="1"/>
  <c r="AF1297" i="1"/>
  <c r="AF227" i="1"/>
  <c r="AD227" i="1"/>
  <c r="AE227" i="1" s="1"/>
  <c r="AG227" i="1" s="1"/>
  <c r="AF1324" i="1"/>
  <c r="AD1324" i="1"/>
  <c r="AD1549" i="1"/>
  <c r="AE1549" i="1" s="1"/>
  <c r="AG1549" i="1" s="1"/>
  <c r="AF1549" i="1"/>
  <c r="AD251" i="1"/>
  <c r="AE251" i="1" s="1"/>
  <c r="AG251" i="1" s="1"/>
  <c r="AF251" i="1"/>
  <c r="AD544" i="1"/>
  <c r="AE544" i="1" s="1"/>
  <c r="AG544" i="1" s="1"/>
  <c r="AF544" i="1"/>
  <c r="AF1673" i="1"/>
  <c r="AD1673" i="1"/>
  <c r="AE1673" i="1" s="1"/>
  <c r="AG1673" i="1" s="1"/>
  <c r="AD174" i="1"/>
  <c r="AE174" i="1" s="1"/>
  <c r="AG174" i="1" s="1"/>
  <c r="AF174" i="1"/>
  <c r="AD996" i="1"/>
  <c r="AF996" i="1"/>
  <c r="AF1370" i="1"/>
  <c r="AD1370" i="1"/>
  <c r="AD809" i="1"/>
  <c r="AF809" i="1"/>
  <c r="AD548" i="1"/>
  <c r="AE548" i="1" s="1"/>
  <c r="AG548" i="1" s="1"/>
  <c r="AF548" i="1"/>
  <c r="AD1509" i="1"/>
  <c r="AF1509" i="1"/>
  <c r="AD540" i="1"/>
  <c r="AE540" i="1" s="1"/>
  <c r="AG540" i="1" s="1"/>
  <c r="AF540" i="1"/>
  <c r="AF1436" i="1"/>
  <c r="AD1436" i="1"/>
  <c r="AF105" i="1"/>
  <c r="AD105" i="1"/>
  <c r="AE105" i="1" s="1"/>
  <c r="AG105" i="1" s="1"/>
  <c r="AD1341" i="1"/>
  <c r="AF1341" i="1"/>
  <c r="AF8" i="1"/>
  <c r="AD8" i="1"/>
  <c r="AE8" i="1" s="1"/>
  <c r="AG8" i="1" s="1"/>
  <c r="AF1272" i="1"/>
  <c r="AD1272" i="1"/>
  <c r="AF1619" i="1"/>
  <c r="AD1619" i="1"/>
  <c r="AE1619" i="1" s="1"/>
  <c r="AG1619" i="1" s="1"/>
  <c r="AD1344" i="1"/>
  <c r="AF1344" i="1"/>
  <c r="AF1601" i="1"/>
  <c r="AD1601" i="1"/>
  <c r="AE1601" i="1" s="1"/>
  <c r="AG1601" i="1" s="1"/>
  <c r="AF1216" i="1"/>
  <c r="AD1216" i="1"/>
  <c r="AE1216" i="1" s="1"/>
  <c r="AG1216" i="1" s="1"/>
  <c r="AD1236" i="1"/>
  <c r="AF1236" i="1"/>
  <c r="AD274" i="1"/>
  <c r="AE274" i="1" s="1"/>
  <c r="AG274" i="1" s="1"/>
  <c r="AF274" i="1"/>
  <c r="AF1458" i="1"/>
  <c r="AD1458" i="1"/>
  <c r="AD144" i="1"/>
  <c r="AE144" i="1" s="1"/>
  <c r="AG144" i="1" s="1"/>
  <c r="AF144" i="1"/>
  <c r="AD1493" i="1"/>
  <c r="AE1493" i="1" s="1"/>
  <c r="AG1493" i="1" s="1"/>
  <c r="AF1493" i="1"/>
  <c r="AD1586" i="1"/>
  <c r="AE1586" i="1" s="1"/>
  <c r="AG1586" i="1" s="1"/>
  <c r="AF1586" i="1"/>
  <c r="AD982" i="1"/>
  <c r="AF982" i="1"/>
  <c r="AF616" i="1"/>
  <c r="AD616" i="1"/>
  <c r="AE616" i="1" s="1"/>
  <c r="AG616" i="1" s="1"/>
  <c r="AD1386" i="1"/>
  <c r="AF1386" i="1"/>
  <c r="AD605" i="1"/>
  <c r="AE605" i="1" s="1"/>
  <c r="AG605" i="1" s="1"/>
  <c r="AF605" i="1"/>
  <c r="AD1305" i="1"/>
  <c r="AF1305" i="1"/>
  <c r="AD489" i="1"/>
  <c r="AE489" i="1" s="1"/>
  <c r="AG489" i="1" s="1"/>
  <c r="AF489" i="1"/>
  <c r="AF1285" i="1"/>
  <c r="AD1285" i="1"/>
  <c r="AD1490" i="1"/>
  <c r="AF1490" i="1"/>
  <c r="AD1597" i="1"/>
  <c r="AE1597" i="1" s="1"/>
  <c r="AG1597" i="1" s="1"/>
  <c r="AF1597" i="1"/>
  <c r="AF931" i="1"/>
  <c r="AD931" i="1"/>
  <c r="AD341" i="1"/>
  <c r="AE341" i="1" s="1"/>
  <c r="AG341" i="1" s="1"/>
  <c r="AF341" i="1"/>
  <c r="AF992" i="1"/>
  <c r="AD992" i="1"/>
  <c r="AF1752" i="1"/>
  <c r="AD1752" i="1"/>
  <c r="AE1752" i="1" s="1"/>
  <c r="AG1752" i="1" s="1"/>
  <c r="AD1577" i="1"/>
  <c r="AE1577" i="1" s="1"/>
  <c r="AG1577" i="1" s="1"/>
  <c r="AF1577" i="1"/>
  <c r="AF1591" i="1"/>
  <c r="AD1591" i="1"/>
  <c r="AE1591" i="1" s="1"/>
  <c r="AG1591" i="1" s="1"/>
  <c r="AF1606" i="1"/>
  <c r="AD1606" i="1"/>
  <c r="AE1606" i="1" s="1"/>
  <c r="AG1606" i="1" s="1"/>
  <c r="AF1535" i="1"/>
  <c r="AD1535" i="1"/>
  <c r="AE1535" i="1" s="1"/>
  <c r="AG1535" i="1" s="1"/>
  <c r="AF1692" i="1"/>
  <c r="AD1692" i="1"/>
  <c r="AE1692" i="1" s="1"/>
  <c r="AG1692" i="1" s="1"/>
  <c r="AD618" i="1"/>
  <c r="AE618" i="1" s="1"/>
  <c r="AG618" i="1" s="1"/>
  <c r="AF618" i="1"/>
  <c r="AD266" i="1"/>
  <c r="AE266" i="1" s="1"/>
  <c r="AG266" i="1" s="1"/>
  <c r="AF266" i="1"/>
  <c r="AF1267" i="1"/>
  <c r="AD1267" i="1"/>
  <c r="AD1411" i="1"/>
  <c r="AF1411" i="1"/>
  <c r="AF753" i="1"/>
  <c r="AD753" i="1"/>
  <c r="AD802" i="1"/>
  <c r="AF802" i="1"/>
  <c r="AD470" i="1"/>
  <c r="AE470" i="1" s="1"/>
  <c r="AG470" i="1" s="1"/>
  <c r="AF470" i="1"/>
  <c r="AD692" i="1"/>
  <c r="AE692" i="1" s="1"/>
  <c r="AG692" i="1" s="1"/>
  <c r="AF692" i="1"/>
  <c r="AF738" i="1"/>
  <c r="AD738" i="1"/>
  <c r="AF1522" i="1"/>
  <c r="AD1522" i="1"/>
  <c r="AD1134" i="1"/>
  <c r="AF1134" i="1"/>
  <c r="AD561" i="1"/>
  <c r="AE561" i="1" s="1"/>
  <c r="AG561" i="1" s="1"/>
  <c r="AF561" i="1"/>
  <c r="AF1640" i="1"/>
  <c r="AD1640" i="1"/>
  <c r="AE1640" i="1" s="1"/>
  <c r="AG1640" i="1" s="1"/>
  <c r="AF1641" i="1"/>
  <c r="AD1641" i="1"/>
  <c r="AE1641" i="1" s="1"/>
  <c r="AG1641" i="1" s="1"/>
  <c r="AD211" i="1"/>
  <c r="AE211" i="1" s="1"/>
  <c r="AF211" i="1"/>
  <c r="AD64" i="1"/>
  <c r="AE64" i="1" s="1"/>
  <c r="AF64" i="1"/>
  <c r="AD1002" i="1"/>
  <c r="AF1002" i="1"/>
  <c r="AF1648" i="1"/>
  <c r="AD1648" i="1"/>
  <c r="AE1648" i="1" s="1"/>
  <c r="AG1648" i="1" s="1"/>
  <c r="AF532" i="1"/>
  <c r="AD532" i="1"/>
  <c r="AE532" i="1" s="1"/>
  <c r="AG532" i="1" s="1"/>
  <c r="AF161" i="1"/>
  <c r="AD161" i="1"/>
  <c r="AE161" i="1" s="1"/>
  <c r="AG161" i="1" s="1"/>
  <c r="AD963" i="1"/>
  <c r="AF963" i="1"/>
  <c r="AD966" i="1"/>
  <c r="AF966" i="1"/>
  <c r="AD564" i="1"/>
  <c r="AE564" i="1" s="1"/>
  <c r="AG564" i="1" s="1"/>
  <c r="AF564" i="1"/>
  <c r="AF56" i="1"/>
  <c r="AD56" i="1"/>
  <c r="AE56" i="1" s="1"/>
  <c r="AF1758" i="1"/>
  <c r="AD1758" i="1"/>
  <c r="AE1758" i="1" s="1"/>
  <c r="AG1758" i="1" s="1"/>
  <c r="AF1759" i="1"/>
  <c r="AD1759" i="1"/>
  <c r="AE1759" i="1" s="1"/>
  <c r="AG1759" i="1" s="1"/>
  <c r="AD101" i="1"/>
  <c r="AE101" i="1" s="1"/>
  <c r="AG101" i="1" s="1"/>
  <c r="AF101" i="1"/>
  <c r="AF1322" i="1"/>
  <c r="AD1322" i="1"/>
  <c r="AF1394" i="1"/>
  <c r="AD1394" i="1"/>
  <c r="AF749" i="1"/>
  <c r="AD749" i="1"/>
  <c r="AF1334" i="1"/>
  <c r="AD1334" i="1"/>
  <c r="AD232" i="1"/>
  <c r="AE232" i="1" s="1"/>
  <c r="AG232" i="1" s="1"/>
  <c r="AF232" i="1"/>
  <c r="AF1514" i="1"/>
  <c r="AD1514" i="1"/>
  <c r="AD137" i="1"/>
  <c r="AE137" i="1" s="1"/>
  <c r="AG137" i="1" s="1"/>
  <c r="AF137" i="1"/>
  <c r="AF781" i="1"/>
  <c r="AD781" i="1"/>
  <c r="AD405" i="1"/>
  <c r="AE405" i="1" s="1"/>
  <c r="AG405" i="1" s="1"/>
  <c r="AF405" i="1"/>
  <c r="AD1391" i="1"/>
  <c r="AF1391" i="1"/>
  <c r="AF1570" i="1"/>
  <c r="AD1570" i="1"/>
  <c r="AE1570" i="1" s="1"/>
  <c r="AG1570" i="1" s="1"/>
  <c r="AD252" i="1"/>
  <c r="AE252" i="1" s="1"/>
  <c r="AG252" i="1" s="1"/>
  <c r="AF252" i="1"/>
  <c r="AF1664" i="1"/>
  <c r="AD1664" i="1"/>
  <c r="AE1664" i="1" s="1"/>
  <c r="AG1664" i="1" s="1"/>
  <c r="AF1557" i="1"/>
  <c r="AD1557" i="1"/>
  <c r="AE1557" i="1" s="1"/>
  <c r="AG1557" i="1" s="1"/>
  <c r="AF807" i="1"/>
  <c r="AD807" i="1"/>
  <c r="AD788" i="1"/>
  <c r="AF788" i="1"/>
  <c r="AD1657" i="1"/>
  <c r="AE1657" i="1" s="1"/>
  <c r="AG1657" i="1" s="1"/>
  <c r="AF1657" i="1"/>
  <c r="AD1499" i="1"/>
  <c r="AF1499" i="1"/>
  <c r="AD1202" i="1"/>
  <c r="AF1202" i="1"/>
  <c r="AD498" i="1"/>
  <c r="AE498" i="1" s="1"/>
  <c r="AG498" i="1" s="1"/>
  <c r="AF498" i="1"/>
  <c r="AD1303" i="1"/>
  <c r="AF1303" i="1"/>
  <c r="AD1405" i="1"/>
  <c r="AF1405" i="1"/>
  <c r="AD830" i="1"/>
  <c r="AF830" i="1"/>
  <c r="AD509" i="1"/>
  <c r="AE509" i="1" s="1"/>
  <c r="AG509" i="1" s="1"/>
  <c r="AF509" i="1"/>
  <c r="AD1232" i="1"/>
  <c r="AF1232" i="1"/>
  <c r="AF1650" i="1"/>
  <c r="AD1650" i="1"/>
  <c r="AE1650" i="1" s="1"/>
  <c r="AG1650" i="1" s="1"/>
  <c r="AD1507" i="1"/>
  <c r="AF1507" i="1"/>
  <c r="AD1611" i="1"/>
  <c r="AE1611" i="1" s="1"/>
  <c r="AG1611" i="1" s="1"/>
  <c r="AF1611" i="1"/>
  <c r="AD1576" i="1"/>
  <c r="AE1576" i="1" s="1"/>
  <c r="AG1576" i="1" s="1"/>
  <c r="AF1576" i="1"/>
  <c r="AD1682" i="1"/>
  <c r="AE1682" i="1" s="1"/>
  <c r="AG1682" i="1" s="1"/>
  <c r="AF1682" i="1"/>
  <c r="AF1417" i="1"/>
  <c r="AD1417" i="1"/>
  <c r="AD531" i="1"/>
  <c r="AE531" i="1" s="1"/>
  <c r="AG531" i="1" s="1"/>
  <c r="AF531" i="1"/>
  <c r="AD702" i="1"/>
  <c r="AF702" i="1"/>
  <c r="AD1600" i="1"/>
  <c r="AE1600" i="1" s="1"/>
  <c r="AG1600" i="1" s="1"/>
  <c r="AF1600" i="1"/>
  <c r="AD759" i="1"/>
  <c r="AF759" i="1"/>
  <c r="AD354" i="1"/>
  <c r="AE354" i="1" s="1"/>
  <c r="AG354" i="1" s="1"/>
  <c r="AF354" i="1"/>
  <c r="AD377" i="1"/>
  <c r="AE377" i="1" s="1"/>
  <c r="AG377" i="1" s="1"/>
  <c r="AF377" i="1"/>
  <c r="AF1433" i="1"/>
  <c r="AD1433" i="1"/>
  <c r="AD967" i="1"/>
  <c r="AF967" i="1"/>
  <c r="AD1763" i="1"/>
  <c r="AE1763" i="1" s="1"/>
  <c r="AG1763" i="1" s="1"/>
  <c r="AF1763" i="1"/>
  <c r="AD182" i="1"/>
  <c r="AE182" i="1" s="1"/>
  <c r="AG182" i="1" s="1"/>
  <c r="AF182" i="1"/>
  <c r="AD1362" i="1"/>
  <c r="AF1362" i="1"/>
  <c r="AD19" i="1"/>
  <c r="AE19" i="1" s="1"/>
  <c r="AG19" i="1" s="1"/>
  <c r="AF19" i="1"/>
  <c r="AF586" i="1"/>
  <c r="AD586" i="1"/>
  <c r="AE586" i="1" s="1"/>
  <c r="AG586" i="1" s="1"/>
  <c r="AF1744" i="1"/>
  <c r="AD1744" i="1"/>
  <c r="AE1744" i="1" s="1"/>
  <c r="AG1744" i="1" s="1"/>
  <c r="AD1114" i="1"/>
  <c r="AF1114" i="1"/>
  <c r="AF370" i="1"/>
  <c r="AD370" i="1"/>
  <c r="AE370" i="1" s="1"/>
  <c r="AG370" i="1" s="1"/>
  <c r="AF1555" i="1"/>
  <c r="AD1555" i="1"/>
  <c r="AE1555" i="1" s="1"/>
  <c r="AG1555" i="1" s="1"/>
  <c r="AD861" i="1"/>
  <c r="AF861" i="1"/>
  <c r="AD9" i="1"/>
  <c r="AE9" i="1" s="1"/>
  <c r="AG9" i="1" s="1"/>
  <c r="AF9" i="1"/>
  <c r="AF1719" i="1"/>
  <c r="AD1719" i="1"/>
  <c r="AE1719" i="1" s="1"/>
  <c r="AG1719" i="1" s="1"/>
  <c r="AF1740" i="1"/>
  <c r="AD1740" i="1"/>
  <c r="AE1740" i="1" s="1"/>
  <c r="AG1740" i="1" s="1"/>
  <c r="AF856" i="1"/>
  <c r="AD856" i="1"/>
  <c r="AD1145" i="1"/>
  <c r="AF1145" i="1"/>
  <c r="AF1033" i="1"/>
  <c r="AD1033" i="1"/>
  <c r="AD1661" i="1"/>
  <c r="AE1661" i="1" s="1"/>
  <c r="AG1661" i="1" s="1"/>
  <c r="AF1661" i="1"/>
  <c r="AD445" i="1"/>
  <c r="AE445" i="1" s="1"/>
  <c r="AG445" i="1" s="1"/>
  <c r="AF445" i="1"/>
  <c r="AF1333" i="1"/>
  <c r="AD1333" i="1"/>
  <c r="AF1725" i="1"/>
  <c r="AD1725" i="1"/>
  <c r="AE1725" i="1" s="1"/>
  <c r="AG1725" i="1" s="1"/>
  <c r="AF1715" i="1"/>
  <c r="AD1715" i="1"/>
  <c r="AE1715" i="1" s="1"/>
  <c r="AG1715" i="1" s="1"/>
  <c r="AD165" i="1"/>
  <c r="AE165" i="1" s="1"/>
  <c r="AG165" i="1" s="1"/>
  <c r="AF165" i="1"/>
  <c r="AD849" i="1"/>
  <c r="AF849" i="1"/>
  <c r="AD1096" i="1"/>
  <c r="AF1096" i="1"/>
  <c r="AF571" i="1"/>
  <c r="AD571" i="1"/>
  <c r="AE571" i="1" s="1"/>
  <c r="AG571" i="1" s="1"/>
  <c r="AD1447" i="1"/>
  <c r="AF1447" i="1"/>
  <c r="AD793" i="1"/>
  <c r="AF793" i="1"/>
  <c r="AD402" i="1"/>
  <c r="AE402" i="1" s="1"/>
  <c r="AG402" i="1" s="1"/>
  <c r="AF402" i="1"/>
  <c r="AD25" i="1"/>
  <c r="AE25" i="1" s="1"/>
  <c r="AG25" i="1" s="1"/>
  <c r="AF25" i="1"/>
  <c r="AD1149" i="1"/>
  <c r="AF1149" i="1"/>
  <c r="AF572" i="1"/>
  <c r="AD572" i="1"/>
  <c r="AE572" i="1" s="1"/>
  <c r="AG572" i="1" s="1"/>
  <c r="AF1679" i="1"/>
  <c r="AD1679" i="1"/>
  <c r="AE1679" i="1" s="1"/>
  <c r="AG1679" i="1" s="1"/>
  <c r="AD772" i="1"/>
  <c r="AF772" i="1"/>
  <c r="AF1243" i="1"/>
  <c r="AD1243" i="1"/>
  <c r="AD1642" i="1"/>
  <c r="AE1642" i="1" s="1"/>
  <c r="AG1642" i="1" s="1"/>
  <c r="AF1642" i="1"/>
  <c r="AF733" i="1"/>
  <c r="AD733" i="1"/>
  <c r="AD1652" i="1"/>
  <c r="AE1652" i="1" s="1"/>
  <c r="AG1652" i="1" s="1"/>
  <c r="AF1652" i="1"/>
  <c r="AD885" i="1"/>
  <c r="AF885" i="1"/>
  <c r="AD1224" i="1"/>
  <c r="AF1224" i="1"/>
  <c r="AD1627" i="1"/>
  <c r="AE1627" i="1" s="1"/>
  <c r="AG1627" i="1" s="1"/>
  <c r="AF1627" i="1"/>
  <c r="AD1174" i="1"/>
  <c r="AF1174" i="1"/>
  <c r="AD197" i="1"/>
  <c r="AE197" i="1" s="1"/>
  <c r="AG197" i="1" s="1"/>
  <c r="AF197" i="1"/>
  <c r="AF1617" i="1"/>
  <c r="AD1617" i="1"/>
  <c r="AE1617" i="1" s="1"/>
  <c r="AG1617" i="1" s="1"/>
  <c r="AD1380" i="1"/>
  <c r="AF1380" i="1"/>
  <c r="AD647" i="1"/>
  <c r="AE647" i="1" s="1"/>
  <c r="AG647" i="1" s="1"/>
  <c r="AF647" i="1"/>
  <c r="AD1131" i="1"/>
  <c r="AF1131" i="1"/>
  <c r="AD1106" i="1"/>
  <c r="AF1106" i="1"/>
  <c r="AF921" i="1"/>
  <c r="AD921" i="1"/>
  <c r="AD1301" i="1"/>
  <c r="AF1301" i="1"/>
  <c r="AF1616" i="1"/>
  <c r="AD1616" i="1"/>
  <c r="AE1616" i="1" s="1"/>
  <c r="AG1616" i="1" s="1"/>
  <c r="AD1638" i="1"/>
  <c r="AE1638" i="1" s="1"/>
  <c r="AG1638" i="1" s="1"/>
  <c r="AF1638" i="1"/>
  <c r="AD259" i="1"/>
  <c r="AE259" i="1" s="1"/>
  <c r="AG259" i="1" s="1"/>
  <c r="AF259" i="1"/>
  <c r="AD1219" i="1"/>
  <c r="AF1219" i="1"/>
  <c r="AF880" i="1"/>
  <c r="AD880" i="1"/>
  <c r="AD940" i="1"/>
  <c r="AF940" i="1"/>
  <c r="AD284" i="1"/>
  <c r="AE284" i="1" s="1"/>
  <c r="AG284" i="1" s="1"/>
  <c r="AF284" i="1"/>
  <c r="AD42" i="1"/>
  <c r="AE42" i="1" s="1"/>
  <c r="AF42" i="1"/>
  <c r="AD1316" i="1"/>
  <c r="AF1316" i="1"/>
  <c r="AD22" i="1"/>
  <c r="AE22" i="1" s="1"/>
  <c r="AG22" i="1" s="1"/>
  <c r="AF22" i="1"/>
  <c r="AF1732" i="1"/>
  <c r="AD1732" i="1"/>
  <c r="AE1732" i="1" s="1"/>
  <c r="AG1732" i="1" s="1"/>
  <c r="AD778" i="1"/>
  <c r="AF778" i="1"/>
  <c r="AF748" i="1"/>
  <c r="AD748" i="1"/>
  <c r="AF1321" i="1"/>
  <c r="AD1321" i="1"/>
  <c r="AD495" i="1"/>
  <c r="AE495" i="1" s="1"/>
  <c r="AG495" i="1" s="1"/>
  <c r="AF495" i="1"/>
  <c r="AG56" i="1" l="1"/>
  <c r="AG53" i="1"/>
  <c r="AG211" i="1"/>
  <c r="AG67" i="1"/>
  <c r="AG42" i="1"/>
  <c r="AG98" i="1"/>
  <c r="AG64" i="1"/>
  <c r="AG49" i="1"/>
</calcChain>
</file>

<file path=xl/sharedStrings.xml><?xml version="1.0" encoding="utf-8"?>
<sst xmlns="http://schemas.openxmlformats.org/spreadsheetml/2006/main" count="10984" uniqueCount="3879">
  <si>
    <t>Symbol</t>
  </si>
  <si>
    <t>Trading Symbol</t>
  </si>
  <si>
    <t>Exchange</t>
  </si>
  <si>
    <t>Bid Qty</t>
  </si>
  <si>
    <t>Bid Rate</t>
  </si>
  <si>
    <t>Ask Rate</t>
  </si>
  <si>
    <t>Ask Qty</t>
  </si>
  <si>
    <t>LTP</t>
  </si>
  <si>
    <t>LTT</t>
  </si>
  <si>
    <t>% Change</t>
  </si>
  <si>
    <t>ATP</t>
  </si>
  <si>
    <t>Volume Traded Today</t>
  </si>
  <si>
    <t>Open</t>
  </si>
  <si>
    <t>High</t>
  </si>
  <si>
    <t xml:space="preserve">Low </t>
  </si>
  <si>
    <t>Prev Close</t>
  </si>
  <si>
    <t>Face Value</t>
  </si>
  <si>
    <t>Isin code</t>
  </si>
  <si>
    <t>Investment</t>
  </si>
  <si>
    <t>Coupon_Rate</t>
  </si>
  <si>
    <t>Maturity</t>
  </si>
  <si>
    <t>Days Left</t>
  </si>
  <si>
    <t>Freq</t>
  </si>
  <si>
    <t>Time Remain</t>
  </si>
  <si>
    <t>Time</t>
  </si>
  <si>
    <t>Disc/Prem</t>
  </si>
  <si>
    <t>Rate</t>
  </si>
  <si>
    <t>SI</t>
  </si>
  <si>
    <t>Net Gain</t>
  </si>
  <si>
    <t>Gross Yield</t>
  </si>
  <si>
    <t>YTM</t>
  </si>
  <si>
    <t>Gross Profit</t>
  </si>
  <si>
    <t>ISIN</t>
  </si>
  <si>
    <t>SYMBOL</t>
  </si>
  <si>
    <t>SERIES</t>
  </si>
  <si>
    <t>FACE_VALUE</t>
  </si>
  <si>
    <t>ASK</t>
  </si>
  <si>
    <t>QTY</t>
  </si>
  <si>
    <t>COUPON_RATE</t>
  </si>
  <si>
    <t>MATURITY_DATE</t>
  </si>
  <si>
    <t>ISSUE_DESC</t>
  </si>
  <si>
    <t>FREQ</t>
  </si>
  <si>
    <t>INE00QS24019</t>
  </si>
  <si>
    <t>IMC1</t>
  </si>
  <si>
    <t>N0</t>
  </si>
  <si>
    <t>-</t>
  </si>
  <si>
    <t>CUMULATIVE</t>
  </si>
  <si>
    <t>INE00QS24027</t>
  </si>
  <si>
    <t>N2</t>
  </si>
  <si>
    <t>At the End</t>
  </si>
  <si>
    <t>INE00QS24035</t>
  </si>
  <si>
    <t>N3</t>
  </si>
  <si>
    <t>Half Yearly</t>
  </si>
  <si>
    <t>INE00QS24043</t>
  </si>
  <si>
    <t>N1</t>
  </si>
  <si>
    <t>HALF YEARLY</t>
  </si>
  <si>
    <t>INE00XE07119</t>
  </si>
  <si>
    <t>975MVAFL25</t>
  </si>
  <si>
    <t>17-Mar-2025</t>
  </si>
  <si>
    <t>Monthly</t>
  </si>
  <si>
    <t>INE00XE07143</t>
  </si>
  <si>
    <t>10MVAFL25</t>
  </si>
  <si>
    <t>Yearly</t>
  </si>
  <si>
    <t>INE00XE07176</t>
  </si>
  <si>
    <t>MVAFZC25</t>
  </si>
  <si>
    <t>--</t>
  </si>
  <si>
    <t>INE00XE07184</t>
  </si>
  <si>
    <t>MVAF27</t>
  </si>
  <si>
    <t>17-Sep-2027</t>
  </si>
  <si>
    <t>INE01CY077B7</t>
  </si>
  <si>
    <t>12ICLFL26</t>
  </si>
  <si>
    <t>14-Dec-2026</t>
  </si>
  <si>
    <t>MONTHLY</t>
  </si>
  <si>
    <t>INE01CY077C5</t>
  </si>
  <si>
    <t>1225ICLF26</t>
  </si>
  <si>
    <t>INE01CY077D3</t>
  </si>
  <si>
    <t>11ICLFL25</t>
  </si>
  <si>
    <t>14-Jan-2025</t>
  </si>
  <si>
    <t>INE01CY077E1</t>
  </si>
  <si>
    <t>125ICLFL28</t>
  </si>
  <si>
    <t>14-Dec-2028</t>
  </si>
  <si>
    <t>INE01CY077F8</t>
  </si>
  <si>
    <t>12ICFL25</t>
  </si>
  <si>
    <t>12-Dec-2025</t>
  </si>
  <si>
    <t>INE01CY077G6</t>
  </si>
  <si>
    <t>115ICLFL25</t>
  </si>
  <si>
    <t>INE01CY077H4</t>
  </si>
  <si>
    <t>115ICFL25</t>
  </si>
  <si>
    <t>INE01CY077I2</t>
  </si>
  <si>
    <t>1175ICLF25</t>
  </si>
  <si>
    <t>INE01CY077J0</t>
  </si>
  <si>
    <t>125ICFL26</t>
  </si>
  <si>
    <t>INE01CY077K8</t>
  </si>
  <si>
    <t>ICLFLZC29</t>
  </si>
  <si>
    <t>14-Aug-2029</t>
  </si>
  <si>
    <t>INE01CY077L6</t>
  </si>
  <si>
    <t>11IFL25</t>
  </si>
  <si>
    <t>19-May-2025</t>
  </si>
  <si>
    <t>INE01CY077M4</t>
  </si>
  <si>
    <t>1225IFL27</t>
  </si>
  <si>
    <t>19-Apr-2027</t>
  </si>
  <si>
    <t>Annual</t>
  </si>
  <si>
    <t>INE01CY077N2</t>
  </si>
  <si>
    <t>IFL1942024</t>
  </si>
  <si>
    <t>INE01CY077O0</t>
  </si>
  <si>
    <t>IFL19424</t>
  </si>
  <si>
    <t>19-Apr-2026</t>
  </si>
  <si>
    <t>INE01CY077P7</t>
  </si>
  <si>
    <t>1250IFL29</t>
  </si>
  <si>
    <t>18-Apr-2029</t>
  </si>
  <si>
    <t>INE01CY077Q5</t>
  </si>
  <si>
    <t>IFL19424A</t>
  </si>
  <si>
    <t>19-Dec-2029</t>
  </si>
  <si>
    <t>INE01CY077R3</t>
  </si>
  <si>
    <t>12IFL27</t>
  </si>
  <si>
    <t>INE01CY077S1</t>
  </si>
  <si>
    <t>1175IFL26</t>
  </si>
  <si>
    <t>INE01CY077T9</t>
  </si>
  <si>
    <t>1150IFL26</t>
  </si>
  <si>
    <t>INE01CY077U7</t>
  </si>
  <si>
    <t>IFL190424</t>
  </si>
  <si>
    <t>INE01HV07403</t>
  </si>
  <si>
    <t>10VCL25</t>
  </si>
  <si>
    <t>06-Mar-2025</t>
  </si>
  <si>
    <t>INE01HV07411</t>
  </si>
  <si>
    <t>957VCL25</t>
  </si>
  <si>
    <t>INE01HV07429</t>
  </si>
  <si>
    <t>VIVRITI CAPITAL LIMITED</t>
  </si>
  <si>
    <t>QUARTERLY</t>
  </si>
  <si>
    <t>965VCL25</t>
  </si>
  <si>
    <t>06-Sep-2025</t>
  </si>
  <si>
    <t>INE01HV07437</t>
  </si>
  <si>
    <t>1003VCL25</t>
  </si>
  <si>
    <t>INE01HV07445</t>
  </si>
  <si>
    <t>1050VCL25</t>
  </si>
  <si>
    <t>INE01I507091</t>
  </si>
  <si>
    <t>KAFZC24</t>
  </si>
  <si>
    <t>05-Nov-2024</t>
  </si>
  <si>
    <t>INE01I507190</t>
  </si>
  <si>
    <t>KAFLZC26</t>
  </si>
  <si>
    <t>02-Jan-2026</t>
  </si>
  <si>
    <t>INE01I507273</t>
  </si>
  <si>
    <t>1175KLM25</t>
  </si>
  <si>
    <t>01-Jul-2025</t>
  </si>
  <si>
    <t>INE01I507281</t>
  </si>
  <si>
    <t>12KLM25</t>
  </si>
  <si>
    <t>INE01I507299</t>
  </si>
  <si>
    <t>KAFLZC26A</t>
  </si>
  <si>
    <t>01-Oct-2026</t>
  </si>
  <si>
    <t>INE01I507372</t>
  </si>
  <si>
    <t>1125KLM26</t>
  </si>
  <si>
    <t>29-Jul-2026</t>
  </si>
  <si>
    <t>INE01I507380</t>
  </si>
  <si>
    <t>1150KLM26</t>
  </si>
  <si>
    <t>INE01I507398</t>
  </si>
  <si>
    <t>KAFL28</t>
  </si>
  <si>
    <t>29-Feb-2028</t>
  </si>
  <si>
    <t>INE01I507455</t>
  </si>
  <si>
    <t>1050KAFL24</t>
  </si>
  <si>
    <t>31-Oct-2024</t>
  </si>
  <si>
    <t>INE01I507463</t>
  </si>
  <si>
    <t>1075KLM24</t>
  </si>
  <si>
    <t>INE01I507471</t>
  </si>
  <si>
    <t>11KAFL26</t>
  </si>
  <si>
    <t>31-Oct-2026</t>
  </si>
  <si>
    <t>INE01I507489</t>
  </si>
  <si>
    <t>1125KLM26A</t>
  </si>
  <si>
    <t>INE01I507497</t>
  </si>
  <si>
    <t>KAFL28A</t>
  </si>
  <si>
    <t>30-Jun-2028</t>
  </si>
  <si>
    <t>INE01I507554</t>
  </si>
  <si>
    <t>1025KAFL25</t>
  </si>
  <si>
    <t>15-Mar-2025</t>
  </si>
  <si>
    <t>INE01I507562</t>
  </si>
  <si>
    <t>1050KAFL25</t>
  </si>
  <si>
    <t>INE01I507570</t>
  </si>
  <si>
    <t>11KAFL27</t>
  </si>
  <si>
    <t>16-Mar-2027</t>
  </si>
  <si>
    <t>INE01I507588</t>
  </si>
  <si>
    <t>1125KAFL27</t>
  </si>
  <si>
    <t>INE01I507596</t>
  </si>
  <si>
    <t>KAFLZC28</t>
  </si>
  <si>
    <t>16-Nov-2028</t>
  </si>
  <si>
    <t>INE01I507638</t>
  </si>
  <si>
    <t>95KLM25</t>
  </si>
  <si>
    <t>17-Oct-2025</t>
  </si>
  <si>
    <t>INE01I507646</t>
  </si>
  <si>
    <t>975KLM25</t>
  </si>
  <si>
    <t>INE01I507653</t>
  </si>
  <si>
    <t>1050KLM27</t>
  </si>
  <si>
    <t>16-Oct-2027</t>
  </si>
  <si>
    <t>INE01I507661</t>
  </si>
  <si>
    <t>1075KLM27</t>
  </si>
  <si>
    <t>INE01I507679</t>
  </si>
  <si>
    <t>KAFL29</t>
  </si>
  <si>
    <t>17-Aug-2029</t>
  </si>
  <si>
    <t>INE01I507703</t>
  </si>
  <si>
    <t>1075KLMA28</t>
  </si>
  <si>
    <t>09-Mar-2028</t>
  </si>
  <si>
    <t>INE01I507729</t>
  </si>
  <si>
    <t>975KLMAF26</t>
  </si>
  <si>
    <t>09-Mar-2026</t>
  </si>
  <si>
    <t>INE01I507737</t>
  </si>
  <si>
    <t>1050KLMA28</t>
  </si>
  <si>
    <t>INE01I507752</t>
  </si>
  <si>
    <t>KAFLZC30</t>
  </si>
  <si>
    <t>09-Jan-2030</t>
  </si>
  <si>
    <t>INE01I507778</t>
  </si>
  <si>
    <t>925KLMAF25</t>
  </si>
  <si>
    <t>07-Mar-2025</t>
  </si>
  <si>
    <t>INE01I507786</t>
  </si>
  <si>
    <t>950KLMAF25</t>
  </si>
  <si>
    <t>INE01I507794</t>
  </si>
  <si>
    <t>950KLMF26</t>
  </si>
  <si>
    <t>INE01I507802</t>
  </si>
  <si>
    <t>1075KAFL28</t>
  </si>
  <si>
    <t>12-Sep-2028</t>
  </si>
  <si>
    <t>INE01I507810</t>
  </si>
  <si>
    <t>KAFL30</t>
  </si>
  <si>
    <t>15-Jul-2030</t>
  </si>
  <si>
    <t>INE01I507828</t>
  </si>
  <si>
    <t>KAFL25</t>
  </si>
  <si>
    <t>10-Jan-2025</t>
  </si>
  <si>
    <t>INE01I507836</t>
  </si>
  <si>
    <t>935KAFL25</t>
  </si>
  <si>
    <t>12-Mar-2025</t>
  </si>
  <si>
    <t>INE01I507844</t>
  </si>
  <si>
    <t>950KLM25</t>
  </si>
  <si>
    <t>11-Sep-2025</t>
  </si>
  <si>
    <t>INE01I507851</t>
  </si>
  <si>
    <t>975KAFL25</t>
  </si>
  <si>
    <t>INE01I507869</t>
  </si>
  <si>
    <t>975KAFL26</t>
  </si>
  <si>
    <t>11-Sep-2026</t>
  </si>
  <si>
    <t>INE01I507877</t>
  </si>
  <si>
    <t>10KAFL26</t>
  </si>
  <si>
    <t>INE01I507885</t>
  </si>
  <si>
    <t>1050KAFL28</t>
  </si>
  <si>
    <t>INE01I507935</t>
  </si>
  <si>
    <t>95KAFL25</t>
  </si>
  <si>
    <t>INE01I507943</t>
  </si>
  <si>
    <t>985KAFL26</t>
  </si>
  <si>
    <t>06-Feb-2026</t>
  </si>
  <si>
    <t>INE01I507950</t>
  </si>
  <si>
    <t>10KAFL26B</t>
  </si>
  <si>
    <t>07-Aug-2026</t>
  </si>
  <si>
    <t>INE01I507968</t>
  </si>
  <si>
    <t>10KAFL26A</t>
  </si>
  <si>
    <t>ANNUALY</t>
  </si>
  <si>
    <t>INE01I507976</t>
  </si>
  <si>
    <t>1025KAFL27</t>
  </si>
  <si>
    <t>07-Aug-2027</t>
  </si>
  <si>
    <t>INE01I507984</t>
  </si>
  <si>
    <t>1075KAFL29</t>
  </si>
  <si>
    <t>07-Aug-2029</t>
  </si>
  <si>
    <t>INE01I507992</t>
  </si>
  <si>
    <t>11KAFL29</t>
  </si>
  <si>
    <t>INE01I507AA8</t>
  </si>
  <si>
    <t>KAF080824</t>
  </si>
  <si>
    <t>07-Mar-2031</t>
  </si>
  <si>
    <t>INE01I507AB6</t>
  </si>
  <si>
    <t>KAFL080824</t>
  </si>
  <si>
    <t>06-Dec-2025</t>
  </si>
  <si>
    <t>INE01I507AC4</t>
  </si>
  <si>
    <t>1050KAFL27</t>
  </si>
  <si>
    <t>INE020B07GH7</t>
  </si>
  <si>
    <t>RECLTD</t>
  </si>
  <si>
    <t>NI</t>
  </si>
  <si>
    <t>812REC27</t>
  </si>
  <si>
    <t>27-Mar-2027</t>
  </si>
  <si>
    <t>INE020B07GX4</t>
  </si>
  <si>
    <t>19-Dec-2027</t>
  </si>
  <si>
    <t>TAXFREE SEC NCD TR1 S2</t>
  </si>
  <si>
    <t>738REC27TF</t>
  </si>
  <si>
    <t>INE020B07GZ9</t>
  </si>
  <si>
    <t>N4</t>
  </si>
  <si>
    <t>1,304.00</t>
  </si>
  <si>
    <t>14</t>
  </si>
  <si>
    <t>25-Mar-2028</t>
  </si>
  <si>
    <t>BOND 7.04% PA Tax Free S2</t>
  </si>
  <si>
    <t>INE020B07HP8</t>
  </si>
  <si>
    <t>N6</t>
  </si>
  <si>
    <t>1,170.79</t>
  </si>
  <si>
    <t>10</t>
  </si>
  <si>
    <t>24-Sep-2028</t>
  </si>
  <si>
    <t>BOND 8.46% Tax Free S2A</t>
  </si>
  <si>
    <t>846REC28</t>
  </si>
  <si>
    <t>INE020B07HS2</t>
  </si>
  <si>
    <t>N9</t>
  </si>
  <si>
    <t>BOND 8.71% Tax Free S2B</t>
  </si>
  <si>
    <t>871REC28</t>
  </si>
  <si>
    <t>INE020B07HT0</t>
  </si>
  <si>
    <t>NA</t>
  </si>
  <si>
    <t>24-Sep-2033</t>
  </si>
  <si>
    <t>BOND 8.62% Tax Free S3B</t>
  </si>
  <si>
    <t>862REC33</t>
  </si>
  <si>
    <t>INE020B07ID2</t>
  </si>
  <si>
    <t>NC</t>
  </si>
  <si>
    <t>24-Mar-2029</t>
  </si>
  <si>
    <t>BOND 8.63% PA TFTR II S2A</t>
  </si>
  <si>
    <t>863REC29</t>
  </si>
  <si>
    <t>INE020B07IE0</t>
  </si>
  <si>
    <t>ND</t>
  </si>
  <si>
    <t>1,850.00</t>
  </si>
  <si>
    <t>48</t>
  </si>
  <si>
    <t>24-Mar-2034</t>
  </si>
  <si>
    <t>BOND 8.61% PA TFTR II S3A</t>
  </si>
  <si>
    <t>861REC34</t>
  </si>
  <si>
    <t>INE020B07IG5</t>
  </si>
  <si>
    <t>NF</t>
  </si>
  <si>
    <t>1,247.36</t>
  </si>
  <si>
    <t>50</t>
  </si>
  <si>
    <t>BOND 8.88% PA TFTR II S2B</t>
  </si>
  <si>
    <t>888REC29</t>
  </si>
  <si>
    <t>INE020B07IH3</t>
  </si>
  <si>
    <t>886REC34</t>
  </si>
  <si>
    <t>INE020B07JP4</t>
  </si>
  <si>
    <t>689RECL24</t>
  </si>
  <si>
    <t>05-Nov-2025</t>
  </si>
  <si>
    <t>INE020B07JQ2</t>
  </si>
  <si>
    <t>714REC25</t>
  </si>
  <si>
    <t>INE020B07JR0</t>
  </si>
  <si>
    <t>709REC30</t>
  </si>
  <si>
    <t>05-Nov-2030</t>
  </si>
  <si>
    <t>INE020B07JS8</t>
  </si>
  <si>
    <t>734REC30</t>
  </si>
  <si>
    <t>INE020B07JT6</t>
  </si>
  <si>
    <t>718REC35</t>
  </si>
  <si>
    <t>05-Nov-2035</t>
  </si>
  <si>
    <t>INE020B07JU4</t>
  </si>
  <si>
    <t>NH</t>
  </si>
  <si>
    <t>1,224.99</t>
  </si>
  <si>
    <t>25</t>
  </si>
  <si>
    <t>743RE-ML-FL</t>
  </si>
  <si>
    <t>743REC35</t>
  </si>
  <si>
    <t>INE027E07964</t>
  </si>
  <si>
    <t>92LTF29</t>
  </si>
  <si>
    <t>13-Mar-2029</t>
  </si>
  <si>
    <t>INE027E07972</t>
  </si>
  <si>
    <t>LTF</t>
  </si>
  <si>
    <t>N5</t>
  </si>
  <si>
    <t>935LTF29</t>
  </si>
  <si>
    <t>INE027E07980</t>
  </si>
  <si>
    <t>884LTF29</t>
  </si>
  <si>
    <t>INE027E07998</t>
  </si>
  <si>
    <t>898LTF29</t>
  </si>
  <si>
    <t>INE027E07AK3</t>
  </si>
  <si>
    <t>885LTF27</t>
  </si>
  <si>
    <t>15-Apr-2027</t>
  </si>
  <si>
    <t>INE027E07AL1</t>
  </si>
  <si>
    <t>1,038.95</t>
  </si>
  <si>
    <t>905LTF27</t>
  </si>
  <si>
    <t>INE027E07AM9</t>
  </si>
  <si>
    <t>852LTF27</t>
  </si>
  <si>
    <t>INE027E07AN7</t>
  </si>
  <si>
    <t>87LTF27</t>
  </si>
  <si>
    <t>INE027E07AX6</t>
  </si>
  <si>
    <t>845LTF24</t>
  </si>
  <si>
    <t>23-Dec-2024</t>
  </si>
  <si>
    <t>INE027E07AY4</t>
  </si>
  <si>
    <t>NJ</t>
  </si>
  <si>
    <t>0</t>
  </si>
  <si>
    <t>86LTF24</t>
  </si>
  <si>
    <t>INE027E07AZ1</t>
  </si>
  <si>
    <t>815LTF24</t>
  </si>
  <si>
    <t>INE027E07BA2</t>
  </si>
  <si>
    <t>NL</t>
  </si>
  <si>
    <t>829LTF24</t>
  </si>
  <si>
    <t>INE027E07BB0</t>
  </si>
  <si>
    <t>85LTF26</t>
  </si>
  <si>
    <t>23-Dec-2026</t>
  </si>
  <si>
    <t>INE027E07BC8</t>
  </si>
  <si>
    <t>NN</t>
  </si>
  <si>
    <t>865LTF26</t>
  </si>
  <si>
    <t>INE031A07840</t>
  </si>
  <si>
    <t>HUDCO</t>
  </si>
  <si>
    <t>05-Mar-2027</t>
  </si>
  <si>
    <t>8.20 NCD05MAR27 FV 1000</t>
  </si>
  <si>
    <t>82HUDCO27</t>
  </si>
  <si>
    <t>INE031A07865</t>
  </si>
  <si>
    <t>16-Feb-2028</t>
  </si>
  <si>
    <t>7.51 NCD 16FEB28 Tr1 Sr2</t>
  </si>
  <si>
    <t>751HUDCO28</t>
  </si>
  <si>
    <t>INE031A07881</t>
  </si>
  <si>
    <t>N7</t>
  </si>
  <si>
    <t>1,078.70</t>
  </si>
  <si>
    <t>28-Mar-2028</t>
  </si>
  <si>
    <t>BOND 7.19% PA Tax Free S2</t>
  </si>
  <si>
    <t>INE031A07915</t>
  </si>
  <si>
    <t>NB</t>
  </si>
  <si>
    <t>1,317.99</t>
  </si>
  <si>
    <t>675</t>
  </si>
  <si>
    <t>851HUDCO28</t>
  </si>
  <si>
    <t>25-Oct-2028</t>
  </si>
  <si>
    <t>INE031A07949</t>
  </si>
  <si>
    <t>1,175.00</t>
  </si>
  <si>
    <t>30</t>
  </si>
  <si>
    <t>876HUDCO28</t>
  </si>
  <si>
    <t>INE031A07972</t>
  </si>
  <si>
    <t>1,639.90</t>
  </si>
  <si>
    <t>175</t>
  </si>
  <si>
    <t>858HUDCO29</t>
  </si>
  <si>
    <t>13-Jan-2029</t>
  </si>
  <si>
    <t>INE031A07AB2</t>
  </si>
  <si>
    <t>901HUDCO34</t>
  </si>
  <si>
    <t>13-Jan-2034</t>
  </si>
  <si>
    <t>INE031A07AL1</t>
  </si>
  <si>
    <t>702HUDCO26</t>
  </si>
  <si>
    <t>08-Feb-2026</t>
  </si>
  <si>
    <t>INE031A07AM9</t>
  </si>
  <si>
    <t>739HUDC31</t>
  </si>
  <si>
    <t>08-Feb-2031</t>
  </si>
  <si>
    <t>INE031A07AN7</t>
  </si>
  <si>
    <t>727HUDCO26</t>
  </si>
  <si>
    <t>INE031A07AO5</t>
  </si>
  <si>
    <t>N8</t>
  </si>
  <si>
    <t>764HUDC-ML-FL</t>
  </si>
  <si>
    <t>764HUDCO31</t>
  </si>
  <si>
    <t>INE031A07AQ0</t>
  </si>
  <si>
    <t>704HUDCO26</t>
  </si>
  <si>
    <t>15-Mar-2026</t>
  </si>
  <si>
    <t>INE031A07AR8</t>
  </si>
  <si>
    <t>739HUDCO-ML-FL</t>
  </si>
  <si>
    <t>15-Mar-2031</t>
  </si>
  <si>
    <t>739HUDCO31</t>
  </si>
  <si>
    <t>INE031A07AS6</t>
  </si>
  <si>
    <t>729HUDCO26</t>
  </si>
  <si>
    <t>INE031A07AT4</t>
  </si>
  <si>
    <t>769HUDC-ML-FL</t>
  </si>
  <si>
    <t>769HUDCO31</t>
  </si>
  <si>
    <t>INE033L07GN7</t>
  </si>
  <si>
    <t>TATACAPHSG</t>
  </si>
  <si>
    <t>Sec Red NCD 7.92% Sr.II</t>
  </si>
  <si>
    <t>792TCH25</t>
  </si>
  <si>
    <t>INE033L07GO5</t>
  </si>
  <si>
    <t>Sec Red NCD 8.01% Sr.II</t>
  </si>
  <si>
    <t>801TCH25</t>
  </si>
  <si>
    <t>INE033L07GP2</t>
  </si>
  <si>
    <t>Sec Red NCD 8.20% Sr.III</t>
  </si>
  <si>
    <t>82TCHF25</t>
  </si>
  <si>
    <t>INE033L07GQ0</t>
  </si>
  <si>
    <t>1,028.00</t>
  </si>
  <si>
    <t>5</t>
  </si>
  <si>
    <t>Sec Red NCD 8.30% Sr.III</t>
  </si>
  <si>
    <t>83TCHF25</t>
  </si>
  <si>
    <t>INE033L07GR8</t>
  </si>
  <si>
    <t>14-Jan-2028</t>
  </si>
  <si>
    <t>Sec Red NCD 8.01% Sr.IV</t>
  </si>
  <si>
    <t>801TCH28</t>
  </si>
  <si>
    <t>INE033L07GS6</t>
  </si>
  <si>
    <t>1,010.00</t>
  </si>
  <si>
    <t>Sec Red NCD 8.10% Sr.IV</t>
  </si>
  <si>
    <t>81TCHF28</t>
  </si>
  <si>
    <t>INE033L07GT4</t>
  </si>
  <si>
    <t>83TCHF28</t>
  </si>
  <si>
    <t>INE033L07GU2</t>
  </si>
  <si>
    <t>Sec Red NCD 8.40% Sr.V</t>
  </si>
  <si>
    <t>84TCHF28</t>
  </si>
  <si>
    <t>INE033L07IE2</t>
  </si>
  <si>
    <t>810TCHFL27</t>
  </si>
  <si>
    <t>x</t>
  </si>
  <si>
    <t>INE033L08270</t>
  </si>
  <si>
    <t>14-Jan-2030</t>
  </si>
  <si>
    <t>Un Se Re NCD 8.55% Sr.VI</t>
  </si>
  <si>
    <t>TCHF30</t>
  </si>
  <si>
    <t>INE039A07801</t>
  </si>
  <si>
    <t>IFCI</t>
  </si>
  <si>
    <t>1,031.75</t>
  </si>
  <si>
    <t>01-Dec-2024</t>
  </si>
  <si>
    <t>9.90 % SRNCD Sr VI</t>
  </si>
  <si>
    <t>99IFCI24</t>
  </si>
  <si>
    <t>INE039A07819</t>
  </si>
  <si>
    <t>SRNCD Sr VII</t>
  </si>
  <si>
    <t>IFCIZC24</t>
  </si>
  <si>
    <t>INE039A07843</t>
  </si>
  <si>
    <t>1,018.96</t>
  </si>
  <si>
    <t>13-Feb-2025</t>
  </si>
  <si>
    <t>9.40 % SRNCD Tr II Sr III</t>
  </si>
  <si>
    <t>94IFCI25</t>
  </si>
  <si>
    <t>INE039A07850</t>
  </si>
  <si>
    <t>NM</t>
  </si>
  <si>
    <t>2,320.00</t>
  </si>
  <si>
    <t>Cumulative</t>
  </si>
  <si>
    <t>IFCIZC25</t>
  </si>
  <si>
    <t>INE03W107215</t>
  </si>
  <si>
    <t>93ARKA25</t>
  </si>
  <si>
    <t>27-Dec-2025</t>
  </si>
  <si>
    <t>INE03W107223</t>
  </si>
  <si>
    <t>10ARKA28</t>
  </si>
  <si>
    <t>27-Dec-2028</t>
  </si>
  <si>
    <t>INE03W107231</t>
  </si>
  <si>
    <t>93ARKA26</t>
  </si>
  <si>
    <t>27-Dec-2026</t>
  </si>
  <si>
    <t>INE03W107249</t>
  </si>
  <si>
    <t>965ARKA26</t>
  </si>
  <si>
    <t>INE03W107256</t>
  </si>
  <si>
    <t>965ARKA28</t>
  </si>
  <si>
    <t>INE03W107264</t>
  </si>
  <si>
    <t>9ARKA25</t>
  </si>
  <si>
    <t>INE051307994</t>
  </si>
  <si>
    <t>1075CCIL25</t>
  </si>
  <si>
    <t>INE051307AA0</t>
  </si>
  <si>
    <t>11CCIL26</t>
  </si>
  <si>
    <t>09-Jan-2026</t>
  </si>
  <si>
    <t>INE051307AB8</t>
  </si>
  <si>
    <t>115CCIL28</t>
  </si>
  <si>
    <t>11-Jan-2028</t>
  </si>
  <si>
    <t>INE051307AC6</t>
  </si>
  <si>
    <t>CCILZC25</t>
  </si>
  <si>
    <t>INE051307AD4</t>
  </si>
  <si>
    <t>CCILZC26</t>
  </si>
  <si>
    <t>INE051307AE2</t>
  </si>
  <si>
    <t>CCILZC29</t>
  </si>
  <si>
    <t>09-Mar-2029</t>
  </si>
  <si>
    <t>INE051307AI3</t>
  </si>
  <si>
    <t>CCILZC25A</t>
  </si>
  <si>
    <t>01-Nov-2025</t>
  </si>
  <si>
    <t>INE051307AJ1</t>
  </si>
  <si>
    <t>11CCL26</t>
  </si>
  <si>
    <t>02-Nov-2026</t>
  </si>
  <si>
    <t>INE051307AK9</t>
  </si>
  <si>
    <t>CCILZC30</t>
  </si>
  <si>
    <t>03-Jan-2030</t>
  </si>
  <si>
    <t>INE051307AL7</t>
  </si>
  <si>
    <t>CCILZC24</t>
  </si>
  <si>
    <t>INE051307AM5</t>
  </si>
  <si>
    <t>1150CCIL28</t>
  </si>
  <si>
    <t>10-Mar-2029</t>
  </si>
  <si>
    <t>INE051307AN3</t>
  </si>
  <si>
    <t>1075CCL25</t>
  </si>
  <si>
    <t>INE051307AO1</t>
  </si>
  <si>
    <t>1050CCIL25</t>
  </si>
  <si>
    <t>INE051307AP8</t>
  </si>
  <si>
    <t>95CCIL24A</t>
  </si>
  <si>
    <t>02-Nov-2024</t>
  </si>
  <si>
    <t>INE051307AQ6</t>
  </si>
  <si>
    <t>CCI110324A</t>
  </si>
  <si>
    <t>11-Mar-2030</t>
  </si>
  <si>
    <t>INE051307AR4</t>
  </si>
  <si>
    <t>CCI110324</t>
  </si>
  <si>
    <t>10-Mar-2026</t>
  </si>
  <si>
    <t>INE051307AS2</t>
  </si>
  <si>
    <t>CCIL110324</t>
  </si>
  <si>
    <t>11-Mar-2025</t>
  </si>
  <si>
    <t>INE051307AT0</t>
  </si>
  <si>
    <t>1150CCIL29</t>
  </si>
  <si>
    <t>INE051307AU8</t>
  </si>
  <si>
    <t>11CCIL27</t>
  </si>
  <si>
    <t>10-Mar-2027</t>
  </si>
  <si>
    <t>INE051307AV6</t>
  </si>
  <si>
    <t>1075CCIL26</t>
  </si>
  <si>
    <t>INE051307AW4</t>
  </si>
  <si>
    <t>1050CCI25</t>
  </si>
  <si>
    <t>10-Sep-2025</t>
  </si>
  <si>
    <t>INE051307AX2</t>
  </si>
  <si>
    <t>95CCIL25</t>
  </si>
  <si>
    <t>INE051307AY0</t>
  </si>
  <si>
    <t>CCIL14824C</t>
  </si>
  <si>
    <t>13-Jun-2030</t>
  </si>
  <si>
    <t>INE051307AZ7</t>
  </si>
  <si>
    <t>1075CCI26</t>
  </si>
  <si>
    <t>13-Feb-2026</t>
  </si>
  <si>
    <t>INE051307BA8</t>
  </si>
  <si>
    <t>11CCI26</t>
  </si>
  <si>
    <t>13-Aug-2026</t>
  </si>
  <si>
    <t>INE051307BB6</t>
  </si>
  <si>
    <t>1125CCI27</t>
  </si>
  <si>
    <t>13-Aug-2027</t>
  </si>
  <si>
    <t>INE051307BC4</t>
  </si>
  <si>
    <t>950CCIL25</t>
  </si>
  <si>
    <t>15-Aug-2025</t>
  </si>
  <si>
    <t>INE051307BD2</t>
  </si>
  <si>
    <t>12CCI29</t>
  </si>
  <si>
    <t>13-Aug-2029</t>
  </si>
  <si>
    <t>INE051307BE0</t>
  </si>
  <si>
    <t>CCIL14824A</t>
  </si>
  <si>
    <t>INE051307BF7</t>
  </si>
  <si>
    <t>CCIL14824B</t>
  </si>
  <si>
    <t>INE051307BG5</t>
  </si>
  <si>
    <t>CCIL14824</t>
  </si>
  <si>
    <t>INE053F07538</t>
  </si>
  <si>
    <t>IRFC</t>
  </si>
  <si>
    <t>1,115.00</t>
  </si>
  <si>
    <t>47</t>
  </si>
  <si>
    <t>23-Feb-2027</t>
  </si>
  <si>
    <t>BOND 8.10% PA Tax Free S2</t>
  </si>
  <si>
    <t>INE053F07579</t>
  </si>
  <si>
    <t>734IRFC28</t>
  </si>
  <si>
    <t>19-Feb-2028</t>
  </si>
  <si>
    <t>INE053F07595</t>
  </si>
  <si>
    <t>23-Mar-2028</t>
  </si>
  <si>
    <t>INE053F07660</t>
  </si>
  <si>
    <t>1,188.00</t>
  </si>
  <si>
    <t>158</t>
  </si>
  <si>
    <t>18-Feb-2029</t>
  </si>
  <si>
    <t>BOND 8.40% PA TF TI-SIIA</t>
  </si>
  <si>
    <t>840IRFC29</t>
  </si>
  <si>
    <t>INE053F07686</t>
  </si>
  <si>
    <t>BOND 8.65% PA TF TI-SIIB</t>
  </si>
  <si>
    <t>865IRFC29</t>
  </si>
  <si>
    <t>INE053F07728</t>
  </si>
  <si>
    <t>26-Mar-2029</t>
  </si>
  <si>
    <t>BOND 8.63% PA TF TII-SIIA</t>
  </si>
  <si>
    <t>863IRFC29</t>
  </si>
  <si>
    <t>INE053F07744</t>
  </si>
  <si>
    <t>NE</t>
  </si>
  <si>
    <t>1,170.00</t>
  </si>
  <si>
    <t>814</t>
  </si>
  <si>
    <t>BOND 8.88% PA TF TII-SIIB</t>
  </si>
  <si>
    <t>888IRFC29</t>
  </si>
  <si>
    <t>INE053F07793</t>
  </si>
  <si>
    <t>1,226.90</t>
  </si>
  <si>
    <t>18</t>
  </si>
  <si>
    <t>21-Dec-2025</t>
  </si>
  <si>
    <t>Tax Free 7.07% Sr. 102</t>
  </si>
  <si>
    <t>707IRFC25</t>
  </si>
  <si>
    <t>INE053F07801</t>
  </si>
  <si>
    <t>NG</t>
  </si>
  <si>
    <t>1,374.90</t>
  </si>
  <si>
    <t>200</t>
  </si>
  <si>
    <t>21-Dec-2030</t>
  </si>
  <si>
    <t>Tax Free 7.28% Sr. 103</t>
  </si>
  <si>
    <t>728IRFC30</t>
  </si>
  <si>
    <t>INE053F07819</t>
  </si>
  <si>
    <t>1,440.00</t>
  </si>
  <si>
    <t>19</t>
  </si>
  <si>
    <t>21-Dec-2035</t>
  </si>
  <si>
    <t>Tax Free 7.25% Sr. 104</t>
  </si>
  <si>
    <t>725IRFC35</t>
  </si>
  <si>
    <t>INE053F07827</t>
  </si>
  <si>
    <t>1,067.28</t>
  </si>
  <si>
    <t>Tax Free 7.32% Sr. 102 A</t>
  </si>
  <si>
    <t>732IRFC25</t>
  </si>
  <si>
    <t>INE053F07835</t>
  </si>
  <si>
    <t>1,153.00</t>
  </si>
  <si>
    <t>Tax Free 7.53% Sr. 103 A</t>
  </si>
  <si>
    <t>753IRFC30</t>
  </si>
  <si>
    <t>INE053F07843</t>
  </si>
  <si>
    <t>NK</t>
  </si>
  <si>
    <t>1,236.79</t>
  </si>
  <si>
    <t>15</t>
  </si>
  <si>
    <t>Tax Free 7.50% Sr. 104 A</t>
  </si>
  <si>
    <t>750IRFC35</t>
  </si>
  <si>
    <t>INE053F07876</t>
  </si>
  <si>
    <t>1,219.90</t>
  </si>
  <si>
    <t>272</t>
  </si>
  <si>
    <t>22-Mar-2026</t>
  </si>
  <si>
    <t>Tax Free 7.04% Sr. 107</t>
  </si>
  <si>
    <t>704IRFC26</t>
  </si>
  <si>
    <t>INE053F07884</t>
  </si>
  <si>
    <t>1,518.00</t>
  </si>
  <si>
    <t>100</t>
  </si>
  <si>
    <t>22-Mar-2031</t>
  </si>
  <si>
    <t>Tax Free 7.35% Sr. 108</t>
  </si>
  <si>
    <t>735IRF-ML-FL</t>
  </si>
  <si>
    <t>735IRFC31</t>
  </si>
  <si>
    <t>INE053F07892</t>
  </si>
  <si>
    <t>Tax Free 7.29% Sr. 107A</t>
  </si>
  <si>
    <t>729IRFC26</t>
  </si>
  <si>
    <t>INE053F07900</t>
  </si>
  <si>
    <t>NO</t>
  </si>
  <si>
    <t>1,164.00</t>
  </si>
  <si>
    <t>500</t>
  </si>
  <si>
    <t>Tax Free 7.64% Sr. 108A</t>
  </si>
  <si>
    <t>764IRF-ML-FL</t>
  </si>
  <si>
    <t>764IRFC31</t>
  </si>
  <si>
    <t>INE05F407AZ7</t>
  </si>
  <si>
    <t>MML30</t>
  </si>
  <si>
    <t>INE05F407BA8</t>
  </si>
  <si>
    <t>MML24</t>
  </si>
  <si>
    <t>20-Dec-2024</t>
  </si>
  <si>
    <t>INE05F407BB6</t>
  </si>
  <si>
    <t>1050MML28</t>
  </si>
  <si>
    <t>21-Dec-2028</t>
  </si>
  <si>
    <t>INE05F407BC4</t>
  </si>
  <si>
    <t>MML25</t>
  </si>
  <si>
    <t>21-Jun-2025</t>
  </si>
  <si>
    <t>INE05F407BD2</t>
  </si>
  <si>
    <t>950MML24</t>
  </si>
  <si>
    <t>INE05F407BE0</t>
  </si>
  <si>
    <t>965MML25</t>
  </si>
  <si>
    <t>INE05F407BF7</t>
  </si>
  <si>
    <t>975MML25</t>
  </si>
  <si>
    <t>INE05F407BG5</t>
  </si>
  <si>
    <t>1025MML26</t>
  </si>
  <si>
    <t>21-Dec-2026</t>
  </si>
  <si>
    <t>INE05F407BH3</t>
  </si>
  <si>
    <t>MML26</t>
  </si>
  <si>
    <t>INE05F407BI1</t>
  </si>
  <si>
    <t>MML25B</t>
  </si>
  <si>
    <t>INE05F407BJ9</t>
  </si>
  <si>
    <t>MML28</t>
  </si>
  <si>
    <t>INE05F407BK7</t>
  </si>
  <si>
    <t>10MMLTD24</t>
  </si>
  <si>
    <t>INE05F407BL5</t>
  </si>
  <si>
    <t>11MML28</t>
  </si>
  <si>
    <t>INE05F407BM3</t>
  </si>
  <si>
    <t>1075MML26</t>
  </si>
  <si>
    <t>INE05F407BN1</t>
  </si>
  <si>
    <t>1025MML25</t>
  </si>
  <si>
    <t>INE05F407BO9</t>
  </si>
  <si>
    <t>MML26A</t>
  </si>
  <si>
    <t>INE05F407BP6</t>
  </si>
  <si>
    <t>MML25C</t>
  </si>
  <si>
    <t>INE05F407BQ4</t>
  </si>
  <si>
    <t>MML28A</t>
  </si>
  <si>
    <t>INE05F407BR2</t>
  </si>
  <si>
    <t>MML24A</t>
  </si>
  <si>
    <t>INE05F407BS0</t>
  </si>
  <si>
    <t>1015MML25</t>
  </si>
  <si>
    <t>INE05F407BT8</t>
  </si>
  <si>
    <t>MML25A</t>
  </si>
  <si>
    <t>INE05F407BZ5</t>
  </si>
  <si>
    <t>1050MML25</t>
  </si>
  <si>
    <t>29-May-2025</t>
  </si>
  <si>
    <t>INE05F407CA6</t>
  </si>
  <si>
    <t>MML27524</t>
  </si>
  <si>
    <t>INE05F407CB4</t>
  </si>
  <si>
    <t>1075MML27</t>
  </si>
  <si>
    <t>27-May-2027</t>
  </si>
  <si>
    <t>INE05F407CC2</t>
  </si>
  <si>
    <t>0MML29</t>
  </si>
  <si>
    <t>27-May-2029</t>
  </si>
  <si>
    <t>INE05F407CD0</t>
  </si>
  <si>
    <t>0MML27</t>
  </si>
  <si>
    <t>INE05F407CE8</t>
  </si>
  <si>
    <t>0MML29A</t>
  </si>
  <si>
    <t>27-Jul-2030</t>
  </si>
  <si>
    <t>INE05F407CF5</t>
  </si>
  <si>
    <t>MML27524A</t>
  </si>
  <si>
    <t>26-Nov-2025</t>
  </si>
  <si>
    <t>INE05F407CG3</t>
  </si>
  <si>
    <t>0MML27524</t>
  </si>
  <si>
    <t>27-May-2026</t>
  </si>
  <si>
    <t>INE05F407CH1</t>
  </si>
  <si>
    <t>1080MML29</t>
  </si>
  <si>
    <t>INE05F407CI9</t>
  </si>
  <si>
    <t>1060MML26</t>
  </si>
  <si>
    <t>INE05F407CJ7</t>
  </si>
  <si>
    <t>105MML25</t>
  </si>
  <si>
    <t>INE05F407CK5</t>
  </si>
  <si>
    <t>MML11924</t>
  </si>
  <si>
    <t>16-Oct-2025</t>
  </si>
  <si>
    <t>INE05F407CL3</t>
  </si>
  <si>
    <t>MML11924B</t>
  </si>
  <si>
    <t>11-Sep-2029</t>
  </si>
  <si>
    <t>INE05F407CM1</t>
  </si>
  <si>
    <t>1125MML27</t>
  </si>
  <si>
    <t>11-Sep-2027</t>
  </si>
  <si>
    <t>INE05F407CN9</t>
  </si>
  <si>
    <t>MML110924</t>
  </si>
  <si>
    <t>11-May-2026</t>
  </si>
  <si>
    <t>INE05F407CO7</t>
  </si>
  <si>
    <t>1150MML29</t>
  </si>
  <si>
    <t>INE05F407CP4</t>
  </si>
  <si>
    <t>1080MML26</t>
  </si>
  <si>
    <t>INE05F407CQ2</t>
  </si>
  <si>
    <t>MML11924A</t>
  </si>
  <si>
    <t>INE05F407CR0</t>
  </si>
  <si>
    <t>MML11924C</t>
  </si>
  <si>
    <t>11-Oct-2030</t>
  </si>
  <si>
    <t>INE05F407CS8</t>
  </si>
  <si>
    <t>1070MML25</t>
  </si>
  <si>
    <t>INE091A07208</t>
  </si>
  <si>
    <t>850NIRMA27</t>
  </si>
  <si>
    <t>INE0BUS07064</t>
  </si>
  <si>
    <t>1075IML24</t>
  </si>
  <si>
    <t>24-Oct-2024</t>
  </si>
  <si>
    <t>INE0BUS07072</t>
  </si>
  <si>
    <t>1075IML24A</t>
  </si>
  <si>
    <t>INE0BUS07080</t>
  </si>
  <si>
    <t>IML24</t>
  </si>
  <si>
    <t>INE0BUS07098</t>
  </si>
  <si>
    <t>11IML26</t>
  </si>
  <si>
    <t>24-Apr-2026</t>
  </si>
  <si>
    <t>INE0BUS07569</t>
  </si>
  <si>
    <t>11IML27</t>
  </si>
  <si>
    <t>27-Jul-2027</t>
  </si>
  <si>
    <t>INE0BUS07577</t>
  </si>
  <si>
    <t>IML28C</t>
  </si>
  <si>
    <t>27-Nov-2028</t>
  </si>
  <si>
    <t>INE0BUS07940</t>
  </si>
  <si>
    <t>1150IML28</t>
  </si>
  <si>
    <t>23-Jul-2028</t>
  </si>
  <si>
    <t>INE0BUS07957</t>
  </si>
  <si>
    <t>IML28</t>
  </si>
  <si>
    <t>INE0BUS07965</t>
  </si>
  <si>
    <t>IML29</t>
  </si>
  <si>
    <t>23-Jun-2029</t>
  </si>
  <si>
    <t>INE0BUS07973</t>
  </si>
  <si>
    <t>IML23623</t>
  </si>
  <si>
    <t>23-Jun-2025</t>
  </si>
  <si>
    <t>INE0BUS07981</t>
  </si>
  <si>
    <t>1050IML25</t>
  </si>
  <si>
    <t>INE0BUS07AS7</t>
  </si>
  <si>
    <t>1075IML27</t>
  </si>
  <si>
    <t>15-Feb-2027</t>
  </si>
  <si>
    <t>INE0BUS07AT5</t>
  </si>
  <si>
    <t>1150IML29</t>
  </si>
  <si>
    <t>15-Feb-2029</t>
  </si>
  <si>
    <t>INE0BUS07AU3</t>
  </si>
  <si>
    <t>IML160224</t>
  </si>
  <si>
    <t>INE0BUS07AV1</t>
  </si>
  <si>
    <t>IML1622024</t>
  </si>
  <si>
    <t>15-Feb-2030</t>
  </si>
  <si>
    <t>INE0BUS07AW9</t>
  </si>
  <si>
    <t>IML16224</t>
  </si>
  <si>
    <t>INE0BUS07AX7</t>
  </si>
  <si>
    <t>975IML26</t>
  </si>
  <si>
    <t>INE0BUS07AY5</t>
  </si>
  <si>
    <t>9IML25</t>
  </si>
  <si>
    <t>16-Feb-2025</t>
  </si>
  <si>
    <t>INE0BUS07AZ2</t>
  </si>
  <si>
    <t>IML25</t>
  </si>
  <si>
    <t>INE0BUS08013</t>
  </si>
  <si>
    <t>12IML26</t>
  </si>
  <si>
    <t>24-Nov-2026</t>
  </si>
  <si>
    <t>INE0BUS08021</t>
  </si>
  <si>
    <t>12IML26A</t>
  </si>
  <si>
    <t>INE0BUS08039</t>
  </si>
  <si>
    <t>IML27</t>
  </si>
  <si>
    <t>24-Sep-2027</t>
  </si>
  <si>
    <t>INE0H7R07017</t>
  </si>
  <si>
    <t>NHIT</t>
  </si>
  <si>
    <t>24-Oct-2035</t>
  </si>
  <si>
    <t>Sec Re NCD 7.90% STRPP A</t>
  </si>
  <si>
    <t>79NHIT35</t>
  </si>
  <si>
    <t>25-Oct-2035</t>
  </si>
  <si>
    <t>INE0H7R07025</t>
  </si>
  <si>
    <t>14-Nov-2040</t>
  </si>
  <si>
    <t>Sec Re NCD 7.90% STRPP B</t>
  </si>
  <si>
    <t>79NHIT40</t>
  </si>
  <si>
    <t>25-Oct-2040</t>
  </si>
  <si>
    <t>INE0H7R07033</t>
  </si>
  <si>
    <t>14-Nov-2047</t>
  </si>
  <si>
    <t>Sec Re NCD 7.90% STRPP C</t>
  </si>
  <si>
    <t>79NHIT47</t>
  </si>
  <si>
    <t>25-Oct-2047</t>
  </si>
  <si>
    <t>INE101Q07599</t>
  </si>
  <si>
    <t>105MMFL25</t>
  </si>
  <si>
    <t>17-Feb-2025</t>
  </si>
  <si>
    <t>INE101Q07607</t>
  </si>
  <si>
    <t>MMFLZC25C</t>
  </si>
  <si>
    <t>17-Dec-2025</t>
  </si>
  <si>
    <t>INE101Q07615</t>
  </si>
  <si>
    <t>MMFLZC27</t>
  </si>
  <si>
    <t>17-Mar-2027</t>
  </si>
  <si>
    <t>INE101Q07706</t>
  </si>
  <si>
    <t>105MMFL25A</t>
  </si>
  <si>
    <t>INE101Q07714</t>
  </si>
  <si>
    <t>MMFLZC27A</t>
  </si>
  <si>
    <t>01-Jul-2027</t>
  </si>
  <si>
    <t>INE101Q07763</t>
  </si>
  <si>
    <t>MMFLZC24D</t>
  </si>
  <si>
    <t>29-Nov-2024</t>
  </si>
  <si>
    <t>INE101Q07771</t>
  </si>
  <si>
    <t>105MMFL25B</t>
  </si>
  <si>
    <t>29-Sep-2025</t>
  </si>
  <si>
    <t>INE101Q07789</t>
  </si>
  <si>
    <t>MMFLZC27B</t>
  </si>
  <si>
    <t>29-Oct-2027</t>
  </si>
  <si>
    <t>INE101Q07839</t>
  </si>
  <si>
    <t>MMFLZC25D</t>
  </si>
  <si>
    <t>23-Jan-2025</t>
  </si>
  <si>
    <t>INE101Q07847</t>
  </si>
  <si>
    <t>105MMFL25C</t>
  </si>
  <si>
    <t>21-Nov-2025</t>
  </si>
  <si>
    <t>INE101Q07854</t>
  </si>
  <si>
    <t>MMFLZC27C</t>
  </si>
  <si>
    <t>23-Dec-2027</t>
  </si>
  <si>
    <t>INE101Q07904</t>
  </si>
  <si>
    <t>MMFLZC26</t>
  </si>
  <si>
    <t>14-Aug-2026</t>
  </si>
  <si>
    <t>INE101Q07946</t>
  </si>
  <si>
    <t>975MMFL24</t>
  </si>
  <si>
    <t>INE101Q07953</t>
  </si>
  <si>
    <t>MMFLZC25</t>
  </si>
  <si>
    <t>02-Jul-2025</t>
  </si>
  <si>
    <t>INE101Q07995</t>
  </si>
  <si>
    <t>950MMFL25</t>
  </si>
  <si>
    <t>INE101Q07AA1</t>
  </si>
  <si>
    <t>MMFLZC25A</t>
  </si>
  <si>
    <t>15-Nov-2025</t>
  </si>
  <si>
    <t>INE101Q07AE3</t>
  </si>
  <si>
    <t>MMFLZC25B</t>
  </si>
  <si>
    <t>02-Jan-2025</t>
  </si>
  <si>
    <t>INE101Q07AF0</t>
  </si>
  <si>
    <t>975MMFL26</t>
  </si>
  <si>
    <t>INE101Q07AG8</t>
  </si>
  <si>
    <t>MMFLZC27D</t>
  </si>
  <si>
    <t>02-Jul-2027</t>
  </si>
  <si>
    <t>INE101Q07AK0</t>
  </si>
  <si>
    <t>MMFL25</t>
  </si>
  <si>
    <t>22-May-2025</t>
  </si>
  <si>
    <t>INE101Q07AL8</t>
  </si>
  <si>
    <t>950MMFL26</t>
  </si>
  <si>
    <t>22-May-2026</t>
  </si>
  <si>
    <t>INE101Q07AM6</t>
  </si>
  <si>
    <t>MMFL27</t>
  </si>
  <si>
    <t>22-Nov-2027</t>
  </si>
  <si>
    <t>INE101Q08118</t>
  </si>
  <si>
    <t>1025MMFL26</t>
  </si>
  <si>
    <t>13-Mar-2026</t>
  </si>
  <si>
    <t>INE101Q08126</t>
  </si>
  <si>
    <t>MMFLZC28</t>
  </si>
  <si>
    <t>14-Feb-2028</t>
  </si>
  <si>
    <t>INE101Q08134</t>
  </si>
  <si>
    <t>1025MMF26A</t>
  </si>
  <si>
    <t>02-Jun-2026</t>
  </si>
  <si>
    <t>INE101Q08142</t>
  </si>
  <si>
    <t>MMFLZC28A</t>
  </si>
  <si>
    <t>02-May-2028</t>
  </si>
  <si>
    <t>INE101Q08159</t>
  </si>
  <si>
    <t>10MMFL27</t>
  </si>
  <si>
    <t>15-Mar-2027</t>
  </si>
  <si>
    <t>INE101Q08167</t>
  </si>
  <si>
    <t>MMFLZC28B</t>
  </si>
  <si>
    <t>15-Sep-2028</t>
  </si>
  <si>
    <t>INE103C07017</t>
  </si>
  <si>
    <t>102SMCGS27</t>
  </si>
  <si>
    <t>INE103C07025</t>
  </si>
  <si>
    <t>10SMCGSL26</t>
  </si>
  <si>
    <t>INE103C07033</t>
  </si>
  <si>
    <t>0SMCGSL26</t>
  </si>
  <si>
    <t>INE103C07041</t>
  </si>
  <si>
    <t>994SMCGS29</t>
  </si>
  <si>
    <t>INE103C07058</t>
  </si>
  <si>
    <t>0SMCGSL27</t>
  </si>
  <si>
    <t>INE103C07066</t>
  </si>
  <si>
    <t>104SMCGS29</t>
  </si>
  <si>
    <t>INE121A07QW3</t>
  </si>
  <si>
    <t>CHOLAFIN</t>
  </si>
  <si>
    <t>1,024.00</t>
  </si>
  <si>
    <t>04-Jun-2026</t>
  </si>
  <si>
    <t>Sec Re NCD 8.30% Sr.III</t>
  </si>
  <si>
    <t>830CIFC26</t>
  </si>
  <si>
    <t>INE121A07QX1</t>
  </si>
  <si>
    <t>1,085.00</t>
  </si>
  <si>
    <t>04-May-2028</t>
  </si>
  <si>
    <t>CIFCZC28A</t>
  </si>
  <si>
    <t>INE121A07QY9</t>
  </si>
  <si>
    <t>1,054.00</t>
  </si>
  <si>
    <t>13</t>
  </si>
  <si>
    <t>Sec Re NCD 8.40% Sr.V</t>
  </si>
  <si>
    <t>840CIFCL28</t>
  </si>
  <si>
    <t>INE121A07QZ6</t>
  </si>
  <si>
    <t>1,090.00</t>
  </si>
  <si>
    <t>20</t>
  </si>
  <si>
    <t>CIFCZC26A</t>
  </si>
  <si>
    <t>INE121A07RA7</t>
  </si>
  <si>
    <t>1,080.00</t>
  </si>
  <si>
    <t>04-Mar-2025</t>
  </si>
  <si>
    <t>CIFCZC25A</t>
  </si>
  <si>
    <t>INE121A07RB5</t>
  </si>
  <si>
    <t>Sec Re NCD 8.25% Sr.I</t>
  </si>
  <si>
    <t>9ICCL23A</t>
  </si>
  <si>
    <t>INE121A07RD1</t>
  </si>
  <si>
    <t>09-Sep-2026</t>
  </si>
  <si>
    <t>CIFC26A</t>
  </si>
  <si>
    <t>INE121A07RE9</t>
  </si>
  <si>
    <t>1,057.00</t>
  </si>
  <si>
    <t>39</t>
  </si>
  <si>
    <t>09-Aug-2028</t>
  </si>
  <si>
    <t>Sec Re NCD 8.40% Sr 5</t>
  </si>
  <si>
    <t>84CIFCL28</t>
  </si>
  <si>
    <t>INE121A07RF6</t>
  </si>
  <si>
    <t>Sec Re NCD 8.30% Sr 3</t>
  </si>
  <si>
    <t>925IHFL25E</t>
  </si>
  <si>
    <t>INE121A07RG4</t>
  </si>
  <si>
    <t>1,060.00</t>
  </si>
  <si>
    <t>27</t>
  </si>
  <si>
    <t>09-Jun-2025</t>
  </si>
  <si>
    <t>965IHFL25D</t>
  </si>
  <si>
    <t>INE121A07RH2</t>
  </si>
  <si>
    <t>1,052.80</t>
  </si>
  <si>
    <t>263</t>
  </si>
  <si>
    <t>Sec Re NCD 8.25% Sr 1</t>
  </si>
  <si>
    <t>925IHFL25D</t>
  </si>
  <si>
    <t>INE121A07RI0</t>
  </si>
  <si>
    <t>CIFC28</t>
  </si>
  <si>
    <t>INE121A07RJ8</t>
  </si>
  <si>
    <t>1,067.00</t>
  </si>
  <si>
    <t>07-Dec-2025</t>
  </si>
  <si>
    <t>Sec Re NCD 8.40% Sr 1</t>
  </si>
  <si>
    <t>888IHFL25F</t>
  </si>
  <si>
    <t>INE121A07RK6</t>
  </si>
  <si>
    <t>1,070.00</t>
  </si>
  <si>
    <t>55</t>
  </si>
  <si>
    <t>07-Dec-2026</t>
  </si>
  <si>
    <t>CIFCZC26</t>
  </si>
  <si>
    <t>INE121A07RL4</t>
  </si>
  <si>
    <t>CIFCZC25</t>
  </si>
  <si>
    <t>INE121A07RM2</t>
  </si>
  <si>
    <t>40</t>
  </si>
  <si>
    <t>07-Dec-2028</t>
  </si>
  <si>
    <t>Sec Re NCD 8.60% Sr 5</t>
  </si>
  <si>
    <t>860CIFCL28</t>
  </si>
  <si>
    <t>INE121A07RN0</t>
  </si>
  <si>
    <t>75</t>
  </si>
  <si>
    <t>CIFCZC28</t>
  </si>
  <si>
    <t>INE121A07RO8</t>
  </si>
  <si>
    <t>Sec Re NCD 8.50% Sr 3</t>
  </si>
  <si>
    <t>850CIFCL26</t>
  </si>
  <si>
    <t>INE121A07RQ3</t>
  </si>
  <si>
    <t>1,024.99</t>
  </si>
  <si>
    <t>31-Jan-2026</t>
  </si>
  <si>
    <t>Sec Re NCD 8.45% Sr 1</t>
  </si>
  <si>
    <t>875CIFC23B</t>
  </si>
  <si>
    <t>INE121A07RR1</t>
  </si>
  <si>
    <t>CIFC26</t>
  </si>
  <si>
    <t>INE121A07RS9</t>
  </si>
  <si>
    <t>CIF27</t>
  </si>
  <si>
    <t>31-Jan-2027</t>
  </si>
  <si>
    <t>INE121A07RT7</t>
  </si>
  <si>
    <t>1,021.00</t>
  </si>
  <si>
    <t>85CIFC27</t>
  </si>
  <si>
    <t>INE121A07RU5</t>
  </si>
  <si>
    <t>31-Jan-2029</t>
  </si>
  <si>
    <t>CIF29</t>
  </si>
  <si>
    <t>INE121A07RV3</t>
  </si>
  <si>
    <t>86CIFC29</t>
  </si>
  <si>
    <t>INE134E07208</t>
  </si>
  <si>
    <t>PFC</t>
  </si>
  <si>
    <t>1,130.00</t>
  </si>
  <si>
    <t>830PFCL27</t>
  </si>
  <si>
    <t>01-Feb-2027</t>
  </si>
  <si>
    <t>INE134E07349</t>
  </si>
  <si>
    <t>1,100.00</t>
  </si>
  <si>
    <t>736PFCL28</t>
  </si>
  <si>
    <t>04-Jan-2028</t>
  </si>
  <si>
    <t>INE134E07455</t>
  </si>
  <si>
    <t>1,599.80</t>
  </si>
  <si>
    <t>867PFCL33</t>
  </si>
  <si>
    <t>16-Nov-2033</t>
  </si>
  <si>
    <t>INE134E07463</t>
  </si>
  <si>
    <t>892PFCL33</t>
  </si>
  <si>
    <t>INE134E07570</t>
  </si>
  <si>
    <t>735PFCL35</t>
  </si>
  <si>
    <t>17-Oct-2035</t>
  </si>
  <si>
    <t>INE134E07588</t>
  </si>
  <si>
    <t>760PFCL35</t>
  </si>
  <si>
    <t>INE134E07AI1</t>
  </si>
  <si>
    <t>565PFCL26</t>
  </si>
  <si>
    <t>INE134E07AJ9</t>
  </si>
  <si>
    <t>58PFCL26</t>
  </si>
  <si>
    <t>INE134E07AK7</t>
  </si>
  <si>
    <t>663PFCL31</t>
  </si>
  <si>
    <t>22-Jan-2031</t>
  </si>
  <si>
    <t>Quarterly</t>
  </si>
  <si>
    <t>INE134E07AL5</t>
  </si>
  <si>
    <t>682PFCL31</t>
  </si>
  <si>
    <t>INE134E07AM3</t>
  </si>
  <si>
    <t>68PFCL31</t>
  </si>
  <si>
    <t>INE134E07AN1</t>
  </si>
  <si>
    <t>7PFCL31</t>
  </si>
  <si>
    <t>INE134E07AO9</t>
  </si>
  <si>
    <t>658PFCL31</t>
  </si>
  <si>
    <t>INE134E07AP6</t>
  </si>
  <si>
    <t>683PFCL31</t>
  </si>
  <si>
    <t>INE134E07AQ4</t>
  </si>
  <si>
    <t>678PFCL36</t>
  </si>
  <si>
    <t>22-Jan-2036</t>
  </si>
  <si>
    <t>INE134E07AR2</t>
  </si>
  <si>
    <t>697PFCL36</t>
  </si>
  <si>
    <t>INE134E07AS0</t>
  </si>
  <si>
    <t>695PFCL36</t>
  </si>
  <si>
    <t>INE134E07AT8</t>
  </si>
  <si>
    <t>715PFCL36</t>
  </si>
  <si>
    <t>INE134E07CF3</t>
  </si>
  <si>
    <t>750PFCL26</t>
  </si>
  <si>
    <t>01-Aug-2026</t>
  </si>
  <si>
    <t>INE134E07CG1</t>
  </si>
  <si>
    <t>745PFCL26</t>
  </si>
  <si>
    <t>INE134E07CH9</t>
  </si>
  <si>
    <t>753PFCL33</t>
  </si>
  <si>
    <t>01-Aug-2033</t>
  </si>
  <si>
    <t>INE134E07CI7</t>
  </si>
  <si>
    <t>747PFCL33</t>
  </si>
  <si>
    <t>INE134E07CJ5</t>
  </si>
  <si>
    <t>750PFCL38</t>
  </si>
  <si>
    <t>01-Aug-2038</t>
  </si>
  <si>
    <t>INE134E07CK3</t>
  </si>
  <si>
    <t>755PFCL38</t>
  </si>
  <si>
    <t>INE140A07740</t>
  </si>
  <si>
    <t>PEL</t>
  </si>
  <si>
    <t>1,034.00</t>
  </si>
  <si>
    <t>03-Nov-2026</t>
  </si>
  <si>
    <t>Sec Re NCD 9.20% Sr III</t>
  </si>
  <si>
    <t>905PEL26</t>
  </si>
  <si>
    <t>INE140A07757</t>
  </si>
  <si>
    <t>1,035.90</t>
  </si>
  <si>
    <t>03-Nov-2025</t>
  </si>
  <si>
    <t>Sec Re NCD 9.05% Sr II</t>
  </si>
  <si>
    <t>9PEL25</t>
  </si>
  <si>
    <t>INE140A07765</t>
  </si>
  <si>
    <t>1,039.00</t>
  </si>
  <si>
    <t>03-Nov-2028</t>
  </si>
  <si>
    <t>Sec Re NCD 9.35% Sr IV</t>
  </si>
  <si>
    <t>920PEL28</t>
  </si>
  <si>
    <t>INE140A07773</t>
  </si>
  <si>
    <t>03-Nov-2033</t>
  </si>
  <si>
    <t>Sec Re NCD 9.35%</t>
  </si>
  <si>
    <t>935PEL33</t>
  </si>
  <si>
    <t>INE148I07GJ7</t>
  </si>
  <si>
    <t>IBULHSGFIN</t>
  </si>
  <si>
    <t>966.00</t>
  </si>
  <si>
    <t>12</t>
  </si>
  <si>
    <t>26-Sep-2026</t>
  </si>
  <si>
    <t>Sec Red NCD 8.65% Sr. V</t>
  </si>
  <si>
    <t>865SCL26</t>
  </si>
  <si>
    <t>INE148I07GK5</t>
  </si>
  <si>
    <t>985.00</t>
  </si>
  <si>
    <t>Sec Red NCD 8.85% Sr. VI</t>
  </si>
  <si>
    <t>885SCL26</t>
  </si>
  <si>
    <t>INE148I07GL3</t>
  </si>
  <si>
    <t>982.75</t>
  </si>
  <si>
    <t>77</t>
  </si>
  <si>
    <t>Sec Red NCD 9.0% Sr. VI</t>
  </si>
  <si>
    <t>9SCL26BA</t>
  </si>
  <si>
    <t>INE148I07GN9</t>
  </si>
  <si>
    <t>SCLZC26</t>
  </si>
  <si>
    <t>INE148I07KG5</t>
  </si>
  <si>
    <t>24-Sep-2024</t>
  </si>
  <si>
    <t>Sec Re NCD 8.50% Sr.IV</t>
  </si>
  <si>
    <t>INE148I07KH3</t>
  </si>
  <si>
    <t>1,038.85</t>
  </si>
  <si>
    <t>7</t>
  </si>
  <si>
    <t>Sec Re NCD 9% Sr.IV</t>
  </si>
  <si>
    <t>INE148I07KJ9</t>
  </si>
  <si>
    <t>1,233.55</t>
  </si>
  <si>
    <t>INE148I07KL5</t>
  </si>
  <si>
    <t>NQ</t>
  </si>
  <si>
    <t>Sec Re NCD 8.66% Sr.VI</t>
  </si>
  <si>
    <t>INE148I07KM3</t>
  </si>
  <si>
    <t>NR</t>
  </si>
  <si>
    <t>24-Sep-2026</t>
  </si>
  <si>
    <t>Sec Re NCD 8.75% Sr.VII</t>
  </si>
  <si>
    <t>925SCL26</t>
  </si>
  <si>
    <t>INE148I07KN1</t>
  </si>
  <si>
    <t>NS</t>
  </si>
  <si>
    <t>1,020.00</t>
  </si>
  <si>
    <t>1,000</t>
  </si>
  <si>
    <t>Sec Re NCD 9.25% Sr.VII</t>
  </si>
  <si>
    <t>889SCL26</t>
  </si>
  <si>
    <t>INE148I07KP6</t>
  </si>
  <si>
    <t>NT</t>
  </si>
  <si>
    <t>975.00</t>
  </si>
  <si>
    <t>Sec Re NCD 8.89% Sr.VIII</t>
  </si>
  <si>
    <t>975SCL28</t>
  </si>
  <si>
    <t>INE148I07KW2</t>
  </si>
  <si>
    <t>Y4</t>
  </si>
  <si>
    <t>06-Jan-2025</t>
  </si>
  <si>
    <t>850SCFL25</t>
  </si>
  <si>
    <t>INE148I07KX0</t>
  </si>
  <si>
    <t>Y5</t>
  </si>
  <si>
    <t>9SCFL25</t>
  </si>
  <si>
    <t>INE148I07KY8</t>
  </si>
  <si>
    <t>Y6</t>
  </si>
  <si>
    <t>SCL25</t>
  </si>
  <si>
    <t>INE148I07KZ5</t>
  </si>
  <si>
    <t>Y7</t>
  </si>
  <si>
    <t>Sec Re NCD 8.20% Sr.VI</t>
  </si>
  <si>
    <t>820SCFL25</t>
  </si>
  <si>
    <t>INE148I07LA6</t>
  </si>
  <si>
    <t>Y8</t>
  </si>
  <si>
    <t>1,000.00</t>
  </si>
  <si>
    <t>866SCFL25</t>
  </si>
  <si>
    <t>INE148I07LB4</t>
  </si>
  <si>
    <t>Y9</t>
  </si>
  <si>
    <t>06-Jan-2027</t>
  </si>
  <si>
    <t>875SCFL27</t>
  </si>
  <si>
    <t>INE148I07LC2</t>
  </si>
  <si>
    <t>YA</t>
  </si>
  <si>
    <t>975.70</t>
  </si>
  <si>
    <t>925SCFL27</t>
  </si>
  <si>
    <t>INE148I07LD0</t>
  </si>
  <si>
    <t>843SCFL27</t>
  </si>
  <si>
    <t>INE148I07LE8</t>
  </si>
  <si>
    <t>YC</t>
  </si>
  <si>
    <t>970.00</t>
  </si>
  <si>
    <t>101</t>
  </si>
  <si>
    <t>889SCFL27</t>
  </si>
  <si>
    <t>INE148I07LM1</t>
  </si>
  <si>
    <t>YL</t>
  </si>
  <si>
    <t>28-Apr-2025</t>
  </si>
  <si>
    <t>850SCL25</t>
  </si>
  <si>
    <t>INE148I07LN9</t>
  </si>
  <si>
    <t>YM</t>
  </si>
  <si>
    <t>9SCL25</t>
  </si>
  <si>
    <t>INE148I07LP4</t>
  </si>
  <si>
    <t>YN</t>
  </si>
  <si>
    <t>SCLZC25</t>
  </si>
  <si>
    <t>INE148I07LQ2</t>
  </si>
  <si>
    <t>YO</t>
  </si>
  <si>
    <t>820SCL25</t>
  </si>
  <si>
    <t>INE148I07LR0</t>
  </si>
  <si>
    <t>YP</t>
  </si>
  <si>
    <t>866SCL25</t>
  </si>
  <si>
    <t>INE148I07LS8</t>
  </si>
  <si>
    <t>875SCL27</t>
  </si>
  <si>
    <t>28-Apr-2027</t>
  </si>
  <si>
    <t>INE148I07LT6</t>
  </si>
  <si>
    <t>YR</t>
  </si>
  <si>
    <t>925SCL27</t>
  </si>
  <si>
    <t>INE148I07LU4</t>
  </si>
  <si>
    <t>YS</t>
  </si>
  <si>
    <t>Sec Re NCD 8.43% Sr.VIII</t>
  </si>
  <si>
    <t>843SCL27</t>
  </si>
  <si>
    <t>INE148I07LV2</t>
  </si>
  <si>
    <t>YT</t>
  </si>
  <si>
    <t>889SCL27</t>
  </si>
  <si>
    <t>INE148I07LW0</t>
  </si>
  <si>
    <t>YV</t>
  </si>
  <si>
    <t>1,037.00</t>
  </si>
  <si>
    <t>11</t>
  </si>
  <si>
    <t>28-Sep-2024</t>
  </si>
  <si>
    <t>Sec Re NCD 9.05% Sr.I</t>
  </si>
  <si>
    <t>INE148I07LX8</t>
  </si>
  <si>
    <t>YU</t>
  </si>
  <si>
    <t>Sec Re NCD 8.65% Sr.I</t>
  </si>
  <si>
    <t>INE148I07LY6</t>
  </si>
  <si>
    <t>YW</t>
  </si>
  <si>
    <t>INE148I07LZ3</t>
  </si>
  <si>
    <t>YX</t>
  </si>
  <si>
    <t>1,133.35</t>
  </si>
  <si>
    <t>INE148I07MA4</t>
  </si>
  <si>
    <t>93SCFL25</t>
  </si>
  <si>
    <t>28-Sep-2025</t>
  </si>
  <si>
    <t>INE148I07MB2</t>
  </si>
  <si>
    <t>Sammaan Capital Ltd</t>
  </si>
  <si>
    <t>847SCL25</t>
  </si>
  <si>
    <t>INE148I07MD8</t>
  </si>
  <si>
    <t>87SCL27</t>
  </si>
  <si>
    <t>28-Sep-2027</t>
  </si>
  <si>
    <t>INE148I07ME6</t>
  </si>
  <si>
    <t>915SCL27</t>
  </si>
  <si>
    <t>INE148I07MF3</t>
  </si>
  <si>
    <t>894SCL25</t>
  </si>
  <si>
    <t>INE148I07MH9</t>
  </si>
  <si>
    <t>YZ</t>
  </si>
  <si>
    <t>Sec Re NCD 8.70% Sr.III</t>
  </si>
  <si>
    <t>INE148I07MI7</t>
  </si>
  <si>
    <t>905SCL27</t>
  </si>
  <si>
    <t>INE148I07MJ5</t>
  </si>
  <si>
    <t>955SCL27</t>
  </si>
  <si>
    <t>INE148I07MK3</t>
  </si>
  <si>
    <t>865SCL24B</t>
  </si>
  <si>
    <t>INE148I07ML1</t>
  </si>
  <si>
    <t>905SC24B</t>
  </si>
  <si>
    <t>INE148I07MM9</t>
  </si>
  <si>
    <t>865SCL24</t>
  </si>
  <si>
    <t>03-Nov-2024</t>
  </si>
  <si>
    <t>INE148I07MN7</t>
  </si>
  <si>
    <t>905SC24</t>
  </si>
  <si>
    <t>INE148I07MO5</t>
  </si>
  <si>
    <t>SCL24</t>
  </si>
  <si>
    <t>INE148I07MP2</t>
  </si>
  <si>
    <t>SCL22</t>
  </si>
  <si>
    <t>INE148I07MQ0</t>
  </si>
  <si>
    <t>88SCL25</t>
  </si>
  <si>
    <t>INE148I07MR8</t>
  </si>
  <si>
    <t>93SCL25</t>
  </si>
  <si>
    <t>INE148I07MS6</t>
  </si>
  <si>
    <t>955SCL27A</t>
  </si>
  <si>
    <t>INE148I07MT4</t>
  </si>
  <si>
    <t>894SCL25A</t>
  </si>
  <si>
    <t>INE148I07MV0</t>
  </si>
  <si>
    <t>915SCL27A</t>
  </si>
  <si>
    <t>03-Nov-2027</t>
  </si>
  <si>
    <t>INE148I07MW8</t>
  </si>
  <si>
    <t>833SCL24</t>
  </si>
  <si>
    <t>INE148I07MX6</t>
  </si>
  <si>
    <t>87SCL24A</t>
  </si>
  <si>
    <t>INE148I07MY4</t>
  </si>
  <si>
    <t>87SCL27A</t>
  </si>
  <si>
    <t>INE148I07MZ1</t>
  </si>
  <si>
    <t>93SCL24A</t>
  </si>
  <si>
    <t>INE148I07NA2</t>
  </si>
  <si>
    <t>89SCL24A</t>
  </si>
  <si>
    <t>INE148I07NC8</t>
  </si>
  <si>
    <t>93SCL24</t>
  </si>
  <si>
    <t>28-Dec-2024</t>
  </si>
  <si>
    <t>INE148I07ND6</t>
  </si>
  <si>
    <t>924.77</t>
  </si>
  <si>
    <t>8</t>
  </si>
  <si>
    <t>28-Dec-2027</t>
  </si>
  <si>
    <t>Sec Re NCD 9.39% Sr.VIII</t>
  </si>
  <si>
    <t>965SCL25C</t>
  </si>
  <si>
    <t>INE148I07NE4</t>
  </si>
  <si>
    <t>89SCL24</t>
  </si>
  <si>
    <t>INE148I07NG9</t>
  </si>
  <si>
    <t>894SCL27</t>
  </si>
  <si>
    <t>INE148I07NH7</t>
  </si>
  <si>
    <t>955SCL25</t>
  </si>
  <si>
    <t>28-Dec-2025</t>
  </si>
  <si>
    <t>INE148I07NI5</t>
  </si>
  <si>
    <t>905SCL25</t>
  </si>
  <si>
    <t>INE148I07NK1</t>
  </si>
  <si>
    <t>SCL24A</t>
  </si>
  <si>
    <t>INE148I07NL9</t>
  </si>
  <si>
    <t>98SCL27</t>
  </si>
  <si>
    <t>INE148I07NM7</t>
  </si>
  <si>
    <t>916SCL25</t>
  </si>
  <si>
    <t>INE148I07NN5</t>
  </si>
  <si>
    <t>939SCL27</t>
  </si>
  <si>
    <t>INE148I07NP0</t>
  </si>
  <si>
    <t>87SCL25</t>
  </si>
  <si>
    <t>INE148I07NQ8</t>
  </si>
  <si>
    <t>894SCL24</t>
  </si>
  <si>
    <t>INE148I07NR6</t>
  </si>
  <si>
    <t>857SCL24</t>
  </si>
  <si>
    <t>INE148I07NS4</t>
  </si>
  <si>
    <t>96SCL25</t>
  </si>
  <si>
    <t>23-Mar-2025</t>
  </si>
  <si>
    <t>INE148I07NT2</t>
  </si>
  <si>
    <t>965SCFL25</t>
  </si>
  <si>
    <t>INE148I07NV8</t>
  </si>
  <si>
    <t>971SCL28</t>
  </si>
  <si>
    <t>INE148I07NW6</t>
  </si>
  <si>
    <t>965SCL28</t>
  </si>
  <si>
    <t>INE148I07NX4</t>
  </si>
  <si>
    <t>925SCL28</t>
  </si>
  <si>
    <t>INE148I07NY2</t>
  </si>
  <si>
    <t>990SCFL26</t>
  </si>
  <si>
    <t>23-Mar-2026</t>
  </si>
  <si>
    <t>INE148I07NZ9</t>
  </si>
  <si>
    <t>948SCL26D</t>
  </si>
  <si>
    <t>INE148I07OB8</t>
  </si>
  <si>
    <t>990SCL26D</t>
  </si>
  <si>
    <t>INE148I07OD4</t>
  </si>
  <si>
    <t>965SCL25</t>
  </si>
  <si>
    <t>INE148I07OE2</t>
  </si>
  <si>
    <t>925SCFL25</t>
  </si>
  <si>
    <t>INE148I07OF9</t>
  </si>
  <si>
    <t>925SFCL25</t>
  </si>
  <si>
    <t>INE148I07OH5</t>
  </si>
  <si>
    <t>1015SCL28A</t>
  </si>
  <si>
    <t>INE148I07OI3</t>
  </si>
  <si>
    <t>920SCL23A</t>
  </si>
  <si>
    <t>27-Jul-2025</t>
  </si>
  <si>
    <t>INE148I07OJ1</t>
  </si>
  <si>
    <t>888SCL25A</t>
  </si>
  <si>
    <t>INE148I07OK9</t>
  </si>
  <si>
    <t>SCLZC25A</t>
  </si>
  <si>
    <t>INE148I07OL7</t>
  </si>
  <si>
    <t>925SCL25C</t>
  </si>
  <si>
    <t>INE148I07OM5</t>
  </si>
  <si>
    <t>950SCL23A</t>
  </si>
  <si>
    <t>INE148I07ON3</t>
  </si>
  <si>
    <t>940SCL26C</t>
  </si>
  <si>
    <t>27-Jul-2026</t>
  </si>
  <si>
    <t>INE148I07OO1</t>
  </si>
  <si>
    <t>SCLZC25B</t>
  </si>
  <si>
    <t>INE148I07OP8</t>
  </si>
  <si>
    <t>948SCL26I</t>
  </si>
  <si>
    <t>INE148I07OQ6</t>
  </si>
  <si>
    <t>902SCL26I</t>
  </si>
  <si>
    <t>INE148I07OR4</t>
  </si>
  <si>
    <t>990SCL26I</t>
  </si>
  <si>
    <t>INE148I07OS2</t>
  </si>
  <si>
    <t>SCLZC26B</t>
  </si>
  <si>
    <t>INE148I07OT0</t>
  </si>
  <si>
    <t>971SCL28I</t>
  </si>
  <si>
    <t>27-Jul-2028</t>
  </si>
  <si>
    <t>INE148I07OU8</t>
  </si>
  <si>
    <t>925SCL28I</t>
  </si>
  <si>
    <t>INE148I07OW4</t>
  </si>
  <si>
    <t>1015SCL28B</t>
  </si>
  <si>
    <t>INE148I07OY0</t>
  </si>
  <si>
    <t>925SCL25F</t>
  </si>
  <si>
    <t>26-Sep-2025</t>
  </si>
  <si>
    <t>INE148I07PA7</t>
  </si>
  <si>
    <t>IBULHSG</t>
  </si>
  <si>
    <t>979.99</t>
  </si>
  <si>
    <t>9</t>
  </si>
  <si>
    <t>Sec Re NCD 9.25% Sr II</t>
  </si>
  <si>
    <t>925SCL25</t>
  </si>
  <si>
    <t>INE148I07PD1</t>
  </si>
  <si>
    <t>965SCL25E</t>
  </si>
  <si>
    <t>INE148I07PE9</t>
  </si>
  <si>
    <t>SCL25A</t>
  </si>
  <si>
    <t>INE148I07PF6</t>
  </si>
  <si>
    <t>SCL25B</t>
  </si>
  <si>
    <t>INE148I07PK6</t>
  </si>
  <si>
    <t>965SCL28C</t>
  </si>
  <si>
    <t>26-Sep-2028</t>
  </si>
  <si>
    <t>INE148I07PL4</t>
  </si>
  <si>
    <t>925SCL28C</t>
  </si>
  <si>
    <t>INE148I07PM2</t>
  </si>
  <si>
    <t>971SCL28C</t>
  </si>
  <si>
    <t>INE148I07PN0</t>
  </si>
  <si>
    <t>1003SCL30</t>
  </si>
  <si>
    <t>26-Sep-2030</t>
  </si>
  <si>
    <t>INE148I07PO8</t>
  </si>
  <si>
    <t>10SCL30A</t>
  </si>
  <si>
    <t>INE148I07PP5</t>
  </si>
  <si>
    <t>26-Sep-2033</t>
  </si>
  <si>
    <t>Sec Re NCD 10.25% Sr XI</t>
  </si>
  <si>
    <t>1025SCL33A</t>
  </si>
  <si>
    <t>INE148I07PS9</t>
  </si>
  <si>
    <t>957SCL30</t>
  </si>
  <si>
    <t>INE148I07PT7</t>
  </si>
  <si>
    <t>Sec Re NCD 10.75% Sr XI</t>
  </si>
  <si>
    <t>1075SCL33A</t>
  </si>
  <si>
    <t>INE148I07PU5</t>
  </si>
  <si>
    <t>980SCL33A</t>
  </si>
  <si>
    <t>INE148I07PV3</t>
  </si>
  <si>
    <t>989.99</t>
  </si>
  <si>
    <t>Sec Re NCD 10.25% Sr XII</t>
  </si>
  <si>
    <t>888SCL25E</t>
  </si>
  <si>
    <t>INE148I07PW1</t>
  </si>
  <si>
    <t>09-Nov-2025</t>
  </si>
  <si>
    <t>Sec Re NCD 9.25% Sr I</t>
  </si>
  <si>
    <t>925SCL25Z</t>
  </si>
  <si>
    <t>INE148I07PX9</t>
  </si>
  <si>
    <t>940SCL26</t>
  </si>
  <si>
    <t>INE148I07PY7</t>
  </si>
  <si>
    <t>1,059.99</t>
  </si>
  <si>
    <t>Sec Re NCD 9.90% Sr IV</t>
  </si>
  <si>
    <t>990SCL26</t>
  </si>
  <si>
    <t>INE148I07PZ4</t>
  </si>
  <si>
    <t>1,199.00</t>
  </si>
  <si>
    <t>Sec Re NCD 9.48% Sr V</t>
  </si>
  <si>
    <t>948SCL26</t>
  </si>
  <si>
    <t>INE148I07QA5</t>
  </si>
  <si>
    <t>SCL26</t>
  </si>
  <si>
    <t>INE148I07QB3</t>
  </si>
  <si>
    <t>SCLZC26C</t>
  </si>
  <si>
    <t>INE148I07QC1</t>
  </si>
  <si>
    <t>888SCL25D</t>
  </si>
  <si>
    <t>INE148I07QD9</t>
  </si>
  <si>
    <t>Sec Re NCD 9.00% Sr I</t>
  </si>
  <si>
    <t>980SCL33C</t>
  </si>
  <si>
    <t>INE148I07QE7</t>
  </si>
  <si>
    <t>902SCL26</t>
  </si>
  <si>
    <t>INE148I07QF4</t>
  </si>
  <si>
    <t>888SCL25</t>
  </si>
  <si>
    <t>INE148I07QG2</t>
  </si>
  <si>
    <t>999.00</t>
  </si>
  <si>
    <t>925SCL25A</t>
  </si>
  <si>
    <t>INE148I07QH0</t>
  </si>
  <si>
    <t>09-Nov-2026</t>
  </si>
  <si>
    <t>Sec Re NCD 9.4% Sr IV</t>
  </si>
  <si>
    <t>940SCL26A</t>
  </si>
  <si>
    <t>INE148I07QI8</t>
  </si>
  <si>
    <t>Sec Re NCD 9.9% Sr IV</t>
  </si>
  <si>
    <t>990SCL26A</t>
  </si>
  <si>
    <t>INE148I07QJ6</t>
  </si>
  <si>
    <t>SCLZC25C</t>
  </si>
  <si>
    <t>INE148I07QK4</t>
  </si>
  <si>
    <t>948SCL26A</t>
  </si>
  <si>
    <t>INE148I07QL2</t>
  </si>
  <si>
    <t>SCLZC25D</t>
  </si>
  <si>
    <t>INE148I07QM0</t>
  </si>
  <si>
    <t>Sec Re NCD 9.02% Sr V</t>
  </si>
  <si>
    <t>902SCL26A</t>
  </si>
  <si>
    <t>INE148I07QN8</t>
  </si>
  <si>
    <t>Sec Re NCD 9.65% Sr I</t>
  </si>
  <si>
    <t>965SCL25A</t>
  </si>
  <si>
    <t>INE148I07QO6</t>
  </si>
  <si>
    <t>NP</t>
  </si>
  <si>
    <t>SCLZC26E</t>
  </si>
  <si>
    <t>INE148I07QP3</t>
  </si>
  <si>
    <t>SCLZC26D</t>
  </si>
  <si>
    <t>INE148I07QQ1</t>
  </si>
  <si>
    <t>09-Nov-2028</t>
  </si>
  <si>
    <t>Sec Re NCD 9.65% Sr VII</t>
  </si>
  <si>
    <t>965SCL28A</t>
  </si>
  <si>
    <t>INE148I07QR9</t>
  </si>
  <si>
    <t>1,039.80</t>
  </si>
  <si>
    <t>45</t>
  </si>
  <si>
    <t>Sec Re NCD 10.15% Sr VII</t>
  </si>
  <si>
    <t>1015SCL28</t>
  </si>
  <si>
    <t>INE148I07QS7</t>
  </si>
  <si>
    <t>Sec Re NCD 9.25% Sr VIII</t>
  </si>
  <si>
    <t>925SCL28A</t>
  </si>
  <si>
    <t>INE148I07QT5</t>
  </si>
  <si>
    <t>Sec Re NCD 9.71% Sr VIII</t>
  </si>
  <si>
    <t>971SCL28A</t>
  </si>
  <si>
    <t>INE148I07QV1</t>
  </si>
  <si>
    <t>NU</t>
  </si>
  <si>
    <t>09-Nov-2030</t>
  </si>
  <si>
    <t>Sec Re NCD 10.5% Sr IX</t>
  </si>
  <si>
    <t>1050SCL30</t>
  </si>
  <si>
    <t>INE148I07QX7</t>
  </si>
  <si>
    <t>NV</t>
  </si>
  <si>
    <t>Sec Re NCD 10.03% Sr X</t>
  </si>
  <si>
    <t>1003SCL30A</t>
  </si>
  <si>
    <t>INE148I07QY5</t>
  </si>
  <si>
    <t>NW</t>
  </si>
  <si>
    <t>09-Nov-2033</t>
  </si>
  <si>
    <t>1075SCL33B</t>
  </si>
  <si>
    <t>INE148I07QZ2</t>
  </si>
  <si>
    <t>NX</t>
  </si>
  <si>
    <t>980SCL33</t>
  </si>
  <si>
    <t>INE148I07RA3</t>
  </si>
  <si>
    <t>NY</t>
  </si>
  <si>
    <t>Sec Re NCD 9.8% Sr XII</t>
  </si>
  <si>
    <t>925SCL25G</t>
  </si>
  <si>
    <t>INE148I07RB1</t>
  </si>
  <si>
    <t>NZ</t>
  </si>
  <si>
    <t>965SCL25F</t>
  </si>
  <si>
    <t>INE148I07RC9</t>
  </si>
  <si>
    <t>925SCL25H</t>
  </si>
  <si>
    <t>INE148I07RD7</t>
  </si>
  <si>
    <t>Y1</t>
  </si>
  <si>
    <t>2</t>
  </si>
  <si>
    <t>965SCL25B</t>
  </si>
  <si>
    <t>INE148I07RE5</t>
  </si>
  <si>
    <t>Y2</t>
  </si>
  <si>
    <t>Sec Re NCD 8.88% Sr II</t>
  </si>
  <si>
    <t>888SCL25B</t>
  </si>
  <si>
    <t>INE148I07RF2</t>
  </si>
  <si>
    <t>SCLZC25E</t>
  </si>
  <si>
    <t>INE148I07RG0</t>
  </si>
  <si>
    <t>940SCL26B</t>
  </si>
  <si>
    <t>INE148I07RI6</t>
  </si>
  <si>
    <t>Y3</t>
  </si>
  <si>
    <t>925SCL25B</t>
  </si>
  <si>
    <t>INE148I07RJ4</t>
  </si>
  <si>
    <t>948SCL26B</t>
  </si>
  <si>
    <t>INE148I07RK2</t>
  </si>
  <si>
    <t>992.00</t>
  </si>
  <si>
    <t>SCLZC25F</t>
  </si>
  <si>
    <t>INE148I07RL0</t>
  </si>
  <si>
    <t>SCLZC26G</t>
  </si>
  <si>
    <t>INE148I07RM8</t>
  </si>
  <si>
    <t>YB</t>
  </si>
  <si>
    <t>965SCL28B</t>
  </si>
  <si>
    <t>INE148I07RN6</t>
  </si>
  <si>
    <t>990SCL26B</t>
  </si>
  <si>
    <t>INE148I07RO4</t>
  </si>
  <si>
    <t>YD</t>
  </si>
  <si>
    <t>971SCL28B</t>
  </si>
  <si>
    <t>INE148I07RP1</t>
  </si>
  <si>
    <t>YG</t>
  </si>
  <si>
    <t>980SCL33D</t>
  </si>
  <si>
    <t>INE148I07RR7</t>
  </si>
  <si>
    <t>YH</t>
  </si>
  <si>
    <t>27-Dec-2030</t>
  </si>
  <si>
    <t>835SCL23A</t>
  </si>
  <si>
    <t>INE148I07RS5</t>
  </si>
  <si>
    <t>925SCL28B</t>
  </si>
  <si>
    <t>INE148I07RU1</t>
  </si>
  <si>
    <t>YI</t>
  </si>
  <si>
    <t>875SCL23A</t>
  </si>
  <si>
    <t>INE148I07RV9</t>
  </si>
  <si>
    <t>YJ</t>
  </si>
  <si>
    <t>27-Dec-2033</t>
  </si>
  <si>
    <t>1025SCL33</t>
  </si>
  <si>
    <t>INE148I07RW7</t>
  </si>
  <si>
    <t>YK</t>
  </si>
  <si>
    <t>1075SCL33</t>
  </si>
  <si>
    <t>INE148I07RX5</t>
  </si>
  <si>
    <t>980SCL33B</t>
  </si>
  <si>
    <t>INE148I07RY3</t>
  </si>
  <si>
    <t>SCLZC26F</t>
  </si>
  <si>
    <t>INE148I07RZ0</t>
  </si>
  <si>
    <t>990.00</t>
  </si>
  <si>
    <t>835SCL23B</t>
  </si>
  <si>
    <t>INE148I07SA1</t>
  </si>
  <si>
    <t>26-Mar-2026</t>
  </si>
  <si>
    <t>925SCL26A</t>
  </si>
  <si>
    <t>INE148I07SB9</t>
  </si>
  <si>
    <t>888SCL26</t>
  </si>
  <si>
    <t>INE148I07SC7</t>
  </si>
  <si>
    <t>YQ</t>
  </si>
  <si>
    <t>929.00</t>
  </si>
  <si>
    <t>36</t>
  </si>
  <si>
    <t>925SCL26B</t>
  </si>
  <si>
    <t>INE148I07SD5</t>
  </si>
  <si>
    <t>988.99</t>
  </si>
  <si>
    <t>965SCL26</t>
  </si>
  <si>
    <t>INE148I07SF0</t>
  </si>
  <si>
    <t>Sec Re NCD Sr III</t>
  </si>
  <si>
    <t>0SCL26</t>
  </si>
  <si>
    <t>INE148I07SG8</t>
  </si>
  <si>
    <t>16</t>
  </si>
  <si>
    <t>26-Mar-2027</t>
  </si>
  <si>
    <t>990SCL27</t>
  </si>
  <si>
    <t>INE148I07SH6</t>
  </si>
  <si>
    <t>940SCL27</t>
  </si>
  <si>
    <t>INE148I07SI4</t>
  </si>
  <si>
    <t>948SCL27</t>
  </si>
  <si>
    <t>INE148I07SJ2</t>
  </si>
  <si>
    <t>902SCL27</t>
  </si>
  <si>
    <t>INE148I07SK0</t>
  </si>
  <si>
    <t>0SCL27</t>
  </si>
  <si>
    <t>INE148I07SM6</t>
  </si>
  <si>
    <t>1050SCFL31</t>
  </si>
  <si>
    <t>26-Mar-2031</t>
  </si>
  <si>
    <t>INE148I07SN4</t>
  </si>
  <si>
    <t>971SCL29</t>
  </si>
  <si>
    <t>INE148I07SO2</t>
  </si>
  <si>
    <t>925SCL29</t>
  </si>
  <si>
    <t>INE148I07SP9</t>
  </si>
  <si>
    <t>965SCL29</t>
  </si>
  <si>
    <t>INE148I07SQ7</t>
  </si>
  <si>
    <t>1025SCL34</t>
  </si>
  <si>
    <t>26-Mar-2034</t>
  </si>
  <si>
    <t>INE148I07SR5</t>
  </si>
  <si>
    <t>1075SCFL34</t>
  </si>
  <si>
    <t>INE148I07SS3</t>
  </si>
  <si>
    <t>YY</t>
  </si>
  <si>
    <t>1015SCFL29</t>
  </si>
  <si>
    <t>INE148I07ST1</t>
  </si>
  <si>
    <t>957SCL31</t>
  </si>
  <si>
    <t>INE148I07SU9</t>
  </si>
  <si>
    <t>10SCL31</t>
  </si>
  <si>
    <t>INE148I07SV7</t>
  </si>
  <si>
    <t>1025SCFL34</t>
  </si>
  <si>
    <t>INE148I07SW5</t>
  </si>
  <si>
    <t>980SCL34</t>
  </si>
  <si>
    <t>INE148I07SX3</t>
  </si>
  <si>
    <t>1003SCFL31</t>
  </si>
  <si>
    <t>INE148I07SY1</t>
  </si>
  <si>
    <t>975SCL27</t>
  </si>
  <si>
    <t>04-Mar-2027</t>
  </si>
  <si>
    <t>INE148I07SZ8</t>
  </si>
  <si>
    <t>925SCL26C</t>
  </si>
  <si>
    <t>31-May-2026</t>
  </si>
  <si>
    <t>INE148I07TA9</t>
  </si>
  <si>
    <t>SCL310524</t>
  </si>
  <si>
    <t>INE148I07TB7</t>
  </si>
  <si>
    <t>SCFL310524</t>
  </si>
  <si>
    <t>INE148I07TC5</t>
  </si>
  <si>
    <t>925SCL26D</t>
  </si>
  <si>
    <t>INE148I07TD3</t>
  </si>
  <si>
    <t>888SCL26A</t>
  </si>
  <si>
    <t>INE148I07TE1</t>
  </si>
  <si>
    <t>965SCL26A</t>
  </si>
  <si>
    <t>INE148I07TF8</t>
  </si>
  <si>
    <t>99SCL27</t>
  </si>
  <si>
    <t>31-May-2027</t>
  </si>
  <si>
    <t>INE148I07TG6</t>
  </si>
  <si>
    <t>971SCL29A</t>
  </si>
  <si>
    <t>31-May-2029</t>
  </si>
  <si>
    <t>INE148I07TH4</t>
  </si>
  <si>
    <t>902SCL27A</t>
  </si>
  <si>
    <t>INE148I07TI2</t>
  </si>
  <si>
    <t>94SCL27</t>
  </si>
  <si>
    <t>INE148I07TK8</t>
  </si>
  <si>
    <t>1050SCL31</t>
  </si>
  <si>
    <t>31-May-2031</t>
  </si>
  <si>
    <t>INE148I07TL6</t>
  </si>
  <si>
    <t>948SCL27A</t>
  </si>
  <si>
    <t>INE148I07TM4</t>
  </si>
  <si>
    <t>SCL310524A</t>
  </si>
  <si>
    <t>INE148I07TN2</t>
  </si>
  <si>
    <t>1025SCL34A</t>
  </si>
  <si>
    <t>31-May-2034</t>
  </si>
  <si>
    <t>INE148I07TO0</t>
  </si>
  <si>
    <t>10SCL31A</t>
  </si>
  <si>
    <t>INE148I07TP7</t>
  </si>
  <si>
    <t>1075SCL34</t>
  </si>
  <si>
    <t>INE148I07TQ5</t>
  </si>
  <si>
    <t>925SCL29A</t>
  </si>
  <si>
    <t>INE148I07TR3</t>
  </si>
  <si>
    <t>1015SCL29</t>
  </si>
  <si>
    <t>INE148I07TU7</t>
  </si>
  <si>
    <t>98SCL34</t>
  </si>
  <si>
    <t>INE148I07TW3</t>
  </si>
  <si>
    <t>1003SCL31</t>
  </si>
  <si>
    <t>INE148I08231</t>
  </si>
  <si>
    <t>Uns Red NCD 8.79% Sr.VIII</t>
  </si>
  <si>
    <t>879SCL26</t>
  </si>
  <si>
    <t>INE148I08249</t>
  </si>
  <si>
    <t>9SCL26B</t>
  </si>
  <si>
    <t>INE148I08256</t>
  </si>
  <si>
    <t>Uns Red NCD 9.15% Sr.IX</t>
  </si>
  <si>
    <t>915SCL26</t>
  </si>
  <si>
    <t>INE148I08272</t>
  </si>
  <si>
    <t>SCLZC26A</t>
  </si>
  <si>
    <t>INE148I08322</t>
  </si>
  <si>
    <t>22-Dec-2028</t>
  </si>
  <si>
    <t>UnSe Re NCD 9.75% Sr.IX</t>
  </si>
  <si>
    <t>889SCL28</t>
  </si>
  <si>
    <t>INE148I08330</t>
  </si>
  <si>
    <t>935SCL28</t>
  </si>
  <si>
    <t>INE148I08348</t>
  </si>
  <si>
    <t>UnSe Re NCD 9.35% Sr.X</t>
  </si>
  <si>
    <t>850SCL25A</t>
  </si>
  <si>
    <t>INE202E07120</t>
  </si>
  <si>
    <t>IREDA</t>
  </si>
  <si>
    <t>1,325.00</t>
  </si>
  <si>
    <t>IREDA 8.55NCDTr I Sr II A</t>
  </si>
  <si>
    <t>855IREDA29</t>
  </si>
  <si>
    <t>INE202E07138</t>
  </si>
  <si>
    <t>1,192.65</t>
  </si>
  <si>
    <t>IREDA 8.80NCDTr I Sr II B</t>
  </si>
  <si>
    <t>880IREDA29</t>
  </si>
  <si>
    <t>INE202E07146</t>
  </si>
  <si>
    <t>13-Mar-2034</t>
  </si>
  <si>
    <t>IREDA 8.55NCDTr I Sr IIIA</t>
  </si>
  <si>
    <t>855IREDA34</t>
  </si>
  <si>
    <t>INE202E07153</t>
  </si>
  <si>
    <t>1,297.99</t>
  </si>
  <si>
    <t>IREDA 8.80NCDTr I Sr IIIB</t>
  </si>
  <si>
    <t>880IREDA34</t>
  </si>
  <si>
    <t>INE202E07187</t>
  </si>
  <si>
    <t>728IREDA26</t>
  </si>
  <si>
    <t>21-Jan-2026</t>
  </si>
  <si>
    <t>INE202E07195</t>
  </si>
  <si>
    <t>749IREDA31</t>
  </si>
  <si>
    <t>21-Jan-2031</t>
  </si>
  <si>
    <t>INE202E07203</t>
  </si>
  <si>
    <t>743IREDA36</t>
  </si>
  <si>
    <t>21-Jan-2036</t>
  </si>
  <si>
    <t>INE202E07211</t>
  </si>
  <si>
    <t>753IREDA26</t>
  </si>
  <si>
    <t>INE202E07229</t>
  </si>
  <si>
    <t>774IRED-ML-FL</t>
  </si>
  <si>
    <t>774IREDA31</t>
  </si>
  <si>
    <t>INE202E07237</t>
  </si>
  <si>
    <t>768IREDA36</t>
  </si>
  <si>
    <t>INE202E08144</t>
  </si>
  <si>
    <t>INE216A08027</t>
  </si>
  <si>
    <t>BRITANNIA</t>
  </si>
  <si>
    <t>INE219X07199</t>
  </si>
  <si>
    <t>INDIGRID</t>
  </si>
  <si>
    <t>06-May-2026</t>
  </si>
  <si>
    <t>Sec Re NCD 7.45% Sr.II</t>
  </si>
  <si>
    <t>745IGT26</t>
  </si>
  <si>
    <t>INE219X07207</t>
  </si>
  <si>
    <t>Sec Re NCD 7.60% Sr.II</t>
  </si>
  <si>
    <t>76IGT26</t>
  </si>
  <si>
    <t>INE219X07215</t>
  </si>
  <si>
    <t>06-May-2028</t>
  </si>
  <si>
    <t>Sec Re NCD 7.70% Sr.III</t>
  </si>
  <si>
    <t>77IGT28</t>
  </si>
  <si>
    <t>INE219X07223</t>
  </si>
  <si>
    <t>281</t>
  </si>
  <si>
    <t>Sec Re NCD 7.90% Sr.III</t>
  </si>
  <si>
    <t>79IGT28</t>
  </si>
  <si>
    <t>INE219X07231</t>
  </si>
  <si>
    <t>Sec Re NCD 7.49% Sr.IV</t>
  </si>
  <si>
    <t>749IGT28</t>
  </si>
  <si>
    <t>INE219X07249</t>
  </si>
  <si>
    <t>Sec Re NCD 7.69% Sr.IV</t>
  </si>
  <si>
    <t>769IGT28</t>
  </si>
  <si>
    <t>INE219X07256</t>
  </si>
  <si>
    <t>06-May-2031</t>
  </si>
  <si>
    <t>Sec Re NCD 7.95% Sr.V</t>
  </si>
  <si>
    <t>795IGT31</t>
  </si>
  <si>
    <t>INE219X07264</t>
  </si>
  <si>
    <t>1,001.74</t>
  </si>
  <si>
    <t>35</t>
  </si>
  <si>
    <t>Sec Re NCD 8.20% Sr.V</t>
  </si>
  <si>
    <t>82IGT31</t>
  </si>
  <si>
    <t>INE219X07272</t>
  </si>
  <si>
    <t>Sec Re NCD 7.72% Sr.VI</t>
  </si>
  <si>
    <t>772IGT31</t>
  </si>
  <si>
    <t>INE219X07280</t>
  </si>
  <si>
    <t>Sec Re NCD 7.97% Sr.VI</t>
  </si>
  <si>
    <t>797IGT31</t>
  </si>
  <si>
    <t>INE244L07150</t>
  </si>
  <si>
    <t>931SFL26A</t>
  </si>
  <si>
    <t>25-Sep-2028</t>
  </si>
  <si>
    <t>INE244L07168</t>
  </si>
  <si>
    <t>IBUCCREDIT</t>
  </si>
  <si>
    <t>927.00</t>
  </si>
  <si>
    <t>24</t>
  </si>
  <si>
    <t>SeReNCD8.84%SrVICIII&amp;IV</t>
  </si>
  <si>
    <t>96SFL24A</t>
  </si>
  <si>
    <t>INE244L07176</t>
  </si>
  <si>
    <t>97SFL26A</t>
  </si>
  <si>
    <t>INE244L07184</t>
  </si>
  <si>
    <t>980.00</t>
  </si>
  <si>
    <t>SeReNCD9.20%SrVIICIII&amp;IV</t>
  </si>
  <si>
    <t>92ICCL28</t>
  </si>
  <si>
    <t>INE244L07275</t>
  </si>
  <si>
    <t>02-Feb-2025</t>
  </si>
  <si>
    <t>Sec Re NCD 9.80% Sr.I</t>
  </si>
  <si>
    <t>925ICCL24A</t>
  </si>
  <si>
    <t>INE244L07283</t>
  </si>
  <si>
    <t>02-Feb-2028</t>
  </si>
  <si>
    <t>Sec Re NCD 10.30% Sr.VII</t>
  </si>
  <si>
    <t>1030ICCL28</t>
  </si>
  <si>
    <t>INE244L07291</t>
  </si>
  <si>
    <t>913ICCL24A</t>
  </si>
  <si>
    <t>INE244L07309</t>
  </si>
  <si>
    <t>02-Feb-2026</t>
  </si>
  <si>
    <t>1030ICC26</t>
  </si>
  <si>
    <t>INE244L07317</t>
  </si>
  <si>
    <t>Sec Re NCD 9.80% Sr.VII</t>
  </si>
  <si>
    <t>980ICCL28</t>
  </si>
  <si>
    <t>INE244L07333</t>
  </si>
  <si>
    <t>Sec Re NCD 10.05% Sr.IV</t>
  </si>
  <si>
    <t>966ICCL25A</t>
  </si>
  <si>
    <t>INE244L07358</t>
  </si>
  <si>
    <t>Sec Re NCD Sr.II</t>
  </si>
  <si>
    <t>948ICCL25A</t>
  </si>
  <si>
    <t>INE244L07366</t>
  </si>
  <si>
    <t>987.99</t>
  </si>
  <si>
    <t>17</t>
  </si>
  <si>
    <t>Sec Re NCD 9.40% Sr.III</t>
  </si>
  <si>
    <t>955ICCL25A</t>
  </si>
  <si>
    <t>INE244L07390</t>
  </si>
  <si>
    <t>Sec Re NCD 9.61% Sr.VI</t>
  </si>
  <si>
    <t>984ICCL26A</t>
  </si>
  <si>
    <t>INE244L07408</t>
  </si>
  <si>
    <t>940ICCL28</t>
  </si>
  <si>
    <t>INE244L07416</t>
  </si>
  <si>
    <t>945.00</t>
  </si>
  <si>
    <t>203</t>
  </si>
  <si>
    <t>Sec Re NCD 9.85% Sr.VIII</t>
  </si>
  <si>
    <t>985ICCL28</t>
  </si>
  <si>
    <t>INE244L07424</t>
  </si>
  <si>
    <t>25-Apr-2025</t>
  </si>
  <si>
    <t>Sec Re NCD 9.60% Sr.I</t>
  </si>
  <si>
    <t>925ICCL25I</t>
  </si>
  <si>
    <t>INE244L07432</t>
  </si>
  <si>
    <t>888IHFL25C</t>
  </si>
  <si>
    <t>INE244L07457</t>
  </si>
  <si>
    <t>Sec Re NCD 10% Sr.I</t>
  </si>
  <si>
    <t>965ICCL25I</t>
  </si>
  <si>
    <t>INE244L07473</t>
  </si>
  <si>
    <t>1,071.11</t>
  </si>
  <si>
    <t>Sec Re NCD Sr.III</t>
  </si>
  <si>
    <t>ICCL25</t>
  </si>
  <si>
    <t>INE244L07499</t>
  </si>
  <si>
    <t>25-Apr-2026</t>
  </si>
  <si>
    <t>Sec Re NCD 9.80% Sr.V</t>
  </si>
  <si>
    <t>98ICCL26</t>
  </si>
  <si>
    <t>INE244L07507</t>
  </si>
  <si>
    <t>Indiabulls Commercial Credit Ltd</t>
  </si>
  <si>
    <t>1025ICCL26</t>
  </si>
  <si>
    <t>INE244L07523</t>
  </si>
  <si>
    <t>25-Apr-2028</t>
  </si>
  <si>
    <t>Sec Re NCD 10.03% Sr.VIII</t>
  </si>
  <si>
    <t>890ICCL23A</t>
  </si>
  <si>
    <t>INE244L07531</t>
  </si>
  <si>
    <t>1050ICCL28</t>
  </si>
  <si>
    <t>INE244L07549</t>
  </si>
  <si>
    <t>957ICCL28</t>
  </si>
  <si>
    <t>INE244L07556</t>
  </si>
  <si>
    <t>905.00</t>
  </si>
  <si>
    <t>4</t>
  </si>
  <si>
    <t>Sec Re NCD 10.50% Sr.VII</t>
  </si>
  <si>
    <t>1003ICCL28</t>
  </si>
  <si>
    <t>INE244L07564</t>
  </si>
  <si>
    <t>866ICCL23A</t>
  </si>
  <si>
    <t>INE248U07EQ0</t>
  </si>
  <si>
    <t>941ONE26</t>
  </si>
  <si>
    <t>18-Jan-2026</t>
  </si>
  <si>
    <t>INE248U07ER8</t>
  </si>
  <si>
    <t>966ONE29</t>
  </si>
  <si>
    <t>18-Jan-2029</t>
  </si>
  <si>
    <t>INE248U07ES6</t>
  </si>
  <si>
    <t>926ONE29</t>
  </si>
  <si>
    <t>INE248U07ET4</t>
  </si>
  <si>
    <t>921ONE27</t>
  </si>
  <si>
    <t>18-Jan-2027</t>
  </si>
  <si>
    <t>INE248U07EU2</t>
  </si>
  <si>
    <t>903ONE26</t>
  </si>
  <si>
    <t>INE248U07EV0</t>
  </si>
  <si>
    <t>922ONE25</t>
  </si>
  <si>
    <t>18-Jul-2025</t>
  </si>
  <si>
    <t>INE248U07EW8</t>
  </si>
  <si>
    <t>961ONE27</t>
  </si>
  <si>
    <t>INE248U07EX6</t>
  </si>
  <si>
    <t>891ONE25</t>
  </si>
  <si>
    <t>INE248U07FD5</t>
  </si>
  <si>
    <t>916ONE25</t>
  </si>
  <si>
    <t>INE248U07FE3</t>
  </si>
  <si>
    <t>96ONE29</t>
  </si>
  <si>
    <t>12-Jun-2029</t>
  </si>
  <si>
    <t>INE248U07FF0</t>
  </si>
  <si>
    <t>921ONE29</t>
  </si>
  <si>
    <t>INE248U07FG8</t>
  </si>
  <si>
    <t>955ONE27</t>
  </si>
  <si>
    <t>12-Jun-2027</t>
  </si>
  <si>
    <t>INE248U07FH6</t>
  </si>
  <si>
    <t>916ONE27</t>
  </si>
  <si>
    <t>INE248U07FI4</t>
  </si>
  <si>
    <t>944ONE34</t>
  </si>
  <si>
    <t>12-Jun-2034</t>
  </si>
  <si>
    <t>INE248U07FJ2</t>
  </si>
  <si>
    <t>935ONE26</t>
  </si>
  <si>
    <t>12-Jun-2026</t>
  </si>
  <si>
    <t>INE248U07FK0</t>
  </si>
  <si>
    <t>898ONE26</t>
  </si>
  <si>
    <t>INE248U07FL8</t>
  </si>
  <si>
    <t>886ONE25</t>
  </si>
  <si>
    <t>INE248U07FM6</t>
  </si>
  <si>
    <t>985ONE34</t>
  </si>
  <si>
    <t>INE261F07024</t>
  </si>
  <si>
    <t>729NABAR26</t>
  </si>
  <si>
    <t>INE261F07032</t>
  </si>
  <si>
    <t>NABARD</t>
  </si>
  <si>
    <t>764NABAR-ML-FL</t>
  </si>
  <si>
    <t>23-Mar-2031</t>
  </si>
  <si>
    <t>764NABAR31</t>
  </si>
  <si>
    <t>INE261F07040</t>
  </si>
  <si>
    <t>704NABAR26</t>
  </si>
  <si>
    <t>INE261F07057</t>
  </si>
  <si>
    <t>735NABAR-ML-FL</t>
  </si>
  <si>
    <t>735NABAR31</t>
  </si>
  <si>
    <t>INE302E07359</t>
  </si>
  <si>
    <t>975SFL024</t>
  </si>
  <si>
    <t>29-Oct-2024</t>
  </si>
  <si>
    <t>INE302E07367</t>
  </si>
  <si>
    <t>SFLZC24</t>
  </si>
  <si>
    <t>INE302E07375</t>
  </si>
  <si>
    <t>10SFL25</t>
  </si>
  <si>
    <t>29-Aug-2025</t>
  </si>
  <si>
    <t>INE302E07383</t>
  </si>
  <si>
    <t>SFLZC25</t>
  </si>
  <si>
    <t>INE302E07425</t>
  </si>
  <si>
    <t>875SFL25</t>
  </si>
  <si>
    <t>29-Apr-2025</t>
  </si>
  <si>
    <t>INE302E07433</t>
  </si>
  <si>
    <t>SFL25A</t>
  </si>
  <si>
    <t>INE302E07441</t>
  </si>
  <si>
    <t>9SFL26</t>
  </si>
  <si>
    <t>29-Apr-2026</t>
  </si>
  <si>
    <t>INE302E07458</t>
  </si>
  <si>
    <t>SFL26</t>
  </si>
  <si>
    <t>INE302E07466</t>
  </si>
  <si>
    <t>10SFL27</t>
  </si>
  <si>
    <t>29-Apr-2027</t>
  </si>
  <si>
    <t>INE302E07474</t>
  </si>
  <si>
    <t>SFL27</t>
  </si>
  <si>
    <t>INE302E07490</t>
  </si>
  <si>
    <t>SFL27A</t>
  </si>
  <si>
    <t>08-May-2027</t>
  </si>
  <si>
    <t>INE302E07508</t>
  </si>
  <si>
    <t>SFL25B</t>
  </si>
  <si>
    <t>08-May-2025</t>
  </si>
  <si>
    <t>INE302E07516</t>
  </si>
  <si>
    <t>SFL26A</t>
  </si>
  <si>
    <t>08-May-2026</t>
  </si>
  <si>
    <t>INE302E07524</t>
  </si>
  <si>
    <t>SFL28</t>
  </si>
  <si>
    <t>08-May-2028</t>
  </si>
  <si>
    <t>INE302E07532</t>
  </si>
  <si>
    <t>SFL30</t>
  </si>
  <si>
    <t>08-May-2030</t>
  </si>
  <si>
    <t>INE302E07540</t>
  </si>
  <si>
    <t>925SFL26</t>
  </si>
  <si>
    <t>INE302E07557</t>
  </si>
  <si>
    <t>950SFL27</t>
  </si>
  <si>
    <t>INE302E07565</t>
  </si>
  <si>
    <t>1025SFL28</t>
  </si>
  <si>
    <t>INE302E07573</t>
  </si>
  <si>
    <t>9SFL25</t>
  </si>
  <si>
    <t>INE302E07599</t>
  </si>
  <si>
    <t>SFL27224</t>
  </si>
  <si>
    <t>27-Feb-2027</t>
  </si>
  <si>
    <t>INE302E07607</t>
  </si>
  <si>
    <t>9SFL2026</t>
  </si>
  <si>
    <t>27-Feb-2026</t>
  </si>
  <si>
    <t>INE302E07615</t>
  </si>
  <si>
    <t>SFL270224</t>
  </si>
  <si>
    <t>INE302E07623</t>
  </si>
  <si>
    <t>SFL270224A</t>
  </si>
  <si>
    <t>29-Mar-2031</t>
  </si>
  <si>
    <t>INE302E07631</t>
  </si>
  <si>
    <t>SFL2722024</t>
  </si>
  <si>
    <t>27-Feb-2029</t>
  </si>
  <si>
    <t>INE302E07649</t>
  </si>
  <si>
    <t>1025SFL29</t>
  </si>
  <si>
    <t>INE302E07656</t>
  </si>
  <si>
    <t>925SFL27</t>
  </si>
  <si>
    <t>INE302E07706</t>
  </si>
  <si>
    <t>1025SF29</t>
  </si>
  <si>
    <t>09-Jul-2029</t>
  </si>
  <si>
    <t>INE302E07714</t>
  </si>
  <si>
    <t>0SFL29A</t>
  </si>
  <si>
    <t>INE302E07722</t>
  </si>
  <si>
    <t>0SFL31</t>
  </si>
  <si>
    <t>09-Aug-2031</t>
  </si>
  <si>
    <t>INE302E07730</t>
  </si>
  <si>
    <t>925SFL27A</t>
  </si>
  <si>
    <t>09-Jul-2027</t>
  </si>
  <si>
    <t>INE302E07748</t>
  </si>
  <si>
    <t>9SFL26A</t>
  </si>
  <si>
    <t>09-Jul-2026</t>
  </si>
  <si>
    <t>INE302E07755</t>
  </si>
  <si>
    <t>0SFL27A</t>
  </si>
  <si>
    <t>INE302E07763</t>
  </si>
  <si>
    <t>0SFL26</t>
  </si>
  <si>
    <t>INE302E08050</t>
  </si>
  <si>
    <t>1025SFL25</t>
  </si>
  <si>
    <t>08-Jul-2025</t>
  </si>
  <si>
    <t>INE302E08068</t>
  </si>
  <si>
    <t>1025SFL25A</t>
  </si>
  <si>
    <t>INE302E08076</t>
  </si>
  <si>
    <t>SFL25</t>
  </si>
  <si>
    <t>INE302E08084</t>
  </si>
  <si>
    <t>1050SFL26</t>
  </si>
  <si>
    <t>29-Aug-2026</t>
  </si>
  <si>
    <t>INE302E08092</t>
  </si>
  <si>
    <t>SFLZC26</t>
  </si>
  <si>
    <t>INE306N07LK9</t>
  </si>
  <si>
    <t>TATACAP</t>
  </si>
  <si>
    <t>INE306N07LL7</t>
  </si>
  <si>
    <t>855TCAPS27</t>
  </si>
  <si>
    <t>26-Aug-2027</t>
  </si>
  <si>
    <t>INE306N07LM5</t>
  </si>
  <si>
    <t>865TCAPS27</t>
  </si>
  <si>
    <t>INE306N08284</t>
  </si>
  <si>
    <t>9TCAP28</t>
  </si>
  <si>
    <t>27-Sep-2028</t>
  </si>
  <si>
    <t>INE306N08292</t>
  </si>
  <si>
    <t>910TCAP28</t>
  </si>
  <si>
    <t>INE306N08334</t>
  </si>
  <si>
    <t>875TCAPS29</t>
  </si>
  <si>
    <t>26-Aug-2029</t>
  </si>
  <si>
    <t>INE306N08342</t>
  </si>
  <si>
    <t>885TCAPS29</t>
  </si>
  <si>
    <t>INE321N07277</t>
  </si>
  <si>
    <t>INCREDFIN</t>
  </si>
  <si>
    <t>992</t>
  </si>
  <si>
    <t>02-May-2026</t>
  </si>
  <si>
    <t>Sec Re NCD 9.65% Sr.III</t>
  </si>
  <si>
    <t>965IFSL26</t>
  </si>
  <si>
    <t>INE321N07285</t>
  </si>
  <si>
    <t>02-May-2025</t>
  </si>
  <si>
    <t>Sec Re NCD 9.80% Sr.II</t>
  </si>
  <si>
    <t>980IFSL25</t>
  </si>
  <si>
    <t>INE321N07293</t>
  </si>
  <si>
    <t>Sec Re NCD 10% Sr.IV</t>
  </si>
  <si>
    <t>10IFSL26</t>
  </si>
  <si>
    <t>INE321N07301</t>
  </si>
  <si>
    <t>Sec Re NCD 9.45% Sr.I</t>
  </si>
  <si>
    <t>945IFSL25</t>
  </si>
  <si>
    <t>INE321N07335</t>
  </si>
  <si>
    <t>955IFSL25</t>
  </si>
  <si>
    <t>10-Nov-2025</t>
  </si>
  <si>
    <t>INE321N07343</t>
  </si>
  <si>
    <t>948IFSL25B</t>
  </si>
  <si>
    <t>10-May-2025</t>
  </si>
  <si>
    <t>INE321N07350</t>
  </si>
  <si>
    <t>966IFSL25</t>
  </si>
  <si>
    <t>INE321N07368</t>
  </si>
  <si>
    <t>1030IFSL26</t>
  </si>
  <si>
    <t>10-Nov-2026</t>
  </si>
  <si>
    <t>INE321N07376</t>
  </si>
  <si>
    <t>984IFSL26</t>
  </si>
  <si>
    <t>INE338I07099</t>
  </si>
  <si>
    <t>0MOFSL27</t>
  </si>
  <si>
    <t>09-May-2027</t>
  </si>
  <si>
    <t>INE338I07107</t>
  </si>
  <si>
    <t>935MOFSL29</t>
  </si>
  <si>
    <t>09-May-2029</t>
  </si>
  <si>
    <t>INE338I07115</t>
  </si>
  <si>
    <t>93MOFSL34</t>
  </si>
  <si>
    <t>09-May-2034</t>
  </si>
  <si>
    <t>INE338I07123</t>
  </si>
  <si>
    <t>97MOFSL34</t>
  </si>
  <si>
    <t>INE338I07131</t>
  </si>
  <si>
    <t>885MOFSL26</t>
  </si>
  <si>
    <t>09-May-2026</t>
  </si>
  <si>
    <t>INE338I07149</t>
  </si>
  <si>
    <t>91MOFSL27</t>
  </si>
  <si>
    <t>INE338I07156</t>
  </si>
  <si>
    <t>0MOFSL26</t>
  </si>
  <si>
    <t>INE338I07164</t>
  </si>
  <si>
    <t>897MOFSL29</t>
  </si>
  <si>
    <t>INE342T07205</t>
  </si>
  <si>
    <t>NAVIFIN</t>
  </si>
  <si>
    <t>08-Sep-2024</t>
  </si>
  <si>
    <t>Sec Re NCD 9.40% Sr. III</t>
  </si>
  <si>
    <t>INE342T07213</t>
  </si>
  <si>
    <t>1,105.45</t>
  </si>
  <si>
    <t>Sec Re NCD 9.75% Sr. IV</t>
  </si>
  <si>
    <t>INE342T07379</t>
  </si>
  <si>
    <t>18-Oct-2025</t>
  </si>
  <si>
    <t>Sec Re NCD 10.25% Sr.II</t>
  </si>
  <si>
    <t>1025NFL25</t>
  </si>
  <si>
    <t>INE342T07387</t>
  </si>
  <si>
    <t>1,005.00</t>
  </si>
  <si>
    <t>93</t>
  </si>
  <si>
    <t>18-Jul-2026</t>
  </si>
  <si>
    <t>Sec Re NCD 10.50% Sr.IV</t>
  </si>
  <si>
    <t>1050NFL26</t>
  </si>
  <si>
    <t>INE342T07395</t>
  </si>
  <si>
    <t>Sec Re NCD 10.75% Sr.III</t>
  </si>
  <si>
    <t>1075NFL25</t>
  </si>
  <si>
    <t>INE342T07403</t>
  </si>
  <si>
    <t>1,095.00</t>
  </si>
  <si>
    <t>Sec Re NCD 11.02% Sr.V</t>
  </si>
  <si>
    <t>1102NFL26</t>
  </si>
  <si>
    <t>INE342T07411</t>
  </si>
  <si>
    <t>18-Jan-2025</t>
  </si>
  <si>
    <t>Sec Re NCD 9.75% Sr. I</t>
  </si>
  <si>
    <t>975NFL25</t>
  </si>
  <si>
    <t>INE342T07437</t>
  </si>
  <si>
    <t>95</t>
  </si>
  <si>
    <t>13-Jun-2026</t>
  </si>
  <si>
    <t>Sec Re NCD 10.40% Sr.II</t>
  </si>
  <si>
    <t>1040NFL26</t>
  </si>
  <si>
    <t>INE342T07445</t>
  </si>
  <si>
    <t>1,187.80</t>
  </si>
  <si>
    <t>13-Mar-2027</t>
  </si>
  <si>
    <t>Sec Re NCD 11.19% Sr.V</t>
  </si>
  <si>
    <t>1119NFL27</t>
  </si>
  <si>
    <t>INE342T07452</t>
  </si>
  <si>
    <t>Sec Re NCD 10.90% Sr.III</t>
  </si>
  <si>
    <t>1090NFL26</t>
  </si>
  <si>
    <t>INE342T07460</t>
  </si>
  <si>
    <t>999.90</t>
  </si>
  <si>
    <t>Sec Re NCD 10.65% Sr.IV</t>
  </si>
  <si>
    <t>1065NFL27</t>
  </si>
  <si>
    <t>INE342T07478</t>
  </si>
  <si>
    <t>90</t>
  </si>
  <si>
    <t>13-Sep-2025</t>
  </si>
  <si>
    <t>Sec Re NCD 10.00% Sr. I</t>
  </si>
  <si>
    <t>10NFL25</t>
  </si>
  <si>
    <t>INE360T07058</t>
  </si>
  <si>
    <t>1025MHFL24</t>
  </si>
  <si>
    <t>INE360T07066</t>
  </si>
  <si>
    <t>1065MHFL24</t>
  </si>
  <si>
    <t>INE360T07074</t>
  </si>
  <si>
    <t>MHFLZC24</t>
  </si>
  <si>
    <t>INE360T07082</t>
  </si>
  <si>
    <t>MHFLZC26</t>
  </si>
  <si>
    <t>07-Sep-2026</t>
  </si>
  <si>
    <t>INE403Q07771</t>
  </si>
  <si>
    <t>KFLZC24</t>
  </si>
  <si>
    <t>27-Dec-2024</t>
  </si>
  <si>
    <t>INE403Q07912</t>
  </si>
  <si>
    <t>KFLZC25A</t>
  </si>
  <si>
    <t>22-Aug-2025</t>
  </si>
  <si>
    <t>INE403Q07AV7</t>
  </si>
  <si>
    <t>1071KFL25</t>
  </si>
  <si>
    <t>INE403Q07AW5</t>
  </si>
  <si>
    <t>1025KFL26B</t>
  </si>
  <si>
    <t>09-Dec-2026</t>
  </si>
  <si>
    <t>INE403Q07AX3</t>
  </si>
  <si>
    <t>1041KFL26</t>
  </si>
  <si>
    <t>INE403Q07BD3</t>
  </si>
  <si>
    <t>KFL25</t>
  </si>
  <si>
    <t>28-Nov-2025</t>
  </si>
  <si>
    <t>INE403Q07BJ0</t>
  </si>
  <si>
    <t>KFLZC24D</t>
  </si>
  <si>
    <t>13-Dec-2024</t>
  </si>
  <si>
    <t>INE403Q07BK8</t>
  </si>
  <si>
    <t>1025KFL27A</t>
  </si>
  <si>
    <t>13-Oct-2027</t>
  </si>
  <si>
    <t>INE403Q07BL6</t>
  </si>
  <si>
    <t>KFLZC27</t>
  </si>
  <si>
    <t>INE403Q07BQ5</t>
  </si>
  <si>
    <t>KFLZC2A</t>
  </si>
  <si>
    <t>22-Jan-2025</t>
  </si>
  <si>
    <t>INE403Q07BR3</t>
  </si>
  <si>
    <t>KFLZC26</t>
  </si>
  <si>
    <t>22-Jul-2026</t>
  </si>
  <si>
    <t>INE403Q07BY9</t>
  </si>
  <si>
    <t>10KFL24D</t>
  </si>
  <si>
    <t>28-Oct-2024</t>
  </si>
  <si>
    <t>INE403Q07BZ6</t>
  </si>
  <si>
    <t>KFLZC26C</t>
  </si>
  <si>
    <t>INE403Q07CC3</t>
  </si>
  <si>
    <t>KFLZC25C</t>
  </si>
  <si>
    <t>29-Nov-2025</t>
  </si>
  <si>
    <t>INE403Q07CD1</t>
  </si>
  <si>
    <t>KFLZC28B</t>
  </si>
  <si>
    <t>29-Sep-2028</t>
  </si>
  <si>
    <t>INE403Q07CG4</t>
  </si>
  <si>
    <t>10KSFL25</t>
  </si>
  <si>
    <t>29-Mar-2025</t>
  </si>
  <si>
    <t>INE403Q07CH2</t>
  </si>
  <si>
    <t>9KSFL27</t>
  </si>
  <si>
    <t>29-Sep-2027</t>
  </si>
  <si>
    <t>INE403Q07CJ8</t>
  </si>
  <si>
    <t>875KFL25</t>
  </si>
  <si>
    <t>17-Apr-2025</t>
  </si>
  <si>
    <t>INE403Q07CK6</t>
  </si>
  <si>
    <t>KFLZC25D</t>
  </si>
  <si>
    <t>INE403Q07CL4</t>
  </si>
  <si>
    <t>925KFIL25</t>
  </si>
  <si>
    <t>INE403Q07CM2</t>
  </si>
  <si>
    <t>950KFIL26</t>
  </si>
  <si>
    <t>17-Apr-2026</t>
  </si>
  <si>
    <t>INE403Q07CN0</t>
  </si>
  <si>
    <t>KFLZC26D</t>
  </si>
  <si>
    <t>17-Oct-2026</t>
  </si>
  <si>
    <t>INE403Q07CO8</t>
  </si>
  <si>
    <t>10KFIL27</t>
  </si>
  <si>
    <t>17-Apr-2027</t>
  </si>
  <si>
    <t>INE403Q07CP5</t>
  </si>
  <si>
    <t>KFLZC29</t>
  </si>
  <si>
    <t>INE403Q07CR1</t>
  </si>
  <si>
    <t>85KFL25</t>
  </si>
  <si>
    <t>10-Aug-2025</t>
  </si>
  <si>
    <t>INE403Q07CS9</t>
  </si>
  <si>
    <t>KFL25A</t>
  </si>
  <si>
    <t>INE403Q07CT7</t>
  </si>
  <si>
    <t>9KFL26</t>
  </si>
  <si>
    <t>10-Feb-2026</t>
  </si>
  <si>
    <t>INE403Q07CU5</t>
  </si>
  <si>
    <t>95KFL26</t>
  </si>
  <si>
    <t>10-Aug-2026</t>
  </si>
  <si>
    <t>INE403Q07CV3</t>
  </si>
  <si>
    <t>KFL27A</t>
  </si>
  <si>
    <t>10-Feb-2027</t>
  </si>
  <si>
    <t>INE403Q07CW1</t>
  </si>
  <si>
    <t>925KFL27</t>
  </si>
  <si>
    <t>10-Aug-2027</t>
  </si>
  <si>
    <t>INE403Q07CX9</t>
  </si>
  <si>
    <t>KFL29</t>
  </si>
  <si>
    <t>10-Dec-2029</t>
  </si>
  <si>
    <t>INE403Q07CZ4</t>
  </si>
  <si>
    <t>825KFL25</t>
  </si>
  <si>
    <t>15-Jan-2025</t>
  </si>
  <si>
    <t>INE403Q07DA5</t>
  </si>
  <si>
    <t>KFL25B</t>
  </si>
  <si>
    <t>15-Jul-2025</t>
  </si>
  <si>
    <t>INE403Q07DB3</t>
  </si>
  <si>
    <t>9KFL26A</t>
  </si>
  <si>
    <t>15-Jan-2026</t>
  </si>
  <si>
    <t>INE403Q07DC1</t>
  </si>
  <si>
    <t>KFL27B</t>
  </si>
  <si>
    <t>15-Jul-2027</t>
  </si>
  <si>
    <t>INE403Q07DD9</t>
  </si>
  <si>
    <t>KFL30</t>
  </si>
  <si>
    <t>15-May-2030</t>
  </si>
  <si>
    <t>INE403Q07DE7</t>
  </si>
  <si>
    <t>KFL26</t>
  </si>
  <si>
    <t>15-Apr-2026</t>
  </si>
  <si>
    <t>INE403Q07DF4</t>
  </si>
  <si>
    <t>95KFL27</t>
  </si>
  <si>
    <t>15-Jan-2027</t>
  </si>
  <si>
    <t>INE403Q07DG2</t>
  </si>
  <si>
    <t>95KFL27A</t>
  </si>
  <si>
    <t>INE403Q07DH0</t>
  </si>
  <si>
    <t>KFL25C</t>
  </si>
  <si>
    <t>28-Oct-2025</t>
  </si>
  <si>
    <t>INE403Q07DI8</t>
  </si>
  <si>
    <t>KFL27C</t>
  </si>
  <si>
    <t>28-Oct-2027</t>
  </si>
  <si>
    <t>INE403Q07DJ6</t>
  </si>
  <si>
    <t>KFL30A</t>
  </si>
  <si>
    <t>28-Aug-2030</t>
  </si>
  <si>
    <t>INE403Q07DL2</t>
  </si>
  <si>
    <t>875KFL25A</t>
  </si>
  <si>
    <t>INE403Q07DM0</t>
  </si>
  <si>
    <t>KFL26A</t>
  </si>
  <si>
    <t>28-Jul-2026</t>
  </si>
  <si>
    <t>INE403Q07DN8</t>
  </si>
  <si>
    <t>9KFL26B</t>
  </si>
  <si>
    <t>28-Apr-2026</t>
  </si>
  <si>
    <t>INE403Q07DO6</t>
  </si>
  <si>
    <t>KFL25D</t>
  </si>
  <si>
    <t>27-May-2025</t>
  </si>
  <si>
    <t>INE403Q07DP3</t>
  </si>
  <si>
    <t>KFL26B</t>
  </si>
  <si>
    <t>27-Mar-2026</t>
  </si>
  <si>
    <t>INE403Q07DQ1</t>
  </si>
  <si>
    <t>KFL26C</t>
  </si>
  <si>
    <t>INE403Q07DR9</t>
  </si>
  <si>
    <t>KFL31</t>
  </si>
  <si>
    <t>27-Jan-2031</t>
  </si>
  <si>
    <t>INE403Q07DS7</t>
  </si>
  <si>
    <t>KFL28D</t>
  </si>
  <si>
    <t>27-Mar-2028</t>
  </si>
  <si>
    <t>INE403Q07DT5</t>
  </si>
  <si>
    <t>875KFL2025</t>
  </si>
  <si>
    <t>27-Sep-2025</t>
  </si>
  <si>
    <t>INE403Q07DU3</t>
  </si>
  <si>
    <t>925KFL26</t>
  </si>
  <si>
    <t>27-Sep-2026</t>
  </si>
  <si>
    <t>INE403Q07DV1</t>
  </si>
  <si>
    <t>10KFL27</t>
  </si>
  <si>
    <t>27-Sep-2027</t>
  </si>
  <si>
    <t>INE403Q07DX7</t>
  </si>
  <si>
    <t>KFLZC25E</t>
  </si>
  <si>
    <t>17-Jul-2025</t>
  </si>
  <si>
    <t>INE403Q07DY5</t>
  </si>
  <si>
    <t>925FL27</t>
  </si>
  <si>
    <t>17-Jan-2027</t>
  </si>
  <si>
    <t>INE403Q07DZ2</t>
  </si>
  <si>
    <t>KFLZC26E</t>
  </si>
  <si>
    <t>17-Jul-2026</t>
  </si>
  <si>
    <t>INE403Q07EA3</t>
  </si>
  <si>
    <t>KFLZC31</t>
  </si>
  <si>
    <t>17-May-2031</t>
  </si>
  <si>
    <t>INE403Q07EB1</t>
  </si>
  <si>
    <t>KFLZC27A</t>
  </si>
  <si>
    <t>INE403Q07EC9</t>
  </si>
  <si>
    <t>KFLZC28C</t>
  </si>
  <si>
    <t>17-Jul-2028</t>
  </si>
  <si>
    <t>INE403Q07ED7</t>
  </si>
  <si>
    <t>10KFL28</t>
  </si>
  <si>
    <t>17-Jan-2028</t>
  </si>
  <si>
    <t>INE403Q07EE5</t>
  </si>
  <si>
    <t>875KFL26</t>
  </si>
  <si>
    <t>17-Jan-2026</t>
  </si>
  <si>
    <t>INE403Q07EF2</t>
  </si>
  <si>
    <t>875KFL26A</t>
  </si>
  <si>
    <t>INE403Q07EG0</t>
  </si>
  <si>
    <t>0KFL28</t>
  </si>
  <si>
    <t>INE403Q07EH8</t>
  </si>
  <si>
    <t>0KFL31</t>
  </si>
  <si>
    <t>25-Aug-2031</t>
  </si>
  <si>
    <t>INE403Q07EI6</t>
  </si>
  <si>
    <t>0KFL27</t>
  </si>
  <si>
    <t>25-Jul-2027</t>
  </si>
  <si>
    <t>INE403Q07EJ4</t>
  </si>
  <si>
    <t>0KFL26</t>
  </si>
  <si>
    <t>25-Oct-2026</t>
  </si>
  <si>
    <t>INE403Q07EK2</t>
  </si>
  <si>
    <t>0KFL25</t>
  </si>
  <si>
    <t>25-Oct-2025</t>
  </si>
  <si>
    <t>INE403Q07EL0</t>
  </si>
  <si>
    <t>950KFL27</t>
  </si>
  <si>
    <t>25-Apr-2027</t>
  </si>
  <si>
    <t>INE403Q07EM8</t>
  </si>
  <si>
    <t>10KFL28A</t>
  </si>
  <si>
    <t>INE403Q07EN6</t>
  </si>
  <si>
    <t>KFL070824</t>
  </si>
  <si>
    <t>INE403Q07EO4</t>
  </si>
  <si>
    <t>KFL070824D</t>
  </si>
  <si>
    <t>06-Aug-2031</t>
  </si>
  <si>
    <t>INE403Q07EP1</t>
  </si>
  <si>
    <t>KFL070824C</t>
  </si>
  <si>
    <t>06-Aug-2028</t>
  </si>
  <si>
    <t>INE403Q07EQ9</t>
  </si>
  <si>
    <t>KFL070824A</t>
  </si>
  <si>
    <t>06-Feb-2027</t>
  </si>
  <si>
    <t>INE403Q07ER7</t>
  </si>
  <si>
    <t>KFL070824B</t>
  </si>
  <si>
    <t>06-Nov-2027</t>
  </si>
  <si>
    <t>INE403Q07ES5</t>
  </si>
  <si>
    <t>925KFL26A</t>
  </si>
  <si>
    <t>06-Aug-2026</t>
  </si>
  <si>
    <t>INE403Q07ET3</t>
  </si>
  <si>
    <t>10KFL27A</t>
  </si>
  <si>
    <t>06-Aug-2027</t>
  </si>
  <si>
    <t>INE403Q07EU1</t>
  </si>
  <si>
    <t>1025KFL29</t>
  </si>
  <si>
    <t>06-Aug-2029</t>
  </si>
  <si>
    <t>INE403Q08092</t>
  </si>
  <si>
    <t>10KFL25</t>
  </si>
  <si>
    <t>07-May-2025</t>
  </si>
  <si>
    <t>INE403Q08100</t>
  </si>
  <si>
    <t>KFLZC25</t>
  </si>
  <si>
    <t>INE403Q08118</t>
  </si>
  <si>
    <t>1025KFL25</t>
  </si>
  <si>
    <t>23-Sep-2025</t>
  </si>
  <si>
    <t>INE403Q08126</t>
  </si>
  <si>
    <t>KFLZC25B</t>
  </si>
  <si>
    <t>INE403Q08159</t>
  </si>
  <si>
    <t>1025KFL26</t>
  </si>
  <si>
    <t>05-May-2026</t>
  </si>
  <si>
    <t>INE403Q08167</t>
  </si>
  <si>
    <t>KFLZC26A</t>
  </si>
  <si>
    <t>INE403Q08175</t>
  </si>
  <si>
    <t>1025KFL26A</t>
  </si>
  <si>
    <t>20-Aug-2026</t>
  </si>
  <si>
    <t>INE403Q08183</t>
  </si>
  <si>
    <t>KFLZC26B</t>
  </si>
  <si>
    <t>INE403Q08191</t>
  </si>
  <si>
    <t>1025KFL27</t>
  </si>
  <si>
    <t>28-May-2027</t>
  </si>
  <si>
    <t>INE403Q08209</t>
  </si>
  <si>
    <t>KFL27</t>
  </si>
  <si>
    <t>INE403Q08217</t>
  </si>
  <si>
    <t>1025KFL28</t>
  </si>
  <si>
    <t>22-Jan-2028</t>
  </si>
  <si>
    <t>INE403Q08225</t>
  </si>
  <si>
    <t>KFLZC28</t>
  </si>
  <si>
    <t>INE403Q08233</t>
  </si>
  <si>
    <t>1025KFL26C</t>
  </si>
  <si>
    <t>28-Oct-2026</t>
  </si>
  <si>
    <t>INE403Q08241</t>
  </si>
  <si>
    <t>KFLZC28A</t>
  </si>
  <si>
    <t>28-Apr-2028</t>
  </si>
  <si>
    <t>INE413U07228</t>
  </si>
  <si>
    <t>IIFLSAMFIN</t>
  </si>
  <si>
    <t>Sec Re NCD 9.60% Sr 2</t>
  </si>
  <si>
    <t>960ISFL25</t>
  </si>
  <si>
    <t>INE413U07236</t>
  </si>
  <si>
    <t>995.00</t>
  </si>
  <si>
    <t>700</t>
  </si>
  <si>
    <t>Sec Re NCD 9.57% Sr 3</t>
  </si>
  <si>
    <t>957ISFL26</t>
  </si>
  <si>
    <t>INE413U07244</t>
  </si>
  <si>
    <t>299</t>
  </si>
  <si>
    <t>Sec Re NCD 9.21% Sr 1</t>
  </si>
  <si>
    <t>921ISFL25</t>
  </si>
  <si>
    <t>INE413U07251</t>
  </si>
  <si>
    <t>64</t>
  </si>
  <si>
    <t>Sec Re NCD 10.50% Sr 6</t>
  </si>
  <si>
    <t>1050ISFL28</t>
  </si>
  <si>
    <t>INE413U07269</t>
  </si>
  <si>
    <t>91</t>
  </si>
  <si>
    <t>Sec Re NCD 10.03% Sr 5</t>
  </si>
  <si>
    <t>1003ISFL28</t>
  </si>
  <si>
    <t>INE413U07277</t>
  </si>
  <si>
    <t>1,034.90</t>
  </si>
  <si>
    <t>Sec Re NCD 10% Sr 4</t>
  </si>
  <si>
    <t>10ISFL26</t>
  </si>
  <si>
    <t>INE413U07285</t>
  </si>
  <si>
    <t>920IIFLS26</t>
  </si>
  <si>
    <t>21-Jun-2026</t>
  </si>
  <si>
    <t>INE413U07293</t>
  </si>
  <si>
    <t>10IIFLSF27</t>
  </si>
  <si>
    <t>21-Jun-2027</t>
  </si>
  <si>
    <t>INE413U07301</t>
  </si>
  <si>
    <t>1003IIFL29</t>
  </si>
  <si>
    <t>21-Jun-2029</t>
  </si>
  <si>
    <t>INE413U07319</t>
  </si>
  <si>
    <t>1050IIFL29</t>
  </si>
  <si>
    <t>INE413U07327</t>
  </si>
  <si>
    <t>957IIFLS27</t>
  </si>
  <si>
    <t>INE413U07335</t>
  </si>
  <si>
    <t>960IIFLS26</t>
  </si>
  <si>
    <t>INE413U08119</t>
  </si>
  <si>
    <t>1048IIFL27</t>
  </si>
  <si>
    <t>INE413U08127</t>
  </si>
  <si>
    <t>1077IIFL30</t>
  </si>
  <si>
    <t>INE414G07DQ9</t>
  </si>
  <si>
    <t>MFLZC26A</t>
  </si>
  <si>
    <t>INE414G07DV9</t>
  </si>
  <si>
    <t>975MFL24B</t>
  </si>
  <si>
    <t>01-Nov-2024</t>
  </si>
  <si>
    <t>INE414G07DY3</t>
  </si>
  <si>
    <t>10MFL24B</t>
  </si>
  <si>
    <t>INE414G07EB9</t>
  </si>
  <si>
    <t>MFLZC24C</t>
  </si>
  <si>
    <t>INE414G07EC7</t>
  </si>
  <si>
    <t>MFLZC27D</t>
  </si>
  <si>
    <t>01-May-2027</t>
  </si>
  <si>
    <t>INE414G07EF0</t>
  </si>
  <si>
    <t>MFLZC24D</t>
  </si>
  <si>
    <t>INE414G07EG8</t>
  </si>
  <si>
    <t>MFLZC27B</t>
  </si>
  <si>
    <t>27-Jun-2027</t>
  </si>
  <si>
    <t>INE414G07EJ2</t>
  </si>
  <si>
    <t>975MFL24BB</t>
  </si>
  <si>
    <t>INE414G07EM6</t>
  </si>
  <si>
    <t>10MFL24AA</t>
  </si>
  <si>
    <t>INE414G07FE0</t>
  </si>
  <si>
    <t>MFLOPTII24</t>
  </si>
  <si>
    <t>INE414G07FG5</t>
  </si>
  <si>
    <t>MFOPTIV24</t>
  </si>
  <si>
    <t>INE414G07FI1</t>
  </si>
  <si>
    <t>MFOPTVI24</t>
  </si>
  <si>
    <t>INE414G07FK7</t>
  </si>
  <si>
    <t>MFLII26</t>
  </si>
  <si>
    <t>11-Jan-2026</t>
  </si>
  <si>
    <t>INE414G07FM3</t>
  </si>
  <si>
    <t>MFLIV26</t>
  </si>
  <si>
    <t>INE414G07FO9</t>
  </si>
  <si>
    <t>MFLVI26</t>
  </si>
  <si>
    <t>INE414G07FR2</t>
  </si>
  <si>
    <t>MFLII26B</t>
  </si>
  <si>
    <t>20-Apr-2026</t>
  </si>
  <si>
    <t>INE414G07FU6</t>
  </si>
  <si>
    <t>MFLV26E</t>
  </si>
  <si>
    <t>INE414G07FV4</t>
  </si>
  <si>
    <t>MFLVI31F</t>
  </si>
  <si>
    <t>20-Apr-2031</t>
  </si>
  <si>
    <t>INE414G07FX0</t>
  </si>
  <si>
    <t>MFLVIII26H</t>
  </si>
  <si>
    <t>INE414G07GD0</t>
  </si>
  <si>
    <t>MFLI25A</t>
  </si>
  <si>
    <t>05-May-2025</t>
  </si>
  <si>
    <t>INE414G07GE8</t>
  </si>
  <si>
    <t>MFLII27B</t>
  </si>
  <si>
    <t>05-May-2027</t>
  </si>
  <si>
    <t>INE414G07GF5</t>
  </si>
  <si>
    <t>MFLIII25C</t>
  </si>
  <si>
    <t>INE414G07GG3</t>
  </si>
  <si>
    <t>MFLIV27D</t>
  </si>
  <si>
    <t>INE414G07GH1</t>
  </si>
  <si>
    <t>MFLV29E</t>
  </si>
  <si>
    <t>05-May-2029</t>
  </si>
  <si>
    <t>INE414G07GI9</t>
  </si>
  <si>
    <t>MFLVI32F</t>
  </si>
  <si>
    <t>05-May-2032</t>
  </si>
  <si>
    <t>INE414G07GJ7</t>
  </si>
  <si>
    <t>MFLVII25G</t>
  </si>
  <si>
    <t>INE414G07GK5</t>
  </si>
  <si>
    <t>MFLVIII27H</t>
  </si>
  <si>
    <t>INE414G07GL3</t>
  </si>
  <si>
    <t>MFLI25</t>
  </si>
  <si>
    <t>INE414G07GM1</t>
  </si>
  <si>
    <t>MFLII27</t>
  </si>
  <si>
    <t>23-Jun-2027</t>
  </si>
  <si>
    <t>INE414G07GN9</t>
  </si>
  <si>
    <t>MFLIII25</t>
  </si>
  <si>
    <t>INE414G07GP4</t>
  </si>
  <si>
    <t>MFLV29</t>
  </si>
  <si>
    <t>INE414G07GQ2</t>
  </si>
  <si>
    <t>MFLVI25</t>
  </si>
  <si>
    <t>INE414G07GR0</t>
  </si>
  <si>
    <t>MFLVII27</t>
  </si>
  <si>
    <t>INE414G07GU4</t>
  </si>
  <si>
    <t>MFLTDI25</t>
  </si>
  <si>
    <t>INE414G07GV2</t>
  </si>
  <si>
    <t>MFLTDII27</t>
  </si>
  <si>
    <t>INE414G07GW0</t>
  </si>
  <si>
    <t>MFLTDIII24</t>
  </si>
  <si>
    <t>INE414G07GX8</t>
  </si>
  <si>
    <t>MFLIV25</t>
  </si>
  <si>
    <t>INE414G07GY6</t>
  </si>
  <si>
    <t>MFLV27</t>
  </si>
  <si>
    <t>INE414G07GZ3</t>
  </si>
  <si>
    <t>MFLTDVII27</t>
  </si>
  <si>
    <t>INE414G07HA4</t>
  </si>
  <si>
    <t>MFLTDVI25</t>
  </si>
  <si>
    <t>INE414G07HB2</t>
  </si>
  <si>
    <t>735MFL25</t>
  </si>
  <si>
    <t>23-Dec-2025</t>
  </si>
  <si>
    <t>INE414G07HC0</t>
  </si>
  <si>
    <t>725MFL24</t>
  </si>
  <si>
    <t>INE414G07HD8</t>
  </si>
  <si>
    <t>760MFL25</t>
  </si>
  <si>
    <t>INE414G07HE6</t>
  </si>
  <si>
    <t>775MFL27</t>
  </si>
  <si>
    <t>INE414G07HF3</t>
  </si>
  <si>
    <t>MFLZC25</t>
  </si>
  <si>
    <t>INE414G07HG1</t>
  </si>
  <si>
    <t>MFLZC27</t>
  </si>
  <si>
    <t>INE414G07HH9</t>
  </si>
  <si>
    <t>750MFL27</t>
  </si>
  <si>
    <t>INE414G07HL1</t>
  </si>
  <si>
    <t>775MFL26</t>
  </si>
  <si>
    <t>10-Apr-2026</t>
  </si>
  <si>
    <t>INE414G07HM9</t>
  </si>
  <si>
    <t>785MFL28</t>
  </si>
  <si>
    <t>10-Apr-2028</t>
  </si>
  <si>
    <t>INE414G07HN7</t>
  </si>
  <si>
    <t>775MFL25</t>
  </si>
  <si>
    <t>10-Apr-2025</t>
  </si>
  <si>
    <t>INE414G07HO5</t>
  </si>
  <si>
    <t>MFL23A</t>
  </si>
  <si>
    <t>INE414G07HP2</t>
  </si>
  <si>
    <t>MFL23</t>
  </si>
  <si>
    <t>INE414G07HQ0</t>
  </si>
  <si>
    <t>81MFL28</t>
  </si>
  <si>
    <t>INE414G07HR8</t>
  </si>
  <si>
    <t>8MFL26</t>
  </si>
  <si>
    <t>INE414G07HY4</t>
  </si>
  <si>
    <t>775MFL2026</t>
  </si>
  <si>
    <t>03-Jun-2026</t>
  </si>
  <si>
    <t>INE414G07HZ1</t>
  </si>
  <si>
    <t>785MFL2028</t>
  </si>
  <si>
    <t>03-Jun-2028</t>
  </si>
  <si>
    <t>INE414G07IA2</t>
  </si>
  <si>
    <t>775MFL2025</t>
  </si>
  <si>
    <t>03-Jun-2025</t>
  </si>
  <si>
    <t>INE414G07IB0</t>
  </si>
  <si>
    <t>8MFL2026</t>
  </si>
  <si>
    <t>INE414G07IC8</t>
  </si>
  <si>
    <t>810MFL2028</t>
  </si>
  <si>
    <t>INE414G07ID6</t>
  </si>
  <si>
    <t>MFL26</t>
  </si>
  <si>
    <t>INE414G07IE4</t>
  </si>
  <si>
    <t>MFL28</t>
  </si>
  <si>
    <t>INE414G07IJ3</t>
  </si>
  <si>
    <t>MFL28A</t>
  </si>
  <si>
    <t>04-Oct-2028</t>
  </si>
  <si>
    <t>INE414G07IK1</t>
  </si>
  <si>
    <t>775MFLTD26</t>
  </si>
  <si>
    <t>04-Oct-2026</t>
  </si>
  <si>
    <t>INE414G07IL9</t>
  </si>
  <si>
    <t>775MFLTD28</t>
  </si>
  <si>
    <t>INE414G07IM7</t>
  </si>
  <si>
    <t>775MFLTD25</t>
  </si>
  <si>
    <t>04-Oct-2025</t>
  </si>
  <si>
    <t>INE414G07IN5</t>
  </si>
  <si>
    <t>8MFLTD26</t>
  </si>
  <si>
    <t>INE414G07IO3</t>
  </si>
  <si>
    <t>8MFLTD28</t>
  </si>
  <si>
    <t>INE414G07IP0</t>
  </si>
  <si>
    <t>MFL26A</t>
  </si>
  <si>
    <t>INE414G07IT2</t>
  </si>
  <si>
    <t>825MFL29</t>
  </si>
  <si>
    <t>25-Jan-2029</t>
  </si>
  <si>
    <t>INE414G07IU0</t>
  </si>
  <si>
    <t>825MFL2026</t>
  </si>
  <si>
    <t>25-Jan-2026</t>
  </si>
  <si>
    <t>INE414G07IV8</t>
  </si>
  <si>
    <t>850MFL27A</t>
  </si>
  <si>
    <t>25-Jan-2027</t>
  </si>
  <si>
    <t>INE414G07IW6</t>
  </si>
  <si>
    <t>825MFL27</t>
  </si>
  <si>
    <t>INE414G07IX4</t>
  </si>
  <si>
    <t>MFL29</t>
  </si>
  <si>
    <t>INE414G07IY2</t>
  </si>
  <si>
    <t>MFL27</t>
  </si>
  <si>
    <t>INE414G07IZ9</t>
  </si>
  <si>
    <t>850MFL29</t>
  </si>
  <si>
    <t>INE414G08330</t>
  </si>
  <si>
    <t>805MMFS32</t>
  </si>
  <si>
    <t>30-Jan-2025</t>
  </si>
  <si>
    <t>INE414G08348</t>
  </si>
  <si>
    <t>915MMFS24</t>
  </si>
  <si>
    <t>24-Apr-2025</t>
  </si>
  <si>
    <t>INE423A07310</t>
  </si>
  <si>
    <t>932AEL27</t>
  </si>
  <si>
    <t>12-Sep-2027</t>
  </si>
  <si>
    <t>INE423A07328</t>
  </si>
  <si>
    <t>965AEL27</t>
  </si>
  <si>
    <t>INE423A07336</t>
  </si>
  <si>
    <t>956AEL29</t>
  </si>
  <si>
    <t>12-Sep-2029</t>
  </si>
  <si>
    <t>INE423A07344</t>
  </si>
  <si>
    <t>99AEL29</t>
  </si>
  <si>
    <t>INE423A07351</t>
  </si>
  <si>
    <t>925AEL26</t>
  </si>
  <si>
    <t>12-Sep-2026</t>
  </si>
  <si>
    <t>INE423A07369</t>
  </si>
  <si>
    <t>AEL120924</t>
  </si>
  <si>
    <t>INE423A07377</t>
  </si>
  <si>
    <t>AEL120924A</t>
  </si>
  <si>
    <t>INE423A07385</t>
  </si>
  <si>
    <t>AEL120924B</t>
  </si>
  <si>
    <t>INE477L07AL3</t>
  </si>
  <si>
    <t>IIHFL</t>
  </si>
  <si>
    <t>1,002.45</t>
  </si>
  <si>
    <t>6</t>
  </si>
  <si>
    <t>03-Jan-2025</t>
  </si>
  <si>
    <t>825IIFL25</t>
  </si>
  <si>
    <t>INE477L07AM1</t>
  </si>
  <si>
    <t>1,163.80</t>
  </si>
  <si>
    <t>Sec Re NCD 0% Sr.II</t>
  </si>
  <si>
    <t>IIFLZC25C</t>
  </si>
  <si>
    <t>INE477L07AN9</t>
  </si>
  <si>
    <t>03-Jan-2027</t>
  </si>
  <si>
    <t>Sec Re NCD 8.20% Sr.III</t>
  </si>
  <si>
    <t>820IIFL27</t>
  </si>
  <si>
    <t>INE477L07AO7</t>
  </si>
  <si>
    <t>977.99</t>
  </si>
  <si>
    <t>850IIFL27</t>
  </si>
  <si>
    <t>INE477L07AP4</t>
  </si>
  <si>
    <t>IIFLHFZC27</t>
  </si>
  <si>
    <t>INE477L07AQ2</t>
  </si>
  <si>
    <t>03-Jan-2029</t>
  </si>
  <si>
    <t>Sec Re NCD 8.43% Sr.VI</t>
  </si>
  <si>
    <t>843IHFL29</t>
  </si>
  <si>
    <t>INE477L07AR0</t>
  </si>
  <si>
    <t>937.45</t>
  </si>
  <si>
    <t>875IHFL29</t>
  </si>
  <si>
    <t>INE477L07AS8</t>
  </si>
  <si>
    <t>1,030.00</t>
  </si>
  <si>
    <t>250</t>
  </si>
  <si>
    <t>Sec Re NCD 0% Sr.VIII</t>
  </si>
  <si>
    <t>IIFLHF29</t>
  </si>
  <si>
    <t>INE477L08147</t>
  </si>
  <si>
    <t>987.00</t>
  </si>
  <si>
    <t>Unsec Re NCD 10% Sr.I</t>
  </si>
  <si>
    <t>10IIFL28</t>
  </si>
  <si>
    <t>INE477L08154</t>
  </si>
  <si>
    <t>Unsec Re NCD 9.60% Sr.II</t>
  </si>
  <si>
    <t>96IIFL28</t>
  </si>
  <si>
    <t>INE477L08162</t>
  </si>
  <si>
    <t>IIFLZC28C</t>
  </si>
  <si>
    <t>INE498L07012</t>
  </si>
  <si>
    <t>815LTF27</t>
  </si>
  <si>
    <t>INE498L07020</t>
  </si>
  <si>
    <t>813LTF29</t>
  </si>
  <si>
    <t>INE498L07038</t>
  </si>
  <si>
    <t>824LTF27</t>
  </si>
  <si>
    <t>INE504L07CE5</t>
  </si>
  <si>
    <t>RFLNIFT25</t>
  </si>
  <si>
    <t>07-Jan-2025</t>
  </si>
  <si>
    <t>INE511C07706</t>
  </si>
  <si>
    <t>POONAWALLA</t>
  </si>
  <si>
    <t>829PFL29</t>
  </si>
  <si>
    <t>06-May-2029</t>
  </si>
  <si>
    <t>INE511C07714</t>
  </si>
  <si>
    <t>85PFL26A</t>
  </si>
  <si>
    <t>INE516Y07352</t>
  </si>
  <si>
    <t>PCHFL</t>
  </si>
  <si>
    <t>23-Jul-2024</t>
  </si>
  <si>
    <t>Sec Re NCD 8.25% Sr.III</t>
  </si>
  <si>
    <t>INE516Y07360</t>
  </si>
  <si>
    <t>23-Jul-2026</t>
  </si>
  <si>
    <t>85PCHFL26</t>
  </si>
  <si>
    <t>INE516Y07378</t>
  </si>
  <si>
    <t>23-Jul-2031</t>
  </si>
  <si>
    <t>Sec Re NCD 8.75% Sr.V</t>
  </si>
  <si>
    <t>875PCHFL31</t>
  </si>
  <si>
    <t>INE516Y07402</t>
  </si>
  <si>
    <t>1,062.00</t>
  </si>
  <si>
    <t>Sec Re NCD 8.50% Sr.III</t>
  </si>
  <si>
    <t>INE516Y07410</t>
  </si>
  <si>
    <t>1,051.95</t>
  </si>
  <si>
    <t>Sec Re NCD 8.75% Sr.IV</t>
  </si>
  <si>
    <t>875PCHFL26</t>
  </si>
  <si>
    <t>INE516Y07428</t>
  </si>
  <si>
    <t>Sec Re NCD 9% Sr.V</t>
  </si>
  <si>
    <t>9PCHFL31A</t>
  </si>
  <si>
    <t>INE522D07AP4</t>
  </si>
  <si>
    <t>MFL25</t>
  </si>
  <si>
    <t>INE522D07BA4</t>
  </si>
  <si>
    <t>MFLZC26</t>
  </si>
  <si>
    <t>INE523H07AQ1</t>
  </si>
  <si>
    <t>JMFPZC26</t>
  </si>
  <si>
    <t>INE523H07AV1</t>
  </si>
  <si>
    <t>JMFPZC25</t>
  </si>
  <si>
    <t>16-Mar-2025</t>
  </si>
  <si>
    <t>INE523H07AZ2</t>
  </si>
  <si>
    <t>99JFPL25</t>
  </si>
  <si>
    <t>INE523H07BA3</t>
  </si>
  <si>
    <t>948JFPL25</t>
  </si>
  <si>
    <t>INE523H07BB1</t>
  </si>
  <si>
    <t>10JFPL30</t>
  </si>
  <si>
    <t>16-Mar-2030</t>
  </si>
  <si>
    <t>INE523H07BC9</t>
  </si>
  <si>
    <t>957JFPL30</t>
  </si>
  <si>
    <t>INE523H07BN6</t>
  </si>
  <si>
    <t>JMFPTBIL25</t>
  </si>
  <si>
    <t>INE523H07BO4</t>
  </si>
  <si>
    <t>820JMFPL26</t>
  </si>
  <si>
    <t>07-Oct-2026</t>
  </si>
  <si>
    <t>INE523H07BP1</t>
  </si>
  <si>
    <t>791JMFPL26</t>
  </si>
  <si>
    <t>INE523H07BQ9</t>
  </si>
  <si>
    <t>830JMFPL30</t>
  </si>
  <si>
    <t>07-Feb-2030</t>
  </si>
  <si>
    <t>INE523L07660</t>
  </si>
  <si>
    <t>88NWIL25</t>
  </si>
  <si>
    <t>INE523L07694</t>
  </si>
  <si>
    <t>915NWIL25</t>
  </si>
  <si>
    <t>INE523L07702</t>
  </si>
  <si>
    <t>NWIL25</t>
  </si>
  <si>
    <t>INE523L07710</t>
  </si>
  <si>
    <t>916NWIL27</t>
  </si>
  <si>
    <t>INE523L07728</t>
  </si>
  <si>
    <t>NWIL27</t>
  </si>
  <si>
    <t>INE523L07736</t>
  </si>
  <si>
    <t>995NWIL32</t>
  </si>
  <si>
    <t>15-Jul-2032</t>
  </si>
  <si>
    <t>INE523L07744</t>
  </si>
  <si>
    <t>953NWIL32</t>
  </si>
  <si>
    <t>INE523L07751</t>
  </si>
  <si>
    <t>955NWIL27</t>
  </si>
  <si>
    <t>INE528S07110</t>
  </si>
  <si>
    <t>ERFLNCDI</t>
  </si>
  <si>
    <t>930.00</t>
  </si>
  <si>
    <t>22-Mar-2028</t>
  </si>
  <si>
    <t>Sec Red NCD 8.88% Sr. V</t>
  </si>
  <si>
    <t>888ERFL28</t>
  </si>
  <si>
    <t>INE528S07128</t>
  </si>
  <si>
    <t>Sec Red NCD 9.25% Sr. VI</t>
  </si>
  <si>
    <t>925ERFL28</t>
  </si>
  <si>
    <t>INE530B07146</t>
  </si>
  <si>
    <t>IIFL</t>
  </si>
  <si>
    <t>14-Oct-2024</t>
  </si>
  <si>
    <t>85IIFL24</t>
  </si>
  <si>
    <t>INE530B07153</t>
  </si>
  <si>
    <t>1,205.80</t>
  </si>
  <si>
    <t>159</t>
  </si>
  <si>
    <t>IIFLZC24</t>
  </si>
  <si>
    <t>INE530B07161</t>
  </si>
  <si>
    <t>934.74</t>
  </si>
  <si>
    <t>350</t>
  </si>
  <si>
    <t>14-Oct-2026</t>
  </si>
  <si>
    <t>Sec Re NCD 8.42% Sr.V</t>
  </si>
  <si>
    <t>842IIFL26</t>
  </si>
  <si>
    <t>INE530B07179</t>
  </si>
  <si>
    <t>68</t>
  </si>
  <si>
    <t>Sec Re NCD 8.75% Sr.VI</t>
  </si>
  <si>
    <t>875IIFL26</t>
  </si>
  <si>
    <t>INE530B07187</t>
  </si>
  <si>
    <t>IIFLZC26</t>
  </si>
  <si>
    <t>INE530B07252</t>
  </si>
  <si>
    <t>995.55</t>
  </si>
  <si>
    <t>24-Jan-2025</t>
  </si>
  <si>
    <t>Sec Re NCD 8.5% Sr.I</t>
  </si>
  <si>
    <t>85IIFL25</t>
  </si>
  <si>
    <t>INE530B07260</t>
  </si>
  <si>
    <t>923.80</t>
  </si>
  <si>
    <t>180</t>
  </si>
  <si>
    <t>24-Jan-2028</t>
  </si>
  <si>
    <t>Sec Re NCD 9% Sr.VI</t>
  </si>
  <si>
    <t>9IIFL28A</t>
  </si>
  <si>
    <t>INE530B07278</t>
  </si>
  <si>
    <t>IIFLZC28A</t>
  </si>
  <si>
    <t>INE530B07286</t>
  </si>
  <si>
    <t>1,052.00</t>
  </si>
  <si>
    <t>24-Jan-2026</t>
  </si>
  <si>
    <t>IIFLZC26A</t>
  </si>
  <si>
    <t>INE530B07294</t>
  </si>
  <si>
    <t>Sec Re NCD 8.75% Sr.III</t>
  </si>
  <si>
    <t>875IIFL26A</t>
  </si>
  <si>
    <t>INE530B07302</t>
  </si>
  <si>
    <t>1,082.75</t>
  </si>
  <si>
    <t>IIFLZC25A</t>
  </si>
  <si>
    <t>INE530B07310</t>
  </si>
  <si>
    <t>924.59</t>
  </si>
  <si>
    <t>Sec Re NCD 8.65% Sr.V</t>
  </si>
  <si>
    <t>865IIFL28</t>
  </si>
  <si>
    <t>INE530B07336</t>
  </si>
  <si>
    <t>1,032.55</t>
  </si>
  <si>
    <t>28-Jun-2025</t>
  </si>
  <si>
    <t>Sec Re NCD 8.35% Sr.I</t>
  </si>
  <si>
    <t>835IFL25</t>
  </si>
  <si>
    <t>INE530B07344</t>
  </si>
  <si>
    <t>1,025.55</t>
  </si>
  <si>
    <t>28-Jun-2026</t>
  </si>
  <si>
    <t>Sec Re NCD 8.5% Sr.III</t>
  </si>
  <si>
    <t>85IFL26</t>
  </si>
  <si>
    <t>INE530B07351</t>
  </si>
  <si>
    <t>1,005.45</t>
  </si>
  <si>
    <t>IIFLZC26B</t>
  </si>
  <si>
    <t>INE530B07369</t>
  </si>
  <si>
    <t>978.75</t>
  </si>
  <si>
    <t>28-Jun-2028</t>
  </si>
  <si>
    <t>IIFLZC28B</t>
  </si>
  <si>
    <t>INE530B07377</t>
  </si>
  <si>
    <t>Y0</t>
  </si>
  <si>
    <t>978.55</t>
  </si>
  <si>
    <t>9IIFL28</t>
  </si>
  <si>
    <t>INE530B07385</t>
  </si>
  <si>
    <t>915.00</t>
  </si>
  <si>
    <t>865IFL28</t>
  </si>
  <si>
    <t>INE530B07393</t>
  </si>
  <si>
    <t>IIFLZC25B</t>
  </si>
  <si>
    <t>INE530B07401</t>
  </si>
  <si>
    <t>950IIFL27</t>
  </si>
  <si>
    <t>INE530B08094</t>
  </si>
  <si>
    <t>24-Jun-2028</t>
  </si>
  <si>
    <t>UnSe Re NCD 10% Sr.I</t>
  </si>
  <si>
    <t>10IIFL28A</t>
  </si>
  <si>
    <t>INE530B08102</t>
  </si>
  <si>
    <t>928.06</t>
  </si>
  <si>
    <t>UnSe Re NCD 9.6% Sr.II</t>
  </si>
  <si>
    <t>96IIFL28A</t>
  </si>
  <si>
    <t>INE530B08110</t>
  </si>
  <si>
    <t>IIFL Finance</t>
  </si>
  <si>
    <t>IIFLZC28</t>
  </si>
  <si>
    <t>INE530L07210</t>
  </si>
  <si>
    <t>NIDO</t>
  </si>
  <si>
    <t>995.95</t>
  </si>
  <si>
    <t>29</t>
  </si>
  <si>
    <t>957NIDO26</t>
  </si>
  <si>
    <t>19-Jul-2026</t>
  </si>
  <si>
    <t>INE530L07228</t>
  </si>
  <si>
    <t>10NIDO26</t>
  </si>
  <si>
    <t>INE530L07236</t>
  </si>
  <si>
    <t>1,998.99</t>
  </si>
  <si>
    <t>NIDOZC26</t>
  </si>
  <si>
    <t>INE530L07442</t>
  </si>
  <si>
    <t>870NIDO25</t>
  </si>
  <si>
    <t>INE530L07459</t>
  </si>
  <si>
    <t>905NIDO25</t>
  </si>
  <si>
    <t>INE530L07467</t>
  </si>
  <si>
    <t>NIDO25</t>
  </si>
  <si>
    <t>INE530L07475</t>
  </si>
  <si>
    <t>915NIDO27</t>
  </si>
  <si>
    <t>INE530L07483</t>
  </si>
  <si>
    <t>955NIDO27</t>
  </si>
  <si>
    <t>INE530L07491</t>
  </si>
  <si>
    <t>NIDO27</t>
  </si>
  <si>
    <t>INE530L07509</t>
  </si>
  <si>
    <t>930NIDO32</t>
  </si>
  <si>
    <t>29-Apr-2032</t>
  </si>
  <si>
    <t>INE530L07517</t>
  </si>
  <si>
    <t>970NIDO32</t>
  </si>
  <si>
    <t>INE530L07533</t>
  </si>
  <si>
    <t>NIDO28</t>
  </si>
  <si>
    <t>INE530L07541</t>
  </si>
  <si>
    <t>1045NIDO33</t>
  </si>
  <si>
    <t>15-Sep-2033</t>
  </si>
  <si>
    <t>INE530L07558</t>
  </si>
  <si>
    <t>NIDO26</t>
  </si>
  <si>
    <t>15-Sep-2026</t>
  </si>
  <si>
    <t>INE530L07566</t>
  </si>
  <si>
    <t>920NIDO26</t>
  </si>
  <si>
    <t>INE530L07574</t>
  </si>
  <si>
    <t>NIDO25A</t>
  </si>
  <si>
    <t>15-Sep-2025</t>
  </si>
  <si>
    <t>INE530L07582</t>
  </si>
  <si>
    <t>10NIDO33</t>
  </si>
  <si>
    <t>INE530L07590</t>
  </si>
  <si>
    <t>895NHFL25</t>
  </si>
  <si>
    <t>INE530L07608</t>
  </si>
  <si>
    <t>960NIDO26</t>
  </si>
  <si>
    <t>INE530L07616</t>
  </si>
  <si>
    <t>967NIDO28</t>
  </si>
  <si>
    <t>INE530L07624</t>
  </si>
  <si>
    <t>1010NIDO28</t>
  </si>
  <si>
    <t>INE530L07640</t>
  </si>
  <si>
    <t>1050NIDO29</t>
  </si>
  <si>
    <t>01-Mar-2029</t>
  </si>
  <si>
    <t>INE530L07657</t>
  </si>
  <si>
    <t>NIDO010326</t>
  </si>
  <si>
    <t>01-Mar-2026</t>
  </si>
  <si>
    <t>INE530L07665</t>
  </si>
  <si>
    <t>1003NIDO29</t>
  </si>
  <si>
    <t>INE530L07673</t>
  </si>
  <si>
    <t>1026NIDO34</t>
  </si>
  <si>
    <t>01-Mar-2034</t>
  </si>
  <si>
    <t>INE530L07681</t>
  </si>
  <si>
    <t>1075NIDO34</t>
  </si>
  <si>
    <t>INE530L07699</t>
  </si>
  <si>
    <t>NIDO010327</t>
  </si>
  <si>
    <t>01-Mar-2027</t>
  </si>
  <si>
    <t>INE530L07707</t>
  </si>
  <si>
    <t>95NIDO26</t>
  </si>
  <si>
    <t>INE530L07715</t>
  </si>
  <si>
    <t>10NIDO27</t>
  </si>
  <si>
    <t>INE530L07723</t>
  </si>
  <si>
    <t>NIDO010329</t>
  </si>
  <si>
    <t>INE530L07731</t>
  </si>
  <si>
    <t>958NIDO27</t>
  </si>
  <si>
    <t>INE530L07749</t>
  </si>
  <si>
    <t>950NHFL26</t>
  </si>
  <si>
    <t>03-Jul-2026</t>
  </si>
  <si>
    <t>INE530L07756</t>
  </si>
  <si>
    <t>1050NHFL29</t>
  </si>
  <si>
    <t>03-Jul-2029</t>
  </si>
  <si>
    <t>INE530L07764</t>
  </si>
  <si>
    <t>1003NHFL29</t>
  </si>
  <si>
    <t>INE530L07772</t>
  </si>
  <si>
    <t>10NHFL27</t>
  </si>
  <si>
    <t>03-Jul-2027</t>
  </si>
  <si>
    <t>INE530L07780</t>
  </si>
  <si>
    <t>1026NHFL34</t>
  </si>
  <si>
    <t>03-Jul-2034</t>
  </si>
  <si>
    <t>INE530L07798</t>
  </si>
  <si>
    <t>1075NHFL34</t>
  </si>
  <si>
    <t>INE530L07806</t>
  </si>
  <si>
    <t>958NHFL27</t>
  </si>
  <si>
    <t>INE530L07814</t>
  </si>
  <si>
    <t>0NHFL27</t>
  </si>
  <si>
    <t>INE530L07822</t>
  </si>
  <si>
    <t>0NHFL26</t>
  </si>
  <si>
    <t>INE530L07830</t>
  </si>
  <si>
    <t>0NHFL29</t>
  </si>
  <si>
    <t>INE532F07BM3</t>
  </si>
  <si>
    <t>939EFSL26</t>
  </si>
  <si>
    <t>08-Jan-2026</t>
  </si>
  <si>
    <t>INE532F07BN1</t>
  </si>
  <si>
    <t>98EFSL26</t>
  </si>
  <si>
    <t>INE532F07BO9</t>
  </si>
  <si>
    <t>EFSLZC26</t>
  </si>
  <si>
    <t>INE532F07BP6</t>
  </si>
  <si>
    <t>953EFSL31</t>
  </si>
  <si>
    <t>08-Jan-2031</t>
  </si>
  <si>
    <t>INE532F07BQ4</t>
  </si>
  <si>
    <t>995EFSL31</t>
  </si>
  <si>
    <t>INE532F07BX0</t>
  </si>
  <si>
    <t>916EFSL26</t>
  </si>
  <si>
    <t>INE532F07BY8</t>
  </si>
  <si>
    <t>955EFSL26</t>
  </si>
  <si>
    <t>INE532F07BZ5</t>
  </si>
  <si>
    <t>EFSLZC26A</t>
  </si>
  <si>
    <t>INE532F07CA6</t>
  </si>
  <si>
    <t>930EFSL31</t>
  </si>
  <si>
    <t>29-Apr-2031</t>
  </si>
  <si>
    <t>INE532F07CB4</t>
  </si>
  <si>
    <t>970EFSL31</t>
  </si>
  <si>
    <t>INE532F07CF5</t>
  </si>
  <si>
    <t>915EFSL26</t>
  </si>
  <si>
    <t>10-Sep-2026</t>
  </si>
  <si>
    <t>INE532F07CG3</t>
  </si>
  <si>
    <t>955EFSL26A</t>
  </si>
  <si>
    <t>INE532F07CH1</t>
  </si>
  <si>
    <t>EFSL26</t>
  </si>
  <si>
    <t>INE532F07CI9</t>
  </si>
  <si>
    <t>93EFSL31</t>
  </si>
  <si>
    <t>10-Sep-2031</t>
  </si>
  <si>
    <t>INE532F07CJ7</t>
  </si>
  <si>
    <t>97EFSL31</t>
  </si>
  <si>
    <t>INE532F07CN9</t>
  </si>
  <si>
    <t>875EFSL24A</t>
  </si>
  <si>
    <t>INE532F07CO7</t>
  </si>
  <si>
    <t>91EFSL24A</t>
  </si>
  <si>
    <t>INE532F07CP4</t>
  </si>
  <si>
    <t>EFSL24C</t>
  </si>
  <si>
    <t>INE532F07CQ2</t>
  </si>
  <si>
    <t>915EFSL26A</t>
  </si>
  <si>
    <t>28-Dec-2026</t>
  </si>
  <si>
    <t>INE532F07CR0</t>
  </si>
  <si>
    <t>955EFSL26B</t>
  </si>
  <si>
    <t>INE532F07CS8</t>
  </si>
  <si>
    <t>EFSL26A</t>
  </si>
  <si>
    <t>INE532F07CT6</t>
  </si>
  <si>
    <t>93EFSL31A</t>
  </si>
  <si>
    <t>28-Dec-2031</t>
  </si>
  <si>
    <t>INE532F07CU4</t>
  </si>
  <si>
    <t>97EFSL31A</t>
  </si>
  <si>
    <t>INE532F07CV2</t>
  </si>
  <si>
    <t>885EFSL24</t>
  </si>
  <si>
    <t>20-Oct-2024</t>
  </si>
  <si>
    <t>INE532F07CW0</t>
  </si>
  <si>
    <t>EFSL24B</t>
  </si>
  <si>
    <t>INE532F07CX8</t>
  </si>
  <si>
    <t>89EFSL25</t>
  </si>
  <si>
    <t>20-Oct-2025</t>
  </si>
  <si>
    <t>INE532F07CY6</t>
  </si>
  <si>
    <t>925EFSL25</t>
  </si>
  <si>
    <t>INE532F07CZ3</t>
  </si>
  <si>
    <t>EFSL25</t>
  </si>
  <si>
    <t>INE532F07DA4</t>
  </si>
  <si>
    <t>EFSL27</t>
  </si>
  <si>
    <t>20-Oct-2027</t>
  </si>
  <si>
    <t>INE532F07DB2</t>
  </si>
  <si>
    <t>935EFSL27</t>
  </si>
  <si>
    <t>INE532F07DC0</t>
  </si>
  <si>
    <t>975EFSL27</t>
  </si>
  <si>
    <t>INE532F07DD8</t>
  </si>
  <si>
    <t>965EFSL32</t>
  </si>
  <si>
    <t>20-Oct-2032</t>
  </si>
  <si>
    <t>INE532F07DE6</t>
  </si>
  <si>
    <t>1010EFSL32</t>
  </si>
  <si>
    <t>INE532F07DF3</t>
  </si>
  <si>
    <t>9EFSL25</t>
  </si>
  <si>
    <t>20-Jan-2025</t>
  </si>
  <si>
    <t>INE532F07DG1</t>
  </si>
  <si>
    <t>EFSLZC28</t>
  </si>
  <si>
    <t>20-Jan-2028</t>
  </si>
  <si>
    <t>INE532F07DH9</t>
  </si>
  <si>
    <t>10EFSL33B</t>
  </si>
  <si>
    <t>20-Jan-2033</t>
  </si>
  <si>
    <t>INE532F07DI7</t>
  </si>
  <si>
    <t>1045EFS33A</t>
  </si>
  <si>
    <t>INE532F07DJ5</t>
  </si>
  <si>
    <t>1010EFS28A</t>
  </si>
  <si>
    <t>INE532F07DK3</t>
  </si>
  <si>
    <t>967EFSL28D</t>
  </si>
  <si>
    <t>INE532F07DL1</t>
  </si>
  <si>
    <t>EFSLZC26B</t>
  </si>
  <si>
    <t>20-Jan-2026</t>
  </si>
  <si>
    <t>INE532F07DM9</t>
  </si>
  <si>
    <t>920EFSL26B</t>
  </si>
  <si>
    <t>INE532F07DN7</t>
  </si>
  <si>
    <t>960EFSL26C</t>
  </si>
  <si>
    <t>INE532F07DO5</t>
  </si>
  <si>
    <t>EFSLZC25</t>
  </si>
  <si>
    <t>INE532F07DP2</t>
  </si>
  <si>
    <t>920EFSL26</t>
  </si>
  <si>
    <t>27-Apr-2026</t>
  </si>
  <si>
    <t>INE532F07DQ0</t>
  </si>
  <si>
    <t>895EFSL25</t>
  </si>
  <si>
    <t>27-Apr-2025</t>
  </si>
  <si>
    <t>INE532F07DR8</t>
  </si>
  <si>
    <t>EFSL25A</t>
  </si>
  <si>
    <t>INE532F07DS6</t>
  </si>
  <si>
    <t>960EFSL26</t>
  </si>
  <si>
    <t>INE532F07DT4</t>
  </si>
  <si>
    <t>967EFSL28</t>
  </si>
  <si>
    <t>27-Apr-2028</t>
  </si>
  <si>
    <t>INE532F07DU2</t>
  </si>
  <si>
    <t>EFSL26B</t>
  </si>
  <si>
    <t>INE532F07DV0</t>
  </si>
  <si>
    <t>101EFSL28</t>
  </si>
  <si>
    <t>INE532F07DW8</t>
  </si>
  <si>
    <t>EFSL28</t>
  </si>
  <si>
    <t>INE532F07DX6</t>
  </si>
  <si>
    <t>10EFSL33</t>
  </si>
  <si>
    <t>27-Apr-2033</t>
  </si>
  <si>
    <t>INE532F07DY4</t>
  </si>
  <si>
    <t>1045EFS33B</t>
  </si>
  <si>
    <t>INE532F07DZ1</t>
  </si>
  <si>
    <t>1045EFS33</t>
  </si>
  <si>
    <t>21-Jul-2033</t>
  </si>
  <si>
    <t>INE532F07EA2</t>
  </si>
  <si>
    <t>895EFS25</t>
  </si>
  <si>
    <t>21-Jul-2025</t>
  </si>
  <si>
    <t>INE532F07EB0</t>
  </si>
  <si>
    <t>EFSL25B</t>
  </si>
  <si>
    <t>INE532F07EC8</t>
  </si>
  <si>
    <t>92EFSL26</t>
  </si>
  <si>
    <t>21-Jul-2026</t>
  </si>
  <si>
    <t>INE532F07ED6</t>
  </si>
  <si>
    <t>96EFSL26</t>
  </si>
  <si>
    <t>INE532F07EE4</t>
  </si>
  <si>
    <t>EFSL26C</t>
  </si>
  <si>
    <t>INE532F07EF1</t>
  </si>
  <si>
    <t>EFSL28A</t>
  </si>
  <si>
    <t>21-Jul-2028</t>
  </si>
  <si>
    <t>INE532F07EG9</t>
  </si>
  <si>
    <t>967EFS28</t>
  </si>
  <si>
    <t>INE532F07EH7</t>
  </si>
  <si>
    <t>1010EFS28</t>
  </si>
  <si>
    <t>INE532F07EI5</t>
  </si>
  <si>
    <t>10EFS33</t>
  </si>
  <si>
    <t>INE532F07EJ3</t>
  </si>
  <si>
    <t>895EFSL25A</t>
  </si>
  <si>
    <t>26-Oct-2025</t>
  </si>
  <si>
    <t>INE532F07EK1</t>
  </si>
  <si>
    <t>1045EFSL33</t>
  </si>
  <si>
    <t>26-Oct-2033</t>
  </si>
  <si>
    <t>INE532F07EL9</t>
  </si>
  <si>
    <t>10EFSL33A</t>
  </si>
  <si>
    <t>INE532F07EM7</t>
  </si>
  <si>
    <t>1010EFSL28</t>
  </si>
  <si>
    <t>26-Oct-2028</t>
  </si>
  <si>
    <t>INE532F07EN5</t>
  </si>
  <si>
    <t>EFSLZC28C</t>
  </si>
  <si>
    <t>INE532F07EO3</t>
  </si>
  <si>
    <t>967EFSL28A</t>
  </si>
  <si>
    <t>INE532F07EP0</t>
  </si>
  <si>
    <t>960EFSLA</t>
  </si>
  <si>
    <t>26-Oct-2026</t>
  </si>
  <si>
    <t>INE532F07EQ8</t>
  </si>
  <si>
    <t>920EFSL26A</t>
  </si>
  <si>
    <t>INE532F07ER6</t>
  </si>
  <si>
    <t>EFSLZC25A</t>
  </si>
  <si>
    <t>INE532F07ES4</t>
  </si>
  <si>
    <t>EFSLZC26C</t>
  </si>
  <si>
    <t>INE532F07ET2</t>
  </si>
  <si>
    <t>895EFSL26</t>
  </si>
  <si>
    <t>29-Jan-2026</t>
  </si>
  <si>
    <t>INE532F07EU0</t>
  </si>
  <si>
    <t>920EFSL27</t>
  </si>
  <si>
    <t>29-Jan-2027</t>
  </si>
  <si>
    <t>INE532F07EV8</t>
  </si>
  <si>
    <t>EFSL26D</t>
  </si>
  <si>
    <t>INE532F07EW6</t>
  </si>
  <si>
    <t>960EFSL27</t>
  </si>
  <si>
    <t>INE532F07EX4</t>
  </si>
  <si>
    <t>EFSL27A</t>
  </si>
  <si>
    <t>INE532F07EY2</t>
  </si>
  <si>
    <t>967EFSL29</t>
  </si>
  <si>
    <t>29-Jan-2029</t>
  </si>
  <si>
    <t>INE532F07EZ9</t>
  </si>
  <si>
    <t>1010EFSL29</t>
  </si>
  <si>
    <t>INE532F07FA9</t>
  </si>
  <si>
    <t>EFSL29</t>
  </si>
  <si>
    <t>INE532F07FB7</t>
  </si>
  <si>
    <t>10EFSL34</t>
  </si>
  <si>
    <t>29-Jan-2034</t>
  </si>
  <si>
    <t>INE532F07FC5</t>
  </si>
  <si>
    <t>1045EFSL34</t>
  </si>
  <si>
    <t>INE532F07FD3</t>
  </si>
  <si>
    <t>10EFSL34A</t>
  </si>
  <si>
    <t>29-Apr-2034</t>
  </si>
  <si>
    <t>INE532F07FE1</t>
  </si>
  <si>
    <t>EFSL290424</t>
  </si>
  <si>
    <t>INE532F07FF8</t>
  </si>
  <si>
    <t>9EFSL26</t>
  </si>
  <si>
    <t>INE532F07FG6</t>
  </si>
  <si>
    <t>1045EFS34A</t>
  </si>
  <si>
    <t>INE532F07FH4</t>
  </si>
  <si>
    <t>EFS290424A</t>
  </si>
  <si>
    <t>29-Apr-2029</t>
  </si>
  <si>
    <t>INE532F07FI2</t>
  </si>
  <si>
    <t>1010EFS29A</t>
  </si>
  <si>
    <t>INE532F07FJ0</t>
  </si>
  <si>
    <t>1045EFS34</t>
  </si>
  <si>
    <t>INE532F07FK8</t>
  </si>
  <si>
    <t>920EFSL27A</t>
  </si>
  <si>
    <t>INE532F07FL6</t>
  </si>
  <si>
    <t>96EFSL27</t>
  </si>
  <si>
    <t>INE532F07FM4</t>
  </si>
  <si>
    <t>EFS290424</t>
  </si>
  <si>
    <t>INE532F07FN2</t>
  </si>
  <si>
    <t>967EFSL29A</t>
  </si>
  <si>
    <t>INE532F07FO0</t>
  </si>
  <si>
    <t>1010EFS29</t>
  </si>
  <si>
    <t>INE532F07FP7</t>
  </si>
  <si>
    <t>950EFSL26</t>
  </si>
  <si>
    <t>26-Jul-2026</t>
  </si>
  <si>
    <t>INE532F07FQ5</t>
  </si>
  <si>
    <t>EFSL26724</t>
  </si>
  <si>
    <t>INE532F07FR3</t>
  </si>
  <si>
    <t>957EFSL27</t>
  </si>
  <si>
    <t>26-Jul-2027</t>
  </si>
  <si>
    <t>INE532F07FS1</t>
  </si>
  <si>
    <t>10EFSL27</t>
  </si>
  <si>
    <t>INE532F07FT9</t>
  </si>
  <si>
    <t>EFSL260724</t>
  </si>
  <si>
    <t>INE532F07FU7</t>
  </si>
  <si>
    <t>1004EFSL29</t>
  </si>
  <si>
    <t>26-Jul-2029</t>
  </si>
  <si>
    <t>INE532F07FV5</t>
  </si>
  <si>
    <t>1050EFSL29</t>
  </si>
  <si>
    <t>INE532F07FW3</t>
  </si>
  <si>
    <t>EFSL26724A</t>
  </si>
  <si>
    <t>INE532F07FX1</t>
  </si>
  <si>
    <t>11EFSL34</t>
  </si>
  <si>
    <t>26-Jul-2034</t>
  </si>
  <si>
    <t>INE532F07FY9</t>
  </si>
  <si>
    <t>11EFSL34A</t>
  </si>
  <si>
    <t>INE532F07FZ6</t>
  </si>
  <si>
    <t>1049EFSL34</t>
  </si>
  <si>
    <t>INE532F07GA7</t>
  </si>
  <si>
    <t>105EFSL29</t>
  </si>
  <si>
    <t>INE538L07528</t>
  </si>
  <si>
    <t>935AHFL28</t>
  </si>
  <si>
    <t>INE538L07536</t>
  </si>
  <si>
    <t>975AHFL28</t>
  </si>
  <si>
    <t>INE549K07543</t>
  </si>
  <si>
    <t>95MFL25</t>
  </si>
  <si>
    <t>07-Feb-2025</t>
  </si>
  <si>
    <t>INE549K07576</t>
  </si>
  <si>
    <t>10MFL25</t>
  </si>
  <si>
    <t>INE549K07618</t>
  </si>
  <si>
    <t>MFLZC25A</t>
  </si>
  <si>
    <t>INE549K07683</t>
  </si>
  <si>
    <t>925MFL25</t>
  </si>
  <si>
    <t>INE549K07717</t>
  </si>
  <si>
    <t>975MFL25</t>
  </si>
  <si>
    <t>INE549K07741</t>
  </si>
  <si>
    <t>MFLZC25B</t>
  </si>
  <si>
    <t>INE549K07824</t>
  </si>
  <si>
    <t>915MFL25</t>
  </si>
  <si>
    <t>29-Oct-2025</t>
  </si>
  <si>
    <t>INE549K07857</t>
  </si>
  <si>
    <t>96MFL25</t>
  </si>
  <si>
    <t>INE549K07881</t>
  </si>
  <si>
    <t>MFLZC25D</t>
  </si>
  <si>
    <t>INE549K07949</t>
  </si>
  <si>
    <t>875MFL26</t>
  </si>
  <si>
    <t>INE549K07972</t>
  </si>
  <si>
    <t>MFLZC26B</t>
  </si>
  <si>
    <t>INE549K07AB2</t>
  </si>
  <si>
    <t>875MFL26A</t>
  </si>
  <si>
    <t>INE549K07AE6</t>
  </si>
  <si>
    <t>MFLZC26C</t>
  </si>
  <si>
    <t>INE549K07AJ5</t>
  </si>
  <si>
    <t>875MFCL26C</t>
  </si>
  <si>
    <t>07-May-2026</t>
  </si>
  <si>
    <t>INE549K07AO5</t>
  </si>
  <si>
    <t>MFLZC26D</t>
  </si>
  <si>
    <t>INE549K07AT4</t>
  </si>
  <si>
    <t>850MFL24</t>
  </si>
  <si>
    <t>INE549K07AU2</t>
  </si>
  <si>
    <t>910MFL26</t>
  </si>
  <si>
    <t>29-Oct-2026</t>
  </si>
  <si>
    <t>INE549K07AW8</t>
  </si>
  <si>
    <t>MFL24A</t>
  </si>
  <si>
    <t>INE549K07AX6</t>
  </si>
  <si>
    <t>MFL26B</t>
  </si>
  <si>
    <t>INE549K07BA2</t>
  </si>
  <si>
    <t>825MFL25</t>
  </si>
  <si>
    <t>03-Apr-2025</t>
  </si>
  <si>
    <t>INE549K07BB0</t>
  </si>
  <si>
    <t>850MFL27</t>
  </si>
  <si>
    <t>02-Feb-2027</t>
  </si>
  <si>
    <t>INE549K07BC8</t>
  </si>
  <si>
    <t>875MFL28</t>
  </si>
  <si>
    <t>INE549K07BD6</t>
  </si>
  <si>
    <t>9MFL30</t>
  </si>
  <si>
    <t>02-Feb-2030</t>
  </si>
  <si>
    <t>INE549K07BF1</t>
  </si>
  <si>
    <t>MFLZC25C</t>
  </si>
  <si>
    <t>INE549K07BG9</t>
  </si>
  <si>
    <t>MFLZC27A</t>
  </si>
  <si>
    <t>INE549K07BH7</t>
  </si>
  <si>
    <t>MFLZC28F</t>
  </si>
  <si>
    <t>INE549K07BI5</t>
  </si>
  <si>
    <t>MFLZC30</t>
  </si>
  <si>
    <t>INE549K07BJ3</t>
  </si>
  <si>
    <t>MFL30</t>
  </si>
  <si>
    <t>06-Sep-2030</t>
  </si>
  <si>
    <t>INE549K07BK1</t>
  </si>
  <si>
    <t>MFL26E</t>
  </si>
  <si>
    <t>06-Sep-2026</t>
  </si>
  <si>
    <t>INE549K07BL9</t>
  </si>
  <si>
    <t>MFL25C</t>
  </si>
  <si>
    <t>INE549K07BM7</t>
  </si>
  <si>
    <t>MFL24B</t>
  </si>
  <si>
    <t>05-Dec-2024</t>
  </si>
  <si>
    <t>INE549K07BN5</t>
  </si>
  <si>
    <t>835MFL26</t>
  </si>
  <si>
    <t>INE549K07BO3</t>
  </si>
  <si>
    <t>825MFL25A</t>
  </si>
  <si>
    <t>INE549K07BP0</t>
  </si>
  <si>
    <t>8MFL24A</t>
  </si>
  <si>
    <t>INE549K07BQ8</t>
  </si>
  <si>
    <t>MFL26C</t>
  </si>
  <si>
    <t>02-Apr-2026</t>
  </si>
  <si>
    <t>INE549K07BR6</t>
  </si>
  <si>
    <t>MFL25D</t>
  </si>
  <si>
    <t>INE549K07BS4</t>
  </si>
  <si>
    <t>870MFL27</t>
  </si>
  <si>
    <t>INE549K07BT2</t>
  </si>
  <si>
    <t>825MFL26</t>
  </si>
  <si>
    <t>INE549K07BU0</t>
  </si>
  <si>
    <t>850MFL28</t>
  </si>
  <si>
    <t>INE549K07BV8</t>
  </si>
  <si>
    <t>810MFL25</t>
  </si>
  <si>
    <t>INE549K07BW6</t>
  </si>
  <si>
    <t>880MFL28</t>
  </si>
  <si>
    <t>INE549K07BX4</t>
  </si>
  <si>
    <t>840MFL27</t>
  </si>
  <si>
    <t>INE549K07BY2</t>
  </si>
  <si>
    <t>MFL30A</t>
  </si>
  <si>
    <t>02-May-2030</t>
  </si>
  <si>
    <t>INE549K07BZ9</t>
  </si>
  <si>
    <t>MFL26Z</t>
  </si>
  <si>
    <t>INE549K07CA0</t>
  </si>
  <si>
    <t>MFL25A</t>
  </si>
  <si>
    <t>02-Aug-2025</t>
  </si>
  <si>
    <t>INE549K07CB8</t>
  </si>
  <si>
    <t>915MFL28</t>
  </si>
  <si>
    <t>INE549K07CC6</t>
  </si>
  <si>
    <t>9MFL30A</t>
  </si>
  <si>
    <t>INE549K07CD4</t>
  </si>
  <si>
    <t>88MFL28</t>
  </si>
  <si>
    <t>INE549K07CE2</t>
  </si>
  <si>
    <t>865MFL26A</t>
  </si>
  <si>
    <t>INE549K07CF9</t>
  </si>
  <si>
    <t>84MFL25</t>
  </si>
  <si>
    <t>INE549K07CH5</t>
  </si>
  <si>
    <t>MFL31</t>
  </si>
  <si>
    <t>20-Sep-2031</t>
  </si>
  <si>
    <t>INE549K07CI3</t>
  </si>
  <si>
    <t>865MFL25A</t>
  </si>
  <si>
    <t>20-Sep-2025</t>
  </si>
  <si>
    <t>INE549K07CJ1</t>
  </si>
  <si>
    <t>MFL26F</t>
  </si>
  <si>
    <t>20-Sep-2026</t>
  </si>
  <si>
    <t>INE549K07CK9</t>
  </si>
  <si>
    <t>MFL25B</t>
  </si>
  <si>
    <t>INE549K07CL7</t>
  </si>
  <si>
    <t>944MFL28A</t>
  </si>
  <si>
    <t>20-Sep-2028</t>
  </si>
  <si>
    <t>INE549K07CM5</t>
  </si>
  <si>
    <t>MFL28B</t>
  </si>
  <si>
    <t>INE549K07CN3</t>
  </si>
  <si>
    <t>927MFL26A</t>
  </si>
  <si>
    <t>INE549K07CO1</t>
  </si>
  <si>
    <t>9MFL25A</t>
  </si>
  <si>
    <t>INE549K07CP8</t>
  </si>
  <si>
    <t>905MFL28A</t>
  </si>
  <si>
    <t>INE549K07CQ6</t>
  </si>
  <si>
    <t>890MFL26A</t>
  </si>
  <si>
    <t>INE549K07CR4</t>
  </si>
  <si>
    <t>865MF25</t>
  </si>
  <si>
    <t>INE549K07CS2</t>
  </si>
  <si>
    <t>89MFL26</t>
  </si>
  <si>
    <t>01-Nov-2026</t>
  </si>
  <si>
    <t>INE549K07CT0</t>
  </si>
  <si>
    <t>905MFL28</t>
  </si>
  <si>
    <t>01-Nov-2028</t>
  </si>
  <si>
    <t>INE549K07CU8</t>
  </si>
  <si>
    <t>9MFL25</t>
  </si>
  <si>
    <t>INE549K07CV6</t>
  </si>
  <si>
    <t>927MFL26</t>
  </si>
  <si>
    <t>INE549K07CW4</t>
  </si>
  <si>
    <t>944MFL28</t>
  </si>
  <si>
    <t>INE549K07CX2</t>
  </si>
  <si>
    <t>MFL25E</t>
  </si>
  <si>
    <t>INE549K07CY0</t>
  </si>
  <si>
    <t>MFL26D</t>
  </si>
  <si>
    <t>INE549K07CZ7</t>
  </si>
  <si>
    <t>MFL28D</t>
  </si>
  <si>
    <t>INE549K07DA8</t>
  </si>
  <si>
    <t>MFL31A</t>
  </si>
  <si>
    <t>01-Nov-2031</t>
  </si>
  <si>
    <t>INE549K07DC4</t>
  </si>
  <si>
    <t>MFLZC32</t>
  </si>
  <si>
    <t>31-Jan-2032</t>
  </si>
  <si>
    <t>INE549K07DD2</t>
  </si>
  <si>
    <t>925MFL26</t>
  </si>
  <si>
    <t>INE549K07DE0</t>
  </si>
  <si>
    <t>950MFL27A</t>
  </si>
  <si>
    <t>INE549K07DF7</t>
  </si>
  <si>
    <t>975MFL29A</t>
  </si>
  <si>
    <t>INE549K07DG5</t>
  </si>
  <si>
    <t>935MFL29</t>
  </si>
  <si>
    <t>INE549K07DH3</t>
  </si>
  <si>
    <t>915MFL27</t>
  </si>
  <si>
    <t>INE549K07DI1</t>
  </si>
  <si>
    <t>MFLZC26E</t>
  </si>
  <si>
    <t>INE549K07DJ9</t>
  </si>
  <si>
    <t>MFLZC27F</t>
  </si>
  <si>
    <t>INE549K07DK7</t>
  </si>
  <si>
    <t>MFLZC29A</t>
  </si>
  <si>
    <t>INE549K07DL5</t>
  </si>
  <si>
    <t>890MFL26</t>
  </si>
  <si>
    <t>INE549K07DM3</t>
  </si>
  <si>
    <t>MFCL30424C</t>
  </si>
  <si>
    <t>30-Apr-2030</t>
  </si>
  <si>
    <t>INE549K07DN1</t>
  </si>
  <si>
    <t>950MFCL27</t>
  </si>
  <si>
    <t>30-Jun-2027</t>
  </si>
  <si>
    <t>INE549K07DO9</t>
  </si>
  <si>
    <t>925MFCL26</t>
  </si>
  <si>
    <t>30-Jun-2026</t>
  </si>
  <si>
    <t>INE549K07DP6</t>
  </si>
  <si>
    <t>975MFCL29</t>
  </si>
  <si>
    <t>30-Apr-2029</t>
  </si>
  <si>
    <t>INE549K07DQ4</t>
  </si>
  <si>
    <t>10MFCL30</t>
  </si>
  <si>
    <t>INE549K07DR2</t>
  </si>
  <si>
    <t>MFCL30424</t>
  </si>
  <si>
    <t>INE549K07DS0</t>
  </si>
  <si>
    <t>MFCL30424A</t>
  </si>
  <si>
    <t>INE549K07DT8</t>
  </si>
  <si>
    <t>MFCL30424B</t>
  </si>
  <si>
    <t>INE549K07DU6</t>
  </si>
  <si>
    <t>955MFCL30</t>
  </si>
  <si>
    <t>INE549K07DV4</t>
  </si>
  <si>
    <t>935MFCL29</t>
  </si>
  <si>
    <t>INE549K07DW2</t>
  </si>
  <si>
    <t>890MFCL26</t>
  </si>
  <si>
    <t>INE549K07DX0</t>
  </si>
  <si>
    <t>MFCL30424D</t>
  </si>
  <si>
    <t>29-Feb-2032</t>
  </si>
  <si>
    <t>INE549K07DY8</t>
  </si>
  <si>
    <t>915MFCL27</t>
  </si>
  <si>
    <t>INE549K07DZ5</t>
  </si>
  <si>
    <t>9MFCL26</t>
  </si>
  <si>
    <t>16-Sep-2026</t>
  </si>
  <si>
    <t>INE549K07EA6</t>
  </si>
  <si>
    <t>MFCL16924</t>
  </si>
  <si>
    <t>16-Sep-2027</t>
  </si>
  <si>
    <t>INE549K07EB4</t>
  </si>
  <si>
    <t>1010MFCL30</t>
  </si>
  <si>
    <t>16-Sep-2030</t>
  </si>
  <si>
    <t>INE549K07EC2</t>
  </si>
  <si>
    <t>925MFCL27</t>
  </si>
  <si>
    <t>INE549K07ED0</t>
  </si>
  <si>
    <t>MFCL16924A</t>
  </si>
  <si>
    <t>16-Sep-2029</t>
  </si>
  <si>
    <t>INE549K07EE8</t>
  </si>
  <si>
    <t>965MFCL27</t>
  </si>
  <si>
    <t>INE549K07EF5</t>
  </si>
  <si>
    <t>MFCL16924B</t>
  </si>
  <si>
    <t>INE549K07EG3</t>
  </si>
  <si>
    <t>990MFCL29</t>
  </si>
  <si>
    <t>INE549K07EH1</t>
  </si>
  <si>
    <t>940MFCL26</t>
  </si>
  <si>
    <t>INE549K07EI9</t>
  </si>
  <si>
    <t>965MFCL30</t>
  </si>
  <si>
    <t>INE549K07EJ7</t>
  </si>
  <si>
    <t>MFCL16924C</t>
  </si>
  <si>
    <t>16-Sep-2032</t>
  </si>
  <si>
    <t>INE549K07EK5</t>
  </si>
  <si>
    <t>945MFCL29</t>
  </si>
  <si>
    <t>INE549K07EL3</t>
  </si>
  <si>
    <t>MFCL160924</t>
  </si>
  <si>
    <t>INE549K08178</t>
  </si>
  <si>
    <t>9MFL27</t>
  </si>
  <si>
    <t>INE549K08186</t>
  </si>
  <si>
    <t>94MFL27</t>
  </si>
  <si>
    <t>INE549K08194</t>
  </si>
  <si>
    <t>MFLZC27C</t>
  </si>
  <si>
    <t>INE549K08202</t>
  </si>
  <si>
    <t>9MFL27A</t>
  </si>
  <si>
    <t>INE549K08210</t>
  </si>
  <si>
    <t>94MFL27A</t>
  </si>
  <si>
    <t>INE549K08228</t>
  </si>
  <si>
    <t>MFLZC27E</t>
  </si>
  <si>
    <t>INE549K08236</t>
  </si>
  <si>
    <t>950MFCL27D</t>
  </si>
  <si>
    <t>07-May-2027</t>
  </si>
  <si>
    <t>INE549K08244</t>
  </si>
  <si>
    <t>975MFCL28E</t>
  </si>
  <si>
    <t>07-Aug-2028</t>
  </si>
  <si>
    <t>INE549K08251</t>
  </si>
  <si>
    <t>MFLZC28E</t>
  </si>
  <si>
    <t>INE549K08285</t>
  </si>
  <si>
    <t>950MFL27</t>
  </si>
  <si>
    <t>INE549K08293</t>
  </si>
  <si>
    <t>975MFL29</t>
  </si>
  <si>
    <t>INE549K08301</t>
  </si>
  <si>
    <t>MFL29A</t>
  </si>
  <si>
    <t>INE557F07090</t>
  </si>
  <si>
    <t>NHBTF2014</t>
  </si>
  <si>
    <t>BOND 8.63%PA TF Tr-I S 2A</t>
  </si>
  <si>
    <t>INE557F07108</t>
  </si>
  <si>
    <t>6,610.00</t>
  </si>
  <si>
    <t>BOND 8.76%PA TF Tr-I S 3A</t>
  </si>
  <si>
    <t>INE557F07124</t>
  </si>
  <si>
    <t>5,951.00</t>
  </si>
  <si>
    <t>BOND 8.88%PA TF Tr-I S 2B</t>
  </si>
  <si>
    <t>888NHB29</t>
  </si>
  <si>
    <t>INE557F07132</t>
  </si>
  <si>
    <t>7,260.00</t>
  </si>
  <si>
    <t>BOND 9.01%PA TF Tr-I S 3B</t>
  </si>
  <si>
    <t>901NHB34</t>
  </si>
  <si>
    <t>INE557F07157</t>
  </si>
  <si>
    <t>NHBTF2023</t>
  </si>
  <si>
    <t>NHB 8.68 NCD Tr II Sr 2 A</t>
  </si>
  <si>
    <t>868NHB29</t>
  </si>
  <si>
    <t>INE557F07165</t>
  </si>
  <si>
    <t>NHB 8.65 NCD Tr II Sr 3 A</t>
  </si>
  <si>
    <t>865NHB34</t>
  </si>
  <si>
    <t>INE557F07181</t>
  </si>
  <si>
    <t>NHB 8.93 NCD Tr II Sr 2 B</t>
  </si>
  <si>
    <t>893NHB29</t>
  </si>
  <si>
    <t>INE557F07199</t>
  </si>
  <si>
    <t>9,700.00</t>
  </si>
  <si>
    <t>NHB 8.90 NCD Tr II Sr 3 B</t>
  </si>
  <si>
    <t>890NHB34</t>
  </si>
  <si>
    <t>INE583D07257</t>
  </si>
  <si>
    <t>UGROCAP</t>
  </si>
  <si>
    <t>05-Aug-2024</t>
  </si>
  <si>
    <t>Sec Red NCD 10.15% Sr. II</t>
  </si>
  <si>
    <t>INE583D07265</t>
  </si>
  <si>
    <t>Sec Red NCD 10.40% Sr.III</t>
  </si>
  <si>
    <t>1040UCL25</t>
  </si>
  <si>
    <t>INE583D07307</t>
  </si>
  <si>
    <t>26-Dec-2024</t>
  </si>
  <si>
    <t>Sec Red NCD 10.35% Sr. II</t>
  </si>
  <si>
    <t>1035UCL24</t>
  </si>
  <si>
    <t>INE583D07315</t>
  </si>
  <si>
    <t>Sec Red NCD 10.50% Sr.III</t>
  </si>
  <si>
    <t>1050UCL25</t>
  </si>
  <si>
    <t>INE583D07414</t>
  </si>
  <si>
    <t>998.00</t>
  </si>
  <si>
    <t>27-Aug-2025</t>
  </si>
  <si>
    <t>Sec Re NCD 10.25% Sr I</t>
  </si>
  <si>
    <t>1025UCL25</t>
  </si>
  <si>
    <t>INE583D07430</t>
  </si>
  <si>
    <t>1,003.00</t>
  </si>
  <si>
    <t>Sec Re NCD 10.75% Sr II</t>
  </si>
  <si>
    <t>1075UCL25</t>
  </si>
  <si>
    <t>INE583D07448</t>
  </si>
  <si>
    <t>1,019.00</t>
  </si>
  <si>
    <t>99</t>
  </si>
  <si>
    <t>Sec Re NCD 10.35% Sr III</t>
  </si>
  <si>
    <t>1035UCL26</t>
  </si>
  <si>
    <t>INE583D07455</t>
  </si>
  <si>
    <t>Sec Re NCD 11% Sr V</t>
  </si>
  <si>
    <t>11UCL26</t>
  </si>
  <si>
    <t>INE583D07463</t>
  </si>
  <si>
    <t>1,002.00</t>
  </si>
  <si>
    <t>59</t>
  </si>
  <si>
    <t>Sec Re NCD 10.5% Sr IV</t>
  </si>
  <si>
    <t>105UCL2026</t>
  </si>
  <si>
    <t>INE583D07471</t>
  </si>
  <si>
    <t>1025UCL27</t>
  </si>
  <si>
    <t>31-Dec-2099</t>
  </si>
  <si>
    <t>INE614X07183</t>
  </si>
  <si>
    <t>DHANILOANS</t>
  </si>
  <si>
    <t>27-Jun-2024</t>
  </si>
  <si>
    <t>Sec Red NCD 10.13%Sr.VII</t>
  </si>
  <si>
    <t>INE614X07191</t>
  </si>
  <si>
    <t>Sec Red NCD 10.61%Sr.VIII</t>
  </si>
  <si>
    <t>INE614X07209</t>
  </si>
  <si>
    <t>INE614X07274</t>
  </si>
  <si>
    <t>06-Sep-2024</t>
  </si>
  <si>
    <t>Sec Red NCD 10.04% Sr.VII</t>
  </si>
  <si>
    <t>INE614X07282</t>
  </si>
  <si>
    <t>Sec Red NCD 10.52%Sr.VIII</t>
  </si>
  <si>
    <t>INE614X07290</t>
  </si>
  <si>
    <t>INE614X07365</t>
  </si>
  <si>
    <t>31-Jan-2025</t>
  </si>
  <si>
    <t>Sec Re NCD 11% Sr.V</t>
  </si>
  <si>
    <t>11DLSL25</t>
  </si>
  <si>
    <t>INE614X07373</t>
  </si>
  <si>
    <t>DLSL25</t>
  </si>
  <si>
    <t>INE614X07381</t>
  </si>
  <si>
    <t>Sec Re NCD 10.49% Sr.VII</t>
  </si>
  <si>
    <t>1049DLSL25</t>
  </si>
  <si>
    <t>INE614X07431</t>
  </si>
  <si>
    <t>16-May-2025</t>
  </si>
  <si>
    <t>DLSL25A</t>
  </si>
  <si>
    <t>INE614X07449</t>
  </si>
  <si>
    <t>11DLSL25A</t>
  </si>
  <si>
    <t>INE614X07456</t>
  </si>
  <si>
    <t>1049DLS25A</t>
  </si>
  <si>
    <t>INE651J07622</t>
  </si>
  <si>
    <t>975JMFCS28</t>
  </si>
  <si>
    <t>07-Jun-2028</t>
  </si>
  <si>
    <t>INE651J07630</t>
  </si>
  <si>
    <t>934JMFCS28</t>
  </si>
  <si>
    <t>INE651J07689</t>
  </si>
  <si>
    <t>1025JFCS28</t>
  </si>
  <si>
    <t>13-Dec-2028</t>
  </si>
  <si>
    <t>INE651J07697</t>
  </si>
  <si>
    <t>981JMFCS28</t>
  </si>
  <si>
    <t>INE652X07100</t>
  </si>
  <si>
    <t>MHLZC26</t>
  </si>
  <si>
    <t>13-Nov-2026</t>
  </si>
  <si>
    <t>INE721A07NU1</t>
  </si>
  <si>
    <t>SHRIRAMFIN</t>
  </si>
  <si>
    <t>1,040.00</t>
  </si>
  <si>
    <t>903SFL28</t>
  </si>
  <si>
    <t>12-Jul-2028</t>
  </si>
  <si>
    <t>INE721A07NX5</t>
  </si>
  <si>
    <t>94SFL28</t>
  </si>
  <si>
    <t>INE721A07OC7</t>
  </si>
  <si>
    <t>1,088.00</t>
  </si>
  <si>
    <t>930SFL28</t>
  </si>
  <si>
    <t>02-Nov-2028</t>
  </si>
  <si>
    <t>INE721A07OF0</t>
  </si>
  <si>
    <t>97SFL28</t>
  </si>
  <si>
    <t>INE721A07ON4</t>
  </si>
  <si>
    <t>957ICCL25</t>
  </si>
  <si>
    <t>06-Feb-2029</t>
  </si>
  <si>
    <t>INE721A07OQ7</t>
  </si>
  <si>
    <t>97SFL29</t>
  </si>
  <si>
    <t>INE721A07PA8</t>
  </si>
  <si>
    <t>931SFL26</t>
  </si>
  <si>
    <t>22-Aug-2026</t>
  </si>
  <si>
    <t>INE721A07PE0</t>
  </si>
  <si>
    <t>97SFL26</t>
  </si>
  <si>
    <t>INE721A07PH3</t>
  </si>
  <si>
    <t>SFLZC26A</t>
  </si>
  <si>
    <t>INE721A07PJ9</t>
  </si>
  <si>
    <t>866SFL25</t>
  </si>
  <si>
    <t>28-Jan-2025</t>
  </si>
  <si>
    <t>INE721A07PK7</t>
  </si>
  <si>
    <t>875SFL27</t>
  </si>
  <si>
    <t>28-Jan-2027</t>
  </si>
  <si>
    <t>INE721A07PM3</t>
  </si>
  <si>
    <t>9SFL25A</t>
  </si>
  <si>
    <t>INE721A07PN1</t>
  </si>
  <si>
    <t>91SFL27</t>
  </si>
  <si>
    <t>INE721A07PP6</t>
  </si>
  <si>
    <t>SFLZC25A</t>
  </si>
  <si>
    <t>INE733E07JF7</t>
  </si>
  <si>
    <t>NTPC</t>
  </si>
  <si>
    <t>1,200.00</t>
  </si>
  <si>
    <t>16-Dec-2028</t>
  </si>
  <si>
    <t>8.48%S-R-NCD Series 2A</t>
  </si>
  <si>
    <t>848NTPC28</t>
  </si>
  <si>
    <t>INE733E07JG5</t>
  </si>
  <si>
    <t>1,375.00</t>
  </si>
  <si>
    <t>16-Dec-2033</t>
  </si>
  <si>
    <t>8.66%S-R-NCD Series 3A</t>
  </si>
  <si>
    <t>866NTPC33</t>
  </si>
  <si>
    <t>INE733E07JI1</t>
  </si>
  <si>
    <t>873NTPC28</t>
  </si>
  <si>
    <t>INE733E07JJ9</t>
  </si>
  <si>
    <t>8.91%S-R-NCD Series 3B</t>
  </si>
  <si>
    <t>891NTPC33</t>
  </si>
  <si>
    <t>INE733E07JP6</t>
  </si>
  <si>
    <t>25-Mar-2025</t>
  </si>
  <si>
    <t>8.49% Sec Non-Cum Red NCD</t>
  </si>
  <si>
    <t>849NTPC25</t>
  </si>
  <si>
    <t>INE733E07JR2</t>
  </si>
  <si>
    <t>1,239.90</t>
  </si>
  <si>
    <t>05-Oct-2025</t>
  </si>
  <si>
    <t>TFB 7.11% 2025 Sr. 1A</t>
  </si>
  <si>
    <t>INE733E07JS0</t>
  </si>
  <si>
    <t>1,389.99</t>
  </si>
  <si>
    <t>05-Oct-2030</t>
  </si>
  <si>
    <t>TFB 7.28% 2030 Sr. 2A</t>
  </si>
  <si>
    <t>INE733E07JT8</t>
  </si>
  <si>
    <t>05-Oct-2035</t>
  </si>
  <si>
    <t>TFB 7.37% 2035 Sr. 3A</t>
  </si>
  <si>
    <t>INE733E07JU6</t>
  </si>
  <si>
    <t>1,069.99</t>
  </si>
  <si>
    <t>TFB 7.36% 2025 Sr. 1B</t>
  </si>
  <si>
    <t>INE733E07JV4</t>
  </si>
  <si>
    <t>1,158.00</t>
  </si>
  <si>
    <t>TFB 7.53% 2030 Sr. 2B</t>
  </si>
  <si>
    <t>INE733E07JW2</t>
  </si>
  <si>
    <t>TFB 7.62% 2035 Sr. 3B</t>
  </si>
  <si>
    <t>INE741K07454</t>
  </si>
  <si>
    <t>CREDITACC</t>
  </si>
  <si>
    <t>1,145.00</t>
  </si>
  <si>
    <t>23-Nov-2024</t>
  </si>
  <si>
    <t>CAGL24</t>
  </si>
  <si>
    <t>INE741K07462</t>
  </si>
  <si>
    <t>1,004.00</t>
  </si>
  <si>
    <t>Sec Re NCD 9.45% Sr. I</t>
  </si>
  <si>
    <t>945CAGL24</t>
  </si>
  <si>
    <t>INE741K07470</t>
  </si>
  <si>
    <t>23-Nov-2025</t>
  </si>
  <si>
    <t>Sec Re NCD 9.60% Sr. III</t>
  </si>
  <si>
    <t>960CAGL25</t>
  </si>
  <si>
    <t>INE741K07488</t>
  </si>
  <si>
    <t>CAGL25A</t>
  </si>
  <si>
    <t>INE741K07496</t>
  </si>
  <si>
    <t>1,024.40</t>
  </si>
  <si>
    <t>125</t>
  </si>
  <si>
    <t>23-Nov-2027</t>
  </si>
  <si>
    <t>Sec Re NCD 10% Sr. V</t>
  </si>
  <si>
    <t>10CAGL27</t>
  </si>
  <si>
    <t>INE741K07504</t>
  </si>
  <si>
    <t>CAGL27A</t>
  </si>
  <si>
    <t>INE741K07520</t>
  </si>
  <si>
    <t>07-Sep-2025</t>
  </si>
  <si>
    <t>Sec Re NCD 9.10% Sr I</t>
  </si>
  <si>
    <t>910CAGL25</t>
  </si>
  <si>
    <t>INE741K07538</t>
  </si>
  <si>
    <t>07-Jun-2026</t>
  </si>
  <si>
    <t>CAGL26</t>
  </si>
  <si>
    <t>INE741K07546</t>
  </si>
  <si>
    <t>07-Sep-2028</t>
  </si>
  <si>
    <t>CAGL28</t>
  </si>
  <si>
    <t>INE741K07553</t>
  </si>
  <si>
    <t>07-Nov-2027</t>
  </si>
  <si>
    <t>CAGL27</t>
  </si>
  <si>
    <t>INE741K07561</t>
  </si>
  <si>
    <t>CAGL25</t>
  </si>
  <si>
    <t>INE741K07579</t>
  </si>
  <si>
    <t>1,023.00</t>
  </si>
  <si>
    <t>Sec Re NCD 9.70% Sr VII</t>
  </si>
  <si>
    <t>970CAGL28</t>
  </si>
  <si>
    <t>INE741K07587</t>
  </si>
  <si>
    <t>Sec Re NCD 9.40% Sr V</t>
  </si>
  <si>
    <t>940CAGL27</t>
  </si>
  <si>
    <t>INE741K07595</t>
  </si>
  <si>
    <t>Sec Re NCD 9.25% Sr III</t>
  </si>
  <si>
    <t>925CAGL26</t>
  </si>
  <si>
    <t>INE774D07SV1</t>
  </si>
  <si>
    <t>92MMFSL27</t>
  </si>
  <si>
    <t>INE774D07SW9</t>
  </si>
  <si>
    <t>93MMFSL27</t>
  </si>
  <si>
    <t>INE774D07VE1</t>
  </si>
  <si>
    <t>825MMFS27</t>
  </si>
  <si>
    <t>25-Mar-2027</t>
  </si>
  <si>
    <t>INE774D08LT8</t>
  </si>
  <si>
    <t>853MMFSL26</t>
  </si>
  <si>
    <t>06-Jun-2026</t>
  </si>
  <si>
    <t>INE774D08LU6</t>
  </si>
  <si>
    <t>872MMFSL26</t>
  </si>
  <si>
    <t>INE774D08LZ5</t>
  </si>
  <si>
    <t>88MMFSL26</t>
  </si>
  <si>
    <t>INE774D08MA6</t>
  </si>
  <si>
    <t>9MMFS-ML-FL</t>
  </si>
  <si>
    <t>9MMFSL26</t>
  </si>
  <si>
    <t>9MMFSML</t>
  </si>
  <si>
    <t>INE774D08MF5</t>
  </si>
  <si>
    <t>MMFSL26</t>
  </si>
  <si>
    <t>INE774D08MG3</t>
  </si>
  <si>
    <t>MMFSL26A</t>
  </si>
  <si>
    <t>M&amp;MFIN</t>
  </si>
  <si>
    <t>INE774D08MJ7</t>
  </si>
  <si>
    <t>790MMFSL27</t>
  </si>
  <si>
    <t>24-Jul-2027</t>
  </si>
  <si>
    <t>INE774D08MK5</t>
  </si>
  <si>
    <t>800MMFSL27</t>
  </si>
  <si>
    <t>INE774D08ML3</t>
  </si>
  <si>
    <t>795MMFSL32</t>
  </si>
  <si>
    <t>24-Jul-2032</t>
  </si>
  <si>
    <t>INE774D08MM1</t>
  </si>
  <si>
    <t>805MMFSL32</t>
  </si>
  <si>
    <t>INE774D08MO7</t>
  </si>
  <si>
    <t>935MMFSL29</t>
  </si>
  <si>
    <t>INE774D08MP4</t>
  </si>
  <si>
    <t>95MMFSL29</t>
  </si>
  <si>
    <t>INE787H07156</t>
  </si>
  <si>
    <t>IIFCL</t>
  </si>
  <si>
    <t>1,181.00</t>
  </si>
  <si>
    <t>INE787H07347</t>
  </si>
  <si>
    <t>866IIFCL-ML-FL</t>
  </si>
  <si>
    <t>22-Jan-2034</t>
  </si>
  <si>
    <t>866IIFC34B</t>
  </si>
  <si>
    <t>INE787H07370</t>
  </si>
  <si>
    <t>891IIFC-ML-FL</t>
  </si>
  <si>
    <t>891IIFCL34</t>
  </si>
  <si>
    <t>INE804I078Y8</t>
  </si>
  <si>
    <t>ECLFINANCE</t>
  </si>
  <si>
    <t>Sec Red NCD 9.43% Sr. VI</t>
  </si>
  <si>
    <t>943ECL28</t>
  </si>
  <si>
    <t>INE804I079Y6</t>
  </si>
  <si>
    <t>Sec Red NCD 9.85% Sr. VII</t>
  </si>
  <si>
    <t>985ECL28</t>
  </si>
  <si>
    <t>INE804IA7014</t>
  </si>
  <si>
    <t>04-Jan-2029</t>
  </si>
  <si>
    <t>Sec Red NCD 10.15% Sr. VI</t>
  </si>
  <si>
    <t>1015ECL29</t>
  </si>
  <si>
    <t>INE804IA7022</t>
  </si>
  <si>
    <t>1,049.90</t>
  </si>
  <si>
    <t>Sec Red NCD 10.6% Sr. VII</t>
  </si>
  <si>
    <t>1060ECL29</t>
  </si>
  <si>
    <t>INE804IA7139</t>
  </si>
  <si>
    <t>995ECL29A</t>
  </si>
  <si>
    <t>23-May-2029</t>
  </si>
  <si>
    <t>INE804IA7147</t>
  </si>
  <si>
    <t>104ECL29A</t>
  </si>
  <si>
    <t>INE804IA7212</t>
  </si>
  <si>
    <t>995ECL24</t>
  </si>
  <si>
    <t>28-Nov-2024</t>
  </si>
  <si>
    <t>INE804IA7220</t>
  </si>
  <si>
    <t>104ECL24</t>
  </si>
  <si>
    <t>INE804IA7238</t>
  </si>
  <si>
    <t>ECLZC24B</t>
  </si>
  <si>
    <t>INE804IA7246</t>
  </si>
  <si>
    <t>995ECL29</t>
  </si>
  <si>
    <t>28-Nov-2029</t>
  </si>
  <si>
    <t>INE804IA7253</t>
  </si>
  <si>
    <t>104ECL29</t>
  </si>
  <si>
    <t>INE848E07526</t>
  </si>
  <si>
    <t>NHPC</t>
  </si>
  <si>
    <t>8.54% Sec Red Bond S2A</t>
  </si>
  <si>
    <t>INE848E07534</t>
  </si>
  <si>
    <t>1,314.00</t>
  </si>
  <si>
    <t>02-Nov-2033</t>
  </si>
  <si>
    <t>8.67% Sec Red Bond S3A</t>
  </si>
  <si>
    <t>867NHP-ML-FL</t>
  </si>
  <si>
    <t>INE848E07559</t>
  </si>
  <si>
    <t>1,188.99</t>
  </si>
  <si>
    <t>171</t>
  </si>
  <si>
    <t>8.79% Sec Red Bond S2B</t>
  </si>
  <si>
    <t>879NHPC28</t>
  </si>
  <si>
    <t>INE848E07567</t>
  </si>
  <si>
    <t>1,299.99</t>
  </si>
  <si>
    <t>8.92% Sec Red Bond S3B</t>
  </si>
  <si>
    <t>892NHPC33</t>
  </si>
  <si>
    <t>INE860H07IP2</t>
  </si>
  <si>
    <t>ABFL</t>
  </si>
  <si>
    <t>133</t>
  </si>
  <si>
    <t>09-Oct-2033</t>
  </si>
  <si>
    <t>Sec Re NCD 7.80% Sr V</t>
  </si>
  <si>
    <t>78ABFL33</t>
  </si>
  <si>
    <t>INE860H07IQ0</t>
  </si>
  <si>
    <t>1,099.00</t>
  </si>
  <si>
    <t>09-Oct-2026</t>
  </si>
  <si>
    <t>Sec Re NCD 8% Sr I</t>
  </si>
  <si>
    <t>8ABFL26</t>
  </si>
  <si>
    <t>INE860H07IR8</t>
  </si>
  <si>
    <t>ABFL26</t>
  </si>
  <si>
    <t>INE860H07IS6</t>
  </si>
  <si>
    <t>Sec Re NCD 8.10% Sr VI</t>
  </si>
  <si>
    <t>81ABFL33</t>
  </si>
  <si>
    <t>INE860H07IT4</t>
  </si>
  <si>
    <t>63</t>
  </si>
  <si>
    <t>09-Oct-2028</t>
  </si>
  <si>
    <t>Sec Re NCD 8.05% Sr III</t>
  </si>
  <si>
    <t>805ABFL28</t>
  </si>
  <si>
    <t>INE860H07IU2</t>
  </si>
  <si>
    <t>ABFL28</t>
  </si>
  <si>
    <t>INE860H07IW8</t>
  </si>
  <si>
    <t>816ABFL29</t>
  </si>
  <si>
    <t>14-Feb-2029</t>
  </si>
  <si>
    <t>INE866I08279</t>
  </si>
  <si>
    <t>436</t>
  </si>
  <si>
    <t>07-Feb-2029</t>
  </si>
  <si>
    <t>Unsec Red NCD 10.0% Sr. V</t>
  </si>
  <si>
    <t>10IIFL29</t>
  </si>
  <si>
    <t>INE866I08295</t>
  </si>
  <si>
    <t>Unsec Red NCD 10.5% Sr.VI</t>
  </si>
  <si>
    <t>105IIFL29</t>
  </si>
  <si>
    <t>INE866I08303</t>
  </si>
  <si>
    <t>987.90</t>
  </si>
  <si>
    <t>06-Jun-2025</t>
  </si>
  <si>
    <t>Unsec Red NCD 10.00% Sr.V</t>
  </si>
  <si>
    <t>985IIFL22</t>
  </si>
  <si>
    <t>INE866I08311</t>
  </si>
  <si>
    <t>IIFLZC25</t>
  </si>
  <si>
    <t>INE906B07CB9</t>
  </si>
  <si>
    <t>NHAI</t>
  </si>
  <si>
    <t>BOND 8.30% PA Tax Free S2</t>
  </si>
  <si>
    <t>INE906B07DE1</t>
  </si>
  <si>
    <t>05-Feb-2029</t>
  </si>
  <si>
    <t>8.50% Tax Free Tr I S IIA</t>
  </si>
  <si>
    <t>850NHAI29</t>
  </si>
  <si>
    <t>INE906B07DF8</t>
  </si>
  <si>
    <t>8.75% Tax Free Tr I S IIB</t>
  </si>
  <si>
    <t>875NHA-ML-FL</t>
  </si>
  <si>
    <t>875NHAI29</t>
  </si>
  <si>
    <t>INE906B07EG4</t>
  </si>
  <si>
    <t>Tax Free7.14% Sr. IA</t>
  </si>
  <si>
    <t>714NHAI26</t>
  </si>
  <si>
    <t>INE906B07EH2</t>
  </si>
  <si>
    <t>Tax Free 7.39% Sr. IB</t>
  </si>
  <si>
    <t>739NHAI26</t>
  </si>
  <si>
    <t>INE906B07EI0</t>
  </si>
  <si>
    <t>1,185.00</t>
  </si>
  <si>
    <t>11-Jan-2031</t>
  </si>
  <si>
    <t>Tax Free 7.35% Sr. IIA</t>
  </si>
  <si>
    <t>735NHA-ML-FL</t>
  </si>
  <si>
    <t>735NHAI31</t>
  </si>
  <si>
    <t>INE906B07EJ8</t>
  </si>
  <si>
    <t>Tax Free 7.60% Sr. IIB</t>
  </si>
  <si>
    <t>76NHA-ML-FL</t>
  </si>
  <si>
    <t>76NHAI31</t>
  </si>
  <si>
    <t>INE906B07EM2</t>
  </si>
  <si>
    <t>704NHAI26</t>
  </si>
  <si>
    <t>INE906B07EN0</t>
  </si>
  <si>
    <t>Tax Free 7.29% Sr. IB</t>
  </si>
  <si>
    <t>729NHAI26</t>
  </si>
  <si>
    <t>INE906B07EO8</t>
  </si>
  <si>
    <t>09-Mar-2031</t>
  </si>
  <si>
    <t>Tax Free 7.39% Sr. IIA</t>
  </si>
  <si>
    <t>739NHAI31A</t>
  </si>
  <si>
    <t>INE906B07EP5</t>
  </si>
  <si>
    <t>1,173.99</t>
  </si>
  <si>
    <t>85</t>
  </si>
  <si>
    <t>Tax Free 7.69% Sr. IIB</t>
  </si>
  <si>
    <t>769NHA-ML-FL</t>
  </si>
  <si>
    <t>769NHAI31</t>
  </si>
  <si>
    <t>INE918K07FS2</t>
  </si>
  <si>
    <t>1025NWFL25</t>
  </si>
  <si>
    <t>05-Feb-2025</t>
  </si>
  <si>
    <t>INE918K07FT0</t>
  </si>
  <si>
    <t>NWFLZC25</t>
  </si>
  <si>
    <t>INE918K07FU8</t>
  </si>
  <si>
    <t>98NWFL30</t>
  </si>
  <si>
    <t>05-Feb-2030</t>
  </si>
  <si>
    <t>INE918K07FV6</t>
  </si>
  <si>
    <t>1025NWFL30</t>
  </si>
  <si>
    <t>INEl48I07QA5</t>
  </si>
  <si>
    <t>SCLZC26H</t>
  </si>
  <si>
    <t>Column1</t>
  </si>
  <si>
    <t>YTM 12-15</t>
  </si>
  <si>
    <t>LTP/Face Value&gt;0.8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</si>
</sst>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[$-409]d\-mmm\-yy;@"/>
    <numFmt numFmtId="166" formatCode="[$-409]d\-mmm\-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D9E1F2"/>
        <bgColor rgb="FFD9E1F2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2" fillId="2" borderId="1" xfId="0" applyFont="1" applyFill="1" applyBorder="1"/>
    <xf numFmtId="0" fontId="2" fillId="2" borderId="3" xfId="0" applyFont="1" applyFill="1" applyBorder="1"/>
    <xf numFmtId="10" fontId="0" fillId="0" borderId="0" xfId="2" applyNumberFormat="1" applyFont="1"/>
    <xf numFmtId="15" fontId="0" fillId="0" borderId="0" xfId="0" applyNumberFormat="1"/>
    <xf numFmtId="14" fontId="0" fillId="0" borderId="0" xfId="0" applyNumberFormat="1"/>
    <xf numFmtId="3" fontId="0" fillId="0" borderId="0" xfId="0" applyNumberFormat="1"/>
    <xf numFmtId="2" fontId="0" fillId="0" borderId="0" xfId="0" applyNumberFormat="1"/>
    <xf numFmtId="2" fontId="3" fillId="0" borderId="4" xfId="0" applyNumberFormat="1" applyFont="1" applyBorder="1"/>
    <xf numFmtId="164" fontId="0" fillId="0" borderId="0" xfId="1" applyNumberFormat="1" applyFont="1"/>
    <xf numFmtId="1" fontId="0" fillId="0" borderId="0" xfId="0" applyNumberFormat="1"/>
    <xf numFmtId="165" fontId="0" fillId="0" borderId="0" xfId="0" applyNumberFormat="1"/>
    <xf numFmtId="2" fontId="3" fillId="0" borderId="0" xfId="0" applyNumberFormat="1" applyFont="1"/>
    <xf numFmtId="2" fontId="0" fillId="0" borderId="4" xfId="0" applyNumberFormat="1" applyBorder="1"/>
    <xf numFmtId="0" fontId="0" fillId="0" borderId="4" xfId="0" applyBorder="1"/>
    <xf numFmtId="0" fontId="3" fillId="3" borderId="0" xfId="0" applyFont="1" applyFill="1"/>
    <xf numFmtId="10" fontId="2" fillId="2" borderId="2" xfId="2" applyNumberFormat="1" applyFont="1" applyFill="1" applyBorder="1"/>
    <xf numFmtId="166" fontId="0" fillId="0" borderId="0" xfId="0" applyNumberFormat="1" applyAlignment="1">
      <alignment horizontal="left"/>
    </xf>
    <xf numFmtId="0" fontId="2" fillId="2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19"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</dxf>
    <dxf>
      <numFmt numFmtId="0" formatCode="General"/>
    </dxf>
    <dxf>
      <numFmt numFmtId="164" formatCode="_(* #,##0_);_(* \(#,##0\);_(* &quot;-&quot;??_);_(@_)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164" formatCode="_(* #,##0_);_(* \(#,##0\);_(* &quot;-&quot;??_);_(@_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nest.scriprtd">
      <tp t="s">
        <v>INE532F07CO7</v>
        <stp/>
        <stp>bse_cm|91EFSL24A</stp>
        <stp>Isin code</stp>
        <tr r="R46" s="1"/>
      </tp>
      <tp t="s">
        <v>INE532F07CT6</v>
        <stp/>
        <stp>bse_cm|93EFSL31A</stp>
        <stp>Isin code</stp>
        <tr r="R85" s="1"/>
      </tp>
      <tp>
        <v>1000</v>
        <stp/>
        <stp>nse_cm|IFCIZC25-NM</stp>
        <stp>Face Value</stp>
        <tr r="Q1765" s="1"/>
      </tp>
      <tp>
        <v>0</v>
        <stp/>
        <stp>nse_cm|1003IIFL29-NC</stp>
        <stp>% Change</stp>
        <tr r="J1077" s="1"/>
      </tp>
      <tp t="s">
        <v>945IFSL25</v>
        <stp/>
        <stp>nse_cm|945IFSL25-N4</stp>
        <stp>Symbol</stp>
        <tr r="A453" s="1"/>
      </tp>
      <tp t="s">
        <v>INE532F07CU4</v>
        <stp/>
        <stp>bse_cm|97EFSL31A</stp>
        <stp>Isin code</stp>
        <tr r="R598" s="1"/>
      </tp>
      <tp t="s">
        <v>87LTF27-NH</v>
        <stp/>
        <stp>nse_cm|87LTF27-NH</stp>
        <stp>Trading Symbol</stp>
        <tr r="B407" s="1"/>
      </tp>
      <tp>
        <v>950</v>
        <stp/>
        <stp>bse_cm|10KAFL26B</stp>
        <stp>Bid Rate</stp>
        <tr r="E1094" s="1"/>
      </tp>
      <tp t="s">
        <v>980IFSL25</v>
        <stp/>
        <stp>nse_cm|980IFSL25-N5</stp>
        <stp>Symbol</stp>
        <tr r="A476" s="1"/>
      </tp>
      <tp t="s">
        <v>967EFSL28A</v>
        <stp/>
        <stp>bse_cm|967EFSL28A</stp>
        <stp>Trading Symbol</stp>
        <tr r="B172" s="1"/>
      </tp>
      <tp t="s">
        <v>967EFSL28D</v>
        <stp/>
        <stp>bse_cm|967EFSL28D</stp>
        <stp>Trading Symbol</stp>
        <tr r="B168" s="1"/>
      </tp>
      <tp t="s">
        <v>967EFSL29A</v>
        <stp/>
        <stp>bse_cm|967EFSL29A</stp>
        <stp>Trading Symbol</stp>
        <tr r="B180" s="1"/>
      </tp>
      <tp>
        <v>825.35</v>
        <stp/>
        <stp>bse_cm|10KAFL26A</stp>
        <stp>Bid Rate</stp>
        <tr r="E1095" s="1"/>
      </tp>
      <tp>
        <v>850.2</v>
        <stp/>
        <stp>bse_cm|95CCIL24A</stp>
        <stp>Bid Rate</stp>
        <tr r="E873" s="1"/>
      </tp>
      <tp t="s">
        <v>1175ICLF25</v>
        <stp/>
        <stp>bse_cm|1175ICLF25</stp>
        <stp>Trading Symbol</stp>
        <tr r="B1222" s="1"/>
      </tp>
      <tp t="s">
        <v>9TCAP28-N9</v>
        <stp/>
        <stp>nse_cm|9TCAP28-N9</stp>
        <stp>Trading Symbol</stp>
        <tr r="B544" s="1"/>
      </tp>
      <tp t="s">
        <v>925SFCL25</v>
        <stp/>
        <stp>nse_cm|925SFCL25-AC</stp>
        <stp>Symbol</stp>
        <tr r="A604" s="1"/>
      </tp>
      <tp t="s">
        <v>10NFL25-N9</v>
        <stp/>
        <stp>nse_cm|10NFL25-N9</stp>
        <stp>Trading Symbol</stp>
        <tr r="B345" s="1"/>
      </tp>
      <tp t="s">
        <v>1075NFL25</v>
        <stp/>
        <stp>nse_cm|1075NFL25-N6</stp>
        <stp>Symbol</stp>
        <tr r="A1438" s="1"/>
      </tp>
      <tp t="s">
        <v>1025NFL25</v>
        <stp/>
        <stp>nse_cm|1025NFL25-N5</stp>
        <stp>Symbol</stp>
        <tr r="A1488" s="1"/>
      </tp>
      <tp>
        <v>0</v>
        <stp/>
        <stp>nse_cm|9TCAP28-N9</stp>
        <stp>Bid Qty</stp>
        <tr r="D544" s="1"/>
      </tp>
      <tp t="s">
        <v>INE549K07CU8</v>
        <stp/>
        <stp>bse_cm|9MFL25</stp>
        <stp>Isin code</stp>
        <tr r="R1082" s="1"/>
      </tp>
      <tp t="s">
        <v>INE01I507679</v>
        <stp/>
        <stp>bse_cm|KAFL29</stp>
        <stp>Isin code</stp>
        <tr r="R1318" s="1"/>
      </tp>
      <tp t="s">
        <v>INE101Q07AK0</v>
        <stp/>
        <stp>bse_cm|MMFL25</stp>
        <stp>Isin code</stp>
        <tr r="R1725" s="1"/>
      </tp>
      <tp>
        <v>948</v>
        <stp/>
        <stp>bse_cm|97EFSL31A</stp>
        <stp>Bid Rate</stp>
        <tr r="E598" s="1"/>
      </tp>
      <tp>
        <v>886</v>
        <stp/>
        <stp>bse_cm|93EFSL31A</stp>
        <stp>Bid Rate</stp>
        <tr r="E85" s="1"/>
      </tp>
      <tp>
        <v>0</v>
        <stp/>
        <stp>bse_cm|MFL31A</stp>
        <stp>LTP</stp>
        <tr r="H1275" s="1"/>
      </tp>
      <tp t="s">
        <v>00:00:00</v>
        <stp/>
        <stp>bse_cm|MFL31A</stp>
        <stp>LTT</stp>
        <tr r="I1275" s="1"/>
      </tp>
      <tp t="s">
        <v>INE148I07LT6</v>
        <stp/>
        <stp>nse_cm|925SCL27-YR</stp>
        <stp>Isin code</stp>
        <tr r="R1415" s="1"/>
      </tp>
      <tp t="s">
        <v>INE148I07SJ2</v>
        <stp/>
        <stp>nse_cm|902SCL27-YU</stp>
        <stp>Isin code</stp>
        <tr r="R844" s="1"/>
      </tp>
      <tp>
        <v>0</v>
        <stp/>
        <stp>bse_cm|MFL30A</stp>
        <stp>LTP</stp>
        <tr r="H1370" s="1"/>
      </tp>
      <tp t="s">
        <v>00:00:00</v>
        <stp/>
        <stp>bse_cm|MFL30A</stp>
        <stp>LTT</stp>
        <tr r="I1370" s="1"/>
      </tp>
      <tp t="s">
        <v>INE148I07KM3</v>
        <stp/>
        <stp>nse_cm|925SCL26-NR</stp>
        <stp>Isin code</stp>
        <tr r="R991" s="1"/>
      </tp>
      <tp>
        <v>0</v>
        <stp/>
        <stp>bse_cm|KFL30A</stp>
        <stp>LTP</stp>
        <tr r="H1592" s="1"/>
      </tp>
      <tp t="s">
        <v>00:00:00</v>
        <stp/>
        <stp>bse_cm|KFL30A</stp>
        <stp>LTT</stp>
        <tr r="I1592" s="1"/>
      </tp>
      <tp>
        <v>0</v>
        <stp/>
        <stp>nse_cm|1003ICCL28-NX</stp>
        <stp>% Change</stp>
        <tr r="J553" s="1"/>
      </tp>
      <tp>
        <v>1050</v>
        <stp/>
        <stp>bse_cm|888IHFL25F</stp>
        <stp>High</stp>
        <tr r="N693" s="1"/>
      </tp>
      <tp>
        <v>1000</v>
        <stp/>
        <stp>nse_cm|925SCL25G-NY</stp>
        <stp>Prev Close</stp>
        <tr r="P887" s="1"/>
      </tp>
      <tp t="s">
        <v>INE866I08311</v>
        <stp/>
        <stp>bse_cm|IIFLZC25</stp>
        <stp>Isin code</stp>
        <tr r="R1743" s="1"/>
      </tp>
      <tp>
        <v>990</v>
        <stp/>
        <stp>bse_cm|888IHFL25C</stp>
        <stp>High</stp>
        <tr r="N1058" s="1"/>
      </tp>
      <tp t="s">
        <v>INE918K07FT0</v>
        <stp/>
        <stp>bse_cm|NWFLZC25</stp>
        <stp>Isin code</stp>
        <tr r="R1758" s="1"/>
      </tp>
      <tp t="s">
        <v>INE530L07236</v>
        <stp/>
        <stp>bse_cm|NIDOZC26</stp>
        <stp>Isin code</stp>
        <tr r="R27" s="1"/>
      </tp>
      <tp t="s">
        <v>INE101Q07953</v>
        <stp/>
        <stp>bse_cm|MMFLZC25</stp>
        <stp>Isin code</stp>
        <tr r="R1731" s="1"/>
      </tp>
      <tp t="s">
        <v>INE051307AC6</v>
        <stp/>
        <stp>bse_cm|CCILZC25</stp>
        <stp>Isin code</stp>
        <tr r="R1376" s="1"/>
      </tp>
      <tp t="s">
        <v>NSE</v>
        <stp/>
        <stp>nse_cm|85IFL26-NX</stp>
        <stp>Exchange</stp>
        <tr r="C1388" s="1"/>
      </tp>
      <tp t="s">
        <v>00:00:00</v>
        <stp/>
        <stp>bse_cm|92LTF29</stp>
        <stp>LTT</stp>
        <tr r="I1088" s="1"/>
      </tp>
      <tp>
        <v>0</v>
        <stp/>
        <stp>bse_cm|92LTF29</stp>
        <stp>LTP</stp>
        <tr r="H1088" s="1"/>
      </tp>
      <tp>
        <v>1000</v>
        <stp/>
        <stp>nse_cm|CIFC28-NB</stp>
        <stp>Face Value</stp>
        <tr r="Q1618" s="1"/>
      </tp>
      <tp t="s">
        <v>SFLZC26A</v>
        <stp/>
        <stp>nse_cm|SFLZC26A-ZC</stp>
        <stp>Symbol</stp>
        <tr r="A1716" s="1"/>
      </tp>
      <tp t="s">
        <v>SFLZC25A</v>
        <stp/>
        <stp>nse_cm|SFLZC25A-ZK</stp>
        <stp>Symbol</stp>
        <tr r="A1582" s="1"/>
      </tp>
      <tp t="s">
        <v>SCLZC25A</v>
        <stp/>
        <stp>nse_cm|SCLZC25A-AS</stp>
        <stp>Symbol</stp>
        <tr r="A1232" s="1"/>
      </tp>
      <tp t="s">
        <v>SCLZC26A</v>
        <stp/>
        <stp>nse_cm|SCLZC26A-NF</stp>
        <stp>Symbol</stp>
        <tr r="A993" s="1"/>
      </tp>
      <tp t="s">
        <v>INE532F07DO5</v>
        <stp/>
        <stp>bse_cm|EFSLZC25</stp>
        <stp>Isin code</stp>
        <tr r="R1741" s="1"/>
      </tp>
      <tp>
        <v>1329</v>
        <stp/>
        <stp>nse_cm|IIFLZC26A-NR</stp>
        <stp>High</stp>
        <tr r="N1680" s="1"/>
      </tp>
      <tp>
        <v>1143.98</v>
        <stp/>
        <stp>nse_cm|IIFLZC25A-NP</stp>
        <stp>High</stp>
        <tr r="N1578" s="1"/>
      </tp>
      <tp>
        <v>1000</v>
        <stp/>
        <stp>bse_cm|1080MML26</stp>
        <stp>Face Value</stp>
        <tr r="Q1163" s="1"/>
      </tp>
      <tp>
        <v>1000</v>
        <stp/>
        <stp>bse_cm|1080MML29</stp>
        <stp>Face Value</stp>
        <tr r="Q72" s="1"/>
      </tp>
      <tp>
        <v>0</v>
        <stp/>
        <stp>nse_cm|9SCL26B-ND</stp>
        <stp>High</stp>
        <tr r="N994" s="1"/>
      </tp>
      <tp>
        <v>1000</v>
        <stp/>
        <stp>bse_cm|965ARKA26</stp>
        <stp>Face Value</stp>
        <tr r="Q869" s="1"/>
      </tp>
      <tp>
        <v>1000</v>
        <stp/>
        <stp>bse_cm|965ARKA28</stp>
        <stp>Face Value</stp>
        <tr r="Q1349" s="1"/>
      </tp>
      <tp t="s">
        <v>NSE</v>
        <stp/>
        <stp>nse_cm|8ABFL26-N0</stp>
        <stp>Exchange</stp>
        <tr r="C358" s="1"/>
      </tp>
      <tp>
        <v>1000</v>
        <stp/>
        <stp>bse_cm|MML110924</stp>
        <stp>Face Value</stp>
        <tr r="Q1257" s="1"/>
      </tp>
      <tp>
        <v>1075.8</v>
        <stp/>
        <stp>nse_cm|IIFLZC25B-NW</stp>
        <stp>High</stp>
        <tr r="N1684" s="1"/>
      </tp>
      <tp>
        <v>1000</v>
        <stp/>
        <stp>bse_cm|11DLSL25A</stp>
        <stp>Face Value</stp>
        <tr r="Q300" s="1"/>
      </tp>
      <tp>
        <v>1000</v>
        <stp/>
        <stp>bse_cm|11EFSL34A</stp>
        <stp>Face Value</stp>
        <tr r="Q1408" s="1"/>
      </tp>
      <tp>
        <v>1000</v>
        <stp/>
        <stp>bse_cm|91EFSL24A</stp>
        <stp>Face Value</stp>
        <tr r="Q46" s="1"/>
      </tp>
      <tp>
        <v>950</v>
        <stp/>
        <stp>bse_cm|EFSL26724A</stp>
        <stp xml:space="preserve">Low </stp>
        <tr r="O1468" s="1"/>
      </tp>
      <tp>
        <v>1000</v>
        <stp/>
        <stp>bse_cm|1150KLM26</stp>
        <stp>Face Value</stp>
        <tr r="Q1224" s="1"/>
      </tp>
      <tp>
        <v>0</v>
        <stp/>
        <stp>nse_cm|845LTF24-NI</stp>
        <stp>% Change</stp>
        <tr r="J942" s="1"/>
      </tp>
      <tp>
        <v>1030</v>
        <stp/>
        <stp>nse_cm|IIFLZC28A-NU</stp>
        <stp>High</stp>
        <tr r="N1624" s="1"/>
      </tp>
      <tp>
        <v>1000</v>
        <stp/>
        <stp>bse_cm|1050IML25</stp>
        <stp>Face Value</stp>
        <tr r="Q499" s="1"/>
      </tp>
      <tp>
        <v>1000</v>
        <stp/>
        <stp>bse_cm|1050MML25</stp>
        <stp>Face Value</stp>
        <tr r="Q1503" s="1"/>
      </tp>
      <tp>
        <v>1000</v>
        <stp/>
        <stp>bse_cm|1050MML28</stp>
        <stp>Face Value</stp>
        <tr r="Q1159" s="1"/>
      </tp>
      <tp>
        <v>1000</v>
        <stp/>
        <stp>bse_cm|1175KLM25</stp>
        <stp>Face Value</stp>
        <tr r="Q1691" s="1"/>
      </tp>
      <tp>
        <v>1000</v>
        <stp/>
        <stp>bse_cm|1060MML26</stp>
        <stp>Face Value</stp>
        <tr r="Q1218" s="1"/>
      </tp>
      <tp>
        <v>1060.01</v>
        <stp/>
        <stp>nse_cm|IIFLZC26B-NY</stp>
        <stp>High</stp>
        <tr r="N1629" s="1"/>
      </tp>
      <tp>
        <v>1000</v>
        <stp/>
        <stp>bse_cm|1075IML27</stp>
        <stp>Face Value</stp>
        <tr r="Q96" s="1"/>
      </tp>
      <tp t="e">
        <v>#N/A</v>
        <stp/>
        <stp>bse_cm|1075IML24</stp>
        <stp>Face Value</stp>
        <tr r="Q33" s="1"/>
      </tp>
      <tp>
        <v>1000</v>
        <stp/>
        <stp>bse_cm|1075MML27</stp>
        <stp>Face Value</stp>
        <tr r="Q1510" s="1"/>
      </tp>
      <tp>
        <v>1000</v>
        <stp/>
        <stp>bse_cm|1075MML26</stp>
        <stp>Face Value</stp>
        <tr r="Q1115" s="1"/>
      </tp>
      <tp>
        <v>1000</v>
        <stp/>
        <stp>bse_cm|1070MML25</stp>
        <stp>Face Value</stp>
        <tr r="Q1504" s="1"/>
      </tp>
      <tp>
        <v>815.45</v>
        <stp/>
        <stp>nse_cm|940SCL26B-Y6</stp>
        <stp>Bid Rate</stp>
        <tr r="E795" s="1"/>
      </tp>
      <tp>
        <v>1000</v>
        <stp/>
        <stp>bse_cm|1015MML25</stp>
        <stp>Face Value</stp>
        <tr r="Q1103" s="1"/>
      </tp>
      <tp>
        <v>930.2</v>
        <stp/>
        <stp>nse_cm|990SCL26B-Y7</stp>
        <stp>Bid Rate</stp>
        <tr r="E798" s="1"/>
      </tp>
      <tp>
        <v>0</v>
        <stp/>
        <stp>nse_cm|812REC27-NI</stp>
        <stp>% Change</stp>
        <tr r="J462" s="1"/>
      </tp>
      <tp>
        <v>1000</v>
        <stp/>
        <stp>bse_cm|1025MML26</stp>
        <stp>Face Value</stp>
        <tr r="Q765" s="1"/>
      </tp>
      <tp>
        <v>1000</v>
        <stp/>
        <stp>bse_cm|1025MML25</stp>
        <stp>Face Value</stp>
        <tr r="Q766" s="1"/>
      </tp>
      <tp>
        <v>1000</v>
        <stp/>
        <stp>bse_cm|IML160224</stp>
        <stp>Face Value</stp>
        <tr r="Q1329" s="1"/>
      </tp>
      <tp>
        <v>1000</v>
        <stp/>
        <stp>bse_cm|1125KLM26</stp>
        <stp>Face Value</stp>
        <tr r="Q1227" s="1"/>
      </tp>
      <tp t="s">
        <v>INE414G07HC0</v>
        <stp/>
        <stp>bse_cm|725MFL24</stp>
        <stp>Isin code</stp>
        <tr r="R446" s="1"/>
      </tp>
      <tp>
        <v>1050</v>
        <stp/>
        <stp>bse_cm|860CIFCL28</stp>
        <stp xml:space="preserve">Low </stp>
        <tr r="O1431" s="1"/>
      </tp>
      <tp t="s">
        <v>NSE</v>
        <stp/>
        <stp>nse_cm|965SCL28C-BR</stp>
        <stp>Exchange</stp>
        <tr r="C817" s="1"/>
      </tp>
      <tp>
        <v>0.51</v>
        <stp/>
        <stp>nse_cm|901NHB34-N6</stp>
        <stp>% Change</stp>
        <tr r="J520" s="1"/>
      </tp>
      <tp>
        <v>1010</v>
        <stp/>
        <stp>bse_cm|840CIFCL28</stp>
        <stp xml:space="preserve">Low </stp>
        <tr r="O419" s="1"/>
      </tp>
      <tp>
        <v>0</v>
        <stp/>
        <stp>nse_cm|866SCFL25-Y8</stp>
        <stp>Open</stp>
        <tr r="M158" s="1"/>
      </tp>
      <tp t="s">
        <v>NSE</v>
        <stp/>
        <stp>nse_cm|925SCL28C-BS</stp>
        <stp>Exchange</stp>
        <tr r="C823" s="1"/>
      </tp>
      <tp>
        <v>1369.9</v>
        <stp/>
        <stp>nse_cm|891NTPC33-N6</stp>
        <stp xml:space="preserve">Low </stp>
        <tr r="O535" s="1"/>
      </tp>
      <tp>
        <v>985</v>
        <stp/>
        <stp>bse_cm|775MFLTD26</stp>
        <stp xml:space="preserve">Low </stp>
        <tr r="O652" s="1"/>
      </tp>
      <tp>
        <v>975</v>
        <stp/>
        <stp>bse_cm|775MFL2026</stp>
        <stp xml:space="preserve">Low </stp>
        <tr r="O240" s="1"/>
      </tp>
      <tp t="s">
        <v>INE05F407BD2</v>
        <stp/>
        <stp>bse_cm|950MML24</stp>
        <stp>Isin code</stp>
        <tr r="R304" s="1"/>
      </tp>
      <tp>
        <v>980</v>
        <stp/>
        <stp>bse_cm|785MFL2028</stp>
        <stp xml:space="preserve">Low </stp>
        <tr r="O357" s="1"/>
      </tp>
      <tp>
        <v>1140</v>
        <stp/>
        <stp>bse_cm|CAGL27A</stp>
        <stp>Bid Rate</stp>
        <tr r="E1379" s="1"/>
      </tp>
      <tp t="s">
        <v>INE248U07EQ0</v>
        <stp/>
        <stp>bse_cm|941ONE26</stp>
        <stp>Isin code</stp>
        <tr r="R263" s="1"/>
      </tp>
      <tp t="s">
        <v>INE248U07FJ2</v>
        <stp/>
        <stp>bse_cm|935ONE26</stp>
        <stp>Isin code</stp>
        <tr r="R1173" s="1"/>
      </tp>
      <tp t="s">
        <v>INE248U07EU2</v>
        <stp/>
        <stp>bse_cm|903ONE26</stp>
        <stp>Isin code</stp>
        <tr r="R843" s="1"/>
      </tp>
      <tp t="s">
        <v>INE906B07EJ8</v>
        <stp/>
        <stp>bse_cm|76NHAI31</stp>
        <stp>Isin code</stp>
        <tr r="R478" s="1"/>
      </tp>
      <tp t="s">
        <v>INE248U07FK0</v>
        <stp/>
        <stp>bse_cm|898ONE26</stp>
        <stp>Isin code</stp>
        <tr r="R1154" s="1"/>
      </tp>
      <tp>
        <v>1057.8599999999999</v>
        <stp/>
        <stp>bse_cm|775MFLTD25</stp>
        <stp xml:space="preserve">Low </stp>
        <tr r="O649" s="1"/>
      </tp>
      <tp>
        <v>1000</v>
        <stp/>
        <stp>bse_cm|915SCL27A</stp>
        <stp>Face Value</stp>
        <tr r="Q951" s="1"/>
      </tp>
      <tp>
        <v>1009.8</v>
        <stp/>
        <stp>bse_cm|775MFL2025</stp>
        <stp xml:space="preserve">Low </stp>
        <tr r="O336" s="1"/>
      </tp>
      <tp>
        <v>10</v>
        <stp/>
        <stp>bse_cm|795IGT31</stp>
        <stp>Bid Qty</stp>
        <tr r="D1186" s="1"/>
      </tp>
      <tp>
        <v>950</v>
        <stp/>
        <stp>nse_cm|971SCL28I-BC</stp>
        <stp>Ask Rate</stp>
        <tr r="F531" s="1"/>
      </tp>
      <tp>
        <v>0</v>
        <stp/>
        <stp>nse_cm|1050SCL31-ZP</stp>
        <stp>Open</stp>
        <tr r="M891" s="1"/>
      </tp>
      <tp>
        <v>985</v>
        <stp/>
        <stp>bse_cm|775MFLTD28</stp>
        <stp xml:space="preserve">Low </stp>
        <tr r="O1192" s="1"/>
      </tp>
      <tp>
        <v>10</v>
        <stp/>
        <stp>bse_cm|797IGT31</stp>
        <stp>Bid Qty</stp>
        <tr r="D381" s="1"/>
      </tp>
      <tp>
        <v>1049</v>
        <stp/>
        <stp>bse_cm|850CIFCL26</stp>
        <stp xml:space="preserve">Low </stp>
        <tr r="O1164" s="1"/>
      </tp>
      <tp t="s">
        <v>INE549K07AT4</v>
        <stp/>
        <stp>bse_cm|850MFL24</stp>
        <stp>Isin code</stp>
        <tr r="R1100" s="1"/>
      </tp>
      <tp>
        <v>0</v>
        <stp/>
        <stp>nse_cm|84TCHF28-NA</stp>
        <stp>% Change</stp>
        <tr r="J402" s="1"/>
      </tp>
      <tp>
        <v>1034.1500000000001</v>
        <stp/>
        <stp>nse_cm|9MMFSML-N2</stp>
        <stp>Bid Rate</stp>
        <tr r="E339" s="1"/>
      </tp>
      <tp t="s">
        <v>NSE</v>
        <stp/>
        <stp>nse_cm|925SCL28I-BA</stp>
        <stp>Exchange</stp>
        <tr r="C821" s="1"/>
      </tp>
      <tp>
        <v>1039.28</v>
        <stp/>
        <stp>bse_cm|885MOFSL26</stp>
        <stp>High</stp>
        <tr r="N1643" s="1"/>
      </tp>
      <tp>
        <v>950</v>
        <stp/>
        <stp>bse_cm|10IIFLSF27</stp>
        <stp>High</stp>
        <tr r="N1098" s="1"/>
      </tp>
      <tp>
        <v>0</v>
        <stp/>
        <stp>nse_cm|902SCL26I-AW</stp>
        <stp>Ask Rate</stp>
        <tr r="F1383" s="1"/>
      </tp>
      <tp>
        <v>921</v>
        <stp/>
        <stp>bse_cm|EFSL290424</stp>
        <stp>High</stp>
        <tr r="N1334" s="1"/>
      </tp>
      <tp t="s">
        <v>INE614X07365</v>
        <stp/>
        <stp>bse_cm|11DLSL25</stp>
        <stp>Isin code</stp>
        <tr r="R1539" s="1"/>
      </tp>
      <tp>
        <v>0</v>
        <stp/>
        <stp>bse_cm|MFLV29E</stp>
        <stp>LTP</stp>
        <tr r="H650" s="1"/>
      </tp>
      <tp t="s">
        <v>00:00:00</v>
        <stp/>
        <stp>bse_cm|MFLV29E</stp>
        <stp>LTT</stp>
        <tr r="I650" s="1"/>
      </tp>
      <tp>
        <v>1060</v>
        <stp/>
        <stp>nse_cm|CIFCZC28A-N5</stp>
        <stp>High</stp>
        <tr r="N1559" s="1"/>
      </tp>
      <tp>
        <v>0</v>
        <stp/>
        <stp>bse_cm|905SC24</stp>
        <stp>Volume Traded Today</stp>
        <tr r="L573" s="1"/>
      </tp>
      <tp>
        <v>-100</v>
        <stp/>
        <stp>bse_cm|KFL25D</stp>
        <stp>% Change</stp>
        <tr r="J1688" s="1"/>
      </tp>
      <tp t="s">
        <v>00:00:00</v>
        <stp/>
        <stp>bse_cm|MFLI25A</stp>
        <stp>LTT</stp>
        <tr r="I362" s="1"/>
      </tp>
      <tp>
        <v>985.2</v>
        <stp/>
        <stp>bse_cm|MFLI25A</stp>
        <stp>LTP</stp>
        <tr r="H362" s="1"/>
      </tp>
      <tp>
        <v>1232</v>
        <stp/>
        <stp>nse_cm|IIFLZC25C-N8</stp>
        <stp>High</stp>
        <tr r="N1748" s="1"/>
      </tp>
      <tp t="s">
        <v>NSE</v>
        <stp/>
        <stp>nse_cm|925SCL25F-BD</stp>
        <stp>Exchange</stp>
        <tr r="C718" s="1"/>
      </tp>
      <tp>
        <v>1112.01</v>
        <stp/>
        <stp>bse_cm|735NABAR31</stp>
        <stp>High</stp>
        <tr r="N14" s="1"/>
      </tp>
      <tp>
        <v>0</v>
        <stp/>
        <stp>bse_cm|MFLV26E</stp>
        <stp>LTP</stp>
        <tr r="H352" s="1"/>
      </tp>
      <tp t="s">
        <v>00:00:00</v>
        <stp/>
        <stp>bse_cm|MFLV26E</stp>
        <stp>LTT</stp>
        <tr r="I352" s="1"/>
      </tp>
      <tp>
        <v>925</v>
        <stp/>
        <stp>nse_cm|888ERFL28-N5</stp>
        <stp>High</stp>
        <tr r="N63" s="1"/>
      </tp>
      <tp>
        <v>1209</v>
        <stp/>
        <stp>nse_cm|IIFLZC28C-N6</stp>
        <stp>High</stp>
        <tr r="N1656" s="1"/>
      </tp>
      <tp>
        <v>1035</v>
        <stp/>
        <stp>nse_cm|84CIFCL28-NA</stp>
        <stp>Ask Rate</stp>
        <tr r="F388" s="1"/>
      </tp>
      <tp t="s">
        <v>NSE</v>
        <stp/>
        <stp>nse_cm|965SCL25E-BF</stp>
        <stp>Exchange</stp>
        <tr r="C413" s="1"/>
      </tp>
      <tp>
        <v>1135.51</v>
        <stp/>
        <stp>bse_cm|764NABAR31</stp>
        <stp>High</stp>
        <tr r="N497" s="1"/>
      </tp>
      <tp>
        <v>985.79</v>
        <stp/>
        <stp>nse_cm|SCL310524-ZF</stp>
        <stp>Open</stp>
        <tr r="M593" s="1"/>
      </tp>
      <tp>
        <v>-100</v>
        <stp/>
        <stp>bse_cm|KFL25A</stp>
        <stp>% Change</stp>
        <tr r="J1703" s="1"/>
      </tp>
      <tp>
        <v>-100</v>
        <stp/>
        <stp>bse_cm|MFL23A</stp>
        <stp>% Change</stp>
        <tr r="J1560" s="1"/>
      </tp>
      <tp>
        <v>900.01</v>
        <stp/>
        <stp>bse_cm|EFSL260724</stp>
        <stp>High</stp>
        <tr r="N586" s="1"/>
      </tp>
      <tp>
        <v>-100</v>
        <stp/>
        <stp>bse_cm|KFL25B</stp>
        <stp>% Change</stp>
        <tr r="J1308" s="1"/>
      </tp>
      <tp>
        <v>1076</v>
        <stp/>
        <stp>nse_cm|CIFCZC26A-N3</stp>
        <stp>High</stp>
        <tr r="N1565" s="1"/>
      </tp>
      <tp>
        <v>0</v>
        <stp/>
        <stp>nse_cm|971SCL28C-BU</stp>
        <stp>Ask Rate</stp>
        <tr r="F826" s="1"/>
      </tp>
      <tp>
        <v>-100</v>
        <stp/>
        <stp>bse_cm|KFL25C</stp>
        <stp>% Change</stp>
        <tr r="J1307" s="1"/>
      </tp>
      <tp>
        <v>1136</v>
        <stp/>
        <stp>nse_cm|CIFCZC25A-N1</stp>
        <stp>High</stp>
        <tr r="N1730" s="1"/>
      </tp>
      <tp>
        <v>1000</v>
        <stp/>
        <stp>bse_cm|897MOFSL29</stp>
        <stp>High</stp>
        <tr r="N332" s="1"/>
      </tp>
      <tp t="s">
        <v>957IIFLS27</v>
        <stp/>
        <stp>bse_cm|957IIFLS27</stp>
        <stp>Trading Symbol</stp>
        <tr r="B687" s="1"/>
      </tp>
      <tp>
        <v>963.35</v>
        <stp/>
        <stp>bse_cm|925ERFL28</stp>
        <stp>Bid Rate</stp>
        <tr r="E147" s="1"/>
      </tp>
      <tp>
        <v>1000</v>
        <stp/>
        <stp>nse_cm|835IFL25-NV</stp>
        <stp>Face Value</stp>
        <tr r="Q98" s="1"/>
      </tp>
      <tp>
        <v>1000</v>
        <stp/>
        <stp>nse_cm|85IIFL25-NO</stp>
        <stp>Face Value</stp>
        <tr r="Q110" s="1"/>
      </tp>
      <tp>
        <v>905.2</v>
        <stp/>
        <stp>bse_cm|888ERFL28</stp>
        <stp>Bid Rate</stp>
        <tr r="E216" s="1"/>
      </tp>
      <tp>
        <v>946.2</v>
        <stp/>
        <stp>bse_cm|101EFSL28</stp>
        <stp>Bid Rate</stp>
        <tr r="E211" s="1"/>
      </tp>
      <tp>
        <v>0</v>
        <stp/>
        <stp>nse_cm|1003ISFL28-N4</stp>
        <stp>% Change</stp>
        <tr r="J197" s="1"/>
      </tp>
      <tp>
        <v>920</v>
        <stp/>
        <stp>bse_cm|105EFSL29</stp>
        <stp>Bid Rate</stp>
        <tr r="E1358" s="1"/>
      </tp>
      <tp>
        <v>940.05</v>
        <stp/>
        <stp>bse_cm|916EFSL26</stp>
        <stp>Bid Rate</stp>
        <tr r="E69" s="1"/>
      </tp>
      <tp>
        <v>937</v>
        <stp/>
        <stp>bse_cm|915EFSL26</stp>
        <stp>Bid Rate</stp>
        <tr r="E93" s="1"/>
      </tp>
      <tp>
        <v>960.15</v>
        <stp/>
        <stp>bse_cm|920EFSL26</stp>
        <stp>Bid Rate</stp>
        <tr r="E223" s="1"/>
      </tp>
      <tp>
        <v>956</v>
        <stp/>
        <stp>bse_cm|939EFSL26</stp>
        <stp>Bid Rate</stp>
        <tr r="E188" s="1"/>
      </tp>
      <tp>
        <v>972.2</v>
        <stp/>
        <stp>bse_cm|955EFSL26</stp>
        <stp>Bid Rate</stp>
        <tr r="E503" s="1"/>
      </tp>
      <tp>
        <v>943.8</v>
        <stp/>
        <stp>bse_cm|950EFSL26</stp>
        <stp>Bid Rate</stp>
        <tr r="E1493" s="1"/>
      </tp>
      <tp>
        <v>970.2</v>
        <stp/>
        <stp>bse_cm|960EFSL26</stp>
        <stp>Bid Rate</stp>
        <tr r="E690" s="1"/>
      </tp>
      <tp>
        <v>935</v>
        <stp/>
        <stp>bse_cm|920EFSL27</stp>
        <stp>Bid Rate</stp>
        <tr r="E55" s="1"/>
      </tp>
      <tp>
        <v>927.81</v>
        <stp/>
        <stp>bse_cm|935EFSL27</stp>
        <stp>Bid Rate</stp>
        <tr r="E157" s="1"/>
      </tp>
      <tp>
        <v>960</v>
        <stp/>
        <stp>bse_cm|957EFSL27</stp>
        <stp>Bid Rate</stp>
        <tr r="E576" s="1"/>
      </tp>
      <tp>
        <v>970.2</v>
        <stp/>
        <stp>bse_cm|960EFSL27</stp>
        <stp>Bid Rate</stp>
        <tr r="E70" s="1"/>
      </tp>
      <tp>
        <v>922.57</v>
        <stp/>
        <stp>bse_cm|975EFSL27</stp>
        <stp>Bid Rate</stp>
        <tr r="E45" s="1"/>
      </tp>
      <tp>
        <v>1017</v>
        <stp/>
        <stp>bse_cm|895EFSL26</stp>
        <stp>Bid Rate</stp>
        <tr r="E109" s="1"/>
      </tp>
      <tp>
        <v>1010.5</v>
        <stp/>
        <stp>bse_cm|895EFSL25</stp>
        <stp>Bid Rate</stp>
        <tr r="E700" s="1"/>
      </tp>
      <tp>
        <v>956.5</v>
        <stp/>
        <stp>bse_cm|925EFSL25</stp>
        <stp>Bid Rate</stp>
        <tr r="E632" s="1"/>
      </tp>
      <tp t="s">
        <v>1075SCL33B</v>
        <stp/>
        <stp>bse_cm|1075SCL33B</stp>
        <stp>Trading Symbol</stp>
        <tr r="B706" s="1"/>
      </tp>
      <tp t="s">
        <v>1075SCL33A</v>
        <stp/>
        <stp>bse_cm|1075SCL33A</stp>
        <stp>Trading Symbol</stp>
        <tr r="B629" s="1"/>
      </tp>
      <tp t="e">
        <v>#N/A</v>
        <stp/>
        <stp>bse_cm|1075IML24A</stp>
        <stp>Trading Symbol</stp>
        <tr r="B32" s="1"/>
      </tp>
      <tp>
        <v>1000</v>
        <stp/>
        <stp>nse_cm|801TCH28-N7</stp>
        <stp>Prev Close</stp>
        <tr r="P1181" s="1"/>
      </tp>
      <tp>
        <v>916</v>
        <stp/>
        <stp>bse_cm|967EFSL28</stp>
        <stp>Bid Rate</stp>
        <tr r="E205" s="1"/>
      </tp>
      <tp>
        <v>937</v>
        <stp/>
        <stp>bse_cm|967EFSL29</stp>
        <stp>Bid Rate</stp>
        <tr r="E102" s="1"/>
      </tp>
      <tp>
        <v>0</v>
        <stp/>
        <stp>bse_cm|SFL27A</stp>
        <stp>LTP</stp>
        <tr r="H804" s="1"/>
      </tp>
      <tp t="s">
        <v>00:00:00</v>
        <stp/>
        <stp>bse_cm|SFL27A</stp>
        <stp>LTT</stp>
        <tr r="I804" s="1"/>
      </tp>
      <tp t="s">
        <v>MFCL16924A</v>
        <stp/>
        <stp>bse_cm|MFCL16924A</stp>
        <stp>Trading Symbol</stp>
        <tr r="B1285" s="1"/>
      </tp>
      <tp t="s">
        <v>MFCL16924C</v>
        <stp/>
        <stp>bse_cm|MFCL16924C</stp>
        <stp>Trading Symbol</stp>
        <tr r="B660" s="1"/>
      </tp>
      <tp t="s">
        <v>MFCL16924B</v>
        <stp/>
        <stp>bse_cm|MFCL16924B</stp>
        <stp>Trading Symbol</stp>
        <tr r="B1284" s="1"/>
      </tp>
      <tp>
        <v>0</v>
        <stp/>
        <stp>bse_cm|SFL26A</stp>
        <stp>LTP</stp>
        <tr r="H810" s="1"/>
      </tp>
      <tp t="s">
        <v>00:00:00</v>
        <stp/>
        <stp>bse_cm|SFL26A</stp>
        <stp>LTT</stp>
        <tr r="I810" s="1"/>
      </tp>
      <tp t="s">
        <v>00:00:00</v>
        <stp/>
        <stp>bse_cm|SCL25A</stp>
        <stp>LTT</stp>
        <tr r="I1238" s="1"/>
      </tp>
      <tp>
        <v>0</v>
        <stp/>
        <stp>bse_cm|SFL25A</stp>
        <stp>LTP</stp>
        <tr r="H812" s="1"/>
      </tp>
      <tp>
        <v>0</v>
        <stp/>
        <stp>bse_cm|SFL25B</stp>
        <stp>LTP</stp>
        <tr r="H1433" s="1"/>
      </tp>
      <tp t="s">
        <v>00:00:00</v>
        <stp/>
        <stp>bse_cm|SCL25B</stp>
        <stp>LTT</stp>
        <tr r="I1544" s="1"/>
      </tp>
      <tp>
        <v>0</v>
        <stp/>
        <stp>bse_cm|SCL25A</stp>
        <stp>LTP</stp>
        <tr r="H1238" s="1"/>
      </tp>
      <tp t="s">
        <v>00:00:00</v>
        <stp/>
        <stp>bse_cm|SFL25A</stp>
        <stp>LTT</stp>
        <tr r="I812" s="1"/>
      </tp>
      <tp t="s">
        <v>00:00:00</v>
        <stp/>
        <stp>bse_cm|SFL25B</stp>
        <stp>LTT</stp>
        <tr r="I1433" s="1"/>
      </tp>
      <tp>
        <v>0</v>
        <stp/>
        <stp>bse_cm|SCL25B</stp>
        <stp>LTP</stp>
        <tr r="H1544" s="1"/>
      </tp>
      <tp>
        <v>1000</v>
        <stp/>
        <stp>nse_cm|IFCIZC24-NI</stp>
        <stp>Face Value</stp>
        <tr r="Q1768" s="1"/>
      </tp>
      <tp t="s">
        <v>93MOFSL34</v>
        <stp/>
        <stp>nse_cm|93MOFSL34-N6</stp>
        <stp>Symbol</stp>
        <tr r="A299" s="1"/>
      </tp>
      <tp t="s">
        <v>00:00:00</v>
        <stp/>
        <stp>bse_cm|SCL24A</stp>
        <stp>LTT</stp>
        <tr r="I1749" s="1"/>
      </tp>
      <tp>
        <v>0</v>
        <stp/>
        <stp>bse_cm|SCL24A</stp>
        <stp>LTP</stp>
        <tr r="H1749" s="1"/>
      </tp>
      <tp t="s">
        <v>INE614X07373</v>
        <stp/>
        <stp>bse_cm|DLSL25</stp>
        <stp>Isin code</stp>
        <tr r="R1747" s="1"/>
      </tp>
      <tp>
        <v>0</v>
        <stp/>
        <stp>nse_cm|94SCL27-ZG</stp>
        <stp>Ask Qty</stp>
        <tr r="G1151" s="1"/>
      </tp>
      <tp>
        <v>0</v>
        <stp/>
        <stp>nse_cm|99SCL27-ZH</stp>
        <stp>Ask Qty</stp>
        <tr r="G1168" s="1"/>
      </tp>
      <tp>
        <v>0</v>
        <stp/>
        <stp>nse_cm|93SCL25-ZH</stp>
        <stp>Ask Qty</stp>
        <tr r="G961" s="1"/>
      </tp>
      <tp>
        <v>0</v>
        <stp/>
        <stp>nse_cm|93SCL24-ZP</stp>
        <stp>Ask Qty</stp>
        <tr r="G1506" s="1"/>
      </tp>
      <tp>
        <v>0</v>
        <stp/>
        <stp>nse_cm|98SCL27-ZX</stp>
        <stp>Ask Qty</stp>
        <tr r="G1378" s="1"/>
      </tp>
      <tp>
        <v>0</v>
        <stp/>
        <stp>nse_cm|98SCL34-ZS</stp>
        <stp>Ask Qty</stp>
        <tr r="G1052" s="1"/>
      </tp>
      <tp>
        <v>0</v>
        <stp/>
        <stp>nse_cm|89SCL24-ZO</stp>
        <stp>Ask Qty</stp>
        <tr r="G972" s="1"/>
      </tp>
      <tp>
        <v>0</v>
        <stp/>
        <stp>nse_cm|88SCL25-ZG</stp>
        <stp>Ask Qty</stp>
        <tr r="G960" s="1"/>
      </tp>
      <tp>
        <v>0</v>
        <stp/>
        <stp>nse_cm|87SCL25-ZV</stp>
        <stp>Ask Qty</stp>
        <tr r="G979" s="1"/>
      </tp>
      <tp>
        <v>0</v>
        <stp/>
        <stp>nse_cm|87SCL27-Z6</stp>
        <stp>Ask Qty</stp>
        <tr r="G950" s="1"/>
      </tp>
      <tp t="s">
        <v>966ICCL25A</v>
        <stp/>
        <stp>bse_cm|966ICCL25A</stp>
        <stp>Trading Symbol</stp>
        <tr r="B846" s="1"/>
      </tp>
      <tp t="s">
        <v>866ICCL23A</v>
        <stp/>
        <stp>bse_cm|866ICCL23A</stp>
        <stp>Trading Symbol</stp>
        <tr r="B1075" s="1"/>
      </tp>
      <tp t="s">
        <v>97MOFSL34</v>
        <stp/>
        <stp>nse_cm|97MOFSL34-N7</stp>
        <stp>Symbol</stp>
        <tr r="A1599" s="1"/>
      </tp>
      <tp t="s">
        <v>85LTF26-NM</v>
        <stp/>
        <stp>nse_cm|85LTF26-NM</stp>
        <stp>Trading Symbol</stp>
        <tr r="B365" s="1"/>
      </tp>
      <tp t="s">
        <v>1003ISFL28-N4</v>
        <stp/>
        <stp>nse_cm|1003ISFL28-N4</stp>
        <stp>Trading Symbol</stp>
        <tr r="B197" s="1"/>
      </tp>
      <tp t="s">
        <v>SCLZC26-NB</v>
        <stp/>
        <stp>nse_cm|SCLZC26-NB</stp>
        <stp>Trading Symbol</stp>
        <tr r="B1717" s="1"/>
      </tp>
      <tp t="s">
        <v>1075KLMA28</v>
        <stp/>
        <stp>bse_cm|1075KLMA28</stp>
        <stp>Trading Symbol</stp>
        <tr r="B1116" s="1"/>
      </tp>
      <tp t="s">
        <v>MFLIV27D</v>
        <stp/>
        <stp>bse_cm|MFLIV27D</stp>
        <stp>Trading Symbol</stp>
        <tr r="B1452" s="1"/>
      </tp>
      <tp t="s">
        <v>1050ISFL28-N5</v>
        <stp/>
        <stp>nse_cm|1050ISFL28-N5</stp>
        <stp>Trading Symbol</stp>
        <tr r="B1591" s="1"/>
      </tp>
      <tp>
        <v>0</v>
        <stp/>
        <stp>nse_cm|10SCL31-Z1</stp>
        <stp>Ask Qty</stp>
        <tr r="G866" s="1"/>
      </tp>
      <tp>
        <v>0</v>
        <stp/>
        <stp>bse_cm|MFL29A</stp>
        <stp>LTP</stp>
        <tr r="H1380" s="1"/>
      </tp>
      <tp t="s">
        <v>00:00:00</v>
        <stp/>
        <stp>bse_cm|MFL29A</stp>
        <stp>LTT</stp>
        <tr r="I1380" s="1"/>
      </tp>
      <tp>
        <v>0</v>
        <stp/>
        <stp>bse_cm|MML28A</stp>
        <stp>LTP</stp>
        <tr r="H1249" s="1"/>
      </tp>
      <tp t="s">
        <v>00:00:00</v>
        <stp/>
        <stp>bse_cm|MML28A</stp>
        <stp>LTT</stp>
        <tr r="I1249" s="1"/>
      </tp>
      <tp t="s">
        <v>00:00:00</v>
        <stp/>
        <stp>bse_cm|MFL28D</stp>
        <stp>LTT</stp>
        <tr r="I1276" s="1"/>
      </tp>
      <tp>
        <v>0</v>
        <stp/>
        <stp>bse_cm|MFL28A</stp>
        <stp>LTP</stp>
        <tr r="H1620" s="1"/>
      </tp>
      <tp>
        <v>0</v>
        <stp/>
        <stp>bse_cm|MFL28B</stp>
        <stp>LTP</stp>
        <tr r="H1277" s="1"/>
      </tp>
      <tp>
        <v>0</v>
        <stp/>
        <stp>bse_cm|MFL28D</stp>
        <stp>LTP</stp>
        <tr r="H1276" s="1"/>
      </tp>
      <tp t="s">
        <v>00:00:00</v>
        <stp/>
        <stp>bse_cm|MFL28A</stp>
        <stp>LTT</stp>
        <tr r="I1620" s="1"/>
      </tp>
      <tp t="s">
        <v>00:00:00</v>
        <stp/>
        <stp>bse_cm|MFL28B</stp>
        <stp>LTT</stp>
        <tr r="I1277" s="1"/>
      </tp>
      <tp t="s">
        <v>82HUDCO27</v>
        <stp/>
        <stp>nse_cm|82HUDCO27-N2</stp>
        <stp>Symbol</stp>
        <tr r="A532" s="1"/>
      </tp>
      <tp>
        <v>0</v>
        <stp/>
        <stp>nse_cm|CIFC26A-N9</stp>
        <stp>Ask Qty</stp>
        <tr r="G739" s="1"/>
      </tp>
      <tp>
        <v>1192</v>
        <stp/>
        <stp>bse_cm|IML28C</stp>
        <stp>LTP</stp>
        <tr r="H1648" s="1"/>
      </tp>
      <tp t="s">
        <v>10:23:35</v>
        <stp/>
        <stp>bse_cm|IML28C</stp>
        <stp>LTT</stp>
        <tr r="I1648" s="1"/>
      </tp>
      <tp t="s">
        <v>INE01I507398</v>
        <stp/>
        <stp>bse_cm|KAFL28</stp>
        <stp>Isin code</stp>
        <tr r="R1320" s="1"/>
      </tp>
      <tp t="s">
        <v>00:00:00</v>
        <stp/>
        <stp>bse_cm|KFL28D</stp>
        <stp>LTT</stp>
        <tr r="I1299" s="1"/>
      </tp>
      <tp>
        <v>0</v>
        <stp/>
        <stp>bse_cm|KFL28D</stp>
        <stp>LTP</stp>
        <tr r="H1299" s="1"/>
      </tp>
      <tp t="s">
        <v>INE741K07546</v>
        <stp/>
        <stp>bse_cm|CAGL28</stp>
        <stp>Isin code</stp>
        <tr r="R757" s="1"/>
      </tp>
      <tp>
        <v>50</v>
        <stp/>
        <stp>nse_cm|11UCL26-NC</stp>
        <stp>Ask Qty</stp>
        <tr r="G322" s="1"/>
      </tp>
      <tp>
        <v>0</v>
        <stp/>
        <stp>bse_cm|KFL27A</stp>
        <stp>LTP</stp>
        <tr r="H1302" s="1"/>
      </tp>
      <tp>
        <v>0</v>
        <stp/>
        <stp>bse_cm|KFL27B</stp>
        <stp>LTP</stp>
        <tr r="H1301" s="1"/>
      </tp>
      <tp>
        <v>0</v>
        <stp/>
        <stp>bse_cm|KFL27C</stp>
        <stp>LTP</stp>
        <tr r="H1300" s="1"/>
      </tp>
      <tp t="s">
        <v>00:00:00</v>
        <stp/>
        <stp>bse_cm|KFL27A</stp>
        <stp>LTT</stp>
        <tr r="I1302" s="1"/>
      </tp>
      <tp t="s">
        <v>00:00:00</v>
        <stp/>
        <stp>bse_cm|KFL27B</stp>
        <stp>LTT</stp>
        <tr r="I1301" s="1"/>
      </tp>
      <tp t="s">
        <v>00:00:00</v>
        <stp/>
        <stp>bse_cm|KFL27C</stp>
        <stp>LTT</stp>
        <tr r="I1300" s="1"/>
      </tp>
      <tp>
        <v>0</v>
        <stp/>
        <stp>bse_cm|KFL26A</stp>
        <stp>LTP</stp>
        <tr r="H1372" s="1"/>
      </tp>
      <tp>
        <v>0</v>
        <stp/>
        <stp>bse_cm|KFL26B</stp>
        <stp>LTP</stp>
        <tr r="H1305" s="1"/>
      </tp>
      <tp>
        <v>0</v>
        <stp/>
        <stp>bse_cm|KFL26C</stp>
        <stp>LTP</stp>
        <tr r="H1304" s="1"/>
      </tp>
      <tp t="s">
        <v>00:00:00</v>
        <stp/>
        <stp>bse_cm|KFL26A</stp>
        <stp>LTT</stp>
        <tr r="I1372" s="1"/>
      </tp>
      <tp t="s">
        <v>00:00:00</v>
        <stp/>
        <stp>bse_cm|KFL26B</stp>
        <stp>LTT</stp>
        <tr r="I1305" s="1"/>
      </tp>
      <tp t="s">
        <v>00:00:00</v>
        <stp/>
        <stp>bse_cm|KFL26C</stp>
        <stp>LTT</stp>
        <tr r="I1304" s="1"/>
      </tp>
      <tp t="s">
        <v>00:00:00</v>
        <stp/>
        <stp>bse_cm|KFL25D</stp>
        <stp>LTT</stp>
        <tr r="I1688" s="1"/>
      </tp>
      <tp>
        <v>0</v>
        <stp/>
        <stp>bse_cm|KFL25A</stp>
        <stp>LTP</stp>
        <tr r="H1703" s="1"/>
      </tp>
      <tp>
        <v>0</v>
        <stp/>
        <stp>bse_cm|MFL23A</stp>
        <stp>LTP</stp>
        <tr r="H1560" s="1"/>
      </tp>
      <tp>
        <v>0</v>
        <stp/>
        <stp>bse_cm|KFL25B</stp>
        <stp>LTP</stp>
        <tr r="H1308" s="1"/>
      </tp>
      <tp>
        <v>0</v>
        <stp/>
        <stp>bse_cm|KFL25C</stp>
        <stp>LTP</stp>
        <tr r="H1307" s="1"/>
      </tp>
      <tp>
        <v>0</v>
        <stp/>
        <stp>bse_cm|KFL25D</stp>
        <stp>LTP</stp>
        <tr r="H1688" s="1"/>
      </tp>
      <tp t="s">
        <v>00:00:00</v>
        <stp/>
        <stp>bse_cm|KFL25A</stp>
        <stp>LTT</stp>
        <tr r="I1703" s="1"/>
      </tp>
      <tp t="s">
        <v>00:00:00</v>
        <stp/>
        <stp>bse_cm|MFL23A</stp>
        <stp>LTT</stp>
        <tr r="I1560" s="1"/>
      </tp>
      <tp t="s">
        <v>00:00:00</v>
        <stp/>
        <stp>bse_cm|KFL25B</stp>
        <stp>LTT</stp>
        <tr r="I1308" s="1"/>
      </tp>
      <tp t="s">
        <v>00:00:00</v>
        <stp/>
        <stp>bse_cm|KFL25C</stp>
        <stp>LTT</stp>
        <tr r="I1307" s="1"/>
      </tp>
      <tp t="s">
        <v>INE148I07LR0</v>
        <stp/>
        <stp>nse_cm|866SCL25-YP</stp>
        <stp>Isin code</stp>
        <tr r="R933" s="1"/>
      </tp>
      <tp t="s">
        <v>INE148I07NR6</v>
        <stp/>
        <stp>nse_cm|857SCL24-ZQ</stp>
        <stp>Isin code</stp>
        <tr r="R975" s="1"/>
      </tp>
      <tp t="s">
        <v>INE148I07NQ8</v>
        <stp/>
        <stp>nse_cm|894SCL24-ZR</stp>
        <stp>Isin code</stp>
        <tr r="R661" s="1"/>
      </tp>
      <tp>
        <v>0</v>
        <stp/>
        <stp>bse_cm|MML25C</stp>
        <stp>LTP</stp>
        <tr r="H1251" s="1"/>
      </tp>
      <tp>
        <v>0</v>
        <stp/>
        <stp>bse_cm|MML25B</stp>
        <stp>LTP</stp>
        <tr r="H1498" s="1"/>
      </tp>
      <tp>
        <v>0</v>
        <stp/>
        <stp>bse_cm|MML25A</stp>
        <stp>LTP</stp>
        <tr r="H1252" s="1"/>
      </tp>
      <tp t="s">
        <v>00:00:00</v>
        <stp/>
        <stp>bse_cm|MML25C</stp>
        <stp>LTT</stp>
        <tr r="I1251" s="1"/>
      </tp>
      <tp t="s">
        <v>00:00:00</v>
        <stp/>
        <stp>bse_cm|MML25B</stp>
        <stp>LTT</stp>
        <tr r="I1498" s="1"/>
      </tp>
      <tp t="s">
        <v>00:00:00</v>
        <stp/>
        <stp>bse_cm|MML25A</stp>
        <stp>LTT</stp>
        <tr r="I1252" s="1"/>
      </tp>
      <tp t="s">
        <v>00:00:00</v>
        <stp/>
        <stp>bse_cm|MFL25D</stp>
        <stp>LTT</stp>
        <tr r="I1705" s="1"/>
      </tp>
      <tp>
        <v>0</v>
        <stp/>
        <stp>bse_cm|MFL25A</stp>
        <stp>LTP</stp>
        <tr r="H1692" s="1"/>
      </tp>
      <tp t="s">
        <v>00:00:00</v>
        <stp/>
        <stp>bse_cm|MFL25E</stp>
        <stp>LTT</stp>
        <tr r="I1664" s="1"/>
      </tp>
      <tp>
        <v>0</v>
        <stp/>
        <stp>bse_cm|MFL25B</stp>
        <stp>LTP</stp>
        <tr r="H1667" s="1"/>
      </tp>
      <tp>
        <v>0</v>
        <stp/>
        <stp>bse_cm|MFL25C</stp>
        <stp>LTP</stp>
        <tr r="H1571" s="1"/>
      </tp>
      <tp>
        <v>1117</v>
        <stp/>
        <stp>bse_cm|MFL25D</stp>
        <stp>LTP</stp>
        <tr r="H1705" s="1"/>
      </tp>
      <tp t="s">
        <v>00:00:00</v>
        <stp/>
        <stp>bse_cm|MFL25A</stp>
        <stp>LTT</stp>
        <tr r="I1692" s="1"/>
      </tp>
      <tp>
        <v>0</v>
        <stp/>
        <stp>bse_cm|MFL25E</stp>
        <stp>LTP</stp>
        <tr r="H1664" s="1"/>
      </tp>
      <tp t="s">
        <v>00:00:00</v>
        <stp/>
        <stp>bse_cm|MFL25B</stp>
        <stp>LTT</stp>
        <tr r="I1667" s="1"/>
      </tp>
      <tp t="s">
        <v>00:00:00</v>
        <stp/>
        <stp>bse_cm|MFL25C</stp>
        <stp>LTT</stp>
        <tr r="I1571" s="1"/>
      </tp>
      <tp>
        <v>0</v>
        <stp/>
        <stp>bse_cm|MML24A</stp>
        <stp>LTP</stp>
        <tr r="H1254" s="1"/>
      </tp>
      <tp t="s">
        <v>00:00:00</v>
        <stp/>
        <stp>bse_cm|MML24A</stp>
        <stp>LTT</stp>
        <tr r="I1254" s="1"/>
      </tp>
      <tp>
        <v>0</v>
        <stp/>
        <stp>bse_cm|MFL24A</stp>
        <stp>LTP</stp>
        <tr r="H1759" s="1"/>
      </tp>
      <tp>
        <v>1172.2</v>
        <stp/>
        <stp>bse_cm|MFL24B</stp>
        <stp>LTP</stp>
        <tr r="H1756" s="1"/>
      </tp>
      <tp t="s">
        <v>00:00:00</v>
        <stp/>
        <stp>bse_cm|MFL24A</stp>
        <stp>LTT</stp>
        <tr r="I1759" s="1"/>
      </tp>
      <tp t="s">
        <v>15:10:51</v>
        <stp/>
        <stp>bse_cm|MFL24B</stp>
        <stp>LTT</stp>
        <tr r="I1756" s="1"/>
      </tp>
      <tp t="s">
        <v>NSE</v>
        <stp/>
        <stp>nse_cm|SCL24A-ZS</stp>
        <stp>Exchange</stp>
        <tr r="C1751" s="1"/>
      </tp>
      <tp>
        <v>0</v>
        <stp/>
        <stp>bse_cm|MML26A</stp>
        <stp>LTP</stp>
        <tr r="H1642" s="1"/>
      </tp>
      <tp>
        <v>0</v>
        <stp/>
        <stp>nse_cm|96SCL25-AA</stp>
        <stp>Ask Qty</stp>
        <tr r="G1067" s="1"/>
      </tp>
      <tp t="s">
        <v>00:00:00</v>
        <stp/>
        <stp>bse_cm|MML26A</stp>
        <stp>LTT</stp>
        <tr r="I1642" s="1"/>
      </tp>
      <tp t="s">
        <v>00:00:00</v>
        <stp/>
        <stp>bse_cm|MFL26D</stp>
        <stp>LTT</stp>
        <tr r="I1279" s="1"/>
      </tp>
      <tp>
        <v>0</v>
        <stp/>
        <stp>bse_cm|MFL26A</stp>
        <stp>LTP</stp>
        <tr r="H1557" s="1"/>
      </tp>
      <tp t="s">
        <v>00:00:00</v>
        <stp/>
        <stp>bse_cm|MFL26E</stp>
        <stp>LTT</stp>
        <tr r="I1533" s="1"/>
      </tp>
      <tp>
        <v>0</v>
        <stp/>
        <stp>bse_cm|MFL26B</stp>
        <stp>LTP</stp>
        <tr r="H1280" s="1"/>
      </tp>
      <tp t="s">
        <v>00:00:00</v>
        <stp/>
        <stp>bse_cm|MFL26F</stp>
        <stp>LTT</stp>
        <tr r="I1278" s="1"/>
      </tp>
      <tp>
        <v>0</v>
        <stp/>
        <stp>bse_cm|MFL26C</stp>
        <stp>LTP</stp>
        <tr r="H1669" s="1"/>
      </tp>
      <tp>
        <v>0</v>
        <stp/>
        <stp>bse_cm|MFL26D</stp>
        <stp>LTP</stp>
        <tr r="H1279" s="1"/>
      </tp>
      <tp t="s">
        <v>00:00:00</v>
        <stp/>
        <stp>bse_cm|MFL26A</stp>
        <stp>LTT</stp>
        <tr r="I1557" s="1"/>
      </tp>
      <tp>
        <v>0</v>
        <stp/>
        <stp>bse_cm|MFL26E</stp>
        <stp>LTP</stp>
        <tr r="H1533" s="1"/>
      </tp>
      <tp t="s">
        <v>00:00:00</v>
        <stp/>
        <stp>bse_cm|MFL26B</stp>
        <stp>LTT</stp>
        <tr r="I1280" s="1"/>
      </tp>
      <tp>
        <v>0</v>
        <stp/>
        <stp>bse_cm|MFL26F</stp>
        <stp>LTP</stp>
        <tr r="H1278" s="1"/>
      </tp>
      <tp t="s">
        <v>00:00:00</v>
        <stp/>
        <stp>bse_cm|MFL26C</stp>
        <stp>LTT</stp>
        <tr r="I1669" s="1"/>
      </tp>
      <tp>
        <v>0</v>
        <stp/>
        <stp>bse_cm|MFL26Z</stp>
        <stp>LTP</stp>
        <tr r="H1655" s="1"/>
      </tp>
      <tp t="s">
        <v>00:00:00</v>
        <stp/>
        <stp>bse_cm|MFL26Z</stp>
        <stp>LTT</stp>
        <tr r="I1655" s="1"/>
      </tp>
      <tp>
        <v>-100</v>
        <stp/>
        <stp>bse_cm|MMFL27</stp>
        <stp>% Change</stp>
        <tr r="J1513" s="1"/>
      </tp>
      <tp>
        <v>-100</v>
        <stp/>
        <stp>bse_cm|MMFL25</stp>
        <stp>% Change</stp>
        <tr r="J1725" s="1"/>
      </tp>
      <tp>
        <v>1000</v>
        <stp/>
        <stp>nse_cm|925SCL25F-BD</stp>
        <stp>Prev Close</stp>
        <tr r="P718" s="1"/>
      </tp>
      <tp>
        <v>1105</v>
        <stp/>
        <stp>nse_cm|990SCFL26-AJ</stp>
        <stp xml:space="preserve">Low </stp>
        <tr r="O1523" s="1"/>
      </tp>
      <tp>
        <v>-100</v>
        <stp/>
        <stp>bse_cm|MFLV29</stp>
        <stp>% Change</stp>
        <tr r="J361" s="1"/>
      </tp>
      <tp>
        <v>910.2</v>
        <stp/>
        <stp>nse_cm|965SCL25F-NZ</stp>
        <stp>Prev Close</stp>
        <tr r="P1362" s="1"/>
      </tp>
      <tp t="e">
        <v>#N/A</v>
        <stp/>
        <stp>bse_cm|MHFLZC24</stp>
        <stp>Isin code</stp>
        <tr r="R35" s="1"/>
      </tp>
      <tp>
        <v>1025</v>
        <stp/>
        <stp>bse_cm|925IHFL25E</stp>
        <stp>High</stp>
        <tr r="N398" s="1"/>
      </tp>
      <tp t="s">
        <v>INE051307AL7</v>
        <stp/>
        <stp>bse_cm|CCILZC24</stp>
        <stp>Isin code</stp>
        <tr r="R750" s="1"/>
      </tp>
      <tp>
        <v>986.01</v>
        <stp/>
        <stp>nse_cm|AEL120924-N2</stp>
        <stp>High</stp>
        <tr r="N1673" s="1"/>
      </tp>
      <tp t="s">
        <v>NSE</v>
        <stp/>
        <stp>nse_cm|888SCL25E-N4</stp>
        <stp>Exchange</stp>
        <tr r="C1444" s="1"/>
      </tp>
      <tp>
        <v>-100</v>
        <stp/>
        <stp>bse_cm|MFLI25</stp>
        <stp>% Change</stp>
        <tr r="J447" s="1"/>
      </tp>
      <tp>
        <v>1129.99</v>
        <stp/>
        <stp>bse_cm|925IHFL25D</stp>
        <stp>High</stp>
        <tr r="N1671" s="1"/>
      </tp>
      <tp>
        <v>0</v>
        <stp/>
        <stp>nse_cm|CIFC26A-N9</stp>
        <stp>Ask Rate</stp>
        <tr r="F739" s="1"/>
      </tp>
      <tp>
        <v>-100</v>
        <stp/>
        <stp>bse_cm|MFLV27</stp>
        <stp>% Change</stp>
        <tr r="J1508" s="1"/>
      </tp>
      <tp>
        <v>0</v>
        <stp/>
        <stp>nse_cm|CAGL25A-N4</stp>
        <stp>Ask Rate</stp>
        <tr r="F709" s="1"/>
      </tp>
      <tp>
        <v>0</v>
        <stp/>
        <stp>nse_cm|CAGL27A-N6</stp>
        <stp>Ask Rate</stp>
        <tr r="F758" s="1"/>
      </tp>
      <tp>
        <v>1064</v>
        <stp/>
        <stp>bse_cm|965IHFL25D</stp>
        <stp>High</stp>
        <tr r="N1432" s="1"/>
      </tp>
      <tp>
        <v>0</v>
        <stp/>
        <stp>bse_cm|85LTF26</stp>
        <stp>LTP</stp>
        <tr r="H410" s="1"/>
      </tp>
      <tp t="s">
        <v>00:00:00</v>
        <stp/>
        <stp>bse_cm|85LTF26</stp>
        <stp>LTT</stp>
        <tr r="I410" s="1"/>
      </tp>
      <tp>
        <v>0</v>
        <stp/>
        <stp>bse_cm|865MF25</stp>
        <stp>LTP</stp>
        <tr r="H111" s="1"/>
      </tp>
      <tp t="s">
        <v>00:00:00</v>
        <stp/>
        <stp>bse_cm|865MF25</stp>
        <stp>LTT</stp>
        <tr r="I111" s="1"/>
      </tp>
      <tp>
        <v>0</v>
        <stp/>
        <stp>bse_cm|86LTF24</stp>
        <stp>LTP</stp>
        <tr r="H8" s="1"/>
      </tp>
      <tp t="s">
        <v>00:00:00</v>
        <stp/>
        <stp>bse_cm|86LTF24</stp>
        <stp>LTT</stp>
        <tr r="I8" s="1"/>
      </tp>
      <tp>
        <v>0</v>
        <stp/>
        <stp>bse_cm|87LTF27</stp>
        <stp>LTP</stp>
        <tr r="H412" s="1"/>
      </tp>
      <tp t="s">
        <v>00:00:00</v>
        <stp/>
        <stp>bse_cm|87LTF27</stp>
        <stp>LTT</stp>
        <tr r="I412" s="1"/>
      </tp>
      <tp>
        <v>0</v>
        <stp/>
        <stp>nse_cm|852LTF27-NG</stp>
        <stp>% Change</stp>
        <tr r="J1006" s="1"/>
      </tp>
      <tp>
        <v>1046</v>
        <stp/>
        <stp>bse_cm|9EFSL25</stp>
        <stp>Bid Rate</stp>
        <tr r="E606" s="1"/>
      </tp>
      <tp>
        <v>45</v>
        <stp/>
        <stp>nse_cm|IIFLZC25-ND</stp>
        <stp>Ask Qty</stp>
        <tr r="G1742" s="1"/>
      </tp>
      <tp>
        <v>25</v>
        <stp/>
        <stp>nse_cm|IIFLZC28-NG</stp>
        <stp>Ask Qty</stp>
        <tr r="G1659" s="1"/>
      </tp>
      <tp>
        <v>995</v>
        <stp/>
        <stp>nse_cm|IIFLZC26-NN</stp>
        <stp>Ask Qty</stp>
        <tr r="G1696" s="1"/>
      </tp>
      <tp>
        <v>988</v>
        <stp/>
        <stp>bse_cm|9EFSL26</stp>
        <stp>Bid Rate</stp>
        <tr r="E581" s="1"/>
      </tp>
      <tp t="s">
        <v>MFLVI25</v>
        <stp/>
        <stp>bse_cm|MFLVI25</stp>
        <stp>Trading Symbol</stp>
        <tr r="B1707" s="1"/>
      </tp>
      <tp t="s">
        <v>MFLVI26</v>
        <stp/>
        <stp>bse_cm|MFLVI26</stp>
        <stp>Trading Symbol</stp>
        <tr r="B1719" s="1"/>
      </tp>
      <tp>
        <v>0</v>
        <stp/>
        <stp>nse_cm|957ICCL25-YW</stp>
        <stp>Open</stp>
        <tr r="M386" s="1"/>
      </tp>
      <tp>
        <v>1000</v>
        <stp/>
        <stp>bse_cm|10EFSL33A</stp>
        <stp>Face Value</stp>
        <tr r="Q140" s="1"/>
      </tp>
      <tp>
        <v>1000</v>
        <stp/>
        <stp>bse_cm|10EFSL33B</stp>
        <stp>Face Value</stp>
        <tr r="Q136" s="1"/>
      </tp>
      <tp>
        <v>1000</v>
        <stp/>
        <stp>bse_cm|10EFSL34A</stp>
        <stp>Face Value</stp>
        <tr r="Q131" s="1"/>
      </tp>
      <tp>
        <v>300</v>
        <stp/>
        <stp>bse_cm|7PFCL31</stp>
        <stp>Volume Traded Today</stp>
        <tr r="L425" s="1"/>
      </tp>
      <tp>
        <v>1000</v>
        <stp/>
        <stp>bse_cm|1050KLM27</stp>
        <stp>Face Value</stp>
        <tr r="Q609" s="1"/>
      </tp>
      <tp>
        <v>1000</v>
        <stp/>
        <stp>bse_cm|1150MML29</stp>
        <stp>Face Value</stp>
        <tr r="Q248" s="1"/>
      </tp>
      <tp>
        <v>1000</v>
        <stp/>
        <stp>bse_cm|1150IML29</stp>
        <stp>Face Value</stp>
        <tr r="Q601" s="1"/>
      </tp>
      <tp>
        <v>1000</v>
        <stp/>
        <stp>bse_cm|1150IML28</stp>
        <stp>Face Value</stp>
        <tr r="Q92" s="1"/>
      </tp>
      <tp>
        <v>1000</v>
        <stp/>
        <stp>bse_cm|955NWIL27</stp>
        <stp>Face Value</stp>
        <tr r="Q1480" s="1"/>
      </tp>
      <tp>
        <v>1000</v>
        <stp/>
        <stp>bse_cm|10KAFL26A</stp>
        <stp>Face Value</stp>
        <tr r="Q1095" s="1"/>
      </tp>
      <tp>
        <v>1000</v>
        <stp/>
        <stp>bse_cm|10KAFL26B</stp>
        <stp>Face Value</stp>
        <tr r="Q1094" s="1"/>
      </tp>
      <tp>
        <v>1170</v>
        <stp/>
        <stp>nse_cm|750IRFC35-NK</stp>
        <stp xml:space="preserve">Low </stp>
        <tr r="O485" s="1"/>
      </tp>
      <tp>
        <v>1050</v>
        <stp/>
        <stp>bse_cm|875CIFC23B</stp>
        <stp xml:space="preserve">Low </stp>
        <tr r="O1394" s="1"/>
      </tp>
      <tp>
        <v>1490</v>
        <stp/>
        <stp>bse_cm|MVAF27</stp>
        <stp>Prev Close</stp>
        <tr r="P1689" s="1"/>
      </tp>
      <tp>
        <v>1000</v>
        <stp/>
        <stp>bse_cm|1075KLM27</stp>
        <stp>Face Value</stp>
        <tr r="Q1117" s="1"/>
      </tp>
      <tp>
        <v>-100</v>
        <stp/>
        <stp>bse_cm|MVAF27</stp>
        <stp>% Change</stp>
        <tr r="J1689" s="1"/>
      </tp>
      <tp>
        <v>1000</v>
        <stp/>
        <stp>bse_cm|10IIFL28A</stp>
        <stp>Face Value</stp>
        <tr r="Q101" s="1"/>
      </tp>
      <tp>
        <v>1000</v>
        <stp/>
        <stp>bse_cm|950KFIL26</stp>
        <stp>Face Value</stp>
        <tr r="Q602" s="1"/>
      </tp>
      <tp>
        <v>1000</v>
        <stp/>
        <stp>bse_cm|950CCIL25</stp>
        <stp>Face Value</stp>
        <tr r="Q99" s="1"/>
      </tp>
      <tp>
        <v>1000</v>
        <stp/>
        <stp>bse_cm|1125MML27</stp>
        <stp>Face Value</stp>
        <tr r="Q592" s="1"/>
      </tp>
      <tp>
        <v>119</v>
        <stp/>
        <stp>nse_cm|IFCIZC24-NI</stp>
        <stp>Ask Qty</stp>
        <tr r="G1768" s="1"/>
      </tp>
      <tp>
        <v>40</v>
        <stp/>
        <stp>nse_cm|IFCIZC25-NM</stp>
        <stp>Ask Qty</stp>
        <tr r="G1765" s="1"/>
      </tp>
      <tp>
        <v>1000</v>
        <stp/>
        <stp>bse_cm|953NWIL32</stp>
        <stp>Face Value</stp>
        <tr r="Q226" s="1"/>
      </tp>
      <tp t="s">
        <v>INE414G07HD8</v>
        <stp/>
        <stp>bse_cm|760MFL25</stp>
        <stp>Isin code</stp>
        <tr r="R482" s="1"/>
      </tp>
      <tp t="s">
        <v>INE414G07HN7</v>
        <stp/>
        <stp>bse_cm|775MFL25</stp>
        <stp>Isin code</stp>
        <tr r="R1369" s="1"/>
      </tp>
      <tp t="s">
        <v>INE414G07HB2</v>
        <stp/>
        <stp>bse_cm|735MFL25</stp>
        <stp>Isin code</stp>
        <tr r="R308" s="1"/>
      </tp>
      <tp>
        <v>1000</v>
        <stp/>
        <stp>bse_cm|902SCL26A</stp>
        <stp>Face Value</stp>
        <tr r="Q967" s="1"/>
      </tp>
      <tp>
        <v>667</v>
        <stp/>
        <stp>bse_cm|902SCL26I</stp>
        <stp>Face Value</stp>
        <tr r="Q903" s="1"/>
      </tp>
      <tp>
        <v>1000</v>
        <stp/>
        <stp>bse_cm|902SCL27A</stp>
        <stp>Face Value</stp>
        <tr r="Q1354" s="1"/>
      </tp>
      <tp>
        <v>815.8</v>
        <stp/>
        <stp>nse_cm|971SCL28B-YD</stp>
        <stp>Bid Rate</stp>
        <tr r="E828" s="1"/>
      </tp>
      <tp t="s">
        <v>INE219X07272</v>
        <stp/>
        <stp>bse_cm|772IGT31</stp>
        <stp>Isin code</stp>
        <tr r="R1194" s="1"/>
      </tp>
      <tp t="s">
        <v>INE219X07256</v>
        <stp/>
        <stp>bse_cm|795IGT31</stp>
        <stp>Isin code</stp>
        <tr r="R1186" s="1"/>
      </tp>
      <tp t="s">
        <v>INE219X07280</v>
        <stp/>
        <stp>bse_cm|797IGT31</stp>
        <stp>Isin code</stp>
        <tr r="R381" s="1"/>
      </tp>
      <tp t="s">
        <v>BSE</v>
        <stp/>
        <stp>bse_cm|MFLTDIII24</stp>
        <stp>Exchange</stp>
        <tr r="C1721" s="1"/>
      </tp>
      <tp>
        <v>100</v>
        <stp/>
        <stp>nse_cm|SFLZC26A-ZC</stp>
        <stp>Bid Qty</stp>
        <tr r="D1716" s="1"/>
      </tp>
      <tp>
        <v>120</v>
        <stp/>
        <stp>nse_cm|SFLZC25A-ZK</stp>
        <stp>Bid Qty</stp>
        <tr r="D1582" s="1"/>
      </tp>
      <tp>
        <v>820.2</v>
        <stp/>
        <stp>nse_cm|902SCL27A-ZI</stp>
        <stp>Bid Rate</stp>
        <tr r="E1353" s="1"/>
      </tp>
      <tp>
        <v>0</v>
        <stp/>
        <stp>nse_cm|980SCL33B-YL</stp>
        <stp>Bid Rate</stp>
        <tr r="E837" s="1"/>
      </tp>
      <tp t="s">
        <v>INE05F407BE0</v>
        <stp/>
        <stp>bse_cm|965MML25</stp>
        <stp>Isin code</stp>
        <tr r="R1107" s="1"/>
      </tp>
      <tp t="s">
        <v>INE05F407BF7</v>
        <stp/>
        <stp>bse_cm|975MML25</stp>
        <stp>Isin code</stp>
        <tr r="R852" s="1"/>
      </tp>
      <tp t="s">
        <v>INE248U07EW8</v>
        <stp/>
        <stp>bse_cm|961ONE27</stp>
        <stp>Isin code</stp>
        <tr r="R628" s="1"/>
      </tp>
      <tp t="s">
        <v>INE248U07FG8</v>
        <stp/>
        <stp>bse_cm|955ONE27</stp>
        <stp>Isin code</stp>
        <tr r="R1129" s="1"/>
      </tp>
      <tp t="s">
        <v>INE248U07ET4</v>
        <stp/>
        <stp>bse_cm|921ONE27</stp>
        <stp>Isin code</stp>
        <tr r="R1428" s="1"/>
      </tp>
      <tp t="s">
        <v>INE248U07FH6</v>
        <stp/>
        <stp>bse_cm|916ONE27</stp>
        <stp>Isin code</stp>
        <tr r="R267" s="1"/>
      </tp>
      <tp t="s">
        <v>INE01I507992</v>
        <stp/>
        <stp>bse_cm|11KAFL29</stp>
        <stp>Isin code</stp>
        <tr r="R662" s="1"/>
      </tp>
      <tp>
        <v>1000</v>
        <stp/>
        <stp>bse_cm|104ECL29A</stp>
        <stp>Face Value</stp>
        <tr r="Q79" s="1"/>
      </tp>
      <tp>
        <v>1</v>
        <stp/>
        <stp>nse_cm|SCLZC25F-Y5</stp>
        <stp>Bid Qty</stp>
        <tr r="D1512" s="1"/>
      </tp>
      <tp>
        <v>7</v>
        <stp/>
        <stp>nse_cm|SCLZC25E-Y4</stp>
        <stp>Bid Qty</stp>
        <tr r="D787" s="1"/>
      </tp>
      <tp>
        <v>0</v>
        <stp/>
        <stp>nse_cm|SCLZC26F-Y9</stp>
        <stp>Bid Qty</stp>
        <tr r="D800" s="1"/>
      </tp>
      <tp>
        <v>1000</v>
        <stp/>
        <stp>bse_cm|905MFL28A</stp>
        <stp>Face Value</stp>
        <tr r="Q224" s="1"/>
      </tp>
      <tp>
        <v>5</v>
        <stp/>
        <stp>nse_cm|SCLZC26G-YA</stp>
        <stp>Bid Qty</stp>
        <tr r="D815" s="1"/>
      </tp>
      <tp>
        <v>851.5</v>
        <stp/>
        <stp>nse_cm|980SCL33D-YG</stp>
        <stp>Bid Rate</stp>
        <tr r="E830" s="1"/>
      </tp>
      <tp t="s">
        <v>NSE</v>
        <stp/>
        <stp>nse_cm|99AEL29-N7</stp>
        <stp>Exchange</stp>
        <tr r="C246" s="1"/>
      </tp>
      <tp>
        <v>826</v>
        <stp/>
        <stp>bse_cm|920IIFLS26</stp>
        <stp xml:space="preserve">Low </stp>
        <tr r="O613" s="1"/>
      </tp>
      <tp>
        <v>1015.01</v>
        <stp/>
        <stp>nse_cm|830CIFC26-N2</stp>
        <stp xml:space="preserve">Low </stp>
        <tr r="O1625" s="1"/>
      </tp>
      <tp>
        <v>1158</v>
        <stp/>
        <stp>nse_cm|840IRFC29-N8</stp>
        <stp xml:space="preserve">Low </stp>
        <tr r="O528" s="1"/>
      </tp>
      <tp t="s">
        <v>MFLV26E</v>
        <stp/>
        <stp>bse_cm|MFLV26E</stp>
        <stp>Trading Symbol</stp>
        <tr r="B352" s="1"/>
      </tp>
      <tp t="s">
        <v>MFLV29E</v>
        <stp/>
        <stp>bse_cm|MFLV29E</stp>
        <stp>Trading Symbol</stp>
        <tr r="B650" s="1"/>
      </tp>
      <tp t="s">
        <v>INE423A07336</v>
        <stp/>
        <stp>bse_cm|956AEL29</stp>
        <stp>Isin code</stp>
        <tr r="R311" s="1"/>
      </tp>
      <tp>
        <v>939.77</v>
        <stp/>
        <stp>bse_cm|957IIFLS27</stp>
        <stp xml:space="preserve">Low </stp>
        <tr r="O687" s="1"/>
      </tp>
      <tp t="s">
        <v>INE05F407CJ7</v>
        <stp/>
        <stp>bse_cm|105MML25</stp>
        <stp>Isin code</stp>
        <tr r="R1170" s="1"/>
      </tp>
      <tp t="s">
        <v>INE549K07717</v>
        <stp/>
        <stp>bse_cm|975MFL25</stp>
        <stp>Isin code</stp>
        <tr r="R855" s="1"/>
      </tp>
      <tp t="s">
        <v>INE549K07683</v>
        <stp/>
        <stp>bse_cm|925MFL25</stp>
        <stp>Isin code</stp>
        <tr r="R1466" s="1"/>
      </tp>
      <tp t="s">
        <v>INE549K07824</v>
        <stp/>
        <stp>bse_cm|915MFL25</stp>
        <stp>Isin code</stp>
        <tr r="R105" s="1"/>
      </tp>
      <tp>
        <v>842.85</v>
        <stp/>
        <stp>bse_cm|IFL1942024</stp>
        <stp xml:space="preserve">Low </stp>
        <tr r="O1594" s="1"/>
      </tp>
      <tp>
        <v>990</v>
        <stp/>
        <stp>bse_cm|960IIFLS26</stp>
        <stp xml:space="preserve">Low </stp>
        <tr r="O872" s="1"/>
      </tp>
      <tp t="s">
        <v>INE549K07BA2</v>
        <stp/>
        <stp>bse_cm|825MFL25</stp>
        <stp>Isin code</stp>
        <tr r="R596" s="1"/>
      </tp>
      <tp t="s">
        <v>INE549K07BV8</v>
        <stp/>
        <stp>bse_cm|810MFL25</stp>
        <stp>Isin code</stp>
        <tr r="R429" s="1"/>
      </tp>
      <tp t="s">
        <v>NSE</v>
        <stp/>
        <stp>nse_cm|948SCL26A-NN</stp>
        <stp>Exchange</stp>
        <tr r="C526" s="1"/>
      </tp>
      <tp>
        <v>5</v>
        <stp/>
        <stp>nse_cm|SCLZC26E-NP</stp>
        <stp>Bid Qty</stp>
        <tr r="D899" s="1"/>
      </tp>
      <tp>
        <v>20</v>
        <stp/>
        <stp>nse_cm|SCLZC26A-NF</stp>
        <stp>Bid Qty</stp>
        <tr r="D993" s="1"/>
      </tp>
      <tp>
        <v>0</v>
        <stp/>
        <stp>nse_cm|SCLZC26C-NB</stp>
        <stp>Bid Qty</stp>
        <tr r="D1537" s="1"/>
      </tp>
      <tp>
        <v>0</v>
        <stp/>
        <stp>nse_cm|SCLZC26D-NO</stp>
        <stp>Bid Qty</stp>
        <tr r="D901" s="1"/>
      </tp>
      <tp>
        <v>0</v>
        <stp/>
        <stp>nse_cm|SCLZC25D-NJ</stp>
        <stp>Bid Qty</stp>
        <tr r="D1699" s="1"/>
      </tp>
      <tp>
        <v>6</v>
        <stp/>
        <stp>nse_cm|SCLZC25C-NI</stp>
        <stp>Bid Qty</stp>
        <tr r="D908" s="1"/>
      </tp>
      <tp>
        <v>1028</v>
        <stp/>
        <stp>bse_cm|935MOFSL29</stp>
        <stp>High</stp>
        <tr r="N1602" s="1"/>
      </tp>
      <tp>
        <v>1305</v>
        <stp/>
        <stp>nse_cm|866NTPC33-N3</stp>
        <stp>High</stp>
        <tr r="N555" s="1"/>
      </tp>
      <tp>
        <v>0</v>
        <stp/>
        <stp>nse_cm|1075SCL33-YK</stp>
        <stp>Open</stp>
        <tr r="M707" s="1"/>
      </tp>
      <tp>
        <v>1044.3399999999999</v>
        <stp/>
        <stp>nse_cm|1090NFL26-NB</stp>
        <stp>High</stp>
        <tr r="N636" s="1"/>
      </tp>
      <tp>
        <v>0</v>
        <stp/>
        <stp>bse_cm|975MVAFL25</stp>
        <stp>Open</stp>
        <tr r="M458" s="1"/>
      </tp>
      <tp t="s">
        <v>INE027E07AX6</v>
        <stp/>
        <stp>bse_cm|845LTF24</stp>
        <stp>Isin code</stp>
        <tr r="R943" s="1"/>
      </tp>
      <tp t="s">
        <v>INE027E07AZ1</v>
        <stp/>
        <stp>bse_cm|815LTF24</stp>
        <stp>Isin code</stp>
        <tr r="R1167" s="1"/>
      </tp>
      <tp t="s">
        <v>INE027E07BA2</v>
        <stp/>
        <stp>bse_cm|829LTF24</stp>
        <stp>Isin code</stp>
        <tr r="R4" s="1"/>
      </tp>
      <tp>
        <v>1250</v>
        <stp/>
        <stp>bse_cm|704NABAR26</stp>
        <stp>High</stp>
        <tr r="N1702" s="1"/>
      </tp>
      <tp t="s">
        <v>BSE</v>
        <stp/>
        <stp>bse_cm|MFLTDVII27</stp>
        <stp>Exchange</stp>
        <tr r="C1562" s="1"/>
      </tp>
      <tp t="s">
        <v>NSE</v>
        <stp/>
        <stp>nse_cm|888SCL25D-NC</stp>
        <stp>Exchange</stp>
        <tr r="C916" s="1"/>
      </tp>
      <tp>
        <v>1080</v>
        <stp/>
        <stp>bse_cm|729NABAR26</stp>
        <stp>High</stp>
        <tr r="N540" s="1"/>
      </tp>
      <tp>
        <v>12</v>
        <stp/>
        <stp>nse_cm|SCLZC25B-AT</stp>
        <stp>Bid Qty</stp>
        <tr r="D1541" s="1"/>
      </tp>
      <tp>
        <v>0</v>
        <stp/>
        <stp>nse_cm|SCLZC25A-AS</stp>
        <stp>Bid Qty</stp>
        <tr r="D1232" s="1"/>
      </tp>
      <tp>
        <v>7</v>
        <stp/>
        <stp>nse_cm|SCLZC26B-AY</stp>
        <stp>Bid Qty</stp>
        <tr r="D1658" s="1"/>
      </tp>
      <tp>
        <v>1021</v>
        <stp/>
        <stp>bse_cm|CIFCZC25A</stp>
        <stp>Bid Rate</stp>
        <tr r="E1728" s="1"/>
      </tp>
      <tp>
        <v>1000</v>
        <stp/>
        <stp>nse_cm|943ECL28-NJ</stp>
        <stp>Face Value</stp>
        <tr r="Q94" s="1"/>
      </tp>
      <tp>
        <v>1000</v>
        <stp/>
        <stp>nse_cm|985ECL28-NK</stp>
        <stp>Face Value</stp>
        <tr r="Q52" s="1"/>
      </tp>
      <tp>
        <v>300</v>
        <stp/>
        <stp>nse_cm|79NHIT35-N1</stp>
        <stp>Face Value</stp>
        <tr r="Q1589" s="1"/>
      </tp>
      <tp>
        <v>910</v>
        <stp/>
        <stp>bse_cm|965EFSL32</stp>
        <stp>Bid Rate</stp>
        <tr r="E141" s="1"/>
      </tp>
      <tp>
        <v>883.8</v>
        <stp/>
        <stp>bse_cm|930EFSL31</stp>
        <stp>Bid Rate</stp>
        <tr r="E65" s="1"/>
      </tp>
      <tp>
        <v>890</v>
        <stp/>
        <stp>bse_cm|953EFSL31</stp>
        <stp>Bid Rate</stp>
        <tr r="E191" s="1"/>
      </tp>
      <tp>
        <v>906.8</v>
        <stp/>
        <stp>bse_cm|970EFSL31</stp>
        <stp>Bid Rate</stp>
        <tr r="E220" s="1"/>
      </tp>
      <tp>
        <v>940.2</v>
        <stp/>
        <stp>bse_cm|995EFSL31</stp>
        <stp>Bid Rate</stp>
        <tr r="E192" s="1"/>
      </tp>
      <tp t="s">
        <v>739HUDCO31</v>
        <stp/>
        <stp>bse_cm|739HUDCO31</stp>
        <stp>Trading Symbol</stp>
        <tr r="B569" s="1"/>
      </tp>
      <tp t="s">
        <v>769HUDCO31</v>
        <stp/>
        <stp>bse_cm|769HUDCO31</stp>
        <stp>Trading Symbol</stp>
        <tr r="B15" s="1"/>
      </tp>
      <tp t="s">
        <v>729HUDCO26</v>
        <stp/>
        <stp>bse_cm|729HUDCO26</stp>
        <stp>Trading Symbol</stp>
        <tr r="B523" s="1"/>
      </tp>
      <tp t="s">
        <v>CCI110324A</v>
        <stp/>
        <stp>bse_cm|CCI110324A</stp>
        <stp>Trading Symbol</stp>
        <tr r="B1590" s="1"/>
      </tp>
      <tp t="s">
        <v>91MOFSL27</v>
        <stp/>
        <stp>nse_cm|91MOFSL27-N2</stp>
        <stp>Symbol</stp>
        <tr r="A1611" s="1"/>
      </tp>
      <tp t="s">
        <v>975MFCL28E</v>
        <stp/>
        <stp>bse_cm|975MFCL28E</stp>
        <stp>Trading Symbol</stp>
        <tr r="B303" s="1"/>
      </tp>
      <tp t="s">
        <v>CCIL110324</v>
        <stp/>
        <stp>bse_cm|CCIL110324</stp>
        <stp>Trading Symbol</stp>
        <tr r="B754" s="1"/>
      </tp>
      <tp t="s">
        <v>105MMFL25C</v>
        <stp/>
        <stp>bse_cm|105MMFL25C</stp>
        <stp>Trading Symbol</stp>
        <tr r="B480" s="1"/>
      </tp>
      <tp t="s">
        <v>105MMFL25B</v>
        <stp/>
        <stp>bse_cm|105MMFL25B</stp>
        <stp>Trading Symbol</stp>
        <tr r="B1390" s="1"/>
      </tp>
      <tp t="s">
        <v>105MMFL25A</v>
        <stp/>
        <stp>bse_cm|105MMFL25A</stp>
        <stp>Trading Symbol</stp>
        <tr r="B1364" s="1"/>
      </tp>
      <tp t="s">
        <v>875MFCL26C</v>
        <stp/>
        <stp>bse_cm|875MFCL26C</stp>
        <stp>Trading Symbol</stp>
        <tr r="B309" s="1"/>
      </tp>
      <tp>
        <v>25</v>
        <stp/>
        <stp>nse_cm|11UCL26-NC</stp>
        <stp>Bid Qty</stp>
        <tr r="D322" s="1"/>
      </tp>
      <tp>
        <v>950</v>
        <stp/>
        <stp>bse_cm|944MFL28A</stp>
        <stp>Bid Rate</stp>
        <tr r="E1073" s="1"/>
      </tp>
      <tp>
        <v>850</v>
        <stp/>
        <stp>bse_cm|905MFL28A</stp>
        <stp>Bid Rate</stp>
        <tr r="E224" s="1"/>
      </tp>
      <tp t="s">
        <v>879NHPC28</v>
        <stp/>
        <stp>nse_cm|879NHPC28-N5</stp>
        <stp>Symbol</stp>
        <tr r="A464" s="1"/>
      </tp>
      <tp>
        <v>0</v>
        <stp/>
        <stp>nse_cm|96SCL25-AA</stp>
        <stp>Bid Qty</stp>
        <tr r="D1067" s="1"/>
      </tp>
      <tp t="s">
        <v>965IHFL25D</v>
        <stp/>
        <stp>bse_cm|965IHFL25D</stp>
        <stp>Trading Symbol</stp>
        <tr r="B1432" s="1"/>
      </tp>
      <tp t="s">
        <v>925IHFL25E</v>
        <stp/>
        <stp>bse_cm|925IHFL25E</stp>
        <stp>Trading Symbol</stp>
        <tr r="B398" s="1"/>
      </tp>
      <tp t="s">
        <v>925IHFL25D</v>
        <stp/>
        <stp>bse_cm|925IHFL25D</stp>
        <stp>Trading Symbol</stp>
        <tr r="B1671" s="1"/>
      </tp>
      <tp t="s">
        <v>875IIFL26A</v>
        <stp/>
        <stp>bse_cm|875IIFL26A</stp>
        <stp>Trading Symbol</stp>
        <tr r="B232" s="1"/>
      </tp>
      <tp t="s">
        <v>955ICCL25A</v>
        <stp/>
        <stp>bse_cm|955ICCL25A</stp>
        <stp>Trading Symbol</stp>
        <tr r="B1143" s="1"/>
      </tp>
      <tp t="s">
        <v>965ICCL25I</v>
        <stp/>
        <stp>bse_cm|965ICCL25I</stp>
        <stp>Trading Symbol</stp>
        <tr r="B1430" s="1"/>
      </tp>
      <tp t="s">
        <v>925ICCL25I</v>
        <stp/>
        <stp>bse_cm|925ICCL25I</stp>
        <stp>Trading Symbol</stp>
        <tr r="B782" s="1"/>
      </tp>
      <tp t="s">
        <v>925ICCL24A</v>
        <stp/>
        <stp>bse_cm|925ICCL24A</stp>
        <stp>Trading Symbol</stp>
        <tr r="B1072" s="1"/>
      </tp>
      <tp t="s">
        <v>INE498L07038</v>
        <stp/>
        <stp>nse_cm|824LTF27-NQ</stp>
        <stp>Isin code</stp>
        <tr r="R999" s="1"/>
      </tp>
      <tp t="s">
        <v>SCLZC25-YN</v>
        <stp/>
        <stp>nse_cm|SCLZC25-YN</stp>
        <stp>Trading Symbol</stp>
        <tr r="B1727" s="1"/>
      </tp>
      <tp t="s">
        <v>955EFSL26B</v>
        <stp/>
        <stp>bse_cm|955EFSL26B</stp>
        <stp>Trading Symbol</stp>
        <tr r="B666" s="1"/>
      </tp>
      <tp t="s">
        <v>955EFSL26A</v>
        <stp/>
        <stp>bse_cm|955EFSL26A</stp>
        <stp>Trading Symbol</stp>
        <tr r="B214" s="1"/>
      </tp>
      <tp t="s">
        <v>915EFSL26A</v>
        <stp/>
        <stp>bse_cm|915EFSL26A</stp>
        <stp>Trading Symbol</stp>
        <tr r="B187" s="1"/>
      </tp>
      <tp t="s">
        <v>895EFSL25A</v>
        <stp/>
        <stp>bse_cm|895EFSL25A</stp>
        <stp>Trading Symbol</stp>
        <tr r="B594" s="1"/>
      </tp>
      <tp t="s">
        <v>875EFSL24A</v>
        <stp/>
        <stp>bse_cm|875EFSL24A</stp>
        <stp>Trading Symbol</stp>
        <tr r="B229" s="1"/>
      </tp>
      <tp>
        <v>75</v>
        <stp/>
        <stp>nse_cm|CIFC26A-N9</stp>
        <stp>Bid Qty</stp>
        <tr r="D739" s="1"/>
      </tp>
      <tp t="s">
        <v>BSE</v>
        <stp/>
        <stp>bse_cm|971SCL28C</stp>
        <stp>Exchange</stp>
        <tr r="C827" s="1"/>
      </tp>
      <tp t="s">
        <v>BSE</v>
        <stp/>
        <stp>bse_cm|965SCL28C</stp>
        <stp>Exchange</stp>
        <tr r="C818" s="1"/>
      </tp>
      <tp t="s">
        <v>BSE</v>
        <stp/>
        <stp>bse_cm|925SCL28C</stp>
        <stp>Exchange</stp>
        <tr r="C824" s="1"/>
      </tp>
      <tp t="s">
        <v>BSE</v>
        <stp/>
        <stp>bse_cm|971SCL28B</stp>
        <stp>Exchange</stp>
        <tr r="C714" s="1"/>
      </tp>
      <tp t="s">
        <v>BSE</v>
        <stp/>
        <stp>bse_cm|965SCL28B</stp>
        <stp>Exchange</stp>
        <tr r="C896" s="1"/>
      </tp>
      <tp t="s">
        <v>BSE</v>
        <stp/>
        <stp>bse_cm|925SCL28B</stp>
        <stp>Exchange</stp>
        <tr r="C894" s="1"/>
      </tp>
      <tp t="s">
        <v>BSE</v>
        <stp/>
        <stp>bse_cm|971SCL28A</stp>
        <stp>Exchange</stp>
        <tr r="C1027" s="1"/>
      </tp>
      <tp t="s">
        <v>BSE</v>
        <stp/>
        <stp>bse_cm|965SCL28A</stp>
        <stp>Exchange</stp>
        <tr r="C1136" s="1"/>
      </tp>
      <tp t="s">
        <v>BSE</v>
        <stp/>
        <stp>bse_cm|925SCL28A</stp>
        <stp>Exchange</stp>
        <tr r="C938" s="1"/>
      </tp>
      <tp t="s">
        <v>1119NFL27</v>
        <stp/>
        <stp>nse_cm|1119NFL27-ND</stp>
        <stp>Symbol</stp>
        <tr r="A337" s="1"/>
      </tp>
      <tp t="s">
        <v>1065NFL27</v>
        <stp/>
        <stp>nse_cm|1065NFL27-NC</stp>
        <stp>Symbol</stp>
        <tr r="A170" s="1"/>
      </tp>
      <tp t="s">
        <v>INE403Q07EH8</v>
        <stp/>
        <stp>bse_cm|0KFL31</stp>
        <stp>Isin code</stp>
        <tr r="R1044" s="1"/>
      </tp>
      <tp t="s">
        <v>INE549K08178</v>
        <stp/>
        <stp>bse_cm|9MFL27</stp>
        <stp>Isin code</stp>
        <tr r="R195" s="1"/>
      </tp>
      <tp t="s">
        <v>INE860H07IU2</v>
        <stp/>
        <stp>bse_cm|ABFL28</stp>
        <stp>Isin code</stp>
        <tr r="R1373" s="1"/>
      </tp>
      <tp t="s">
        <v>INE101Q07AM6</v>
        <stp/>
        <stp>bse_cm|MMFL27</stp>
        <stp>Isin code</stp>
        <tr r="R1513" s="1"/>
      </tp>
      <tp>
        <v>0</v>
        <stp/>
        <stp>nse_cm|10SCL31-Z1</stp>
        <stp>Bid Qty</stp>
        <tr r="D866" s="1"/>
      </tp>
      <tp t="s">
        <v>BSE</v>
        <stp/>
        <stp>bse_cm|971SCL28I</stp>
        <stp>Exchange</stp>
        <tr r="C1471" s="1"/>
      </tp>
      <tp t="s">
        <v>BSE</v>
        <stp/>
        <stp>bse_cm|925SCL28I</stp>
        <stp>Exchange</stp>
        <tr r="C822" s="1"/>
      </tp>
      <tp t="s">
        <v>INE05F407CD0</v>
        <stp/>
        <stp>bse_cm|0MML27</stp>
        <stp>Isin code</stp>
        <tr r="R1043" s="1"/>
      </tp>
      <tp>
        <v>926</v>
        <stp/>
        <stp>bse_cm|10EFSL33B</stp>
        <stp>Bid Rate</stp>
        <tr r="E136" s="1"/>
      </tp>
      <tp>
        <v>11</v>
        <stp/>
        <stp>nse_cm|93SCL25-ZH</stp>
        <stp>Bid Qty</stp>
        <tr r="D961" s="1"/>
      </tp>
      <tp>
        <v>16</v>
        <stp/>
        <stp>nse_cm|99SCL27-ZH</stp>
        <stp>Bid Qty</stp>
        <tr r="D1168" s="1"/>
      </tp>
      <tp>
        <v>10</v>
        <stp/>
        <stp>nse_cm|94SCL27-ZG</stp>
        <stp>Bid Qty</stp>
        <tr r="D1151" s="1"/>
      </tp>
      <tp>
        <v>0</v>
        <stp/>
        <stp>nse_cm|98SCL34-ZS</stp>
        <stp>Bid Qty</stp>
        <tr r="D1052" s="1"/>
      </tp>
      <tp>
        <v>10</v>
        <stp/>
        <stp>nse_cm|98SCL27-ZX</stp>
        <stp>Bid Qty</stp>
        <tr r="D1378" s="1"/>
      </tp>
      <tp>
        <v>157</v>
        <stp/>
        <stp>nse_cm|93SCL24-ZP</stp>
        <stp>Bid Qty</stp>
        <tr r="D1506" s="1"/>
      </tp>
      <tp>
        <v>903.33</v>
        <stp/>
        <stp>bse_cm|10EFSL33A</stp>
        <stp>Bid Rate</stp>
        <tr r="E140" s="1"/>
      </tp>
      <tp>
        <v>20</v>
        <stp/>
        <stp>nse_cm|88SCL25-ZG</stp>
        <stp>Bid Qty</stp>
        <tr r="D960" s="1"/>
      </tp>
      <tp>
        <v>25</v>
        <stp/>
        <stp>nse_cm|89SCL24-ZO</stp>
        <stp>Bid Qty</stp>
        <tr r="D972" s="1"/>
      </tp>
      <tp>
        <v>0</v>
        <stp/>
        <stp>nse_cm|87SCL25-ZV</stp>
        <stp>Bid Qty</stp>
        <tr r="D979" s="1"/>
      </tp>
      <tp>
        <v>10</v>
        <stp/>
        <stp>nse_cm|87SCL27-Z6</stp>
        <stp>Bid Qty</stp>
        <tr r="D950" s="1"/>
      </tp>
      <tp>
        <v>1155</v>
        <stp/>
        <stp>nse_cm|865IRFC29-NA</stp>
        <stp>High</stp>
        <tr r="N491" s="1"/>
      </tp>
      <tp>
        <v>-100</v>
        <stp/>
        <stp>bse_cm|NIDO27</stp>
        <stp>% Change</stp>
        <tr r="J1661" s="1"/>
      </tp>
      <tp>
        <v>0</v>
        <stp/>
        <stp>nse_cm|SCLZC26-NB</stp>
        <stp>Open</stp>
        <tr r="M1717" s="1"/>
      </tp>
      <tp>
        <v>10</v>
        <stp/>
        <stp>nse_cm|IFCIZC25-NM</stp>
        <stp>Bid Qty</stp>
        <tr r="D1765" s="1"/>
      </tp>
      <tp>
        <v>10</v>
        <stp/>
        <stp>nse_cm|IFCIZC24-NI</stp>
        <stp>Bid Qty</stp>
        <tr r="D1768" s="1"/>
      </tp>
      <tp>
        <v>-100</v>
        <stp/>
        <stp>bse_cm|NIDO26</stp>
        <stp>% Change</stp>
        <tr r="J1244" s="1"/>
      </tp>
      <tp>
        <v>1000</v>
        <stp/>
        <stp>nse_cm|TCHF30-NB</stp>
        <stp>Face Value</stp>
        <tr r="Q408" s="1"/>
      </tp>
      <tp>
        <v>-100</v>
        <stp/>
        <stp>bse_cm|NIDO25</stp>
        <stp>% Change</stp>
        <tr r="J1726" s="1"/>
      </tp>
      <tp>
        <v>965.82</v>
        <stp/>
        <stp>nse_cm|965SCL25E-BF</stp>
        <stp>Prev Close</stp>
        <tr r="P413" s="1"/>
      </tp>
      <tp t="s">
        <v>INE101Q07615</v>
        <stp/>
        <stp>bse_cm|MMFLZC27</stp>
        <stp>Isin code</stp>
        <tr r="R1462" s="1"/>
      </tp>
      <tp>
        <v>0</v>
        <stp/>
        <stp>bse_cm|9ARKA25</stp>
        <stp>Volume Traded Today</stp>
        <tr r="L1365" s="1"/>
      </tp>
      <tp>
        <v>0</v>
        <stp/>
        <stp>nse_cm|888SCL25D-NC</stp>
        <stp>Prev Close</stp>
        <tr r="P916" s="1"/>
      </tp>
      <tp>
        <v>990</v>
        <stp/>
        <stp>bse_cm|975MFCL28E</stp>
        <stp>High</stp>
        <tr r="N303" s="1"/>
      </tp>
      <tp>
        <v>0</v>
        <stp/>
        <stp>bse_cm|10VCL25</stp>
        <stp>LTP</stp>
        <tr r="H1646" s="1"/>
      </tp>
      <tp t="s">
        <v>00:00:00</v>
        <stp/>
        <stp>bse_cm|10SFL25</stp>
        <stp>LTT</stp>
        <tr r="I1681" s="1"/>
      </tp>
      <tp t="s">
        <v>00:00:00</v>
        <stp/>
        <stp>bse_cm|10SFL27</stp>
        <stp>LTT</stp>
        <tr r="I863" s="1"/>
      </tp>
      <tp t="s">
        <v>00:00:00</v>
        <stp/>
        <stp>bse_cm|10VCL25</stp>
        <stp>LTT</stp>
        <tr r="I1646" s="1"/>
      </tp>
      <tp>
        <v>0</v>
        <stp/>
        <stp>bse_cm|10SFL25</stp>
        <stp>LTP</stp>
        <tr r="H1681" s="1"/>
      </tp>
      <tp>
        <v>0</v>
        <stp/>
        <stp>bse_cm|10SFL27</stp>
        <stp>LTP</stp>
        <tr r="H863" s="1"/>
      </tp>
      <tp>
        <v>0</v>
        <stp/>
        <stp>bse_cm|10KFL28</stp>
        <stp>LTP</stp>
        <tr r="H674" s="1"/>
      </tp>
      <tp t="s">
        <v>00:00:00</v>
        <stp/>
        <stp>bse_cm|10KFL28</stp>
        <stp>LTT</stp>
        <tr r="I674" s="1"/>
      </tp>
      <tp t="s">
        <v>INE121A07RN0</v>
        <stp/>
        <stp>bse_cm|CIFCZC28</stp>
        <stp>Isin code</stp>
        <tr r="R736" s="1"/>
      </tp>
      <tp>
        <v>0</v>
        <stp/>
        <stp>bse_cm|10NFL25</stp>
        <stp>LTP</stp>
        <tr r="H1568" s="1"/>
      </tp>
      <tp t="s">
        <v>00:00:00</v>
        <stp/>
        <stp>bse_cm|10KFL25</stp>
        <stp>LTT</stp>
        <tr r="I1093" s="1"/>
      </tp>
      <tp t="s">
        <v>00:00:00</v>
        <stp/>
        <stp>bse_cm|10KFL27</stp>
        <stp>LTT</stp>
        <tr r="I675" s="1"/>
      </tp>
      <tp>
        <v>0</v>
        <stp/>
        <stp>bse_cm|10MFL25</stp>
        <stp>LTP</stp>
        <tr r="H577" s="1"/>
      </tp>
      <tp t="s">
        <v>00:00:00</v>
        <stp/>
        <stp>bse_cm|10NFL25</stp>
        <stp>LTT</stp>
        <tr r="I1568" s="1"/>
      </tp>
      <tp>
        <v>0</v>
        <stp/>
        <stp>bse_cm|10KFL25</stp>
        <stp>LTP</stp>
        <tr r="H1093" s="1"/>
      </tp>
      <tp>
        <v>0</v>
        <stp/>
        <stp>bse_cm|10KFL27</stp>
        <stp>LTP</stp>
        <tr r="H675" s="1"/>
      </tp>
      <tp t="s">
        <v>00:00:00</v>
        <stp/>
        <stp>bse_cm|10MFL25</stp>
        <stp>LTT</stp>
        <tr r="I577" s="1"/>
      </tp>
      <tp>
        <v>0</v>
        <stp/>
        <stp>bse_cm|RFLNIFT25</stp>
        <stp>Volume Traded Today</stp>
        <tr r="L1242" s="1"/>
      </tp>
      <tp>
        <v>1029.8</v>
        <stp/>
        <stp>bse_cm|875IIFL26A</stp>
        <stp>High</stp>
        <tr r="N232" s="1"/>
      </tp>
      <tp>
        <v>0</v>
        <stp/>
        <stp>bse_cm|11UCL26</stp>
        <stp>LTP</stp>
        <tr r="H323" s="1"/>
      </tp>
      <tp>
        <v>0</v>
        <stp/>
        <stp>bse_cm|10SCL31</stp>
        <stp>LTP</stp>
        <tr r="H1085" s="1"/>
      </tp>
      <tp t="s">
        <v>00:00:00</v>
        <stp/>
        <stp>bse_cm|11UCL26</stp>
        <stp>LTT</stp>
        <tr r="I323" s="1"/>
      </tp>
      <tp t="s">
        <v>00:00:00</v>
        <stp/>
        <stp>bse_cm|10SCL31</stp>
        <stp>LTT</stp>
        <tr r="I1085" s="1"/>
      </tp>
      <tp t="s">
        <v>00:00:00</v>
        <stp/>
        <stp>bse_cm|11MML28</stp>
        <stp>LTT</stp>
        <tr r="I1131" s="1"/>
      </tp>
      <tp t="s">
        <v>00:00:00</v>
        <stp/>
        <stp>bse_cm|11CCL26</stp>
        <stp>LTT</stp>
        <tr r="I1219" s="1"/>
      </tp>
      <tp>
        <v>0</v>
        <stp/>
        <stp>bse_cm|11MML28</stp>
        <stp>LTP</stp>
        <tr r="H1131" s="1"/>
      </tp>
      <tp>
        <v>0</v>
        <stp/>
        <stp>bse_cm|11CCL26</stp>
        <stp>LTP</stp>
        <tr r="H1219" s="1"/>
      </tp>
      <tp t="s">
        <v>00:00:00</v>
        <stp/>
        <stp>bse_cm|11IML26</stp>
        <stp>LTT</stp>
        <tr r="I1132" s="1"/>
      </tp>
      <tp t="s">
        <v>00:00:00</v>
        <stp/>
        <stp>bse_cm|11IML27</stp>
        <stp>LTT</stp>
        <tr r="I177" s="1"/>
      </tp>
      <tp t="s">
        <v>00:00:00</v>
        <stp/>
        <stp>bse_cm|11IFL25</stp>
        <stp>LTT</stp>
        <tr r="I1421" s="1"/>
      </tp>
      <tp>
        <v>0</v>
        <stp/>
        <stp>bse_cm|11IML26</stp>
        <stp>LTP</stp>
        <tr r="H1132" s="1"/>
      </tp>
      <tp>
        <v>0</v>
        <stp/>
        <stp>bse_cm|11IML27</stp>
        <stp>LTP</stp>
        <tr r="H177" s="1"/>
      </tp>
      <tp>
        <v>0</v>
        <stp/>
        <stp>bse_cm|11IFL25</stp>
        <stp>LTP</stp>
        <tr r="H1421" s="1"/>
      </tp>
      <tp t="s">
        <v>00:00:00</v>
        <stp/>
        <stp>bse_cm|12IML26</stp>
        <stp>LTT</stp>
        <tr r="I1494" s="1"/>
      </tp>
      <tp t="s">
        <v>00:00:00</v>
        <stp/>
        <stp>bse_cm|12IFL27</stp>
        <stp>LTT</stp>
        <tr r="I258" s="1"/>
      </tp>
      <tp>
        <v>0</v>
        <stp/>
        <stp>bse_cm|12IML26</stp>
        <stp>LTP</stp>
        <tr r="H1494" s="1"/>
      </tp>
      <tp>
        <v>0</v>
        <stp/>
        <stp>bse_cm|12IFL27</stp>
        <stp>LTP</stp>
        <tr r="H258" s="1"/>
      </tp>
      <tp>
        <v>-100</v>
        <stp/>
        <stp>bse_cm|NIDO28</stp>
        <stp>% Change</stp>
        <tr r="J1243" s="1"/>
      </tp>
      <tp>
        <v>10</v>
        <stp/>
        <stp>nse_cm|IIFLZC26-NN</stp>
        <stp>Bid Qty</stp>
        <tr r="D1696" s="1"/>
      </tp>
      <tp>
        <v>5</v>
        <stp/>
        <stp>nse_cm|IIFLZC28-NG</stp>
        <stp>Bid Qty</stp>
        <tr r="D1659" s="1"/>
      </tp>
      <tp>
        <v>10</v>
        <stp/>
        <stp>nse_cm|IIFLZC25-ND</stp>
        <stp>Bid Qty</stp>
        <tr r="D1742" s="1"/>
      </tp>
      <tp>
        <v>1010</v>
        <stp/>
        <stp>bse_cm|AEL120924A</stp>
        <stp>High</stp>
        <tr r="N1524" s="1"/>
      </tp>
      <tp>
        <v>979.99</v>
        <stp/>
        <stp>bse_cm|1045EFS33B</stp>
        <stp>High</stp>
        <tr r="N117" s="1"/>
      </tp>
      <tp>
        <v>1000</v>
        <stp/>
        <stp>bse_cm|AEL120924B</stp>
        <stp>High</stp>
        <tr r="N1641" s="1"/>
      </tp>
      <tp t="s">
        <v>SCLZC26C</v>
        <stp/>
        <stp>nse_cm|SCLZC26C-NB</stp>
        <stp>Symbol</stp>
        <tr r="A1537" s="1"/>
      </tp>
      <tp t="s">
        <v>SCLZC25C</v>
        <stp/>
        <stp>nse_cm|SCLZC25C-NI</stp>
        <stp>Symbol</stp>
        <tr r="A908" s="1"/>
      </tp>
      <tp>
        <v>963.01</v>
        <stp/>
        <stp>bse_cm|1045EFS33A</stp>
        <stp>High</stp>
        <tr r="N95" s="1"/>
      </tp>
      <tp>
        <v>1008.4</v>
        <stp/>
        <stp>nse_cm|9PCHFL31A-NA</stp>
        <stp xml:space="preserve">Low </stp>
        <tr r="O435" s="1"/>
      </tp>
      <tp>
        <v>1110</v>
        <stp/>
        <stp>nse_cm|769NHAI31-NE</stp>
        <stp xml:space="preserve">Low </stp>
        <tr r="O461" s="1"/>
      </tp>
      <tp>
        <v>1269.9000000000001</v>
        <stp/>
        <stp>nse_cm|863IRFC29-NC</stp>
        <stp xml:space="preserve">Low </stp>
        <tr r="O554" s="1"/>
      </tp>
      <tp>
        <v>1000</v>
        <stp/>
        <stp>bse_cm|93EFSL31A</stp>
        <stp>Face Value</stp>
        <tr r="Q85" s="1"/>
      </tp>
      <tp>
        <v>992.4</v>
        <stp/>
        <stp>bse_cm|KFLZC29</stp>
        <stp>Bid Rate</stp>
        <tr r="E1639" s="1"/>
      </tp>
      <tp>
        <v>1115.2</v>
        <stp/>
        <stp>bse_cm|KFLZC28</stp>
        <stp>Bid Rate</stp>
        <tr r="E1290" s="1"/>
      </tp>
      <tp>
        <v>-100</v>
        <stp/>
        <stp>bse_cm|NWIL25</stp>
        <stp>% Change</stp>
        <tr r="J1546" s="1"/>
      </tp>
      <tp>
        <v>949.96</v>
        <stp/>
        <stp>bse_cm|967EFSL28D</stp>
        <stp>High</stp>
        <tr r="N168" s="1"/>
      </tp>
      <tp>
        <v>975.2</v>
        <stp/>
        <stp>bse_cm|KFLZC27</stp>
        <stp>Bid Rate</stp>
        <tr r="E1292" s="1"/>
      </tp>
      <tp>
        <v>1074.02</v>
        <stp/>
        <stp>bse_cm|MFLZC27</stp>
        <stp>Bid Rate</stp>
        <tr r="E1271" s="1"/>
      </tp>
      <tp>
        <v>931.2</v>
        <stp/>
        <stp>bse_cm|MFLII27</stp>
        <stp>Bid Rate</stp>
        <tr r="E648" s="1"/>
      </tp>
      <tp>
        <v>1009</v>
        <stp/>
        <stp>nse_cm|9PCHFL31A-NA</stp>
        <stp>ATP</stp>
        <tr r="K435" s="1"/>
      </tp>
      <tp>
        <v>1000</v>
        <stp/>
        <stp>bse_cm|895NHFL25</stp>
        <stp>Face Value</stp>
        <tr r="Q54" s="1"/>
      </tp>
      <tp>
        <v>1270</v>
        <stp/>
        <stp>bse_cm|MFLVI26</stp>
        <stp>Bid Rate</stp>
        <tr r="E1719" s="1"/>
      </tp>
      <tp>
        <v>1240.2</v>
        <stp/>
        <stp>bse_cm|KFLZC26</stp>
        <stp>Bid Rate</stp>
        <tr r="E1709" s="1"/>
      </tp>
      <tp>
        <v>1675.1</v>
        <stp/>
        <stp>bse_cm|MFLZC26</stp>
        <stp>Bid Rate</stp>
        <tr r="E1720" s="1"/>
      </tp>
      <tp>
        <v>1075.2</v>
        <stp/>
        <stp>bse_cm|SFLZC26</stp>
        <stp>Bid Rate</stp>
        <tr r="E801" s="1"/>
      </tp>
      <tp>
        <v>963.2</v>
        <stp/>
        <stp>bse_cm|MFLII26</stp>
        <stp>Bid Rate</stp>
        <tr r="E390" s="1"/>
      </tp>
      <tp>
        <v>1017.8</v>
        <stp/>
        <stp>bse_cm|MFLIV26</stp>
        <stp>Bid Rate</stp>
        <tr r="E1500" s="1"/>
      </tp>
      <tp>
        <v>998</v>
        <stp/>
        <stp>nse_cm|925SFCL25-AC</stp>
        <stp>High</stp>
        <tr r="N604" s="1"/>
      </tp>
      <tp>
        <v>-100</v>
        <stp/>
        <stp>bse_cm|NWIL27</stp>
        <stp>% Change</stp>
        <tr r="J1439" s="1"/>
      </tp>
      <tp>
        <v>1132.2</v>
        <stp/>
        <stp>bse_cm|MFLVI25</stp>
        <stp>Bid Rate</stp>
        <tr r="E1707" s="1"/>
      </tp>
      <tp>
        <v>1705.21</v>
        <stp/>
        <stp>bse_cm|KFLZC25</stp>
        <stp>Bid Rate</stp>
        <tr r="E1754" s="1"/>
      </tp>
      <tp>
        <v>1093.2</v>
        <stp/>
        <stp>bse_cm|MFLZC25</stp>
        <stp>Bid Rate</stp>
        <tr r="E1683" s="1"/>
      </tp>
      <tp>
        <v>1162.8</v>
        <stp/>
        <stp>bse_cm|SFLZC25</stp>
        <stp>Bid Rate</stp>
        <tr r="E802" s="1"/>
      </tp>
      <tp>
        <v>1041</v>
        <stp/>
        <stp>bse_cm|MFLIV25</stp>
        <stp>Bid Rate</stp>
        <tr r="E280" s="1"/>
      </tp>
      <tp>
        <v>1033.8</v>
        <stp/>
        <stp>nse_cm|965SCFL25-AB</stp>
        <stp>High</stp>
        <tr r="N664" s="1"/>
      </tp>
      <tp>
        <v>1820.81</v>
        <stp/>
        <stp>bse_cm|KFLZC24</stp>
        <stp>Bid Rate</stp>
        <tr r="E1766" s="1"/>
      </tp>
      <tp t="e">
        <v>#N/A</v>
        <stp/>
        <stp>bse_cm|SFLZC24</stp>
        <stp>Bid Rate</stp>
        <tr r="E30" s="1"/>
      </tp>
      <tp>
        <v>1000</v>
        <stp/>
        <stp>bse_cm|990SCFL26</stp>
        <stp>Face Value</stp>
        <tr r="Q1676" s="1"/>
      </tp>
      <tp>
        <v>0</v>
        <stp/>
        <stp>nse_cm|925SCFL25-AD</stp>
        <stp>High</stp>
        <tr r="N773" s="1"/>
      </tp>
      <tp>
        <v>1000</v>
        <stp/>
        <stp>bse_cm|967EFSL28A</stp>
        <stp>High</stp>
        <tr r="N172" s="1"/>
      </tp>
      <tp>
        <v>0.08</v>
        <stp/>
        <stp>nse_cm|865LTF26-NN</stp>
        <stp>% Change</stp>
        <tr r="J392" s="1"/>
      </tp>
      <tp t="s">
        <v>INE414G07HL1</v>
        <stp/>
        <stp>bse_cm|775MFL26</stp>
        <stp>Isin code</stp>
        <tr r="R328" s="1"/>
      </tp>
      <tp>
        <v>1115.71</v>
        <stp/>
        <stp>nse_cm|1030ICC26-NJ</stp>
        <stp xml:space="preserve">Low </stp>
        <tr r="O1514" s="1"/>
      </tp>
      <tp t="s">
        <v>INE033L07GU2</v>
        <stp/>
        <stp>bse_cm|84TCHF28</stp>
        <stp>Isin code</stp>
        <tr r="R403" s="1"/>
      </tp>
      <tp t="s">
        <v>INE033L07GS6</v>
        <stp/>
        <stp>bse_cm|81TCHF28</stp>
        <stp>Isin code</stp>
        <tr r="R479" s="1"/>
      </tp>
      <tp t="s">
        <v>INE033L07GT4</v>
        <stp/>
        <stp>bse_cm|83TCHF28</stp>
        <stp>Isin code</stp>
        <tr r="R832" s="1"/>
      </tp>
      <tp>
        <v>1180</v>
        <stp/>
        <stp>nse_cm|873NTPC28-N5</stp>
        <stp xml:space="preserve">Low </stp>
        <tr r="O541" s="1"/>
      </tp>
      <tp>
        <v>1000</v>
        <stp/>
        <stp>bse_cm|931SFL26A</stp>
        <stp>Face Value</stp>
        <tr r="Q1086" s="1"/>
      </tp>
      <tp>
        <v>-0.08</v>
        <stp/>
        <stp>nse_cm|99IFCI24-NH</stp>
        <stp>% Change</stp>
        <tr r="J39" s="1"/>
      </tp>
      <tp>
        <v>30</v>
        <stp/>
        <stp>nse_cm|SCLZC26B-AY</stp>
        <stp>Ask Qty</stp>
        <tr r="G1658" s="1"/>
      </tp>
      <tp>
        <v>0</v>
        <stp/>
        <stp>nse_cm|SCLZC25A-AS</stp>
        <stp>Ask Qty</stp>
        <tr r="G1232" s="1"/>
      </tp>
      <tp>
        <v>0</v>
        <stp/>
        <stp>nse_cm|SCLZC25B-AT</stp>
        <stp>Ask Qty</stp>
        <tr r="G1541" s="1"/>
      </tp>
      <tp>
        <v>1098.2</v>
        <stp/>
        <stp>bse_cm|CAGL25A</stp>
        <stp>Bid Rate</stp>
        <tr r="E1701" s="1"/>
      </tp>
      <tp t="s">
        <v>INE248U07FI4</v>
        <stp/>
        <stp>bse_cm|944ONE34</stp>
        <stp>Isin code</stp>
        <tr r="R269" s="1"/>
      </tp>
      <tp t="s">
        <v>INE248U07FM6</v>
        <stp/>
        <stp>bse_cm|985ONE34</stp>
        <stp>Isin code</stp>
        <tr r="R1101" s="1"/>
      </tp>
      <tp>
        <v>1000</v>
        <stp/>
        <stp>bse_cm|835SCL23A</stp>
        <stp>Face Value</stp>
        <tr r="Q1104" s="1"/>
      </tp>
      <tp>
        <v>1000</v>
        <stp/>
        <stp>bse_cm|835SCL23B</stp>
        <stp>Face Value</stp>
        <tr r="Q167" s="1"/>
      </tp>
      <tp>
        <v>0</v>
        <stp/>
        <stp>nse_cm|SCLZC26E-NP</stp>
        <stp>Ask Qty</stp>
        <tr r="G899" s="1"/>
      </tp>
      <tp>
        <v>0</v>
        <stp/>
        <stp>nse_cm|SCLZC25C-NI</stp>
        <stp>Ask Qty</stp>
        <tr r="G908" s="1"/>
      </tp>
      <tp>
        <v>10</v>
        <stp/>
        <stp>nse_cm|SCLZC25D-NJ</stp>
        <stp>Ask Qty</stp>
        <tr r="G1699" s="1"/>
      </tp>
      <tp>
        <v>0</v>
        <stp/>
        <stp>nse_cm|SCLZC26D-NO</stp>
        <stp>Ask Qty</stp>
        <tr r="G901" s="1"/>
      </tp>
      <tp>
        <v>0</v>
        <stp/>
        <stp>nse_cm|SCLZC26C-NB</stp>
        <stp>Ask Qty</stp>
        <tr r="G1537" s="1"/>
      </tp>
      <tp>
        <v>0</v>
        <stp/>
        <stp>nse_cm|SCLZC26A-NF</stp>
        <stp>Ask Qty</stp>
        <tr r="G993" s="1"/>
      </tp>
      <tp t="s">
        <v>INE244L07184</v>
        <stp/>
        <stp>bse_cm|92ICCL28</stp>
        <stp>Isin code</stp>
        <tr r="R202" s="1"/>
      </tp>
      <tp>
        <v>815.2</v>
        <stp/>
        <stp>nse_cm|971SCL29A-ZN</stp>
        <stp>Bid Rate</stp>
        <tr r="E861" s="1"/>
      </tp>
      <tp>
        <v>0</v>
        <stp/>
        <stp>nse_cm|990SCL26D-AH</stp>
        <stp>Ask Rate</stp>
        <tr r="F1556" s="1"/>
      </tp>
      <tp t="s">
        <v>INE342T07411</v>
        <stp/>
        <stp>bse_cm|975NFL25</stp>
        <stp>Isin code</stp>
        <tr r="R623" s="1"/>
      </tp>
      <tp t="s">
        <v>INE549K07DD2</v>
        <stp/>
        <stp>bse_cm|925MFL26</stp>
        <stp>Isin code</stp>
        <tr r="R230" s="1"/>
      </tp>
      <tp t="s">
        <v>INE549K07CV6</v>
        <stp/>
        <stp>bse_cm|927MFL26</stp>
        <stp>Isin code</stp>
        <tr r="R1457" s="1"/>
      </tp>
      <tp t="s">
        <v>INE549K07AU2</v>
        <stp/>
        <stp>bse_cm|910MFL26</stp>
        <stp>Isin code</stp>
        <tr r="R277" s="1"/>
      </tp>
      <tp>
        <v>0</v>
        <stp/>
        <stp>nse_cm|1075SCL34-ZR</stp>
        <stp>Open</stp>
        <tr r="M1366" s="1"/>
      </tp>
      <tp>
        <v>1390.21</v>
        <stp/>
        <stp>bse_cm|KFLZC2A</stp>
        <stp>Bid Rate</stp>
        <tr r="E1760" s="1"/>
      </tp>
      <tp t="s">
        <v>INE549K07DL5</v>
        <stp/>
        <stp>bse_cm|890MFL26</stp>
        <stp>Isin code</stp>
        <tr r="R1478" s="1"/>
      </tp>
      <tp t="s">
        <v>INE549K07949</v>
        <stp/>
        <stp>bse_cm|875MFL26</stp>
        <stp>Isin code</stp>
        <tr r="R161" s="1"/>
      </tp>
      <tp t="s">
        <v>INE549K07BT2</v>
        <stp/>
        <stp>bse_cm|825MFL26</stp>
        <stp>Isin code</stp>
        <tr r="R418" s="1"/>
      </tp>
      <tp t="s">
        <v>INE549K07BN5</v>
        <stp/>
        <stp>bse_cm|835MFL26</stp>
        <stp>Isin code</stp>
        <tr r="R169" s="1"/>
      </tp>
      <tp>
        <v>0</v>
        <stp/>
        <stp>nse_cm|920SCL23A-AO</stp>
        <stp>Ask Rate</stp>
        <tr r="F1113" s="1"/>
      </tp>
      <tp>
        <v>839.45</v>
        <stp/>
        <stp>bse_cm|0MML29A</stp>
        <stp>Bid Rate</stp>
        <tr r="E1040" s="1"/>
      </tp>
      <tp t="s">
        <v>BSE</v>
        <stp/>
        <stp>bse_cm|0SFL29A</stp>
        <stp>Exchange</stp>
        <tr r="C1033" s="1"/>
      </tp>
      <tp>
        <v>0</v>
        <stp/>
        <stp>nse_cm|950SCL23A-AP</stp>
        <stp>Ask Rate</stp>
        <tr r="F1145" s="1"/>
      </tp>
      <tp>
        <v>998.84</v>
        <stp/>
        <stp>bse_cm|1049DLSL25</stp>
        <stp>High</stp>
        <tr r="N84" s="1"/>
      </tp>
      <tp>
        <v>0</v>
        <stp/>
        <stp>nse_cm|940SCL26C-AU</stp>
        <stp>Ask Rate</stp>
        <tr r="F793" s="1"/>
      </tp>
      <tp>
        <v>975</v>
        <stp/>
        <stp>bse_cm|925KLMAF25</stp>
        <stp>High</stp>
        <tr r="N612" s="1"/>
      </tp>
      <tp>
        <v>0</v>
        <stp/>
        <stp>nse_cm|990SCL26I-AV</stp>
        <stp>Ask Rate</stp>
        <tr r="F1368" s="1"/>
      </tp>
      <tp>
        <v>0</v>
        <stp/>
        <stp>bse_cm|12CCI29</stp>
        <stp>Volume Traded Today</stp>
        <tr r="L91" s="1"/>
      </tp>
      <tp>
        <v>975</v>
        <stp/>
        <stp>bse_cm|950KLMAF25</stp>
        <stp>High</stp>
        <tr r="N1149" s="1"/>
      </tp>
      <tp>
        <v>0</v>
        <stp/>
        <stp>bse_cm|975KLMAF26</stp>
        <stp>High</stp>
        <tr r="N857" s="1"/>
      </tp>
      <tp>
        <v>0</v>
        <stp/>
        <stp>bse_cm|11CCI26</stp>
        <stp>Volume Traded Today</stp>
        <tr r="L1220" s="1"/>
      </tp>
      <tp>
        <v>1002.1</v>
        <stp/>
        <stp>bse_cm|800MMFSL27</stp>
        <stp>High</stp>
        <tr r="N436" s="1"/>
      </tp>
      <tp>
        <v>995</v>
        <stp/>
        <stp>bse_cm|1049EFSL34</stp>
        <stp>High</stp>
        <tr r="N1584" s="1"/>
      </tp>
      <tp>
        <v>940</v>
        <stp/>
        <stp>bse_cm|1045EFSL34</stp>
        <stp>High</stp>
        <tr r="N1413" s="1"/>
      </tp>
      <tp>
        <v>981</v>
        <stp/>
        <stp>bse_cm|820JMFPL26</stp>
        <stp>High</stp>
        <tr r="N349" s="1"/>
      </tp>
      <tp>
        <v>0</v>
        <stp/>
        <stp>nse_cm|SFLZC25A-ZK</stp>
        <stp>Ask Qty</stp>
        <tr r="G1582" s="1"/>
      </tp>
      <tp>
        <v>22</v>
        <stp/>
        <stp>nse_cm|SFLZC26A-ZC</stp>
        <stp>Ask Qty</stp>
        <tr r="G1716" s="1"/>
      </tp>
      <tp t="s">
        <v>INE027E07AL1</v>
        <stp/>
        <stp>bse_cm|905LTF27</stp>
        <stp>Isin code</stp>
        <tr r="R394" s="1"/>
      </tp>
      <tp>
        <v>1001.1</v>
        <stp/>
        <stp>bse_cm|1045EFSL33</stp>
        <stp>High</stp>
        <tr r="N1382" s="1"/>
      </tp>
      <tp>
        <v>0</v>
        <stp/>
        <stp>bse_cm|853MMFSL26</stp>
        <stp>High</stp>
        <tr r="N1005" s="1"/>
      </tp>
      <tp t="s">
        <v>INE027E07AM9</v>
        <stp/>
        <stp>bse_cm|852LTF27</stp>
        <stp>Isin code</stp>
        <tr r="R983" s="1"/>
      </tp>
      <tp>
        <v>0</v>
        <stp/>
        <stp>nse_cm|SCLZC26F-Y9</stp>
        <stp>Ask Qty</stp>
        <tr r="G800" s="1"/>
      </tp>
      <tp t="s">
        <v>INE027E07AK3</v>
        <stp/>
        <stp>bse_cm|885LTF27</stp>
        <stp>Isin code</stp>
        <tr r="R1008" s="1"/>
      </tp>
      <tp>
        <v>0</v>
        <stp/>
        <stp>nse_cm|SCLZC25E-Y4</stp>
        <stp>Ask Qty</stp>
        <tr r="G787" s="1"/>
      </tp>
      <tp>
        <v>0</v>
        <stp/>
        <stp>nse_cm|SCLZC25F-Y5</stp>
        <stp>Ask Qty</stp>
        <tr r="G1512" s="1"/>
      </tp>
      <tp>
        <v>-100</v>
        <stp/>
        <stp>bse_cm|MFL31A</stp>
        <stp>% Change</stp>
        <tr r="J1275" s="1"/>
      </tp>
      <tp>
        <v>-100</v>
        <stp/>
        <stp>bse_cm|KFL27A</stp>
        <stp>% Change</stp>
        <tr r="J1302" s="1"/>
      </tp>
      <tp>
        <v>893.01</v>
        <stp/>
        <stp>bse_cm|1010EFSL32</stp>
        <stp>High</stp>
        <tr r="N631" s="1"/>
      </tp>
      <tp>
        <v>0</v>
        <stp/>
        <stp>nse_cm|SCLZC26G-YA</stp>
        <stp>Ask Qty</stp>
        <tr r="G815" s="1"/>
      </tp>
      <tp>
        <v>-100</v>
        <stp/>
        <stp>bse_cm|KFL27B</stp>
        <stp>% Change</stp>
        <tr r="J1301" s="1"/>
      </tp>
      <tp>
        <v>1029.7</v>
        <stp/>
        <stp>bse_cm|872MMFSL26</stp>
        <stp>High</stp>
        <tr r="N406" s="1"/>
      </tp>
      <tp>
        <v>-100</v>
        <stp/>
        <stp>bse_cm|KFL27C</stp>
        <stp>% Change</stp>
        <tr r="J1300" s="1"/>
      </tp>
      <tp>
        <v>0</v>
        <stp/>
        <stp>nse_cm|1003SCL30-BW</stp>
        <stp xml:space="preserve">Low </stp>
        <tr r="O876" s="1"/>
      </tp>
      <tp>
        <v>1060.2</v>
        <stp/>
        <stp>bse_cm|CIFCZC26A</stp>
        <stp>Bid Rate</stp>
        <tr r="E737" s="1"/>
      </tp>
      <tp>
        <v>-100</v>
        <stp/>
        <stp>bse_cm|MML30</stp>
        <stp>% Change</stp>
        <tr r="J1525" s="1"/>
      </tp>
      <tp>
        <v>-100</v>
        <stp/>
        <stp>bse_cm|MFL30</stp>
        <stp>% Change</stp>
        <tr r="J1460" s="1"/>
      </tp>
      <tp>
        <v>-100</v>
        <stp/>
        <stp>bse_cm|MFL31</stp>
        <stp>% Change</stp>
        <tr r="J701" s="1"/>
      </tp>
      <tp>
        <v>-100</v>
        <stp/>
        <stp>bse_cm|KFL30</stp>
        <stp>% Change</stp>
        <tr r="J1298" s="1"/>
      </tp>
      <tp>
        <v>1000</v>
        <stp/>
        <stp>nse_cm|85CIFC27-NL</stp>
        <stp>Face Value</stp>
        <tr r="Q973" s="1"/>
      </tp>
      <tp>
        <v>-100</v>
        <stp/>
        <stp>bse_cm|KFL31</stp>
        <stp>% Change</stp>
        <tr r="J1297" s="1"/>
      </tp>
      <tp>
        <v>0</v>
        <stp/>
        <stp>nse_cm|CIFC26-NK</stp>
        <stp>Open</stp>
        <tr r="M741" s="1"/>
      </tp>
      <tp>
        <v>-100</v>
        <stp/>
        <stp>bse_cm|SFL30</stp>
        <stp>% Change</stp>
        <tr r="J1597" s="1"/>
      </tp>
      <tp>
        <v>0</v>
        <stp/>
        <stp>nse_cm|CIFC28-NB</stp>
        <stp>Open</stp>
        <tr r="M1618" s="1"/>
      </tp>
      <tp t="s">
        <v>SCL310524A</v>
        <stp/>
        <stp>bse_cm|SCL310524A</stp>
        <stp>Trading Symbol</stp>
        <tr r="B918" s="1"/>
      </tp>
      <tp>
        <v>1062.57</v>
        <stp/>
        <stp>bse_cm|ICLFLZC29</stp>
        <stp>Bid Rate</stp>
        <tr r="E1613" s="1"/>
      </tp>
      <tp>
        <v>0</v>
        <stp/>
        <stp>nse_cm|1050IIFL29-ND</stp>
        <stp>% Change</stp>
        <tr r="J585" s="1"/>
      </tp>
      <tp>
        <v>834.2</v>
        <stp/>
        <stp>bse_cm|975MFL29A</stp>
        <stp>Bid Rate</stp>
        <tr r="E854" s="1"/>
      </tp>
      <tp t="s">
        <v>984ICCL26A</v>
        <stp/>
        <stp>bse_cm|984ICCL26A</stp>
        <stp>Trading Symbol</stp>
        <tr r="B883" s="1"/>
      </tp>
      <tp t="s">
        <v>965IFSL26</v>
        <stp/>
        <stp>nse_cm|965IFSL26-N6</stp>
        <stp>Symbol</stp>
        <tr r="A1346" s="1"/>
      </tp>
      <tp t="s">
        <v>86LTF24-NJ</v>
        <stp/>
        <stp>nse_cm|86LTF24-NJ</stp>
        <stp>Trading Symbol</stp>
        <tr r="B7" s="1"/>
      </tp>
      <tp t="s">
        <v>INE244L07473</v>
        <stp/>
        <stp>nse_cm|ICCL25-NS</stp>
        <stp>Isin code</stp>
        <tr r="R1401" s="1"/>
      </tp>
      <tp>
        <v>0</v>
        <stp/>
        <stp>nse_cm|1030ICCL28-NM</stp>
        <stp>% Change</stp>
        <tr r="J1596" s="1"/>
      </tp>
      <tp>
        <v>27</v>
        <stp/>
        <stp>nse_cm|9TCAP28-N9</stp>
        <stp>Ask Qty</stp>
        <tr r="G544" s="1"/>
      </tp>
      <tp>
        <v>1000</v>
        <stp/>
        <stp>nse_cm|9SCL25-YM</stp>
        <stp>High</stp>
        <tr r="N97" s="1"/>
      </tp>
      <tp t="s">
        <v>1050KLMA28</v>
        <stp/>
        <stp>bse_cm|1050KLMA28</stp>
        <stp>Trading Symbol</stp>
        <tr r="B611" s="1"/>
      </tp>
      <tp>
        <v>0</v>
        <stp/>
        <stp>nse_cm|1050ICCL28-NV</stp>
        <stp>% Change</stp>
        <tr r="J764" s="1"/>
      </tp>
      <tp t="s">
        <v>843IHFL29</v>
        <stp/>
        <stp>nse_cm|843IHFL29-NC</stp>
        <stp>Symbol</stp>
        <tr r="A123" s="1"/>
      </tp>
      <tp t="s">
        <v>BSE</v>
        <stp/>
        <stp>bse_cm|971SCL29A</stp>
        <stp>Exchange</stp>
        <tr r="C862" s="1"/>
      </tp>
      <tp t="s">
        <v>BSE</v>
        <stp/>
        <stp>bse_cm|925SCL29A</stp>
        <stp>Exchange</stp>
        <tr r="C268" s="1"/>
      </tp>
      <tp t="s">
        <v>875IHFL29</v>
        <stp/>
        <stp>nse_cm|875IHFL29-ND</stp>
        <stp>Symbol</stp>
        <tr r="A77" s="1"/>
      </tp>
      <tp t="s">
        <v>865IIFL28</v>
        <stp/>
        <stp>nse_cm|865IIFL28-NS</stp>
        <stp>Symbol</stp>
        <tr r="A74" s="1"/>
      </tp>
      <tp t="s">
        <v>736PFCL28</v>
        <stp/>
        <stp>nse_cm|736PFCL28-N2</stp>
        <stp>Symbol</stp>
        <tr r="A11" s="1"/>
      </tp>
      <tp t="s">
        <v>830PFCL27</v>
        <stp/>
        <stp>nse_cm|830PFCL27-N5</stp>
        <stp>Symbol</stp>
        <tr r="A400" s="1"/>
      </tp>
      <tp t="s">
        <v>82IGT31-NJ</v>
        <stp/>
        <stp>nse_cm|82IGT31-NJ</stp>
        <stp>Trading Symbol</stp>
        <tr r="B375" s="1"/>
      </tp>
      <tp t="s">
        <v>1102NFL26</v>
        <stp/>
        <stp>nse_cm|1102NFL26-N8</stp>
        <stp>Symbol</stp>
        <tr r="A587" s="1"/>
      </tp>
      <tp t="s">
        <v>1040NFL26</v>
        <stp/>
        <stp>nse_cm|1040NFL26-NA</stp>
        <stp>Symbol</stp>
        <tr r="A678" s="1"/>
      </tp>
      <tp t="s">
        <v>1050NFL26</v>
        <stp/>
        <stp>nse_cm|1050NFL26-N7</stp>
        <stp>Symbol</stp>
        <tr r="A259" s="1"/>
      </tp>
      <tp t="s">
        <v>875NHAI29</v>
        <stp/>
        <stp>nse_cm|875NHAI29-N6</stp>
        <stp>Symbol</stp>
        <tr r="A495" s="1"/>
      </tp>
      <tp t="s">
        <v>1090NFL26</v>
        <stp/>
        <stp>nse_cm|1090NFL26-NB</stp>
        <stp>Symbol</stp>
        <tr r="A636" s="1"/>
      </tp>
      <tp t="s">
        <v>99AEL29-N7</v>
        <stp/>
        <stp>nse_cm|99AEL29-N7</stp>
        <stp>Trading Symbol</stp>
        <tr r="B246" s="1"/>
      </tp>
      <tp t="s">
        <v>INE414G07HR8</v>
        <stp/>
        <stp>bse_cm|8MFL26</stp>
        <stp>Isin code</stp>
        <tr r="R654" s="1"/>
      </tp>
      <tp t="s">
        <v>850NHAI29</v>
        <stp/>
        <stp>nse_cm|850NHAI29-N5</stp>
        <stp>Symbol</stp>
        <tr r="A512" s="1"/>
      </tp>
      <tp t="s">
        <v>INE148I07SG8</v>
        <stp/>
        <stp>nse_cm|990SCL27-YT</stp>
        <stp>Isin code</stp>
        <tr r="R1024" s="1"/>
      </tp>
      <tp t="s">
        <v>INE148I07LS8</v>
        <stp/>
        <stp>nse_cm|875SCL27-YQ</stp>
        <stp>Isin code</stp>
        <tr r="R937" s="1"/>
      </tp>
      <tp>
        <v>1000</v>
        <stp/>
        <stp>nse_cm|0SCL26-YR</stp>
        <stp>High</stp>
        <tr r="N1622" s="1"/>
      </tp>
      <tp>
        <v>1030</v>
        <stp/>
        <stp>nse_cm|0SCL27-YW</stp>
        <stp>High</stp>
        <tr r="N1616" s="1"/>
      </tp>
      <tp>
        <v>1000</v>
        <stp/>
        <stp>bse_cm|DLSL25</stp>
        <stp>Face Value</stp>
        <tr r="Q1747" s="1"/>
      </tp>
      <tp>
        <v>1000</v>
        <stp/>
        <stp>bse_cm|EFSL28</stp>
        <stp>Face Value</stp>
        <tr r="Q1609" s="1"/>
      </tp>
      <tp>
        <v>1000</v>
        <stp/>
        <stp>bse_cm|EFSL29</stp>
        <stp>Face Value</stp>
        <tr r="Q659" s="1"/>
      </tp>
      <tp>
        <v>1000</v>
        <stp/>
        <stp>bse_cm|EFSL26</stp>
        <stp>Face Value</stp>
        <tr r="Q1687" s="1"/>
      </tp>
      <tp>
        <v>1000</v>
        <stp/>
        <stp>bse_cm|EFSL27</stp>
        <stp>Face Value</stp>
        <tr r="Q1531" s="1"/>
      </tp>
      <tp>
        <v>1000</v>
        <stp/>
        <stp>bse_cm|EFSL25</stp>
        <stp>Face Value</stp>
        <tr r="Q1694" s="1"/>
      </tp>
      <tp t="s">
        <v>INE01I507190</v>
        <stp/>
        <stp>bse_cm|KAFLZC26</stp>
        <stp>Isin code</stp>
        <tr r="R1316" s="1"/>
      </tp>
      <tp>
        <v>960</v>
        <stp/>
        <stp>nse_cm|925SCL26D-ZD</stp>
        <stp>Prev Close</stp>
        <tr r="P1448" s="1"/>
      </tp>
      <tp t="s">
        <v>INE530B07187</v>
        <stp/>
        <stp>bse_cm|IIFLZC26</stp>
        <stp>Isin code</stp>
        <tr r="R1236" s="1"/>
      </tp>
      <tp>
        <v>1000</v>
        <stp/>
        <stp>nse_cm|931SFL26A-NA</stp>
        <stp>Prev Close</stp>
        <tr r="P786" s="1"/>
      </tp>
      <tp>
        <v>875</v>
        <stp/>
        <stp>nse_cm|948SCL26D-AI</stp>
        <stp>Prev Close</stp>
        <tr r="P1690" s="1"/>
      </tp>
      <tp>
        <v>940.01</v>
        <stp/>
        <stp>nse_cm|96IIFL28A-NF</stp>
        <stp>Prev Close</stp>
        <tr r="P81" s="1"/>
      </tp>
      <tp t="s">
        <v>INE360T07082</v>
        <stp/>
        <stp>bse_cm|MHFLZC26</stp>
        <stp>Isin code</stp>
        <tr r="R1714" s="1"/>
      </tp>
      <tp t="s">
        <v>INE101Q07904</v>
        <stp/>
        <stp>bse_cm|MMFLZC26</stp>
        <stp>Isin code</stp>
        <tr r="R1261" s="1"/>
      </tp>
      <tp>
        <v>875</v>
        <stp/>
        <stp>nse_cm|888SCL25E-N4</stp>
        <stp>Prev Close</stp>
        <tr r="P1444" s="1"/>
      </tp>
      <tp>
        <v>930</v>
        <stp/>
        <stp>nse_cm|980SCL33D-YG</stp>
        <stp>Prev Close</stp>
        <tr r="P830" s="1"/>
      </tp>
      <tp t="s">
        <v>INE051307AD4</v>
        <stp/>
        <stp>bse_cm|CCILZC26</stp>
        <stp>Isin code</stp>
        <tr r="R748" s="1"/>
      </tp>
      <tp>
        <v>841.93</v>
        <stp/>
        <stp>nse_cm|990SCL26D-AH</stp>
        <stp>Prev Close</stp>
        <tr r="P1556" s="1"/>
      </tp>
      <tp t="s">
        <v>00:00:00</v>
        <stp/>
        <stp>bse_cm|12KLM25</stp>
        <stp>LTT</stp>
        <tr r="I1211" s="1"/>
      </tp>
      <tp>
        <v>0</v>
        <stp/>
        <stp>bse_cm|12KLM25</stp>
        <stp>LTP</stp>
        <tr r="H1211" s="1"/>
      </tp>
      <tp>
        <v>842.8</v>
        <stp/>
        <stp>bse_cm|CCI110324A</stp>
        <stp>High</stp>
        <tr r="N1590" s="1"/>
      </tp>
      <tp>
        <v>0</v>
        <stp/>
        <stp>bse_cm|CCIL14824B</stp>
        <stp>High</stp>
        <tr r="N752" s="1"/>
      </tp>
      <tp>
        <v>1110</v>
        <stp/>
        <stp>nse_cm|764IRFC31-NO</stp>
        <stp>High</stp>
        <tr r="N468" s="1"/>
      </tp>
      <tp>
        <v>0</v>
        <stp/>
        <stp>bse_cm|CCIL14824C</stp>
        <stp>High</stp>
        <tr r="N751" s="1"/>
      </tp>
      <tp>
        <v>0</v>
        <stp/>
        <stp>bse_cm|KAFL28A</stp>
        <stp>Volume Traded Today</stp>
        <tr r="L1319" s="1"/>
      </tp>
      <tp t="s">
        <v>SCLZC25B</v>
        <stp/>
        <stp>nse_cm|SCLZC25B-AT</stp>
        <stp>Symbol</stp>
        <tr r="A1541" s="1"/>
      </tp>
      <tp t="s">
        <v>SCLZC26B</v>
        <stp/>
        <stp>nse_cm|SCLZC26B-AY</stp>
        <stp>Symbol</stp>
        <tr r="A1658" s="1"/>
      </tp>
      <tp t="s">
        <v>00:00:00</v>
        <stp/>
        <stp>bse_cm|96ONE29</stp>
        <stp>LTT</stp>
        <tr r="I1621" s="1"/>
      </tp>
      <tp>
        <v>0</v>
        <stp/>
        <stp>bse_cm|96ONE29</stp>
        <stp>LTP</stp>
        <tr r="H1621" s="1"/>
      </tp>
      <tp t="s">
        <v>INE532F07BO9</v>
        <stp/>
        <stp>bse_cm|EFSLZC26</stp>
        <stp>Isin code</stp>
        <tr r="R1712" s="1"/>
      </tp>
      <tp>
        <v>950</v>
        <stp/>
        <stp>bse_cm|CCIL14824A</stp>
        <stp>High</stp>
        <tr r="N590" s="1"/>
      </tp>
      <tp>
        <v>1141.8399999999999</v>
        <stp/>
        <stp>bse_cm|ICCL25</stp>
        <stp>Prev Close</stp>
        <tr r="P1330" s="1"/>
      </tp>
      <tp>
        <v>995</v>
        <stp/>
        <stp>bse_cm|0SCL26</stp>
        <stp>Prev Close</stp>
        <tr r="P1359" s="1"/>
      </tp>
      <tp>
        <v>1000</v>
        <stp/>
        <stp>bse_cm|0SCL27</stp>
        <stp>Prev Close</stp>
        <tr r="P721" s="1"/>
      </tp>
      <tp>
        <v>980.15</v>
        <stp/>
        <stp>bse_cm|9SCL25</stp>
        <stp>Prev Close</stp>
        <tr r="P653" s="1"/>
      </tp>
      <tp>
        <v>990</v>
        <stp/>
        <stp>bse_cm|1049DLS25A</stp>
        <stp xml:space="preserve">Low </stp>
        <tr r="O119" s="1"/>
      </tp>
      <tp>
        <v>1000</v>
        <stp/>
        <stp>bse_cm|888ERFL28</stp>
        <stp>Face Value</stp>
        <tr r="Q216" s="1"/>
      </tp>
      <tp>
        <v>1000</v>
        <stp/>
        <stp>bse_cm|889SCFL27</stp>
        <stp>Face Value</stp>
        <tr r="Q484" s="1"/>
      </tp>
      <tp>
        <v>0</v>
        <stp/>
        <stp>bse_cm|MFOPTIV24</stp>
        <stp>Volume Traded Today</stp>
        <tr r="L380" s="1"/>
      </tp>
      <tp>
        <v>1000</v>
        <stp/>
        <stp>bse_cm|985KAFL26</stp>
        <stp>Face Value</stp>
        <tr r="Q1102" s="1"/>
      </tp>
      <tp>
        <v>1000</v>
        <stp/>
        <stp>bse_cm|985IIFL22</stp>
        <stp>Face Value</stp>
        <tr r="Q178" s="1"/>
      </tp>
      <tp>
        <v>0</v>
        <stp/>
        <stp>nse_cm|925SCFL27-YA</stp>
        <stp>Open</stp>
        <tr r="M113" s="1"/>
      </tp>
      <tp t="s">
        <v>INE302E07607</v>
        <stp/>
        <stp>bse_cm|9SFL2026</stp>
        <stp>Isin code</stp>
        <tr r="R1473" s="1"/>
      </tp>
      <tp t="s">
        <v>INE414G07IB0</v>
        <stp/>
        <stp>bse_cm|8MFL2026</stp>
        <stp>Isin code</stp>
        <tr r="R451" s="1"/>
      </tp>
      <tp>
        <v>-100</v>
        <stp/>
        <stp>nse_cm|925SCL28-AM</stp>
        <stp>% Change</stp>
        <tr r="J939" s="1"/>
      </tp>
      <tp>
        <v>980</v>
        <stp/>
        <stp>bse_cm|967EFSL29A</stp>
        <stp>High</stp>
        <tr r="N180" s="1"/>
      </tp>
      <tp>
        <v>0</v>
        <stp/>
        <stp>nse_cm|9TCAP28-N9</stp>
        <stp>Bid Rate</stp>
        <tr r="E544" s="1"/>
      </tp>
      <tp>
        <v>975.02</v>
        <stp/>
        <stp>bse_cm|MFLZC32</stp>
        <stp>Bid Rate</stp>
        <tr r="E1266" s="1"/>
      </tp>
      <tp>
        <v>0</v>
        <stp/>
        <stp>bse_cm|1045EFS34A</stp>
        <stp xml:space="preserve">Low </stp>
        <tr r="O1029" s="1"/>
      </tp>
      <tp>
        <v>828.1</v>
        <stp/>
        <stp>bse_cm|KFLZC31</stp>
        <stp>Bid Rate</stp>
        <tr r="E1286" s="1"/>
      </tp>
      <tp>
        <v>1101.42</v>
        <stp/>
        <stp>bse_cm|MFLZC30</stp>
        <stp>Bid Rate</stp>
        <tr r="E1267" s="1"/>
      </tp>
      <tp t="s">
        <v>INE414G07HE6</v>
        <stp/>
        <stp>bse_cm|775MFL27</stp>
        <stp>Isin code</stp>
        <tr r="R694" s="1"/>
      </tp>
      <tp t="s">
        <v>INE414G07HH9</v>
        <stp/>
        <stp>bse_cm|750MFL27</stp>
        <stp>Isin code</stp>
        <tr r="R274" s="1"/>
      </tp>
      <tp>
        <v>1006.9</v>
        <stp/>
        <stp>nse_cm|9PCHFL31A-NA</stp>
        <stp>Prev Close</stp>
        <tr r="P435" s="1"/>
      </tp>
      <tp>
        <v>1000</v>
        <stp/>
        <stp>bse_cm|115ICLFL25</stp>
        <stp xml:space="preserve">Low </stp>
        <tr r="O1223" s="1"/>
      </tp>
      <tp>
        <v>0</v>
        <stp/>
        <stp>nse_cm|875SCFL27-Y9</stp>
        <stp>Open</stp>
        <tr r="M927" s="1"/>
      </tp>
      <tp>
        <v>905</v>
        <stp/>
        <stp>bse_cm|1150CCIL29</stp>
        <stp xml:space="preserve">Low </stp>
        <tr r="O424" s="1"/>
      </tp>
      <tp>
        <v>1000</v>
        <stp/>
        <stp>bse_cm|920SCL23A</stp>
        <stp>Face Value</stp>
        <tr r="Q1114" s="1"/>
      </tp>
      <tp>
        <v>-100</v>
        <stp/>
        <stp>nse_cm|SCLZC26D-NO</stp>
        <stp>% Change</stp>
        <tr r="J901" s="1"/>
      </tp>
      <tp>
        <v>1000</v>
        <stp/>
        <stp>bse_cm|1150CCIL28</stp>
        <stp xml:space="preserve">Low </stp>
        <tr r="O460" s="1"/>
      </tp>
      <tp>
        <v>1288.01</v>
        <stp/>
        <stp>nse_cm|892NHPC33-N6</stp>
        <stp xml:space="preserve">Low </stp>
        <tr r="O534" s="1"/>
      </tp>
      <tp>
        <v>995</v>
        <stp/>
        <stp>bse_cm|105UCL2026</stp>
        <stp xml:space="preserve">Low </stp>
        <tr r="O319" s="1"/>
      </tp>
      <tp t="s">
        <v>INE530L07582</v>
        <stp/>
        <stp>bse_cm|10NIDO33</stp>
        <stp>Isin code</stp>
        <tr r="R1447" s="1"/>
      </tp>
      <tp>
        <v>-100</v>
        <stp/>
        <stp>nse_cm|792TCH25-N3</stp>
        <stp>% Change</stp>
        <tr r="J1187" s="1"/>
      </tp>
      <tp>
        <v>0</v>
        <stp/>
        <stp>nse_cm|SCLZC25D-NJ</stp>
        <stp>% Change</stp>
        <tr r="J1699" s="1"/>
      </tp>
      <tp>
        <v>1000</v>
        <stp/>
        <stp>bse_cm|927MFL26A</stp>
        <stp>Face Value</stp>
        <tr r="Q617" s="1"/>
      </tp>
      <tp t="s">
        <v>INE248U07EV0</v>
        <stp/>
        <stp>bse_cm|922ONE25</stp>
        <stp>Isin code</stp>
        <tr r="R1111" s="1"/>
      </tp>
      <tp t="s">
        <v>INE248U07FD5</v>
        <stp/>
        <stp>bse_cm|916ONE25</stp>
        <stp>Isin code</stp>
        <tr r="R965" s="1"/>
      </tp>
      <tp t="s">
        <v>INE101Q08159</v>
        <stp/>
        <stp>bse_cm|10MMFL27</stp>
        <stp>Isin code</stp>
        <tr r="R1090" s="1"/>
      </tp>
      <tp t="s">
        <v>INE248U07EX6</v>
        <stp/>
        <stp>bse_cm|891ONE25</stp>
        <stp>Isin code</stp>
        <tr r="R1339" s="1"/>
      </tp>
      <tp t="s">
        <v>INE248U07FL8</v>
        <stp/>
        <stp>bse_cm|886ONE25</stp>
        <stp>Isin code</stp>
        <tr r="R723" s="1"/>
      </tp>
      <tp>
        <v>1000</v>
        <stp/>
        <stp>bse_cm|925SCL28A</stp>
        <stp>Face Value</stp>
        <tr r="Q938" s="1"/>
      </tp>
      <tp>
        <v>800</v>
        <stp/>
        <stp>bse_cm|925SCL28C</stp>
        <stp>Face Value</stp>
        <tr r="Q824" s="1"/>
      </tp>
      <tp>
        <v>1000</v>
        <stp/>
        <stp>bse_cm|925SCL28B</stp>
        <stp>Face Value</stp>
        <tr r="Q894" s="1"/>
      </tp>
      <tp>
        <v>800</v>
        <stp/>
        <stp>bse_cm|925SCL28I</stp>
        <stp>Face Value</stp>
        <tr r="Q822" s="1"/>
      </tp>
      <tp>
        <v>1000</v>
        <stp/>
        <stp>bse_cm|925SCL29A</stp>
        <stp>Face Value</stp>
        <tr r="Q268" s="1"/>
      </tp>
      <tp>
        <v>1000</v>
        <stp/>
        <stp>bse_cm|925SCL26D</stp>
        <stp>Face Value</stp>
        <tr r="Q619" s="1"/>
      </tp>
      <tp>
        <v>1000</v>
        <stp/>
        <stp>bse_cm|925SCL26A</stp>
        <stp>Face Value</stp>
        <tr r="Q990" s="1"/>
      </tp>
      <tp>
        <v>1000</v>
        <stp/>
        <stp>bse_cm|925SCL26C</stp>
        <stp>Face Value</stp>
        <tr r="Q725" s="1"/>
      </tp>
      <tp>
        <v>1000</v>
        <stp/>
        <stp>bse_cm|925SCL26B</stp>
        <stp>Face Value</stp>
        <tr r="Q1360" s="1"/>
      </tp>
      <tp>
        <v>1000</v>
        <stp/>
        <stp>bse_cm|925SFL27A</stp>
        <stp>Face Value</stp>
        <tr r="Q848" s="1"/>
      </tp>
      <tp>
        <v>1000</v>
        <stp/>
        <stp>bse_cm|925SCL25Z</stp>
        <stp>Face Value</stp>
        <tr r="Q790" s="1"/>
      </tp>
      <tp>
        <v>1000</v>
        <stp/>
        <stp>bse_cm|925SCL25G</stp>
        <stp>Face Value</stp>
        <tr r="Q717" s="1"/>
      </tp>
      <tp>
        <v>1000</v>
        <stp/>
        <stp>bse_cm|925SCL25F</stp>
        <stp>Face Value</stp>
        <tr r="Q719" s="1"/>
      </tp>
      <tp>
        <v>1000</v>
        <stp/>
        <stp>bse_cm|925SCL25A</stp>
        <stp>Face Value</stp>
        <tr r="Q1515" s="1"/>
      </tp>
      <tp>
        <v>1000</v>
        <stp/>
        <stp>bse_cm|925SCL25C</stp>
        <stp>Face Value</stp>
        <tr r="Q676" s="1"/>
      </tp>
      <tp>
        <v>1000</v>
        <stp/>
        <stp>bse_cm|925SCL25B</stp>
        <stp>Face Value</stp>
        <tr r="Q1490" s="1"/>
      </tp>
      <tp>
        <v>1000</v>
        <stp/>
        <stp>bse_cm|925SCL25H</stp>
        <stp>Face Value</stp>
        <tr r="Q886" s="1"/>
      </tp>
      <tp>
        <v>1000</v>
        <stp/>
        <stp>bse_cm|925KFL26A</stp>
        <stp>Face Value</stp>
        <tr r="Q1479" s="1"/>
      </tp>
      <tp>
        <v>1000</v>
        <stp/>
        <stp>bse_cm|825MFL25A</stp>
        <stp>Face Value</stp>
        <tr r="Q931" s="1"/>
      </tp>
      <tp>
        <v>-100</v>
        <stp/>
        <stp>nse_cm|SCLZC25C-NI</stp>
        <stp>% Change</stp>
        <tr r="J908" s="1"/>
      </tp>
      <tp>
        <v>999</v>
        <stp/>
        <stp>bse_cm|10SMCGSL26</stp>
        <stp xml:space="preserve">Low </stp>
        <tr r="O138" s="1"/>
      </tp>
      <tp>
        <v>0</v>
        <stp/>
        <stp>nse_cm|SCLZC26A-NF</stp>
        <stp>% Change</stp>
        <tr r="J993" s="1"/>
      </tp>
      <tp>
        <v>915.7</v>
        <stp/>
        <stp>bse_cm|1075CCIL26</stp>
        <stp xml:space="preserve">Low </stp>
        <tr r="O1120" s="1"/>
      </tp>
      <tp t="s">
        <v>85LTF26</v>
        <stp/>
        <stp>bse_cm|85LTF26</stp>
        <stp>Trading Symbol</stp>
        <tr r="B410" s="1"/>
      </tp>
      <tp t="s">
        <v>87LTF27</v>
        <stp/>
        <stp>bse_cm|87LTF27</stp>
        <stp>Trading Symbol</stp>
        <tr r="B412" s="1"/>
      </tp>
      <tp t="s">
        <v>86LTF24</v>
        <stp/>
        <stp>bse_cm|86LTF24</stp>
        <stp>Trading Symbol</stp>
        <tr r="B8" s="1"/>
      </tp>
      <tp t="s">
        <v>92LTF29</v>
        <stp/>
        <stp>bse_cm|92LTF29</stp>
        <stp>Trading Symbol</stp>
        <tr r="B1088" s="1"/>
      </tp>
      <tp t="s">
        <v>INE549K08285</v>
        <stp/>
        <stp>bse_cm|950MFL27</stp>
        <stp>Isin code</stp>
        <tr r="R1147" s="1"/>
      </tp>
      <tp t="s">
        <v>INE549K07DH3</v>
        <stp/>
        <stp>bse_cm|915MFL27</stp>
        <stp>Isin code</stp>
        <tr r="R614" s="1"/>
      </tp>
      <tp>
        <v>1049</v>
        <stp/>
        <stp>bse_cm|125ICLFL28</stp>
        <stp xml:space="preserve">Low </stp>
        <tr r="O264" s="1"/>
      </tp>
      <tp t="s">
        <v>INE549K07BS4</v>
        <stp/>
        <stp>bse_cm|870MFL27</stp>
        <stp>Isin code</stp>
        <tr r="R399" s="1"/>
      </tp>
      <tp>
        <v>985</v>
        <stp/>
        <stp>bse_cm|1075CCIL25</stp>
        <stp xml:space="preserve">Low </stp>
        <tr r="O1121" s="1"/>
      </tp>
      <tp t="s">
        <v>INE549K07BX4</v>
        <stp/>
        <stp>bse_cm|840MFL27</stp>
        <stp>Isin code</stp>
        <tr r="R133" s="1"/>
      </tp>
      <tp t="s">
        <v>INE549K07BB0</v>
        <stp/>
        <stp>bse_cm|850MFL27</stp>
        <stp>Isin code</stp>
        <tr r="R265" s="1"/>
      </tp>
      <tp>
        <v>990</v>
        <stp/>
        <stp>bse_cm|1050CCIL25</stp>
        <stp xml:space="preserve">Low </stp>
        <tr r="O2" s="1"/>
      </tp>
      <tp t="s">
        <v>INE414G07IW6</v>
        <stp/>
        <stp>bse_cm|825MFL27</stp>
        <stp>Isin code</stp>
        <tr r="R344" s="1"/>
      </tp>
      <tp>
        <v>1000</v>
        <stp/>
        <stp>bse_cm|CCIL110324</stp>
        <stp xml:space="preserve">Low </stp>
        <tr r="O754" s="1"/>
      </tp>
      <tp t="s">
        <v>NSE</v>
        <stp/>
        <stp>nse_cm|925SCL25C-AR</stp>
        <stp>Exchange</stp>
        <tr r="C249" s="1"/>
      </tp>
      <tp>
        <v>0</v>
        <stp/>
        <stp>nse_cm|SCLZC26C-NB</stp>
        <stp>% Change</stp>
        <tr r="J1537" s="1"/>
      </tp>
      <tp>
        <v>10</v>
        <stp/>
        <stp>bse_cm|797IGT31</stp>
        <stp>Ask Qty</stp>
        <tr r="G381" s="1"/>
      </tp>
      <tp>
        <v>1030</v>
        <stp/>
        <stp>bse_cm|975JMFCS28</stp>
        <stp>High</stp>
        <tr r="N275" s="1"/>
      </tp>
      <tp>
        <v>0</v>
        <stp/>
        <stp>nse_cm|10SCL31-Z1</stp>
        <stp>Bid Rate</stp>
        <tr r="E866" s="1"/>
      </tp>
      <tp>
        <v>0</v>
        <stp/>
        <stp>bse_cm|795IGT31</stp>
        <stp>Ask Qty</stp>
        <tr r="G1186" s="1"/>
      </tp>
      <tp>
        <v>1005.6</v>
        <stp/>
        <stp>bse_cm|934JMFCS28</stp>
        <stp>High</stp>
        <tr r="N325" s="1"/>
      </tp>
      <tp>
        <v>0</v>
        <stp/>
        <stp>bse_cm|CIFC26A</stp>
        <stp>ATP</stp>
        <tr r="K740" s="1"/>
      </tp>
      <tp>
        <v>0</v>
        <stp/>
        <stp>bse_cm|935MMFSL29</stp>
        <stp>High</stp>
        <tr r="N1174" s="1"/>
      </tp>
      <tp t="s">
        <v>00:00:00</v>
        <stp/>
        <stp>bse_cm|NIDO25A</stp>
        <stp>LTT</stp>
        <tr r="I1245" s="1"/>
      </tp>
      <tp>
        <v>0</v>
        <stp/>
        <stp>bse_cm|NIDO25A</stp>
        <stp>LTP</stp>
        <tr r="H1245" s="1"/>
      </tp>
      <tp>
        <v>950</v>
        <stp/>
        <stp>bse_cm|1050EFSL29</stp>
        <stp>High</stp>
        <tr r="N1484" s="1"/>
      </tp>
      <tp>
        <v>951</v>
        <stp/>
        <stp>bse_cm|1004EFSL29</stp>
        <stp>High</stp>
        <tr r="N1586" s="1"/>
      </tp>
      <tp>
        <v>979</v>
        <stp/>
        <stp>bse_cm|1010EFSL29</stp>
        <stp>High</stp>
        <tr r="N1459" s="1"/>
      </tp>
      <tp>
        <v>0</v>
        <stp/>
        <stp>bse_cm|0NHFL29</stp>
        <stp>LTP</stp>
        <tr r="H1035" s="1"/>
      </tp>
      <tp t="s">
        <v>00:00:00</v>
        <stp/>
        <stp>bse_cm|0NHFL29</stp>
        <stp>LTT</stp>
        <tr r="I1035" s="1"/>
      </tp>
      <tp t="s">
        <v>00:00:00</v>
        <stp/>
        <stp>bse_cm|0NHFL27</stp>
        <stp>LTT</stp>
        <tr r="I1036" s="1"/>
      </tp>
      <tp t="s">
        <v>00:00:00</v>
        <stp/>
        <stp>bse_cm|0NHFL26</stp>
        <stp>LTT</stp>
        <tr r="I1037" s="1"/>
      </tp>
      <tp>
        <v>0</v>
        <stp/>
        <stp>bse_cm|0NHFL27</stp>
        <stp>LTP</stp>
        <tr r="H1036" s="1"/>
      </tp>
      <tp>
        <v>0</v>
        <stp/>
        <stp>bse_cm|0NHFL26</stp>
        <stp>LTP</stp>
        <tr r="H1037" s="1"/>
      </tp>
      <tp>
        <v>1059.99</v>
        <stp/>
        <stp>nse_cm|734IRFC28-N4</stp>
        <stp>High</stp>
        <tr r="N455" s="1"/>
      </tp>
      <tp>
        <v>940.2</v>
        <stp/>
        <stp>bse_cm|1010EFSL28</stp>
        <stp>High</stp>
        <tr r="N663" s="1"/>
      </tp>
      <tp>
        <v>1011</v>
        <stp/>
        <stp>bse_cm|975MFL24BB</stp>
        <stp>Ask Rate</stp>
        <tr r="F552" s="1"/>
      </tp>
      <tp>
        <v>0</v>
        <stp/>
        <stp>bse_cm|85PCHFL26</stp>
        <stp>LTP</stp>
        <tr r="H713" s="1"/>
      </tp>
      <tp t="s">
        <v>00:00:00</v>
        <stp/>
        <stp>bse_cm|85PCHFL26</stp>
        <stp>LTT</stp>
        <tr r="I713" s="1"/>
      </tp>
      <tp>
        <v>1005</v>
        <stp/>
        <stp>bse_cm|994SMCGS29</stp>
        <stp>High</stp>
        <tr r="N221" s="1"/>
      </tp>
      <tp>
        <v>0</v>
        <stp/>
        <stp>bse_cm|CAGL27A</stp>
        <stp>ATP</stp>
        <tr r="K1379" s="1"/>
      </tp>
      <tp>
        <v>945.33</v>
        <stp/>
        <stp>bse_cm|830JMFPL30</stp>
        <stp>High</stp>
        <tr r="N251" s="1"/>
      </tp>
      <tp t="s">
        <v>INE027E07BC8</v>
        <stp/>
        <stp>bse_cm|865LTF26</stp>
        <stp>Isin code</stp>
        <tr r="R391" s="1"/>
      </tp>
      <tp>
        <v>-100</v>
        <stp/>
        <stp>bse_cm|MFL30A</stp>
        <stp>% Change</stp>
        <tr r="J1370" s="1"/>
      </tp>
      <tp>
        <v>-100</v>
        <stp/>
        <stp>bse_cm|KFL26A</stp>
        <stp>% Change</stp>
        <tr r="J1372" s="1"/>
      </tp>
      <tp>
        <v>1033</v>
        <stp/>
        <stp>bse_cm|805MMFSL32</stp>
        <stp>High</stp>
        <tr r="N401" s="1"/>
      </tp>
      <tp>
        <v>0</v>
        <stp/>
        <stp>nse_cm|SCLZC26E-NP</stp>
        <stp>% Change</stp>
        <tr r="J899" s="1"/>
      </tp>
      <tp t="s">
        <v>INE414G07IN5</v>
        <stp/>
        <stp>bse_cm|8MFLTD26</stp>
        <stp>Isin code</stp>
        <tr r="R321" s="1"/>
      </tp>
      <tp>
        <v>0</v>
        <stp/>
        <stp>bse_cm|CAGL25A</stp>
        <stp>ATP</stp>
        <tr r="K1701" s="1"/>
      </tp>
      <tp>
        <v>-100</v>
        <stp/>
        <stp>bse_cm|KFL26B</stp>
        <stp>% Change</stp>
        <tr r="J1305" s="1"/>
      </tp>
      <tp>
        <v>-100</v>
        <stp/>
        <stp>bse_cm|KFL26C</stp>
        <stp>% Change</stp>
        <tr r="J1304" s="1"/>
      </tp>
      <tp>
        <v>1025</v>
        <stp/>
        <stp>bse_cm|981JMFCS28</stp>
        <stp>High</stp>
        <tr r="N295" s="1"/>
      </tp>
      <tp t="s">
        <v>ICLFLZC29</v>
        <stp/>
        <stp>bse_cm|ICLFLZC29</stp>
        <stp>Symbol</stp>
        <tr r="A1613" s="1"/>
      </tp>
      <tp>
        <v>-100</v>
        <stp/>
        <stp>bse_cm|MML28</stp>
        <stp>% Change</stp>
        <tr r="J584" s="1"/>
      </tp>
      <tp>
        <v>-100</v>
        <stp/>
        <stp>bse_cm|MFL28</stp>
        <stp>% Change</stp>
        <tr r="J1638" s="1"/>
      </tp>
      <tp>
        <v>1000</v>
        <stp/>
        <stp>nse_cm|745IGT26-NC</stp>
        <stp>Face Value</stp>
        <tr r="Q1201" s="1"/>
      </tp>
      <tp>
        <v>-100</v>
        <stp/>
        <stp>bse_cm|CIF27</stp>
        <stp>% Change</stp>
        <tr r="J745" s="1"/>
      </tp>
      <tp>
        <v>893.8</v>
        <stp/>
        <stp>bse_cm|EFSLZC28C</stp>
        <stp>Bid Rate</stp>
        <tr r="E1331" s="1"/>
      </tp>
      <tp>
        <v>-100</v>
        <stp/>
        <stp>bse_cm|MFL29</stp>
        <stp>% Change</stp>
        <tr r="J1598" s="1"/>
      </tp>
      <tp t="s">
        <v>729NABAR26</v>
        <stp/>
        <stp>bse_cm|729NABAR26</stp>
        <stp>Trading Symbol</stp>
        <tr r="B540" s="1"/>
      </tp>
      <tp>
        <v>1000</v>
        <stp/>
        <stp>nse_cm|10NIDO26-N6</stp>
        <stp>Face Value</stp>
        <tr r="Q66" s="1"/>
      </tp>
      <tp>
        <v>-100</v>
        <stp/>
        <stp>bse_cm|IML28</stp>
        <stp>% Change</stp>
        <tr r="J1458" s="1"/>
      </tp>
      <tp>
        <v>-100</v>
        <stp/>
        <stp>bse_cm|IML29</stp>
        <stp>% Change</stp>
        <tr r="J1528" s="1"/>
      </tp>
      <tp>
        <v>-100</v>
        <stp/>
        <stp>bse_cm|KFL29</stp>
        <stp>% Change</stp>
        <tr r="J1619" s="1"/>
      </tp>
      <tp t="e">
        <v>#N/A</v>
        <stp/>
        <stp>bse_cm|IML24</stp>
        <stp>% Change</stp>
        <tr r="J34" s="1"/>
      </tp>
      <tp>
        <v>1050.2</v>
        <stp/>
        <stp>bse_cm|MMFLZC28B</stp>
        <stp>Bid Rate</stp>
        <tr r="E1535" s="1"/>
      </tp>
      <tp>
        <v>-100</v>
        <stp/>
        <stp>bse_cm|KFL26</stp>
        <stp>% Change</stp>
        <tr r="J1306" s="1"/>
      </tp>
      <tp>
        <v>-100</v>
        <stp/>
        <stp>bse_cm|IML25</stp>
        <stp>% Change</stp>
        <tr r="J1326" s="1"/>
      </tp>
      <tp>
        <v>-100</v>
        <stp/>
        <stp>bse_cm|KFL27</stp>
        <stp>% Change</stp>
        <tr r="J1303" s="1"/>
      </tp>
      <tp>
        <v>-100</v>
        <stp/>
        <stp>bse_cm|IML27</stp>
        <stp>% Change</stp>
        <tr r="J1325" s="1"/>
      </tp>
      <tp>
        <v>1101.5</v>
        <stp/>
        <stp>bse_cm|MMFLZC28A</stp>
        <stp>Bid Rate</stp>
        <tr r="E1348" s="1"/>
      </tp>
      <tp>
        <v>-100</v>
        <stp/>
        <stp>bse_cm|KFL25</stp>
        <stp>% Change</stp>
        <tr r="J1309" s="1"/>
      </tp>
      <tp>
        <v>-100</v>
        <stp/>
        <stp>bse_cm|MFL23</stp>
        <stp>% Change</stp>
        <tr r="J1668" s="1"/>
      </tp>
      <tp>
        <v>-100</v>
        <stp/>
        <stp>bse_cm|MML24</stp>
        <stp>% Change</stp>
        <tr r="J1740" s="1"/>
      </tp>
      <tp>
        <v>925.25</v>
        <stp/>
        <stp>bse_cm|IIFLZC28B</stp>
        <stp>Bid Rate</stp>
        <tr r="E1595" s="1"/>
      </tp>
      <tp>
        <v>-100</v>
        <stp/>
        <stp>bse_cm|MML25</stp>
        <stp>% Change</stp>
        <tr r="J1253" s="1"/>
      </tp>
      <tp>
        <v>1156</v>
        <stp/>
        <stp>bse_cm|IIFLZC28C</stp>
        <stp>Bid Rate</stp>
        <tr r="E1404" s="1"/>
      </tp>
      <tp>
        <v>-100</v>
        <stp/>
        <stp>bse_cm|MFL25</stp>
        <stp>% Change</stp>
        <tr r="J1733" s="1"/>
      </tp>
      <tp>
        <v>-100</v>
        <stp/>
        <stp>bse_cm|MML26</stp>
        <stp>% Change</stp>
        <tr r="J1410" s="1"/>
      </tp>
      <tp>
        <v>-100</v>
        <stp/>
        <stp>bse_cm|MFL26</stp>
        <stp>% Change</stp>
        <tr r="J1666" s="1"/>
      </tp>
      <tp>
        <v>400</v>
        <stp/>
        <stp>nse_cm|79NHIT47-N3</stp>
        <stp>Face Value</stp>
        <tr r="Q1585" s="1"/>
      </tp>
      <tp>
        <v>-100</v>
        <stp/>
        <stp>bse_cm|CIF29</stp>
        <stp>% Change</stp>
        <tr r="J744" s="1"/>
      </tp>
      <tp>
        <v>1000</v>
        <stp/>
        <stp>bse_cm|IIFLZC28A</stp>
        <stp>Bid Rate</stp>
        <tr r="E1628" s="1"/>
      </tp>
      <tp>
        <v>-100</v>
        <stp/>
        <stp>bse_cm|MFL27</stp>
        <stp>% Change</stp>
        <tr r="J1563" s="1"/>
      </tp>
      <tp>
        <v>-100</v>
        <stp/>
        <stp>bse_cm|SFL26</stp>
        <stp>% Change</stp>
        <tr r="J811" s="1"/>
      </tp>
      <tp>
        <v>-100</v>
        <stp/>
        <stp>bse_cm|SFL27</stp>
        <stp>% Change</stp>
        <tr r="J809" s="1"/>
      </tp>
      <tp>
        <v>-0.88</v>
        <stp/>
        <stp>nse_cm|1050ISFL28-N5</stp>
        <stp>% Change</stp>
        <tr r="J1591" s="1"/>
      </tp>
      <tp>
        <v>-100</v>
        <stp/>
        <stp>bse_cm|SCL24</stp>
        <stp>% Change</stp>
        <tr r="J1377" s="1"/>
      </tp>
      <tp>
        <v>-100</v>
        <stp/>
        <stp>bse_cm|SCL25</stp>
        <stp>% Change</stp>
        <tr r="J1234" s="1"/>
      </tp>
      <tp>
        <v>-100</v>
        <stp/>
        <stp>bse_cm|SFL25</stp>
        <stp>% Change</stp>
        <tr r="J813" s="1"/>
      </tp>
      <tp>
        <v>-100</v>
        <stp/>
        <stp>bse_cm|SCL22</stp>
        <stp>% Change</stp>
        <tr r="J1239" s="1"/>
      </tp>
      <tp t="s">
        <v>CIFCZC26</v>
        <stp/>
        <stp>bse_cm|CIFCZC26</stp>
        <stp>Trading Symbol</stp>
        <tr r="B738" s="1"/>
      </tp>
      <tp t="s">
        <v>CIFCZC25</v>
        <stp/>
        <stp>bse_cm|CIFCZC25</stp>
        <stp>Trading Symbol</stp>
        <tr r="B1436" s="1"/>
      </tp>
      <tp t="s">
        <v>CIFCZC28</v>
        <stp/>
        <stp>bse_cm|CIFCZC28</stp>
        <stp>Trading Symbol</stp>
        <tr r="B736" s="1"/>
      </tp>
      <tp>
        <v>-100</v>
        <stp/>
        <stp>bse_cm|SFL28</stp>
        <stp>% Change</stp>
        <tr r="J803" s="1"/>
      </tp>
      <tp t="s">
        <v>CCILZC30</v>
        <stp/>
        <stp>bse_cm|CCILZC30</stp>
        <stp>Trading Symbol</stp>
        <tr r="B746" s="1"/>
      </tp>
      <tp t="s">
        <v>CCILZC29</v>
        <stp/>
        <stp>bse_cm|CCILZC29</stp>
        <stp>Trading Symbol</stp>
        <tr r="B747" s="1"/>
      </tp>
      <tp t="s">
        <v>CCILZC24</v>
        <stp/>
        <stp>bse_cm|CCILZC24</stp>
        <stp>Trading Symbol</stp>
        <tr r="B750" s="1"/>
      </tp>
      <tp t="s">
        <v>CCILZC25</v>
        <stp/>
        <stp>bse_cm|CCILZC25</stp>
        <stp>Trading Symbol</stp>
        <tr r="B1376" s="1"/>
      </tp>
      <tp t="s">
        <v>CCILZC26</v>
        <stp/>
        <stp>bse_cm|CCILZC26</stp>
        <stp>Trading Symbol</stp>
        <tr r="B748" s="1"/>
      </tp>
      <tp>
        <v>0</v>
        <stp/>
        <stp>bse_cm|1119NFL27</stp>
        <stp>Open</stp>
        <tr r="M1140" s="1"/>
      </tp>
      <tp t="s">
        <v>INE530B07336</v>
        <stp/>
        <stp>nse_cm|835IFL25-NV</stp>
        <stp>Isin code</stp>
        <tr r="R98" s="1"/>
      </tp>
      <tp>
        <v>50</v>
        <stp/>
        <stp>nse_cm|91SFL27-ZI</stp>
        <stp>Ask Qty</stp>
        <tr r="G533" s="1"/>
      </tp>
      <tp>
        <v>30</v>
        <stp/>
        <stp>nse_cm|97SFL26-Z9</stp>
        <stp>Ask Qty</stp>
        <tr r="G438" s="1"/>
      </tp>
      <tp>
        <v>-1.97</v>
        <stp/>
        <stp>nse_cm|948ICCL25A-NG</stp>
        <stp>% Change</stp>
        <tr r="J1736" s="1"/>
      </tp>
      <tp>
        <v>-100</v>
        <stp/>
        <stp>nse_cm|913ICCL24A-NF</stp>
        <stp>% Change</stp>
        <tr r="J781" s="1"/>
      </tp>
      <tp t="s">
        <v>913ICCL24A</v>
        <stp/>
        <stp>bse_cm|913ICCL24A</stp>
        <stp>Trading Symbol</stp>
        <tr r="B1162" s="1"/>
      </tp>
      <tp>
        <v>0</v>
        <stp/>
        <stp>nse_cm|925ICCL24A-NE</stp>
        <stp>% Change</stp>
        <tr r="J1393" s="1"/>
      </tp>
      <tp>
        <v>100</v>
        <stp/>
        <stp>nse_cm|94SFL28-YL</stp>
        <stp>Ask Qty</stp>
        <tr r="G5" s="1"/>
      </tp>
      <tp>
        <v>50</v>
        <stp/>
        <stp>nse_cm|9IIFL28-Y0</stp>
        <stp>Ask Qty</stp>
        <tr r="G175" s="1"/>
      </tp>
      <tp>
        <v>7</v>
        <stp/>
        <stp>nse_cm|9SCFL25-Y5</stp>
        <stp>Ask Qty</stp>
        <tr r="G389" s="1"/>
      </tp>
      <tp>
        <v>100</v>
        <stp/>
        <stp>nse_cm|97SFL28-YS</stp>
        <stp>Ask Qty</stp>
        <tr r="G19" s="1"/>
      </tp>
      <tp>
        <v>15</v>
        <stp/>
        <stp>nse_cm|97SFL29-YZ</stp>
        <stp>Ask Qty</stp>
        <tr r="G20" s="1"/>
      </tp>
      <tp t="s">
        <v>INE498L07020</v>
        <stp/>
        <stp>nse_cm|813LTF29-NP</stp>
        <stp>Isin code</stp>
        <tr r="R1000" s="1"/>
      </tp>
      <tp>
        <v>0</v>
        <stp/>
        <stp>nse_cm|955ICCL25A-NH</stp>
        <stp>% Change</stp>
        <tr r="J486" s="1"/>
      </tp>
      <tp>
        <v>0</v>
        <stp/>
        <stp>nse_cm|984ICCL26A-NK</stp>
        <stp>% Change</stp>
        <tr r="J716" s="1"/>
      </tp>
      <tp>
        <v>30</v>
        <stp/>
        <stp>nse_cm|99AEL29-N7</stp>
        <stp>Bid Qty</stp>
        <tr r="D246" s="1"/>
      </tp>
      <tp>
        <v>0</v>
        <stp/>
        <stp>nse_cm|966ICCL25A-NI</stp>
        <stp>% Change</stp>
        <tr r="J1461" s="1"/>
      </tp>
      <tp>
        <v>0</v>
        <stp/>
        <stp>nse_cm|888IHFL25F-NC</stp>
        <stp>% Change</stp>
        <tr r="J343" s="1"/>
      </tp>
      <tp>
        <v>50</v>
        <stp/>
        <stp>nse_cm|9MMFSML-N2</stp>
        <stp>Ask Qty</stp>
        <tr r="G339" s="1"/>
      </tp>
      <tp t="s">
        <v>850SCFL25</v>
        <stp/>
        <stp>nse_cm|850SCFL25-Y4</stp>
        <stp>Symbol</stp>
        <tr r="A924" s="1"/>
      </tp>
      <tp t="s">
        <v>1030ICC26</v>
        <stp/>
        <stp>nse_cm|1030ICC26-NJ</stp>
        <stp>Symbol</stp>
        <tr r="A1514" s="1"/>
      </tp>
      <tp>
        <v>50</v>
        <stp/>
        <stp>nse_cm|8ABFL26-N0</stp>
        <stp>Ask Qty</stp>
        <tr r="G358" s="1"/>
      </tp>
      <tp>
        <v>0</v>
        <stp/>
        <stp>nse_cm|85IFL26-NX</stp>
        <stp>Ask Qty</stp>
        <tr r="G1388" s="1"/>
      </tp>
      <tp>
        <v>-100</v>
        <stp/>
        <stp>nse_cm|925ICCL25I-NP</stp>
        <stp>% Change</stp>
        <tr r="J777" s="1"/>
      </tp>
      <tp>
        <v>0</v>
        <stp/>
        <stp>nse_cm|965ICCL25I-NQ</stp>
        <stp>% Change</stp>
        <tr r="J696" s="1"/>
      </tp>
      <tp t="s">
        <v>866SCFL25</v>
        <stp/>
        <stp>nse_cm|866SCFL25-Y8</stp>
        <stp>Symbol</stp>
        <tr r="A158" s="1"/>
      </tp>
      <tp t="s">
        <v>76IGT26-ND</v>
        <stp/>
        <stp>nse_cm|76IGT26-ND</stp>
        <stp>Trading Symbol</stp>
        <tr r="B527" s="1"/>
      </tp>
      <tp t="s">
        <v>INE530L07467</v>
        <stp/>
        <stp>bse_cm|NIDO25</stp>
        <stp>Isin code</stp>
        <tr r="R1726" s="1"/>
      </tp>
      <tp t="s">
        <v>769NHAI31</v>
        <stp/>
        <stp>nse_cm|769NHAI31-NE</stp>
        <stp>Symbol</stp>
        <tr r="A461" s="1"/>
      </tp>
      <tp t="s">
        <v>85IFL26-NX</v>
        <stp/>
        <stp>nse_cm|85IFL26-NX</stp>
        <stp>Trading Symbol</stp>
        <tr r="B1388" s="1"/>
      </tp>
      <tp t="s">
        <v>INE403Q07EI6</v>
        <stp/>
        <stp>bse_cm|0KFL27</stp>
        <stp>Isin code</stp>
        <tr r="R1046" s="1"/>
      </tp>
      <tp t="s">
        <v>925CAGL26</v>
        <stp/>
        <stp>nse_cm|925CAGL26-N9</stp>
        <stp>Symbol</stp>
        <tr r="A639" s="1"/>
      </tp>
      <tp t="s">
        <v>820SCFL25</v>
        <stp/>
        <stp>nse_cm|820SCFL25-Y7</stp>
        <stp>Symbol</stp>
        <tr r="A926" s="1"/>
      </tp>
      <tp t="s">
        <v>INE148I08330</v>
        <stp/>
        <stp>nse_cm|935SCL28-NV</stp>
        <stp>Isin code</stp>
        <tr r="R986" s="1"/>
      </tp>
      <tp>
        <v>12</v>
        <stp/>
        <stp>nse_cm|10NFL25-N9</stp>
        <stp>Ask Qty</stp>
        <tr r="G345" s="1"/>
      </tp>
      <tp t="s">
        <v>INE148I07SH6</v>
        <stp/>
        <stp>nse_cm|940SCL27-YS</stp>
        <stp>Isin code</stp>
        <tr r="R842" s="1"/>
      </tp>
      <tp t="s">
        <v>INE148I07NN5</v>
        <stp/>
        <stp>nse_cm|939SCL27-ZZ</stp>
        <stp>Isin code</stp>
        <tr r="R982" s="1"/>
      </tp>
      <tp>
        <v>0</v>
        <stp/>
        <stp>nse_cm|888IHFL25C-NR</stp>
        <stp>% Change</stp>
        <tr r="J1426" s="1"/>
      </tp>
      <tp>
        <v>0</v>
        <stp/>
        <stp>nse_cm|875IIFL26A-NQ</stp>
        <stp>% Change</stp>
        <tr r="J634" s="1"/>
      </tp>
      <tp>
        <v>0</v>
        <stp/>
        <stp>nse_cm|866ICCL23A-NY</stp>
        <stp>% Change</stp>
        <tr r="J759" s="1"/>
      </tp>
      <tp t="s">
        <v>INE0BUS07AY5</v>
        <stp/>
        <stp>bse_cm|9IML25</stp>
        <stp>Isin code</stp>
        <tr r="R588" s="1"/>
      </tp>
      <tp>
        <v>0</v>
        <stp/>
        <stp>nse_cm|890ICCL23A-NZ</stp>
        <stp>% Change</stp>
        <tr r="J1363" s="1"/>
      </tp>
      <tp>
        <v>1111</v>
        <stp/>
        <stp>nse_cm|769NHAI31-NE</stp>
        <stp>High</stp>
        <tr r="N461" s="1"/>
      </tp>
      <tp>
        <v>1269.9000000000001</v>
        <stp/>
        <stp>nse_cm|863IRFC29-NC</stp>
        <stp>High</stp>
        <tr r="N554" s="1"/>
      </tp>
      <tp>
        <v>1009</v>
        <stp/>
        <stp>nse_cm|9PCHFL31A-NA</stp>
        <stp>High</stp>
        <tr r="N435" s="1"/>
      </tp>
      <tp>
        <v>1080</v>
        <stp/>
        <stp>nse_cm|905SC24-ZB</stp>
        <stp>Bid Rate</stp>
        <tr r="E1374" s="1"/>
      </tp>
      <tp>
        <v>983</v>
        <stp/>
        <stp>nse_cm|925SCL25C-AR</stp>
        <stp>Prev Close</stp>
        <tr r="P249" s="1"/>
      </tp>
      <tp>
        <v>1025.1300000000001</v>
        <stp/>
        <stp>nse_cm|925SCL28C-BS</stp>
        <stp>Prev Close</stp>
        <tr r="P823" s="1"/>
      </tp>
      <tp>
        <v>1000</v>
        <stp/>
        <stp>nse_cm|925SCL26C-ZA</stp>
        <stp>Prev Close</stp>
        <tr r="P724" s="1"/>
      </tp>
      <tp t="s">
        <v>INE039A07819</v>
        <stp/>
        <stp>bse_cm|IFCIZC24</stp>
        <stp>Isin code</stp>
        <tr r="R1769" s="1"/>
      </tp>
      <tp>
        <v>971.58</v>
        <stp/>
        <stp>nse_cm|835SCL23B-YM</stp>
        <stp>Prev Close</stp>
        <tr r="P179" s="1"/>
      </tp>
      <tp>
        <v>1000</v>
        <stp/>
        <stp>nse_cm|940SCL26C-AU</stp>
        <stp>Prev Close</stp>
        <tr r="P793" s="1"/>
      </tp>
      <tp>
        <v>1000</v>
        <stp/>
        <stp>nse_cm|965SCL28C-BR</stp>
        <stp>Prev Close</stp>
        <tr r="P817" s="1"/>
      </tp>
      <tp>
        <v>900</v>
        <stp/>
        <stp>nse_cm|965SCL25C-N0</stp>
        <stp>Prev Close</stp>
        <tr r="P507" s="1"/>
      </tp>
      <tp>
        <v>830</v>
        <stp/>
        <stp>nse_cm|865SCL24B-Z8</stp>
        <stp>Prev Close</stp>
        <tr r="P952" s="1"/>
      </tp>
      <tp>
        <v>0</v>
        <stp/>
        <stp>nse_cm|971SCL28C-BU</stp>
        <stp>Prev Close</stp>
        <tr r="P826" s="1"/>
      </tp>
      <tp>
        <v>948</v>
        <stp/>
        <stp>bse_cm|967EFSL28D</stp>
        <stp xml:space="preserve">Low </stp>
        <tr r="O168" s="1"/>
      </tp>
      <tp>
        <v>900</v>
        <stp/>
        <stp>nse_cm|980SCL33C-ND</stp>
        <stp>Prev Close</stp>
        <tr r="P1385" s="1"/>
      </tp>
      <tp>
        <v>1000</v>
        <stp/>
        <stp>nse_cm|888SCL25B-Y2</stp>
        <stp>Prev Close</stp>
        <tr r="P789" s="1"/>
      </tp>
      <tp>
        <v>1000</v>
        <stp/>
        <stp>nse_cm|CAGL24-N2</stp>
        <stp>Face Value</stp>
        <tr r="Q1762" s="1"/>
      </tp>
      <tp>
        <v>998</v>
        <stp/>
        <stp>nse_cm|925SFCL25-AC</stp>
        <stp xml:space="preserve">Low </stp>
        <tr r="O604" s="1"/>
      </tp>
      <tp>
        <v>1033.8</v>
        <stp/>
        <stp>nse_cm|965SCFL25-AB</stp>
        <stp xml:space="preserve">Low </stp>
        <tr r="O664" s="1"/>
      </tp>
      <tp>
        <v>931.1</v>
        <stp/>
        <stp>bse_cm|967EFSL28A</stp>
        <stp xml:space="preserve">Low </stp>
        <tr r="O172" s="1"/>
      </tp>
      <tp>
        <v>0</v>
        <stp/>
        <stp>nse_cm|925SCFL25-AD</stp>
        <stp xml:space="preserve">Low </stp>
        <tr r="O773" s="1"/>
      </tp>
      <tp t="s">
        <v>SCLZC25E</v>
        <stp/>
        <stp>nse_cm|SCLZC25E-Y4</stp>
        <stp>Symbol</stp>
        <tr r="A787" s="1"/>
      </tp>
      <tp t="s">
        <v>SCLZC26E</v>
        <stp/>
        <stp>nse_cm|SCLZC26E-NP</stp>
        <stp>Symbol</stp>
        <tr r="A899" s="1"/>
      </tp>
      <tp>
        <v>1001</v>
        <stp/>
        <stp>nse_cm|8ABFL26-N0</stp>
        <stp>Ask Rate</stp>
        <tr r="F358" s="1"/>
      </tp>
      <tp>
        <v>1000</v>
        <stp/>
        <stp>bse_cm|95CCIL24A</stp>
        <stp>Face Value</stp>
        <tr r="Q873" s="1"/>
      </tp>
      <tp>
        <v>1153</v>
        <stp/>
        <stp>nse_cm|865IRFC29-NA</stp>
        <stp xml:space="preserve">Low </stp>
        <tr r="O491" s="1"/>
      </tp>
      <tp>
        <v>0</v>
        <stp/>
        <stp>nse_cm|85IFL26-NX</stp>
        <stp>Ask Rate</stp>
        <tr r="F1388" s="1"/>
      </tp>
      <tp t="s">
        <v>MMFSL26</v>
        <stp/>
        <stp>bse_cm|MMFSL26</stp>
        <stp>Trading Symbol</stp>
        <tr r="B1258" s="1"/>
      </tp>
      <tp>
        <v>1000</v>
        <stp/>
        <stp>bse_cm|NIDO28</stp>
        <stp>Prev Close</stp>
        <tr r="P1243" s="1"/>
      </tp>
      <tp>
        <v>1032.8</v>
        <stp/>
        <stp>bse_cm|NIDO26</stp>
        <stp>Prev Close</stp>
        <tr r="P1244" s="1"/>
      </tp>
      <tp>
        <v>1152.8499999999999</v>
        <stp/>
        <stp>bse_cm|NIDO27</stp>
        <stp>Prev Close</stp>
        <tr r="P1661" s="1"/>
      </tp>
      <tp>
        <v>1196.8</v>
        <stp/>
        <stp>bse_cm|NIDO25</stp>
        <stp>Prev Close</stp>
        <tr r="P1726" s="1"/>
      </tp>
      <tp>
        <v>-0.59</v>
        <stp/>
        <stp>nse_cm|905LTF27-NF</stp>
        <stp>% Change</stp>
        <tr r="J393" s="1"/>
      </tp>
      <tp>
        <v>990</v>
        <stp/>
        <stp>bse_cm|975MFCL28E</stp>
        <stp xml:space="preserve">Low </stp>
        <tr r="O303" s="1"/>
      </tp>
      <tp>
        <v>1071</v>
        <stp/>
        <stp>nse_cm|9PEL25-N0</stp>
        <stp>Prev Close</stp>
        <tr r="P341" s="1"/>
      </tp>
      <tp>
        <v>1029.8</v>
        <stp/>
        <stp>bse_cm|875IIFL26A</stp>
        <stp xml:space="preserve">Low </stp>
        <tr r="O232" s="1"/>
      </tp>
      <tp>
        <v>1010</v>
        <stp/>
        <stp>bse_cm|AEL120924A</stp>
        <stp xml:space="preserve">Low </stp>
        <tr r="O1524" s="1"/>
      </tp>
      <tp>
        <v>979.9</v>
        <stp/>
        <stp>bse_cm|1045EFS33B</stp>
        <stp xml:space="preserve">Low </stp>
        <tr r="O117" s="1"/>
      </tp>
      <tp>
        <v>1000</v>
        <stp/>
        <stp>bse_cm|AEL120924B</stp>
        <stp xml:space="preserve">Low </stp>
        <tr r="O1641" s="1"/>
      </tp>
      <tp>
        <v>963</v>
        <stp/>
        <stp>bse_cm|1045EFS33A</stp>
        <stp xml:space="preserve">Low </stp>
        <tr r="O95" s="1"/>
      </tp>
      <tp>
        <v>1000</v>
        <stp/>
        <stp>nse_cm|0SCL26-YR</stp>
        <stp>Prev Close</stp>
        <tr r="P1622" s="1"/>
      </tp>
      <tp>
        <v>998.84</v>
        <stp/>
        <stp>bse_cm|1049DLSL25</stp>
        <stp xml:space="preserve">Low </stp>
        <tr r="O84" s="1"/>
      </tp>
      <tp>
        <v>1025</v>
        <stp/>
        <stp>nse_cm|965SCL25E-BF</stp>
        <stp>Ask Rate</stp>
        <tr r="F413" s="1"/>
      </tp>
      <tp t="s">
        <v>NSE</v>
        <stp/>
        <stp>nse_cm|84CIFCL28-NA</stp>
        <stp>Exchange</stp>
        <tr r="C388" s="1"/>
      </tp>
      <tp>
        <v>1000</v>
        <stp/>
        <stp>bse_cm|850SCL25A</stp>
        <stp>Face Value</stp>
        <tr r="Q1387" s="1"/>
      </tp>
      <tp>
        <v>1000</v>
        <stp/>
        <stp>bse_cm|950SCL23A</stp>
        <stp>Face Value</stp>
        <tr r="Q1146" s="1"/>
      </tp>
      <tp>
        <v>1000</v>
        <stp/>
        <stp>bse_cm|850MFL27A</stp>
        <stp>Face Value</stp>
        <tr r="Q355" s="1"/>
      </tp>
      <tp>
        <v>1000</v>
        <stp/>
        <stp>bse_cm|950MFL27A</stp>
        <stp>Face Value</stp>
        <tr r="Q241" s="1"/>
      </tp>
      <tp>
        <v>0</v>
        <stp/>
        <stp>nse_cm|925SCL25F-BD</stp>
        <stp>Ask Rate</stp>
        <tr r="F718" s="1"/>
      </tp>
      <tp>
        <v>975</v>
        <stp/>
        <stp>bse_cm|925KLMAF25</stp>
        <stp xml:space="preserve">Low </stp>
        <tr r="O612" s="1"/>
      </tp>
      <tp>
        <v>0</v>
        <stp/>
        <stp>bse_cm|88MFL28</stp>
        <stp>Open</stp>
        <tr r="M233" s="1"/>
      </tp>
      <tp>
        <v>975</v>
        <stp/>
        <stp>bse_cm|950KLMAF25</stp>
        <stp xml:space="preserve">Low </stp>
        <tr r="O1149" s="1"/>
      </tp>
      <tp>
        <v>0</v>
        <stp/>
        <stp>bse_cm|975KLMAF26</stp>
        <stp xml:space="preserve">Low </stp>
        <tr r="O857" s="1"/>
      </tp>
      <tp t="s">
        <v>NSE</v>
        <stp/>
        <stp>nse_cm|971SCL28C-BU</stp>
        <stp>Exchange</stp>
        <tr r="C826" s="1"/>
      </tp>
      <tp t="s">
        <v>9EFSL26</v>
        <stp/>
        <stp>bse_cm|9EFSL26</stp>
        <stp>Trading Symbol</stp>
        <tr r="B581" s="1"/>
      </tp>
      <tp t="s">
        <v>9EFSL25</v>
        <stp/>
        <stp>bse_cm|9EFSL25</stp>
        <stp>Trading Symbol</stp>
        <tr r="B606" s="1"/>
      </tp>
      <tp>
        <v>1000</v>
        <stp/>
        <stp>bse_cm|955SCL27A</stp>
        <stp>Face Value</stp>
        <tr r="Q948" s="1"/>
      </tp>
      <tp>
        <v>1002.02</v>
        <stp/>
        <stp>bse_cm|800MMFSL27</stp>
        <stp xml:space="preserve">Low </stp>
        <tr r="O436" s="1"/>
      </tp>
      <tp t="s">
        <v>905SC24</v>
        <stp/>
        <stp>bse_cm|905SC24</stp>
        <stp>Trading Symbol</stp>
        <tr r="B573" s="1"/>
      </tp>
      <tp t="s">
        <v>NSE</v>
        <stp/>
        <stp>nse_cm|902SCL26I-AW</stp>
        <stp>Exchange</stp>
        <tr r="C1383" s="1"/>
      </tp>
      <tp t="s">
        <v>09:57:26</v>
        <stp/>
        <stp>bse_cm|7PFCL31</stp>
        <stp>LTT</stp>
        <tr r="I425" s="1"/>
      </tp>
      <tp>
        <v>1000</v>
        <stp/>
        <stp>bse_cm|7PFCL31</stp>
        <stp>LTP</stp>
        <tr r="H425" s="1"/>
      </tp>
      <tp>
        <v>0</v>
        <stp/>
        <stp>nse_cm|85CIFC27-NL</stp>
        <stp>% Change</stp>
        <tr r="J973" s="1"/>
      </tp>
      <tp>
        <v>0</v>
        <stp/>
        <stp>nse_cm|925SCL28I-BA</stp>
        <stp>Ask Rate</stp>
        <tr r="F821" s="1"/>
      </tp>
      <tp t="s">
        <v>INE804I079Y6</v>
        <stp/>
        <stp>bse_cm|985ECL28</stp>
        <stp>Isin code</stp>
        <tr r="R56" s="1"/>
      </tp>
      <tp t="s">
        <v>INE804I078Y8</v>
        <stp/>
        <stp>bse_cm|943ECL28</stp>
        <stp>Isin code</stp>
        <tr r="R124" s="1"/>
      </tp>
      <tp>
        <v>995</v>
        <stp/>
        <stp>bse_cm|1049EFSL34</stp>
        <stp xml:space="preserve">Low </stp>
        <tr r="O1584" s="1"/>
      </tp>
      <tp>
        <v>901</v>
        <stp/>
        <stp>bse_cm|1045EFSL34</stp>
        <stp xml:space="preserve">Low </stp>
        <tr r="O1413" s="1"/>
      </tp>
      <tp>
        <v>980</v>
        <stp/>
        <stp>bse_cm|820JMFPL26</stp>
        <stp xml:space="preserve">Low </stp>
        <tr r="O349" s="1"/>
      </tp>
      <tp t="s">
        <v>INE121A07RU5</v>
        <stp/>
        <stp>nse_cm|CIF29-NO</stp>
        <stp>Isin code</stp>
        <tr r="R743" s="1"/>
      </tp>
      <tp>
        <v>999</v>
        <stp/>
        <stp>bse_cm|1045EFSL33</stp>
        <stp xml:space="preserve">Low </stp>
        <tr r="O1382" s="1"/>
      </tp>
      <tp>
        <v>0</v>
        <stp/>
        <stp>bse_cm|853MMFSL26</stp>
        <stp xml:space="preserve">Low </stp>
        <tr r="O1005" s="1"/>
      </tp>
      <tp>
        <v>888</v>
        <stp/>
        <stp>bse_cm|1010EFSL32</stp>
        <stp xml:space="preserve">Low </stp>
        <tr r="O631" s="1"/>
      </tp>
      <tp t="s">
        <v>INE403Q07DU3</v>
        <stp/>
        <stp>bse_cm|925KFL26</stp>
        <stp>Isin code</stp>
        <tr r="R775" s="1"/>
      </tp>
      <tp>
        <v>1029.7</v>
        <stp/>
        <stp>bse_cm|872MMFSL26</stp>
        <stp xml:space="preserve">Low </stp>
        <tr r="O406" s="1"/>
      </tp>
      <tp t="s">
        <v>INE532F07EG9</v>
        <stp/>
        <stp>bse_cm|967EFS28</stp>
        <stp>Isin code</stp>
        <tr r="R190" s="1"/>
      </tp>
      <tp t="s">
        <v>INE403Q07EE5</v>
        <stp/>
        <stp>bse_cm|875KFL26</stp>
        <stp>Isin code</stp>
        <tr r="R1156" s="1"/>
      </tp>
      <tp>
        <v>0</v>
        <stp/>
        <stp>nse_cm|1003SCL30-BW</stp>
        <stp>High</stp>
        <tr r="N876" s="1"/>
      </tp>
      <tp>
        <v>1116.97</v>
        <stp/>
        <stp>nse_cm|1030ICC26-NJ</stp>
        <stp>High</stp>
        <tr r="N1514" s="1"/>
      </tp>
      <tp>
        <v>0</v>
        <stp/>
        <stp>bse_cm|86LTF24</stp>
        <stp>Volume Traded Today</stp>
        <tr r="L8" s="1"/>
      </tp>
      <tp>
        <v>0</v>
        <stp/>
        <stp>bse_cm|88SCL25</stp>
        <stp>Open</stp>
        <tr r="M987" s="1"/>
      </tp>
      <tp>
        <v>0</v>
        <stp/>
        <stp>bse_cm|865MF25</stp>
        <stp>Volume Traded Today</stp>
        <tr r="L111" s="1"/>
      </tp>
      <tp>
        <v>1182</v>
        <stp/>
        <stp>nse_cm|873NTPC28-N5</stp>
        <stp>High</stp>
        <tr r="N541" s="1"/>
      </tp>
      <tp>
        <v>0</v>
        <stp/>
        <stp>nse_cm|1015SCL29-ZL</stp>
        <stp>Open</stp>
        <tr r="M1176" s="1"/>
      </tp>
      <tp>
        <v>0</v>
        <stp/>
        <stp>bse_cm|87LTF27</stp>
        <stp>Volume Traded Today</stp>
        <tr r="L412" s="1"/>
      </tp>
      <tp>
        <v>0</v>
        <stp/>
        <stp>bse_cm|98SCL27</stp>
        <stp>Open</stp>
        <tr r="M1545" s="1"/>
      </tp>
      <tp>
        <v>0</v>
        <stp/>
        <stp>bse_cm|DLSL25A</stp>
        <stp>ATP</stp>
        <tr r="K1734" s="1"/>
      </tp>
      <tp t="s">
        <v>NSE</v>
        <stp/>
        <stp>nse_cm|971SCL28I-BC</stp>
        <stp>Exchange</stp>
        <tr r="C531" s="1"/>
      </tp>
      <tp>
        <v>0</v>
        <stp/>
        <stp>bse_cm|895EFS25</stp>
        <stp>Ask Qty</stp>
        <tr r="G730" s="1"/>
      </tp>
      <tp>
        <v>0</v>
        <stp/>
        <stp>bse_cm|85LTF26</stp>
        <stp>Volume Traded Today</stp>
        <tr r="L410" s="1"/>
      </tp>
      <tp>
        <v>1252.8</v>
        <stp/>
        <stp>bse_cm|EFSL24C</stp>
        <stp>Bid Rate</stp>
        <tr r="E1755" s="1"/>
      </tp>
      <tp>
        <v>0</v>
        <stp/>
        <stp>nse_cm|1025SCL33-YJ</stp>
        <stp>Open</stp>
        <tr r="M836" s="1"/>
      </tp>
      <tp>
        <v>0</v>
        <stp/>
        <stp>nse_cm|925SCL28C-BS</stp>
        <stp>Ask Rate</stp>
        <tr r="F823" s="1"/>
      </tp>
      <tp>
        <v>0</v>
        <stp/>
        <stp>nse_cm|965SCL28C-BR</stp>
        <stp>Ask Rate</stp>
        <tr r="F817" s="1"/>
      </tp>
      <tp>
        <v>876</v>
        <stp/>
        <stp>bse_cm|965ARKA26</stp>
        <stp>Bid Rate</stp>
        <tr r="E869" s="1"/>
      </tp>
      <tp>
        <v>1000</v>
        <stp/>
        <stp>nse_cm|797IGT31-NL</stp>
        <stp>Face Value</stp>
        <tr r="Q374" s="1"/>
      </tp>
      <tp>
        <v>1000</v>
        <stp/>
        <stp>nse_cm|795IGT31-NI</stp>
        <stp>Face Value</stp>
        <tr r="Q1185" s="1"/>
      </tp>
      <tp>
        <v>1000</v>
        <stp/>
        <stp>nse_cm|772IGT31-NK</stp>
        <stp>Face Value</stp>
        <tr r="Q1193" s="1"/>
      </tp>
      <tp>
        <v>0</v>
        <stp/>
        <stp>bse_cm|MFL26Z</stp>
        <stp>Volume Traded Today</stp>
        <tr r="L1655" s="1"/>
      </tp>
      <tp>
        <v>0</v>
        <stp/>
        <stp>bse_cm|MML26A</stp>
        <stp>Volume Traded Today</stp>
        <tr r="L1642" s="1"/>
      </tp>
      <tp>
        <v>0</v>
        <stp/>
        <stp>bse_cm|MFL26E</stp>
        <stp>Volume Traded Today</stp>
        <tr r="L1533" s="1"/>
      </tp>
      <tp>
        <v>0</v>
        <stp/>
        <stp>bse_cm|MFL26D</stp>
        <stp>Volume Traded Today</stp>
        <tr r="L1279" s="1"/>
      </tp>
      <tp>
        <v>0</v>
        <stp/>
        <stp>bse_cm|MFL26F</stp>
        <stp>Volume Traded Today</stp>
        <tr r="L1278" s="1"/>
      </tp>
      <tp>
        <v>0</v>
        <stp/>
        <stp>bse_cm|MFL26A</stp>
        <stp>Volume Traded Today</stp>
        <tr r="L1557" s="1"/>
      </tp>
      <tp>
        <v>0</v>
        <stp/>
        <stp>bse_cm|MFL26C</stp>
        <stp>Volume Traded Today</stp>
        <tr r="L1669" s="1"/>
      </tp>
      <tp>
        <v>0</v>
        <stp/>
        <stp>bse_cm|MFL26B</stp>
        <stp>Volume Traded Today</stp>
        <tr r="L1280" s="1"/>
      </tp>
      <tp>
        <v>0</v>
        <stp/>
        <stp>bse_cm|MML25B</stp>
        <stp>Volume Traded Today</stp>
        <tr r="L1498" s="1"/>
      </tp>
      <tp>
        <v>0</v>
        <stp/>
        <stp>bse_cm|MML25C</stp>
        <stp>Volume Traded Today</stp>
        <tr r="L1251" s="1"/>
      </tp>
      <tp>
        <v>0</v>
        <stp/>
        <stp>bse_cm|MML25A</stp>
        <stp>Volume Traded Today</stp>
        <tr r="L1252" s="1"/>
      </tp>
      <tp>
        <v>0</v>
        <stp/>
        <stp>bse_cm|MFL25E</stp>
        <stp>Volume Traded Today</stp>
        <tr r="L1664" s="1"/>
      </tp>
      <tp>
        <v>0</v>
        <stp/>
        <stp>bse_cm|MFL25D</stp>
        <stp>Volume Traded Today</stp>
        <tr r="L1705" s="1"/>
      </tp>
      <tp>
        <v>0</v>
        <stp/>
        <stp>bse_cm|MFL25A</stp>
        <stp>Volume Traded Today</stp>
        <tr r="L1692" s="1"/>
      </tp>
      <tp>
        <v>0</v>
        <stp/>
        <stp>bse_cm|MFL25C</stp>
        <stp>Volume Traded Today</stp>
        <tr r="L1571" s="1"/>
      </tp>
      <tp>
        <v>0</v>
        <stp/>
        <stp>bse_cm|MFL25B</stp>
        <stp>Volume Traded Today</stp>
        <tr r="L1667" s="1"/>
      </tp>
      <tp>
        <v>0</v>
        <stp/>
        <stp>bse_cm|MML24A</stp>
        <stp>Volume Traded Today</stp>
        <tr r="L1254" s="1"/>
      </tp>
      <tp>
        <v>0</v>
        <stp/>
        <stp>bse_cm|MFL24A</stp>
        <stp>Volume Traded Today</stp>
        <tr r="L1759" s="1"/>
      </tp>
      <tp>
        <v>28916</v>
        <stp/>
        <stp>bse_cm|MFL24B</stp>
        <stp>Volume Traded Today</stp>
        <tr r="L1756" s="1"/>
      </tp>
      <tp>
        <v>0</v>
        <stp/>
        <stp>bse_cm|KFL25D</stp>
        <stp>Volume Traded Today</stp>
        <tr r="L1688" s="1"/>
      </tp>
      <tp>
        <v>0</v>
        <stp/>
        <stp>bse_cm|KFL25A</stp>
        <stp>Volume Traded Today</stp>
        <tr r="L1703" s="1"/>
      </tp>
      <tp>
        <v>0</v>
        <stp/>
        <stp>bse_cm|MFL23A</stp>
        <stp>Volume Traded Today</stp>
        <tr r="L1560" s="1"/>
      </tp>
      <tp>
        <v>0</v>
        <stp/>
        <stp>bse_cm|KFL25C</stp>
        <stp>Volume Traded Today</stp>
        <tr r="L1307" s="1"/>
      </tp>
      <tp>
        <v>0</v>
        <stp/>
        <stp>bse_cm|KFL25B</stp>
        <stp>Volume Traded Today</stp>
        <tr r="L1308" s="1"/>
      </tp>
      <tp>
        <v>0</v>
        <stp/>
        <stp>bse_cm|KFL27A</stp>
        <stp>Volume Traded Today</stp>
        <tr r="L1302" s="1"/>
      </tp>
      <tp>
        <v>0</v>
        <stp/>
        <stp>bse_cm|KFL27C</stp>
        <stp>Volume Traded Today</stp>
        <tr r="L1300" s="1"/>
      </tp>
      <tp>
        <v>0</v>
        <stp/>
        <stp>bse_cm|KFL27B</stp>
        <stp>Volume Traded Today</stp>
        <tr r="L1301" s="1"/>
      </tp>
      <tp>
        <v>0</v>
        <stp/>
        <stp>bse_cm|KFL26A</stp>
        <stp>Volume Traded Today</stp>
        <tr r="L1372" s="1"/>
      </tp>
      <tp>
        <v>0</v>
        <stp/>
        <stp>bse_cm|KFL26C</stp>
        <stp>Volume Traded Today</stp>
        <tr r="L1304" s="1"/>
      </tp>
      <tp>
        <v>0</v>
        <stp/>
        <stp>bse_cm|KFL26B</stp>
        <stp>Volume Traded Today</stp>
        <tr r="L1305" s="1"/>
      </tp>
      <tp>
        <v>0</v>
        <stp/>
        <stp>bse_cm|KFL28D</stp>
        <stp>Volume Traded Today</stp>
        <tr r="L1299" s="1"/>
      </tp>
      <tp>
        <v>580</v>
        <stp/>
        <stp>bse_cm|IML28C</stp>
        <stp>Volume Traded Today</stp>
        <tr r="L1648" s="1"/>
      </tp>
      <tp>
        <v>1000</v>
        <stp/>
        <stp>nse_cm|956AEL29-N6</stp>
        <stp>Face Value</stp>
        <tr r="Q298" s="1"/>
      </tp>
      <tp>
        <v>906</v>
        <stp/>
        <stp>bse_cm|965ARKA28</stp>
        <stp>Bid Rate</stp>
        <tr r="E1349" s="1"/>
      </tp>
      <tp>
        <v>0</v>
        <stp/>
        <stp>bse_cm|MFL29A</stp>
        <stp>Volume Traded Today</stp>
        <tr r="L1380" s="1"/>
      </tp>
      <tp>
        <v>300</v>
        <stp/>
        <stp>nse_cm|79NHIT40-N2</stp>
        <stp>Face Value</stp>
        <tr r="Q1587" s="1"/>
      </tp>
      <tp>
        <v>0</v>
        <stp/>
        <stp>bse_cm|MML28A</stp>
        <stp>Volume Traded Today</stp>
        <tr r="L1249" s="1"/>
      </tp>
      <tp>
        <v>0</v>
        <stp/>
        <stp>bse_cm|MFL28D</stp>
        <stp>Volume Traded Today</stp>
        <tr r="L1276" s="1"/>
      </tp>
      <tp>
        <v>0</v>
        <stp/>
        <stp>bse_cm|MFL28A</stp>
        <stp>Volume Traded Today</stp>
        <tr r="L1620" s="1"/>
      </tp>
      <tp>
        <v>0</v>
        <stp/>
        <stp>bse_cm|MFL28B</stp>
        <stp>Volume Traded Today</stp>
        <tr r="L1277" s="1"/>
      </tp>
      <tp t="s">
        <v>INE148I07PF6</v>
        <stp/>
        <stp>nse_cm|SCL25B-BI</stp>
        <stp>Isin code</stp>
        <tr r="R1403" s="1"/>
      </tp>
      <tp>
        <v>0</v>
        <stp/>
        <stp>nse_cm|1077IIFL30-N7</stp>
        <stp>% Change</stp>
        <tr r="J996" s="1"/>
      </tp>
      <tp>
        <v>0</v>
        <stp/>
        <stp>nse_cm|925IHFL25E-N8</stp>
        <stp>% Change</stp>
        <tr r="J561" s="1"/>
      </tp>
      <tp>
        <v>1010.3</v>
        <stp/>
        <stp>bse_cm|975AHFL28</stp>
        <stp>Bid Rate</stp>
        <tr r="E324" s="1"/>
      </tp>
      <tp>
        <v>1002</v>
        <stp/>
        <stp>bse_cm|935AHFL28</stp>
        <stp>Bid Rate</stp>
        <tr r="E456" s="1"/>
      </tp>
      <tp t="s">
        <v>1125KLM26A</v>
        <stp/>
        <stp>bse_cm|1125KLM26A</stp>
        <stp>Trading Symbol</stp>
        <tr r="B1226" s="1"/>
      </tp>
      <tp t="s">
        <v>INE511C07714</v>
        <stp/>
        <stp>nse_cm|85PFL26A-N7</stp>
        <stp>Isin code</stp>
        <tr r="R1519" s="1"/>
      </tp>
      <tp>
        <v>0</v>
        <stp/>
        <stp>bse_cm|SCL25A</stp>
        <stp>Volume Traded Today</stp>
        <tr r="L1238" s="1"/>
      </tp>
      <tp>
        <v>0</v>
        <stp/>
        <stp>bse_cm|SCL25B</stp>
        <stp>Volume Traded Today</stp>
        <tr r="L1544" s="1"/>
      </tp>
      <tp>
        <v>0</v>
        <stp/>
        <stp>bse_cm|SFL25A</stp>
        <stp>Volume Traded Today</stp>
        <tr r="L812" s="1"/>
      </tp>
      <tp>
        <v>0</v>
        <stp/>
        <stp>bse_cm|SFL25B</stp>
        <stp>Volume Traded Today</stp>
        <tr r="L1433" s="1"/>
      </tp>
      <tp>
        <v>1075</v>
        <stp/>
        <stp>nse_cm|920PEL28-N2</stp>
        <stp>Prev Close</stp>
        <tr r="P373" s="1"/>
      </tp>
      <tp>
        <v>1000</v>
        <stp/>
        <stp>nse_cm|815LTF24-NK</stp>
        <stp>Face Value</stp>
        <tr r="Q1693" s="1"/>
      </tp>
      <tp>
        <v>1000</v>
        <stp/>
        <stp>nse_cm|829LTF24-NL</stp>
        <stp>Face Value</stp>
        <tr r="Q3" s="1"/>
      </tp>
      <tp>
        <v>1000</v>
        <stp/>
        <stp>nse_cm|845LTF24-NI</stp>
        <stp>Face Value</stp>
        <tr r="Q942" s="1"/>
      </tp>
      <tp>
        <v>0</v>
        <stp/>
        <stp>bse_cm|SCL24A</stp>
        <stp>Volume Traded Today</stp>
        <tr r="L1749" s="1"/>
      </tp>
      <tp>
        <v>0</v>
        <stp/>
        <stp>nse_cm|965IHFL25D-N7</stp>
        <stp>% Change</stp>
        <tr r="J1469" s="1"/>
      </tp>
      <tp>
        <v>0</v>
        <stp/>
        <stp>bse_cm|SFL27A</stp>
        <stp>Volume Traded Today</stp>
        <tr r="L804" s="1"/>
      </tp>
      <tp>
        <v>863</v>
        <stp/>
        <stp>bse_cm|805ABFL28</stp>
        <stp>Bid Rate</stp>
        <tr r="E1371" s="1"/>
      </tp>
      <tp>
        <v>0</v>
        <stp/>
        <stp>nse_cm|925IHFL25D-N6</stp>
        <stp>% Change</stp>
        <tr r="J575" s="1"/>
      </tp>
      <tp>
        <v>0</v>
        <stp/>
        <stp>bse_cm|SFL26A</stp>
        <stp>Volume Traded Today</stp>
        <tr r="L810" s="1"/>
      </tp>
      <tp>
        <v>1000</v>
        <stp/>
        <stp>nse_cm|IIFLZC25-ND</stp>
        <stp>Face Value</stp>
        <tr r="Q1742" s="1"/>
      </tp>
      <tp>
        <v>1000</v>
        <stp/>
        <stp>nse_cm|NIDOZC26-N7</stp>
        <stp>Face Value</stp>
        <tr r="Q28" s="1"/>
      </tp>
      <tp>
        <v>0</v>
        <stp/>
        <stp>nse_cm|77IGT28-NE</stp>
        <stp>Ask Qty</stp>
        <tr r="G1190" s="1"/>
      </tp>
      <tp>
        <v>21</v>
        <stp/>
        <stp>nse_cm|76IGT26-ND</stp>
        <stp>Ask Qty</stp>
        <tr r="G527" s="1"/>
      </tp>
      <tp>
        <v>0</v>
        <stp/>
        <stp>nse_cm|79IGT28-NF</stp>
        <stp>Ask Qty</stp>
        <tr r="G692" s="1"/>
      </tp>
      <tp>
        <v>1224.8</v>
        <stp/>
        <stp>nse_cm|SCL24A-ZS</stp>
        <stp>Ask Rate</stp>
        <tr r="F1751" s="1"/>
      </tp>
      <tp t="s">
        <v>1075CCIL26</v>
        <stp/>
        <stp>bse_cm|1075CCIL26</stp>
        <stp>Trading Symbol</stp>
        <tr r="B1120" s="1"/>
      </tp>
      <tp t="s">
        <v>1075CCIL25</v>
        <stp/>
        <stp>bse_cm|1075CCIL25</stp>
        <stp>Trading Symbol</stp>
        <tr r="B1121" s="1"/>
      </tp>
      <tp>
        <v>200</v>
        <stp/>
        <stp>nse_cm|82IGT31-NJ</stp>
        <stp>Ask Qty</stp>
        <tr r="G375" s="1"/>
      </tp>
      <tp>
        <v>1000</v>
        <stp/>
        <stp>nse_cm|0SCL26-YR</stp>
        <stp xml:space="preserve">Low </stp>
        <tr r="O1622" s="1"/>
      </tp>
      <tp t="s">
        <v>INE148I07MA4</v>
        <stp/>
        <stp>nse_cm|93SCFL25-Z1</stp>
        <stp>Isin code</stp>
        <tr r="R946" s="1"/>
      </tp>
      <tp t="s">
        <v>INE033L07GQ0</v>
        <stp/>
        <stp>nse_cm|83TCHF25-N6</stp>
        <stp>Isin code</stp>
        <tr r="R472" s="1"/>
      </tp>
      <tp t="s">
        <v>1225ICLF26</v>
        <stp/>
        <stp>bse_cm|1225ICLF26</stp>
        <stp>Trading Symbol</stp>
        <tr r="B1217" s="1"/>
      </tp>
      <tp>
        <v>1030</v>
        <stp/>
        <stp>nse_cm|0SCL27-YW</stp>
        <stp xml:space="preserve">Low </stp>
        <tr r="O1616" s="1"/>
      </tp>
      <tp t="s">
        <v>940CAGL27</v>
        <stp/>
        <stp>nse_cm|940CAGL27-NB</stp>
        <stp>Symbol</stp>
        <tr r="A1367" s="1"/>
      </tp>
      <tp t="s">
        <v>965SCFL25</v>
        <stp/>
        <stp>nse_cm|965SCFL25-AB</stp>
        <stp>Symbol</stp>
        <tr r="A664" s="1"/>
      </tp>
      <tp t="s">
        <v>957ICCL25</v>
        <stp/>
        <stp>nse_cm|957ICCL25-YW</stp>
        <stp>Symbol</stp>
        <tr r="A386" s="1"/>
      </tp>
      <tp t="s">
        <v>INE403Q07EJ4</v>
        <stp/>
        <stp>bse_cm|0KFL26</stp>
        <stp>Isin code</stp>
        <tr r="R1047" s="1"/>
      </tp>
      <tp t="s">
        <v>INE549K07BD6</v>
        <stp/>
        <stp>bse_cm|9MFL30</stp>
        <stp>Isin code</stp>
        <tr r="R244" s="1"/>
      </tp>
      <tp t="s">
        <v>INE403Q07CT7</v>
        <stp/>
        <stp>bse_cm|9KFL26</stp>
        <stp>Isin code</stp>
        <tr r="R1084" s="1"/>
      </tp>
      <tp>
        <v>1061.5</v>
        <stp/>
        <stp>bse_cm|91EFSL24A</stp>
        <stp>Bid Rate</stp>
        <tr r="E46" s="1"/>
      </tp>
      <tp t="s">
        <v>925SCFL25</v>
        <stp/>
        <stp>nse_cm|925SCFL25-AD</stp>
        <stp>Symbol</stp>
        <tr r="A773" s="1"/>
      </tp>
      <tp>
        <v>1000</v>
        <stp/>
        <stp>nse_cm|9SCL25-YM</stp>
        <stp xml:space="preserve">Low </stp>
        <tr r="O97" s="1"/>
      </tp>
      <tp>
        <v>851.5</v>
        <stp/>
        <stp>bse_cm|11EFSL34A</stp>
        <stp>Bid Rate</stp>
        <tr r="E1408" s="1"/>
      </tp>
      <tp>
        <v>925</v>
        <stp/>
        <stp>bse_cm|10EFSL34A</stp>
        <stp>Bid Rate</stp>
        <tr r="E131" s="1"/>
      </tp>
      <tp t="s">
        <v>INE01I507752</v>
        <stp/>
        <stp>bse_cm|KAFLZC30</stp>
        <stp>Isin code</stp>
        <tr r="R1314" s="1"/>
      </tp>
      <tp>
        <v>960</v>
        <stp/>
        <stp>nse_cm|925SCL25B-Y3</stp>
        <stp>Prev Close</stp>
        <tr r="P600" s="1"/>
      </tp>
      <tp>
        <v>975</v>
        <stp/>
        <stp>nse_cm|925SCL26B-YQ</stp>
        <stp>Prev Close</stp>
        <tr r="P90" s="1"/>
      </tp>
      <tp>
        <v>820.8</v>
        <stp/>
        <stp>nse_cm|925SCL28B-YC</stp>
        <stp>Prev Close</stp>
        <tr r="P825" s="1"/>
      </tp>
      <tp t="s">
        <v>INE039A07850</v>
        <stp/>
        <stp>bse_cm|IFCIZC25</stp>
        <stp>Isin code</stp>
        <tr r="R1764" s="1"/>
      </tp>
      <tp>
        <v>925.2</v>
        <stp/>
        <stp>nse_cm|948SCL26B-Y8</stp>
        <stp>Prev Close</stp>
        <tr r="P159" s="1"/>
      </tp>
      <tp>
        <v>995</v>
        <stp/>
        <stp>bse_cm|1049DLS25A</stp>
        <stp>High</stp>
        <tr r="N119" s="1"/>
      </tp>
      <tp>
        <v>1000</v>
        <stp/>
        <stp>nse_cm|940SCL26B-Y6</stp>
        <stp>Prev Close</stp>
        <tr r="P795" s="1"/>
      </tp>
      <tp>
        <v>0</v>
        <stp/>
        <stp>bse_cm|MFLV26E</stp>
        <stp>Volume Traded Today</stp>
        <tr r="L352" s="1"/>
      </tp>
      <tp>
        <v>875.2</v>
        <stp/>
        <stp>bse_cm|9ARKA25</stp>
        <stp>Bid Rate</stp>
        <tr r="E1365" s="1"/>
      </tp>
      <tp>
        <v>0</v>
        <stp/>
        <stp>nse_cm|813LTF29-NP</stp>
        <stp>% Change</stp>
        <tr r="J1000" s="1"/>
      </tp>
      <tp>
        <v>1035.5999999999999</v>
        <stp/>
        <stp>nse_cm|965SCL25B-Y1</stp>
        <stp>Prev Close</stp>
        <tr r="P1502" s="1"/>
      </tp>
      <tp>
        <v>1000</v>
        <stp/>
        <stp>nse_cm|965SCL28B-YB</stp>
        <stp>Prev Close</stp>
        <tr r="P819" s="1"/>
      </tp>
      <tp>
        <v>0</v>
        <stp/>
        <stp>bse_cm|MFLI25A</stp>
        <stp>Volume Traded Today</stp>
        <tr r="L362" s="1"/>
      </tp>
      <tp>
        <v>1000</v>
        <stp/>
        <stp>nse_cm|971SCL28B-YD</stp>
        <stp>Prev Close</stp>
        <tr r="P828" s="1"/>
      </tp>
      <tp>
        <v>0</v>
        <stp/>
        <stp>bse_cm|905SC24</stp>
        <stp>LTP</stp>
        <tr r="H573" s="1"/>
      </tp>
      <tp t="s">
        <v>00:00:00</v>
        <stp/>
        <stp>bse_cm|905SC24</stp>
        <stp>LTT</stp>
        <tr r="I573" s="1"/>
      </tp>
      <tp>
        <v>0</v>
        <stp/>
        <stp>nse_cm|980SCL33B-YL</stp>
        <stp>Prev Close</stp>
        <tr r="P837" s="1"/>
      </tp>
      <tp t="s">
        <v>INE051307AK9</v>
        <stp/>
        <stp>bse_cm|CCILZC30</stp>
        <stp>Isin code</stp>
        <tr r="R746" s="1"/>
      </tp>
      <tp>
        <v>0</v>
        <stp/>
        <stp>nse_cm|81TCHF28-N8</stp>
        <stp>% Change</stp>
        <tr r="J467" s="1"/>
      </tp>
      <tp>
        <v>960</v>
        <stp/>
        <stp>nse_cm|990SCL26B-Y7</stp>
        <stp>Prev Close</stp>
        <tr r="P798" s="1"/>
      </tp>
      <tp>
        <v>1000</v>
        <stp/>
        <stp>nse_cm|CAGL25-N8</stp>
        <stp>Face Value</stp>
        <tr r="Q710" s="1"/>
      </tp>
      <tp>
        <v>4</v>
        <stp/>
        <stp>nse_cm|NIDOZC26-N7</stp>
        <stp>Bid Qty</stp>
        <tr r="D28" s="1"/>
      </tp>
      <tp>
        <v>1000</v>
        <stp/>
        <stp>nse_cm|ABFL26-N1</stp>
        <stp>Face Value</stp>
        <tr r="Q1679" s="1"/>
      </tp>
      <tp>
        <v>0</v>
        <stp/>
        <stp>bse_cm|MFLV29E</stp>
        <stp>Volume Traded Today</stp>
        <tr r="L650" s="1"/>
      </tp>
      <tp>
        <v>-100</v>
        <stp/>
        <stp>bse_cm|ICCL25</stp>
        <stp>% Change</stp>
        <tr r="J1330" s="1"/>
      </tp>
      <tp>
        <v>980</v>
        <stp/>
        <stp>bse_cm|967EFSL29A</stp>
        <stp xml:space="preserve">Low </stp>
        <tr r="O180" s="1"/>
      </tp>
      <tp t="s">
        <v>SCLZC26D</v>
        <stp/>
        <stp>nse_cm|SCLZC26D-NO</stp>
        <stp>Symbol</stp>
        <tr r="A901" s="1"/>
      </tp>
      <tp t="s">
        <v>SCLZC25D</v>
        <stp/>
        <stp>nse_cm|SCLZC25D-NJ</stp>
        <stp>Symbol</stp>
        <tr r="A1699" s="1"/>
      </tp>
      <tp>
        <v>0</v>
        <stp/>
        <stp>bse_cm|1045EFS34A</stp>
        <stp>High</stp>
        <tr r="N1029" s="1"/>
      </tp>
      <tp t="s">
        <v>NSE</v>
        <stp/>
        <stp>nse_cm|CIFC26A-N9</stp>
        <stp>Exchange</stp>
        <tr r="C739" s="1"/>
      </tp>
      <tp>
        <v>1071.8</v>
        <stp/>
        <stp>bse_cm|9PEL25</stp>
        <stp>Prev Close</stp>
        <tr r="P315" s="1"/>
      </tp>
      <tp>
        <v>0</v>
        <stp/>
        <stp>nse_cm|888SCL25E-N4</stp>
        <stp>Ask Rate</stp>
        <tr r="F1444" s="1"/>
      </tp>
      <tp t="s">
        <v>INE414G07GN9</v>
        <stp/>
        <stp>bse_cm|MFLIII25</stp>
        <stp>Isin code</stp>
        <tr r="R1501" s="1"/>
      </tp>
      <tp t="s">
        <v>NSE</v>
        <stp/>
        <stp>nse_cm|CAGL25A-N4</stp>
        <stp>Exchange</stp>
        <tr r="C709" s="1"/>
      </tp>
      <tp t="s">
        <v>NSE</v>
        <stp/>
        <stp>nse_cm|CAGL27A-N6</stp>
        <stp>Exchange</stp>
        <tr r="C758" s="1"/>
      </tp>
      <tp>
        <v>1000</v>
        <stp/>
        <stp>bse_cm|950KLMF26</stp>
        <stp>Face Value</stp>
        <tr r="Q278" s="1"/>
      </tp>
      <tp>
        <v>953.02</v>
        <stp/>
        <stp>bse_cm|8ABFL26</stp>
        <stp>Bid Rate</stp>
        <tr r="E539" s="1"/>
      </tp>
      <tp>
        <v>1026</v>
        <stp/>
        <stp>nse_cm|965SCL25B-Y1</stp>
        <stp>Bid Rate</stp>
        <tr r="E1502" s="1"/>
      </tp>
      <tp>
        <v>0</v>
        <stp/>
        <stp>nse_cm|843SCFL27-YB</stp>
        <stp>Open</stp>
        <tr r="M929" s="1"/>
      </tp>
      <tp>
        <v>0</v>
        <stp/>
        <stp>nse_cm|925SCL25H-Y0</stp>
        <stp>Bid Rate</stp>
        <tr r="E791" s="1"/>
      </tp>
      <tp>
        <v>1000</v>
        <stp/>
        <stp>bse_cm|915NWIL25</stp>
        <stp>Face Value</stp>
        <tr r="Q620" s="1"/>
      </tp>
      <tp>
        <v>1000</v>
        <stp/>
        <stp>bse_cm|115CCIL28</stp>
        <stp>Face Value</stp>
        <tr r="Q382" s="1"/>
      </tp>
      <tp>
        <v>1000</v>
        <stp/>
        <stp>bse_cm|916NWIL27</stp>
        <stp>Face Value</stp>
        <tr r="Q209" s="1"/>
      </tp>
      <tp>
        <v>958</v>
        <stp/>
        <stp>nse_cm|925SCL25B-Y3</stp>
        <stp>Bid Rate</stp>
        <tr r="E600" s="1"/>
      </tp>
      <tp>
        <v>-100</v>
        <stp/>
        <stp>nse_cm|815LTF24-NK</stp>
        <stp>% Change</stp>
        <tr r="J1693" s="1"/>
      </tp>
      <tp>
        <v>842.8</v>
        <stp/>
        <stp>bse_cm|CCI110324A</stp>
        <stp xml:space="preserve">Low </stp>
        <tr r="O1590" s="1"/>
      </tp>
      <tp>
        <v>0</v>
        <stp/>
        <stp>bse_cm|CCIL14824B</stp>
        <stp xml:space="preserve">Low </stp>
        <tr r="O752" s="1"/>
      </tp>
      <tp>
        <v>0</v>
        <stp/>
        <stp>bse_cm|CCIL14824C</stp>
        <stp xml:space="preserve">Low </stp>
        <tr r="O751" s="1"/>
      </tp>
      <tp>
        <v>1091.26</v>
        <stp/>
        <stp>nse_cm|764IRFC31-NO</stp>
        <stp xml:space="preserve">Low </stp>
        <tr r="O468" s="1"/>
      </tp>
      <tp>
        <v>1000</v>
        <stp/>
        <stp>bse_cm|MML27524A</stp>
        <stp>Face Value</stp>
        <tr r="Q1250" s="1"/>
      </tp>
      <tp>
        <v>1030</v>
        <stp/>
        <stp>nse_cm|0SCL27-YW</stp>
        <stp>Prev Close</stp>
        <tr r="P1616" s="1"/>
      </tp>
      <tp>
        <v>0</v>
        <stp/>
        <stp>nse_cm|815LTF27-NO</stp>
        <stp>% Change</stp>
        <tr r="J1001" s="1"/>
      </tp>
      <tp>
        <v>950</v>
        <stp/>
        <stp>bse_cm|CCIL14824A</stp>
        <stp xml:space="preserve">Low </stp>
        <tr r="O590" s="1"/>
      </tp>
      <tp>
        <v>1020.5</v>
        <stp/>
        <stp>bse_cm|975JMFCS28</stp>
        <stp xml:space="preserve">Low </stp>
        <tr r="O275" s="1"/>
      </tp>
      <tp>
        <v>1000</v>
        <stp/>
        <stp>bse_cm|940SCL26A</stp>
        <stp>Face Value</stp>
        <tr r="Q920" s="1"/>
      </tp>
      <tp>
        <v>667</v>
        <stp/>
        <stp>bse_cm|940SCL26C</stp>
        <stp>Face Value</stp>
        <tr r="Q794" s="1"/>
      </tp>
      <tp>
        <v>1000</v>
        <stp/>
        <stp>bse_cm|940SCL26B</stp>
        <stp>Face Value</stp>
        <tr r="Q905" s="1"/>
      </tp>
      <tp>
        <v>900.3</v>
        <stp/>
        <stp>nse_cm|835SCL23B-YM</stp>
        <stp>Bid Rate</stp>
        <tr r="E179" s="1"/>
      </tp>
      <tp t="s">
        <v>INE804IA7253</v>
        <stp/>
        <stp>bse_cm|104ECL29</stp>
        <stp>Isin code</stp>
        <tr r="R149" s="1"/>
      </tp>
      <tp>
        <v>1005.6</v>
        <stp/>
        <stp>bse_cm|934JMFCS28</stp>
        <stp xml:space="preserve">Low </stp>
        <tr r="O325" s="1"/>
      </tp>
      <tp>
        <v>825.2</v>
        <stp/>
        <stp>nse_cm|925SCL26A-YN</stp>
        <stp>Bid Rate</stp>
        <tr r="E838" s="1"/>
      </tp>
      <tp>
        <v>0</v>
        <stp/>
        <stp>nse_cm|846REC28-N6</stp>
        <stp>% Change</stp>
        <tr r="J548" s="1"/>
      </tp>
      <tp>
        <v>0</v>
        <stp/>
        <stp>bse_cm|935MMFSL29</stp>
        <stp xml:space="preserve">Low </stp>
        <tr r="O1174" s="1"/>
      </tp>
      <tp>
        <v>0</v>
        <stp/>
        <stp>nse_cm|888SCL25D-NC</stp>
        <stp>Ask Rate</stp>
        <tr r="F916" s="1"/>
      </tp>
      <tp>
        <v>950</v>
        <stp/>
        <stp>bse_cm|1050EFSL29</stp>
        <stp xml:space="preserve">Low </stp>
        <tr r="O1484" s="1"/>
      </tp>
      <tp>
        <v>951</v>
        <stp/>
        <stp>bse_cm|1004EFSL29</stp>
        <stp xml:space="preserve">Low </stp>
        <tr r="O1586" s="1"/>
      </tp>
      <tp>
        <v>979</v>
        <stp/>
        <stp>bse_cm|1010EFSL29</stp>
        <stp xml:space="preserve">Low </stp>
        <tr r="O1459" s="1"/>
      </tp>
      <tp>
        <v>-100</v>
        <stp/>
        <stp>bse_cm|MFL26Z</stp>
        <stp>% Change</stp>
        <tr r="J1655" s="1"/>
      </tp>
      <tp>
        <v>0</v>
        <stp/>
        <stp>bse_cm|MFLTDVII27</stp>
        <stp>Ask Rate</stp>
        <tr r="F1562" s="1"/>
      </tp>
      <tp>
        <v>10</v>
        <stp/>
        <stp>nse_cm|CIF27-NM</stp>
        <stp>Bid Qty</stp>
        <tr r="D1665" s="1"/>
      </tp>
      <tp>
        <v>25</v>
        <stp/>
        <stp>nse_cm|CIF29-NO</stp>
        <stp>Bid Qty</stp>
        <tr r="D743" s="1"/>
      </tp>
      <tp>
        <v>1000</v>
        <stp/>
        <stp>bse_cm|944MFL28A</stp>
        <stp>Face Value</stp>
        <tr r="Q1073" s="1"/>
      </tp>
      <tp>
        <v>815.85</v>
        <stp/>
        <stp>nse_cm|875SCL23A-YI</stp>
        <stp>Bid Rate</stp>
        <tr r="E1477" s="1"/>
      </tp>
      <tp>
        <v>815.7</v>
        <stp/>
        <stp>nse_cm|965SCL28B-YB</stp>
        <stp>Bid Rate</stp>
        <tr r="E819" s="1"/>
      </tp>
      <tp>
        <v>940.2</v>
        <stp/>
        <stp>bse_cm|1010EFSL28</stp>
        <stp xml:space="preserve">Low </stp>
        <tr r="O663" s="1"/>
      </tp>
      <tp>
        <v>0</v>
        <stp/>
        <stp>bse_cm|79IGT28</stp>
        <stp>Open</stp>
        <tr r="M1183" s="1"/>
      </tp>
      <tp>
        <v>1059.99</v>
        <stp/>
        <stp>nse_cm|734IRFC28-N4</stp>
        <stp xml:space="preserve">Low </stp>
        <tr r="O455" s="1"/>
      </tp>
      <tp>
        <v>815.8</v>
        <stp/>
        <stp>nse_cm|835SCL23A-YH</stp>
        <stp>Bid Rate</stp>
        <tr r="E833" s="1"/>
      </tp>
      <tp>
        <v>820.8</v>
        <stp/>
        <stp>nse_cm|925SCL28B-YC</stp>
        <stp>Bid Rate</stp>
        <tr r="E825" s="1"/>
      </tp>
      <tp>
        <v>1005</v>
        <stp/>
        <stp>bse_cm|994SMCGS29</stp>
        <stp xml:space="preserve">Low </stp>
        <tr r="O221" s="1"/>
      </tp>
      <tp>
        <v>667</v>
        <stp/>
        <stp>bse_cm|948SCL26D</stp>
        <stp>Face Value</stp>
        <tr r="Q1081" s="1"/>
      </tp>
      <tp>
        <v>1000</v>
        <stp/>
        <stp>bse_cm|948SCL26A</stp>
        <stp>Face Value</stp>
        <tr r="Q494" s="1"/>
      </tp>
      <tp>
        <v>1000</v>
        <stp/>
        <stp>bse_cm|948SCL26B</stp>
        <stp>Face Value</stp>
        <tr r="Q470" s="1"/>
      </tp>
      <tp>
        <v>667</v>
        <stp/>
        <stp>bse_cm|948SCL26I</stp>
        <stp>Face Value</stp>
        <tr r="Q1080" s="1"/>
      </tp>
      <tp>
        <v>1000</v>
        <stp/>
        <stp>bse_cm|948SCL27A</stp>
        <stp>Face Value</stp>
        <tr r="Q697" s="1"/>
      </tp>
      <tp>
        <v>0</v>
        <stp/>
        <stp>bse_cm|CIF27</stp>
        <stp>Ask Qty</stp>
        <tr r="G745" s="1"/>
      </tp>
      <tp>
        <v>0</v>
        <stp/>
        <stp>bse_cm|CIF29</stp>
        <stp>Ask Qty</stp>
        <tr r="G744" s="1"/>
      </tp>
      <tp t="s">
        <v>INE804IA7246</v>
        <stp/>
        <stp>bse_cm|995ECL29</stp>
        <stp>Isin code</stp>
        <tr r="R198" s="1"/>
      </tp>
      <tp>
        <v>0</v>
        <stp/>
        <stp>nse_cm|1003SCL31-ZQ</stp>
        <stp>Open</stp>
        <tr r="M688" s="1"/>
      </tp>
      <tp>
        <v>1100</v>
        <stp/>
        <stp>nse_cm|948SCL26A-NN</stp>
        <stp>Ask Rate</stp>
        <tr r="F526" s="1"/>
      </tp>
      <tp>
        <v>945.33</v>
        <stp/>
        <stp>bse_cm|830JMFPL30</stp>
        <stp xml:space="preserve">Low </stp>
        <tr r="O251" s="1"/>
      </tp>
      <tp>
        <v>1033</v>
        <stp/>
        <stp>bse_cm|805MMFSL32</stp>
        <stp xml:space="preserve">Low </stp>
        <tr r="O401" s="1"/>
      </tp>
      <tp>
        <v>0</v>
        <stp/>
        <stp>bse_cm|89MFL26</stp>
        <stp>Open</stp>
        <tr r="M250" s="1"/>
      </tp>
      <tp t="s">
        <v>INE403Q07EL0</v>
        <stp/>
        <stp>bse_cm|950KFL27</stp>
        <stp>Isin code</stp>
        <tr r="R143" s="1"/>
      </tp>
      <tp t="s">
        <v>INE403Q07CW1</v>
        <stp/>
        <stp>bse_cm|925KFL27</stp>
        <stp>Isin code</stp>
        <tr r="R313" s="1"/>
      </tp>
      <tp>
        <v>1014</v>
        <stp/>
        <stp>bse_cm|99AEL29</stp>
        <stp>Open</stp>
        <tr r="M243" s="1"/>
      </tp>
      <tp>
        <v>970.2</v>
        <stp/>
        <stp>bse_cm|MFLI25A</stp>
        <stp>Bid Rate</stp>
        <tr r="E362" s="1"/>
      </tp>
      <tp>
        <v>1025</v>
        <stp/>
        <stp>bse_cm|981JMFCS28</stp>
        <stp xml:space="preserve">Low </stp>
        <tr r="O295" s="1"/>
      </tp>
      <tp t="s">
        <v>INE530B07252</v>
        <stp/>
        <stp>bse_cm|85IIFL25</stp>
        <stp>Isin code</stp>
        <tr r="R134" s="1"/>
      </tp>
      <tp t="s">
        <v>INE530B07336</v>
        <stp/>
        <stp>bse_cm|835IFL25</stp>
        <stp>Isin code</stp>
        <tr r="R668" s="1"/>
      </tp>
      <tp>
        <v>1000</v>
        <stp/>
        <stp>bse_cm|115ICLFL25</stp>
        <stp>High</stp>
        <tr r="N1223" s="1"/>
      </tp>
      <tp>
        <v>0</v>
        <stp/>
        <stp>bse_cm|89SCL24</stp>
        <stp>Open</stp>
        <tr r="M1153" s="1"/>
      </tp>
      <tp>
        <v>0</v>
        <stp/>
        <stp>bse_cm|98SCL34</stp>
        <stp>Open</stp>
        <tr r="M1053" s="1"/>
      </tp>
      <tp>
        <v>1014.4</v>
        <stp/>
        <stp>nse_cm|99AEL29-N7</stp>
        <stp>Ask Rate</stp>
        <tr r="F246" s="1"/>
      </tp>
      <tp>
        <v>1085.2</v>
        <stp/>
        <stp>bse_cm|EFSL25A</stp>
        <stp>Bid Rate</stp>
        <tr r="E1706" s="1"/>
      </tp>
      <tp>
        <v>985</v>
        <stp/>
        <stp>bse_cm|1150CCIL29</stp>
        <stp>High</stp>
        <tr r="N424" s="1"/>
      </tp>
      <tp>
        <v>0</v>
        <stp/>
        <stp>bse_cm|99SCL27</stp>
        <stp>Open</stp>
        <tr r="M1169" s="1"/>
      </tp>
      <tp>
        <v>1062.5</v>
        <stp/>
        <stp>bse_cm|EFSL25B</stp>
        <stp>Bid Rate</stp>
        <tr r="E1682" s="1"/>
      </tp>
      <tp>
        <v>1298</v>
        <stp/>
        <stp>nse_cm|892NHPC33-N6</stp>
        <stp>High</stp>
        <tr r="N534" s="1"/>
      </tp>
      <tp>
        <v>995</v>
        <stp/>
        <stp>bse_cm|105UCL2026</stp>
        <stp>High</stp>
        <tr r="N319" s="1"/>
      </tp>
      <tp>
        <v>1000</v>
        <stp/>
        <stp>bse_cm|1150CCIL28</stp>
        <stp>High</stp>
        <tr r="N460" s="1"/>
      </tp>
      <tp>
        <v>0</v>
        <stp/>
        <stp>bse_cm|EFSL28A</stp>
        <stp>ATP</stp>
        <tr r="K1335" s="1"/>
      </tp>
      <tp>
        <v>0</v>
        <stp/>
        <stp>bse_cm|92LTF29</stp>
        <stp>Volume Traded Today</stp>
        <tr r="L1088" s="1"/>
      </tp>
      <tp>
        <v>-100</v>
        <stp/>
        <stp>bse_cm|MML26A</stp>
        <stp>% Change</stp>
        <tr r="J1642" s="1"/>
      </tp>
      <tp>
        <v>0</v>
        <stp/>
        <stp>bse_cm|EFSL24C</stp>
        <stp>ATP</stp>
        <tr r="K1755" s="1"/>
      </tp>
      <tp>
        <v>-100</v>
        <stp/>
        <stp>bse_cm|MFL26D</stp>
        <stp>% Change</stp>
        <tr r="J1279" s="1"/>
      </tp>
      <tp>
        <v>999.2</v>
        <stp/>
        <stp>bse_cm|10SMCGSL26</stp>
        <stp>High</stp>
        <tr r="N138" s="1"/>
      </tp>
      <tp>
        <v>0</v>
        <stp/>
        <stp>bse_cm|EFSL25A</stp>
        <stp>ATP</stp>
        <tr r="K1706" s="1"/>
      </tp>
      <tp>
        <v>0</v>
        <stp/>
        <stp>bse_cm|EFSL25B</stp>
        <stp>ATP</stp>
        <tr r="K1682" s="1"/>
      </tp>
      <tp>
        <v>-100</v>
        <stp/>
        <stp>bse_cm|MFL26E</stp>
        <stp>% Change</stp>
        <tr r="J1533" s="1"/>
      </tp>
      <tp>
        <v>0</v>
        <stp/>
        <stp>bse_cm|EFSL26A</stp>
        <stp>ATP</stp>
        <tr r="K1567" s="1"/>
      </tp>
      <tp>
        <v>0</v>
        <stp/>
        <stp>bse_cm|EFSL26B</stp>
        <stp>ATP</stp>
        <tr r="K1564" s="1"/>
      </tp>
      <tp>
        <v>0</v>
        <stp/>
        <stp>bse_cm|EFSL26C</stp>
        <stp>ATP</stp>
        <tr r="K1650" s="1"/>
      </tp>
      <tp>
        <v>0</v>
        <stp/>
        <stp>bse_cm|EFSL26D</stp>
        <stp>ATP</stp>
        <tr r="K1617" s="1"/>
      </tp>
      <tp>
        <v>-100</v>
        <stp/>
        <stp>bse_cm|MFL26F</stp>
        <stp>% Change</stp>
        <tr r="J1278" s="1"/>
      </tp>
      <tp>
        <v>1085</v>
        <stp/>
        <stp>bse_cm|MFLTDIII24</stp>
        <stp>Ask Rate</stp>
        <tr r="F1721" s="1"/>
      </tp>
      <tp>
        <v>990</v>
        <stp/>
        <stp>bse_cm|EFSL27A</stp>
        <stp>ATP</stp>
        <tr r="K1649" s="1"/>
      </tp>
      <tp>
        <v>920.3</v>
        <stp/>
        <stp>nse_cm|925SCL26B-YQ</stp>
        <stp>Bid Rate</stp>
        <tr r="E90" s="1"/>
      </tp>
      <tp>
        <v>955</v>
        <stp/>
        <stp>bse_cm|1075CCIL26</stp>
        <stp>High</stp>
        <tr r="N1120" s="1"/>
      </tp>
      <tp>
        <v>-100</v>
        <stp/>
        <stp>bse_cm|KFL30A</stp>
        <stp>% Change</stp>
        <tr r="J1592" s="1"/>
      </tp>
      <tp>
        <v>-100</v>
        <stp/>
        <stp>bse_cm|MFL26A</stp>
        <stp>% Change</stp>
        <tr r="J1557" s="1"/>
      </tp>
      <tp>
        <v>-100</v>
        <stp/>
        <stp>bse_cm|MFL26B</stp>
        <stp>% Change</stp>
        <tr r="J1280" s="1"/>
      </tp>
      <tp>
        <v>-100</v>
        <stp/>
        <stp>bse_cm|MFL26C</stp>
        <stp>% Change</stp>
        <tr r="J1669" s="1"/>
      </tp>
      <tp>
        <v>985</v>
        <stp/>
        <stp>bse_cm|1075CCIL25</stp>
        <stp>High</stp>
        <tr r="N1121" s="1"/>
      </tp>
      <tp>
        <v>998</v>
        <stp/>
        <stp>bse_cm|1050CCIL25</stp>
        <stp>High</stp>
        <tr r="N2" s="1"/>
      </tp>
      <tp>
        <v>1000</v>
        <stp/>
        <stp>bse_cm|CCIL110324</stp>
        <stp>High</stp>
        <tr r="N754" s="1"/>
      </tp>
      <tp>
        <v>1049</v>
        <stp/>
        <stp>bse_cm|125ICLFL28</stp>
        <stp>High</stp>
        <tr r="N264" s="1"/>
      </tp>
      <tp>
        <v>0</v>
        <stp/>
        <stp>bse_cm|KFL30A</stp>
        <stp>Volume Traded Today</stp>
        <tr r="L1592" s="1"/>
      </tp>
      <tp>
        <v>0</v>
        <stp/>
        <stp>bse_cm|MFL31A</stp>
        <stp>Volume Traded Today</stp>
        <tr r="L1275" s="1"/>
      </tp>
      <tp>
        <v>0</v>
        <stp/>
        <stp>bse_cm|MFL30A</stp>
        <stp>Volume Traded Today</stp>
        <tr r="L1370" s="1"/>
      </tp>
      <tp>
        <v>1000</v>
        <stp/>
        <stp>nse_cm|11DLSL25-NV</stp>
        <stp>Face Value</stp>
        <tr r="Q48" s="1"/>
      </tp>
      <tp t="s">
        <v>INE148I07PE9</v>
        <stp/>
        <stp>nse_cm|SCL25A-BH</stp>
        <stp>Isin code</stp>
        <tr r="R1237" s="1"/>
      </tp>
      <tp t="s">
        <v>1025SCL34A</v>
        <stp/>
        <stp>bse_cm|1025SCL34A</stp>
        <stp>Trading Symbol</stp>
        <tr r="B672" s="1"/>
      </tp>
      <tp t="s">
        <v>1025SCL33A</v>
        <stp/>
        <stp>bse_cm|1025SCL33A</stp>
        <stp>Trading Symbol</stp>
        <tr r="B835" s="1"/>
      </tp>
      <tp t="s">
        <v>1025KFL27A</v>
        <stp/>
        <stp>bse_cm|1025KFL27A</stp>
        <stp>Trading Symbol</stp>
        <tr r="B89" s="1"/>
      </tp>
      <tp t="s">
        <v>1025KFL26C</v>
        <stp/>
        <stp>bse_cm|1025KFL26C</stp>
        <stp>Trading Symbol</stp>
        <tr r="B459" s="1"/>
      </tp>
      <tp t="s">
        <v>1025KFL26B</v>
        <stp/>
        <stp>bse_cm|1025KFL26B</stp>
        <stp>Trading Symbol</stp>
        <tr r="B1422" s="1"/>
      </tp>
      <tp t="s">
        <v>1025KFL26A</v>
        <stp/>
        <stp>bse_cm|1025KFL26A</stp>
        <stp>Trading Symbol</stp>
        <tr r="B525" s="1"/>
      </tp>
      <tp t="s">
        <v>1025SFL25A</v>
        <stp/>
        <stp>bse_cm|1025SFL25A</stp>
        <stp>Trading Symbol</stp>
        <tr r="B1070" s="1"/>
      </tp>
      <tp t="s">
        <v>EFSLZC28</v>
        <stp/>
        <stp>bse_cm|EFSLZC28</stp>
        <stp>Trading Symbol</stp>
        <tr r="B1637" s="1"/>
      </tp>
      <tp t="s">
        <v>EFSLZC25</v>
        <stp/>
        <stp>bse_cm|EFSLZC25</stp>
        <stp>Trading Symbol</stp>
        <tr r="B1741" s="1"/>
      </tp>
      <tp t="s">
        <v>EFSLZC26</v>
        <stp/>
        <stp>bse_cm|EFSLZC26</stp>
        <stp>Trading Symbol</stp>
        <tr r="B1712" s="1"/>
      </tp>
      <tp>
        <v>0</v>
        <stp/>
        <stp>nse_cm|866IIFC34B-N3</stp>
        <stp>% Change</stp>
        <tr r="J25" s="1"/>
      </tp>
      <tp t="s">
        <v>SFL2722024</v>
        <stp/>
        <stp>bse_cm|SFL2722024</stp>
        <stp>Trading Symbol</stp>
        <tr r="B806" s="1"/>
      </tp>
      <tp t="s">
        <v>INE504L07CE5</v>
        <stp/>
        <stp>bse_cm|RFLNIFT25</stp>
        <stp>Isin code</stp>
        <tr r="R1242" s="1"/>
      </tp>
      <tp t="s">
        <v>SFL270224A</v>
        <stp/>
        <stp>bse_cm|SFL270224A</stp>
        <stp>Trading Symbol</stp>
        <tr r="B807" s="1"/>
      </tp>
      <tp>
        <v>1000</v>
        <stp/>
        <stp>nse_cm|829PFL29-N6</stp>
        <stp>Prev Close</stp>
        <tr r="P1451" s="1"/>
      </tp>
      <tp t="s">
        <v>IFL1942024</v>
        <stp/>
        <stp>bse_cm|IFL1942024</stp>
        <stp>Trading Symbol</stp>
        <tr r="B1594" s="1"/>
      </tp>
      <tp t="s">
        <v>IML1622024</v>
        <stp/>
        <stp>bse_cm|IML1622024</stp>
        <stp>Trading Symbol</stp>
        <tr r="B1328" s="1"/>
      </tp>
      <tp>
        <v>0</v>
        <stp/>
        <stp>bse_cm|971SCL28I</stp>
        <stp>Ask Rate</stp>
        <tr r="F1471" s="1"/>
      </tp>
      <tp>
        <v>0</v>
        <stp/>
        <stp>bse_cm|925SCL28I</stp>
        <stp>Ask Rate</stp>
        <tr r="F822" s="1"/>
      </tp>
      <tp>
        <v>1000</v>
        <stp/>
        <stp>nse_cm|IIFLZC26-NN</stp>
        <stp>Face Value</stp>
        <tr r="Q1696" s="1"/>
      </tp>
      <tp t="s">
        <v>INE532F07DW8</v>
        <stp/>
        <stp>bse_cm|EFSL28</stp>
        <stp>Isin code</stp>
        <tr r="R1609" s="1"/>
      </tp>
      <tp>
        <v>936</v>
        <stp/>
        <stp>bse_cm|96IIFL28A</stp>
        <stp>Bid Rate</stp>
        <tr r="E88" s="1"/>
      </tp>
      <tp>
        <v>0</v>
        <stp/>
        <stp>bse_cm|971SCL28A</stp>
        <stp>Ask Rate</stp>
        <tr r="F1027" s="1"/>
      </tp>
      <tp>
        <v>0</v>
        <stp/>
        <stp>bse_cm|965SCL28A</stp>
        <stp>Ask Rate</stp>
        <tr r="F1136" s="1"/>
      </tp>
      <tp>
        <v>0</v>
        <stp/>
        <stp>bse_cm|925SCL28A</stp>
        <stp>Ask Rate</stp>
        <tr r="F938" s="1"/>
      </tp>
      <tp>
        <v>0</v>
        <stp/>
        <stp>bse_cm|971SCL28B</stp>
        <stp>Ask Rate</stp>
        <tr r="F714" s="1"/>
      </tp>
      <tp>
        <v>0</v>
        <stp/>
        <stp>bse_cm|965SCL28B</stp>
        <stp>Ask Rate</stp>
        <tr r="F896" s="1"/>
      </tp>
      <tp>
        <v>0</v>
        <stp/>
        <stp>bse_cm|925SCL28B</stp>
        <stp>Ask Rate</stp>
        <tr r="F894" s="1"/>
      </tp>
      <tp t="s">
        <v>INE033L07GP2</v>
        <stp/>
        <stp>nse_cm|82TCHF25-N5</stp>
        <stp>Isin code</stp>
        <tr r="R1014" s="1"/>
      </tp>
      <tp>
        <v>0</v>
        <stp/>
        <stp>bse_cm|971SCL28C</stp>
        <stp>Ask Rate</stp>
        <tr r="F827" s="1"/>
      </tp>
      <tp>
        <v>0</v>
        <stp/>
        <stp>bse_cm|965SCL28C</stp>
        <stp>Ask Rate</stp>
        <tr r="F818" s="1"/>
      </tp>
      <tp>
        <v>0</v>
        <stp/>
        <stp>bse_cm|925SCL28C</stp>
        <stp>Ask Rate</stp>
        <tr r="F824" s="1"/>
      </tp>
      <tp>
        <v>972.11</v>
        <stp/>
        <stp>bse_cm|10IIFL28A</stp>
        <stp>Bid Rate</stp>
        <tr r="E101" s="1"/>
      </tp>
      <tp t="s">
        <v>945CAGL24</v>
        <stp/>
        <stp>nse_cm|945CAGL24-N1</stp>
        <stp>Symbol</stp>
        <tr r="A1704" s="1"/>
      </tp>
      <tp t="s">
        <v>843SCFL27</v>
        <stp/>
        <stp>nse_cm|843SCFL27-YB</stp>
        <stp>Symbol</stp>
        <tr r="A929" s="1"/>
      </tp>
      <tp t="s">
        <v>875SCFL27</v>
        <stp/>
        <stp>nse_cm|875SCFL27-Y9</stp>
        <stp>Symbol</stp>
        <tr r="A927" s="1"/>
      </tp>
      <tp>
        <v>420</v>
        <stp/>
        <stp>nse_cm|82IGT31-NJ</stp>
        <stp>Bid Qty</stp>
        <tr r="D375" s="1"/>
      </tp>
      <tp>
        <v>0</v>
        <stp/>
        <stp>nse_cm|1025ICCL26-NT</stp>
        <stp>% Change</stp>
        <tr r="J771" s="1"/>
      </tp>
      <tp t="s">
        <v>INE530L07491</v>
        <stp/>
        <stp>bse_cm|NIDO27</stp>
        <stp>Isin code</stp>
        <tr r="R1661" s="1"/>
      </tp>
      <tp t="s">
        <v>INE403Q07EK2</v>
        <stp/>
        <stp>bse_cm|0KFL25</stp>
        <stp>Isin code</stp>
        <tr r="R1604" s="1"/>
      </tp>
      <tp t="s">
        <v>INE148I07KP6</v>
        <stp/>
        <stp>nse_cm|975SCL28-NT</stp>
        <stp>Isin code</stp>
        <tr r="R142" s="1"/>
      </tp>
      <tp t="s">
        <v>INE148I07NI5</v>
        <stp/>
        <stp>nse_cm|905SCL25-ZT</stp>
        <stp>Isin code</stp>
        <tr r="R977" s="1"/>
      </tp>
      <tp t="s">
        <v>INE148I07NM7</v>
        <stp/>
        <stp>nse_cm|916SCL25-ZW</stp>
        <stp>Isin code</stp>
        <tr r="R1576" s="1"/>
      </tp>
      <tp>
        <v>500</v>
        <stp/>
        <stp>nse_cm|79IGT28-NF</stp>
        <stp>Bid Qty</stp>
        <tr r="D692" s="1"/>
      </tp>
      <tp>
        <v>20</v>
        <stp/>
        <stp>nse_cm|77IGT28-NE</stp>
        <stp>Bid Qty</stp>
        <tr r="D1190" s="1"/>
      </tp>
      <tp>
        <v>20</v>
        <stp/>
        <stp>nse_cm|76IGT26-ND</stp>
        <stp>Bid Qty</stp>
        <tr r="D527" s="1"/>
      </tp>
      <tp t="s">
        <v>990SCFL26</v>
        <stp/>
        <stp>nse_cm|990SCFL26-AJ</stp>
        <stp>Symbol</stp>
        <tr r="A1523" s="1"/>
      </tp>
      <tp t="s">
        <v>889SCFL27</v>
        <stp/>
        <stp>nse_cm|889SCFL27-YC</stp>
        <stp>Symbol</stp>
        <tr r="A595" s="1"/>
      </tp>
      <tp t="s">
        <v>9PCHFL31A</v>
        <stp/>
        <stp>bse_cm|9PCHFL31A</stp>
        <stp>Symbol</stp>
        <tr r="A301" s="1"/>
      </tp>
      <tp>
        <v>0</v>
        <stp/>
        <stp>nse_cm|824LTF27-NQ</stp>
        <stp>% Change</stp>
        <tr r="J999" s="1"/>
      </tp>
      <tp>
        <v>1000</v>
        <stp/>
        <stp>nse_cm|902SCL26A-NM</stp>
        <stp>Prev Close</stp>
        <tr r="P904" s="1"/>
      </tp>
      <tp>
        <v>1120</v>
        <stp/>
        <stp>nse_cm|IIFLZC26A-NR</stp>
        <stp xml:space="preserve">Low </stp>
        <tr r="O1680" s="1"/>
      </tp>
      <tp>
        <v>1000</v>
        <stp/>
        <stp>nse_cm|902SCL27A-ZI</stp>
        <stp>Prev Close</stp>
        <tr r="P1353" s="1"/>
      </tp>
      <tp>
        <v>0</v>
        <stp/>
        <stp>bse_cm|88SCL25</stp>
        <stp>ATP</stp>
        <tr r="K987" s="1"/>
      </tp>
      <tp>
        <v>0</v>
        <stp/>
        <stp>bse_cm|88MFL28</stp>
        <stp>ATP</stp>
        <tr r="K233" s="1"/>
      </tp>
      <tp>
        <v>1124</v>
        <stp/>
        <stp>nse_cm|IIFLZC25A-NP</stp>
        <stp xml:space="preserve">Low </stp>
        <tr r="O1578" s="1"/>
      </tp>
      <tp>
        <v>993.62</v>
        <stp/>
        <stp>nse_cm|915SCL27A-ZL</stp>
        <stp>Prev Close</stp>
        <tr r="P966" s="1"/>
      </tp>
      <tp>
        <v>0</v>
        <stp/>
        <stp>bse_cm|89SCL24</stp>
        <stp>ATP</stp>
        <tr r="K1153" s="1"/>
      </tp>
      <tp>
        <v>0</v>
        <stp/>
        <stp>bse_cm|89MFL26</stp>
        <stp>ATP</stp>
        <tr r="K250" s="1"/>
      </tp>
      <tp>
        <v>965.78</v>
        <stp/>
        <stp>nse_cm|920SCL23A-AO</stp>
        <stp>Prev Close</stp>
        <tr r="P1113" s="1"/>
      </tp>
      <tp>
        <v>1000</v>
        <stp/>
        <stp>nse_cm|925SCL28A-NS</stp>
        <stp>Prev Close</stp>
        <tr r="P895" s="1"/>
      </tp>
      <tp>
        <v>975</v>
        <stp/>
        <stp>nse_cm|925SCL25A-NH</stp>
        <stp>Prev Close</stp>
        <tr r="P715" s="1"/>
      </tp>
      <tp>
        <v>1000</v>
        <stp/>
        <stp>nse_cm|925SCL26A-YN</stp>
        <stp>Prev Close</stp>
        <tr r="P838" s="1"/>
      </tp>
      <tp>
        <v>950</v>
        <stp/>
        <stp>nse_cm|925SCL29A-ZM</stp>
        <stp>Prev Close</stp>
        <tr r="P1352" s="1"/>
      </tp>
      <tp>
        <v>-100</v>
        <stp/>
        <stp>nse_cm|82TCHF25-N5</stp>
        <stp>% Change</stp>
        <tr r="J1014" s="1"/>
      </tp>
      <tp>
        <v>1002</v>
        <stp/>
        <stp>nse_cm|948SCL26A-NN</stp>
        <stp>Prev Close</stp>
        <tr r="P526" s="1"/>
      </tp>
      <tp>
        <v>1000</v>
        <stp/>
        <stp>nse_cm|940SCL26A-NK</stp>
        <stp>Prev Close</stp>
        <tr r="P906" s="1"/>
      </tp>
      <tp>
        <v>1000</v>
        <stp/>
        <stp>nse_cm|948SCL27A-ZJ</stp>
        <stp>Prev Close</stp>
        <tr r="P845" s="1"/>
      </tp>
      <tp>
        <v>0</v>
        <stp/>
        <stp>bse_cm|85PCHFL26</stp>
        <stp>Volume Traded Today</stp>
        <tr r="L713" s="1"/>
      </tp>
      <tp>
        <v>0</v>
        <stp/>
        <stp>nse_cm|9SCL26B-ND</stp>
        <stp xml:space="preserve">Low </stp>
        <tr r="O994" s="1"/>
      </tp>
      <tp>
        <v>990</v>
        <stp/>
        <stp>nse_cm|950SCL23A-AP</stp>
        <stp>Prev Close</stp>
        <tr r="P1145" s="1"/>
      </tp>
      <tp>
        <v>1126</v>
        <stp/>
        <stp>nse_cm|955SCL27A-ZJ</stp>
        <stp>Prev Close</stp>
        <tr r="P1437" s="1"/>
      </tp>
      <tp>
        <v>1000</v>
        <stp/>
        <stp>nse_cm|965SCL28A-NQ</stp>
        <stp>Prev Close</stp>
        <tr r="P897" s="1"/>
      </tp>
      <tp>
        <v>1035.5</v>
        <stp/>
        <stp>nse_cm|965SCL25A-NF</stp>
        <stp>Prev Close</stp>
        <tr r="P163" s="1"/>
      </tp>
      <tp>
        <v>1010</v>
        <stp/>
        <stp>nse_cm|965SCL26A-ZB</stp>
        <stp>Prev Close</stp>
        <tr r="P135" s="1"/>
      </tp>
      <tp>
        <v>1075.8</v>
        <stp/>
        <stp>nse_cm|IIFLZC25B-NW</stp>
        <stp xml:space="preserve">Low </stp>
        <tr r="O1684" s="1"/>
      </tp>
      <tp>
        <v>1000</v>
        <stp/>
        <stp>nse_cm|971SCL28A-NT</stp>
        <stp>Prev Close</stp>
        <tr r="P680" s="1"/>
      </tp>
      <tp>
        <v>975</v>
        <stp/>
        <stp>nse_cm|971SCL29A-ZN</stp>
        <stp>Prev Close</stp>
        <tr r="P861" s="1"/>
      </tp>
      <tp>
        <v>0</v>
        <stp/>
        <stp>bse_cm|0NHFL29</stp>
        <stp>Volume Traded Today</stp>
        <tr r="L1035" s="1"/>
      </tp>
      <tp>
        <v>0</v>
        <stp/>
        <stp>bse_cm|0NHFL26</stp>
        <stp>Volume Traded Today</stp>
        <tr r="L1037" s="1"/>
      </tp>
      <tp>
        <v>0</v>
        <stp/>
        <stp>bse_cm|0NHFL27</stp>
        <stp>Volume Traded Today</stp>
        <tr r="L1036" s="1"/>
      </tp>
      <tp>
        <v>0</v>
        <stp/>
        <stp>nse_cm|980SCL33A-N3</stp>
        <stp>Prev Close</stp>
        <tr r="P1055" s="1"/>
      </tp>
      <tp>
        <v>1000</v>
        <stp/>
        <stp>bse_cm|984IFSL26</stp>
        <stp>Prev Close</stp>
        <tr r="P457" s="1"/>
      </tp>
      <tp>
        <v>0</v>
        <stp/>
        <stp>bse_cm|NIDO25A</stp>
        <stp>Volume Traded Today</stp>
        <tr r="L1245" s="1"/>
      </tp>
      <tp>
        <v>970</v>
        <stp/>
        <stp>bse_cm|EFSL26724A</stp>
        <stp>High</stp>
        <tr r="N1468" s="1"/>
      </tp>
      <tp>
        <v>0</v>
        <stp/>
        <stp>nse_cm|889SCL28-NU</stp>
        <stp>% Change</stp>
        <tr r="J989" s="1"/>
      </tp>
      <tp>
        <v>0</v>
        <stp/>
        <stp>bse_cm|1015SCL28A</stp>
        <stp>Open</stp>
        <tr r="M1386" s="1"/>
      </tp>
      <tp>
        <v>1041.0999999999999</v>
        <stp/>
        <stp>nse_cm|990SCL26A-NL</stp>
        <stp>Prev Close</stp>
        <tr r="P1049" s="1"/>
      </tp>
      <tp>
        <v>1030</v>
        <stp/>
        <stp>nse_cm|IIFLZC28A-NU</stp>
        <stp xml:space="preserve">Low </stp>
        <tr r="O1624" s="1"/>
      </tp>
      <tp>
        <v>1033.25</v>
        <stp/>
        <stp>nse_cm|82IGT31-NJ</stp>
        <stp>Bid Rate</stp>
        <tr r="E375" s="1"/>
      </tp>
      <tp>
        <v>0</v>
        <stp/>
        <stp>bse_cm|81MFL28</stp>
        <stp>ATP</stp>
        <tr r="K314" s="1"/>
      </tp>
      <tp>
        <v>1000</v>
        <stp/>
        <stp>nse_cm|CAGL26-NA</stp>
        <stp>Face Value</stp>
        <tr r="Q735" s="1"/>
      </tp>
      <tp>
        <v>0</v>
        <stp/>
        <stp>bse_cm|1015SCL28B</stp>
        <stp>Open</stp>
        <tr r="M1178" s="1"/>
      </tp>
      <tp>
        <v>-100</v>
        <stp/>
        <stp>bse_cm|KAFL30</stp>
        <stp>% Change</stp>
        <tr r="J1317" s="1"/>
      </tp>
      <tp>
        <v>1059.75</v>
        <stp/>
        <stp>nse_cm|IIFLZC26B-NY</stp>
        <stp xml:space="preserve">Low </stp>
        <tr r="O1629" s="1"/>
      </tp>
      <tp>
        <v>0</v>
        <stp/>
        <stp>nse_cm|980SCL33-NX</stp>
        <stp>% Change</stp>
        <tr r="J360" s="1"/>
      </tp>
      <tp>
        <v>1042</v>
        <stp/>
        <stp>bse_cm|980IFSL25</stp>
        <stp>Prev Close</stp>
        <tr r="P474" s="1"/>
      </tp>
      <tp>
        <v>0</v>
        <stp/>
        <stp>bse_cm|84MFL25</stp>
        <stp>ATP</stp>
        <tr r="K316" s="1"/>
      </tp>
      <tp>
        <v>0</v>
        <stp/>
        <stp>bse_cm|85IFL26</stp>
        <stp>ATP</stp>
        <tr r="K1357" s="1"/>
      </tp>
      <tp>
        <v>0</v>
        <stp/>
        <stp>bse_cm|95KLM25</stp>
        <stp>ATP</stp>
        <tr r="K73" s="1"/>
      </tp>
      <tp>
        <v>0</v>
        <stp/>
        <stp>bse_cm|85KFL25</stp>
        <stp>ATP</stp>
        <tr r="K641" s="1"/>
      </tp>
      <tp t="s">
        <v>SCLZC26G</v>
        <stp/>
        <stp>nse_cm|SCLZC26G-YA</stp>
        <stp>Symbol</stp>
        <tr r="A815" s="1"/>
      </tp>
      <tp>
        <v>0</v>
        <stp/>
        <stp>nse_cm|889SCL26-NS</stp>
        <stp>% Change</stp>
        <tr r="J222" s="1"/>
      </tp>
      <tp>
        <v>0</v>
        <stp/>
        <stp>bse_cm|87SCL25</stp>
        <stp>ATP</stp>
        <tr r="K958" s="1"/>
      </tp>
      <tp>
        <v>0</v>
        <stp/>
        <stp>bse_cm|87SCL27</stp>
        <stp>ATP</stp>
        <tr r="K978" s="1"/>
      </tp>
      <tp>
        <v>-0.1</v>
        <stp/>
        <stp>nse_cm|829LTF24-NL</stp>
        <stp>% Change</stp>
        <tr r="J3" s="1"/>
      </tp>
      <tp>
        <v>877.2</v>
        <stp/>
        <stp>bse_cm|ABFL26</stp>
        <stp>Prev Close</stp>
        <tr r="P1064" s="1"/>
      </tp>
      <tp>
        <v>1039</v>
        <stp/>
        <stp>bse_cm|ABFL28</stp>
        <stp>Prev Close</stp>
        <tr r="P1373" s="1"/>
      </tp>
      <tp>
        <v>1132.98</v>
        <stp/>
        <stp>bse_cm|MMFL27</stp>
        <stp>Prev Close</stp>
        <tr r="P1513" s="1"/>
      </tp>
      <tp>
        <v>1248</v>
        <stp/>
        <stp>bse_cm|MMFL25</stp>
        <stp>Prev Close</stp>
        <tr r="P1725" s="1"/>
      </tp>
      <tp>
        <v>1000</v>
        <stp/>
        <stp>bse_cm|KAFL30</stp>
        <stp>Prev Close</stp>
        <tr r="P1317" s="1"/>
      </tp>
      <tp>
        <v>1025</v>
        <stp/>
        <stp>bse_cm|KAFL25</stp>
        <stp>Prev Close</stp>
        <tr r="P1321" s="1"/>
      </tp>
      <tp>
        <v>1000</v>
        <stp/>
        <stp>bse_cm|KAFL28</stp>
        <stp>Prev Close</stp>
        <tr r="P1320" s="1"/>
      </tp>
      <tp>
        <v>990</v>
        <stp/>
        <stp>bse_cm|KAFL29</stp>
        <stp>Prev Close</stp>
        <tr r="P1318" s="1"/>
      </tp>
      <tp>
        <v>825.8</v>
        <stp/>
        <stp>nse_cm|865SCL24B-Z8</stp>
        <stp>Bid Rate</stp>
        <tr r="E952" s="1"/>
      </tp>
      <tp>
        <v>1000</v>
        <stp/>
        <stp>bse_cm|0KFL28</stp>
        <stp>Prev Close</stp>
        <tr r="P1045" s="1"/>
      </tp>
      <tp>
        <v>995</v>
        <stp/>
        <stp>bse_cm|0KFL25</stp>
        <stp>Prev Close</stp>
        <tr r="P1604" s="1"/>
      </tp>
      <tp>
        <v>1000</v>
        <stp/>
        <stp>bse_cm|0KFL26</stp>
        <stp>Prev Close</stp>
        <tr r="P1047" s="1"/>
      </tp>
      <tp>
        <v>1000</v>
        <stp/>
        <stp>bse_cm|0KFL27</stp>
        <stp>Prev Close</stp>
        <tr r="P1046" s="1"/>
      </tp>
      <tp>
        <v>1000</v>
        <stp/>
        <stp>bse_cm|0SFL26</stp>
        <stp>Prev Close</stp>
        <tr r="P703" s="1"/>
      </tp>
      <tp>
        <v>1000</v>
        <stp/>
        <stp>bse_cm|0KFL31</stp>
        <stp>Prev Close</stp>
        <tr r="P1044" s="1"/>
      </tp>
      <tp>
        <v>1000</v>
        <stp/>
        <stp>bse_cm|0SFL31</stp>
        <stp>Prev Close</stp>
        <tr r="P1032" s="1"/>
      </tp>
      <tp>
        <v>975</v>
        <stp/>
        <stp>bse_cm|9MFL30</stp>
        <stp>Prev Close</stp>
        <tr r="P244" s="1"/>
      </tp>
      <tp>
        <v>1017</v>
        <stp/>
        <stp>bse_cm|8MFL26</stp>
        <stp>Prev Close</stp>
        <tr r="P654" s="1"/>
      </tp>
      <tp>
        <v>968</v>
        <stp/>
        <stp>bse_cm|9KFL26</stp>
        <stp>Prev Close</stp>
        <tr r="P1084" s="1"/>
      </tp>
      <tp>
        <v>975</v>
        <stp/>
        <stp>bse_cm|9MFL27</stp>
        <stp>Prev Close</stp>
        <tr r="P195" s="1"/>
      </tp>
      <tp>
        <v>990</v>
        <stp/>
        <stp>bse_cm|9MFL25</stp>
        <stp>Prev Close</stp>
        <tr r="P1082" s="1"/>
      </tp>
      <tp>
        <v>924.74</v>
        <stp/>
        <stp>bse_cm|9SFL25</stp>
        <stp>Prev Close</stp>
        <tr r="P340" s="1"/>
      </tp>
      <tp>
        <v>879</v>
        <stp/>
        <stp>bse_cm|9SFL26</stp>
        <stp>Prev Close</stp>
        <tr r="P1066" s="1"/>
      </tp>
      <tp>
        <v>5</v>
        <stp/>
        <stp>nse_cm|NIDOZC26-N7</stp>
        <stp>Ask Qty</stp>
        <tr r="G28" s="1"/>
      </tp>
      <tp>
        <v>1020</v>
        <stp/>
        <stp>bse_cm|888IHFL25F</stp>
        <stp xml:space="preserve">Low </stp>
        <tr r="O693" s="1"/>
      </tp>
      <tp>
        <v>0</v>
        <stp/>
        <stp>nse_cm|78ABFL33-N4</stp>
        <stp>% Change</stp>
        <tr r="J371" s="1"/>
      </tp>
      <tp>
        <v>990</v>
        <stp/>
        <stp>bse_cm|888IHFL25C</stp>
        <stp xml:space="preserve">Low </stp>
        <tr r="O1058" s="1"/>
      </tp>
      <tp>
        <v>1000</v>
        <stp/>
        <stp>bse_cm|689RECL24</stp>
        <stp>Face Value</stp>
        <tr r="Q1206" s="1"/>
      </tp>
      <tp>
        <v>1000</v>
        <stp/>
        <stp>bse_cm|97EFSL31A</stp>
        <stp>Face Value</stp>
        <tr r="Q598" s="1"/>
      </tp>
      <tp>
        <v>1000</v>
        <stp/>
        <stp>bse_cm|925KFIL25</stp>
        <stp>Face Value</stp>
        <tr r="Q776" s="1"/>
      </tp>
      <tp>
        <v>800</v>
        <stp/>
        <stp>bse_cm|985ICCL28</stp>
        <stp>Face Value</stp>
        <tr r="Q1483" s="1"/>
      </tp>
      <tp>
        <v>0</v>
        <stp/>
        <stp>nse_cm|971SCL28-AN</stp>
        <stp>% Change</stp>
        <tr r="J538" s="1"/>
      </tp>
      <tp>
        <v>0</v>
        <stp/>
        <stp>nse_cm|888SCL25-NG</stp>
        <stp>% Change</stp>
        <tr r="J912" s="1"/>
      </tp>
      <tp>
        <v>-0.27</v>
        <stp/>
        <stp>nse_cm|985ECL28-NK</stp>
        <stp>% Change</stp>
        <tr r="J52" s="1"/>
      </tp>
      <tp>
        <v>800</v>
        <stp/>
        <stp>bse_cm|980ICCL28</stp>
        <stp>Face Value</stp>
        <tr r="Q783" s="1"/>
      </tp>
      <tp>
        <v>1000</v>
        <stp/>
        <stp>bse_cm|682PFCL31</stp>
        <stp>Face Value</stp>
        <tr r="Q433" s="1"/>
      </tp>
      <tp>
        <v>1083</v>
        <stp/>
        <stp>bse_cm|CIFC28</stp>
        <stp>Prev Close</stp>
        <tr r="P1529" s="1"/>
      </tp>
      <tp>
        <v>851</v>
        <stp/>
        <stp>bse_cm|CIFC26</stp>
        <stp>Prev Close</stp>
        <tr r="P742" s="1"/>
      </tp>
      <tp>
        <v>1000</v>
        <stp/>
        <stp>bse_cm|683PFCL31</stp>
        <stp>Face Value</stp>
        <tr r="Q449" s="1"/>
      </tp>
      <tp>
        <v>1039.28</v>
        <stp/>
        <stp>bse_cm|885MOFSL26</stp>
        <stp xml:space="preserve">Low </stp>
        <tr r="O1643" s="1"/>
      </tp>
      <tp t="s">
        <v>INE219X07199</v>
        <stp/>
        <stp>bse_cm|745IGT26</stp>
        <stp>Isin code</stp>
        <tr r="R1202" s="1"/>
      </tp>
      <tp>
        <v>1108</v>
        <stp/>
        <stp>nse_cm|955SCL27A-ZJ</stp>
        <stp>Bid Rate</stp>
        <tr r="E1437" s="1"/>
      </tp>
      <tp>
        <v>822</v>
        <stp/>
        <stp>bse_cm|EFSL290424</stp>
        <stp xml:space="preserve">Low </stp>
        <tr r="O1334" s="1"/>
      </tp>
      <tp>
        <v>950</v>
        <stp/>
        <stp>bse_cm|10IIFLSF27</stp>
        <stp xml:space="preserve">Low </stp>
        <tr r="O1098" s="1"/>
      </tp>
      <tp>
        <v>1000</v>
        <stp/>
        <stp>bse_cm|971SCL28A</stp>
        <stp>Face Value</stp>
        <tr r="Q1027" s="1"/>
      </tp>
      <tp>
        <v>800</v>
        <stp/>
        <stp>bse_cm|971SCL28C</stp>
        <stp>Face Value</stp>
        <tr r="Q827" s="1"/>
      </tp>
      <tp>
        <v>1000</v>
        <stp/>
        <stp>bse_cm|971SCL28B</stp>
        <stp>Face Value</stp>
        <tr r="Q714" s="1"/>
      </tp>
      <tp>
        <v>800</v>
        <stp/>
        <stp>bse_cm|971SCL28I</stp>
        <stp>Face Value</stp>
        <tr r="Q1471" s="1"/>
      </tp>
      <tp>
        <v>1000</v>
        <stp/>
        <stp>bse_cm|971SCL29A</stp>
        <stp>Face Value</stp>
        <tr r="Q862" s="1"/>
      </tp>
      <tp t="s">
        <v>INE530L07228</v>
        <stp/>
        <stp>bse_cm|10NIDO26</stp>
        <stp>Isin code</stp>
        <tr r="R62" s="1"/>
      </tp>
      <tp>
        <v>0</v>
        <stp/>
        <stp>nse_cm|865NHB34-N4</stp>
        <stp>% Change</stp>
        <tr r="J1166" s="1"/>
      </tp>
      <tp t="s">
        <v>INE0BUS07AX7</v>
        <stp/>
        <stp>bse_cm|975IML26</stp>
        <stp>Isin code</stp>
        <tr r="R646" s="1"/>
      </tp>
      <tp t="s">
        <v>INE121A07RS9</v>
        <stp/>
        <stp>nse_cm|CIF27-NM</stp>
        <stp>Isin code</stp>
        <tr r="R1665" s="1"/>
      </tp>
      <tp t="e">
        <v>#N/A</v>
        <stp/>
        <stp>bse_cm|975SFL024</stp>
        <stp>Face Value</stp>
        <tr r="Q31" s="1"/>
      </tp>
      <tp t="s">
        <v>INE530L07772</v>
        <stp/>
        <stp>bse_cm|10NHFL27</stp>
        <stp>Isin code</stp>
        <tr r="R658" s="1"/>
      </tp>
      <tp>
        <v>1060</v>
        <stp/>
        <stp>nse_cm|CIFCZC28A-N5</stp>
        <stp xml:space="preserve">Low </stp>
        <tr r="O1559" s="1"/>
      </tp>
      <tp>
        <v>1000</v>
        <stp/>
        <stp>bse_cm|875SCL23A</stp>
        <stp>Face Value</stp>
        <tr r="Q194" s="1"/>
      </tp>
      <tp>
        <v>1000</v>
        <stp/>
        <stp>bse_cm|875KFL26A</stp>
        <stp>Face Value</stp>
        <tr r="Q1155" s="1"/>
      </tp>
      <tp>
        <v>1000</v>
        <stp/>
        <stp>bse_cm|875KFL25A</stp>
        <stp>Face Value</stp>
        <tr r="Q1157" s="1"/>
      </tp>
      <tp>
        <v>1000</v>
        <stp/>
        <stp>bse_cm|975MFL24B</stp>
        <stp>Face Value</stp>
        <tr r="Q415" s="1"/>
      </tp>
      <tp>
        <v>1000</v>
        <stp/>
        <stp>bse_cm|875MFL26A</stp>
        <stp>Face Value</stp>
        <tr r="Q286" s="1"/>
      </tp>
      <tp>
        <v>900.3</v>
        <stp/>
        <stp>nse_cm|915SCL27A-ZL</stp>
        <stp>Bid Rate</stp>
        <tr r="E966" s="1"/>
      </tp>
      <tp>
        <v>1000</v>
        <stp/>
        <stp>bse_cm|975MFL29A</stp>
        <stp>Face Value</stp>
        <tr r="Q854" s="1"/>
      </tp>
      <tp t="s">
        <v>NSE</v>
        <stp/>
        <stp>nse_cm|990SCL26I-AV</stp>
        <stp>Exchange</stp>
        <tr r="C1368" s="1"/>
      </tp>
      <tp>
        <v>812.3</v>
        <stp/>
        <stp>nse_cm|925SCL29A-ZM</stp>
        <stp>Bid Rate</stp>
        <tr r="E1352" s="1"/>
      </tp>
      <tp>
        <v>920.3</v>
        <stp/>
        <stp>nse_cm|965SCL26A-ZB</stp>
        <stp>Bid Rate</stp>
        <tr r="E135" s="1"/>
      </tp>
      <tp>
        <v>1111.3499999999999</v>
        <stp/>
        <stp>bse_cm|735NABAR31</stp>
        <stp xml:space="preserve">Low </stp>
        <tr r="O14" s="1"/>
      </tp>
      <tp>
        <v>0</v>
        <stp/>
        <stp>nse_cm|885SCL26-N9</stp>
        <stp>% Change</stp>
        <tr r="J686" s="1"/>
      </tp>
      <tp>
        <v>1034.8499999999999</v>
        <stp/>
        <stp>bse_cm|MFOPTIV24</stp>
        <stp>LTP</stp>
        <tr r="H380" s="1"/>
      </tp>
      <tp t="s">
        <v>00:00:00</v>
        <stp/>
        <stp>bse_cm|MFOPTIV24</stp>
        <stp>LTT</stp>
        <tr r="I380" s="1"/>
      </tp>
      <tp>
        <v>1216</v>
        <stp/>
        <stp>nse_cm|IIFLZC25C-N8</stp>
        <stp xml:space="preserve">Low </stp>
        <tr r="O1748" s="1"/>
      </tp>
      <tp>
        <v>905.2</v>
        <stp/>
        <stp>nse_cm|888ERFL28-N5</stp>
        <stp xml:space="preserve">Low </stp>
        <tr r="O63" s="1"/>
      </tp>
      <tp>
        <v>1209</v>
        <stp/>
        <stp>nse_cm|IIFLZC28C-N6</stp>
        <stp xml:space="preserve">Low </stp>
        <tr r="O1656" s="1"/>
      </tp>
      <tp>
        <v>1000.81</v>
        <stp/>
        <stp>bse_cm|MFLV26E</stp>
        <stp>Bid Rate</stp>
        <tr r="E352" s="1"/>
      </tp>
      <tp t="s">
        <v>NSE</v>
        <stp/>
        <stp>nse_cm|950SCL23A-AP</stp>
        <stp>Exchange</stp>
        <tr r="C1145" s="1"/>
      </tp>
      <tp t="s">
        <v>NSE</v>
        <stp/>
        <stp>nse_cm|940SCL26C-AU</stp>
        <stp>Exchange</stp>
        <tr r="C793" s="1"/>
      </tp>
      <tp>
        <v>810.5</v>
        <stp/>
        <stp>nse_cm|925SCL26C-ZA</stp>
        <stp>Bid Rate</stp>
        <tr r="E724" s="1"/>
      </tp>
      <tp>
        <v>0</v>
        <stp/>
        <stp>bse_cm|0SFL29A</stp>
        <stp>Ask Rate</stp>
        <tr r="F1033" s="1"/>
      </tp>
      <tp>
        <v>1135</v>
        <stp/>
        <stp>bse_cm|764NABAR31</stp>
        <stp xml:space="preserve">Low </stp>
        <tr r="O497" s="1"/>
      </tp>
      <tp t="s">
        <v>INE530L07707</v>
        <stp/>
        <stp>bse_cm|95NIDO26</stp>
        <stp>Isin code</stp>
        <tr r="R670" s="1"/>
      </tp>
      <tp>
        <v>0</v>
        <stp/>
        <stp>nse_cm|820SCFL25-Y7</stp>
        <stp>Open</stp>
        <tr r="M926" s="1"/>
      </tp>
      <tp>
        <v>0</v>
        <stp/>
        <stp>nse_cm|871REC28-N9</stp>
        <stp>% Change</stp>
        <tr r="J542" s="1"/>
      </tp>
      <tp>
        <v>874.8</v>
        <stp/>
        <stp>bse_cm|EFSL260724</stp>
        <stp xml:space="preserve">Low </stp>
        <tr r="O586" s="1"/>
      </tp>
      <tp>
        <v>0</v>
        <stp/>
        <stp>nse_cm|868NHB29-N3</stp>
        <stp>% Change</stp>
        <tr r="J1342" s="1"/>
      </tp>
      <tp>
        <v>1076</v>
        <stp/>
        <stp>nse_cm|CIFCZC26A-N3</stp>
        <stp xml:space="preserve">Low </stp>
        <tr r="O1565" s="1"/>
      </tp>
      <tp>
        <v>925</v>
        <stp/>
        <stp>nse_cm|925SCL26D-ZD</stp>
        <stp>Bid Rate</stp>
        <tr r="E1448" s="1"/>
      </tp>
      <tp>
        <v>0</v>
        <stp/>
        <stp>nse_cm|850SCFL25-Y4</stp>
        <stp>Open</stp>
        <tr r="M924" s="1"/>
      </tp>
      <tp>
        <v>1000</v>
        <stp/>
        <stp>bse_cm|897MOFSL29</stp>
        <stp xml:space="preserve">Low </stp>
        <tr r="O332" s="1"/>
      </tp>
      <tp>
        <v>1136</v>
        <stp/>
        <stp>nse_cm|CIFCZC25A-N1</stp>
        <stp xml:space="preserve">Low </stp>
        <tr r="O1730" s="1"/>
      </tp>
      <tp>
        <v>0</v>
        <stp/>
        <stp>bse_cm|96ONE29</stp>
        <stp>Volume Traded Today</stp>
        <tr r="L1621" s="1"/>
      </tp>
      <tp>
        <v>20</v>
        <stp/>
        <stp>bse_cm|CIF29</stp>
        <stp>Bid Qty</stp>
        <tr r="D744" s="1"/>
      </tp>
      <tp>
        <v>35</v>
        <stp/>
        <stp>bse_cm|CIF27</stp>
        <stp>Bid Qty</stp>
        <tr r="D745" s="1"/>
      </tp>
      <tp>
        <v>1050</v>
        <stp/>
        <stp>bse_cm|860CIFCL28</stp>
        <stp>High</stp>
        <tr r="N1431" s="1"/>
      </tp>
      <tp>
        <v>1007</v>
        <stp/>
        <stp>bse_cm|88MMFSL26</stp>
        <stp>Prev Close</stp>
        <tr r="P988" s="1"/>
      </tp>
      <tp>
        <v>1180.2</v>
        <stp/>
        <stp>bse_cm|EFSL26A</stp>
        <stp>Bid Rate</stp>
        <tr r="E1567" s="1"/>
      </tp>
      <tp>
        <v>1051.2</v>
        <stp/>
        <stp>bse_cm|EFSL26B</stp>
        <stp>Bid Rate</stp>
        <tr r="E1564" s="1"/>
      </tp>
      <tp t="s">
        <v>00:00:00</v>
        <stp/>
        <stp>bse_cm|KAFL28A</stp>
        <stp>LTT</stp>
        <tr r="I1319" s="1"/>
      </tp>
      <tp>
        <v>0</v>
        <stp/>
        <stp>nse_cm|950IIFL27-Y2</stp>
        <stp>Open</stp>
        <tr r="M995" s="1"/>
      </tp>
      <tp>
        <v>0</v>
        <stp/>
        <stp>bse_cm|KAFL28A</stp>
        <stp>LTP</stp>
        <tr r="H1319" s="1"/>
      </tp>
      <tp>
        <v>1369.9</v>
        <stp/>
        <stp>nse_cm|891NTPC33-N6</stp>
        <stp>High</stp>
        <tr r="N535" s="1"/>
      </tp>
      <tp>
        <v>1015</v>
        <stp/>
        <stp>bse_cm|840CIFCL28</stp>
        <stp>High</stp>
        <tr r="N419" s="1"/>
      </tp>
      <tp>
        <v>985.35</v>
        <stp/>
        <stp>bse_cm|EFSL26C</stp>
        <stp>Bid Rate</stp>
        <tr r="E1650" s="1"/>
      </tp>
      <tp t="s">
        <v>NSE</v>
        <stp/>
        <stp>nse_cm|920SCL23A-AO</stp>
        <stp>Exchange</stp>
        <tr r="C1113" s="1"/>
      </tp>
      <tp>
        <v>-100</v>
        <stp/>
        <stp>bse_cm|MML25C</stp>
        <stp>% Change</stp>
        <tr r="J1251" s="1"/>
      </tp>
      <tp>
        <v>0</v>
        <stp/>
        <stp>bse_cm|12KLM25</stp>
        <stp>Volume Traded Today</stp>
        <tr r="L1211" s="1"/>
      </tp>
      <tp>
        <v>975</v>
        <stp/>
        <stp>bse_cm|775MFL2026</stp>
        <stp>High</stp>
        <tr r="N240" s="1"/>
      </tp>
      <tp>
        <v>999.95</v>
        <stp/>
        <stp>bse_cm|775MFLTD26</stp>
        <stp>High</stp>
        <tr r="N652" s="1"/>
      </tp>
      <tp>
        <v>975.2</v>
        <stp/>
        <stp>bse_cm|EFSL26D</stp>
        <stp>Bid Rate</stp>
        <tr r="E1617" s="1"/>
      </tp>
      <tp>
        <v>-100</v>
        <stp/>
        <stp>bse_cm|MML25B</stp>
        <stp>% Change</stp>
        <tr r="J1498" s="1"/>
      </tp>
      <tp>
        <v>980</v>
        <stp/>
        <stp>bse_cm|785MFL2028</stp>
        <stp>High</stp>
        <tr r="N357" s="1"/>
      </tp>
      <tp t="s">
        <v>NSE</v>
        <stp/>
        <stp>nse_cm|990SCL26D-AH</stp>
        <stp>Exchange</stp>
        <tr r="C1556" s="1"/>
      </tp>
      <tp>
        <v>-100</v>
        <stp/>
        <stp>bse_cm|MML25A</stp>
        <stp>% Change</stp>
        <tr r="J1252" s="1"/>
      </tp>
      <tp>
        <v>1010.22</v>
        <stp/>
        <stp>bse_cm|775MFL2025</stp>
        <stp>High</stp>
        <tr r="N336" s="1"/>
      </tp>
      <tp>
        <v>1057.8599999999999</v>
        <stp/>
        <stp>bse_cm|775MFLTD25</stp>
        <stp>High</stp>
        <tr r="N649" s="1"/>
      </tp>
      <tp>
        <v>1.33</v>
        <stp/>
        <stp>bse_cm|MFL25D</stp>
        <stp>% Change</stp>
        <tr r="J1705" s="1"/>
      </tp>
      <tp>
        <v>0</v>
        <stp/>
        <stp>nse_cm|98ICCL26-NU</stp>
        <stp>% Change</stp>
        <tr r="J1569" s="1"/>
      </tp>
      <tp>
        <v>-100</v>
        <stp/>
        <stp>bse_cm|MFL25E</stp>
        <stp>% Change</stp>
        <tr r="J1664" s="1"/>
      </tp>
      <tp>
        <v>0</v>
        <stp/>
        <stp>bse_cm|8ABFL26</stp>
        <stp>ATP</stp>
        <tr r="K539" s="1"/>
      </tp>
      <tp>
        <v>985.85</v>
        <stp/>
        <stp>bse_cm|775MFLTD28</stp>
        <stp>High</stp>
        <tr r="N1192" s="1"/>
      </tp>
      <tp>
        <v>0</v>
        <stp/>
        <stp>nse_cm|CIF29-NO</stp>
        <stp>Ask Qty</stp>
        <tr r="G743" s="1"/>
      </tp>
      <tp>
        <v>10</v>
        <stp/>
        <stp>nse_cm|CIF27-NM</stp>
        <stp>Ask Qty</stp>
        <tr r="G1665" s="1"/>
      </tp>
      <tp>
        <v>1049</v>
        <stp/>
        <stp>bse_cm|850CIFCL26</stp>
        <stp>High</stp>
        <tr r="N1164" s="1"/>
      </tp>
      <tp>
        <v>-100</v>
        <stp/>
        <stp>bse_cm|MFL25A</stp>
        <stp>% Change</stp>
        <tr r="J1692" s="1"/>
      </tp>
      <tp>
        <v>-100</v>
        <stp/>
        <stp>bse_cm|MFL25B</stp>
        <stp>% Change</stp>
        <tr r="J1667" s="1"/>
      </tp>
      <tp>
        <v>-100</v>
        <stp/>
        <stp>bse_cm|MFL25C</stp>
        <stp>% Change</stp>
        <tr r="J1571" s="1"/>
      </tp>
      <tp>
        <v>5000</v>
        <stp/>
        <stp>nse_cm|901NHB34-N6</stp>
        <stp>Face Value</stp>
        <tr r="Q520" s="1"/>
      </tp>
      <tp>
        <v>5000</v>
        <stp/>
        <stp>nse_cm|890NHB34-N7</stp>
        <stp>Face Value</stp>
        <tr r="Q537" s="1"/>
      </tp>
      <tp>
        <v>5000</v>
        <stp/>
        <stp>nse_cm|865NHB34-N4</stp>
        <stp>Face Value</stp>
        <tr r="Q1166" s="1"/>
      </tp>
      <tp t="s">
        <v>INE414G07FI1</v>
        <stp/>
        <stp>bse_cm|MFOPTVI24</stp>
        <stp>Isin code</stp>
        <tr r="R1547" s="1"/>
      </tp>
      <tp>
        <v>1000</v>
        <stp/>
        <stp>bse_cm|960CAGL25</stp>
        <stp>Bid Rate</stp>
        <tr r="E347" s="1"/>
      </tp>
      <tp>
        <v>976.2</v>
        <stp/>
        <stp>bse_cm|910CAGL25</stp>
        <stp>Bid Rate</stp>
        <tr r="E351" s="1"/>
      </tp>
      <tp>
        <v>981</v>
        <stp/>
        <stp>bse_cm|945CAGL24</stp>
        <stp>Bid Rate</stp>
        <tr r="E566" s="1"/>
      </tp>
      <tp>
        <v>992.57</v>
        <stp/>
        <stp>bse_cm|940CAGL27</stp>
        <stp>Bid Rate</stp>
        <tr r="E261" s="1"/>
      </tp>
      <tp t="s">
        <v>INE414G07FG5</v>
        <stp/>
        <stp>bse_cm|MFOPTIV24</stp>
        <stp>Isin code</stp>
        <tr r="R380" s="1"/>
      </tp>
      <tp>
        <v>930</v>
        <stp/>
        <stp>bse_cm|950CCIL25</stp>
        <stp>Bid Rate</stp>
        <tr r="E99" s="1"/>
      </tp>
      <tp>
        <v>993</v>
        <stp/>
        <stp>bse_cm|925CAGL26</stp>
        <stp>Bid Rate</stp>
        <tr r="E294" s="1"/>
      </tp>
      <tp>
        <v>983.18</v>
        <stp/>
        <stp>bse_cm|11ICLFL25</stp>
        <stp>Bid Rate</stp>
        <tr r="E452" s="1"/>
      </tp>
      <tp>
        <v>950</v>
        <stp/>
        <stp>bse_cm|12ICLFL26</stp>
        <stp>Bid Rate</stp>
        <tr r="E547" s="1"/>
      </tp>
      <tp t="s">
        <v>749IREDA31</v>
        <stp/>
        <stp>bse_cm|749IREDA31</stp>
        <stp>Trading Symbol</stp>
        <tr r="B568" s="1"/>
      </tp>
      <tp>
        <v>932</v>
        <stp/>
        <stp>bse_cm|115CCIL28</stp>
        <stp>Bid Rate</stp>
        <tr r="E382" s="1"/>
      </tp>
      <tp t="s">
        <v>1015SCL28B</v>
        <stp/>
        <stp>bse_cm|1015SCL28B</stp>
        <stp>Trading Symbol</stp>
        <tr r="B1178" s="1"/>
      </tp>
      <tp t="s">
        <v>1015SCL28A</v>
        <stp/>
        <stp>bse_cm|1015SCL28A</stp>
        <stp>Trading Symbol</stp>
        <tr r="B1386" s="1"/>
      </tp>
      <tp>
        <v>1015.02</v>
        <stp/>
        <stp>bse_cm|830CIFC26</stp>
        <stp>Bid Rate</stp>
        <tr r="E1013" s="1"/>
      </tp>
      <tp>
        <v>1000</v>
        <stp/>
        <stp>nse_cm|925SCL29-YZ</stp>
        <stp>Prev Close</stp>
        <tr r="P851" s="1"/>
      </tp>
      <tp>
        <v>1000</v>
        <stp/>
        <stp>nse_cm|965SCL29-YX</stp>
        <stp>Prev Close</stp>
        <tr r="P847" s="1"/>
      </tp>
      <tp>
        <v>1000</v>
        <stp/>
        <stp>nse_cm|971SCL29-Z0</stp>
        <stp>Prev Close</stp>
        <tr r="P681" s="1"/>
      </tp>
      <tp>
        <v>921.4</v>
        <stp/>
        <stp>bse_cm|85PCHFL26</stp>
        <stp>Bid Rate</stp>
        <tr r="E713" s="1"/>
      </tp>
      <tp>
        <v>1179</v>
        <stp/>
        <stp>nse_cm|871REC28-N9</stp>
        <stp>Prev Close</stp>
        <tr r="P542" s="1"/>
      </tp>
      <tp>
        <v>1183.9000000000001</v>
        <stp/>
        <stp>nse_cm|846REC28-N6</stp>
        <stp>Prev Close</stp>
        <tr r="P548" s="1"/>
      </tp>
      <tp>
        <v>989</v>
        <stp/>
        <stp>bse_cm|0SMCGSL26</stp>
        <stp>Bid Rate</stp>
        <tr r="E589" s="1"/>
      </tp>
      <tp>
        <v>1000</v>
        <stp/>
        <stp>nse_cm|865LTF26-NN</stp>
        <stp>Face Value</stp>
        <tr r="Q392" s="1"/>
      </tp>
      <tp>
        <v>861.1</v>
        <stp/>
        <stp>bse_cm|0SMCGSL27</stp>
        <stp>Bid Rate</stp>
        <tr r="E1532" s="1"/>
      </tp>
      <tp>
        <v>1015</v>
        <stp/>
        <stp>bse_cm|970CAGL28</stp>
        <stp>Bid Rate</stp>
        <tr r="E292" s="1"/>
      </tp>
      <tp t="s">
        <v>950MFCL27D</v>
        <stp/>
        <stp>bse_cm|950MFCL27D</stp>
        <stp>Trading Symbol</stp>
        <tr r="B1496" s="1"/>
      </tp>
      <tp>
        <v>50</v>
        <stp/>
        <stp>nse_cm|10NFL25-N9</stp>
        <stp>Bid Qty</stp>
        <tr r="D345" s="1"/>
      </tp>
      <tp t="s">
        <v>1050CCIL25</v>
        <stp/>
        <stp>bse_cm|1050CCIL25</stp>
        <stp>Trading Symbol</stp>
        <tr r="B2" s="1"/>
      </tp>
      <tp t="s">
        <v>1150CCIL29</v>
        <stp/>
        <stp>bse_cm|1150CCIL29</stp>
        <stp>Trading Symbol</stp>
        <tr r="B424" s="1"/>
      </tp>
      <tp t="s">
        <v>1150CCIL28</v>
        <stp/>
        <stp>bse_cm|1150CCIL28</stp>
        <stp>Trading Symbol</stp>
        <tr r="B460" s="1"/>
      </tp>
      <tp t="s">
        <v>INE532F07FA9</v>
        <stp/>
        <stp>bse_cm|EFSL29</stp>
        <stp>Isin code</stp>
        <tr r="R659" s="1"/>
      </tp>
      <tp t="s">
        <v>890ICCL23A</v>
        <stp/>
        <stp>bse_cm|890ICCL23A</stp>
        <stp>Trading Symbol</stp>
        <tr r="B1486" s="1"/>
      </tp>
      <tp>
        <v>1000</v>
        <stp/>
        <stp>nse_cm|CIFCZC28-NH</stp>
        <stp>Face Value</stp>
        <tr r="Q1607" s="1"/>
      </tp>
      <tp>
        <v>0</v>
        <stp/>
        <stp>bse_cm|971SCL29A</stp>
        <stp>Ask Rate</stp>
        <tr r="F862" s="1"/>
      </tp>
      <tp>
        <v>999.99</v>
        <stp/>
        <stp>bse_cm|925SCL29A</stp>
        <stp>Ask Rate</stp>
        <tr r="F268" s="1"/>
      </tp>
      <tp t="s">
        <v>960EFSL26C</v>
        <stp/>
        <stp>bse_cm|960EFSL26C</stp>
        <stp>Trading Symbol</stp>
        <tr r="B137" s="1"/>
      </tp>
      <tp t="s">
        <v>920EFSL26A</v>
        <stp/>
        <stp>bse_cm|920EFSL26A</stp>
        <stp>Trading Symbol</stp>
        <tr r="B61" s="1"/>
      </tp>
      <tp t="s">
        <v>920EFSL26B</v>
        <stp/>
        <stp>bse_cm|920EFSL26B</stp>
        <stp>Trading Symbol</stp>
        <tr r="B247" s="1"/>
      </tp>
      <tp t="s">
        <v>920EFSL27A</v>
        <stp/>
        <stp>bse_cm|920EFSL27A</stp>
        <stp>Trading Symbol</stp>
        <tr r="B685" s="1"/>
      </tp>
      <tp>
        <v>55</v>
        <stp/>
        <stp>nse_cm|8ABFL26-N0</stp>
        <stp>Bid Qty</stp>
        <tr r="D358" s="1"/>
      </tp>
      <tp>
        <v>50</v>
        <stp/>
        <stp>nse_cm|85IFL26-NX</stp>
        <stp>Bid Qty</stp>
        <tr r="D1388" s="1"/>
      </tp>
      <tp>
        <v>1832</v>
        <stp/>
        <stp>nse_cm|99AEL29-N7</stp>
        <stp>Ask Qty</stp>
        <tr r="G246" s="1"/>
      </tp>
      <tp t="s">
        <v>1060ECL29</v>
        <stp/>
        <stp>nse_cm|1060ECL29-NS</stp>
        <stp>Symbol</stp>
        <tr r="A144" s="1"/>
      </tp>
      <tp t="s">
        <v>1015ECL29</v>
        <stp/>
        <stp>nse_cm|1015ECL29-NR</stp>
        <stp>Symbol</stp>
        <tr r="A204" s="1"/>
      </tp>
      <tp>
        <v>1040</v>
        <stp/>
        <stp>nse_cm|SCL25B-BI</stp>
        <stp>Bid Rate</stp>
        <tr r="E1403" s="1"/>
      </tp>
      <tp t="s">
        <v>960CAGL25</v>
        <stp/>
        <stp>nse_cm|960CAGL25-N3</stp>
        <stp>Symbol</stp>
        <tr r="A305" s="1"/>
      </tp>
      <tp>
        <v>820.3</v>
        <stp/>
        <stp>nse_cm|SCL25A-BH</stp>
        <stp>Bid Rate</stp>
        <tr r="E1237" s="1"/>
      </tp>
      <tp t="s">
        <v>INE530L07558</v>
        <stp/>
        <stp>bse_cm|NIDO26</stp>
        <stp>Isin code</stp>
        <tr r="R1244" s="1"/>
      </tp>
      <tp>
        <v>10</v>
        <stp/>
        <stp>nse_cm|9MMFSML-N2</stp>
        <stp>Bid Qty</stp>
        <tr r="D339" s="1"/>
      </tp>
      <tp t="s">
        <v>910CAGL25</v>
        <stp/>
        <stp>nse_cm|910CAGL25-N7</stp>
        <stp>Symbol</stp>
        <tr r="A622" s="1"/>
      </tp>
      <tp t="s">
        <v>INE121A07RR1</v>
        <stp/>
        <stp>bse_cm|CIFC26</stp>
        <stp>Isin code</stp>
        <tr r="R742" s="1"/>
      </tp>
      <tp t="s">
        <v>867PFCL33</v>
        <stp/>
        <stp>nse_cm|867PFCL33-N7</stp>
        <stp>Symbol</stp>
        <tr r="A550" s="1"/>
      </tp>
      <tp t="s">
        <v>925SCFL27</v>
        <stp/>
        <stp>nse_cm|925SCFL27-YA</stp>
        <stp>Symbol</stp>
        <tr r="A113" s="1"/>
      </tp>
      <tp t="s">
        <v>INE721A07OC7</v>
        <stp/>
        <stp>nse_cm|930SFL28-YP</stp>
        <stp>Isin code</stp>
        <tr r="R6" s="1"/>
      </tp>
      <tp t="s">
        <v>INE148I07LU4</v>
        <stp/>
        <stp>nse_cm|843SCL27-YS</stp>
        <stp>Isin code</stp>
        <tr r="R944" s="1"/>
      </tp>
      <tp t="s">
        <v>892PFCL33</v>
        <stp/>
        <stp>nse_cm|892PFCL33-N8</stp>
        <stp>Symbol</stp>
        <tr r="A530" s="1"/>
      </tp>
      <tp t="s">
        <v>INE148I07NH7</v>
        <stp/>
        <stp>nse_cm|955SCL25-ZU</stp>
        <stp>Isin code</stp>
        <tr r="R1391" s="1"/>
      </tp>
      <tp t="s">
        <v>INE414G07GP4</v>
        <stp/>
        <stp>bse_cm|MFLV29</stp>
        <stp>Isin code</stp>
        <tr r="R361" s="1"/>
      </tp>
      <tp>
        <v>100</v>
        <stp/>
        <stp>nse_cm|9IIFL28-Y0</stp>
        <stp>Bid Qty</stp>
        <tr r="D175" s="1"/>
      </tp>
      <tp>
        <v>10</v>
        <stp/>
        <stp>nse_cm|94SFL28-YL</stp>
        <stp>Bid Qty</stp>
        <tr r="D5" s="1"/>
      </tp>
      <tp>
        <v>15</v>
        <stp/>
        <stp>nse_cm|97SFL29-YZ</stp>
        <stp>Bid Qty</stp>
        <tr r="D20" s="1"/>
      </tp>
      <tp>
        <v>50</v>
        <stp/>
        <stp>nse_cm|97SFL28-YS</stp>
        <stp>Bid Qty</stp>
        <tr r="D19" s="1"/>
      </tp>
      <tp>
        <v>150</v>
        <stp/>
        <stp>nse_cm|9SCFL25-Y5</stp>
        <stp>Bid Qty</stp>
        <tr r="D389" s="1"/>
      </tp>
      <tp>
        <v>50</v>
        <stp/>
        <stp>nse_cm|91SFL27-ZI</stp>
        <stp>Bid Qty</stp>
        <tr r="D533" s="1"/>
      </tp>
      <tp>
        <v>10</v>
        <stp/>
        <stp>nse_cm|97SFL26-Z9</stp>
        <stp>Bid Qty</stp>
        <tr r="D438" s="1"/>
      </tp>
      <tp>
        <v>0</v>
        <stp/>
        <stp>bse_cm|98SCL27</stp>
        <stp>ATP</stp>
        <tr r="K1545" s="1"/>
      </tp>
      <tp>
        <v>0</v>
        <stp/>
        <stp>bse_cm|98SCL34</stp>
        <stp>ATP</stp>
        <tr r="K1053" s="1"/>
      </tp>
      <tp>
        <v>0</v>
        <stp/>
        <stp>bse_cm|99SCL27</stp>
        <stp>ATP</stp>
        <tr r="K1169" s="1"/>
      </tp>
      <tp>
        <v>1014.12</v>
        <stp/>
        <stp>bse_cm|99AEL29</stp>
        <stp>ATP</stp>
        <tr r="K243" s="1"/>
      </tp>
      <tp>
        <v>-100</v>
        <stp/>
        <stp>bse_cm|KAFL29</stp>
        <stp>% Change</stp>
        <tr r="J1318" s="1"/>
      </tp>
      <tp>
        <v>-100</v>
        <stp/>
        <stp>bse_cm|KAFL28</stp>
        <stp>% Change</stp>
        <tr r="J1320" s="1"/>
      </tp>
      <tp>
        <v>1000</v>
        <stp/>
        <stp>nse_cm|835SCL23A-YH</stp>
        <stp>Prev Close</stp>
        <tr r="P833" s="1"/>
      </tp>
      <tp>
        <v>0</v>
        <stp/>
        <stp>nse_cm|1025SCL34-Z8</stp>
        <stp>Open</stp>
        <tr r="M128" s="1"/>
      </tp>
      <tp>
        <v>931</v>
        <stp/>
        <stp>nse_cm|850SCL25A-NW</stp>
        <stp>Prev Close</stp>
        <tr r="P984" s="1"/>
      </tp>
      <tp>
        <v>0.19</v>
        <stp/>
        <stp>nse_cm|83TCHF25-N6</stp>
        <stp>% Change</stp>
        <tr r="J472" s="1"/>
      </tp>
      <tp>
        <v>970</v>
        <stp/>
        <stp>nse_cm|875SCL23A-YI</stp>
        <stp>Prev Close</stp>
        <tr r="P1477" s="1"/>
      </tp>
      <tp>
        <v>-100</v>
        <stp/>
        <stp>nse_cm|83TCHF28-N9</stp>
        <stp>% Change</stp>
        <tr r="J831" s="1"/>
      </tp>
      <tp>
        <v>1000</v>
        <stp/>
        <stp>nse_cm|888SCL25A-AQ</stp>
        <stp>Prev Close</stp>
        <tr r="P910" s="1"/>
      </tp>
      <tp>
        <v>1000</v>
        <stp/>
        <stp>nse_cm|888SCL26A-ZC</stp>
        <stp>Prev Close</stp>
        <tr r="P839" s="1"/>
      </tp>
      <tp>
        <v>1170</v>
        <stp/>
        <stp>nse_cm|750IRFC35-NK</stp>
        <stp>High</stp>
        <tr r="N485" s="1"/>
      </tp>
      <tp>
        <v>1000</v>
        <stp/>
        <stp>nse_cm|894SCL25A-ZI</stp>
        <stp>Prev Close</stp>
        <tr r="P963" s="1"/>
      </tp>
      <tp>
        <v>1005.2</v>
        <stp/>
        <stp>bse_cm|895EFSL26</stp>
        <stp>Prev Close</stp>
        <tr r="P109" s="1"/>
      </tp>
      <tp>
        <v>1008</v>
        <stp/>
        <stp>bse_cm|895EFSL25</stp>
        <stp>Prev Close</stp>
        <tr r="P700" s="1"/>
      </tp>
      <tp>
        <v>940.2</v>
        <stp/>
        <stp>bse_cm|995EFSL31</stp>
        <stp>Prev Close</stp>
        <tr r="P192" s="1"/>
      </tp>
      <tp>
        <v>0</v>
        <stp/>
        <stp>bse_cm|91SFL27</stp>
        <stp>ATP</stp>
        <tr r="K574" s="1"/>
      </tp>
      <tp t="s">
        <v>00:00:00</v>
        <stp/>
        <stp>bse_cm|11CCI26</stp>
        <stp>LTT</stp>
        <tr r="I1220" s="1"/>
      </tp>
      <tp>
        <v>0</v>
        <stp/>
        <stp>bse_cm|11CCI26</stp>
        <stp>LTP</stp>
        <tr r="H1220" s="1"/>
      </tp>
      <tp>
        <v>0</v>
        <stp/>
        <stp>bse_cm|925FL27</stp>
        <stp>ATP</stp>
        <tr r="K615" s="1"/>
      </tp>
      <tp>
        <v>1000</v>
        <stp/>
        <stp>nse_cm|CAGL27-NC</stp>
        <stp>Face Value</stp>
        <tr r="Q733" s="1"/>
      </tp>
      <tp>
        <v>1050</v>
        <stp/>
        <stp>bse_cm|875CIFC23B</stp>
        <stp>High</stp>
        <tr r="N1394" s="1"/>
      </tp>
      <tp>
        <v>942</v>
        <stp/>
        <stp>bse_cm|12CCI29</stp>
        <stp>LTP</stp>
        <tr r="H91" s="1"/>
      </tp>
      <tp t="s">
        <v>00:00:00</v>
        <stp/>
        <stp>bse_cm|12CCI29</stp>
        <stp>LTT</stp>
        <tr r="I91" s="1"/>
      </tp>
      <tp>
        <v>0</v>
        <stp/>
        <stp>nse_cm|957SCL30-BX</stp>
        <stp>% Change</stp>
        <tr r="J1109" s="1"/>
      </tp>
      <tp>
        <v>0</v>
        <stp/>
        <stp>bse_cm|93SCL24</stp>
        <stp>ATP</stp>
        <tr r="K945" s="1"/>
      </tp>
      <tp>
        <v>0</v>
        <stp/>
        <stp>bse_cm|93SCL25</stp>
        <stp>ATP</stp>
        <tr r="K729" s="1"/>
      </tp>
      <tp>
        <v>0</v>
        <stp/>
        <stp>bse_cm|94SCL27</stp>
        <stp>ATP</stp>
        <tr r="K1152" s="1"/>
      </tp>
      <tp>
        <v>0</v>
        <stp/>
        <stp>bse_cm|94SFL28</stp>
        <stp>ATP</stp>
        <tr r="K24" s="1"/>
      </tp>
      <tp>
        <v>0</v>
        <stp/>
        <stp>bse_cm|94MFL27</stp>
        <stp>ATP</stp>
        <tr r="K189" s="1"/>
      </tp>
      <tp>
        <v>0</v>
        <stp/>
        <stp>bse_cm|95MFL25</stp>
        <stp>ATP</stp>
        <tr r="K1420" s="1"/>
      </tp>
      <tp>
        <v>0</v>
        <stp/>
        <stp>bse_cm|95KFL26</stp>
        <stp>ATP</stp>
        <tr r="K253" s="1"/>
      </tp>
      <tp>
        <v>0</v>
        <stp/>
        <stp>bse_cm|95KFL27</stp>
        <stp>ATP</stp>
        <tr r="K607" s="1"/>
      </tp>
      <tp>
        <v>-100</v>
        <stp/>
        <stp>bse_cm|KAFL25</stp>
        <stp>% Change</stp>
        <tr r="J1321" s="1"/>
      </tp>
      <tp>
        <v>1000</v>
        <stp/>
        <stp>nse_cm|ICCL25-NS</stp>
        <stp>Face Value</stp>
        <tr r="Q1401" s="1"/>
      </tp>
      <tp t="s">
        <v>SCLZC25F</v>
        <stp/>
        <stp>nse_cm|SCLZC25F-Y5</stp>
        <stp>Symbol</stp>
        <tr r="A1512" s="1"/>
      </tp>
      <tp t="s">
        <v>SCLZC26F</v>
        <stp/>
        <stp>nse_cm|SCLZC26F-Y9</stp>
        <stp>Symbol</stp>
        <tr r="A800" s="1"/>
      </tp>
      <tp>
        <v>0</v>
        <stp/>
        <stp>bse_cm|96SCL25</stp>
        <stp>ATP</stp>
        <tr r="K1068" s="1"/>
      </tp>
      <tp>
        <v>0</v>
        <stp/>
        <stp>bse_cm|96MFL25</stp>
        <stp>ATP</stp>
        <tr r="K1392" s="1"/>
      </tp>
      <tp>
        <v>0</v>
        <stp/>
        <stp>bse_cm|97SFL26</stp>
        <stp>ATP</stp>
        <tr r="K405" s="1"/>
      </tp>
      <tp>
        <v>0</v>
        <stp/>
        <stp>bse_cm|97SFL28</stp>
        <stp>ATP</stp>
        <tr r="K23" s="1"/>
      </tp>
      <tp>
        <v>0</v>
        <stp/>
        <stp>bse_cm|97SFL29</stp>
        <stp>ATP</stp>
        <tr r="K21" s="1"/>
      </tp>
      <tp>
        <v>1000</v>
        <stp/>
        <stp>bse_cm|CAGL26</stp>
        <stp>Prev Close</stp>
        <tr r="P708" s="1"/>
      </tp>
      <tp>
        <v>1000</v>
        <stp/>
        <stp>bse_cm|CAGL27</stp>
        <stp>Prev Close</stp>
        <tr r="P734" s="1"/>
      </tp>
      <tp>
        <v>1190</v>
        <stp/>
        <stp>bse_cm|CAGL24</stp>
        <stp>Prev Close</stp>
        <tr r="P1761" s="1"/>
      </tp>
      <tp>
        <v>950</v>
        <stp/>
        <stp>bse_cm|CAGL25</stp>
        <stp>Prev Close</stp>
        <tr r="P1061" s="1"/>
      </tp>
      <tp>
        <v>821</v>
        <stp/>
        <stp>bse_cm|CAGL28</stp>
        <stp>Prev Close</stp>
        <tr r="P757" s="1"/>
      </tp>
      <tp>
        <v>0</v>
        <stp/>
        <stp>nse_cm|861REC34-ND</stp>
        <stp>% Change</stp>
        <tr r="J583" s="1"/>
      </tp>
      <tp>
        <v>1105</v>
        <stp/>
        <stp>nse_cm|990SCFL26-AJ</stp>
        <stp>High</stp>
        <tr r="N1523" s="1"/>
      </tp>
      <tp>
        <v>0</v>
        <stp/>
        <stp>nse_cm|863REC29-NC</stp>
        <stp>% Change</stp>
        <tr r="J1633" s="1"/>
      </tp>
      <tp>
        <v>0</v>
        <stp/>
        <stp>nse_cm|862REC33-NA</stp>
        <stp>% Change</stp>
        <tr r="J563" s="1"/>
      </tp>
      <tp>
        <v>0</v>
        <stp/>
        <stp>nse_cm|965SCL25-AG</stp>
        <stp>% Change</stp>
        <tr r="J1577" s="1"/>
      </tp>
      <tp>
        <v>1020</v>
        <stp/>
        <stp>bse_cm|925IHFL25E</stp>
        <stp xml:space="preserve">Low </stp>
        <tr r="O398" s="1"/>
      </tp>
      <tp>
        <v>1000</v>
        <stp/>
        <stp>bse_cm|0MML27524</stp>
        <stp>Face Value</stp>
        <tr r="Q1042" s="1"/>
      </tp>
      <tp>
        <v>960</v>
        <stp/>
        <stp>bse_cm|925IHFL25D</stp>
        <stp xml:space="preserve">Low </stp>
        <tr r="O1671" s="1"/>
      </tp>
      <tp>
        <v>986</v>
        <stp/>
        <stp>nse_cm|AEL120924-N2</stp>
        <stp xml:space="preserve">Low </stp>
        <tr r="O1673" s="1"/>
      </tp>
      <tp>
        <v>1000</v>
        <stp/>
        <stp>bse_cm|695PFCL36</stp>
        <stp>Face Value</stp>
        <tr r="Q430" s="1"/>
      </tp>
      <tp>
        <v>1680.7</v>
        <stp/>
        <stp>bse_cm|SCLZC26</stp>
        <stp>Bid Rate</stp>
        <tr r="E1464" s="1"/>
      </tp>
      <tp>
        <v>1150</v>
        <stp/>
        <stp>bse_cm|SCLZC25</stp>
        <stp>Bid Rate</stp>
        <tr r="E917" s="1"/>
      </tp>
      <tp>
        <v>-100</v>
        <stp/>
        <stp>nse_cm|965SCL28-AK</stp>
        <stp>% Change</stp>
        <tr r="J1137" s="1"/>
      </tp>
      <tp>
        <v>1000</v>
        <stp/>
        <stp>bse_cm|697PFCL36</stp>
        <stp>Face Value</stp>
        <tr r="Q431" s="1"/>
      </tp>
      <tp>
        <v>1000</v>
        <stp/>
        <stp>bse_cm|96IIFL28A</stp>
        <stp>Face Value</stp>
        <tr r="Q88" s="1"/>
      </tp>
      <tp>
        <v>1000</v>
        <stp/>
        <stp>bse_cm|890MFCL26</stp>
        <stp>Face Value</stp>
        <tr r="Q279" s="1"/>
      </tp>
      <tp>
        <v>1000</v>
        <stp/>
        <stp>bse_cm|990MFCL29</stp>
        <stp>Face Value</stp>
        <tr r="Q1449" s="1"/>
      </tp>
      <tp>
        <v>1064</v>
        <stp/>
        <stp>bse_cm|965IHFL25D</stp>
        <stp xml:space="preserve">Low </stp>
        <tr r="O1432" s="1"/>
      </tp>
      <tp>
        <v>1000</v>
        <stp/>
        <stp>nse_cm|9SCL25-YM</stp>
        <stp>Prev Close</stp>
        <tr r="P97" s="1"/>
      </tp>
      <tp>
        <v>862.2</v>
        <stp/>
        <stp>nse_cm|894SCL25A-ZI</stp>
        <stp>Bid Rate</stp>
        <tr r="E963" s="1"/>
      </tp>
      <tp>
        <v>-2.79</v>
        <stp/>
        <stp>nse_cm|990SCL26-N7</stp>
        <stp>% Change</stp>
        <tr r="J422" s="1"/>
      </tp>
      <tp t="s">
        <v>BSE</v>
        <stp/>
        <stp>bse_cm|975MFL24BB</stp>
        <stp>Exchange</stp>
        <tr r="C552" s="1"/>
      </tp>
      <tp t="s">
        <v>INE01I507646</v>
        <stp/>
        <stp>bse_cm|975KLM25</stp>
        <stp>Isin code</stp>
        <tr r="R858" s="1"/>
      </tp>
      <tp t="s">
        <v>INE01I507844</v>
        <stp/>
        <stp>bse_cm|950KLM25</stp>
        <stp>Isin code</stp>
        <tr r="R1150" s="1"/>
      </tp>
      <tp t="s">
        <v>INE530L07715</v>
        <stp/>
        <stp>bse_cm|10NIDO27</stp>
        <stp>Isin code</stp>
        <tr r="R597" s="1"/>
      </tp>
      <tp>
        <v>0</v>
        <stp/>
        <stp>nse_cm|935LTF29-N5</stp>
        <stp>% Change</stp>
        <tr r="J395" s="1"/>
      </tp>
      <tp>
        <v>1028</v>
        <stp/>
        <stp>bse_cm|935MOFSL29</stp>
        <stp xml:space="preserve">Low </stp>
        <tr r="O1602" s="1"/>
      </tp>
      <tp>
        <v>1305</v>
        <stp/>
        <stp>nse_cm|866NTPC33-N3</stp>
        <stp xml:space="preserve">Low </stp>
        <tr r="O555" s="1"/>
      </tp>
      <tp>
        <v>1000</v>
        <stp/>
        <stp>bse_cm|965SCL28A</stp>
        <stp>Face Value</stp>
        <tr r="Q1136" s="1"/>
      </tp>
      <tp>
        <v>800</v>
        <stp/>
        <stp>bse_cm|965SCL28C</stp>
        <stp>Face Value</stp>
        <tr r="Q818" s="1"/>
      </tp>
      <tp>
        <v>1000</v>
        <stp/>
        <stp>bse_cm|965SCL28B</stp>
        <stp>Face Value</stp>
        <tr r="Q896" s="1"/>
      </tp>
      <tp>
        <v>1000</v>
        <stp/>
        <stp>bse_cm|965SCL26A</stp>
        <stp>Face Value</stp>
        <tr r="Q1481" s="1"/>
      </tp>
      <tp>
        <v>1000</v>
        <stp/>
        <stp>bse_cm|865SCL24B</stp>
        <stp>Face Value</stp>
        <tr r="Q953" s="1"/>
      </tp>
      <tp>
        <v>1000</v>
        <stp/>
        <stp>bse_cm|965SCL25E</stp>
        <stp>Face Value</stp>
        <tr r="Q414" s="1"/>
      </tp>
      <tp>
        <v>1000</v>
        <stp/>
        <stp>bse_cm|965SCL25F</stp>
        <stp>Face Value</stp>
        <tr r="Q673" s="1"/>
      </tp>
      <tp>
        <v>1000</v>
        <stp/>
        <stp>bse_cm|965SCL25A</stp>
        <stp>Face Value</stp>
        <tr r="Q234" s="1"/>
      </tp>
      <tp>
        <v>800</v>
        <stp/>
        <stp>bse_cm|965SCL25C</stp>
        <stp>Face Value</stp>
        <tr r="Q506" s="1"/>
      </tp>
      <tp>
        <v>1000</v>
        <stp/>
        <stp>bse_cm|965SCL25B</stp>
        <stp>Face Value</stp>
        <tr r="Q1507" s="1"/>
      </tp>
      <tp>
        <v>1000</v>
        <stp/>
        <stp>bse_cm|865MFL25A</stp>
        <stp>Face Value</stp>
        <tr r="Q153" s="1"/>
      </tp>
      <tp>
        <v>1000</v>
        <stp/>
        <stp>bse_cm|865MFL26A</stp>
        <stp>Face Value</stp>
        <tr r="Q242" s="1"/>
      </tp>
      <tp>
        <v>0</v>
        <stp/>
        <stp>nse_cm|86CIFC29-NN</stp>
        <stp>% Change</stp>
        <tr r="J1340" s="1"/>
      </tp>
      <tp>
        <v>1044.3399999999999</v>
        <stp/>
        <stp>nse_cm|1090NFL26-NB</stp>
        <stp xml:space="preserve">Low </stp>
        <tr r="O636" s="1"/>
      </tp>
      <tp>
        <v>17</v>
        <stp/>
        <stp>bse_cm|895EFS25</stp>
        <stp>Bid Qty</stp>
        <tr r="D730" s="1"/>
      </tp>
      <tp>
        <v>0</v>
        <stp/>
        <stp>bse_cm|9SCFL25</stp>
        <stp>ATP</stp>
        <tr r="K1505" s="1"/>
      </tp>
      <tp>
        <v>1250</v>
        <stp/>
        <stp>bse_cm|704NABAR26</stp>
        <stp xml:space="preserve">Low </stp>
        <tr r="O1702" s="1"/>
      </tp>
      <tp t="s">
        <v>INE121A07RT7</v>
        <stp/>
        <stp>bse_cm|85CIFC27</stp>
        <stp>Isin code</stp>
        <tr r="R974" s="1"/>
      </tp>
      <tp t="s">
        <v>INE403Q07CJ8</v>
        <stp/>
        <stp>bse_cm|875KFL25</stp>
        <stp>Isin code</stp>
        <tr r="R50" s="1"/>
      </tp>
      <tp t="s">
        <v>INE403Q07CZ4</v>
        <stp/>
        <stp>bse_cm|825KFL25</stp>
        <stp>Isin code</stp>
        <tr r="R252" s="1"/>
      </tp>
      <tp>
        <v>1049.2</v>
        <stp/>
        <stp>bse_cm|729NABAR26</stp>
        <stp xml:space="preserve">Low </stp>
        <tr r="O540" s="1"/>
      </tp>
      <tp>
        <v>0</v>
        <stp/>
        <stp>bse_cm|9IIFL28</stp>
        <stp>ATP</stp>
        <tr r="K126" s="1"/>
      </tp>
      <tp>
        <v>977</v>
        <stp/>
        <stp>bse_cm|EFSL27A</stp>
        <stp>Bid Rate</stp>
        <tr r="E1649" s="1"/>
      </tp>
      <tp>
        <v>0</v>
        <stp/>
        <stp>bse_cm|9KSFL27</stp>
        <stp>ATP</stp>
        <tr r="K1418" s="1"/>
      </tp>
      <tp>
        <v>0</v>
        <stp/>
        <stp>bse_cm|12IFL27</stp>
        <stp>Volume Traded Today</stp>
        <tr r="L258" s="1"/>
      </tp>
      <tp>
        <v>0</v>
        <stp/>
        <stp>bse_cm|12IML26</stp>
        <stp>Volume Traded Today</stp>
        <tr r="L1494" s="1"/>
      </tp>
      <tp>
        <v>995</v>
        <stp/>
        <stp>nse_cm|925SCL25C-AR</stp>
        <stp>Ask Rate</stp>
        <tr r="F249" s="1"/>
      </tp>
      <tp>
        <v>962.1</v>
        <stp/>
        <stp>bse_cm|9MFCL26</stp>
        <stp>ATP</stp>
        <tr r="K156" s="1"/>
      </tp>
      <tp>
        <v>-100</v>
        <stp/>
        <stp>bse_cm|MML24A</stp>
        <stp>% Change</stp>
        <tr r="J1254" s="1"/>
      </tp>
      <tp>
        <v>0</v>
        <stp/>
        <stp>bse_cm|10KFL28</stp>
        <stp>Volume Traded Today</stp>
        <tr r="L674" s="1"/>
      </tp>
      <tp>
        <v>0</v>
        <stp/>
        <stp>bse_cm|10KFL25</stp>
        <stp>Volume Traded Today</stp>
        <tr r="L1093" s="1"/>
      </tp>
      <tp>
        <v>0</v>
        <stp/>
        <stp>bse_cm|10KFL27</stp>
        <stp>Volume Traded Today</stp>
        <tr r="L675" s="1"/>
      </tp>
      <tp>
        <v>0</v>
        <stp/>
        <stp>bse_cm|10NFL25</stp>
        <stp>Volume Traded Today</stp>
        <tr r="L1568" s="1"/>
      </tp>
      <tp>
        <v>0</v>
        <stp/>
        <stp>bse_cm|10MFL25</stp>
        <stp>Volume Traded Today</stp>
        <tr r="L577" s="1"/>
      </tp>
      <tp>
        <v>0</v>
        <stp/>
        <stp>bse_cm|10SFL25</stp>
        <stp>Volume Traded Today</stp>
        <tr r="L1681" s="1"/>
      </tp>
      <tp>
        <v>0</v>
        <stp/>
        <stp>bse_cm|10SFL27</stp>
        <stp>Volume Traded Today</stp>
        <tr r="L863" s="1"/>
      </tp>
      <tp>
        <v>0</v>
        <stp/>
        <stp>bse_cm|10VCL25</stp>
        <stp>Volume Traded Today</stp>
        <tr r="L1646" s="1"/>
      </tp>
      <tp>
        <v>0</v>
        <stp/>
        <stp>bse_cm|11CCL26</stp>
        <stp>Volume Traded Today</stp>
        <tr r="L1219" s="1"/>
      </tp>
      <tp>
        <v>0</v>
        <stp/>
        <stp>bse_cm|11MML28</stp>
        <stp>Volume Traded Today</stp>
        <tr r="L1131" s="1"/>
      </tp>
      <tp>
        <v>0</v>
        <stp/>
        <stp>bse_cm|11IML27</stp>
        <stp>Volume Traded Today</stp>
        <tr r="L177" s="1"/>
      </tp>
      <tp>
        <v>0</v>
        <stp/>
        <stp>bse_cm|11IML26</stp>
        <stp>Volume Traded Today</stp>
        <tr r="L1132" s="1"/>
      </tp>
      <tp>
        <v>0</v>
        <stp/>
        <stp>bse_cm|11IFL25</stp>
        <stp>Volume Traded Today</stp>
        <tr r="L1421" s="1"/>
      </tp>
      <tp>
        <v>0</v>
        <stp/>
        <stp>bse_cm|10SCL31</stp>
        <stp>Volume Traded Today</stp>
        <tr r="L1085" s="1"/>
      </tp>
      <tp>
        <v>0</v>
        <stp/>
        <stp>bse_cm|11UCL26</stp>
        <stp>Volume Traded Today</stp>
        <tr r="L323" s="1"/>
      </tp>
      <tp>
        <v>0</v>
        <stp/>
        <stp>bse_cm|RFLNIFT25</stp>
        <stp>LTP</stp>
        <tr r="H1242" s="1"/>
      </tp>
      <tp t="s">
        <v>00:00:00</v>
        <stp/>
        <stp>bse_cm|RFLNIFT25</stp>
        <stp>LTT</stp>
        <tr r="I1242" s="1"/>
      </tp>
      <tp t="s">
        <v>00:00:00</v>
        <stp/>
        <stp>bse_cm|9ARKA25</stp>
        <stp>LTT</stp>
        <tr r="I1365" s="1"/>
      </tp>
      <tp>
        <v>0</v>
        <stp/>
        <stp>bse_cm|9ARKA25</stp>
        <stp>LTP</stp>
        <tr r="H1365" s="1"/>
      </tp>
      <tp>
        <v>1015.01</v>
        <stp/>
        <stp>nse_cm|830CIFC26-N2</stp>
        <stp>High</stp>
        <tr r="N1625" s="1"/>
      </tp>
      <tp>
        <v>1158</v>
        <stp/>
        <stp>nse_cm|840IRFC29-N8</stp>
        <stp>High</stp>
        <tr r="N528" s="1"/>
      </tp>
      <tp>
        <v>826</v>
        <stp/>
        <stp>bse_cm|920IIFLS26</stp>
        <stp>High</stp>
        <tr r="N613" s="1"/>
      </tp>
      <tp>
        <v>-100</v>
        <stp/>
        <stp>bse_cm|MFL24A</stp>
        <stp>% Change</stp>
        <tr r="J1759" s="1"/>
      </tp>
      <tp>
        <v>939.77</v>
        <stp/>
        <stp>bse_cm|957IIFLS27</stp>
        <stp>High</stp>
        <tr r="N687" s="1"/>
      </tp>
      <tp>
        <v>0</v>
        <stp/>
        <stp>bse_cm|9EFSL25</stp>
        <stp>ATP</stp>
        <tr r="K606" s="1"/>
      </tp>
      <tp>
        <v>987.57</v>
        <stp/>
        <stp>bse_cm|9EFSL26</stp>
        <stp>ATP</stp>
        <tr r="K581" s="1"/>
      </tp>
      <tp>
        <v>0.62</v>
        <stp/>
        <stp>bse_cm|MFL24B</stp>
        <stp>% Change</stp>
        <tr r="J1756" s="1"/>
      </tp>
      <tp>
        <v>945.1</v>
        <stp/>
        <stp>bse_cm|IFL1942024</stp>
        <stp>High</stp>
        <tr r="N1594" s="1"/>
      </tp>
      <tp>
        <v>990</v>
        <stp/>
        <stp>bse_cm|960IIFLS26</stp>
        <stp>High</stp>
        <tr r="N872" s="1"/>
      </tp>
      <tp>
        <v>1000</v>
        <stp/>
        <stp>nse_cm|81TCHF28-N8</stp>
        <stp>Face Value</stp>
        <tr r="Q467" s="1"/>
      </tp>
      <tp>
        <v>1000</v>
        <stp/>
        <stp>nse_cm|83TCHF28-N9</stp>
        <stp>Face Value</stp>
        <tr r="Q831" s="1"/>
      </tp>
      <tp>
        <v>1000</v>
        <stp/>
        <stp>nse_cm|84TCHF28-NA</stp>
        <stp>Face Value</stp>
        <tr r="Q402" s="1"/>
      </tp>
      <tp t="s">
        <v>960IIFLS26</v>
        <stp/>
        <stp>bse_cm|960IIFLS26</stp>
        <stp>Trading Symbol</stp>
        <tr r="B872" s="1"/>
      </tp>
      <tp t="s">
        <v>920IIFLS26</v>
        <stp/>
        <stp>bse_cm|920IIFLS26</stp>
        <stp>Trading Symbol</stp>
        <tr r="B613" s="1"/>
      </tp>
      <tp>
        <v>1000</v>
        <stp/>
        <stp>nse_cm|92ICCL28-ND</stp>
        <stp>Face Value</stp>
        <tr r="Q203" s="1"/>
      </tp>
      <tp>
        <v>0</v>
        <stp/>
        <stp>nse_cm|TCHF30-NB</stp>
        <stp>Open</stp>
        <tr r="M408" s="1"/>
      </tp>
      <tp>
        <v>1000</v>
        <stp/>
        <stp>nse_cm|975NFL25-N0</stp>
        <stp>Face Value</stp>
        <tr r="Q256" s="1"/>
      </tp>
      <tp t="s">
        <v>728IREDA26</v>
        <stp/>
        <stp>bse_cm|728IREDA26</stp>
        <stp>Trading Symbol</stp>
        <tr r="B1203" s="1"/>
      </tp>
      <tp t="s">
        <v>768IREDA36</v>
        <stp/>
        <stp>bse_cm|768IREDA36</stp>
        <stp>Trading Symbol</stp>
        <tr r="B543" s="1"/>
      </tp>
      <tp>
        <v>921</v>
        <stp/>
        <stp>nse_cm|889SCL28-NU</stp>
        <stp>Prev Close</stp>
        <tr r="P989" s="1"/>
      </tp>
      <tp>
        <v>970</v>
        <stp/>
        <stp>nse_cm|975SCL28-NT</stp>
        <stp>Prev Close</stp>
        <tr r="P142" s="1"/>
      </tp>
      <tp>
        <v>0</v>
        <stp/>
        <stp>nse_cm|935SCL28-NV</stp>
        <stp>Prev Close</stp>
        <tr r="P986" s="1"/>
      </tp>
      <tp>
        <v>1000</v>
        <stp/>
        <stp>nse_cm|925SCL28-AM</stp>
        <stp>Prev Close</stp>
        <tr r="P939" s="1"/>
      </tp>
      <tp>
        <v>900</v>
        <stp/>
        <stp>nse_cm|971SCL28-AN</stp>
        <stp>Prev Close</stp>
        <tr r="P538" s="1"/>
      </tp>
      <tp>
        <v>1000</v>
        <stp/>
        <stp>nse_cm|965SCL28-AK</stp>
        <stp>Prev Close</stp>
        <tr r="P1137" s="1"/>
      </tp>
      <tp>
        <v>1201.5</v>
        <stp/>
        <stp>nse_cm|888REC29-NF</stp>
        <stp>Prev Close</stp>
        <tr r="P522" s="1"/>
      </tp>
      <tp>
        <v>1000</v>
        <stp/>
        <stp>nse_cm|905LTF27-NF</stp>
        <stp>Face Value</stp>
        <tr r="Q393" s="1"/>
      </tp>
      <tp>
        <v>1368</v>
        <stp/>
        <stp>nse_cm|863REC29-NC</stp>
        <stp>Prev Close</stp>
        <tr r="P1633" s="1"/>
      </tp>
      <tp>
        <v>1000</v>
        <stp/>
        <stp>nse_cm|885LTF27-NE</stp>
        <stp>Face Value</stp>
        <tr r="Q1007" s="1"/>
      </tp>
      <tp>
        <v>100000</v>
        <stp/>
        <stp>nse_cm|815LTF27-NO</stp>
        <stp>Face Value</stp>
        <tr r="Q1001" s="1"/>
      </tp>
      <tp>
        <v>100000</v>
        <stp/>
        <stp>nse_cm|824LTF27-NQ</stp>
        <stp>Face Value</stp>
        <tr r="Q999" s="1"/>
      </tp>
      <tp>
        <v>1000</v>
        <stp/>
        <stp>nse_cm|852LTF27-NG</stp>
        <stp>Face Value</stp>
        <tr r="Q1006" s="1"/>
      </tp>
      <tp>
        <v>1040</v>
        <stp/>
        <stp>nse_cm|930SFL28-YP</stp>
        <stp>Prev Close</stp>
        <tr r="P6" s="1"/>
      </tp>
      <tp>
        <v>1030</v>
        <stp/>
        <stp>nse_cm|903SFL28-YI</stp>
        <stp>Prev Close</stp>
        <tr r="P372" s="1"/>
      </tp>
      <tp t="s">
        <v>1003SCL30A</v>
        <stp/>
        <stp>bse_cm|1003SCL30A</stp>
        <stp>Trading Symbol</stp>
        <tr r="B875" s="1"/>
      </tp>
      <tp>
        <v>0</v>
        <stp/>
        <stp>nse_cm|M&amp;MFIN-N3</stp>
        <stp>Open</stp>
        <tr r="M1723" s="1"/>
      </tp>
      <tp t="s">
        <v>INE614X07449</v>
        <stp/>
        <stp>bse_cm|11DLSL25A</stp>
        <stp>Isin code</stp>
        <tr r="R300" s="1"/>
      </tp>
      <tp t="s">
        <v>INE532F07FY9</v>
        <stp/>
        <stp>bse_cm|11EFSL34A</stp>
        <stp>Isin code</stp>
        <tr r="R1408" s="1"/>
      </tp>
      <tp>
        <v>0</v>
        <stp/>
        <stp>bse_cm|1065NFL27</stp>
        <stp>Open</stp>
        <tr r="M182" s="1"/>
      </tp>
      <tp t="s">
        <v>INE532F07EL9</v>
        <stp/>
        <stp>bse_cm|10EFSL33A</stp>
        <stp>Isin code</stp>
        <tr r="R140" s="1"/>
      </tp>
      <tp t="s">
        <v>INE532F07FD3</v>
        <stp/>
        <stp>bse_cm|10EFSL34A</stp>
        <stp>Isin code</stp>
        <tr r="R131" s="1"/>
      </tp>
      <tp>
        <v>0</v>
        <stp/>
        <stp>bse_cm|990SCL26I</stp>
        <stp>Ask Rate</stp>
        <tr r="F797" s="1"/>
      </tp>
      <tp>
        <v>0</v>
        <stp/>
        <stp>bse_cm|948SCL26I</stp>
        <stp>Ask Rate</stp>
        <tr r="F1080" s="1"/>
      </tp>
      <tp>
        <v>0</v>
        <stp/>
        <stp>bse_cm|902SCL26I</stp>
        <stp>Ask Rate</stp>
        <tr r="F903" s="1"/>
      </tp>
      <tp>
        <v>0</v>
        <stp/>
        <stp>bse_cm|1015MML25</stp>
        <stp>Open</stp>
        <tr r="M1103" s="1"/>
      </tp>
      <tp>
        <v>0</v>
        <stp/>
        <stp>bse_cm|1025MML25</stp>
        <stp>Open</stp>
        <tr r="M766" s="1"/>
      </tp>
      <tp t="s">
        <v>1003ICCL28</v>
        <stp/>
        <stp>bse_cm|1003ICCL28</stp>
        <stp>Trading Symbol</stp>
        <tr r="B655" s="1"/>
      </tp>
      <tp>
        <v>50</v>
        <stp/>
        <stp>bse_cm|MFLVIII27H</stp>
        <stp>Bid Qty</stp>
        <tr r="D1274" s="1"/>
      </tp>
      <tp>
        <v>0</v>
        <stp/>
        <stp>bse_cm|1025NFL25</stp>
        <stp>Open</stp>
        <tr r="M624" s="1"/>
      </tp>
      <tp>
        <v>0</v>
        <stp/>
        <stp>bse_cm|1075NFL25</stp>
        <stp>Open</stp>
        <tr r="M643" s="1"/>
      </tp>
      <tp>
        <v>1000</v>
        <stp/>
        <stp>nse_cm|IIFLZC28-NG</stp>
        <stp>Face Value</stp>
        <tr r="Q1659" s="1"/>
      </tp>
      <tp t="s">
        <v>1050NHFL29</v>
        <stp/>
        <stp>bse_cm|1050NHFL29</stp>
        <stp>Trading Symbol</stp>
        <tr r="B1125" s="1"/>
      </tp>
      <tp>
        <v>0</v>
        <stp/>
        <stp>bse_cm|1025MML26</stp>
        <stp>Open</stp>
        <tr r="M765" s="1"/>
      </tp>
      <tp>
        <v>0</v>
        <stp/>
        <stp>bse_cm|1075MML26</stp>
        <stp>Open</stp>
        <tr r="M1115" s="1"/>
      </tp>
      <tp t="s">
        <v>1050KAFL25</v>
        <stp/>
        <stp>bse_cm|1050KAFL25</stp>
        <stp>Trading Symbol</stp>
        <tr r="B1161" s="1"/>
      </tp>
      <tp t="s">
        <v>1050KAFL27</v>
        <stp/>
        <stp>bse_cm|1050KAFL27</stp>
        <stp>Trading Symbol</stp>
        <tr r="B1160" s="1"/>
      </tp>
      <tp t="s">
        <v>1050KAFL28</v>
        <stp/>
        <stp>bse_cm|1050KAFL28</stp>
        <stp>Trading Symbol</stp>
        <tr r="B610" s="1"/>
      </tp>
      <tp t="s">
        <v>1050ISFL28</v>
        <stp/>
        <stp>bse_cm|1050ISFL28</stp>
        <stp>Trading Symbol</stp>
        <tr r="B1497" s="1"/>
      </tp>
      <tp t="s">
        <v>1050IIFL29</v>
        <stp/>
        <stp>bse_cm|1050IIFL29</stp>
        <stp>Trading Symbol</stp>
        <tr r="B763" s="1"/>
      </tp>
      <tp t="s">
        <v>1050SCFL31</v>
        <stp/>
        <stp>bse_cm|1050SCFL31</stp>
        <stp>Trading Symbol</stp>
        <tr r="B1123" s="1"/>
      </tp>
      <tp>
        <v>100</v>
        <stp/>
        <stp>bse_cm|MFLVIII26H</stp>
        <stp>Bid Qty</stp>
        <tr r="D1575" s="1"/>
      </tp>
      <tp t="s">
        <v>INE532F07CH1</v>
        <stp/>
        <stp>bse_cm|EFSL26</stp>
        <stp>Isin code</stp>
        <tr r="R1687" s="1"/>
      </tp>
      <tp>
        <v>995</v>
        <stp/>
        <stp>bse_cm|1125MML27</stp>
        <stp>Open</stp>
        <tr r="M592" s="1"/>
      </tp>
      <tp>
        <v>0</v>
        <stp/>
        <stp>bse_cm|1075MML27</stp>
        <stp>Open</stp>
        <tr r="M1510" s="1"/>
      </tp>
      <tp>
        <v>0</v>
        <stp/>
        <stp>bse_cm|1025KFL26</stp>
        <stp>Open</stp>
        <tr r="M768" s="1"/>
      </tp>
      <tp t="s">
        <v>1075NIDO34</v>
        <stp/>
        <stp>bse_cm|1075NIDO34</stp>
        <stp>Trading Symbol</stp>
        <tr r="B1021" s="1"/>
      </tp>
      <tp>
        <v>0</v>
        <stp/>
        <stp>bse_cm|1125KLM26</stp>
        <stp>Open</stp>
        <tr r="M1227" s="1"/>
      </tp>
      <tp t="e">
        <v>#N/A</v>
        <stp/>
        <stp>bse_cm|1075IML24</stp>
        <stp>Open</stp>
        <tr r="M33" s="1"/>
      </tp>
      <tp>
        <v>0</v>
        <stp/>
        <stp>bse_cm|1025KFL27</stp>
        <stp>Open</stp>
        <tr r="M767" s="1"/>
      </tp>
      <tp>
        <v>1180</v>
        <stp/>
        <stp>bse_cm|1015ECL29</stp>
        <stp>Open</stp>
        <tr r="M210" s="1"/>
      </tp>
      <tp>
        <v>0</v>
        <stp/>
        <stp>bse_cm|1075KLM27</stp>
        <stp>Open</stp>
        <tr r="M1117" s="1"/>
      </tp>
      <tp>
        <v>0</v>
        <stp/>
        <stp>bse_cm|1175IFL26</stp>
        <stp>Open</stp>
        <tr r="M1221" s="1"/>
      </tp>
      <tp>
        <v>0</v>
        <stp/>
        <stp>bse_cm|1225IFL27</stp>
        <stp>Open</stp>
        <tr r="M1216" s="1"/>
      </tp>
      <tp>
        <v>0</v>
        <stp/>
        <stp>bse_cm|1025KFL25</stp>
        <stp>Open</stp>
        <tr r="M638" s="1"/>
      </tp>
      <tp>
        <v>0</v>
        <stp/>
        <stp>bse_cm|1175KLM25</stp>
        <stp>Open</stp>
        <tr r="M1691" s="1"/>
      </tp>
      <tp>
        <v>0</v>
        <stp/>
        <stp>bse_cm|1075IML27</stp>
        <stp>Open</stp>
        <tr r="M96" s="1"/>
      </tp>
      <tp>
        <v>0</v>
        <stp/>
        <stp>bse_cm|888SCL26A</stp>
        <stp>Ask Rate</stp>
        <tr r="F840" s="1"/>
      </tp>
      <tp>
        <v>0</v>
        <stp/>
        <stp>bse_cm|990SCL26A</stp>
        <stp>Ask Rate</stp>
        <tr r="F1057" s="1"/>
      </tp>
      <tp>
        <v>0</v>
        <stp/>
        <stp>bse_cm|965SCL26A</stp>
        <stp>Ask Rate</stp>
        <tr r="F1481" s="1"/>
      </tp>
      <tp>
        <v>0</v>
        <stp/>
        <stp>bse_cm|940SCL26A</stp>
        <stp>Ask Rate</stp>
        <tr r="F920" s="1"/>
      </tp>
      <tp>
        <v>1079.7</v>
        <stp/>
        <stp>bse_cm|948SCL26A</stp>
        <stp>Ask Rate</stp>
        <tr r="F494" s="1"/>
      </tp>
      <tp>
        <v>0</v>
        <stp/>
        <stp>bse_cm|925SCL26A</stp>
        <stp>Ask Rate</stp>
        <tr r="F990" s="1"/>
      </tp>
      <tp>
        <v>0</v>
        <stp/>
        <stp>bse_cm|902SCL26A</stp>
        <stp>Ask Rate</stp>
        <tr r="F967" s="1"/>
      </tp>
      <tp>
        <v>0</v>
        <stp/>
        <stp>bse_cm|990SCL26B</stp>
        <stp>Ask Rate</stp>
        <tr r="F1048" s="1"/>
      </tp>
      <tp>
        <v>0</v>
        <stp/>
        <stp>bse_cm|940SCL26B</stp>
        <stp>Ask Rate</stp>
        <tr r="F905" s="1"/>
      </tp>
      <tp>
        <v>1075</v>
        <stp/>
        <stp>bse_cm|948SCL26B</stp>
        <stp>Ask Rate</stp>
        <tr r="F470" s="1"/>
      </tp>
      <tp>
        <v>0</v>
        <stp/>
        <stp>bse_cm|925SCL26B</stp>
        <stp>Ask Rate</stp>
        <tr r="F1360" s="1"/>
      </tp>
      <tp>
        <v>0</v>
        <stp/>
        <stp>bse_cm|1025KFL28</stp>
        <stp>Open</stp>
        <tr r="M626" s="1"/>
      </tp>
      <tp>
        <v>0</v>
        <stp/>
        <stp>bse_cm|940SCL26C</stp>
        <stp>Ask Rate</stp>
        <tr r="F794" s="1"/>
      </tp>
      <tp>
        <v>0</v>
        <stp/>
        <stp>bse_cm|925SCL26C</stp>
        <stp>Ask Rate</stp>
        <tr r="F725" s="1"/>
      </tp>
      <tp>
        <v>0</v>
        <stp/>
        <stp>bse_cm|1025KFL29</stp>
        <stp>Open</stp>
        <tr r="M196" s="1"/>
      </tp>
      <tp t="s">
        <v>MFCL160924</v>
        <stp/>
        <stp>bse_cm|MFCL160924</stp>
        <stp>Trading Symbol</stp>
        <tr r="B572" s="1"/>
      </tp>
      <tp>
        <v>0</v>
        <stp/>
        <stp>bse_cm|990SCL26D</stp>
        <stp>Ask Rate</stp>
        <tr r="F1534" s="1"/>
      </tp>
      <tp>
        <v>0</v>
        <stp/>
        <stp>bse_cm|948SCL26D</stp>
        <stp>Ask Rate</stp>
        <tr r="F1081" s="1"/>
      </tp>
      <tp>
        <v>0</v>
        <stp/>
        <stp>bse_cm|931SFL26A</stp>
        <stp>Ask Rate</stp>
        <tr r="F1086" s="1"/>
      </tp>
      <tp>
        <v>0</v>
        <stp/>
        <stp>bse_cm|925SCL26D</stp>
        <stp>Ask Rate</stp>
        <tr r="F619" s="1"/>
      </tp>
      <tp>
        <v>0</v>
        <stp/>
        <stp>bse_cm|1075CCI26</stp>
        <stp>Open</stp>
        <tr r="M1425" s="1"/>
      </tp>
      <tp>
        <v>0</v>
        <stp/>
        <stp>bse_cm|1125CCI27</stp>
        <stp>Open</stp>
        <tr r="M1229" s="1"/>
      </tp>
      <tp t="s">
        <v>INE530B07385</v>
        <stp/>
        <stp>nse_cm|865IFL28-NZ</stp>
        <stp>Isin code</stp>
        <tr r="R103" s="1"/>
      </tp>
      <tp>
        <v>0</v>
        <stp/>
        <stp>bse_cm|1075CCL25</stp>
        <stp>Open</stp>
        <tr r="M1119" s="1"/>
      </tp>
      <tp>
        <v>0</v>
        <stp/>
        <stp>bse_cm|1025SFL28</stp>
        <stp>Open</stp>
        <tr r="M100" s="1"/>
      </tp>
      <tp>
        <v>0</v>
        <stp/>
        <stp>bse_cm|1015SCL28</stp>
        <stp>Open</stp>
        <tr r="M327" s="1"/>
      </tp>
      <tp>
        <v>0</v>
        <stp/>
        <stp>bse_cm|1025SFL29</stp>
        <stp>Open</stp>
        <tr r="M1446" s="1"/>
      </tp>
      <tp>
        <v>0</v>
        <stp/>
        <stp>bse_cm|1015SCL29</stp>
        <stp>Open</stp>
        <tr r="M1177" s="1"/>
      </tp>
      <tp t="s">
        <v>910TCAP28</v>
        <stp/>
        <stp>nse_cm|910TCAP28-NA</stp>
        <stp>Symbol</stp>
        <tr r="A411" s="1"/>
      </tp>
      <tp t="s">
        <v>940ICCL28</v>
        <stp/>
        <stp>nse_cm|940ICCL28-NN</stp>
        <stp>Symbol</stp>
        <tr r="A779" s="1"/>
      </tp>
      <tp t="s">
        <v>805ABFL28</v>
        <stp/>
        <stp>nse_cm|805ABFL28-N2</stp>
        <stp>Symbol</stp>
        <tr r="A477" s="1"/>
      </tp>
      <tp t="s">
        <v>957ICCL28</v>
        <stp/>
        <stp>nse_cm|957ICCL28-NW</stp>
        <stp>Symbol</stp>
        <tr r="A762" s="1"/>
      </tp>
      <tp t="s">
        <v>INE148I07SO2</v>
        <stp/>
        <stp>nse_cm|925SCL29-YZ</stp>
        <stp>Isin code</stp>
        <tr r="R851" s="1"/>
      </tp>
      <tp>
        <v>0</v>
        <stp/>
        <stp>bse_cm|1035UCL24</stp>
        <stp>Open</stp>
        <tr r="M1580" s="1"/>
      </tp>
      <tp t="s">
        <v>985ICCL28</v>
        <stp/>
        <stp>nse_cm|985ICCL28-NO</stp>
        <stp>Symbol</stp>
        <tr r="A1605" s="1"/>
      </tp>
      <tp t="s">
        <v>980ICCL28</v>
        <stp/>
        <stp>nse_cm|980ICCL28-NL</stp>
        <stp>Symbol</stp>
        <tr r="A780" s="1"/>
      </tp>
      <tp>
        <v>0</v>
        <stp/>
        <stp>bse_cm|1025UCL25</stp>
        <stp>Open</stp>
        <tr r="M326" s="1"/>
      </tp>
      <tp>
        <v>0</v>
        <stp/>
        <stp>bse_cm|1075UCL25</stp>
        <stp>Open</stp>
        <tr r="M515" s="1"/>
      </tp>
      <tp>
        <v>0</v>
        <stp/>
        <stp>bse_cm|1035UCL26</stp>
        <stp>Open</stp>
        <tr r="M1626" s="1"/>
      </tp>
      <tp>
        <v>0</v>
        <stp/>
        <stp>bse_cm|1025UCL27</stp>
        <stp>Open</stp>
        <tr r="M1019" s="1"/>
      </tp>
      <tp t="s">
        <v>985IIFL22</v>
        <stp/>
        <stp>nse_cm|985IIFL22-NC</stp>
        <stp>Symbol</stp>
        <tr r="A114" s="1"/>
      </tp>
      <tp>
        <v>0</v>
        <stp/>
        <stp>bse_cm|1025SFL25</stp>
        <stp>Open</stp>
        <tr r="M1071" s="1"/>
      </tp>
      <tp>
        <v>1020</v>
        <stp/>
        <stp>nse_cm|1102NFL26-N8</stp>
        <stp>High</stp>
        <tr r="N587" s="1"/>
      </tp>
      <tp>
        <v>991</v>
        <stp/>
        <stp>nse_cm|850IIFL27-NA</stp>
        <stp>High</stp>
        <tr r="N608" s="1"/>
      </tp>
      <tp>
        <v>965</v>
        <stp/>
        <stp>bse_cm|895EFSL25A</stp>
        <stp xml:space="preserve">Low </stp>
        <tr r="O594" s="1"/>
      </tp>
      <tp>
        <v>-100</v>
        <stp/>
        <stp>bse_cm|DLSL25</stp>
        <stp>% Change</stp>
        <tr r="J1747" s="1"/>
      </tp>
      <tp>
        <v>0</v>
        <stp/>
        <stp>bse_cm|905SC24</stp>
        <stp>ATP</stp>
        <tr r="K573" s="1"/>
      </tp>
      <tp t="s">
        <v>NSE</v>
        <stp/>
        <stp>nse_cm|980SCL33A-N3</stp>
        <stp>Exchange</stp>
        <tr r="C1055" s="1"/>
      </tp>
      <tp>
        <v>1045.01</v>
        <stp/>
        <stp>nse_cm|94SFL28-YL</stp>
        <stp>Bid Rate</stp>
        <tr r="E5" s="1"/>
      </tp>
      <tp>
        <v>975</v>
        <stp/>
        <stp>bse_cm|965IFSL26</stp>
        <stp>Prev Close</stp>
        <tr r="P1142" s="1"/>
      </tp>
      <tp>
        <v>903</v>
        <stp/>
        <stp>bse_cm|965EFSL32</stp>
        <stp>Prev Close</stp>
        <tr r="P141" s="1"/>
      </tp>
      <tp>
        <v>912.25</v>
        <stp/>
        <stp>nse_cm|9IIFL28-Y0</stp>
        <stp>Bid Rate</stp>
        <tr r="E175" s="1"/>
      </tp>
      <tp>
        <v>0</v>
        <stp/>
        <stp>nse_cm|865IFL28-NZ</stp>
        <stp>% Change</stp>
        <tr r="J103" s="1"/>
      </tp>
      <tp>
        <v>1000</v>
        <stp/>
        <stp>nse_cm|CAGL28-NE</stp>
        <stp>Face Value</stp>
        <tr r="Q756" s="1"/>
      </tp>
      <tp>
        <v>1000</v>
        <stp/>
        <stp>bse_cm|966IFSL25</stp>
        <stp>Prev Close</stp>
        <tr r="P1051" s="1"/>
      </tp>
      <tp>
        <v>1005</v>
        <stp/>
        <stp>nse_cm|940CAGL27-NB</stp>
        <stp>High</stp>
        <tr r="N1367" s="1"/>
      </tp>
      <tp>
        <v>30</v>
        <stp/>
        <stp>nse_cm|885TCAPS29-NC</stp>
        <stp>Bid Qty</stp>
        <tr r="D13" s="1"/>
      </tp>
      <tp>
        <v>0</v>
        <stp/>
        <stp>nse_cm|875TCAPS29-NB</stp>
        <stp>Bid Qty</stp>
        <tr r="D934" s="1"/>
      </tp>
      <tp>
        <v>10</v>
        <stp/>
        <stp>nse_cm|865TCAPS27-N8</stp>
        <stp>Bid Qty</stp>
        <tr r="D376" s="1"/>
      </tp>
      <tp>
        <v>0</v>
        <stp/>
        <stp>nse_cm|855TCAPS27-N7</stp>
        <stp>Bid Qty</stp>
        <tr r="D1003" s="1"/>
      </tp>
      <tp>
        <v>1004</v>
        <stp/>
        <stp>bse_cm|957JFPL30</stp>
        <stp>Prev Close</stp>
        <tr r="P760" s="1"/>
      </tp>
      <tp>
        <v>950</v>
        <stp/>
        <stp>bse_cm|967EFSL29</stp>
        <stp>Prev Close</stp>
        <tr r="P102" s="1"/>
      </tp>
      <tp>
        <v>950</v>
        <stp/>
        <stp>bse_cm|967EFSL28</stp>
        <stp>Prev Close</stp>
        <tr r="P205" s="1"/>
      </tp>
      <tp>
        <v>100</v>
        <stp/>
        <stp>nse_cm|CIFCZC28-NH</stp>
        <stp>Bid Qty</stp>
        <tr r="D1607" s="1"/>
      </tp>
      <tp>
        <v>18</v>
        <stp/>
        <stp>nse_cm|CIFCZC26-NF</stp>
        <stp>Bid Qty</stp>
        <tr r="D1561" s="1"/>
      </tp>
      <tp>
        <v>75</v>
        <stp/>
        <stp>nse_cm|CIFCZC25-ND</stp>
        <stp>Bid Qty</stp>
        <tr r="D1435" s="1"/>
      </tp>
      <tp>
        <v>1001</v>
        <stp/>
        <stp>bse_cm|960EFSL27</stp>
        <stp>Prev Close</stp>
        <tr r="P70" s="1"/>
      </tp>
      <tp>
        <v>999</v>
        <stp/>
        <stp>bse_cm|960EFSL26</stp>
        <stp>Prev Close</stp>
        <tr r="P690" s="1"/>
      </tp>
      <tp>
        <v>0</v>
        <stp/>
        <stp>nse_cm|940ICCL28-NN</stp>
        <stp>High</stp>
        <tr r="N779" s="1"/>
      </tp>
      <tp>
        <v>1024</v>
        <stp/>
        <stp>nse_cm|970CAGL28-ND</stp>
        <stp>High</stp>
        <tr r="N306" s="1"/>
      </tp>
      <tp>
        <v>971</v>
        <stp/>
        <stp>bse_cm|1025KFL27A</stp>
        <stp>High</stp>
        <tr r="N89" s="1"/>
      </tp>
      <tp>
        <v>0</v>
        <stp/>
        <stp>bse_cm|1010EFS29A</stp>
        <stp>High</stp>
        <tr r="N1593" s="1"/>
      </tp>
      <tp>
        <v>0</v>
        <stp/>
        <stp>nse_cm|980ICCL28-NL</stp>
        <stp>High</stp>
        <tr r="N780" s="1"/>
      </tp>
      <tp>
        <v>1000</v>
        <stp/>
        <stp>bse_cm|732IRFC25</stp>
        <stp>Face Value</stp>
        <tr r="Q174" s="1"/>
      </tp>
      <tp>
        <v>900.3</v>
        <stp/>
        <stp>nse_cm|948SCL26B-Y8</stp>
        <stp>Bid Rate</stp>
        <tr r="E159" s="1"/>
      </tp>
      <tp>
        <v>50</v>
        <stp/>
        <stp>bse_cm|960EFSLA</stp>
        <stp>Bid Qty</stp>
        <tr r="D699" s="1"/>
      </tp>
      <tp>
        <v>1000</v>
        <stp/>
        <stp>bse_cm|830CIFC26</stp>
        <stp>Face Value</stp>
        <tr r="Q1013" s="1"/>
      </tp>
      <tp>
        <v>1016.67</v>
        <stp/>
        <stp>nse_cm|97SFL28-YS</stp>
        <stp>Bid Rate</stp>
        <tr r="E19" s="1"/>
      </tp>
      <tp>
        <v>1148</v>
        <stp/>
        <stp>nse_cm|82HUDCO27-N2</stp>
        <stp>Ask Rate</stp>
        <tr r="F532" s="1"/>
      </tp>
      <tp>
        <v>1000</v>
        <stp/>
        <stp>bse_cm|AEL120924</stp>
        <stp>Face Value</stp>
        <tr r="Q1062" s="1"/>
      </tp>
      <tp>
        <v>1000</v>
        <stp/>
        <stp>bse_cm|735IRFC31</stp>
        <stp>Face Value</stp>
        <tr r="Q1427" s="1"/>
      </tp>
      <tp>
        <v>900</v>
        <stp/>
        <stp>nse_cm|965SCL25C-N0</stp>
        <stp>Ask Rate</stp>
        <tr r="F507" s="1"/>
      </tp>
      <tp>
        <v>1045.2</v>
        <stp/>
        <stp>nse_cm|9SCFL25-Y5</stp>
        <stp>Bid Rate</stp>
        <tr r="E389" s="1"/>
      </tp>
      <tp>
        <v>10</v>
        <stp/>
        <stp>nse_cm|935MOFSL29-N5</stp>
        <stp>Ask Qty</stp>
        <tr r="G1601" s="1"/>
      </tp>
      <tp>
        <v>199</v>
        <stp/>
        <stp>nse_cm|885MOFSL26-N0</stp>
        <stp>Ask Qty</stp>
        <tr r="G1635" s="1"/>
      </tp>
      <tp>
        <v>0</v>
        <stp/>
        <stp>nse_cm|816ABFL29-NC</stp>
        <stp xml:space="preserve">Low </stp>
        <tr r="O732" s="1"/>
      </tp>
      <tp>
        <v>-0.69</v>
        <stp/>
        <stp>nse_cm|96IIFL28-N5</stp>
        <stp>% Change</stp>
        <tr r="J106" s="1"/>
      </tp>
      <tp>
        <v>1000</v>
        <stp/>
        <stp>bse_cm|565PFCL26</stp>
        <stp>Face Value</stp>
        <tr r="Q1210" s="1"/>
      </tp>
      <tp>
        <v>1000</v>
        <stp/>
        <stp>bse_cm|965MFCL27</stp>
        <stp>Face Value</stp>
        <tr r="Q618" s="1"/>
      </tp>
      <tp>
        <v>1000</v>
        <stp/>
        <stp>bse_cm|965MFCL30</stp>
        <stp>Face Value</stp>
        <tr r="Q225" s="1"/>
      </tp>
      <tp>
        <v>1000</v>
        <stp/>
        <stp>bse_cm|935KAFL25</stp>
        <stp>Face Value</stp>
        <tr r="Q785" s="1"/>
      </tp>
      <tp>
        <v>1000</v>
        <stp/>
        <stp>bse_cm|925CAGL26</stp>
        <stp>Face Value</stp>
        <tr r="Q294" s="1"/>
      </tp>
      <tp>
        <v>1000</v>
        <stp/>
        <stp>bse_cm|935AHFL28</stp>
        <stp>Face Value</stp>
        <tr r="Q456" s="1"/>
      </tp>
      <tp>
        <v>1005</v>
        <stp/>
        <stp>bse_cm|TCHF30</stp>
        <stp>Prev Close</stp>
        <tr r="P423" s="1"/>
      </tp>
      <tp>
        <v>1000</v>
        <stp/>
        <stp>bse_cm|915NIDO27</stp>
        <stp>Face Value</stp>
        <tr r="Q59" s="1"/>
      </tp>
      <tp>
        <v>825.3</v>
        <stp/>
        <stp>nse_cm|888SCL25B-Y2</stp>
        <stp>Bid Rate</stp>
        <tr r="E789" s="1"/>
      </tp>
      <tp t="s">
        <v>BSE</v>
        <stp/>
        <stp>bse_cm|MFLVIII26H</stp>
        <stp>Exchange</stp>
        <tr r="C1575" s="1"/>
      </tp>
      <tp>
        <v>1099.1099999999999</v>
        <stp/>
        <stp>nse_cm|97SFL29-YZ</stp>
        <stp>Bid Rate</stp>
        <tr r="E20" s="1"/>
      </tp>
      <tp>
        <v>1000</v>
        <stp/>
        <stp>nse_cm|DLSL25-NW</stp>
        <stp>Face Value</stp>
        <tr r="Q1745" s="1"/>
      </tp>
      <tp>
        <v>1000</v>
        <stp/>
        <stp>bse_cm|663PFCL31</stp>
        <stp>Face Value</stp>
        <tr r="Q1208" s="1"/>
      </tp>
      <tp t="s">
        <v>INE860H07IP2</v>
        <stp/>
        <stp>bse_cm|78ABFL33</stp>
        <stp>Isin code</stp>
        <tr r="R378" s="1"/>
      </tp>
      <tp>
        <v>1070</v>
        <stp/>
        <stp>nse_cm|965SCL25A-NF</stp>
        <stp>Ask Rate</stp>
        <tr r="F163" s="1"/>
      </tp>
      <tp t="s">
        <v>INE219X07249</v>
        <stp/>
        <stp>bse_cm|769IGT28</stp>
        <stp>Isin code</stp>
        <tr r="R1195" s="1"/>
      </tp>
      <tp t="s">
        <v>INE219X07231</v>
        <stp/>
        <stp>bse_cm|749IGT28</stp>
        <stp>Isin code</stp>
        <tr r="R1198" s="1"/>
      </tp>
      <tp>
        <v>1158</v>
        <stp/>
        <stp>nse_cm|879NHPC28-N5</stp>
        <stp xml:space="preserve">Low </stp>
        <tr r="O464" s="1"/>
      </tp>
      <tp>
        <v>667</v>
        <stp/>
        <stp>bse_cm|990SCL26D</stp>
        <stp>Face Value</stp>
        <tr r="Q1534" s="1"/>
      </tp>
      <tp>
        <v>1000</v>
        <stp/>
        <stp>bse_cm|990SCL26A</stp>
        <stp>Face Value</stp>
        <tr r="Q1057" s="1"/>
      </tp>
      <tp>
        <v>1000</v>
        <stp/>
        <stp>bse_cm|990SCL26B</stp>
        <stp>Face Value</stp>
        <tr r="Q1048" s="1"/>
      </tp>
      <tp>
        <v>667</v>
        <stp/>
        <stp>bse_cm|990SCL26I</stp>
        <stp>Face Value</stp>
        <tr r="Q797" s="1"/>
      </tp>
      <tp>
        <v>1000</v>
        <stp/>
        <stp>bse_cm|890MFL26A</stp>
        <stp>Face Value</stp>
        <tr r="Q698" s="1"/>
      </tp>
      <tp t="s">
        <v>INE804IA7220</v>
        <stp/>
        <stp>bse_cm|104ECL24</stp>
        <stp>Isin code</stp>
        <tr r="R38" s="1"/>
      </tp>
      <tp>
        <v>0</v>
        <stp/>
        <stp>nse_cm|925SCL25Z-NE</stp>
        <stp>Ask Rate</stp>
        <tr r="F914" s="1"/>
      </tp>
      <tp>
        <v>5.2</v>
        <stp/>
        <stp>nse_cm|849NTPC25-N7</stp>
        <stp xml:space="preserve">Low </stp>
        <tr r="O302" s="1"/>
      </tp>
      <tp>
        <v>0</v>
        <stp/>
        <stp>nse_cm|965AEL27-N4</stp>
        <stp>% Change</stp>
        <tr r="J254" s="1"/>
      </tp>
      <tp t="s">
        <v>NSE</v>
        <stp/>
        <stp>nse_cm|971SCL28A-NT</stp>
        <stp>Exchange</stp>
        <tr r="C680" s="1"/>
      </tp>
      <tp t="s">
        <v>INE477L08147</v>
        <stp/>
        <stp>bse_cm|10IIFL28</stp>
        <stp>Isin code</stp>
        <tr r="R68" s="1"/>
      </tp>
      <tp>
        <v>1000</v>
        <stp/>
        <stp>bse_cm|894SCL25A</stp>
        <stp>Face Value</stp>
        <tr r="Q1235" s="1"/>
      </tp>
      <tp>
        <v>1000</v>
        <stp/>
        <stp>bse_cm|995ECL29A</stp>
        <stp>Face Value</stp>
        <tr r="Q152" s="1"/>
      </tp>
      <tp>
        <v>1163.3</v>
        <stp/>
        <stp>nse_cm|760PFCL35-N3</stp>
        <stp>High</stp>
        <tr r="N22" s="1"/>
      </tp>
      <tp>
        <v>0</v>
        <stp/>
        <stp>nse_cm|888NHB29-N5</stp>
        <stp>% Change</stp>
        <tr r="J504" s="1"/>
      </tp>
      <tp>
        <v>0</v>
        <stp/>
        <stp>nse_cm|865SCL26-N8</stp>
        <stp>% Change</stp>
        <tr r="J310" s="1"/>
      </tp>
      <tp t="s">
        <v>INE403Q07CO8</v>
        <stp/>
        <stp>bse_cm|10KFIL27</stp>
        <stp>Isin code</stp>
        <tr r="R183" s="1"/>
      </tp>
      <tp t="s">
        <v>INE804IA7212</v>
        <stp/>
        <stp>bse_cm|995ECL24</stp>
        <stp>Isin code</stp>
        <tr r="R427" s="1"/>
      </tp>
      <tp>
        <v>100</v>
        <stp/>
        <stp>bse_cm|967EFS28</stp>
        <stp>Bid Qty</stp>
        <tr r="D190" s="1"/>
      </tp>
      <tp>
        <v>1065.9000000000001</v>
        <stp/>
        <stp>bse_cm|1025NWFL25</stp>
        <stp>High</stp>
        <tr r="N154" s="1"/>
      </tp>
      <tp>
        <v>0</v>
        <stp/>
        <stp>bse_cm|0SFL27A</stp>
        <stp>Ask Rate</stp>
        <tr r="F1034" s="1"/>
      </tp>
      <tp>
        <v>1000</v>
        <stp/>
        <stp>nse_cm|1065NFL27-NC</stp>
        <stp xml:space="preserve">Low </stp>
        <tr r="O170" s="1"/>
      </tp>
      <tp>
        <v>0</v>
        <stp/>
        <stp>bse_cm|94MFL27</stp>
        <stp>Open</stp>
        <tr r="M189" s="1"/>
      </tp>
      <tp t="s">
        <v>INE477L08154</v>
        <stp/>
        <stp>bse_cm|96IIFL28</stp>
        <stp>Isin code</stp>
        <tr r="R118" s="1"/>
      </tp>
      <tp>
        <v>0</v>
        <stp/>
        <stp>bse_cm|84MFL25</stp>
        <stp>Open</stp>
        <tr r="M316" s="1"/>
      </tp>
      <tp>
        <v>0</v>
        <stp/>
        <stp>nse_cm|925SCL25A-NH</stp>
        <stp>Ask Rate</stp>
        <tr r="F715" s="1"/>
      </tp>
      <tp t="s">
        <v>INE530B07385</v>
        <stp/>
        <stp>bse_cm|865IFL28</stp>
        <stp>Isin code</stp>
        <tr r="R115" s="1"/>
      </tp>
      <tp>
        <v>1065</v>
        <stp/>
        <stp>nse_cm|830PFCL27-N5</stp>
        <stp>High</stp>
        <tr r="N400" s="1"/>
      </tp>
      <tp t="s">
        <v>INE860H07IS6</v>
        <stp/>
        <stp>bse_cm|81ABFL33</stp>
        <stp>Isin code</stp>
        <tr r="R1603" s="1"/>
      </tp>
      <tp>
        <v>100</v>
        <stp/>
        <stp>bse_cm|9SCL26BA</stp>
        <stp>Bid Qty</stp>
        <tr r="D160" s="1"/>
      </tp>
      <tp t="s">
        <v>INE148I07MP2</v>
        <stp/>
        <stp>nse_cm|SCL22-ZC</stp>
        <stp>Isin code</stp>
        <tr r="R955" s="1"/>
      </tp>
      <tp>
        <v>870.3</v>
        <stp/>
        <stp>bse_cm|EFSL28A</stp>
        <stp>Bid Rate</stp>
        <tr r="E1335" s="1"/>
      </tp>
      <tp>
        <v>1173</v>
        <stp/>
        <stp>nse_cm|875NHAI29-N6</stp>
        <stp>High</stp>
        <tr r="N495" s="1"/>
      </tp>
      <tp>
        <v>1040</v>
        <stp/>
        <stp>nse_cm|960ISFL25-N1</stp>
        <stp>High</stp>
        <tr r="N1695" s="1"/>
      </tp>
      <tp>
        <v>1015</v>
        <stp/>
        <stp>bse_cm|IML1622024</stp>
        <stp>High</stp>
        <tr r="N1328" s="1"/>
      </tp>
      <tp>
        <v>0</v>
        <stp/>
        <stp>bse_cm|94SCL27</stp>
        <stp>Open</stp>
        <tr r="M1152" s="1"/>
      </tp>
      <tp t="s">
        <v>INE338I07099</v>
        <stp/>
        <stp>bse_cm|0MOFSL27</stp>
        <stp>Isin code</stp>
        <tr r="R1039" s="1"/>
      </tp>
      <tp t="s">
        <v>INE532F07FS1</v>
        <stp/>
        <stp>bse_cm|10EFSL27</stp>
        <stp>Isin code</stp>
        <tr r="R1139" s="1"/>
      </tp>
      <tp>
        <v>0</v>
        <stp/>
        <stp>bse_cm|EFSL28A</stp>
        <stp>LTP</stp>
        <tr r="H1335" s="1"/>
      </tp>
      <tp>
        <v>910.8</v>
        <stp/>
        <stp>bse_cm|JMFPTBIL25</stp>
        <stp>Bid Rate</stp>
        <tr r="E9" s="1"/>
      </tp>
      <tp t="s">
        <v>00:00:00</v>
        <stp/>
        <stp>bse_cm|EFSL28A</stp>
        <stp>LTT</stp>
        <tr r="I1335" s="1"/>
      </tp>
      <tp>
        <v>1001.1</v>
        <stp/>
        <stp>nse_cm|980IFSL25-N5</stp>
        <stp>High</stp>
        <tr r="N476" s="1"/>
      </tp>
      <tp>
        <v>0</v>
        <stp/>
        <stp>bse_cm|EFSL24C</stp>
        <stp>LTP</stp>
        <tr r="H1755" s="1"/>
      </tp>
      <tp t="s">
        <v>00:00:00</v>
        <stp/>
        <stp>bse_cm|EFSL24C</stp>
        <stp>LTT</stp>
        <tr r="I1755" s="1"/>
      </tp>
      <tp>
        <v>1102.0999999999999</v>
        <stp/>
        <stp>nse_cm|736PFCL28-N2</stp>
        <stp xml:space="preserve">Low </stp>
        <tr r="O11" s="1"/>
      </tp>
      <tp>
        <v>964</v>
        <stp/>
        <stp>bse_cm|1003NHFL29</stp>
        <stp>High</stp>
        <tr r="N605" s="1"/>
      </tp>
      <tp>
        <v>1000</v>
        <stp/>
        <stp>bse_cm|1010NIDO28</stp>
        <stp>High</stp>
        <tr r="N199" s="1"/>
      </tp>
      <tp>
        <v>1000</v>
        <stp/>
        <stp>bse_cm|1050NHFL29</stp>
        <stp>High</stp>
        <tr r="N1125" s="1"/>
      </tp>
      <tp>
        <v>0</v>
        <stp/>
        <stp>nse_cm|925SCL28A-NS</stp>
        <stp>Ask Rate</stp>
        <tr r="F895" s="1"/>
      </tp>
      <tp>
        <v>0</v>
        <stp/>
        <stp>bse_cm|EFSL25A</stp>
        <stp>LTP</stp>
        <tr r="H1706" s="1"/>
      </tp>
      <tp>
        <v>0</v>
        <stp/>
        <stp>bse_cm|EFSL25B</stp>
        <stp>LTP</stp>
        <tr r="H1682" s="1"/>
      </tp>
      <tp t="s">
        <v>00:00:00</v>
        <stp/>
        <stp>bse_cm|EFSL25A</stp>
        <stp>LTT</stp>
        <tr r="I1706" s="1"/>
      </tp>
      <tp t="s">
        <v>00:00:00</v>
        <stp/>
        <stp>bse_cm|EFSL25B</stp>
        <stp>LTT</stp>
        <tr r="I1682" s="1"/>
      </tp>
      <tp>
        <v>1015.5</v>
        <stp/>
        <stp>nse_cm|1060ECL29-NS</stp>
        <stp xml:space="preserve">Low </stp>
        <tr r="O144" s="1"/>
      </tp>
      <tp>
        <v>966.13</v>
        <stp/>
        <stp>bse_cm|1003NIDO29</stp>
        <stp>High</stp>
        <tr r="N679" s="1"/>
      </tp>
      <tp>
        <v>0</v>
        <stp/>
        <stp>bse_cm|1050NIDO29</stp>
        <stp>High</stp>
        <tr r="N1124" s="1"/>
      </tp>
      <tp>
        <v>930</v>
        <stp/>
        <stp>nse_cm|820IIFL27-N9</stp>
        <stp>High</stp>
        <tr r="N266" s="1"/>
      </tp>
      <tp>
        <v>1003</v>
        <stp/>
        <stp>nse_cm|960CAGL25-N3</stp>
        <stp>High</stp>
        <tr r="N305" s="1"/>
      </tp>
      <tp t="s">
        <v>00:00:00</v>
        <stp/>
        <stp>bse_cm|EFSL26D</stp>
        <stp>LTT</stp>
        <tr r="I1617" s="1"/>
      </tp>
      <tp>
        <v>0</v>
        <stp/>
        <stp>bse_cm|EFSL26A</stp>
        <stp>LTP</stp>
        <tr r="H1567" s="1"/>
      </tp>
      <tp>
        <v>0</v>
        <stp/>
        <stp>bse_cm|EFSL26B</stp>
        <stp>LTP</stp>
        <tr r="H1564" s="1"/>
      </tp>
      <tp>
        <v>0</v>
        <stp/>
        <stp>bse_cm|EFSL26C</stp>
        <stp>LTP</stp>
        <tr r="H1650" s="1"/>
      </tp>
      <tp>
        <v>0</v>
        <stp/>
        <stp>bse_cm|EFSL26D</stp>
        <stp>LTP</stp>
        <tr r="H1617" s="1"/>
      </tp>
      <tp t="s">
        <v>00:00:00</v>
        <stp/>
        <stp>bse_cm|EFSL26A</stp>
        <stp>LTT</stp>
        <tr r="I1567" s="1"/>
      </tp>
      <tp t="s">
        <v>00:00:00</v>
        <stp/>
        <stp>bse_cm|EFSL26B</stp>
        <stp>LTT</stp>
        <tr r="I1564" s="1"/>
      </tp>
      <tp t="s">
        <v>00:00:00</v>
        <stp/>
        <stp>bse_cm|EFSL26C</stp>
        <stp>LTT</stp>
        <tr r="I1650" s="1"/>
      </tp>
      <tp>
        <v>0</v>
        <stp/>
        <stp>nse_cm|965SCL28A-NQ</stp>
        <stp>Ask Rate</stp>
        <tr r="F897" s="1"/>
      </tp>
      <tp t="s">
        <v>INE532F07FL6</v>
        <stp/>
        <stp>bse_cm|96EFSL27</stp>
        <stp>Isin code</stp>
        <tr r="R1050" s="1"/>
      </tp>
      <tp>
        <v>990</v>
        <stp/>
        <stp>bse_cm|EFSL27A</stp>
        <stp>LTP</stp>
        <tr r="H1649" s="1"/>
      </tp>
      <tp t="s">
        <v>09:33:56</v>
        <stp/>
        <stp>bse_cm|EFSL27A</stp>
        <stp>LTT</stp>
        <tr r="I1649" s="1"/>
      </tp>
      <tp>
        <v>0</v>
        <stp/>
        <stp>nse_cm|965SCL25F-NZ</stp>
        <stp>Ask Rate</stp>
        <tr r="F1362" s="1"/>
      </tp>
      <tp>
        <v>0</v>
        <stp/>
        <stp>bse_cm|94SFL28</stp>
        <stp>Open</stp>
        <tr r="M24" s="1"/>
      </tp>
      <tp>
        <v>990</v>
        <stp/>
        <stp>nse_cm|910CAGL25-N7</stp>
        <stp>High</stp>
        <tr r="N622" s="1"/>
      </tp>
      <tp t="s">
        <v>NSE</v>
        <stp/>
        <stp>nse_cm|980SCL33C-ND</stp>
        <stp>Exchange</stp>
        <tr r="C1385" s="1"/>
      </tp>
      <tp t="s">
        <v>NSE</v>
        <stp/>
        <stp>nse_cm|931SFL26A-NA</stp>
        <stp>Exchange</stp>
        <tr r="C786" s="1"/>
      </tp>
      <tp>
        <v>0</v>
        <stp/>
        <stp>nse_cm|SCL25-Y6</stp>
        <stp>% Change</stp>
        <tr r="J1753" s="1"/>
      </tp>
      <tp>
        <v>0</v>
        <stp/>
        <stp>nse_cm|925SCL25G-NY</stp>
        <stp>Ask Rate</stp>
        <tr r="F887" s="1"/>
      </tp>
      <tp t="e">
        <v>#N/A</v>
        <stp/>
        <stp>bse_cm|975SFL024</stp>
        <stp>Exchange</stp>
        <tr r="C31" s="1"/>
      </tp>
      <tp t="s">
        <v>875PCHFL26</v>
        <stp/>
        <stp>bse_cm|875PCHFL26</stp>
        <stp>Trading Symbol</stp>
        <tr r="B331" s="1"/>
      </tp>
      <tp t="s">
        <v>875PCHFL31</v>
        <stp/>
        <stp>bse_cm|875PCHFL31</stp>
        <stp>Trading Symbol</stp>
        <tr r="B1172" s="1"/>
      </tp>
      <tp t="s">
        <v>BSE</v>
        <stp/>
        <stp>bse_cm|925SFCL25</stp>
        <stp>Exchange</stp>
        <tr r="C1482" s="1"/>
      </tp>
      <tp t="s">
        <v>BSE</v>
        <stp/>
        <stp>bse_cm|925SCFL27</stp>
        <stp>Exchange</stp>
        <tr r="C772" s="1"/>
      </tp>
      <tp t="s">
        <v>BSE</v>
        <stp/>
        <stp>bse_cm|990SCFL26</stp>
        <stp>Exchange</stp>
        <tr r="C1676" s="1"/>
      </tp>
      <tp t="s">
        <v>BSE</v>
        <stp/>
        <stp>bse_cm|889SCFL27</stp>
        <stp>Exchange</stp>
        <tr r="C484" s="1"/>
      </tp>
      <tp t="s">
        <v>BSE</v>
        <stp/>
        <stp>bse_cm|843SCFL27</stp>
        <stp>Exchange</stp>
        <tr r="C1074" s="1"/>
      </tp>
      <tp t="s">
        <v>BSE</v>
        <stp/>
        <stp>bse_cm|875SCFL27</stp>
        <stp>Exchange</stp>
        <tr r="C1011" s="1"/>
      </tp>
      <tp t="s">
        <v>BSE</v>
        <stp/>
        <stp>bse_cm|965SCFL25</stp>
        <stp>Exchange</stp>
        <tr r="C1106" s="1"/>
      </tp>
      <tp t="s">
        <v>BSE</v>
        <stp/>
        <stp>bse_cm|925SCFL25</stp>
        <stp>Exchange</stp>
        <tr r="C774" s="1"/>
      </tp>
      <tp t="s">
        <v>BSE</v>
        <stp/>
        <stp>bse_cm|850SCFL25</stp>
        <stp>Exchange</stp>
        <tr r="C1099" s="1"/>
      </tp>
      <tp t="s">
        <v>BSE</v>
        <stp/>
        <stp>bse_cm|866SCFL25</stp>
        <stp>Exchange</stp>
        <tr r="C342" s="1"/>
      </tp>
      <tp t="s">
        <v>BSE</v>
        <stp/>
        <stp>bse_cm|820SCFL25</stp>
        <stp>Exchange</stp>
        <tr r="C1059" s="1"/>
      </tp>
      <tp t="s">
        <v>850CIFCL26</v>
        <stp/>
        <stp>bse_cm|850CIFCL26</stp>
        <stp>Trading Symbol</stp>
        <tr r="B1164" s="1"/>
      </tp>
      <tp t="s">
        <v>860CIFCL28</v>
        <stp/>
        <stp>bse_cm|860CIFCL28</stp>
        <stp>Trading Symbol</stp>
        <tr r="B1431" s="1"/>
      </tp>
      <tp t="s">
        <v>840CIFCL28</v>
        <stp/>
        <stp>bse_cm|840CIFCL28</stp>
        <stp>Trading Symbol</stp>
        <tr r="B419" s="1"/>
      </tp>
      <tp>
        <v>0</v>
        <stp/>
        <stp>bse_cm|10MFL24AA</stp>
        <stp>Open</stp>
        <tr r="M475" s="1"/>
      </tp>
      <tp>
        <v>980.1</v>
        <stp/>
        <stp>bse_cm|925MFCL26</stp>
        <stp>Bid Rate</stp>
        <tr r="E1610" s="1"/>
      </tp>
      <tp>
        <v>962</v>
        <stp/>
        <stp>bse_cm|940MFCL26</stp>
        <stp>Bid Rate</stp>
        <tr r="E200" s="1"/>
      </tp>
      <tp>
        <v>865.4</v>
        <stp/>
        <stp>bse_cm|105MMFL25</stp>
        <stp>Bid Rate</stp>
        <tr r="E1171" s="1"/>
      </tp>
      <tp>
        <v>821.15</v>
        <stp/>
        <stp>bse_cm|10MMLTD24</stp>
        <stp>Bid Rate</stp>
        <tr r="E1615" s="1"/>
      </tp>
      <tp>
        <v>830.11</v>
        <stp/>
        <stp>bse_cm|915MFCL27</stp>
        <stp>Bid Rate</stp>
        <tr r="E1472" s="1"/>
      </tp>
      <tp>
        <v>962.5</v>
        <stp/>
        <stp>bse_cm|925MFCL27</stp>
        <stp>Bid Rate</stp>
        <tr r="E262" s="1"/>
      </tp>
      <tp>
        <v>848</v>
        <stp/>
        <stp>bse_cm|950MFCL27</stp>
        <stp>Bid Rate</stp>
        <tr r="E1148" s="1"/>
      </tp>
      <tp>
        <v>960</v>
        <stp/>
        <stp>bse_cm|965MFCL27</stp>
        <stp>Bid Rate</stp>
        <tr r="E618" s="1"/>
      </tp>
      <tp>
        <v>963</v>
        <stp/>
        <stp>bse_cm|890MFCL26</stp>
        <stp>Bid Rate</stp>
        <tr r="E279" s="1"/>
      </tp>
      <tp>
        <v>1026.3599999999999</v>
        <stp/>
        <stp>bse_cm|92MMFSL27</stp>
        <stp>Bid Rate</stp>
        <tr r="E384" s="1"/>
      </tp>
      <tp>
        <v>1070.25</v>
        <stp/>
        <stp>bse_cm|93MMFSL27</stp>
        <stp>Bid Rate</stp>
        <tr r="E333" s="1"/>
      </tp>
      <tp>
        <v>945</v>
        <stp/>
        <stp>bse_cm|88MMFSL26</stp>
        <stp>Bid Rate</stp>
        <tr r="E988" s="1"/>
      </tp>
      <tp>
        <v>0</v>
        <stp/>
        <stp>nse_cm|875SCL27-YQ</stp>
        <stp>Prev Close</stp>
        <tr r="P937" s="1"/>
      </tp>
      <tp>
        <v>1000</v>
        <stp/>
        <stp>nse_cm|843SCL27-YS</stp>
        <stp>Prev Close</stp>
        <tr r="P944" s="1"/>
      </tp>
      <tp>
        <v>828.75</v>
        <stp/>
        <stp>nse_cm|894SCL27-ZY</stp>
        <stp>Prev Close</stp>
        <tr r="P731" s="1"/>
      </tp>
      <tp>
        <v>954</v>
        <stp/>
        <stp>nse_cm|889SCL27-YT</stp>
        <stp>Prev Close</stp>
        <tr r="P120" s="1"/>
      </tp>
      <tp>
        <v>1000</v>
        <stp/>
        <stp>nse_cm|905SCL27-Z4</stp>
        <stp>Prev Close</stp>
        <tr r="P947" s="1"/>
      </tp>
      <tp>
        <v>965.86</v>
        <stp/>
        <stp>nse_cm|925SCL27-YR</stp>
        <stp>Prev Close</stp>
        <tr r="P1415" s="1"/>
      </tp>
      <tp>
        <v>816.6</v>
        <stp/>
        <stp>nse_cm|915SCL27-Z7</stp>
        <stp>Prev Close</stp>
        <tr r="P1475" s="1"/>
      </tp>
      <tp>
        <v>850</v>
        <stp/>
        <stp>nse_cm|939SCL27-ZZ</stp>
        <stp>Prev Close</stp>
        <tr r="P982" s="1"/>
      </tp>
      <tp>
        <v>0</v>
        <stp/>
        <stp>nse_cm|902SCL27-YU</stp>
        <stp>Prev Close</stp>
        <tr r="P844" s="1"/>
      </tp>
      <tp>
        <v>960</v>
        <stp/>
        <stp>nse_cm|955SCL27-Z5</stp>
        <stp>Prev Close</stp>
        <tr r="P949" s="1"/>
      </tp>
      <tp>
        <v>970</v>
        <stp/>
        <stp>nse_cm|948SCL27-YV</stp>
        <stp>Prev Close</stp>
        <tr r="P127" s="1"/>
      </tp>
      <tp>
        <v>0</v>
        <stp/>
        <stp>nse_cm|940SCL27-YS</stp>
        <stp>Prev Close</stp>
        <tr r="P842" s="1"/>
      </tp>
      <tp>
        <v>0</v>
        <stp/>
        <stp>nse_cm|975SCL27-Z9</stp>
        <stp>Prev Close</stp>
        <tr r="P885" s="1"/>
      </tp>
      <tp>
        <v>992</v>
        <stp/>
        <stp>nse_cm|990SCL27-YT</stp>
        <stp>Prev Close</stp>
        <tr r="P1024" s="1"/>
      </tp>
      <tp>
        <v>820.2</v>
        <stp/>
        <stp>bse_cm|935MFCL29</stp>
        <stp>Bid Rate</stp>
        <tr r="E239" s="1"/>
      </tp>
      <tp>
        <v>968</v>
        <stp/>
        <stp>bse_cm|945MFCL29</stp>
        <stp>Bid Rate</stp>
        <tr r="E682" s="1"/>
      </tp>
      <tp>
        <v>969</v>
        <stp/>
        <stp>bse_cm|975MFCL29</stp>
        <stp>Bid Rate</stp>
        <tr r="E856" s="1"/>
      </tp>
      <tp>
        <v>971</v>
        <stp/>
        <stp>bse_cm|990MFCL29</stp>
        <stp>Bid Rate</stp>
        <tr r="E1449" s="1"/>
      </tp>
      <tp>
        <v>1085</v>
        <stp/>
        <stp>bse_cm|95MMFSL29</stp>
        <stp>Bid Rate</stp>
        <tr r="E353" s="1"/>
      </tp>
      <tp t="s">
        <v>125ICLFL28</v>
        <stp/>
        <stp>bse_cm|125ICLFL28</stp>
        <stp>Trading Symbol</stp>
        <tr r="B264" s="1"/>
      </tp>
      <tp t="s">
        <v>115ICLFL25</v>
        <stp/>
        <stp>bse_cm|115ICLFL25</stp>
        <stp>Trading Symbol</stp>
        <tr r="B1223" s="1"/>
      </tp>
      <tp>
        <v>840.21</v>
        <stp/>
        <stp>bse_cm|950MMFL25</stp>
        <stp>Bid Rate</stp>
        <tr r="E1526" s="1"/>
      </tp>
      <tp>
        <v>950.54</v>
        <stp/>
        <stp>bse_cm|975MMFL24</stp>
        <stp>Bid Rate</stp>
        <tr r="E853" s="1"/>
      </tp>
      <tp>
        <v>1857.27</v>
        <stp/>
        <stp>bse_cm|915MMFS24</stp>
        <stp>Bid Rate</stp>
        <tr r="E1752" s="1"/>
      </tp>
      <tp t="s">
        <v>994SMCGS29</v>
        <stp/>
        <stp>bse_cm|994SMCGS29</stp>
        <stp>Trading Symbol</stp>
        <tr r="B221" s="1"/>
      </tp>
      <tp t="s">
        <v>104SMCGS29</v>
        <stp/>
        <stp>bse_cm|104SMCGS29</stp>
        <stp>Trading Symbol</stp>
        <tr r="B206" s="1"/>
      </tp>
      <tp>
        <v>1019</v>
        <stp/>
        <stp>nse_cm|875SFL27-ZF</stp>
        <stp>Prev Close</stp>
        <tr r="P379" s="1"/>
      </tp>
      <tp>
        <v>910.7</v>
        <stp/>
        <stp>bse_cm|950MMFL26</stp>
        <stp>Bid Rate</stp>
        <tr r="E291" s="1"/>
      </tp>
      <tp>
        <v>855.21</v>
        <stp/>
        <stp>bse_cm|975MMFL26</stp>
        <stp>Bid Rate</stp>
        <tr r="E215" s="1"/>
      </tp>
      <tp>
        <v>82017</v>
        <stp/>
        <stp>bse_cm|825MMFS27</stp>
        <stp>Bid Rate</stp>
        <tr r="E1381" s="1"/>
      </tp>
      <tp t="s">
        <v>975MVAFL25</v>
        <stp/>
        <stp>bse_cm|975MVAFL25</stp>
        <stp>Trading Symbol</stp>
        <tr r="B458" s="1"/>
      </tp>
      <tp>
        <v>825.81</v>
        <stp/>
        <stp>bse_cm|875KFL25A</stp>
        <stp>Bid Rate</stp>
        <tr r="E1157" s="1"/>
      </tp>
      <tp t="s">
        <v>1010MFCL30</v>
        <stp/>
        <stp>bse_cm|1010MFCL30</stp>
        <stp>Trading Symbol</stp>
        <tr r="B285" s="1"/>
      </tp>
      <tp t="s">
        <v>INE532F07DA4</v>
        <stp/>
        <stp>bse_cm|EFSL27</stp>
        <stp>Isin code</stp>
        <tr r="R1531" s="1"/>
      </tp>
      <tp>
        <v>0</v>
        <stp/>
        <stp>bse_cm|1045EFS34</stp>
        <stp>Open</stp>
        <tr r="M1450" s="1"/>
      </tp>
      <tp>
        <v>1000</v>
        <stp/>
        <stp>nse_cm|CIFCZC26-NF</stp>
        <stp>Face Value</stp>
        <tr r="Q1561" s="1"/>
      </tp>
      <tp>
        <v>0</v>
        <stp/>
        <stp>bse_cm|955SCL27A</stp>
        <stp>Ask Rate</stp>
        <tr r="F948" s="1"/>
      </tp>
      <tp>
        <v>0</v>
        <stp/>
        <stp>bse_cm|948SCL27A</stp>
        <stp>Ask Rate</stp>
        <tr r="F697" s="1"/>
      </tp>
      <tp>
        <v>0</v>
        <stp/>
        <stp>bse_cm|915SCL27A</stp>
        <stp>Ask Rate</stp>
        <tr r="F951" s="1"/>
      </tp>
      <tp>
        <v>0</v>
        <stp/>
        <stp>bse_cm|902SCL27A</stp>
        <stp>Ask Rate</stp>
        <tr r="F1354" s="1"/>
      </tp>
      <tp t="s">
        <v>892NHPC33</v>
        <stp/>
        <stp>nse_cm|892NHPC33-N6</stp>
        <stp>Symbol</stp>
        <tr r="A534" s="1"/>
      </tp>
      <tp>
        <v>852.8</v>
        <stp/>
        <stp>bse_cm|0MML27524</stp>
        <stp>Bid Rate</stp>
        <tr r="E1042" s="1"/>
      </tp>
      <tp>
        <v>0</v>
        <stp/>
        <stp>bse_cm|925SFL27A</stp>
        <stp>Ask Rate</stp>
        <tr r="F848" s="1"/>
      </tp>
      <tp>
        <v>0</v>
        <stp/>
        <stp>bse_cm|1045EFS33</stp>
        <stp>Open</stp>
        <tr r="M1030" s="1"/>
      </tp>
      <tp t="s">
        <v>BSE</v>
        <stp/>
        <stp>bse_cm|835SCL23B</stp>
        <stp>Exchange</stp>
        <tr r="C167" s="1"/>
      </tp>
      <tp t="s">
        <v>BSE</v>
        <stp/>
        <stp>bse_cm|980SCL33C</stp>
        <stp>Exchange</stp>
        <tr r="C1384" s="1"/>
      </tp>
      <tp>
        <v>1000</v>
        <stp/>
        <stp>nse_cm|IIFLHF29-NE</stp>
        <stp>Face Value</stp>
        <tr r="Q1630" s="1"/>
      </tp>
      <tp t="s">
        <v>BSE</v>
        <stp/>
        <stp>bse_cm|980SCL33B</stp>
        <stp>Exchange</stp>
        <tr r="C1054" s="1"/>
      </tp>
      <tp t="s">
        <v>BSE</v>
        <stp/>
        <stp>bse_cm|950SCL23A</stp>
        <stp>Exchange</stp>
        <tr r="C1146" s="1"/>
      </tp>
      <tp t="s">
        <v>BSE</v>
        <stp/>
        <stp>bse_cm|920SCL23A</stp>
        <stp>Exchange</stp>
        <tr r="C1114" s="1"/>
      </tp>
      <tp t="s">
        <v>BSE</v>
        <stp/>
        <stp>bse_cm|980SCL33A</stp>
        <stp>Exchange</stp>
        <tr r="C1056" s="1"/>
      </tp>
      <tp t="s">
        <v>BSE</v>
        <stp/>
        <stp>bse_cm|875SCL23A</stp>
        <stp>Exchange</stp>
        <tr r="C194" s="1"/>
      </tp>
      <tp t="s">
        <v>BSE</v>
        <stp/>
        <stp>bse_cm|835SCL23A</stp>
        <stp>Exchange</stp>
        <tr r="C1104" s="1"/>
      </tp>
      <tp t="s">
        <v>INE530L07533</v>
        <stp/>
        <stp>bse_cm|NIDO28</stp>
        <stp>Isin code</stp>
        <tr r="R1243" s="1"/>
      </tp>
      <tp t="s">
        <v>816ABFL29</v>
        <stp/>
        <stp>nse_cm|816ABFL29-NC</stp>
        <stp>Symbol</stp>
        <tr r="A732" s="1"/>
      </tp>
      <tp t="s">
        <v>INE121A07RI0</v>
        <stp/>
        <stp>bse_cm|CIFC28</stp>
        <stp>Isin code</stp>
        <tr r="R1529" s="1"/>
      </tp>
      <tp t="s">
        <v>INE01I507810</v>
        <stp/>
        <stp>bse_cm|KAFL30</stp>
        <stp>Isin code</stp>
        <tr r="R1317" s="1"/>
      </tp>
      <tp t="s">
        <v>BSE</v>
        <stp/>
        <stp>bse_cm|980SCL33D</stp>
        <stp>Exchange</stp>
        <tr r="C1022" s="1"/>
      </tp>
      <tp t="s">
        <v>INE148I07SI4</v>
        <stp/>
        <stp>nse_cm|948SCL27-YV</stp>
        <stp>Isin code</stp>
        <tr r="R127" s="1"/>
      </tp>
      <tp>
        <v>0</v>
        <stp/>
        <stp>bse_cm|1025SCL33</stp>
        <stp>Open</stp>
        <tr r="M879" s="1"/>
      </tp>
      <tp>
        <v>0</v>
        <stp/>
        <stp>bse_cm|1075SCL33</stp>
        <stp>Open</stp>
        <tr r="M881" s="1"/>
      </tp>
      <tp t="s">
        <v>INE414G07GY6</v>
        <stp/>
        <stp>bse_cm|MFLV27</stp>
        <stp>Isin code</stp>
        <tr r="R1508" s="1"/>
      </tp>
      <tp>
        <v>0</v>
        <stp/>
        <stp>bse_cm|1025SCL34</stp>
        <stp>Open</stp>
        <tr r="M129" s="1"/>
      </tp>
      <tp>
        <v>0</v>
        <stp/>
        <stp>bse_cm|1075SCL34</stp>
        <stp>Open</stp>
        <tr r="M888" s="1"/>
      </tp>
      <tp t="s">
        <v>INE148I07PS9</v>
        <stp/>
        <stp>nse_cm|957SCL30-BX</stp>
        <stp>Isin code</stp>
        <tr r="R1109" s="1"/>
      </tp>
      <tp t="s">
        <v>BSE</v>
        <stp/>
        <stp>bse_cm|9SCFL25</stp>
        <stp>Exchange</stp>
        <tr r="C1505" s="1"/>
      </tp>
      <tp>
        <v>918</v>
        <stp/>
        <stp>nse_cm|76IGT26-ND</stp>
        <stp>Bid Rate</stp>
        <tr r="E527" s="1"/>
      </tp>
      <tp>
        <v>875.2</v>
        <stp/>
        <stp>nse_cm|77IGT28-NE</stp>
        <stp>Bid Rate</stp>
        <tr r="E1190" s="1"/>
      </tp>
      <tp>
        <v>900</v>
        <stp/>
        <stp>bse_cm|984ICCL26A</stp>
        <stp>High</stp>
        <tr r="N883" s="1"/>
      </tp>
      <tp>
        <v>-100</v>
        <stp/>
        <stp>bse_cm|EFSL28</stp>
        <stp>% Change</stp>
        <tr r="J1609" s="1"/>
      </tp>
      <tp>
        <v>0</v>
        <stp/>
        <stp>nse_cm|975SCL28-NT</stp>
        <stp>% Change</stp>
        <tr r="J142" s="1"/>
      </tp>
      <tp>
        <v>841</v>
        <stp/>
        <stp>nse_cm|957ICCL28-NW</stp>
        <stp xml:space="preserve">Low </stp>
        <tr r="O762" s="1"/>
      </tp>
      <tp>
        <v>999.9</v>
        <stp/>
        <stp>bse_cm|948JFPL25</stp>
        <stp>Prev Close</stp>
        <tr r="P490" s="1"/>
      </tp>
      <tp>
        <v>-100</v>
        <stp/>
        <stp>bse_cm|EFSL29</stp>
        <stp>% Change</stp>
        <tr r="J659" s="1"/>
      </tp>
      <tp>
        <v>0</v>
        <stp/>
        <stp>bse_cm|1125KLM26A</stp>
        <stp>High</stp>
        <tr r="N1226" s="1"/>
      </tp>
      <tp t="e">
        <v>#N/A</v>
        <stp/>
        <stp>bse_cm|1075IML24A</stp>
        <stp>High</stp>
        <tr r="N32" s="1"/>
      </tp>
      <tp>
        <v>100000</v>
        <stp/>
        <stp>bse_cm|825MMFS27</stp>
        <stp>Face Value</stp>
        <tr r="Q1381" s="1"/>
      </tp>
      <tp>
        <v>-100</v>
        <stp/>
        <stp>bse_cm|EFSL25</stp>
        <stp>% Change</stp>
        <tr r="J1694" s="1"/>
      </tp>
      <tp>
        <v>862.2</v>
        <stp/>
        <stp>nse_cm|85PCHFL26-N7</stp>
        <stp>Bid Rate</stp>
        <tr r="E712" s="1"/>
      </tp>
      <tp>
        <v>922.5</v>
        <stp/>
        <stp>bse_cm|975EFSL27</stp>
        <stp>Prev Close</stp>
        <tr r="P45" s="1"/>
      </tp>
      <tp>
        <v>-100</v>
        <stp/>
        <stp>bse_cm|EFSL26</stp>
        <stp>% Change</stp>
        <tr r="J1687" s="1"/>
      </tp>
      <tp>
        <v>4</v>
        <stp/>
        <stp>nse_cm|1049DLS25A-Y5</stp>
        <stp>Ask Qty</stp>
        <tr r="G44" s="1"/>
      </tp>
      <tp>
        <v>5.22</v>
        <stp/>
        <stp>bse_cm|849NTPC25</stp>
        <stp>Prev Close</stp>
        <tr r="P443" s="1"/>
      </tp>
      <tp>
        <v>-100</v>
        <stp/>
        <stp>bse_cm|EFSL27</stp>
        <stp>% Change</stp>
        <tr r="J1531" s="1"/>
      </tp>
      <tp>
        <v>990</v>
        <stp/>
        <stp>bse_cm|948IFSL25B</stp>
        <stp xml:space="preserve">Low </stp>
        <tr r="O599" s="1"/>
      </tp>
      <tp>
        <v>986.2</v>
        <stp/>
        <stp>bse_cm|875EFSL24A</stp>
        <stp xml:space="preserve">Low </stp>
        <tr r="O229" s="1"/>
      </tp>
      <tp>
        <v>901</v>
        <stp/>
        <stp>bse_cm|1025KFL26C</stp>
        <stp>High</stp>
        <tr r="N459" s="1"/>
      </tp>
      <tp>
        <v>1000</v>
        <stp/>
        <stp>bse_cm|970EFSL31</stp>
        <stp>Prev Close</stp>
        <tr r="P220" s="1"/>
      </tp>
      <tp>
        <v>970</v>
        <stp/>
        <stp>bse_cm|1025KFL26B</stp>
        <stp>High</stp>
        <tr r="N1422" s="1"/>
      </tp>
      <tp>
        <v>15</v>
        <stp/>
        <stp>nse_cm|897MOFSL29-N4</stp>
        <stp>Bid Qty</stp>
        <tr r="D296" s="1"/>
      </tp>
      <tp>
        <v>965</v>
        <stp/>
        <stp>bse_cm|1025KFL26A</stp>
        <stp>High</stp>
        <tr r="N525" s="1"/>
      </tp>
      <tp>
        <v>990</v>
        <stp/>
        <stp>bse_cm|1010EFS28A</stp>
        <stp>High</stp>
        <tr r="N78" s="1"/>
      </tp>
      <tp>
        <v>899</v>
        <stp/>
        <stp>nse_cm|79IGT28-NF</stp>
        <stp>Bid Rate</stp>
        <tr r="E692" s="1"/>
      </tp>
      <tp>
        <v>1190</v>
        <stp/>
        <stp>bse_cm|NWIL25</stp>
        <stp>Prev Close</stp>
        <tr r="P1546" s="1"/>
      </tp>
      <tp>
        <v>1150</v>
        <stp/>
        <stp>bse_cm|NWIL27</stp>
        <stp>Prev Close</stp>
        <tr r="P1439" s="1"/>
      </tp>
      <tp>
        <v>2076</v>
        <stp/>
        <stp>nse_cm|M&amp;MFIN-N3</stp>
        <stp>Prev Close</stp>
        <tr r="P1723" s="1"/>
      </tp>
      <tp>
        <v>1497.6</v>
        <stp/>
        <stp>bse_cm|MMFSL26</stp>
        <stp>Bid Rate</stp>
        <tr r="E1258" s="1"/>
      </tp>
      <tp>
        <v>962.53</v>
        <stp/>
        <stp>bse_cm|9MFCL26</stp>
        <stp>Bid Rate</stp>
        <tr r="E156" s="1"/>
      </tp>
      <tp>
        <v>1000</v>
        <stp/>
        <stp>bse_cm|678PFCL36</stp>
        <stp>Face Value</stp>
        <tr r="Q1207" s="1"/>
      </tp>
      <tp>
        <v>1020</v>
        <stp/>
        <stp>bse_cm|1025MMF26A</stp>
        <stp xml:space="preserve">Low </stp>
        <tr r="O290" s="1"/>
      </tp>
      <tp>
        <v>0</v>
        <stp/>
        <stp>nse_cm|886REC34-NG</stp>
        <stp>% Change</stp>
        <tr r="J536" s="1"/>
      </tp>
      <tp t="s">
        <v>NSE</v>
        <stp/>
        <stp>nse_cm|11UCL26-NC</stp>
        <stp>Exchange</stp>
        <tr r="C322" s="1"/>
      </tp>
      <tp>
        <v>1000</v>
        <stp/>
        <stp>bse_cm|725IRFC35</stp>
        <stp>Face Value</stp>
        <tr r="Q560" s="1"/>
      </tp>
      <tp>
        <v>1181.96</v>
        <stp/>
        <stp>nse_cm|888IRFC29-NE</stp>
        <stp xml:space="preserve">Low </stp>
        <tr r="O508" s="1"/>
      </tp>
      <tp>
        <v>1060</v>
        <stp/>
        <stp>nse_cm|1075UCL25-N9</stp>
        <stp xml:space="preserve">Low </stp>
        <tr r="O498" s="1"/>
      </tp>
      <tp>
        <v>0</v>
        <stp/>
        <stp>nse_cm|9ICCL23A-N0</stp>
        <stp>% Change</stp>
        <tr r="J657" s="1"/>
      </tp>
      <tp>
        <v>1000</v>
        <stp/>
        <stp>bse_cm|1250IFL29</stp>
        <stp>Face Value</stp>
        <tr r="Q1215" s="1"/>
      </tp>
      <tp>
        <v>993.5</v>
        <stp/>
        <stp>nse_cm|1075NFL25-N6</stp>
        <stp xml:space="preserve">Low </stp>
        <tr r="O1438" s="1"/>
      </tp>
      <tp>
        <v>1000</v>
        <stp/>
        <stp>bse_cm|925SCFL25</stp>
        <stp>Face Value</stp>
        <tr r="Q774" s="1"/>
      </tp>
      <tp>
        <v>1000</v>
        <stp/>
        <stp>bse_cm|925SCFL27</stp>
        <stp>Face Value</stp>
        <tr r="Q772" s="1"/>
      </tp>
      <tp>
        <v>1000</v>
        <stp/>
        <stp>bse_cm|850NHAI29</stp>
        <stp>Face Value</stp>
        <tr r="Q580" s="1"/>
      </tp>
      <tp>
        <v>1000</v>
        <stp/>
        <stp>bse_cm|975MFCL29</stp>
        <stp>Face Value</stp>
        <tr r="Q856" s="1"/>
      </tp>
      <tp>
        <v>1000</v>
        <stp/>
        <stp>bse_cm|125ICFL26</stp>
        <stp>Face Value</stp>
        <tr r="Q1214" s="1"/>
      </tp>
      <tp>
        <v>1000</v>
        <stp/>
        <stp>bse_cm|825IIFL25</stp>
        <stp>Face Value</stp>
        <tr r="Q47" s="1"/>
      </tp>
      <tp>
        <v>1000</v>
        <stp/>
        <stp>bse_cm|925ERFL28</stp>
        <stp>Face Value</stp>
        <tr r="Q147" s="1"/>
      </tp>
      <tp>
        <v>1000</v>
        <stp/>
        <stp>bse_cm|905NIDO25</stp>
        <stp>Face Value</stp>
        <tr r="Q60" s="1"/>
      </tp>
      <tp>
        <v>1000</v>
        <stp/>
        <stp>bse_cm|729IRFC26</stp>
        <stp>Face Value</stp>
        <tr r="Q367" s="1"/>
      </tp>
      <tp>
        <v>1027.5</v>
        <stp/>
        <stp>bse_cm|MFCL30424D</stp>
        <stp xml:space="preserve">Low </stp>
        <tr r="O1281" s="1"/>
      </tp>
      <tp>
        <v>0</v>
        <stp/>
        <stp>nse_cm|888REC29-NF</stp>
        <stp>% Change</stp>
        <tr r="J522" s="1"/>
      </tp>
      <tp>
        <v>1000</v>
        <stp/>
        <stp>bse_cm|728IRFC30</stp>
        <stp>Face Value</stp>
        <tr r="Q469" s="1"/>
      </tp>
      <tp>
        <v>1006</v>
        <stp/>
        <stp>bse_cm|MFCL30424C</stp>
        <stp xml:space="preserve">Low </stp>
        <tr r="O1552" s="1"/>
      </tp>
      <tp>
        <v>969.2</v>
        <stp/>
        <stp>nse_cm|10IIFL28A-NE</stp>
        <stp xml:space="preserve">Low </stp>
        <tr r="O108" s="1"/>
      </tp>
      <tp>
        <v>1000</v>
        <stp/>
        <stp>bse_cm|820SCFL25</stp>
        <stp>Face Value</stp>
        <tr r="Q1059" s="1"/>
      </tp>
      <tp>
        <v>1000</v>
        <stp/>
        <stp>bse_cm|820IIFL27</stp>
        <stp>Face Value</stp>
        <tr r="Q176" s="1"/>
      </tp>
      <tp>
        <v>1035</v>
        <stp/>
        <stp>bse_cm|MFCL30424B</stp>
        <stp xml:space="preserve">Low </stp>
        <tr r="O1282" s="1"/>
      </tp>
      <tp t="s">
        <v>BSE</v>
        <stp/>
        <stp>bse_cm|MFLVIII27H</stp>
        <stp>Exchange</stp>
        <tr r="C1274" s="1"/>
      </tp>
      <tp>
        <v>1000</v>
        <stp/>
        <stp>bse_cm|921ISFL25</stp>
        <stp>Face Value</stp>
        <tr r="Q350" s="1"/>
      </tp>
      <tp>
        <v>1008</v>
        <stp/>
        <stp>bse_cm|MFCL30424A</stp>
        <stp xml:space="preserve">Low </stp>
        <tr r="O1283" s="1"/>
      </tp>
      <tp>
        <v>1000</v>
        <stp/>
        <stp>bse_cm|MML11924C</stp>
        <stp>Face Value</stp>
        <tr r="Q1623" s="1"/>
      </tp>
      <tp>
        <v>1000</v>
        <stp/>
        <stp>bse_cm|MML11924B</stp>
        <stp>Face Value</stp>
        <tr r="Q1255" s="1"/>
      </tp>
      <tp>
        <v>1000</v>
        <stp/>
        <stp>bse_cm|MML11924A</stp>
        <stp>Face Value</stp>
        <tr r="Q1256" s="1"/>
      </tp>
      <tp>
        <v>1000</v>
        <stp/>
        <stp>bse_cm|1225IFL27</stp>
        <stp>Face Value</stp>
        <tr r="Q1216" s="1"/>
      </tp>
      <tp>
        <v>0</v>
        <stp/>
        <stp>nse_cm|879SCL26-NC</stp>
        <stp>% Change</stp>
        <tr r="J720" s="1"/>
      </tp>
      <tp>
        <v>930.1</v>
        <stp/>
        <stp>nse_cm|96IIFL28A-NF</stp>
        <stp xml:space="preserve">Low </stp>
        <tr r="O81" s="1"/>
      </tp>
      <tp>
        <v>0</v>
        <stp/>
        <stp>nse_cm|975NFL25-N0</stp>
        <stp>% Change</stp>
        <tr r="J256" s="1"/>
      </tp>
      <tp>
        <v>0</v>
        <stp/>
        <stp>nse_cm|893NHB29-N6</stp>
        <stp>% Change</stp>
        <tr r="J529" s="1"/>
      </tp>
      <tp>
        <v>971</v>
        <stp/>
        <stp>nse_cm|957ISFL26-N2</stp>
        <stp xml:space="preserve">Low </stp>
        <tr r="O245" s="1"/>
      </tp>
      <tp>
        <v>0</v>
        <stp/>
        <stp>bse_cm|1050ICCL28</stp>
        <stp xml:space="preserve">Low </stp>
        <tr r="O1133" s="1"/>
      </tp>
      <tp>
        <v>942</v>
        <stp/>
        <stp>bse_cm|1003ICCL28</stp>
        <stp xml:space="preserve">Low </stp>
        <tr r="O655" s="1"/>
      </tp>
      <tp>
        <v>986</v>
        <stp/>
        <stp>bse_cm|1030ICCL28</stp>
        <stp xml:space="preserve">Low </stp>
        <tr r="O1521" s="1"/>
      </tp>
      <tp t="s">
        <v>BSE</v>
        <stp/>
        <stp>bse_cm|IIFLHFZC27</stp>
        <stp>Exchange</stp>
        <tr r="C1516" s="1"/>
      </tp>
      <tp>
        <v>0</v>
        <stp/>
        <stp>nse_cm|890NHB34-N7</stp>
        <stp>% Change</stp>
        <tr r="J537" s="1"/>
      </tp>
      <tp>
        <v>96</v>
        <stp/>
        <stp>nse_cm|1049DLSL25-NX</stp>
        <stp>Ask Qty</stp>
        <tr r="G43" s="1"/>
      </tp>
      <tp>
        <v>1000</v>
        <stp/>
        <stp>bse_cm|980SCL33D</stp>
        <stp>Face Value</stp>
        <tr r="Q1022" s="1"/>
      </tp>
      <tp>
        <v>900</v>
        <stp/>
        <stp>bse_cm|980SCL33A</stp>
        <stp>Face Value</stp>
        <tr r="Q1056" s="1"/>
      </tp>
      <tp>
        <v>857.14</v>
        <stp/>
        <stp>bse_cm|980SCL33C</stp>
        <stp>Face Value</stp>
        <tr r="Q1384" s="1"/>
      </tp>
      <tp>
        <v>1000</v>
        <stp/>
        <stp>bse_cm|980SCL33B</stp>
        <stp>Face Value</stp>
        <tr r="Q1054" s="1"/>
      </tp>
      <tp>
        <v>1030.3</v>
        <stp/>
        <stp>bse_cm|CIFC26A</stp>
        <stp>Bid Rate</stp>
        <tr r="E740" s="1"/>
      </tp>
      <tp>
        <v>1000</v>
        <stp/>
        <stp>bse_cm|12ICLFL26</stp>
        <stp>Face Value</stp>
        <tr r="Q547" s="1"/>
      </tp>
      <tp t="s">
        <v>INE866I08279</v>
        <stp/>
        <stp>bse_cm|10IIFL29</stp>
        <stp>Isin code</stp>
        <tr r="R307" s="1"/>
      </tp>
      <tp>
        <v>1460</v>
        <stp/>
        <stp>nse_cm|848NTPC28-N2</stp>
        <stp xml:space="preserve">Low </stp>
        <tr r="O1405" s="1"/>
      </tp>
      <tp t="s">
        <v>INE134E07AJ9</v>
        <stp/>
        <stp>bse_cm|58PFCL26</stp>
        <stp>Isin code</stp>
        <tr r="R369" s="1"/>
      </tp>
      <tp>
        <v>0</v>
        <stp/>
        <stp>bse_cm|85KFL25</stp>
        <stp>Open</stp>
        <tr r="M641" s="1"/>
      </tp>
      <tp>
        <v>0</v>
        <stp/>
        <stp>bse_cm|95KLM25</stp>
        <stp>Open</stp>
        <tr r="M73" s="1"/>
      </tp>
      <tp>
        <v>906.5</v>
        <stp/>
        <stp>bse_cm|1003IIFL29</stp>
        <stp xml:space="preserve">Low </stp>
        <tr r="O1078" s="1"/>
      </tp>
      <tp>
        <v>836</v>
        <stp/>
        <stp>bse_cm|1050IIFL29</stp>
        <stp xml:space="preserve">Low </stp>
        <tr r="O763" s="1"/>
      </tp>
      <tp>
        <v>1010.1</v>
        <stp/>
        <stp>bse_cm|1030IFSL26</stp>
        <stp xml:space="preserve">Low </stp>
        <tr r="O1654" s="1"/>
      </tp>
      <tp>
        <v>0</v>
        <stp/>
        <stp>bse_cm|85IFL26</stp>
        <stp>Open</stp>
        <tr r="M1357" s="1"/>
      </tp>
      <tp>
        <v>1000</v>
        <stp/>
        <stp>bse_cm|7PFCL31</stp>
        <stp>ATP</stp>
        <tr r="K425" s="1"/>
      </tp>
      <tp t="s">
        <v>NSE</v>
        <stp/>
        <stp>nse_cm|850SCL25A-NW</stp>
        <stp>Exchange</stp>
        <tr r="C984" s="1"/>
      </tp>
      <tp>
        <v>1000</v>
        <stp/>
        <stp>bse_cm|888SCL26A</stp>
        <stp>Face Value</stp>
        <tr r="Q840" s="1"/>
      </tp>
      <tp>
        <v>857.14</v>
        <stp/>
        <stp>bse_cm|888SCL25D</stp>
        <stp>Face Value</stp>
        <tr r="Q788" s="1"/>
      </tp>
      <tp>
        <v>900</v>
        <stp/>
        <stp>bse_cm|888SCL25E</stp>
        <stp>Face Value</stp>
        <tr r="Q1356" s="1"/>
      </tp>
      <tp>
        <v>1000</v>
        <stp/>
        <stp>bse_cm|888SCL25A</stp>
        <stp>Face Value</stp>
        <tr r="Q911" s="1"/>
      </tp>
      <tp>
        <v>1000</v>
        <stp/>
        <stp>bse_cm|888SCL25B</stp>
        <stp>Face Value</stp>
        <tr r="Q909" s="1"/>
      </tp>
      <tp>
        <v>0</v>
        <stp/>
        <stp>bse_cm|95KFL27</stp>
        <stp>Open</stp>
        <tr r="M607" s="1"/>
      </tp>
      <tp>
        <v>825.2</v>
        <stp/>
        <stp>bse_cm|MFLV29E</stp>
        <stp>Bid Rate</stp>
        <tr r="E650" s="1"/>
      </tp>
      <tp>
        <v>0</v>
        <stp/>
        <stp>bse_cm|95KFL26</stp>
        <stp>Open</stp>
        <tr r="M253" s="1"/>
      </tp>
      <tp>
        <v>0</v>
        <stp/>
        <stp>bse_cm|9SFL26A</stp>
        <stp>Ask Rate</stp>
        <tr r="F1065" s="1"/>
      </tp>
      <tp>
        <v>930</v>
        <stp/>
        <stp>bse_cm|1025ICCL26</stp>
        <stp xml:space="preserve">Low </stp>
        <tr r="O1175" s="1"/>
      </tp>
      <tp>
        <v>0</v>
        <stp/>
        <stp>bse_cm|85LTF26</stp>
        <stp>Open</stp>
        <tr r="M410" s="1"/>
      </tp>
      <tp>
        <v>980.5</v>
        <stp/>
        <stp>nse_cm|1015ECL29-NR</stp>
        <stp>High</stp>
        <tr r="N204" s="1"/>
      </tp>
      <tp>
        <v>1015</v>
        <stp/>
        <stp>nse_cm|1015SCL28-NR</stp>
        <stp>High</stp>
        <tr r="N288" s="1"/>
      </tp>
      <tp t="s">
        <v>NSE</v>
        <stp/>
        <stp>nse_cm|10NFL25-N9</stp>
        <stp>Exchange</stp>
        <tr r="C345" s="1"/>
      </tp>
      <tp>
        <v>0</v>
        <stp/>
        <stp>bse_cm|9SCL26B</stp>
        <stp>Ask Rate</stp>
        <tr r="F1135" s="1"/>
      </tp>
      <tp>
        <v>1005.18</v>
        <stp/>
        <stp>bse_cm|1225ICLF26</stp>
        <stp xml:space="preserve">Low </stp>
        <tr r="O1217" s="1"/>
      </tp>
      <tp>
        <v>1021</v>
        <stp/>
        <stp>bse_cm|1175ICLF25</stp>
        <stp xml:space="preserve">Low </stp>
        <tr r="O1222" s="1"/>
      </tp>
      <tp>
        <v>1011</v>
        <stp/>
        <stp>bse_cm|1025NWFL30</stp>
        <stp>High</stp>
        <tr r="N1026" s="1"/>
      </tp>
      <tp>
        <v>0</v>
        <stp/>
        <stp>bse_cm|95MFL25</stp>
        <stp>Open</stp>
        <tr r="M1420" s="1"/>
      </tp>
      <tp t="s">
        <v>INE121A07RV3</v>
        <stp/>
        <stp>bse_cm|86CIFC29</stp>
        <stp>Isin code</stp>
        <tr r="R1341" s="1"/>
      </tp>
      <tp t="s">
        <v>INE532F07EA2</v>
        <stp/>
        <stp>bse_cm|895EFS25</stp>
        <stp>Isin code</stp>
        <tr r="R730" s="1"/>
      </tp>
      <tp>
        <v>1047.58</v>
        <stp/>
        <stp>bse_cm|825MFL2026</stp>
        <stp>High</stp>
        <tr r="N318" s="1"/>
      </tp>
      <tp>
        <v>1070</v>
        <stp/>
        <stp>bse_cm|97MOFSL34</stp>
        <stp>Prev Close</stp>
        <tr r="P1600" s="1"/>
      </tp>
      <tp>
        <v>995</v>
        <stp/>
        <stp>bse_cm|1003ISFL28</stp>
        <stp xml:space="preserve">Low </stp>
        <tr r="O1456" s="1"/>
      </tp>
      <tp>
        <v>945.03</v>
        <stp/>
        <stp>bse_cm|1050ISFL28</stp>
        <stp xml:space="preserve">Low </stp>
        <tr r="O1497" s="1"/>
      </tp>
      <tp t="s">
        <v>NSE</v>
        <stp/>
        <stp>nse_cm|990SCL26A-NL</stp>
        <stp>Exchange</stp>
        <tr r="C1049" s="1"/>
      </tp>
      <tp t="s">
        <v>INE338I07156</v>
        <stp/>
        <stp>bse_cm|0MOFSL26</stp>
        <stp>Isin code</stp>
        <tr r="R1645" s="1"/>
      </tp>
      <tp>
        <v>-1.61</v>
        <stp/>
        <stp>nse_cm|9IIFL28A-NT</stp>
        <stp>% Change</stp>
        <tr r="J80" s="1"/>
      </tp>
      <tp t="s">
        <v>INE321N07293</v>
        <stp/>
        <stp>bse_cm|10IFSL26</stp>
        <stp>Isin code</stp>
        <tr r="R428" s="1"/>
      </tp>
      <tp>
        <v>0</v>
        <stp/>
        <stp>bse_cm|DLSL25A</stp>
        <stp>LTP</stp>
        <tr r="H1734" s="1"/>
      </tp>
      <tp t="s">
        <v>00:00:00</v>
        <stp/>
        <stp>bse_cm|DLSL25A</stp>
        <stp>LTT</stp>
        <tr r="I1734" s="1"/>
      </tp>
      <tp>
        <v>980</v>
        <stp/>
        <stp>nse_cm|921ISFL25-N0</stp>
        <stp>High</stp>
        <tr r="N287" s="1"/>
      </tp>
      <tp>
        <v>903.1</v>
        <stp/>
        <stp>bse_cm|1045NIDO33</stp>
        <stp>High</stp>
        <tr r="N71" s="1"/>
      </tp>
      <tp>
        <v>901</v>
        <stp/>
        <stp>bse_cm|1026NIDO34</stp>
        <stp>High</stp>
        <tr r="N1018" s="1"/>
      </tp>
      <tp>
        <v>876.1</v>
        <stp/>
        <stp>bse_cm|1075NIDO34</stp>
        <stp>High</stp>
        <tr r="N1021" s="1"/>
      </tp>
      <tp t="s">
        <v>NSE</v>
        <stp/>
        <stp>nse_cm|940SCL26A-NK</stp>
        <stp>Exchange</stp>
        <tr r="C906" s="1"/>
      </tp>
      <tp>
        <v>889</v>
        <stp/>
        <stp>bse_cm|1026NHFL34</stp>
        <stp>High</stp>
        <tr r="N155" s="1"/>
      </tp>
      <tp>
        <v>950</v>
        <stp/>
        <stp>bse_cm|1075NHFL34</stp>
        <stp>High</stp>
        <tr r="N1553" s="1"/>
      </tp>
      <tp>
        <v>0</v>
        <stp/>
        <stp>bse_cm|NIDO010327</stp>
        <stp>High</stp>
        <tr r="N1247" s="1"/>
      </tp>
      <tp>
        <v>1044</v>
        <stp/>
        <stp>nse_cm|1119NFL27-ND</stp>
        <stp>High</stp>
        <tr r="N337" s="1"/>
      </tp>
      <tp>
        <v>970</v>
        <stp/>
        <stp>bse_cm|875KFL2025</stp>
        <stp>High</stp>
        <tr r="N1158" s="1"/>
      </tp>
      <tp>
        <v>999</v>
        <stp/>
        <stp>bse_cm|NIDO010326</stp>
        <stp>High</stp>
        <tr r="N1248" s="1"/>
      </tp>
      <tp>
        <v>0</v>
        <stp/>
        <stp>bse_cm|NIDO010329</stp>
        <stp>High</stp>
        <tr r="N1246" s="1"/>
      </tp>
      <tp>
        <v>1000</v>
        <stp/>
        <stp>bse_cm|10MMLTD24</stp>
        <stp>Prev Close</stp>
        <tr r="P1615" s="1"/>
      </tp>
      <tp t="s">
        <v>INE532F07BN1</v>
        <stp/>
        <stp>bse_cm|98EFSL26</stp>
        <stp>Isin code</stp>
        <tr r="R82" s="1"/>
      </tp>
      <tp t="s">
        <v>INE532F07ED6</v>
        <stp/>
        <stp>bse_cm|96EFSL26</stp>
        <stp>Isin code</stp>
        <tr r="R1465" s="1"/>
      </tp>
      <tp t="s">
        <v>INE532F07EC8</v>
        <stp/>
        <stp>bse_cm|92EFSL26</stp>
        <stp>Isin code</stp>
        <tr r="R186" s="1"/>
      </tp>
      <tp t="s">
        <v>INE774D08MA6</v>
        <stp/>
        <stp>bse_cm|9MMFSL26</stp>
        <stp>Isin code</stp>
        <tr r="R334" s="1"/>
      </tp>
      <tp>
        <v>950</v>
        <stp/>
        <stp>bse_cm|810MFL2028</stp>
        <stp>High</stp>
        <tr r="N651" s="1"/>
      </tp>
      <tp>
        <v>1217</v>
        <stp/>
        <stp>nse_cm|867PFCL33-N7</stp>
        <stp xml:space="preserve">Low </stp>
        <tr r="O550" s="1"/>
      </tp>
      <tp>
        <v>390</v>
        <stp/>
        <stp>bse_cm|1025JFCS28</stp>
        <stp>Ask Qty</stp>
        <tr r="G363" s="1"/>
      </tp>
      <tp t="s">
        <v>981JMFCS28</v>
        <stp/>
        <stp>bse_cm|981JMFCS28</stp>
        <stp>Trading Symbol</stp>
        <tr r="B295" s="1"/>
      </tp>
      <tp>
        <v>667</v>
        <stp/>
        <stp>nse_cm|98ICCL26-NU</stp>
        <stp>Face Value</stp>
        <tr r="Q1569" s="1"/>
      </tp>
      <tp t="s">
        <v>BSE</v>
        <stp/>
        <stp>bse_cm|689RECL24</stp>
        <stp>Exchange</stp>
        <tr r="C1206" s="1"/>
      </tp>
      <tp>
        <v>20</v>
        <stp/>
        <stp>bse_cm|105UCL2026</stp>
        <stp>Bid Qty</stp>
        <tr r="D319" s="1"/>
      </tp>
      <tp>
        <v>960</v>
        <stp/>
        <stp>bse_cm|955MFCL30</stp>
        <stp>Bid Rate</stp>
        <tr r="E1130" s="1"/>
      </tp>
      <tp>
        <v>983</v>
        <stp/>
        <stp>bse_cm|965MFCL30</stp>
        <stp>Bid Rate</stp>
        <tr r="E225" s="1"/>
      </tp>
      <tp>
        <v>0</v>
        <stp/>
        <stp>bse_cm|MML27524A</stp>
        <stp>Open</stp>
        <tr r="M1250" s="1"/>
      </tp>
      <tp t="s">
        <v>IIFLZC28</v>
        <stp/>
        <stp>bse_cm|IIFLZC28</stp>
        <stp>Trading Symbol</stp>
        <tr r="B1660" s="1"/>
      </tp>
      <tp t="s">
        <v>IIFLZC25</v>
        <stp/>
        <stp>bse_cm|IIFLZC25</stp>
        <stp>Trading Symbol</stp>
        <tr r="B1743" s="1"/>
      </tp>
      <tp t="s">
        <v>IIFLZC26</v>
        <stp/>
        <stp>bse_cm|IIFLZC26</stp>
        <stp>Trading Symbol</stp>
        <tr r="B1236" s="1"/>
      </tp>
      <tp>
        <v>961.1</v>
        <stp/>
        <stp>bse_cm|MFCL16924</stp>
        <stp>Bid Rate</stp>
        <tr r="E579" s="1"/>
      </tp>
      <tp>
        <v>1050</v>
        <stp/>
        <stp>nse_cm|10ISFL26-N3</stp>
        <stp>Prev Close</stp>
        <tr r="P1527" s="1"/>
      </tp>
      <tp>
        <v>990</v>
        <stp/>
        <stp>bse_cm|MFCL30424</stp>
        <stp>Bid Rate</stp>
        <tr r="E1606" s="1"/>
      </tp>
      <tp>
        <v>1140.3</v>
        <stp/>
        <stp>bse_cm|10MVAFL25</stp>
        <stp>Ask Rate</stp>
        <tr r="F1675" s="1"/>
      </tp>
      <tp>
        <v>0</v>
        <stp/>
        <stp>nse_cm|888SCL26-YP</stp>
        <stp>Prev Close</stp>
        <tr r="P841" s="1"/>
      </tp>
      <tp>
        <v>950</v>
        <stp/>
        <stp>nse_cm|865SCL26-N8</stp>
        <stp>Prev Close</stp>
        <tr r="P310" s="1"/>
      </tp>
      <tp>
        <v>943</v>
        <stp/>
        <stp>nse_cm|879SCL26-NC</stp>
        <stp>Prev Close</stp>
        <tr r="P720" s="1"/>
      </tp>
      <tp>
        <v>939.33</v>
        <stp/>
        <stp>nse_cm|889SCL26-NS</stp>
        <stp>Prev Close</stp>
        <tr r="P222" s="1"/>
      </tp>
      <tp>
        <v>1000</v>
        <stp/>
        <stp>nse_cm|885SCL26-N9</stp>
        <stp>Prev Close</stp>
        <tr r="P686" s="1"/>
      </tp>
      <tp t="s">
        <v>IFCIZC25</v>
        <stp/>
        <stp>bse_cm|IFCIZC25</stp>
        <stp>Trading Symbol</stp>
        <tr r="B1764" s="1"/>
      </tp>
      <tp t="s">
        <v>IFCIZC24</v>
        <stp/>
        <stp>bse_cm|IFCIZC24</stp>
        <stp>Trading Symbol</stp>
        <tr r="B1769" s="1"/>
      </tp>
      <tp>
        <v>1897.05</v>
        <stp/>
        <stp>bse_cm|805MMFS32</stp>
        <stp>Bid Rate</stp>
        <tr r="E1763" s="1"/>
      </tp>
      <tp>
        <v>930.2</v>
        <stp/>
        <stp>nse_cm|965SCL26-YO</stp>
        <stp>Prev Close</stp>
        <tr r="P146" s="1"/>
      </tp>
      <tp>
        <v>900</v>
        <stp/>
        <stp>nse_cm|948SCL26-N9</stp>
        <stp>Prev Close</stp>
        <tr r="P1632" s="1"/>
      </tp>
      <tp>
        <v>1000</v>
        <stp/>
        <stp>nse_cm|940SCL26-N6</stp>
        <stp>Prev Close</stp>
        <tr r="P921" s="1"/>
      </tp>
      <tp>
        <v>1000</v>
        <stp/>
        <stp>nse_cm|902SCL26-N8</stp>
        <stp>Prev Close</stp>
        <tr r="P968" s="1"/>
      </tp>
      <tp>
        <v>974</v>
        <stp/>
        <stp>nse_cm|915SCL26-NE</stp>
        <stp>Prev Close</stp>
        <tr r="P58" s="1"/>
      </tp>
      <tp>
        <v>835.05</v>
        <stp/>
        <stp>nse_cm|925SCL26-NR</stp>
        <stp>Prev Close</stp>
        <tr r="P991" s="1"/>
      </tp>
      <tp>
        <v>699.51</v>
        <stp/>
        <stp>nse_cm|990SCL26-N7</stp>
        <stp>Prev Close</stp>
        <tr r="P422" s="1"/>
      </tp>
      <tp>
        <v>860.2</v>
        <stp/>
        <stp>bse_cm|CCIL14824</stp>
        <stp>Bid Rate</stp>
        <tr r="E753" s="1"/>
      </tp>
      <tp>
        <v>1080</v>
        <stp/>
        <stp>nse_cm|812REC27-NI</stp>
        <stp>Prev Close</stp>
        <tr r="P462" s="1"/>
      </tp>
      <tp>
        <v>1000</v>
        <stp/>
        <stp>nse_cm|935LTF29-N5</stp>
        <stp>Face Value</stp>
        <tr r="Q395" s="1"/>
      </tp>
      <tp>
        <v>1000</v>
        <stp/>
        <stp>nse_cm|884LTF29-N6</stp>
        <stp>Face Value</stp>
        <tr r="Q1009" s="1"/>
      </tp>
      <tp>
        <v>1000</v>
        <stp/>
        <stp>nse_cm|898LTF29-N7</stp>
        <stp>Face Value</stp>
        <tr r="Q385" s="1"/>
      </tp>
      <tp>
        <v>100000</v>
        <stp/>
        <stp>nse_cm|813LTF29-NP</stp>
        <stp>Face Value</stp>
        <tr r="Q1000" s="1"/>
      </tp>
      <tp>
        <v>990.21</v>
        <stp/>
        <stp>nse_cm|931SFL26-Z5</stp>
        <stp>Prev Close</stp>
        <tr r="P519" s="1"/>
      </tp>
      <tp>
        <v>855.2</v>
        <stp/>
        <stp>bse_cm|EFSL26724</stp>
        <stp>Bid Rate</stp>
        <tr r="E1336" s="1"/>
      </tp>
      <tp t="s">
        <v>CCIL14824B</v>
        <stp/>
        <stp>bse_cm|CCIL14824B</stp>
        <stp>Trading Symbol</stp>
        <tr r="B752" s="1"/>
      </tp>
      <tp t="s">
        <v>CCIL14824C</v>
        <stp/>
        <stp>bse_cm|CCIL14824C</stp>
        <stp>Trading Symbol</stp>
        <tr r="B751" s="1"/>
      </tp>
      <tp t="s">
        <v>CCIL14824A</v>
        <stp/>
        <stp>bse_cm|CCIL14824A</stp>
        <stp>Trading Symbol</stp>
        <tr r="B590" s="1"/>
      </tp>
      <tp t="s">
        <v>1050NIDO29</v>
        <stp/>
        <stp>bse_cm|1050NIDO29</stp>
        <stp>Trading Symbol</stp>
        <tr r="B1124" s="1"/>
      </tp>
      <tp t="s">
        <v>850NIRMA27-N7</v>
        <stp/>
        <stp>nse_cm|850NIRMA27-N7</stp>
        <stp>Trading Symbol</stp>
        <tr r="B1010" s="1"/>
      </tp>
      <tp>
        <v>825.2</v>
        <stp/>
        <stp>bse_cm|875KFL26A</stp>
        <stp>Bid Rate</stp>
        <tr r="E1155" s="1"/>
      </tp>
      <tp>
        <v>900</v>
        <stp/>
        <stp>bse_cm|925KFL26A</stp>
        <stp>Bid Rate</stp>
        <tr r="E1479" s="1"/>
      </tp>
      <tp t="s">
        <v>1075NHFL34</v>
        <stp/>
        <stp>bse_cm|1075NHFL34</stp>
        <stp>Trading Symbol</stp>
        <tr r="B1553" s="1"/>
      </tp>
      <tp t="s">
        <v>1075KAFL28</v>
        <stp/>
        <stp>bse_cm|1075KAFL28</stp>
        <stp>Trading Symbol</stp>
        <tr r="B1118" s="1"/>
      </tp>
      <tp t="s">
        <v>1075KAFL29</v>
        <stp/>
        <stp>bse_cm|1075KAFL29</stp>
        <stp>Trading Symbol</stp>
        <tr r="B125" s="1"/>
      </tp>
      <tp t="s">
        <v>1025ICCL26</v>
        <stp/>
        <stp>bse_cm|1025ICCL26</stp>
        <stp>Trading Symbol</stp>
        <tr r="B1175" s="1"/>
      </tp>
      <tp t="s">
        <v>1075SCFL34</v>
        <stp/>
        <stp>bse_cm|1075SCFL34</stp>
        <stp>Trading Symbol</stp>
        <tr r="B1020" s="1"/>
      </tp>
      <tp t="s">
        <v>INE033L07GT4</v>
        <stp/>
        <stp>nse_cm|83TCHF28-N9</stp>
        <stp>Isin code</stp>
        <tr r="R831" s="1"/>
      </tp>
      <tp t="s">
        <v>INE614X07373</v>
        <stp/>
        <stp>nse_cm|DLSL25-NW</stp>
        <stp>Isin code</stp>
        <tr r="R1745" s="1"/>
      </tp>
      <tp>
        <v>1000</v>
        <stp/>
        <stp>nse_cm|CIFCZC25-ND</stp>
        <stp>Face Value</stp>
        <tr r="Q1435" s="1"/>
      </tp>
      <tp t="s">
        <v>SFLZC26A</v>
        <stp/>
        <stp>bse_cm|SFLZC26A</stp>
        <stp>Trading Symbol</stp>
        <tr r="B1713" s="1"/>
      </tp>
      <tp t="s">
        <v>SFLZC25A</v>
        <stp/>
        <stp>bse_cm|SFLZC25A</stp>
        <stp>Trading Symbol</stp>
        <tr r="B1583" s="1"/>
      </tp>
      <tp>
        <v>0</v>
        <stp/>
        <stp>bse_cm|865SCL24B</stp>
        <stp>Ask Rate</stp>
        <tr r="F953" s="1"/>
      </tp>
      <tp t="s">
        <v>SCLZC26H</v>
        <stp/>
        <stp>bse_cm|SCLZC26H</stp>
        <stp>Trading Symbol</stp>
        <tr r="B814" s="1"/>
      </tp>
      <tp t="s">
        <v>SCLZC26F</v>
        <stp/>
        <stp>bse_cm|SCLZC26F</stp>
        <stp>Trading Symbol</stp>
        <tr r="B898" s="1"/>
      </tp>
      <tp t="s">
        <v>SCLZC26G</v>
        <stp/>
        <stp>bse_cm|SCLZC26G</stp>
        <stp>Trading Symbol</stp>
        <tr r="B799" s="1"/>
      </tp>
      <tp t="s">
        <v>SCLZC26D</v>
        <stp/>
        <stp>bse_cm|SCLZC26D</stp>
        <stp>Trading Symbol</stp>
        <tr r="B705" s="1"/>
      </tp>
      <tp t="s">
        <v>SCLZC26E</v>
        <stp/>
        <stp>bse_cm|SCLZC26E</stp>
        <stp>Trading Symbol</stp>
        <tr r="B900" s="1"/>
      </tp>
      <tp t="s">
        <v>SCLZC26B</v>
        <stp/>
        <stp>bse_cm|SCLZC26B</stp>
        <stp>Trading Symbol</stp>
        <tr r="B992" s="1"/>
      </tp>
      <tp t="s">
        <v>SCLZC26C</v>
        <stp/>
        <stp>bse_cm|SCLZC26C</stp>
        <stp>Trading Symbol</stp>
        <tr r="B1399" s="1"/>
      </tp>
      <tp t="s">
        <v>SCLZC26A</v>
        <stp/>
        <stp>bse_cm|SCLZC26A</stp>
        <stp>Trading Symbol</stp>
        <tr r="B1343" s="1"/>
      </tp>
      <tp t="s">
        <v>SCLZC25F</v>
        <stp/>
        <stp>bse_cm|SCLZC25F</stp>
        <stp>Trading Symbol</stp>
        <tr r="B1542" s="1"/>
      </tp>
      <tp t="s">
        <v>SCLZC25D</v>
        <stp/>
        <stp>bse_cm|SCLZC25D</stp>
        <stp>Trading Symbol</stp>
        <tr r="B1573" s="1"/>
      </tp>
      <tp t="s">
        <v>SCLZC25E</v>
        <stp/>
        <stp>bse_cm|SCLZC25E</stp>
        <stp>Trading Symbol</stp>
        <tr r="B907" s="1"/>
      </tp>
      <tp t="s">
        <v>SCLZC25B</v>
        <stp/>
        <stp>bse_cm|SCLZC25B</stp>
        <stp>Trading Symbol</stp>
        <tr r="B1540" s="1"/>
      </tp>
      <tp t="s">
        <v>SCLZC25C</v>
        <stp/>
        <stp>bse_cm|SCLZC25C</stp>
        <stp>Trading Symbol</stp>
        <tr r="B1231" s="1"/>
      </tp>
      <tp t="s">
        <v>SCLZC25A</v>
        <stp/>
        <stp>bse_cm|SCLZC25A</stp>
        <stp>Trading Symbol</stp>
        <tr r="B1233" s="1"/>
      </tp>
      <tp>
        <v>0</v>
        <stp/>
        <stp>nse_cm|1049DLSL25-NX</stp>
        <stp>% Change</stp>
        <tr r="J43" s="1"/>
      </tp>
      <tp t="s">
        <v>970CAGL28</v>
        <stp/>
        <stp>nse_cm|970CAGL28-ND</stp>
        <stp>Symbol</stp>
        <tr r="A306" s="1"/>
      </tp>
      <tp t="s">
        <v>79IGT28-NF</v>
        <stp/>
        <stp>nse_cm|79IGT28-NF</stp>
        <stp>Trading Symbol</stp>
        <tr r="B692" s="1"/>
      </tp>
      <tp t="s">
        <v>77IGT28-NE</v>
        <stp/>
        <stp>nse_cm|77IGT28-NE</stp>
        <stp>Trading Symbol</stp>
        <tr r="B1190" s="1"/>
      </tp>
      <tp t="s">
        <v>9IIFL28-Y0</v>
        <stp/>
        <stp>nse_cm|9IIFL28-Y0</stp>
        <stp>Trading Symbol</stp>
        <tr r="B175" s="1"/>
      </tp>
      <tp t="s">
        <v>INE148I07SP9</v>
        <stp/>
        <stp>nse_cm|965SCL29-YX</stp>
        <stp>Isin code</stp>
        <tr r="R847" s="1"/>
      </tp>
      <tp t="s">
        <v>1025JFCS28</v>
        <stp/>
        <stp>bse_cm|1025JFCS28</stp>
        <stp>Trading Symbol</stp>
        <tr r="B363" s="1"/>
      </tp>
      <tp t="s">
        <v>INE148I07NG9</v>
        <stp/>
        <stp>nse_cm|894SCL27-ZY</stp>
        <stp>Isin code</stp>
        <tr r="R731" s="1"/>
      </tp>
      <tp t="s">
        <v>INE148I07LV2</v>
        <stp/>
        <stp>nse_cm|889SCL27-YT</stp>
        <stp>Isin code</stp>
        <tr r="R120" s="1"/>
      </tp>
      <tp t="s">
        <v>00:00:00</v>
        <stp/>
        <stp>bse_cm|98SCL27</stp>
        <stp>LTT</stp>
        <tr r="I1545" s="1"/>
      </tp>
      <tp>
        <v>0</v>
        <stp/>
        <stp>bse_cm|98SCL27</stp>
        <stp>LTP</stp>
        <tr r="H1545" s="1"/>
      </tp>
      <tp>
        <v>0</v>
        <stp/>
        <stp>bse_cm|925ICCL25I</stp>
        <stp>High</stp>
        <tr r="N782" s="1"/>
      </tp>
      <tp t="s">
        <v>00:00:00</v>
        <stp/>
        <stp>bse_cm|98SCL34</stp>
        <stp>LTT</stp>
        <tr r="I1053" s="1"/>
      </tp>
      <tp t="s">
        <v>00:00:00</v>
        <stp/>
        <stp>bse_cm|99SCL27</stp>
        <stp>LTT</stp>
        <tr r="I1169" s="1"/>
      </tp>
      <tp>
        <v>0</v>
        <stp/>
        <stp>bse_cm|98SCL34</stp>
        <stp>LTP</stp>
        <tr r="H1053" s="1"/>
      </tp>
      <tp>
        <v>0</v>
        <stp/>
        <stp>bse_cm|99SCL27</stp>
        <stp>LTP</stp>
        <tr r="H1169" s="1"/>
      </tp>
      <tp>
        <v>1014.25</v>
        <stp/>
        <stp>bse_cm|99AEL29</stp>
        <stp>LTP</stp>
        <tr r="H243" s="1"/>
      </tp>
      <tp t="s">
        <v>09:40:45</v>
        <stp/>
        <stp>bse_cm|99AEL29</stp>
        <stp>LTT</stp>
        <tr r="I243" s="1"/>
      </tp>
      <tp>
        <v>1050</v>
        <stp/>
        <stp>bse_cm|965ICCL25I</stp>
        <stp>High</stp>
        <tr r="N1430" s="1"/>
      </tp>
      <tp>
        <v>1000</v>
        <stp/>
        <stp>bse_cm|915MMFS24</stp>
        <stp>Face Value</stp>
        <tr r="Q1752" s="1"/>
      </tp>
      <tp t="s">
        <v>INE00XE07176</v>
        <stp/>
        <stp>bse_cm|MVAFZC25</stp>
        <stp>Isin code</stp>
        <tr r="R1746" s="1"/>
      </tp>
      <tp>
        <v>850.2</v>
        <stp/>
        <stp>nse_cm|89SCL24-ZO</stp>
        <stp>Bid Rate</stp>
        <tr r="E972" s="1"/>
      </tp>
      <tp>
        <v>997</v>
        <stp/>
        <stp>nse_cm|1025UCL25-N8</stp>
        <stp>High</stp>
        <tr r="N217" s="1"/>
      </tp>
      <tp>
        <v>0</v>
        <stp/>
        <stp>nse_cm|96SCL25-AA</stp>
        <stp>Ask Rate</stp>
        <tr r="F1067" s="1"/>
      </tp>
      <tp>
        <v>902</v>
        <stp/>
        <stp>bse_cm|920EFSL26A</stp>
        <stp xml:space="preserve">Low </stp>
        <tr r="O61" s="1"/>
      </tp>
      <tp>
        <v>0</v>
        <stp/>
        <stp>bse_cm|SCL310524A</stp>
        <stp>Open</stp>
        <tr r="M918" s="1"/>
      </tp>
      <tp>
        <v>0</v>
        <stp/>
        <stp>bse_cm|1025SCL34A</stp>
        <stp>Open</stp>
        <tr r="M672" s="1"/>
      </tp>
      <tp>
        <v>993</v>
        <stp/>
        <stp>bse_cm|945IFSL25</stp>
        <stp>Prev Close</stp>
        <tr r="P483" s="1"/>
      </tp>
      <tp t="s">
        <v>00:00:00</v>
        <stp/>
        <stp>bse_cm|91SFL27</stp>
        <stp>LTT</stp>
        <tr r="I574" s="1"/>
      </tp>
      <tp>
        <v>0</v>
        <stp/>
        <stp>bse_cm|91SFL27</stp>
        <stp>LTP</stp>
        <tr r="H574" s="1"/>
      </tp>
      <tp>
        <v>0</v>
        <stp/>
        <stp>bse_cm|11CCI26</stp>
        <stp>ATP</stp>
        <tr r="K1220" s="1"/>
      </tp>
      <tp>
        <v>0</v>
        <stp/>
        <stp>bse_cm|925FL27</stp>
        <stp>LTP</stp>
        <tr r="H615" s="1"/>
      </tp>
      <tp t="s">
        <v>00:00:00</v>
        <stp/>
        <stp>bse_cm|925FL27</stp>
        <stp>LTT</stp>
        <tr r="I615" s="1"/>
      </tp>
      <tp>
        <v>999.8</v>
        <stp/>
        <stp>nse_cm|1025NFL25-N5</stp>
        <stp>High</stp>
        <tr r="N1488" s="1"/>
      </tp>
      <tp>
        <v>960</v>
        <stp/>
        <stp>bse_cm|920EFSL26B</stp>
        <stp xml:space="preserve">Low </stp>
        <tr r="O247" s="1"/>
      </tp>
      <tp>
        <v>945</v>
        <stp/>
        <stp>bse_cm|915EFSL26A</stp>
        <stp xml:space="preserve">Low </stp>
        <tr r="O187" s="1"/>
      </tp>
      <tp>
        <v>0</v>
        <stp/>
        <stp>bse_cm|12CCI29</stp>
        <stp>ATP</stp>
        <tr r="K91" s="1"/>
      </tp>
      <tp t="s">
        <v>00:00:00</v>
        <stp/>
        <stp>bse_cm|93SCL24</stp>
        <stp>LTT</stp>
        <tr r="I945" s="1"/>
      </tp>
      <tp t="s">
        <v>00:00:00</v>
        <stp/>
        <stp>bse_cm|93SCL25</stp>
        <stp>LTT</stp>
        <tr r="I729" s="1"/>
      </tp>
      <tp>
        <v>0</v>
        <stp/>
        <stp>bse_cm|93SCL24</stp>
        <stp>LTP</stp>
        <tr r="H945" s="1"/>
      </tp>
      <tp>
        <v>0</v>
        <stp/>
        <stp>bse_cm|93SCL25</stp>
        <stp>LTP</stp>
        <tr r="H729" s="1"/>
      </tp>
      <tp t="s">
        <v>00:00:00</v>
        <stp/>
        <stp>bse_cm|94SCL27</stp>
        <stp>LTT</stp>
        <tr r="I1152" s="1"/>
      </tp>
      <tp>
        <v>0</v>
        <stp/>
        <stp>bse_cm|94SCL27</stp>
        <stp>LTP</stp>
        <tr r="H1152" s="1"/>
      </tp>
      <tp>
        <v>1045</v>
        <stp/>
        <stp>bse_cm|94SFL28</stp>
        <stp>LTP</stp>
        <tr r="H24" s="1"/>
      </tp>
      <tp t="s">
        <v>00:00:00</v>
        <stp/>
        <stp>bse_cm|94SFL28</stp>
        <stp>LTT</stp>
        <tr r="I24" s="1"/>
      </tp>
      <tp>
        <v>0</v>
        <stp/>
        <stp>bse_cm|94MFL27</stp>
        <stp>LTP</stp>
        <tr r="H189" s="1"/>
      </tp>
      <tp t="s">
        <v>00:00:00</v>
        <stp/>
        <stp>bse_cm|94MFL27</stp>
        <stp>LTT</stp>
        <tr r="I189" s="1"/>
      </tp>
      <tp>
        <v>1011.8</v>
        <stp/>
        <stp>bse_cm|955EFSL26B</stp>
        <stp xml:space="preserve">Low </stp>
        <tr r="O666" s="1"/>
      </tp>
      <tp>
        <v>818</v>
        <stp/>
        <stp>bse_cm|966ICCL25A</stp>
        <stp>High</stp>
        <tr r="N846" s="1"/>
      </tp>
      <tp t="s">
        <v>00:00:00</v>
        <stp/>
        <stp>bse_cm|95KFL26</stp>
        <stp>LTT</stp>
        <tr r="I253" s="1"/>
      </tp>
      <tp t="s">
        <v>00:00:00</v>
        <stp/>
        <stp>bse_cm|95KFL27</stp>
        <stp>LTT</stp>
        <tr r="I607" s="1"/>
      </tp>
      <tp>
        <v>0</v>
        <stp/>
        <stp>bse_cm|95MFL25</stp>
        <stp>LTP</stp>
        <tr r="H1420" s="1"/>
      </tp>
      <tp>
        <v>0</v>
        <stp/>
        <stp>bse_cm|95KFL26</stp>
        <stp>LTP</stp>
        <tr r="H253" s="1"/>
      </tp>
      <tp>
        <v>0</v>
        <stp/>
        <stp>bse_cm|95KFL27</stp>
        <stp>LTP</stp>
        <tr r="H607" s="1"/>
      </tp>
      <tp t="s">
        <v>00:00:00</v>
        <stp/>
        <stp>bse_cm|95MFL25</stp>
        <stp>LTT</stp>
        <tr r="I1420" s="1"/>
      </tp>
      <tp>
        <v>925.3</v>
        <stp/>
        <stp>bse_cm|955EFSL26A</stp>
        <stp xml:space="preserve">Low </stp>
        <tr r="O214" s="1"/>
      </tp>
      <tp>
        <v>992</v>
        <stp/>
        <stp>bse_cm|955ICCL25A</stp>
        <stp>High</stp>
        <tr r="N1143" s="1"/>
      </tp>
      <tp t="s">
        <v>00:00:00</v>
        <stp/>
        <stp>bse_cm|96SCL25</stp>
        <stp>LTT</stp>
        <tr r="I1068" s="1"/>
      </tp>
      <tp>
        <v>0</v>
        <stp/>
        <stp>bse_cm|96SCL25</stp>
        <stp>LTP</stp>
        <tr r="H1068" s="1"/>
      </tp>
      <tp>
        <v>0</v>
        <stp/>
        <stp>bse_cm|96MFL25</stp>
        <stp>LTP</stp>
        <tr r="H1392" s="1"/>
      </tp>
      <tp t="s">
        <v>00:00:00</v>
        <stp/>
        <stp>bse_cm|96MFL25</stp>
        <stp>LTT</stp>
        <tr r="I1392" s="1"/>
      </tp>
      <tp>
        <v>959.95</v>
        <stp/>
        <stp>nse_cm|842IIFL26-NL</stp>
        <stp>High</stp>
        <tr r="N145" s="1"/>
      </tp>
      <tp>
        <v>1025</v>
        <stp/>
        <stp>bse_cm|960EFSL26C</stp>
        <stp xml:space="preserve">Low </stp>
        <tr r="O137" s="1"/>
      </tp>
      <tp>
        <v>1061.6199999999999</v>
        <stp/>
        <stp>bse_cm|948ICCL25A</stp>
        <stp>High</stp>
        <tr r="N1398" s="1"/>
      </tp>
      <tp t="s">
        <v>00:00:00</v>
        <stp/>
        <stp>bse_cm|97SFL26</stp>
        <stp>LTT</stp>
        <tr r="I405" s="1"/>
      </tp>
      <tp>
        <v>0</v>
        <stp/>
        <stp>bse_cm|97SFL26</stp>
        <stp>LTP</stp>
        <tr r="H405" s="1"/>
      </tp>
      <tp>
        <v>0</v>
        <stp/>
        <stp>bse_cm|97SFL28</stp>
        <stp>LTP</stp>
        <tr r="H23" s="1"/>
      </tp>
      <tp>
        <v>0</v>
        <stp/>
        <stp>bse_cm|97SFL29</stp>
        <stp>LTP</stp>
        <tr r="H21" s="1"/>
      </tp>
      <tp t="s">
        <v>00:00:00</v>
        <stp/>
        <stp>bse_cm|97SFL28</stp>
        <stp>LTT</stp>
        <tr r="I23" s="1"/>
      </tp>
      <tp t="s">
        <v>00:00:00</v>
        <stp/>
        <stp>bse_cm|97SFL29</stp>
        <stp>LTT</stp>
        <tr r="I21" s="1"/>
      </tp>
      <tp>
        <v>872.2</v>
        <stp/>
        <stp>nse_cm|88SCL25-ZG</stp>
        <stp>Bid Rate</stp>
        <tr r="E960" s="1"/>
      </tp>
      <tp>
        <v>4</v>
        <stp/>
        <stp>nse_cm|1049DLS25A-Y5</stp>
        <stp>Bid Qty</stp>
        <tr r="D44" s="1"/>
      </tp>
      <tp>
        <v>1000</v>
        <stp/>
        <stp>bse_cm|769NHAI31</stp>
        <stp>Face Value</stp>
        <tr r="Q465" s="1"/>
      </tp>
      <tp t="s">
        <v>NSE</v>
        <stp/>
        <stp>nse_cm|97MOFSL34-N7</stp>
        <stp>Exchange</stp>
        <tr r="C1599" s="1"/>
      </tp>
      <tp>
        <v>1000</v>
        <stp/>
        <stp>bse_cm|CCIL14824</stp>
        <stp>Face Value</stp>
        <tr r="Q753" s="1"/>
      </tp>
      <tp t="s">
        <v>NSE</v>
        <stp/>
        <stp>nse_cm|93MOFSL34-N6</stp>
        <stp>Exchange</stp>
        <tr r="C299" s="1"/>
      </tp>
      <tp>
        <v>0</v>
        <stp/>
        <stp>nse_cm|87SCL25-ZV</stp>
        <stp>Bid Rate</stp>
        <tr r="E979" s="1"/>
      </tp>
      <tp>
        <v>861.2</v>
        <stp/>
        <stp>bse_cm|0NHFL29</stp>
        <stp>Bid Rate</stp>
        <tr r="E1035" s="1"/>
      </tp>
      <tp t="s">
        <v>NSE</v>
        <stp/>
        <stp>nse_cm|91MOFSL27-N2</stp>
        <stp>Exchange</stp>
        <tr r="C1611" s="1"/>
      </tp>
      <tp>
        <v>0</v>
        <stp/>
        <stp>bse_cm|865MF25</stp>
        <stp>Open</stp>
        <tr r="M111" s="1"/>
      </tp>
      <tp>
        <v>200</v>
        <stp/>
        <stp>nse_cm|897MOFSL29-N4</stp>
        <stp>Ask Qty</stp>
        <tr r="G296" s="1"/>
      </tp>
      <tp>
        <v>1200</v>
        <stp/>
        <stp>bse_cm|9TCAP28</stp>
        <stp>Ask Rate</stp>
        <tr r="F545" s="1"/>
      </tp>
      <tp t="s">
        <v>NSE</v>
        <stp/>
        <stp>nse_cm|86LTF24-NJ</stp>
        <stp>Exchange</stp>
        <tr r="C7" s="1"/>
      </tp>
      <tp>
        <v>1000</v>
        <stp/>
        <stp>bse_cm|1150IFL26</stp>
        <stp>Face Value</stp>
        <tr r="Q1225" s="1"/>
      </tp>
      <tp>
        <v>1000</v>
        <stp/>
        <stp>bse_cm|745PFCL26</stp>
        <stp>Face Value</stp>
        <tr r="Q1200" s="1"/>
      </tp>
      <tp>
        <v>1000</v>
        <stp/>
        <stp>bse_cm|945MFCL29</stp>
        <stp>Face Value</stp>
        <tr r="Q682" s="1"/>
      </tp>
      <tp>
        <v>1000</v>
        <stp/>
        <stp>bse_cm|115ICFL25</stp>
        <stp>Face Value</stp>
        <tr r="Q1548" s="1"/>
      </tp>
      <tp>
        <v>1152.55</v>
        <stp/>
        <stp>nse_cm|SCLZC25-YN</stp>
        <stp xml:space="preserve">Low </stp>
        <tr r="O1727" s="1"/>
      </tp>
      <tp>
        <v>1000</v>
        <stp/>
        <stp>bse_cm|739HUDC31</stp>
        <stp>Face Value</stp>
        <tr r="Q1347" s="1"/>
      </tp>
      <tp>
        <v>1000</v>
        <stp/>
        <stp>bse_cm|1175IFL26</stp>
        <stp>Face Value</stp>
        <tr r="Q1221" s="1"/>
      </tp>
      <tp t="s">
        <v>NSE</v>
        <stp/>
        <stp>nse_cm|87LTF27-NH</stp>
        <stp>Exchange</stp>
        <tr r="C407" s="1"/>
      </tp>
      <tp>
        <v>1000</v>
        <stp/>
        <stp>bse_cm|747PFCL33</stp>
        <stp>Face Value</stp>
        <tr r="Q1199" s="1"/>
      </tp>
      <tp>
        <v>-0.51</v>
        <stp/>
        <stp>nse_cm|943ECL28-NJ</stp>
        <stp>% Change</stp>
        <tr r="J94" s="1"/>
      </tp>
      <tp>
        <v>849.9</v>
        <stp/>
        <stp>bse_cm|105MMFL25C</stp>
        <stp xml:space="preserve">Low </stp>
        <tr r="O480" s="1"/>
      </tp>
      <tp t="s">
        <v>NSE</v>
        <stp/>
        <stp>nse_cm|85LTF26-NM</stp>
        <stp>Exchange</stp>
        <tr r="C365" s="1"/>
      </tp>
      <tp>
        <v>1000</v>
        <stp/>
        <stp>bse_cm|1102NFL26</stp>
        <stp>Face Value</stp>
        <tr r="Q567" s="1"/>
      </tp>
      <tp>
        <v>1000</v>
        <stp/>
        <stp>bse_cm|940MFCL26</stp>
        <stp>Face Value</stp>
        <tr r="Q200" s="1"/>
      </tp>
      <tp>
        <v>800</v>
        <stp/>
        <stp>bse_cm|940ICCL28</stp>
        <stp>Face Value</stp>
        <tr r="Q1126" s="1"/>
      </tp>
      <tp>
        <v>860.1</v>
        <stp/>
        <stp>bse_cm|0NHFL27</stp>
        <stp>Bid Rate</stp>
        <tr r="E1036" s="1"/>
      </tp>
      <tp>
        <v>990</v>
        <stp/>
        <stp>bse_cm|105MMFL25B</stp>
        <stp xml:space="preserve">Low </stp>
        <tr r="O1390" s="1"/>
      </tp>
      <tp>
        <v>1000</v>
        <stp/>
        <stp>bse_cm|1119NFL27</stp>
        <stp>Face Value</stp>
        <tr r="Q1140" s="1"/>
      </tp>
      <tp>
        <v>860.2</v>
        <stp/>
        <stp>bse_cm|0NHFL26</stp>
        <stp>Bid Rate</stp>
        <tr r="E1037" s="1"/>
      </tp>
      <tp>
        <v>917</v>
        <stp/>
        <stp>bse_cm|105MMFL25A</stp>
        <stp xml:space="preserve">Low </stp>
        <tr r="O1364" s="1"/>
      </tp>
      <tp>
        <v>995</v>
        <stp/>
        <stp>nse_cm|1040UCL25-N4</stp>
        <stp xml:space="preserve">Low </stp>
        <tr r="O669" s="1"/>
      </tp>
      <tp>
        <v>1000</v>
        <stp/>
        <stp>bse_cm|930NIDO32</stp>
        <stp>Face Value</stp>
        <tr r="Q76" s="1"/>
      </tp>
      <tp>
        <v>1000</v>
        <stp/>
        <stp>bse_cm|875PCHFL26</stp>
        <stp xml:space="preserve">Low </stp>
        <tr r="O331" s="1"/>
      </tp>
      <tp>
        <v>-0.11</v>
        <stp/>
        <stp>nse_cm|801TCH25-N4</stp>
        <stp>% Change</stp>
        <tr r="J493" s="1"/>
      </tp>
      <tp>
        <v>0</v>
        <stp/>
        <stp>bse_cm|96ONE29</stp>
        <stp>Open</stp>
        <tr r="M1621" s="1"/>
      </tp>
      <tp>
        <v>971</v>
        <stp/>
        <stp>nse_cm|957NIDO26-N5</stp>
        <stp xml:space="preserve">Low </stp>
        <tr r="O255" s="1"/>
      </tp>
      <tp>
        <v>1375</v>
        <stp/>
        <stp>nse_cm|892PFCL33-N8</stp>
        <stp>High</stp>
        <tr r="N530" s="1"/>
      </tp>
      <tp>
        <v>-100</v>
        <stp/>
        <stp>nse_cm|801TCH28-N7</stp>
        <stp>% Change</stp>
        <tr r="J1181" s="1"/>
      </tp>
      <tp>
        <v>-100</v>
        <stp/>
        <stp>nse_cm|940SCL26-N6</stp>
        <stp>% Change</stp>
        <tr r="J921" s="1"/>
      </tp>
      <tp>
        <v>989</v>
        <stp/>
        <stp>bse_cm|KAFL080824</stp>
        <stp xml:space="preserve">Low </stp>
        <tr r="O1417" s="1"/>
      </tp>
      <tp>
        <v>0</v>
        <stp/>
        <stp>bse_cm|795MMFSL32</stp>
        <stp xml:space="preserve">Low </stp>
        <tr r="O1184" s="1"/>
      </tp>
      <tp>
        <v>-6.67</v>
        <stp/>
        <stp>nse_cm|948SCL26-N9</stp>
        <stp>% Change</stp>
        <tr r="J1632" s="1"/>
      </tp>
      <tp t="s">
        <v>905SC24B</v>
        <stp/>
        <stp>nse_cm|905SC24B-Z9</stp>
        <stp>Symbol</stp>
        <tr r="A637" s="1"/>
      </tp>
      <tp>
        <v>1000</v>
        <stp/>
        <stp>bse_cm|11ICLFL25</stp>
        <stp>Face Value</stp>
        <tr r="Q452" s="1"/>
      </tp>
      <tp>
        <v>0</v>
        <stp/>
        <stp>bse_cm|875TCAPS29</stp>
        <stp xml:space="preserve">Low </stp>
        <tr r="O935" s="1"/>
      </tp>
      <tp>
        <v>1040</v>
        <stp/>
        <stp>bse_cm|NIDO25A</stp>
        <stp>Bid Rate</stp>
        <tr r="E1245" s="1"/>
      </tp>
      <tp>
        <v>1085</v>
        <stp/>
        <stp>bse_cm|1025JFCS28</stp>
        <stp xml:space="preserve">Low </stp>
        <tr r="O363" s="1"/>
      </tp>
      <tp>
        <v>10</v>
        <stp/>
        <stp>nse_cm|9PCHFL31A-NA</stp>
        <stp>Volume Traded Today</stp>
        <tr r="L435" s="1"/>
      </tp>
      <tp>
        <v>1030</v>
        <stp/>
        <stp>bse_cm|865TCAPS27</stp>
        <stp xml:space="preserve">Low </stp>
        <tr r="O377" s="1"/>
      </tp>
      <tp>
        <v>1031.0999999999999</v>
        <stp/>
        <stp>bse_cm|885TCAPS29</stp>
        <stp xml:space="preserve">Low </stp>
        <tr r="O12" s="1"/>
      </tp>
      <tp>
        <v>0</v>
        <stp/>
        <stp>bse_cm|76IGT26</stp>
        <stp>Open</stp>
        <tr r="M1608" s="1"/>
      </tp>
      <tp>
        <v>0</v>
        <stp/>
        <stp>bse_cm|855TCAPS27</stp>
        <stp xml:space="preserve">Low </stp>
        <tr r="O1004" s="1"/>
      </tp>
      <tp t="s">
        <v>INE039A07843</v>
        <stp/>
        <stp>bse_cm|94IFCI25</stp>
        <stp>Isin code</stp>
        <tr r="R228" s="1"/>
      </tp>
      <tp>
        <v>1000.05</v>
        <stp/>
        <stp>nse_cm|1040NFL26-NA</stp>
        <stp xml:space="preserve">Low </stp>
        <tr r="O678" s="1"/>
      </tp>
      <tp t="s">
        <v>00:00:00</v>
        <stp/>
        <stp>bse_cm|9SCFL25</stp>
        <stp>LTT</stp>
        <tr r="I1505" s="1"/>
      </tp>
      <tp>
        <v>0</v>
        <stp/>
        <stp>bse_cm|9SCFL25</stp>
        <stp>LTP</stp>
        <tr r="H1505" s="1"/>
      </tp>
      <tp>
        <v>1069.8</v>
        <stp/>
        <stp>bse_cm|9SFL25A</stp>
        <stp>Ask Rate</stp>
        <tr r="F441" s="1"/>
      </tp>
      <tp>
        <v>920</v>
        <stp/>
        <stp>nse_cm|948SCL26D-AI</stp>
        <stp>Ask Rate</stp>
        <tr r="F1690" s="1"/>
      </tp>
      <tp>
        <v>0</v>
        <stp/>
        <stp>bse_cm|86LTF24</stp>
        <stp>Open</stp>
        <tr r="M8" s="1"/>
      </tp>
      <tp>
        <v>0</v>
        <stp/>
        <stp>bse_cm|96MFL25</stp>
        <stp>Open</stp>
        <tr r="M1392" s="1"/>
      </tp>
      <tp>
        <v>1000</v>
        <stp/>
        <stp>bse_cm|84CIFCL28</stp>
        <stp>Face Value</stp>
        <tr r="Q387" s="1"/>
      </tp>
      <tp>
        <v>0</v>
        <stp/>
        <stp>bse_cm|96SCL25</stp>
        <stp>Open</stp>
        <tr r="M1068" s="1"/>
      </tp>
      <tp>
        <v>0</v>
        <stp/>
        <stp>bse_cm|9IIFL28</stp>
        <stp>LTP</stp>
        <tr r="H126" s="1"/>
      </tp>
      <tp t="s">
        <v>00:00:00</v>
        <stp/>
        <stp>bse_cm|9IIFL28</stp>
        <stp>LTT</stp>
        <tr r="I126" s="1"/>
      </tp>
      <tp>
        <v>825.8</v>
        <stp/>
        <stp>nse_cm|87SCL27-Z6</stp>
        <stp>Bid Rate</stp>
        <tr r="E950" s="1"/>
      </tp>
      <tp t="s">
        <v>00:00:00</v>
        <stp/>
        <stp>bse_cm|9KSFL27</stp>
        <stp>LTT</stp>
        <tr r="I1418" s="1"/>
      </tp>
      <tp>
        <v>0</v>
        <stp/>
        <stp>bse_cm|9KSFL27</stp>
        <stp>LTP</stp>
        <tr r="H1418" s="1"/>
      </tp>
      <tp t="s">
        <v>INE148I07QA5</v>
        <stp/>
        <stp>nse_cm|SCL26-NA</stp>
        <stp>Isin code</stp>
        <tr r="R919" s="1"/>
      </tp>
      <tp>
        <v>962.1</v>
        <stp/>
        <stp>bse_cm|9MFCL26</stp>
        <stp>LTP</stp>
        <tr r="H156" s="1"/>
      </tp>
      <tp t="s">
        <v>10:20:30</v>
        <stp/>
        <stp>bse_cm|9MFCL26</stp>
        <stp>LTT</stp>
        <tr r="I156" s="1"/>
      </tp>
      <tp>
        <v>0</v>
        <stp/>
        <stp>bse_cm|RFLNIFT25</stp>
        <stp>ATP</stp>
        <tr r="K1242" s="1"/>
      </tp>
      <tp>
        <v>0</v>
        <stp/>
        <stp>nse_cm|888SCL25A-AQ</stp>
        <stp>Ask Rate</stp>
        <tr r="F910" s="1"/>
      </tp>
      <tp t="s">
        <v>INE523H07AZ2</v>
        <stp/>
        <stp>bse_cm|99JFPL25</stp>
        <stp>Isin code</stp>
        <tr r="R1670" s="1"/>
      </tp>
      <tp>
        <v>0</v>
        <stp/>
        <stp>bse_cm|774IREDA31</stp>
        <stp>Open</stp>
        <tr r="M17" s="1"/>
      </tp>
      <tp>
        <v>20</v>
        <stp/>
        <stp>nse_cm|1049DLSL25-NX</stp>
        <stp>Bid Qty</stp>
        <tr r="D43" s="1"/>
      </tp>
      <tp>
        <v>0</v>
        <stp/>
        <stp>bse_cm|9ARKA25</stp>
        <stp>ATP</stp>
        <tr r="K1365" s="1"/>
      </tp>
      <tp t="s">
        <v>INE532F07CX8</v>
        <stp/>
        <stp>bse_cm|89EFSL25</stp>
        <stp>Isin code</stp>
        <tr r="R87" s="1"/>
      </tp>
      <tp>
        <v>0</v>
        <stp/>
        <stp>bse_cm|749IREDA31</stp>
        <stp>Open</stp>
        <tr r="M568" s="1"/>
      </tp>
      <tp>
        <v>0</v>
        <stp/>
        <stp>bse_cm|SFL2722024</stp>
        <stp>Open</stp>
        <tr r="M806" s="1"/>
      </tp>
      <tp>
        <v>0</v>
        <stp/>
        <stp>bse_cm|743IREDA36</stp>
        <stp>Open</stp>
        <tr r="M1441" s="1"/>
      </tp>
      <tp>
        <v>-100</v>
        <stp/>
        <stp>bse_cm|MFL29A</stp>
        <stp>% Change</stp>
        <tr r="J1380" s="1"/>
      </tp>
      <tp>
        <v>1238</v>
        <stp/>
        <stp>nse_cm|948SCL26I-AX</stp>
        <stp>Ask Rate</stp>
        <tr r="F1708" s="1"/>
      </tp>
      <tp>
        <v>0</v>
        <stp/>
        <stp>bse_cm|9EFSL25</stp>
        <stp>LTP</stp>
        <tr r="H606" s="1"/>
      </tp>
      <tp>
        <v>987.57</v>
        <stp/>
        <stp>bse_cm|9EFSL26</stp>
        <stp>LTP</stp>
        <tr r="H581" s="1"/>
      </tp>
      <tp t="s">
        <v>00:00:00</v>
        <stp/>
        <stp>bse_cm|9EFSL25</stp>
        <stp>LTT</stp>
        <tr r="I606" s="1"/>
      </tp>
      <tp t="s">
        <v>09:38:38</v>
        <stp/>
        <stp>bse_cm|9EFSL26</stp>
        <stp>LTT</stp>
        <tr r="I581" s="1"/>
      </tp>
      <tp>
        <v>0</v>
        <stp/>
        <stp>bse_cm|768IREDA36</stp>
        <stp>Open</stp>
        <tr r="M543" s="1"/>
      </tp>
      <tp>
        <v>1000</v>
        <stp/>
        <stp>bse_cm|1010MFCL30</stp>
        <stp>High</stp>
        <tr r="N285" s="1"/>
      </tp>
      <tp t="s">
        <v>BSE</v>
        <stp/>
        <stp>bse_cm|750PFCL38</stp>
        <stp>Exchange</stp>
        <tr r="C1196" s="1"/>
      </tp>
      <tp t="s">
        <v>BSE</v>
        <stp/>
        <stp>bse_cm|755PFCL38</stp>
        <stp>Exchange</stp>
        <tr r="C434" s="1"/>
      </tp>
      <tp>
        <v>1000</v>
        <stp/>
        <stp>nse_cm|82TCHF25-N5</stp>
        <stp>Face Value</stp>
        <tr r="Q1014" s="1"/>
      </tp>
      <tp>
        <v>1000</v>
        <stp/>
        <stp>nse_cm|83TCHF25-N6</stp>
        <stp>Face Value</stp>
        <tr r="Q472" s="1"/>
      </tp>
      <tp>
        <v>980</v>
        <stp/>
        <stp>bse_cm|995NWIL32</stp>
        <stp>Bid Rate</stp>
        <tr r="E1023" s="1"/>
      </tp>
      <tp>
        <v>920.02</v>
        <stp/>
        <stp>bse_cm|953NWIL32</stp>
        <stp>Bid Rate</stp>
        <tr r="E226" s="1"/>
      </tp>
      <tp>
        <v>1000</v>
        <stp/>
        <stp>nse_cm|10CAGL27-N5</stp>
        <stp>Face Value</stp>
        <tr r="Q273" s="1"/>
      </tp>
      <tp t="s">
        <v>BSE</v>
        <stp/>
        <stp>bse_cm|683PFCL31</stp>
        <stp>Exchange</stp>
        <tr r="C449" s="1"/>
      </tp>
      <tp t="s">
        <v>BSE</v>
        <stp/>
        <stp>bse_cm|682PFCL31</stp>
        <stp>Exchange</stp>
        <tr r="C433" s="1"/>
      </tp>
      <tp t="s">
        <v>BSE</v>
        <stp/>
        <stp>bse_cm|658PFCL31</stp>
        <stp>Exchange</stp>
        <tr r="C1209" s="1"/>
      </tp>
      <tp t="s">
        <v>BSE</v>
        <stp/>
        <stp>bse_cm|663PFCL31</stp>
        <stp>Exchange</stp>
        <tr r="C1208" s="1"/>
      </tp>
      <tp t="s">
        <v>MFOPTVI24</v>
        <stp/>
        <stp>bse_cm|MFOPTVI24</stp>
        <stp>Symbol</stp>
        <tr r="A1547" s="1"/>
      </tp>
      <tp t="s">
        <v>MFLTDVI25</v>
        <stp/>
        <stp>bse_cm|MFLTDVI25</stp>
        <stp>Symbol</stp>
        <tr r="A1686" s="1"/>
      </tp>
      <tp t="s">
        <v>BSE</v>
        <stp/>
        <stp>bse_cm|MFLVII25G</stp>
        <stp>Exchange</stp>
        <tr r="C1729" s="1"/>
      </tp>
      <tp t="s">
        <v>BSE</v>
        <stp/>
        <stp>bse_cm|747PFCL33</stp>
        <stp>Exchange</stp>
        <tr r="C1199" s="1"/>
      </tp>
      <tp t="s">
        <v>BSE</v>
        <stp/>
        <stp>bse_cm|753PFCL33</stp>
        <stp>Exchange</stp>
        <tr r="C426" s="1"/>
      </tp>
      <tp>
        <v>25</v>
        <stp/>
        <stp>bse_cm|105UCL2026</stp>
        <stp>Ask Qty</stp>
        <tr r="G319" s="1"/>
      </tp>
      <tp>
        <v>1000</v>
        <stp/>
        <stp>nse_cm|932AEL27-N3</stp>
        <stp>Face Value</stp>
        <tr r="Q471" s="1"/>
      </tp>
      <tp>
        <v>1000</v>
        <stp/>
        <stp>nse_cm|965AEL27-N4</stp>
        <stp>Face Value</stp>
        <tr r="Q254" s="1"/>
      </tp>
      <tp>
        <v>1000</v>
        <stp/>
        <stp>nse_cm|93SCFL25-Z1</stp>
        <stp>Face Value</stp>
        <tr r="Q946" s="1"/>
      </tp>
      <tp t="s">
        <v>BSE</v>
        <stp/>
        <stp>bse_cm|715PFCL36</stp>
        <stp>Exchange</stp>
        <tr r="C437" s="1"/>
      </tp>
      <tp t="s">
        <v>BSE</v>
        <stp/>
        <stp>bse_cm|697PFCL36</stp>
        <stp>Exchange</stp>
        <tr r="C431" s="1"/>
      </tp>
      <tp t="s">
        <v>BSE</v>
        <stp/>
        <stp>bse_cm|695PFCL36</stp>
        <stp>Exchange</stp>
        <tr r="C430" s="1"/>
      </tp>
      <tp t="s">
        <v>BSE</v>
        <stp/>
        <stp>bse_cm|678PFCL36</stp>
        <stp>Exchange</stp>
        <tr r="C1207" s="1"/>
      </tp>
      <tp t="s">
        <v>JMFPZC25</v>
        <stp/>
        <stp>bse_cm|JMFPZC25</stp>
        <stp>Trading Symbol</stp>
        <tr r="B1324" s="1"/>
      </tp>
      <tp t="s">
        <v>JMFPZC26</v>
        <stp/>
        <stp>bse_cm|JMFPZC26</stp>
        <stp>Trading Symbol</stp>
        <tr r="B1323" s="1"/>
      </tp>
      <tp>
        <v>1126.01</v>
        <stp/>
        <stp>bse_cm|735NHAI31</stp>
        <stp>Bid Rate</stp>
        <tr r="E565" s="1"/>
      </tp>
      <tp>
        <v>1105</v>
        <stp/>
        <stp>bse_cm|769NHAI31</stp>
        <stp>Bid Rate</stp>
        <tr r="E465" s="1"/>
      </tp>
      <tp t="s">
        <v>950KLMAF25</v>
        <stp/>
        <stp>bse_cm|950KLMAF25</stp>
        <stp>Trading Symbol</stp>
        <tr r="B1149" s="1"/>
      </tp>
      <tp>
        <v>1000</v>
        <stp/>
        <stp>bse_cm|91MOFSL27</stp>
        <stp>Bid Rate</stp>
        <tr r="E1558" s="1"/>
      </tp>
      <tp>
        <v>0</v>
        <stp/>
        <stp>bse_cm|MML11924A</stp>
        <stp>Open</stp>
        <tr r="M1256" s="1"/>
      </tp>
      <tp>
        <v>0</v>
        <stp/>
        <stp>bse_cm|MML11924B</stp>
        <stp>Open</stp>
        <tr r="M1255" s="1"/>
      </tp>
      <tp>
        <v>0</v>
        <stp/>
        <stp>bse_cm|MML11924C</stp>
        <stp>Open</stp>
        <tr r="M1623" s="1"/>
      </tp>
      <tp>
        <v>100</v>
        <stp/>
        <stp>bse_cm|1025JFCS28</stp>
        <stp>Bid Qty</stp>
        <tr r="D363" s="1"/>
      </tp>
      <tp>
        <v>0</v>
        <stp/>
        <stp>bse_cm|IFL19424A</stp>
        <stp>Open</stp>
        <tr r="M1419" s="1"/>
      </tp>
      <tp t="s">
        <v>702HUDCO26</v>
        <stp/>
        <stp>bse_cm|702HUDCO26</stp>
        <stp>Trading Symbol</stp>
        <tr r="B1718" s="1"/>
      </tp>
      <tp>
        <v>1000</v>
        <stp/>
        <stp>nse_cm|820SCL25-YO</stp>
        <stp>Prev Close</stp>
        <tr r="P932" s="1"/>
      </tp>
      <tp>
        <v>1047.5999999999999</v>
        <stp/>
        <stp>nse_cm|847SCL25-Z2</stp>
        <stp>Prev Close</stp>
        <tr r="P212" s="1"/>
      </tp>
      <tp>
        <v>960</v>
        <stp/>
        <stp>nse_cm|866SCL25-YP</stp>
        <stp>Prev Close</stp>
        <tr r="P933" s="1"/>
      </tp>
      <tp>
        <v>1000</v>
        <stp/>
        <stp>nse_cm|850SCL25-YL</stp>
        <stp>Prev Close</stp>
        <tr r="P922" s="1"/>
      </tp>
      <tp>
        <v>1122.3499999999999</v>
        <stp/>
        <stp>nse_cm|894SCL25-Z3</stp>
        <stp>Prev Close</stp>
        <tr r="P1698" s="1"/>
      </tp>
      <tp>
        <v>0</v>
        <stp/>
        <stp>nse_cm|888SCL25-NG</stp>
        <stp>Prev Close</stp>
        <tr r="P912" s="1"/>
      </tp>
      <tp>
        <v>1000</v>
        <stp/>
        <stp>nse_cm|905SCL25-ZT</stp>
        <stp>Prev Close</stp>
        <tr r="P977" s="1"/>
      </tp>
      <tp>
        <v>850</v>
        <stp/>
        <stp>nse_cm|916SCL25-ZW</stp>
        <stp>Prev Close</stp>
        <tr r="P1576" s="1"/>
      </tp>
      <tp>
        <v>940</v>
        <stp/>
        <stp>nse_cm|955SCL25-ZU</stp>
        <stp>Prev Close</stp>
        <tr r="P1391" s="1"/>
      </tp>
      <tp>
        <v>977</v>
        <stp/>
        <stp>nse_cm|925SCL25-N5</stp>
        <stp>Prev Close</stp>
        <tr r="P1474" s="1"/>
      </tp>
      <tp>
        <v>1134</v>
        <stp/>
        <stp>nse_cm|965SCL25-AG</stp>
        <stp>Prev Close</stp>
        <tr r="P1577" s="1"/>
      </tp>
      <tp>
        <v>1374</v>
        <stp/>
        <stp>nse_cm|886REC34-NG</stp>
        <stp>Prev Close</stp>
        <tr r="P536" s="1"/>
      </tp>
      <tp>
        <v>1500</v>
        <stp/>
        <stp>nse_cm|861REC34-ND</stp>
        <stp>Prev Close</stp>
        <tr r="P583" s="1"/>
      </tp>
      <tp>
        <v>1050</v>
        <stp/>
        <stp>nse_cm|905PEL26-N1</stp>
        <stp>Prev Close</stp>
        <tr r="P500" s="1"/>
      </tp>
      <tp>
        <v>986.24</v>
        <stp/>
        <stp>nse_cm|866SFL25-ZE</stp>
        <stp>Prev Close</stp>
        <tr r="P1389" s="1"/>
      </tp>
      <tp>
        <v>905.2</v>
        <stp/>
        <stp>bse_cm|970NIDO32</stp>
        <stp>Bid Rate</stp>
        <tr r="E67" s="1"/>
      </tp>
      <tp>
        <v>882</v>
        <stp/>
        <stp>bse_cm|930NIDO32</stp>
        <stp>Bid Rate</stp>
        <tr r="E76" s="1"/>
      </tp>
      <tp>
        <v>0</v>
        <stp/>
        <stp>bse_cm|925SCL25H</stp>
        <stp>Ask Rate</stp>
        <tr r="F886" s="1"/>
      </tp>
      <tp t="s">
        <v>INE532F07DH9</v>
        <stp/>
        <stp>bse_cm|10EFSL33B</stp>
        <stp>Isin code</stp>
        <tr r="R136" s="1"/>
      </tp>
      <tp t="s">
        <v>1030ICCL28</v>
        <stp/>
        <stp>bse_cm|1030ICCL28</stp>
        <stp>Trading Symbol</stp>
        <tr r="B1521" s="1"/>
      </tp>
      <tp t="s">
        <v>INE532F07CZ3</v>
        <stp/>
        <stp>bse_cm|EFSL25</stp>
        <stp>Isin code</stp>
        <tr r="R1694" s="1"/>
      </tp>
      <tp t="s">
        <v>INE148I07PW1</v>
        <stp/>
        <stp>bse_cm|925SCL25Z</stp>
        <stp>Isin code</stp>
        <tr r="R790" s="1"/>
      </tp>
      <tp t="s">
        <v>739NHAI31A</v>
        <stp/>
        <stp>bse_cm|739NHAI31A</stp>
        <stp>Trading Symbol</stp>
        <tr r="B546" s="1"/>
      </tp>
      <tp t="s">
        <v>1045NIDO33</v>
        <stp/>
        <stp>bse_cm|1045NIDO33</stp>
        <stp>Trading Symbol</stp>
        <tr r="B71" s="1"/>
      </tp>
      <tp t="s">
        <v>BSE</v>
        <stp/>
        <stp>bse_cm|MFOPTVI24</stp>
        <stp>Exchange</stp>
        <tr r="C1547" s="1"/>
      </tp>
      <tp t="s">
        <v>BSE</v>
        <stp/>
        <stp>bse_cm|MFOPTIV24</stp>
        <stp>Exchange</stp>
        <tr r="C380" s="1"/>
      </tp>
      <tp>
        <v>950</v>
        <stp/>
        <stp>bse_cm|995ECL29A</stp>
        <stp>Bid Rate</stp>
        <tr r="E152" s="1"/>
      </tp>
      <tp t="e">
        <v>#N/A</v>
        <stp/>
        <stp>bse_cm|1065MHFL24</stp>
        <stp>Trading Symbol</stp>
        <tr r="B36" s="1"/>
      </tp>
      <tp t="s">
        <v>INE033L07GS6</v>
        <stp/>
        <stp>nse_cm|81TCHF28-N8</stp>
        <stp>Isin code</stp>
        <tr r="R467" s="1"/>
      </tp>
      <tp>
        <v>0</v>
        <stp/>
        <stp>bse_cm|894SCL25A</stp>
        <stp>Ask Rate</stp>
        <tr r="F1235" s="1"/>
      </tp>
      <tp>
        <v>0</v>
        <stp/>
        <stp>bse_cm|888SCL25A</stp>
        <stp>Ask Rate</stp>
        <tr r="F911" s="1"/>
      </tp>
      <tp>
        <v>0</v>
        <stp/>
        <stp>bse_cm|850SCL25A</stp>
        <stp>Ask Rate</stp>
        <tr r="F1387" s="1"/>
      </tp>
      <tp>
        <v>1080</v>
        <stp/>
        <stp>bse_cm|965SCL25A</stp>
        <stp>Ask Rate</stp>
        <tr r="F234" s="1"/>
      </tp>
      <tp>
        <v>0</v>
        <stp/>
        <stp>bse_cm|925SCL25A</stp>
        <stp>Ask Rate</stp>
        <tr r="F1515" s="1"/>
      </tp>
      <tp>
        <v>0</v>
        <stp/>
        <stp>bse_cm|965SCL25B</stp>
        <stp>Ask Rate</stp>
        <tr r="F1507" s="1"/>
      </tp>
      <tp>
        <v>0</v>
        <stp/>
        <stp>bse_cm|925SCL25B</stp>
        <stp>Ask Rate</stp>
        <tr r="F1490" s="1"/>
      </tp>
      <tp>
        <v>0</v>
        <stp/>
        <stp>bse_cm|888SCL25B</stp>
        <stp>Ask Rate</stp>
        <tr r="F909" s="1"/>
      </tp>
      <tp>
        <v>900</v>
        <stp/>
        <stp>bse_cm|965SCL25C</stp>
        <stp>Ask Rate</stp>
        <tr r="F506" s="1"/>
      </tp>
      <tp>
        <v>0</v>
        <stp/>
        <stp>bse_cm|925SCL25C</stp>
        <stp>Ask Rate</stp>
        <tr r="F676" s="1"/>
      </tp>
      <tp>
        <v>959.8</v>
        <stp/>
        <stp>bse_cm|MFLTDII27</stp>
        <stp>Ask Rate</stp>
        <tr r="F297" s="1"/>
      </tp>
      <tp>
        <v>0</v>
        <stp/>
        <stp>bse_cm|888SCL25E</stp>
        <stp>Ask Rate</stp>
        <tr r="F1356" s="1"/>
      </tp>
      <tp>
        <v>0</v>
        <stp/>
        <stp>bse_cm|888SCL25D</stp>
        <stp>Ask Rate</stp>
        <tr r="F788" s="1"/>
      </tp>
      <tp>
        <v>1025</v>
        <stp/>
        <stp>bse_cm|965SCL25E</stp>
        <stp>Ask Rate</stp>
        <tr r="F414" s="1"/>
      </tp>
      <tp>
        <v>1137.7</v>
        <stp/>
        <stp>bse_cm|MFLTDVI25</stp>
        <stp>Ask Rate</stp>
        <tr r="F1686" s="1"/>
      </tp>
      <tp>
        <v>0</v>
        <stp/>
        <stp>bse_cm|965SCL25F</stp>
        <stp>Ask Rate</stp>
        <tr r="F673" s="1"/>
      </tp>
      <tp>
        <v>0</v>
        <stp/>
        <stp>bse_cm|925SCL25F</stp>
        <stp>Ask Rate</stp>
        <tr r="F719" s="1"/>
      </tp>
      <tp>
        <v>964</v>
        <stp/>
        <stp>bse_cm|104ECL29A</stp>
        <stp>Bid Rate</stp>
        <tr r="E79" s="1"/>
      </tp>
      <tp>
        <v>0</v>
        <stp/>
        <stp>bse_cm|925SCL25G</stp>
        <stp>Ask Rate</stp>
        <tr r="F717" s="1"/>
      </tp>
      <tp>
        <v>0</v>
        <stp/>
        <stp>bse_cm|925SCL25Z</stp>
        <stp>Ask Rate</stp>
        <tr r="F790" s="1"/>
      </tp>
      <tp>
        <v>0</v>
        <stp/>
        <stp>bse_cm|RFLNIFT25</stp>
        <stp>Bid Rate</stp>
        <tr r="E1242" s="1"/>
      </tp>
      <tp t="s">
        <v>105IIFL29</v>
        <stp/>
        <stp>nse_cm|105IIFL29-N7</stp>
        <stp>Symbol</stp>
        <tr r="A270" s="1"/>
      </tp>
      <tp t="s">
        <v>INE403Q07EG0</v>
        <stp/>
        <stp>bse_cm|0KFL28</stp>
        <stp>Isin code</stp>
        <tr r="R1045" s="1"/>
      </tp>
      <tp t="s">
        <v>INE148I08322</v>
        <stp/>
        <stp>nse_cm|889SCL28-NU</stp>
        <stp>Isin code</stp>
        <tr r="R989" s="1"/>
      </tp>
      <tp>
        <v>0</v>
        <stp/>
        <stp>bse_cm|MFLVIII27H</stp>
        <stp>Ask Qty</stp>
        <tr r="G1274" s="1"/>
      </tp>
      <tp t="s">
        <v>INE033L08270</v>
        <stp/>
        <stp>bse_cm|TCHF30</stp>
        <stp>Isin code</stp>
        <tr r="R423" s="1"/>
      </tp>
      <tp>
        <v>0</v>
        <stp/>
        <stp>bse_cm|MFLVIII26H</stp>
        <stp>Ask Qty</stp>
        <tr r="G1575" s="1"/>
      </tp>
      <tp t="s">
        <v>INE414G07GL3</v>
        <stp/>
        <stp>bse_cm|MFLI25</stp>
        <stp>Isin code</stp>
        <tr r="R447" s="1"/>
      </tp>
      <tp>
        <v>919</v>
        <stp/>
        <stp>nse_cm|843IHFL29-NC</stp>
        <stp>High</stp>
        <tr r="N123" s="1"/>
      </tp>
      <tp>
        <v>973</v>
        <stp/>
        <stp>nse_cm|10IIFL28A-NE</stp>
        <stp>Prev Close</stp>
        <tr r="P108" s="1"/>
      </tp>
      <tp t="s">
        <v>BSE</v>
        <stp/>
        <stp>bse_cm|7PFCL31</stp>
        <stp>Exchange</stp>
        <tr r="C425" s="1"/>
      </tp>
      <tp>
        <v>920</v>
        <stp/>
        <stp>nse_cm|865IIFL28-NS</stp>
        <stp xml:space="preserve">Low </stp>
        <tr r="O74" s="1"/>
      </tp>
      <tp>
        <v>0</v>
        <stp/>
        <stp>bse_cm|CAGL25A</stp>
        <stp>Volume Traded Today</stp>
        <tr r="L1701" s="1"/>
      </tp>
      <tp t="s">
        <v>00:00:00</v>
        <stp/>
        <stp>bse_cm|88SCL25</stp>
        <stp>LTT</stp>
        <tr r="I987" s="1"/>
      </tp>
      <tp>
        <v>0</v>
        <stp/>
        <stp>bse_cm|88SCL25</stp>
        <stp>LTP</stp>
        <tr r="H987" s="1"/>
      </tp>
      <tp t="s">
        <v>00:00:00</v>
        <stp/>
        <stp>bse_cm|88MFL28</stp>
        <stp>LTT</stp>
        <tr r="I233" s="1"/>
      </tp>
      <tp>
        <v>0</v>
        <stp/>
        <stp>bse_cm|88MFL28</stp>
        <stp>LTP</stp>
        <tr r="H233" s="1"/>
      </tp>
      <tp t="s">
        <v>00:00:00</v>
        <stp/>
        <stp>bse_cm|89SCL24</stp>
        <stp>LTT</stp>
        <tr r="I1153" s="1"/>
      </tp>
      <tp>
        <v>0</v>
        <stp/>
        <stp>bse_cm|89SCL24</stp>
        <stp>LTP</stp>
        <tr r="H1153" s="1"/>
      </tp>
      <tp>
        <v>0</v>
        <stp/>
        <stp>bse_cm|89MFL26</stp>
        <stp>LTP</stp>
        <tr r="H250" s="1"/>
      </tp>
      <tp>
        <v>901.2</v>
        <stp/>
        <stp>nse_cm|99SCL27-ZH</stp>
        <stp>Bid Rate</stp>
        <tr r="E1168" s="1"/>
      </tp>
      <tp t="s">
        <v>00:00:00</v>
        <stp/>
        <stp>bse_cm|89MFL26</stp>
        <stp>LTT</stp>
        <tr r="I250" s="1"/>
      </tp>
      <tp>
        <v>1000</v>
        <stp/>
        <stp>bse_cm|1010EFS29</stp>
        <stp>Face Value</stp>
        <tr r="Q726" s="1"/>
      </tp>
      <tp>
        <v>1000</v>
        <stp/>
        <stp>bse_cm|1010EFS28</stp>
        <stp>Face Value</stp>
        <tr r="Q116" s="1"/>
      </tp>
      <tp>
        <v>0</v>
        <stp/>
        <stp>bse_cm|CAGL27A</stp>
        <stp>Volume Traded Today</stp>
        <tr r="L1379" s="1"/>
      </tp>
      <tp>
        <v>811.25</v>
        <stp/>
        <stp>nse_cm|94SCL27-ZG</stp>
        <stp>Bid Rate</stp>
        <tr r="E1151" s="1"/>
      </tp>
      <tp>
        <v>1000</v>
        <stp/>
        <stp>bse_cm|805MMFS32</stp>
        <stp>Face Value</stp>
        <tr r="Q1763" s="1"/>
      </tp>
      <tp>
        <v>1000</v>
        <stp/>
        <stp>bse_cm|1045EFS33</stp>
        <stp>Face Value</stp>
        <tr r="Q1030" s="1"/>
      </tp>
      <tp>
        <v>1000</v>
        <stp/>
        <stp>bse_cm|1045EFS34</stp>
        <stp>Face Value</stp>
        <tr r="Q1450" s="1"/>
      </tp>
      <tp>
        <v>1000</v>
        <stp/>
        <stp>bse_cm|EFS290424</stp>
        <stp>Face Value</stp>
        <tr r="Q570" s="1"/>
      </tp>
      <tp>
        <v>0</v>
        <stp/>
        <stp>bse_cm|960EFSLA</stp>
        <stp>Ask Qty</stp>
        <tr r="G699" s="1"/>
      </tp>
      <tp>
        <v>972.1</v>
        <stp/>
        <stp>nse_cm|91SFL27-ZI</stp>
        <stp>Bid Rate</stp>
        <tr r="E533" s="1"/>
      </tp>
      <tp>
        <v>960</v>
        <stp/>
        <stp>bse_cm|920EFSL27A</stp>
        <stp xml:space="preserve">Low </stp>
        <tr r="O685" s="1"/>
      </tp>
      <tp>
        <v>995</v>
        <stp/>
        <stp>nse_cm|1035UCL24-N6</stp>
        <stp>High</stp>
        <tr r="N591" s="1"/>
      </tp>
      <tp>
        <v>1029</v>
        <stp/>
        <stp>bse_cm|925ICCL24A</stp>
        <stp>High</stp>
        <tr r="N1072" s="1"/>
      </tp>
      <tp>
        <v>622</v>
        <stp/>
        <stp>bse_cm|955IFSL25</stp>
        <stp>Prev Close</stp>
        <tr r="P1470" s="1"/>
      </tp>
      <tp>
        <v>989.8</v>
        <stp/>
        <stp>bse_cm|955EFSL26</stp>
        <stp>Prev Close</stp>
        <tr r="P503" s="1"/>
      </tp>
      <tp t="s">
        <v>00:00:00</v>
        <stp/>
        <stp>bse_cm|81MFL28</stp>
        <stp>LTT</stp>
        <tr r="I314" s="1"/>
      </tp>
      <tp>
        <v>0</v>
        <stp/>
        <stp>bse_cm|81MFL28</stp>
        <stp>LTP</stp>
        <tr r="H314" s="1"/>
      </tp>
      <tp>
        <v>0</v>
        <stp/>
        <stp>bse_cm|913ICCL24A</stp>
        <stp>High</stp>
        <tr r="N1162" s="1"/>
      </tp>
      <tp>
        <v>1095</v>
        <stp/>
        <stp>bse_cm|739NHAI31A</stp>
        <stp>High</stp>
        <tr r="N546" s="1"/>
      </tp>
      <tp>
        <v>-100</v>
        <stp/>
        <stp>nse_cm|SCL22-ZC</stp>
        <stp>% Change</stp>
        <tr r="J955" s="1"/>
      </tp>
      <tp>
        <v>1000</v>
        <stp/>
        <stp>nse_cm|ABFL28-N3</stp>
        <stp>Face Value</stp>
        <tr r="Q1063" s="1"/>
      </tp>
      <tp>
        <v>0</v>
        <stp/>
        <stp>bse_cm|CIFC26A</stp>
        <stp>Volume Traded Today</stp>
        <tr r="L740" s="1"/>
      </tp>
      <tp>
        <v>980</v>
        <stp/>
        <stp>bse_cm|957EFSL27</stp>
        <stp>Prev Close</stp>
        <tr r="P576" s="1"/>
      </tp>
      <tp>
        <v>832.2</v>
        <stp/>
        <stp>nse_cm|93SCL25-ZH</stp>
        <stp>Bid Rate</stp>
        <tr r="E961" s="1"/>
      </tp>
      <tp>
        <v>0</v>
        <stp/>
        <stp>bse_cm|1025SFL25A</stp>
        <stp>Open</stp>
        <tr r="M1070" s="1"/>
      </tp>
      <tp>
        <v>960</v>
        <stp/>
        <stp>bse_cm|950EFSL26</stp>
        <stp>Prev Close</stp>
        <tr r="P1493" s="1"/>
      </tp>
      <tp>
        <v>0</v>
        <stp/>
        <stp>bse_cm|84MFL25</stp>
        <stp>LTP</stp>
        <tr r="H316" s="1"/>
      </tp>
      <tp t="s">
        <v>00:00:00</v>
        <stp/>
        <stp>bse_cm|84MFL25</stp>
        <stp>LTT</stp>
        <tr r="I316" s="1"/>
      </tp>
      <tp>
        <v>180</v>
        <stp/>
        <stp>nse_cm|885MOFSL26-N0</stp>
        <stp>Bid Qty</stp>
        <tr r="D1635" s="1"/>
      </tp>
      <tp>
        <v>15</v>
        <stp/>
        <stp>nse_cm|935MOFSL29-N5</stp>
        <stp>Bid Qty</stp>
        <tr r="D1601" s="1"/>
      </tp>
      <tp>
        <v>0</v>
        <stp/>
        <stp>nse_cm|SCL24-ZD</stp>
        <stp>% Change</stp>
        <tr r="J956" s="1"/>
      </tp>
      <tp t="s">
        <v>00:00:00</v>
        <stp/>
        <stp>bse_cm|85IFL26</stp>
        <stp>LTT</stp>
        <tr r="I1357" s="1"/>
      </tp>
      <tp t="s">
        <v>00:00:00</v>
        <stp/>
        <stp>bse_cm|95KLM25</stp>
        <stp>LTT</stp>
        <tr r="I73" s="1"/>
      </tp>
      <tp t="s">
        <v>00:00:00</v>
        <stp/>
        <stp>bse_cm|85KFL25</stp>
        <stp>LTT</stp>
        <tr r="I641" s="1"/>
      </tp>
      <tp>
        <v>0</v>
        <stp/>
        <stp>bse_cm|85IFL26</stp>
        <stp>LTP</stp>
        <tr r="H1357" s="1"/>
      </tp>
      <tp>
        <v>0</v>
        <stp/>
        <stp>bse_cm|95KLM25</stp>
        <stp>LTP</stp>
        <tr r="H73" s="1"/>
      </tp>
      <tp>
        <v>0</v>
        <stp/>
        <stp>bse_cm|85KFL25</stp>
        <stp>LTP</stp>
        <tr r="H641" s="1"/>
      </tp>
      <tp>
        <v>1225.3</v>
        <stp/>
        <stp>nse_cm|DLSL25A-Y4</stp>
        <stp>Bid Rate</stp>
        <tr r="E1732" s="1"/>
      </tp>
      <tp>
        <v>915</v>
        <stp/>
        <stp>bse_cm|953EFSL31</stp>
        <stp>Prev Close</stp>
        <tr r="P191" s="1"/>
      </tp>
      <tp t="s">
        <v>00:00:00</v>
        <stp/>
        <stp>bse_cm|87SCL25</stp>
        <stp>LTT</stp>
        <tr r="I958" s="1"/>
      </tp>
      <tp t="s">
        <v>00:00:00</v>
        <stp/>
        <stp>bse_cm|87SCL27</stp>
        <stp>LTT</stp>
        <tr r="I978" s="1"/>
      </tp>
      <tp>
        <v>0</v>
        <stp/>
        <stp>bse_cm|87SCL25</stp>
        <stp>LTP</stp>
        <tr r="H958" s="1"/>
      </tp>
      <tp>
        <v>0</v>
        <stp/>
        <stp>bse_cm|87SCL27</stp>
        <stp>LTP</stp>
        <tr r="H978" s="1"/>
      </tp>
      <tp>
        <v>985</v>
        <stp/>
        <stp>nse_cm|985IIFL22-NC</stp>
        <stp xml:space="preserve">Low </stp>
        <tr r="O114" s="1"/>
      </tp>
      <tp>
        <v>1077</v>
        <stp/>
        <stp>nse_cm|98SCL27-ZX</stp>
        <stp>Bid Rate</stp>
        <tr r="E1378" s="1"/>
      </tp>
      <tp>
        <v>0</v>
        <stp/>
        <stp>nse_cm|875TCAPS29-NB</stp>
        <stp>Ask Qty</stp>
        <tr r="G934" s="1"/>
      </tp>
      <tp>
        <v>40</v>
        <stp/>
        <stp>nse_cm|885TCAPS29-NC</stp>
        <stp>Ask Qty</stp>
        <tr r="G13" s="1"/>
      </tp>
      <tp>
        <v>0</v>
        <stp/>
        <stp>nse_cm|855TCAPS27-N7</stp>
        <stp>Ask Qty</stp>
        <tr r="G1003" s="1"/>
      </tp>
      <tp>
        <v>40</v>
        <stp/>
        <stp>nse_cm|865TCAPS27-N8</stp>
        <stp>Ask Qty</stp>
        <tr r="G376" s="1"/>
      </tp>
      <tp>
        <v>0</v>
        <stp/>
        <stp>nse_cm|CIFCZC25-ND</stp>
        <stp>Ask Qty</stp>
        <tr r="G1435" s="1"/>
      </tp>
      <tp>
        <v>0</v>
        <stp/>
        <stp>nse_cm|CIFCZC26-NF</stp>
        <stp>Ask Qty</stp>
        <tr r="G1561" s="1"/>
      </tp>
      <tp>
        <v>47</v>
        <stp/>
        <stp>nse_cm|CIFCZC28-NH</stp>
        <stp>Ask Qty</stp>
        <tr r="G1607" s="1"/>
      </tp>
      <tp>
        <v>920</v>
        <stp/>
        <stp>bse_cm|890ICCL23A</stp>
        <stp xml:space="preserve">Low </stp>
        <tr r="O1486" s="1"/>
      </tp>
      <tp>
        <v>1050.2</v>
        <stp/>
        <stp>nse_cm|93SCL24-ZP</stp>
        <stp>Bid Rate</stp>
        <tr r="E1506" s="1"/>
      </tp>
      <tp>
        <v>1000</v>
        <stp/>
        <stp>bse_cm|KFL070824</stp>
        <stp>Face Value</stp>
        <tr r="Q551" s="1"/>
      </tp>
      <tp>
        <v>1000</v>
        <stp/>
        <stp>bse_cm|658PFCL31</stp>
        <stp>Face Value</stp>
        <tr r="Q1209" s="1"/>
      </tp>
      <tp>
        <v>1000</v>
        <stp/>
        <stp>bse_cm|707IRFC25</stp>
        <stp>Face Value</stp>
        <tr r="Q1653" s="1"/>
      </tp>
      <tp>
        <v>1000</v>
        <stp/>
        <stp>bse_cm|1090NFL26</stp>
        <stp>Face Value</stp>
        <tr r="Q364" s="1"/>
      </tp>
      <tp>
        <v>939.2</v>
        <stp/>
        <stp>nse_cm|875IHFL29-ND</stp>
        <stp xml:space="preserve">Low </stp>
        <tr r="O77" s="1"/>
      </tp>
      <tp>
        <v>1000</v>
        <stp/>
        <stp>bse_cm|MFCL30424</stp>
        <stp>Face Value</stp>
        <tr r="Q1606" s="1"/>
      </tp>
      <tp>
        <v>1000</v>
        <stp/>
        <stp>bse_cm|704IRFC26</stp>
        <stp>Face Value</stp>
        <tr r="Q557" s="1"/>
      </tp>
      <tp>
        <v>1000</v>
        <stp/>
        <stp>bse_cm|MFCL16924A</stp>
        <stp xml:space="preserve">Low </stp>
        <tr r="O1285" s="1"/>
      </tp>
      <tp>
        <v>1000</v>
        <stp/>
        <stp>bse_cm|1041KFL26</stp>
        <stp>Face Value</stp>
        <tr r="Q1031" s="1"/>
      </tp>
      <tp>
        <v>1000</v>
        <stp/>
        <stp>bse_cm|IFL190424</stp>
        <stp>Face Value</stp>
        <tr r="Q1663" s="1"/>
      </tp>
      <tp>
        <v>1000</v>
        <stp/>
        <stp>bse_cm|1040NFL26</stp>
        <stp>Face Value</stp>
        <tr r="Q1453" s="1"/>
      </tp>
      <tp>
        <v>1000</v>
        <stp/>
        <stp>bse_cm|1050NFL26</stp>
        <stp>Face Value</stp>
        <tr r="Q260" s="1"/>
      </tp>
      <tp>
        <v>1000</v>
        <stp/>
        <stp>bse_cm|1050SFL26</stp>
        <stp>Face Value</stp>
        <tr r="Q890" s="1"/>
      </tp>
      <tp>
        <v>1000</v>
        <stp/>
        <stp>bse_cm|755PFCL38</stp>
        <stp>Face Value</stp>
        <tr r="Q434" s="1"/>
      </tp>
      <tp>
        <v>1000</v>
        <stp/>
        <stp>bse_cm|105MMFL25</stp>
        <stp>Face Value</stp>
        <tr r="Q1171" s="1"/>
      </tp>
      <tp>
        <v>1000</v>
        <stp/>
        <stp>bse_cm|955MFCL30</stp>
        <stp>Face Value</stp>
        <tr r="Q1130" s="1"/>
      </tp>
      <tp>
        <v>1000</v>
        <stp/>
        <stp>bse_cm|105IIFL29</stp>
        <stp>Face Value</stp>
        <tr r="Q338" s="1"/>
      </tp>
      <tp>
        <v>1000</v>
        <stp/>
        <stp>bse_cm|805ABFL28</stp>
        <stp>Face Value</stp>
        <tr r="Q1371" s="1"/>
      </tp>
      <tp>
        <v>980</v>
        <stp/>
        <stp>bse_cm|MFCL16924C</stp>
        <stp xml:space="preserve">Low </stp>
        <tr r="O660" s="1"/>
      </tp>
      <tp>
        <v>1000</v>
        <stp/>
        <stp>bse_cm|1065NFL27</stp>
        <stp>Face Value</stp>
        <tr r="Q182" s="1"/>
      </tp>
      <tp>
        <v>0</v>
        <stp/>
        <stp>nse_cm|98SCL34-ZS</stp>
        <stp>Bid Rate</stp>
        <tr r="E1052" s="1"/>
      </tp>
      <tp>
        <v>0</v>
        <stp/>
        <stp>bse_cm|KFL070824D</stp>
        <stp xml:space="preserve">Low </stp>
        <tr r="O1310" s="1"/>
      </tp>
      <tp>
        <v>836.15</v>
        <stp/>
        <stp>bse_cm|950MFCL27D</stp>
        <stp xml:space="preserve">Low </stp>
        <tr r="O1496" s="1"/>
      </tp>
      <tp>
        <v>998.6</v>
        <stp/>
        <stp>bse_cm|MFCL16924B</stp>
        <stp xml:space="preserve">Low </stp>
        <tr r="O1284" s="1"/>
      </tp>
      <tp>
        <v>1000</v>
        <stp/>
        <stp>bse_cm|1075NFL25</stp>
        <stp>Face Value</stp>
        <tr r="Q643" s="1"/>
      </tp>
      <tp>
        <v>1000</v>
        <stp/>
        <stp>bse_cm|1071KFL25</stp>
        <stp>Face Value</stp>
        <tr r="Q1122" s="1"/>
      </tp>
      <tp>
        <v>1000</v>
        <stp/>
        <stp>bse_cm|957ICCL25</stp>
        <stp>Face Value</stp>
        <tr r="Q432" s="1"/>
      </tp>
      <tp>
        <v>1000</v>
        <stp/>
        <stp>bse_cm|957ICCL28</stp>
        <stp>Face Value</stp>
        <tr r="Q1572" s="1"/>
      </tp>
      <tp>
        <v>0</v>
        <stp/>
        <stp>bse_cm|KFL070824C</stp>
        <stp xml:space="preserve">Low </stp>
        <tr r="O1311" s="1"/>
      </tp>
      <tp>
        <v>1105</v>
        <stp/>
        <stp>nse_cm|985ICCL28-NO</stp>
        <stp xml:space="preserve">Low </stp>
        <tr r="O1605" s="1"/>
      </tp>
      <tp>
        <v>1000</v>
        <stp/>
        <stp>bse_cm|750PFCL38</stp>
        <stp>Face Value</stp>
        <tr r="Q1196" s="1"/>
      </tp>
      <tp>
        <v>1000</v>
        <stp/>
        <stp>bse_cm|750PFCL26</stp>
        <stp>Face Value</stp>
        <tr r="Q448" s="1"/>
      </tp>
      <tp>
        <v>1000</v>
        <stp/>
        <stp>bse_cm|875NHAI29</stp>
        <stp>Face Value</stp>
        <tr r="Q496" s="1"/>
      </tp>
      <tp>
        <v>1000</v>
        <stp/>
        <stp>bse_cm|950MFCL27</stp>
        <stp>Face Value</stp>
        <tr r="Q1148" s="1"/>
      </tp>
      <tp>
        <v>1000</v>
        <stp/>
        <stp>bse_cm|910CAGL25</stp>
        <stp>Face Value</stp>
        <tr r="Q351" s="1"/>
      </tp>
      <tp>
        <v>0</v>
        <stp/>
        <stp>bse_cm|KFL070824B</stp>
        <stp xml:space="preserve">Low </stp>
        <tr r="O1312" s="1"/>
      </tp>
      <tp>
        <v>0</v>
        <stp/>
        <stp>bse_cm|866ICCL23A</stp>
        <stp xml:space="preserve">Low </stp>
        <tr r="O1075" s="1"/>
      </tp>
      <tp>
        <v>1000.2</v>
        <stp/>
        <stp>nse_cm|1050NFL26-N7</stp>
        <stp xml:space="preserve">Low </stp>
        <tr r="O259" s="1"/>
      </tp>
      <tp>
        <v>980</v>
        <stp/>
        <stp>nse_cm|1050UCL25-N7</stp>
        <stp xml:space="preserve">Low </stp>
        <tr r="O201" s="1"/>
      </tp>
      <tp>
        <v>0</v>
        <stp/>
        <stp>bse_cm|KFL070824A</stp>
        <stp xml:space="preserve">Low </stp>
        <tr r="O1313" s="1"/>
      </tp>
      <tp>
        <v>925</v>
        <stp/>
        <stp>bse_cm|875MFCL26C</stp>
        <stp xml:space="preserve">Low </stp>
        <tr r="O309" s="1"/>
      </tp>
      <tp>
        <v>936.34</v>
        <stp/>
        <stp>bse_cm|EFS290424A</stp>
        <stp xml:space="preserve">Low </stp>
        <tr r="O571" s="1"/>
      </tp>
      <tp>
        <v>1000</v>
        <stp/>
        <stp>bse_cm|1025KFL25</stp>
        <stp>Face Value</stp>
        <tr r="Q638" s="1"/>
      </tp>
      <tp>
        <v>1000</v>
        <stp/>
        <stp>bse_cm|1025KFL27</stp>
        <stp>Face Value</stp>
        <tr r="Q767" s="1"/>
      </tp>
      <tp>
        <v>1000</v>
        <stp/>
        <stp>bse_cm|1025KFL26</stp>
        <stp>Face Value</stp>
        <tr r="Q768" s="1"/>
      </tp>
      <tp>
        <v>1000</v>
        <stp/>
        <stp>bse_cm|1025NFL25</stp>
        <stp>Face Value</stp>
        <tr r="Q624" s="1"/>
      </tp>
      <tp>
        <v>1000</v>
        <stp/>
        <stp>bse_cm|1025KFL29</stp>
        <stp>Face Value</stp>
        <tr r="Q196" s="1"/>
      </tp>
      <tp>
        <v>1000</v>
        <stp/>
        <stp>bse_cm|1025KFL28</stp>
        <stp>Face Value</stp>
        <tr r="Q626" s="1"/>
      </tp>
      <tp>
        <v>1000</v>
        <stp/>
        <stp>bse_cm|1025SFL29</stp>
        <stp>Face Value</stp>
        <tr r="Q1446" s="1"/>
      </tp>
      <tp>
        <v>1000</v>
        <stp/>
        <stp>bse_cm|1025SFL28</stp>
        <stp>Face Value</stp>
        <tr r="Q100" s="1"/>
      </tp>
      <tp>
        <v>1000</v>
        <stp/>
        <stp>bse_cm|1025SFL25</stp>
        <stp>Face Value</stp>
        <tr r="Q1071" s="1"/>
      </tp>
      <tp>
        <v>1000</v>
        <stp/>
        <stp>bse_cm|SFL270224</stp>
        <stp>Face Value</stp>
        <tr r="Q808" s="1"/>
      </tp>
      <tp>
        <v>979</v>
        <stp/>
        <stp>nse_cm|875IIFL26-NM</stp>
        <stp xml:space="preserve">Low </stp>
        <tr r="O640" s="1"/>
      </tp>
      <tp>
        <v>1000</v>
        <stp/>
        <stp>bse_cm|753PFCL33</stp>
        <stp>Face Value</stp>
        <tr r="Q426" s="1"/>
      </tp>
      <tp>
        <v>1000</v>
        <stp/>
        <stp>bse_cm|920NIDO26</stp>
        <stp>Face Value</stp>
        <tr r="Q166" s="1"/>
      </tp>
      <tp>
        <v>960</v>
        <stp/>
        <stp>bse_cm|1050KAFL28</stp>
        <stp xml:space="preserve">Low </stp>
        <tr r="O610" s="1"/>
      </tp>
      <tp>
        <v>0</v>
        <stp/>
        <stp>bse_cm|1075KAFL28</stp>
        <stp xml:space="preserve">Low </stp>
        <tr r="O1118" s="1"/>
      </tp>
      <tp>
        <v>970</v>
        <stp/>
        <stp>bse_cm|791JMFPL26</stp>
        <stp xml:space="preserve">Low </stp>
        <tr r="O276" s="1"/>
      </tp>
      <tp>
        <v>991.01</v>
        <stp/>
        <stp>nse_cm|925CAGL26-N9</stp>
        <stp xml:space="preserve">Low </stp>
        <tr r="O639" s="1"/>
      </tp>
      <tp>
        <v>945</v>
        <stp/>
        <stp>bse_cm|1075KAFL29</stp>
        <stp xml:space="preserve">Low </stp>
        <tr r="O125" s="1"/>
      </tp>
      <tp>
        <v>0</v>
        <stp/>
        <stp>bse_cm|790MMFSL27</stp>
        <stp xml:space="preserve">Low </stp>
        <tr r="O1189" s="1"/>
      </tp>
      <tp>
        <v>1150.5999999999999</v>
        <stp/>
        <stp>nse_cm|850NHAI29-N5</stp>
        <stp xml:space="preserve">Low </stp>
        <tr r="O512" s="1"/>
      </tp>
      <tp>
        <v>1000</v>
        <stp/>
        <stp>bse_cm|10MVAFL25</stp>
        <stp>Face Value</stp>
        <tr r="Q1675" s="1"/>
      </tp>
      <tp>
        <v>900.3</v>
        <stp/>
        <stp>nse_cm|948SCL27A-ZJ</stp>
        <stp>Bid Rate</stp>
        <tr r="E845" s="1"/>
      </tp>
      <tp t="s">
        <v>NSE</v>
        <stp/>
        <stp>nse_cm|92LTF29-N4</stp>
        <stp>Exchange</stp>
        <tr r="C1087" s="1"/>
      </tp>
      <tp>
        <v>0</v>
        <stp/>
        <stp>nse_cm|85IIFL25-NO</stp>
        <stp>% Change</stp>
        <tr r="J110" s="1"/>
      </tp>
      <tp>
        <v>1085</v>
        <stp/>
        <stp>nse_cm|105IIFL29-N7</stp>
        <stp xml:space="preserve">Low </stp>
        <tr r="O270" s="1"/>
      </tp>
      <tp>
        <v>1052.8</v>
        <stp/>
        <stp>nse_cm|825IIFL25-N7</stp>
        <stp xml:space="preserve">Low </stp>
        <tr r="O49" s="1"/>
      </tp>
      <tp>
        <v>819.8</v>
        <stp/>
        <stp>bse_cm|9KFL26A</stp>
        <stp>Bid Rate</stp>
        <tr r="E1083" s="1"/>
      </tp>
      <tp>
        <v>952</v>
        <stp/>
        <stp>bse_cm|9MFL30A</stp>
        <stp>Bid Rate</stp>
        <tr r="E289" s="1"/>
      </tp>
      <tp>
        <v>0.79</v>
        <stp/>
        <stp>nse_cm|956AEL29-N6</stp>
        <stp>% Change</stp>
        <tr r="J298" s="1"/>
      </tp>
      <tp>
        <v>975</v>
        <stp/>
        <stp>nse_cm|965IFSL26-N6</stp>
        <stp xml:space="preserve">Low </stp>
        <tr r="O1346" s="1"/>
      </tp>
      <tp>
        <v>0</v>
        <stp/>
        <stp>bse_cm|875PCHFL31</stp>
        <stp xml:space="preserve">Low </stp>
        <tr r="O1172" s="1"/>
      </tp>
      <tp>
        <v>981</v>
        <stp/>
        <stp>nse_cm|945IFSL25-N4</stp>
        <stp xml:space="preserve">Low </stp>
        <tr r="O453" s="1"/>
      </tp>
      <tp>
        <v>0</v>
        <stp/>
        <stp>bse_cm|77IGT28</stp>
        <stp>Open</stp>
        <tr r="M1191" s="1"/>
      </tp>
      <tp>
        <v>815.9</v>
        <stp/>
        <stp>bse_cm|9KFL26B</stp>
        <stp>Bid Rate</stp>
        <tr r="E667" s="1"/>
      </tp>
      <tp>
        <v>960.2</v>
        <stp/>
        <stp>bse_cm|MFLOPTII24</stp>
        <stp>Bid Rate</stp>
        <tr r="E559" s="1"/>
      </tp>
      <tp>
        <v>998</v>
        <stp/>
        <stp>nse_cm|945CAGL24-N1</stp>
        <stp xml:space="preserve">Low </stp>
        <tr r="O1704" s="1"/>
      </tp>
      <tp>
        <v>1020</v>
        <stp/>
        <stp>nse_cm|805ABFL28-N2</stp>
        <stp xml:space="preserve">Low </stp>
        <tr r="O477" s="1"/>
      </tp>
      <tp>
        <v>0</v>
        <stp/>
        <stp>bse_cm|MFOPTIV24</stp>
        <stp>ATP</stp>
        <tr r="K380" s="1"/>
      </tp>
      <tp>
        <v>811</v>
        <stp/>
        <stp>nse_cm|888SCL26A-ZC</stp>
        <stp>Bid Rate</stp>
        <tr r="E839" s="1"/>
      </tp>
      <tp>
        <v>959</v>
        <stp/>
        <stp>nse_cm|925ERFL28-N6</stp>
        <stp xml:space="preserve">Low </stp>
        <tr r="O165" s="1"/>
      </tp>
      <tp t="s">
        <v>INE039A07801</v>
        <stp/>
        <stp>bse_cm|99IFCI24</stp>
        <stp>Isin code</stp>
        <tr r="R41" s="1"/>
      </tp>
      <tp>
        <v>1000</v>
        <stp/>
        <stp>bse_cm|1025KAFL25</stp>
        <stp xml:space="preserve">Low </stp>
        <tr r="O770" s="1"/>
      </tp>
      <tp>
        <v>0</v>
        <stp/>
        <stp>bse_cm|1050KAFL25</stp>
        <stp xml:space="preserve">Low </stp>
        <tr r="O1161" s="1"/>
      </tp>
      <tp>
        <v>987</v>
        <stp/>
        <stp>bse_cm|1075KLMA28</stp>
        <stp xml:space="preserve">Low </stp>
        <tr r="O1116" s="1"/>
      </tp>
      <tp>
        <v>970</v>
        <stp/>
        <stp>bse_cm|1050KLMA28</stp>
        <stp xml:space="preserve">Low </stp>
        <tr r="O611" s="1"/>
      </tp>
      <tp>
        <v>0</v>
        <stp/>
        <stp>bse_cm|87LTF27</stp>
        <stp>Open</stp>
        <tr r="M412" s="1"/>
      </tp>
      <tp>
        <v>0</v>
        <stp/>
        <stp>bse_cm|1125KAFL27</stp>
        <stp xml:space="preserve">Low </stp>
        <tr r="O1228" s="1"/>
      </tp>
      <tp>
        <v>0</v>
        <stp/>
        <stp>bse_cm|1025KAFL27</stp>
        <stp xml:space="preserve">Low </stp>
        <tr r="O769" s="1"/>
      </tp>
      <tp>
        <v>0</v>
        <stp/>
        <stp>bse_cm|1050KAFL27</stp>
        <stp xml:space="preserve">Low </stp>
        <tr r="O1160" s="1"/>
      </tp>
      <tp>
        <v>0</v>
        <stp/>
        <stp>bse_cm|87SCL25</stp>
        <stp>Open</stp>
        <tr r="M958" s="1"/>
      </tp>
      <tp>
        <v>327</v>
        <stp/>
        <stp>bse_cm|967EFS28</stp>
        <stp>Ask Qty</stp>
        <tr r="G190" s="1"/>
      </tp>
      <tp>
        <v>1082.0999999999999</v>
        <stp/>
        <stp>bse_cm|95MMFSL29</stp>
        <stp>Prev Close</stp>
        <tr r="P353" s="1"/>
      </tp>
      <tp>
        <v>1000</v>
        <stp/>
        <stp>bse_cm|1025MMFL26</stp>
        <stp>High</stp>
        <tr r="N320" s="1"/>
      </tp>
      <tp>
        <v>0</v>
        <stp/>
        <stp>bse_cm|87SCL27</stp>
        <stp>Open</stp>
        <tr r="M978" s="1"/>
      </tp>
      <tp>
        <v>0</v>
        <stp/>
        <stp>bse_cm|KAFL28A</stp>
        <stp>ATP</stp>
        <tr r="K1319" s="1"/>
      </tp>
      <tp t="s">
        <v>INE532F07FB7</v>
        <stp/>
        <stp>bse_cm|10EFSL34</stp>
        <stp>Isin code</stp>
        <tr r="R164" s="1"/>
      </tp>
      <tp t="s">
        <v>INE532F07FX1</v>
        <stp/>
        <stp>bse_cm|11EFSL34</stp>
        <stp>Isin code</stp>
        <tr r="R1429" s="1"/>
      </tp>
      <tp t="s">
        <v>NSE</v>
        <stp/>
        <stp>nse_cm|902SCL26A-NM</stp>
        <stp>Exchange</stp>
        <tr r="C904" s="1"/>
      </tp>
      <tp>
        <v>1000</v>
        <stp/>
        <stp>bse_cm|104SMCGS29</stp>
        <stp>High</stp>
        <tr r="N206" s="1"/>
      </tp>
      <tp>
        <v>0</v>
        <stp/>
        <stp>bse_cm|97SFL26</stp>
        <stp>Open</stp>
        <tr r="M405" s="1"/>
      </tp>
      <tp t="e">
        <v>#N/A</v>
        <stp/>
        <stp>bse_cm|1025MHFL24</stp>
        <stp>High</stp>
        <tr r="N29" s="1"/>
      </tp>
      <tp t="e">
        <v>#N/A</v>
        <stp/>
        <stp>bse_cm|1065MHFL24</stp>
        <stp>High</stp>
        <tr r="N36" s="1"/>
      </tp>
      <tp>
        <v>10</v>
        <stp/>
        <stp>bse_cm|9SCL26BA</stp>
        <stp>Ask Qty</stp>
        <tr r="G160" s="1"/>
      </tp>
      <tp>
        <v>-100</v>
        <stp/>
        <stp>bse_cm|MML28A</stp>
        <stp>% Change</stp>
        <tr r="J1249" s="1"/>
      </tp>
      <tp>
        <v>-100</v>
        <stp/>
        <stp>bse_cm|MFL28D</stp>
        <stp>% Change</stp>
        <tr r="J1276" s="1"/>
      </tp>
      <tp t="s">
        <v>00:00:00</v>
        <stp/>
        <stp>bse_cm|8ABFL26</stp>
        <stp>LTT</stp>
        <tr r="I539" s="1"/>
      </tp>
      <tp>
        <v>0</v>
        <stp/>
        <stp>bse_cm|8ABFL26</stp>
        <stp>LTP</stp>
        <tr r="H539" s="1"/>
      </tp>
      <tp>
        <v>0</v>
        <stp/>
        <stp>bse_cm|728IREDA26</stp>
        <stp>Open</stp>
        <tr r="M1203" s="1"/>
      </tp>
      <tp>
        <v>1145</v>
        <stp/>
        <stp>nse_cm|735PFCL35-N1</stp>
        <stp xml:space="preserve">Low </stp>
        <tr r="O26" s="1"/>
      </tp>
      <tp>
        <v>0</v>
        <stp/>
        <stp>bse_cm|97SFL29</stp>
        <stp>Open</stp>
        <tr r="M21" s="1"/>
      </tp>
      <tp>
        <v>-100</v>
        <stp/>
        <stp>bse_cm|MFL28A</stp>
        <stp>% Change</stp>
        <tr r="J1620" s="1"/>
      </tp>
      <tp>
        <v>0</v>
        <stp/>
        <stp>bse_cm|102SMCGS27</stp>
        <stp>High</stp>
        <tr r="N1017" s="1"/>
      </tp>
      <tp>
        <v>974.5</v>
        <stp/>
        <stp>bse_cm|MFCL160924</stp>
        <stp>High</stp>
        <tr r="N572" s="1"/>
      </tp>
      <tp>
        <v>0</v>
        <stp/>
        <stp>bse_cm|753IREDA26</stp>
        <stp>Open</stp>
        <tr r="M487" s="1"/>
      </tp>
      <tp>
        <v>0</v>
        <stp/>
        <stp>bse_cm|97SFL28</stp>
        <stp>Open</stp>
        <tr r="M23" s="1"/>
      </tp>
      <tp>
        <v>900</v>
        <stp/>
        <stp>nse_cm|1035UCL26-NA</stp>
        <stp>High</stp>
        <tr r="N1627" s="1"/>
      </tp>
      <tp>
        <v>-100</v>
        <stp/>
        <stp>bse_cm|MFL28B</stp>
        <stp>% Change</stp>
        <tr r="J1277" s="1"/>
      </tp>
      <tp>
        <v>0</v>
        <stp/>
        <stp>nse_cm|1050SCL30-NU</stp>
        <stp xml:space="preserve">Low </stp>
        <tr r="O893" s="1"/>
      </tp>
      <tp>
        <v>1029</v>
        <stp/>
        <stp>nse_cm|97SFL26-Z9</stp>
        <stp>Bid Rate</stp>
        <tr r="E438" s="1"/>
      </tp>
      <tp>
        <v>5000</v>
        <stp/>
        <stp>nse_cm|888NHB29-N5</stp>
        <stp>Face Value</stp>
        <tr r="Q504" s="1"/>
      </tp>
      <tp>
        <v>5000</v>
        <stp/>
        <stp>nse_cm|893NHB29-N6</stp>
        <stp>Face Value</stp>
        <tr r="Q529" s="1"/>
      </tp>
      <tp>
        <v>5000</v>
        <stp/>
        <stp>nse_cm|868NHB29-N3</stp>
        <stp>Face Value</stp>
        <tr r="Q1342" s="1"/>
      </tp>
      <tp>
        <v>935.07</v>
        <stp/>
        <stp>bse_cm|916NWIL27</stp>
        <stp>Bid Rate</stp>
        <tr r="E209" s="1"/>
      </tp>
      <tp>
        <v>911</v>
        <stp/>
        <stp>bse_cm|955NWIL27</stp>
        <stp>Bid Rate</stp>
        <tr r="E1480" s="1"/>
      </tp>
      <tp>
        <v>5.21</v>
        <stp/>
        <stp>bse_cm|849NTPC25</stp>
        <stp>Bid Rate</stp>
        <tr r="E443" s="1"/>
      </tp>
      <tp>
        <v>996.2</v>
        <stp/>
        <stp>bse_cm|915NWIL25</stp>
        <stp>Bid Rate</stp>
        <tr r="E620" s="1"/>
      </tp>
      <tp t="s">
        <v>BSE</v>
        <stp/>
        <stp>bse_cm|565PFCL26</stp>
        <stp>Exchange</stp>
        <tr r="C1210" s="1"/>
      </tp>
      <tp>
        <v>1000</v>
        <stp/>
        <stp>nse_cm|925AEL26-N1</stp>
        <stp>Face Value</stp>
        <tr r="Q330" s="1"/>
      </tp>
      <tp t="s">
        <v>BSE</v>
        <stp/>
        <stp>bse_cm|745PFCL26</stp>
        <stp>Exchange</stp>
        <tr r="C1200" s="1"/>
      </tp>
      <tp t="s">
        <v>BSE</v>
        <stp/>
        <stp>bse_cm|750PFCL26</stp>
        <stp>Exchange</stp>
        <tr r="C448" s="1"/>
      </tp>
      <tp>
        <v>1055</v>
        <stp/>
        <stp>bse_cm|910TCAP28</stp>
        <stp>Ask Rate</stp>
        <tr r="F409" s="1"/>
      </tp>
      <tp>
        <v>-100</v>
        <stp/>
        <stp>nse_cm|1048IIFL27-N6</stp>
        <stp>% Change</stp>
        <tr r="J997" s="1"/>
      </tp>
      <tp>
        <v>1020</v>
        <stp/>
        <stp>bse_cm|729NHAI26</stp>
        <stp>Bid Rate</stp>
        <tr r="E348" s="1"/>
      </tp>
      <tp>
        <v>1052.01</v>
        <stp/>
        <stp>bse_cm|739NHAI26</stp>
        <stp>Bid Rate</stp>
        <tr r="E442" s="1"/>
      </tp>
      <tp>
        <v>0</v>
        <stp/>
        <stp>bse_cm|704NHAI26</stp>
        <stp>Bid Rate</stp>
        <tr r="E1204" s="1"/>
      </tp>
      <tp>
        <v>1050.01</v>
        <stp/>
        <stp>bse_cm|714NHAI26</stp>
        <stp>Bid Rate</stp>
        <tr r="E1662" s="1"/>
      </tp>
      <tp>
        <v>1165</v>
        <stp/>
        <stp>bse_cm|875NHAI29</stp>
        <stp>Bid Rate</stp>
        <tr r="E496" s="1"/>
      </tp>
      <tp>
        <v>1156.01</v>
        <stp/>
        <stp>bse_cm|850NHAI29</stp>
        <stp>Bid Rate</stp>
        <tr r="E580" s="1"/>
      </tp>
      <tp>
        <v>915</v>
        <stp/>
        <stp>bse_cm|967NIDO28</stp>
        <stp>Bid Rate</stp>
        <tr r="E227" s="1"/>
      </tp>
      <tp>
        <v>1015.1</v>
        <stp/>
        <stp>bse_cm|93MOFSL34</stp>
        <stp>Bid Rate</stp>
        <tr r="E312" s="1"/>
      </tp>
      <tp>
        <v>1001.5</v>
        <stp/>
        <stp>bse_cm|97MOFSL34</stp>
        <stp>Bid Rate</stp>
        <tr r="E1600" s="1"/>
      </tp>
      <tp t="s">
        <v>774IREDA31</v>
        <stp/>
        <stp>bse_cm|774IREDA31</stp>
        <stp>Trading Symbol</stp>
        <tr r="B17" s="1"/>
      </tp>
      <tp>
        <v>1016.11</v>
        <stp/>
        <stp>bse_cm|905NIDO25</stp>
        <stp>Bid Rate</stp>
        <tr r="E60" s="1"/>
      </tp>
      <tp>
        <v>963</v>
        <stp/>
        <stp>bse_cm|895NHFL25</stp>
        <stp>Bid Rate</stp>
        <tr r="E54" s="1"/>
      </tp>
      <tp>
        <v>977</v>
        <stp/>
        <stp>bse_cm|870NIDO25</stp>
        <stp>Bid Rate</stp>
        <tr r="E86" s="1"/>
      </tp>
      <tp>
        <v>1000</v>
        <stp/>
        <stp>nse_cm|833SCL24-ZE</stp>
        <stp>Prev Close</stp>
        <tr r="P957" s="1"/>
      </tp>
      <tp>
        <v>0</v>
        <stp/>
        <stp>nse_cm|857SCL24-ZQ</stp>
        <stp>Prev Close</stp>
        <tr r="P975" s="1"/>
      </tp>
      <tp>
        <v>1000</v>
        <stp/>
        <stp>nse_cm|865SCL24-ZA</stp>
        <stp>Prev Close</stp>
        <tr r="P954" s="1"/>
      </tp>
      <tp>
        <v>993</v>
        <stp/>
        <stp>nse_cm|894SCL24-ZR</stp>
        <stp>Prev Close</stp>
        <tr r="P661" s="1"/>
      </tp>
      <tp>
        <v>1000.5</v>
        <stp/>
        <stp>bse_cm|MFLIII25C</stp>
        <stp>Bid Rate</stp>
        <tr r="E213" s="1"/>
      </tp>
      <tp>
        <v>968</v>
        <stp/>
        <stp>bse_cm|950NHFL26</stp>
        <stp>Bid Rate</stp>
        <tr r="E582" s="1"/>
      </tp>
      <tp>
        <v>941</v>
        <stp/>
        <stp>bse_cm|958NIDO27</stp>
        <stp>Bid Rate</stp>
        <tr r="E1402" s="1"/>
      </tp>
      <tp>
        <v>945</v>
        <stp/>
        <stp>bse_cm|955NIDO27</stp>
        <stp>Bid Rate</stp>
        <tr r="E51" s="1"/>
      </tp>
      <tp>
        <v>927</v>
        <stp/>
        <stp>bse_cm|915NIDO27</stp>
        <stp>Bid Rate</stp>
        <tr r="E59" s="1"/>
      </tp>
      <tp>
        <v>1000</v>
        <stp/>
        <stp>nse_cm|980SCL34-Z7</stp>
        <stp>Prev Close</stp>
        <tr r="P884" s="1"/>
      </tp>
      <tp>
        <v>934</v>
        <stp/>
        <stp>bse_cm|958NHFL27</stp>
        <stp>Bid Rate</stp>
        <tr r="E616" s="1"/>
      </tp>
      <tp>
        <v>930</v>
        <stp/>
        <stp>bse_cm|960NIDO26</stp>
        <stp>Bid Rate</stp>
        <tr r="E870" s="1"/>
      </tp>
      <tp>
        <v>942</v>
        <stp/>
        <stp>bse_cm|957NIDO26</stp>
        <stp>Bid Rate</stp>
        <tr r="E329" s="1"/>
      </tp>
      <tp>
        <v>944</v>
        <stp/>
        <stp>bse_cm|920NIDO26</stp>
        <stp>Bid Rate</stp>
        <tr r="E166" s="1"/>
      </tp>
      <tp t="s">
        <v>KAFLZC28</v>
        <stp/>
        <stp>bse_cm|KAFLZC28</stp>
        <stp>Trading Symbol</stp>
        <tr r="B1315" s="1"/>
      </tp>
      <tp t="s">
        <v>KAFLZC26</v>
        <stp/>
        <stp>bse_cm|KAFLZC26</stp>
        <stp>Trading Symbol</stp>
        <tr r="B1316" s="1"/>
      </tp>
      <tp t="s">
        <v>KAFLZC30</v>
        <stp/>
        <stp>bse_cm|KAFLZC30</stp>
        <stp>Trading Symbol</stp>
        <tr r="B1314" s="1"/>
      </tp>
      <tp>
        <v>0</v>
        <stp/>
        <stp>bse_cm|SFL27A</stp>
        <stp>ATP</stp>
        <tr r="K804" s="1"/>
      </tp>
      <tp>
        <v>0</v>
        <stp/>
        <stp>bse_cm|MML110924</stp>
        <stp>Open</stp>
        <tr r="M1257" s="1"/>
      </tp>
      <tp t="s">
        <v>MFCL30424C</v>
        <stp/>
        <stp>bse_cm|MFCL30424C</stp>
        <stp>Trading Symbol</stp>
        <tr r="B1552" s="1"/>
      </tp>
      <tp t="s">
        <v>MFCL30424B</v>
        <stp/>
        <stp>bse_cm|MFCL30424B</stp>
        <stp>Trading Symbol</stp>
        <tr r="B1282" s="1"/>
      </tp>
      <tp t="s">
        <v>MFCL30424A</v>
        <stp/>
        <stp>bse_cm|MFCL30424A</stp>
        <stp>Trading Symbol</stp>
        <tr r="B1283" s="1"/>
      </tp>
      <tp t="s">
        <v>MFCL30424D</v>
        <stp/>
        <stp>bse_cm|MFCL30424D</stp>
        <stp>Trading Symbol</stp>
        <tr r="B1281" s="1"/>
      </tp>
      <tp>
        <v>0</v>
        <stp/>
        <stp>bse_cm|SFL26A</stp>
        <stp>ATP</stp>
        <tr r="K810" s="1"/>
      </tp>
      <tp>
        <v>0</v>
        <stp/>
        <stp>bse_cm|SFL25A</stp>
        <stp>ATP</stp>
        <tr r="K812" s="1"/>
      </tp>
      <tp>
        <v>0</v>
        <stp/>
        <stp>bse_cm|SFL25B</stp>
        <stp>ATP</stp>
        <tr r="K1433" s="1"/>
      </tp>
      <tp>
        <v>0</v>
        <stp/>
        <stp>bse_cm|SCL25A</stp>
        <stp>ATP</stp>
        <tr r="K1238" s="1"/>
      </tp>
      <tp>
        <v>0</v>
        <stp/>
        <stp>bse_cm|SCL25B</stp>
        <stp>ATP</stp>
        <tr r="K1544" s="1"/>
      </tp>
      <tp>
        <v>952.8</v>
        <stp/>
        <stp>bse_cm|890MFL26A</stp>
        <stp>Bid Rate</stp>
        <tr r="E698" s="1"/>
      </tp>
      <tp>
        <v>962</v>
        <stp/>
        <stp>bse_cm|875MFL26A</stp>
        <stp>Bid Rate</stp>
        <tr r="E286" s="1"/>
      </tp>
      <tp>
        <v>835</v>
        <stp/>
        <stp>bse_cm|865MFL26A</stp>
        <stp>Bid Rate</stp>
        <tr r="E242" s="1"/>
      </tp>
      <tp>
        <v>0</v>
        <stp/>
        <stp>bse_cm|SCL24A</stp>
        <stp>ATP</stp>
        <tr r="K1749" s="1"/>
      </tp>
      <tp>
        <v>840.2</v>
        <stp/>
        <stp>bse_cm|927MFL26A</stp>
        <stp>Bid Rate</stp>
        <tr r="E617" s="1"/>
      </tp>
      <tp>
        <v>0</v>
        <stp/>
        <stp>bse_cm|IML160224</stp>
        <stp>Open</stp>
        <tr r="M1329" s="1"/>
      </tp>
      <tp>
        <v>0</v>
        <stp/>
        <stp>bse_cm|1041KFL26</stp>
        <stp>Open</stp>
        <tr r="M1031" s="1"/>
      </tp>
      <tp>
        <v>0</v>
        <stp/>
        <stp>bse_cm|1071KFL25</stp>
        <stp>Open</stp>
        <tr r="M1122" s="1"/>
      </tp>
      <tp t="s">
        <v>1015SCFL29</v>
        <stp/>
        <stp>bse_cm|1015SCFL29</stp>
        <stp>Trading Symbol</stp>
        <tr r="B1355" s="1"/>
      </tp>
      <tp>
        <v>0</v>
        <stp/>
        <stp>bse_cm|IFL190424</stp>
        <stp>Open</stp>
        <tr r="M1663" s="1"/>
      </tp>
      <tp>
        <v>0</v>
        <stp/>
        <stp>bse_cm|CCI110324</stp>
        <stp>Open</stp>
        <tr r="M755" s="1"/>
      </tp>
      <tp>
        <v>0</v>
        <stp/>
        <stp>bse_cm|AEL120924</stp>
        <stp>Open</stp>
        <tr r="M1062" s="1"/>
      </tp>
      <tp t="s">
        <v>BSE</v>
        <stp/>
        <stp>bse_cm|940SCL26C</stp>
        <stp>Exchange</stp>
        <tr r="C794" s="1"/>
      </tp>
      <tp t="s">
        <v>BSE</v>
        <stp/>
        <stp>bse_cm|925SCL26C</stp>
        <stp>Exchange</stp>
        <tr r="C725" s="1"/>
      </tp>
      <tp t="s">
        <v>85PCHFL26</v>
        <stp/>
        <stp>nse_cm|85PCHFL26-N7</stp>
        <stp>Symbol</stp>
        <tr r="A712" s="1"/>
      </tp>
      <tp>
        <v>0</v>
        <stp/>
        <stp>bse_cm|MFL29A</stp>
        <stp>ATP</stp>
        <tr r="K1380" s="1"/>
      </tp>
      <tp t="s">
        <v>850IIFL27</v>
        <stp/>
        <stp>nse_cm|850IIFL27-NA</stp>
        <stp>Symbol</stp>
        <tr r="A608" s="1"/>
      </tp>
      <tp t="s">
        <v>BSE</v>
        <stp/>
        <stp>bse_cm|940SCL26B</stp>
        <stp>Exchange</stp>
        <tr r="C905" s="1"/>
      </tp>
      <tp t="s">
        <v>BSE</v>
        <stp/>
        <stp>bse_cm|948SCL26B</stp>
        <stp>Exchange</stp>
        <tr r="C470" s="1"/>
      </tp>
      <tp t="s">
        <v>BSE</v>
        <stp/>
        <stp>bse_cm|925SCL26B</stp>
        <stp>Exchange</stp>
        <tr r="C1360" s="1"/>
      </tp>
      <tp t="s">
        <v>BSE</v>
        <stp/>
        <stp>bse_cm|990SCL26B</stp>
        <stp>Exchange</stp>
        <tr r="C1048" s="1"/>
      </tp>
      <tp>
        <v>0</v>
        <stp/>
        <stp>bse_cm|MML28A</stp>
        <stp>ATP</stp>
        <tr r="K1249" s="1"/>
      </tp>
      <tp>
        <v>0</v>
        <stp/>
        <stp>bse_cm|MFL28A</stp>
        <stp>ATP</stp>
        <tr r="K1620" s="1"/>
      </tp>
      <tp>
        <v>0</v>
        <stp/>
        <stp>bse_cm|MFL28B</stp>
        <stp>ATP</stp>
        <tr r="K1277" s="1"/>
      </tp>
      <tp>
        <v>0</v>
        <stp/>
        <stp>bse_cm|MFL28D</stp>
        <stp>ATP</stp>
        <tr r="K1276" s="1"/>
      </tp>
      <tp t="s">
        <v>BSE</v>
        <stp/>
        <stp>bse_cm|965SCL26A</stp>
        <stp>Exchange</stp>
        <tr r="C1481" s="1"/>
      </tp>
      <tp t="s">
        <v>BSE</v>
        <stp/>
        <stp>bse_cm|940SCL26A</stp>
        <stp>Exchange</stp>
        <tr r="C920" s="1"/>
      </tp>
      <tp t="s">
        <v>BSE</v>
        <stp/>
        <stp>bse_cm|948SCL26A</stp>
        <stp>Exchange</stp>
        <tr r="C494" s="1"/>
      </tp>
      <tp t="s">
        <v>BSE</v>
        <stp/>
        <stp>bse_cm|925SCL26A</stp>
        <stp>Exchange</stp>
        <tr r="C990" s="1"/>
      </tp>
      <tp t="s">
        <v>BSE</v>
        <stp/>
        <stp>bse_cm|902SCL26A</stp>
        <stp>Exchange</stp>
        <tr r="C967" s="1"/>
      </tp>
      <tp t="s">
        <v>BSE</v>
        <stp/>
        <stp>bse_cm|990SCL26A</stp>
        <stp>Exchange</stp>
        <tr r="C1057" s="1"/>
      </tp>
      <tp t="s">
        <v>957NIDO26</v>
        <stp/>
        <stp>nse_cm|957NIDO26-N5</stp>
        <stp>Symbol</stp>
        <tr r="A255" s="1"/>
      </tp>
      <tp t="s">
        <v>BSE</v>
        <stp/>
        <stp>bse_cm|888SCL26A</stp>
        <stp>Exchange</stp>
        <tr r="C840" s="1"/>
      </tp>
      <tp t="s">
        <v>84CIFCL28</v>
        <stp/>
        <stp>nse_cm|84CIFCL28-NA</stp>
        <stp>Symbol</stp>
        <tr r="A388" s="1"/>
      </tp>
      <tp>
        <v>1169.99</v>
        <stp/>
        <stp>bse_cm|IML28C</stp>
        <stp>ATP</stp>
        <tr r="K1648" s="1"/>
      </tp>
      <tp t="s">
        <v>INE860H07IR8</v>
        <stp/>
        <stp>bse_cm|ABFL26</stp>
        <stp>Isin code</stp>
        <tr r="R1064" s="1"/>
      </tp>
      <tp t="s">
        <v>INE01I507828</v>
        <stp/>
        <stp>bse_cm|KAFL25</stp>
        <stp>Isin code</stp>
        <tr r="R1321" s="1"/>
      </tp>
      <tp t="s">
        <v>BSE</v>
        <stp/>
        <stp>bse_cm|948SCL26D</stp>
        <stp>Exchange</stp>
        <tr r="C1081" s="1"/>
      </tp>
      <tp t="s">
        <v>BSE</v>
        <stp/>
        <stp>bse_cm|931SFL26A</stp>
        <stp>Exchange</stp>
        <tr r="C1086" s="1"/>
      </tp>
      <tp t="s">
        <v>BSE</v>
        <stp/>
        <stp>bse_cm|925SCL26D</stp>
        <stp>Exchange</stp>
        <tr r="C619" s="1"/>
      </tp>
      <tp t="s">
        <v>BSE</v>
        <stp/>
        <stp>bse_cm|990SCL26D</stp>
        <stp>Exchange</stp>
        <tr r="C1534" s="1"/>
      </tp>
      <tp>
        <v>0</v>
        <stp/>
        <stp>bse_cm|KFL28D</stp>
        <stp>ATP</stp>
        <tr r="K1299" s="1"/>
      </tp>
      <tp t="s">
        <v>INE741K07561</v>
        <stp/>
        <stp>bse_cm|CAGL25</stp>
        <stp>Isin code</stp>
        <tr r="R1061" s="1"/>
      </tp>
      <tp t="s">
        <v>820IIFL27</v>
        <stp/>
        <stp>nse_cm|820IIFL27-N9</stp>
        <stp>Symbol</stp>
        <tr r="A266" s="1"/>
      </tp>
      <tp>
        <v>0</v>
        <stp/>
        <stp>bse_cm|KFL27A</stp>
        <stp>ATP</stp>
        <tr r="K1302" s="1"/>
      </tp>
      <tp>
        <v>0</v>
        <stp/>
        <stp>bse_cm|KFL27B</stp>
        <stp>ATP</stp>
        <tr r="K1301" s="1"/>
      </tp>
      <tp>
        <v>0</v>
        <stp/>
        <stp>bse_cm|KFL27C</stp>
        <stp>ATP</stp>
        <tr r="K1300" s="1"/>
      </tp>
      <tp>
        <v>0</v>
        <stp/>
        <stp>bse_cm|KFL26A</stp>
        <stp>ATP</stp>
        <tr r="K1372" s="1"/>
      </tp>
      <tp>
        <v>0</v>
        <stp/>
        <stp>bse_cm|KFL26B</stp>
        <stp>ATP</stp>
        <tr r="K1305" s="1"/>
      </tp>
      <tp>
        <v>0</v>
        <stp/>
        <stp>bse_cm|KFL26C</stp>
        <stp>ATP</stp>
        <tr r="K1304" s="1"/>
      </tp>
      <tp t="s">
        <v>BSE</v>
        <stp/>
        <stp>bse_cm|948SCL26I</stp>
        <stp>Exchange</stp>
        <tr r="C1080" s="1"/>
      </tp>
      <tp t="s">
        <v>BSE</v>
        <stp/>
        <stp>bse_cm|902SCL26I</stp>
        <stp>Exchange</stp>
        <tr r="C903" s="1"/>
      </tp>
      <tp t="s">
        <v>BSE</v>
        <stp/>
        <stp>bse_cm|990SCL26I</stp>
        <stp>Exchange</stp>
        <tr r="C797" s="1"/>
      </tp>
      <tp>
        <v>0</v>
        <stp/>
        <stp>bse_cm|KFL25A</stp>
        <stp>ATP</stp>
        <tr r="K1703" s="1"/>
      </tp>
      <tp>
        <v>0</v>
        <stp/>
        <stp>bse_cm|MFL23A</stp>
        <stp>ATP</stp>
        <tr r="K1560" s="1"/>
      </tp>
      <tp>
        <v>0</v>
        <stp/>
        <stp>bse_cm|KFL25B</stp>
        <stp>ATP</stp>
        <tr r="K1308" s="1"/>
      </tp>
      <tp>
        <v>0</v>
        <stp/>
        <stp>bse_cm|KFL25C</stp>
        <stp>ATP</stp>
        <tr r="K1307" s="1"/>
      </tp>
      <tp>
        <v>0</v>
        <stp/>
        <stp>bse_cm|KFL25D</stp>
        <stp>ATP</stp>
        <tr r="K1688" s="1"/>
      </tp>
      <tp>
        <v>0</v>
        <stp/>
        <stp>bse_cm|1050SCL30</stp>
        <stp>Open</stp>
        <tr r="M867" s="1"/>
      </tp>
      <tp>
        <v>0</v>
        <stp/>
        <stp>bse_cm|1050SCL31</stp>
        <stp>Open</stp>
        <tr r="M892" s="1"/>
      </tp>
      <tp>
        <v>0</v>
        <stp/>
        <stp>bse_cm|MML25C</stp>
        <stp>ATP</stp>
        <tr r="K1251" s="1"/>
      </tp>
      <tp>
        <v>0</v>
        <stp/>
        <stp>bse_cm|MML25B</stp>
        <stp>ATP</stp>
        <tr r="K1498" s="1"/>
      </tp>
      <tp>
        <v>0</v>
        <stp/>
        <stp>bse_cm|MML25A</stp>
        <stp>ATP</stp>
        <tr r="K1252" s="1"/>
      </tp>
      <tp>
        <v>0</v>
        <stp/>
        <stp>bse_cm|MFL25A</stp>
        <stp>ATP</stp>
        <tr r="K1692" s="1"/>
      </tp>
      <tp>
        <v>0</v>
        <stp/>
        <stp>bse_cm|MFL25B</stp>
        <stp>ATP</stp>
        <tr r="K1667" s="1"/>
      </tp>
      <tp>
        <v>0</v>
        <stp/>
        <stp>bse_cm|MFL25C</stp>
        <stp>ATP</stp>
        <tr r="K1571" s="1"/>
      </tp>
      <tp>
        <v>0</v>
        <stp/>
        <stp>bse_cm|MFL25D</stp>
        <stp>ATP</stp>
        <tr r="K1705" s="1"/>
      </tp>
      <tp>
        <v>0</v>
        <stp/>
        <stp>bse_cm|MFL25E</stp>
        <stp>ATP</stp>
        <tr r="K1664" s="1"/>
      </tp>
      <tp>
        <v>0</v>
        <stp/>
        <stp>bse_cm|MML24A</stp>
        <stp>ATP</stp>
        <tr r="K1254" s="1"/>
      </tp>
      <tp>
        <v>0</v>
        <stp/>
        <stp>bse_cm|MFL24A</stp>
        <stp>ATP</stp>
        <tr r="K1759" s="1"/>
      </tp>
      <tp>
        <v>1166.5899999999999</v>
        <stp/>
        <stp>bse_cm|MFL24B</stp>
        <stp>ATP</stp>
        <tr r="K1756" s="1"/>
      </tp>
      <tp t="s">
        <v>INE05F407CC2</v>
        <stp/>
        <stp>bse_cm|0MML29</stp>
        <stp>Isin code</stp>
        <tr r="R1041" s="1"/>
      </tp>
      <tp>
        <v>0</v>
        <stp/>
        <stp>bse_cm|MML26A</stp>
        <stp>ATP</stp>
        <tr r="K1642" s="1"/>
      </tp>
      <tp>
        <v>0</v>
        <stp/>
        <stp>bse_cm|MFL26A</stp>
        <stp>ATP</stp>
        <tr r="K1557" s="1"/>
      </tp>
      <tp>
        <v>0</v>
        <stp/>
        <stp>bse_cm|MFL26B</stp>
        <stp>ATP</stp>
        <tr r="K1280" s="1"/>
      </tp>
      <tp>
        <v>0</v>
        <stp/>
        <stp>bse_cm|MFL26C</stp>
        <stp>ATP</stp>
        <tr r="K1669" s="1"/>
      </tp>
      <tp>
        <v>0</v>
        <stp/>
        <stp>bse_cm|MFL26D</stp>
        <stp>ATP</stp>
        <tr r="K1279" s="1"/>
      </tp>
      <tp>
        <v>0</v>
        <stp/>
        <stp>bse_cm|MFL26E</stp>
        <stp>ATP</stp>
        <tr r="K1533" s="1"/>
      </tp>
      <tp>
        <v>0</v>
        <stp/>
        <stp>bse_cm|MFL26F</stp>
        <stp>ATP</stp>
        <tr r="K1278" s="1"/>
      </tp>
      <tp>
        <v>0</v>
        <stp/>
        <stp>bse_cm|MFL26Z</stp>
        <stp>ATP</stp>
        <tr r="K1655" s="1"/>
      </tp>
      <tp>
        <v>0</v>
        <stp/>
        <stp>nse_cm|925SCL26-NR</stp>
        <stp>% Change</stp>
        <tr r="J991" s="1"/>
      </tp>
      <tp>
        <v>0</v>
        <stp/>
        <stp>bse_cm|MFLVIII26H</stp>
        <stp>Ask Rate</stp>
        <tr r="F1575" s="1"/>
      </tp>
      <tp t="s">
        <v>INE051307AE2</v>
        <stp/>
        <stp>bse_cm|CCILZC29</stp>
        <stp>Isin code</stp>
        <tr r="R747" s="1"/>
      </tp>
      <tp t="s">
        <v>INE121A07RK6</v>
        <stp/>
        <stp>bse_cm|CIFCZC26</stp>
        <stp>Isin code</stp>
        <tr r="R738" s="1"/>
      </tp>
      <tp>
        <v>970</v>
        <stp/>
        <stp>bse_cm|925EFSL25</stp>
        <stp>Prev Close</stp>
        <tr r="P632" s="1"/>
      </tp>
      <tp>
        <v>1005</v>
        <stp/>
        <stp>bse_cm|MFLV27</stp>
        <stp>Prev Close</stp>
        <tr r="P1508" s="1"/>
      </tp>
      <tp>
        <v>999.95</v>
        <stp/>
        <stp>bse_cm|MFLV29</stp>
        <stp>Prev Close</stp>
        <tr r="P361" s="1"/>
      </tp>
      <tp>
        <v>1152.55</v>
        <stp/>
        <stp>nse_cm|SCLZC25-YN</stp>
        <stp>High</stp>
        <tr r="N1727" s="1"/>
      </tp>
      <tp>
        <v>952.58</v>
        <stp/>
        <stp>bse_cm|105MMFL25C</stp>
        <stp>High</stp>
        <tr r="N480" s="1"/>
      </tp>
      <tp>
        <v>0</v>
        <stp/>
        <stp>bse_cm|SFL270224A</stp>
        <stp>Open</stp>
        <tr r="M807" s="1"/>
      </tp>
      <tp>
        <v>950</v>
        <stp/>
        <stp>bse_cm|920EFSL27</stp>
        <stp>Prev Close</stp>
        <tr r="P55" s="1"/>
      </tp>
      <tp>
        <v>994.8</v>
        <stp/>
        <stp>bse_cm|920EFSL26</stp>
        <stp>Prev Close</stp>
        <tr r="P223" s="1"/>
      </tp>
      <tp t="s">
        <v>NSE</v>
        <stp/>
        <stp>nse_cm|965SCL25C-N0</stp>
        <stp>Exchange</stp>
        <tr r="C507" s="1"/>
      </tp>
      <tp>
        <v>11</v>
        <stp/>
        <stp>nse_cm|872MMFSL26-N1</stp>
        <stp>Bid Qty</stp>
        <tr r="D404" s="1"/>
      </tp>
      <tp>
        <v>0</v>
        <stp/>
        <stp>bse_cm|DLSL25A</stp>
        <stp>Volume Traded Today</stp>
        <tr r="L1734" s="1"/>
      </tp>
      <tp>
        <v>990</v>
        <stp/>
        <stp>bse_cm|105MMFL25B</stp>
        <stp>High</stp>
        <tr r="N1390" s="1"/>
      </tp>
      <tp>
        <v>0</v>
        <stp/>
        <stp>bse_cm|85LTF26</stp>
        <stp>ATP</stp>
        <tr r="K410" s="1"/>
      </tp>
      <tp>
        <v>0</v>
        <stp/>
        <stp>bse_cm|865MF25</stp>
        <stp>ATP</stp>
        <tr r="K111" s="1"/>
      </tp>
      <tp>
        <v>995</v>
        <stp/>
        <stp>nse_cm|1040UCL25-N4</stp>
        <stp>High</stp>
        <tr r="N669" s="1"/>
      </tp>
      <tp>
        <v>971.01</v>
        <stp/>
        <stp>bse_cm|105MMFL25A</stp>
        <stp>High</stp>
        <tr r="N1364" s="1"/>
      </tp>
      <tp t="s">
        <v>NSE</v>
        <stp/>
        <stp>nse_cm|82HUDCO27-N2</stp>
        <stp>Exchange</stp>
        <tr r="C532" s="1"/>
      </tp>
      <tp>
        <v>0</v>
        <stp/>
        <stp>bse_cm|86LTF24</stp>
        <stp>ATP</stp>
        <tr r="K8" s="1"/>
      </tp>
      <tp>
        <v>0</v>
        <stp/>
        <stp>bse_cm|87LTF27</stp>
        <stp>ATP</stp>
        <tr r="K412" s="1"/>
      </tp>
      <tp t="s">
        <v>INE477L07AS8</v>
        <stp/>
        <stp>bse_cm|IIFLHF29</stp>
        <stp>Isin code</stp>
        <tr r="R1631" s="1"/>
      </tp>
      <tp>
        <v>0</v>
        <stp/>
        <stp>bse_cm|925ICCL25I</stp>
        <stp xml:space="preserve">Low </stp>
        <tr r="O782" s="1"/>
      </tp>
      <tp>
        <v>0</v>
        <stp/>
        <stp>nse_cm|980SCL33A-N3</stp>
        <stp>Ask Rate</stp>
        <tr r="F1055" s="1"/>
      </tp>
      <tp>
        <v>-100</v>
        <stp/>
        <stp>nse_cm|885LTF27-NE</stp>
        <stp>% Change</stp>
        <tr r="J1007" s="1"/>
      </tp>
      <tp>
        <v>1050</v>
        <stp/>
        <stp>bse_cm|965ICCL25I</stp>
        <stp xml:space="preserve">Low </stp>
        <tr r="O1430" s="1"/>
      </tp>
      <tp>
        <v>990</v>
        <stp/>
        <stp>bse_cm|MFLI25</stp>
        <stp>Prev Close</stp>
        <tr r="P447" s="1"/>
      </tp>
      <tp>
        <v>0</v>
        <stp/>
        <stp>bse_cm|905SC24</stp>
        <stp>Open</stp>
        <tr r="M573" s="1"/>
      </tp>
      <tp>
        <v>1000</v>
        <stp/>
        <stp>bse_cm|958NIDO27</stp>
        <stp>Face Value</stp>
        <tr r="Q1402" s="1"/>
      </tp>
      <tp>
        <v>997</v>
        <stp/>
        <stp>nse_cm|1025UCL25-N8</stp>
        <stp xml:space="preserve">Low </stp>
        <tr r="O217" s="1"/>
      </tp>
      <tp>
        <v>1000</v>
        <stp/>
        <stp>bse_cm|957NIDO26</stp>
        <stp>Face Value</stp>
        <tr r="Q329" s="1"/>
      </tp>
      <tp>
        <v>1000</v>
        <stp/>
        <stp>bse_cm|920EFSL26A</stp>
        <stp>High</stp>
        <tr r="N61" s="1"/>
      </tp>
      <tp>
        <v>1000</v>
        <stp/>
        <stp>bse_cm|875SCFL27</stp>
        <stp>Face Value</stp>
        <tr r="Q1011" s="1"/>
      </tp>
      <tp>
        <v>1000</v>
        <stp/>
        <stp>bse_cm|925SFCL25</stp>
        <stp>Face Value</stp>
        <tr r="Q1482" s="1"/>
      </tp>
      <tp>
        <v>1000</v>
        <stp/>
        <stp>bse_cm|925MFCL26</stp>
        <stp>Face Value</stp>
        <tr r="Q1610" s="1"/>
      </tp>
      <tp>
        <v>1000</v>
        <stp/>
        <stp>bse_cm|925MFCL27</stp>
        <stp>Face Value</stp>
        <tr r="Q262" s="1"/>
      </tp>
      <tp>
        <v>1000</v>
        <stp/>
        <stp>bse_cm|975MMFL26</stp>
        <stp>Face Value</stp>
        <tr r="Q215" s="1"/>
      </tp>
      <tp>
        <v>1000</v>
        <stp/>
        <stp>bse_cm|975MMFL24</stp>
        <stp>Face Value</stp>
        <tr r="Q853" s="1"/>
      </tp>
      <tp>
        <v>1000</v>
        <stp/>
        <stp>bse_cm|975KAFL26</stp>
        <stp>Face Value</stp>
        <tr r="Q859" s="1"/>
      </tp>
      <tp>
        <v>1000</v>
        <stp/>
        <stp>bse_cm|975KAFL25</stp>
        <stp>Face Value</stp>
        <tr r="Q860" s="1"/>
      </tp>
      <tp>
        <v>1000</v>
        <stp/>
        <stp>bse_cm|875IHFL29</stp>
        <stp>Face Value</stp>
        <tr r="Q1230" s="1"/>
      </tp>
      <tp>
        <v>1000</v>
        <stp/>
        <stp>bse_cm|875IIFL26</stp>
        <stp>Face Value</stp>
        <tr r="Q642" s="1"/>
      </tp>
      <tp>
        <v>1000</v>
        <stp/>
        <stp>bse_cm|975AHFL28</stp>
        <stp>Face Value</stp>
        <tr r="Q324" s="1"/>
      </tp>
      <tp>
        <v>1561.2</v>
        <stp/>
        <stp>bse_cm|MHLZC26</stp>
        <stp>Bid Rate</stp>
        <tr r="E1522" s="1"/>
      </tp>
      <tp>
        <v>999.8</v>
        <stp/>
        <stp>nse_cm|1025NFL25-N5</stp>
        <stp xml:space="preserve">Low </stp>
        <tr r="O1488" s="1"/>
      </tp>
      <tp>
        <v>995</v>
        <stp/>
        <stp>bse_cm|920EFSL26B</stp>
        <stp>High</stp>
        <tr r="N247" s="1"/>
      </tp>
      <tp>
        <v>945.8</v>
        <stp/>
        <stp>bse_cm|915EFSL26A</stp>
        <stp>High</stp>
        <tr r="N187" s="1"/>
      </tp>
      <tp>
        <v>1000</v>
        <stp/>
        <stp>bse_cm|955NIDO27</stp>
        <stp>Face Value</stp>
        <tr r="Q51" s="1"/>
      </tp>
      <tp>
        <v>1000</v>
        <stp/>
        <stp>bse_cm|960CAGL25</stp>
        <stp>Face Value</stp>
        <tr r="Q347" s="1"/>
      </tp>
      <tp>
        <v>818</v>
        <stp/>
        <stp>bse_cm|966ICCL25A</stp>
        <stp xml:space="preserve">Low </stp>
        <tr r="O846" s="1"/>
      </tp>
      <tp>
        <v>1011.8</v>
        <stp/>
        <stp>bse_cm|955EFSL26B</stp>
        <stp>High</stp>
        <tr r="N666" s="1"/>
      </tp>
      <tp>
        <v>1000</v>
        <stp/>
        <stp>bse_cm|704NHAI26</stp>
        <stp>Face Value</stp>
        <tr r="Q1204" s="1"/>
      </tp>
      <tp>
        <v>992</v>
        <stp/>
        <stp>bse_cm|955ICCL25A</stp>
        <stp xml:space="preserve">Low </stp>
        <tr r="O1143" s="1"/>
      </tp>
      <tp>
        <v>1000</v>
        <stp/>
        <stp>bse_cm|KAF080824</stp>
        <stp>Face Value</stp>
        <tr r="Q1322" s="1"/>
      </tp>
      <tp>
        <v>943</v>
        <stp/>
        <stp>bse_cm|955EFSL26A</stp>
        <stp>High</stp>
        <tr r="N214" s="1"/>
      </tp>
      <tp>
        <v>875.8</v>
        <stp/>
        <stp>bse_cm|948ICCL25A</stp>
        <stp xml:space="preserve">Low </stp>
        <tr r="O1398" s="1"/>
      </tp>
      <tp>
        <v>1025</v>
        <stp/>
        <stp>bse_cm|960EFSL26C</stp>
        <stp>High</stp>
        <tr r="N137" s="1"/>
      </tp>
      <tp>
        <v>950</v>
        <stp/>
        <stp>nse_cm|842IIFL26-NL</stp>
        <stp xml:space="preserve">Low </stp>
        <tr r="O145" s="1"/>
      </tp>
      <tp t="s">
        <v>INE414G07HM9</v>
        <stp/>
        <stp>bse_cm|785MFL28</stp>
        <stp>Isin code</stp>
        <tr r="R439" s="1"/>
      </tp>
      <tp>
        <v>-0.02</v>
        <stp/>
        <stp>nse_cm|925AEL26-N1</stp>
        <stp>% Change</stp>
        <tr r="J330" s="1"/>
      </tp>
      <tp t="s">
        <v>NSE</v>
        <stp/>
        <stp>nse_cm|965SCL28A-NQ</stp>
        <stp>Exchange</stp>
        <tr r="C897" s="1"/>
      </tp>
      <tp>
        <v>5</v>
        <stp/>
        <stp>nse_cm|SCL25-Y6</stp>
        <stp>Ask Qty</stp>
        <tr r="G1753" s="1"/>
      </tp>
      <tp>
        <v>0</v>
        <stp/>
        <stp>nse_cm|SCL24-ZD</stp>
        <stp>Ask Qty</stp>
        <tr r="G956" s="1"/>
      </tp>
      <tp>
        <v>0</v>
        <stp/>
        <stp>nse_cm|SCL22-ZC</stp>
        <stp>Ask Qty</stp>
        <tr r="G955" s="1"/>
      </tp>
      <tp t="s">
        <v>NSE</v>
        <stp/>
        <stp>nse_cm|925SCL28A-NS</stp>
        <stp>Exchange</stp>
        <tr r="C895" s="1"/>
      </tp>
      <tp t="s">
        <v>NSE</v>
        <stp/>
        <stp>nse_cm|925SCL25G-NY</stp>
        <stp>Exchange</stp>
        <tr r="C887" s="1"/>
      </tp>
      <tp>
        <v>0</v>
        <stp/>
        <stp>nse_cm|980SCL33C-ND</stp>
        <stp>Ask Rate</stp>
        <tr r="F1385" s="1"/>
      </tp>
      <tp>
        <v>0</v>
        <stp/>
        <stp>nse_cm|931SFL26A-NA</stp>
        <stp>Ask Rate</stp>
        <tr r="F786" s="1"/>
      </tp>
      <tp>
        <v>960</v>
        <stp/>
        <stp>bse_cm|9MFL27A</stp>
        <stp>Bid Rate</stp>
        <tr r="E257" s="1"/>
      </tp>
      <tp>
        <v>2.5</v>
        <stp/>
        <stp>nse_cm|925SCL25-N5</stp>
        <stp>% Change</stp>
        <tr r="J1474" s="1"/>
      </tp>
      <tp>
        <v>0</v>
        <stp/>
        <stp>bse_cm|10KFL28</stp>
        <stp>Open</stp>
        <tr r="M674" s="1"/>
      </tp>
      <tp>
        <v>0</v>
        <stp/>
        <stp>nse_cm|884LTF29-N6</stp>
        <stp>% Change</stp>
        <tr r="J1009" s="1"/>
      </tp>
      <tp>
        <v>0</v>
        <stp/>
        <stp>nse_cm|920PEL28-N2</stp>
        <stp>% Change</stp>
        <tr r="J373" s="1"/>
      </tp>
      <tp t="s">
        <v>NSE</v>
        <stp/>
        <stp>nse_cm|965SCL25F-NZ</stp>
        <stp>Exchange</stp>
        <tr r="C1362" s="1"/>
      </tp>
      <tp>
        <v>0</v>
        <stp/>
        <stp>nse_cm|92ICCL28-ND</stp>
        <stp>% Change</stp>
        <tr r="J203" s="1"/>
      </tp>
      <tp>
        <v>0</v>
        <stp/>
        <stp>bse_cm|10KFL25</stp>
        <stp>Open</stp>
        <tr r="M1093" s="1"/>
      </tp>
      <tp t="s">
        <v>INE051307AA0</v>
        <stp/>
        <stp>bse_cm|11CCIL26</stp>
        <stp>Isin code</stp>
        <tr r="R625" s="1"/>
      </tp>
      <tp>
        <v>0</v>
        <stp/>
        <stp>nse_cm|829PFL29-N6</stp>
        <stp>% Change</stp>
        <tr r="J1451" s="1"/>
      </tp>
      <tp>
        <v>0</v>
        <stp/>
        <stp>bse_cm|10KFL27</stp>
        <stp>Open</stp>
        <tr r="M675" s="1"/>
      </tp>
      <tp t="s">
        <v>INE244L07499</v>
        <stp/>
        <stp>bse_cm|98ICCL26</stp>
        <stp>Isin code</stp>
        <tr r="R1412" s="1"/>
      </tp>
      <tp>
        <v>0</v>
        <stp/>
        <stp>bse_cm|10NFL25</stp>
        <stp>Open</stp>
        <tr r="M1568" s="1"/>
      </tp>
      <tp>
        <v>1000</v>
        <stp/>
        <stp>bse_cm|SFL27A</stp>
        <stp>Prev Close</stp>
        <tr r="P804" s="1"/>
      </tp>
      <tp>
        <v>1000</v>
        <stp/>
        <stp>bse_cm|SFL26A</stp>
        <stp>Prev Close</stp>
        <tr r="P810" s="1"/>
      </tp>
      <tp>
        <v>1177</v>
        <stp/>
        <stp>bse_cm|SFL25A</stp>
        <stp>Prev Close</stp>
        <tr r="P812" s="1"/>
      </tp>
      <tp>
        <v>1075.3599999999999</v>
        <stp/>
        <stp>bse_cm|SFL25B</stp>
        <stp>Prev Close</stp>
        <tr r="P1433" s="1"/>
      </tp>
      <tp>
        <v>1000</v>
        <stp/>
        <stp>bse_cm|SCL25A</stp>
        <stp>Prev Close</stp>
        <tr r="P1238" s="1"/>
      </tp>
      <tp>
        <v>1058.21</v>
        <stp/>
        <stp>bse_cm|SCL25B</stp>
        <stp>Prev Close</stp>
        <tr r="P1544" s="1"/>
      </tp>
      <tp>
        <v>1032.5</v>
        <stp/>
        <stp>bse_cm|SCL24A</stp>
        <stp>Prev Close</stp>
        <tr r="P1749" s="1"/>
      </tp>
      <tp t="s">
        <v>INE549K07CW4</v>
        <stp/>
        <stp>bse_cm|944MFL28</stp>
        <stp>Isin code</stp>
        <tr r="R677" s="1"/>
      </tp>
      <tp t="s">
        <v>INE549K07CT0</v>
        <stp/>
        <stp>bse_cm|905MFL28</stp>
        <stp>Isin code</stp>
        <tr r="R207" s="1"/>
      </tp>
      <tp t="s">
        <v>INE549K07CB8</v>
        <stp/>
        <stp>bse_cm|915MFL28</stp>
        <stp>Isin code</stp>
        <tr r="R283" s="1"/>
      </tp>
      <tp>
        <v>1345</v>
        <stp/>
        <stp>bse_cm|MFL29A</stp>
        <stp>Prev Close</stp>
        <tr r="P1380" s="1"/>
      </tp>
      <tp>
        <v>1050</v>
        <stp/>
        <stp>bse_cm|MFL28A</stp>
        <stp>Prev Close</stp>
        <tr r="P1620" s="1"/>
      </tp>
      <tp>
        <v>1076.29</v>
        <stp/>
        <stp>bse_cm|MFL28B</stp>
        <stp>Prev Close</stp>
        <tr r="P1277" s="1"/>
      </tp>
      <tp>
        <v>1059</v>
        <stp/>
        <stp>bse_cm|MFL28D</stp>
        <stp>Prev Close</stp>
        <tr r="P1276" s="1"/>
      </tp>
      <tp>
        <v>847.85</v>
        <stp/>
        <stp>bse_cm|MML28A</stp>
        <stp>Prev Close</stp>
        <tr r="P1249" s="1"/>
      </tp>
      <tp>
        <v>1199</v>
        <stp/>
        <stp>bse_cm|IML28C</stp>
        <stp>Prev Close</stp>
        <tr r="P1648" s="1"/>
      </tp>
      <tp>
        <v>1000</v>
        <stp/>
        <stp>bse_cm|KFL28D</stp>
        <stp>Prev Close</stp>
        <tr r="P1299" s="1"/>
      </tp>
      <tp>
        <v>1124</v>
        <stp/>
        <stp>bse_cm|KFL27A</stp>
        <stp>Prev Close</stp>
        <tr r="P1302" s="1"/>
      </tp>
      <tp>
        <v>875.3</v>
        <stp/>
        <stp>bse_cm|KFL27C</stp>
        <stp>Prev Close</stp>
        <tr r="P1300" s="1"/>
      </tp>
      <tp>
        <v>1000</v>
        <stp/>
        <stp>bse_cm|KFL27B</stp>
        <stp>Prev Close</stp>
        <tr r="P1301" s="1"/>
      </tp>
      <tp>
        <v>1080</v>
        <stp/>
        <stp>bse_cm|KFL26A</stp>
        <stp>Prev Close</stp>
        <tr r="P1372" s="1"/>
      </tp>
      <tp>
        <v>1000</v>
        <stp/>
        <stp>bse_cm|KFL26C</stp>
        <stp>Prev Close</stp>
        <tr r="P1304" s="1"/>
      </tp>
      <tp>
        <v>1038</v>
        <stp/>
        <stp>bse_cm|KFL26B</stp>
        <stp>Prev Close</stp>
        <tr r="P1305" s="1"/>
      </tp>
      <tp>
        <v>1148</v>
        <stp/>
        <stp>bse_cm|KFL25A</stp>
        <stp>Prev Close</stp>
        <tr r="P1703" s="1"/>
      </tp>
      <tp>
        <v>1076.8</v>
        <stp/>
        <stp>bse_cm|MFL23A</stp>
        <stp>Prev Close</stp>
        <tr r="P1560" s="1"/>
      </tp>
      <tp>
        <v>1103</v>
        <stp/>
        <stp>bse_cm|KFL25C</stp>
        <stp>Prev Close</stp>
        <tr r="P1307" s="1"/>
      </tp>
      <tp>
        <v>1127</v>
        <stp/>
        <stp>bse_cm|KFL25B</stp>
        <stp>Prev Close</stp>
        <tr r="P1308" s="1"/>
      </tp>
      <tp>
        <v>1041</v>
        <stp/>
        <stp>bse_cm|KFL25D</stp>
        <stp>Prev Close</stp>
        <tr r="P1688" s="1"/>
      </tp>
      <tp>
        <v>1115</v>
        <stp/>
        <stp>bse_cm|MFL25A</stp>
        <stp>Prev Close</stp>
        <tr r="P1692" s="1"/>
      </tp>
      <tp>
        <v>1139.9000000000001</v>
        <stp/>
        <stp>bse_cm|MFL25C</stp>
        <stp>Prev Close</stp>
        <tr r="P1571" s="1"/>
      </tp>
      <tp>
        <v>1051.2</v>
        <stp/>
        <stp>bse_cm|MFL25B</stp>
        <stp>Prev Close</stp>
        <tr r="P1667" s="1"/>
      </tp>
      <tp>
        <v>1074.9000000000001</v>
        <stp/>
        <stp>bse_cm|MFL25E</stp>
        <stp>Prev Close</stp>
        <tr r="P1664" s="1"/>
      </tp>
      <tp>
        <v>1102.3</v>
        <stp/>
        <stp>bse_cm|MFL25D</stp>
        <stp>Prev Close</stp>
        <tr r="P1705" s="1"/>
      </tp>
      <tp>
        <v>1033</v>
        <stp/>
        <stp>bse_cm|MML25B</stp>
        <stp>Prev Close</stp>
        <tr r="P1498" s="1"/>
      </tp>
      <tp>
        <v>1000</v>
        <stp/>
        <stp>bse_cm|MML25C</stp>
        <stp>Prev Close</stp>
        <tr r="P1251" s="1"/>
      </tp>
      <tp>
        <v>1000</v>
        <stp/>
        <stp>bse_cm|MML25A</stp>
        <stp>Prev Close</stp>
        <tr r="P1252" s="1"/>
      </tp>
      <tp>
        <v>1256</v>
        <stp/>
        <stp>bse_cm|MFL24A</stp>
        <stp>Prev Close</stp>
        <tr r="P1759" s="1"/>
      </tp>
      <tp>
        <v>1165</v>
        <stp/>
        <stp>bse_cm|MFL24B</stp>
        <stp>Prev Close</stp>
        <tr r="P1756" s="1"/>
      </tp>
      <tp>
        <v>1000</v>
        <stp/>
        <stp>bse_cm|MML24A</stp>
        <stp>Prev Close</stp>
        <tr r="P1254" s="1"/>
      </tp>
      <tp>
        <v>1089</v>
        <stp/>
        <stp>bse_cm|MFL26Z</stp>
        <stp>Prev Close</stp>
        <tr r="P1655" s="1"/>
      </tp>
      <tp>
        <v>1075</v>
        <stp/>
        <stp>bse_cm|MFL26A</stp>
        <stp>Prev Close</stp>
        <tr r="P1557" s="1"/>
      </tp>
      <tp>
        <v>1102.67</v>
        <stp/>
        <stp>bse_cm|MFL26C</stp>
        <stp>Prev Close</stp>
        <tr r="P1669" s="1"/>
      </tp>
      <tp>
        <v>1200</v>
        <stp/>
        <stp>bse_cm|MFL26B</stp>
        <stp>Prev Close</stp>
        <tr r="P1280" s="1"/>
      </tp>
      <tp>
        <v>1134</v>
        <stp/>
        <stp>bse_cm|MFL26E</stp>
        <stp>Prev Close</stp>
        <tr r="P1533" s="1"/>
      </tp>
      <tp>
        <v>1012</v>
        <stp/>
        <stp>bse_cm|MFL26D</stp>
        <stp>Prev Close</stp>
        <tr r="P1279" s="1"/>
      </tp>
      <tp>
        <v>1031</v>
        <stp/>
        <stp>bse_cm|MFL26F</stp>
        <stp>Prev Close</stp>
        <tr r="P1278" s="1"/>
      </tp>
      <tp>
        <v>988.49</v>
        <stp/>
        <stp>bse_cm|MML26A</stp>
        <stp>Prev Close</stp>
        <tr r="P1642" s="1"/>
      </tp>
      <tp>
        <v>0</v>
        <stp/>
        <stp>bse_cm|10MFL25</stp>
        <stp>Open</stp>
        <tr r="M577" s="1"/>
      </tp>
      <tp>
        <v>1000</v>
        <stp/>
        <stp>bse_cm|1010MFCL30</stp>
        <stp xml:space="preserve">Low </stp>
        <tr r="O285" s="1"/>
      </tp>
      <tp t="s">
        <v>INE549K07BW6</v>
        <stp/>
        <stp>bse_cm|880MFL28</stp>
        <stp>Isin code</stp>
        <tr r="R1338" s="1"/>
      </tp>
      <tp t="s">
        <v>INE549K07BC8</v>
        <stp/>
        <stp>bse_cm|875MFL28</stp>
        <stp>Isin code</stp>
        <tr r="R689" s="1"/>
      </tp>
      <tp t="s">
        <v>INE549K07BU0</v>
        <stp/>
        <stp>bse_cm|850MFL28</stp>
        <stp>Isin code</stp>
        <tr r="R236" s="1"/>
      </tp>
      <tp>
        <v>1081</v>
        <stp/>
        <stp>bse_cm|MFL31A</stp>
        <stp>Prev Close</stp>
        <tr r="P1275" s="1"/>
      </tp>
      <tp>
        <v>1050</v>
        <stp/>
        <stp>bse_cm|MFL30A</stp>
        <stp>Prev Close</stp>
        <tr r="P1370" s="1"/>
      </tp>
      <tp>
        <v>1015</v>
        <stp/>
        <stp>bse_cm|KFL30A</stp>
        <stp>Prev Close</stp>
        <tr r="P1592" s="1"/>
      </tp>
      <tp t="s">
        <v>BSE</v>
        <stp/>
        <stp>bse_cm|0SFL27A</stp>
        <stp>Exchange</stp>
        <tr r="C1034" s="1"/>
      </tp>
      <tp>
        <v>25</v>
        <stp/>
        <stp>bse_cm|SFL28</stp>
        <stp>Bid Qty</stp>
        <tr r="D803" s="1"/>
      </tp>
      <tp>
        <v>25</v>
        <stp/>
        <stp>bse_cm|SFL27</stp>
        <stp>Bid Qty</stp>
        <tr r="D809" s="1"/>
      </tp>
      <tp>
        <v>16</v>
        <stp/>
        <stp>bse_cm|SFL26</stp>
        <stp>Bid Qty</stp>
        <tr r="D811" s="1"/>
      </tp>
      <tp>
        <v>5</v>
        <stp/>
        <stp>bse_cm|SCL25</stp>
        <stp>Bid Qty</stp>
        <tr r="D1234" s="1"/>
      </tp>
      <tp>
        <v>48</v>
        <stp/>
        <stp>bse_cm|SFL25</stp>
        <stp>Bid Qty</stp>
        <tr r="D813" s="1"/>
      </tp>
      <tp>
        <v>10</v>
        <stp/>
        <stp>bse_cm|SCL24</stp>
        <stp>Bid Qty</stp>
        <tr r="D1377" s="1"/>
      </tp>
      <tp>
        <v>1000</v>
        <stp/>
        <stp>bse_cm|875PCHFL26</stp>
        <stp>High</stp>
        <tr r="N331" s="1"/>
      </tp>
      <tp>
        <v>25</v>
        <stp/>
        <stp>bse_cm|SCL22</stp>
        <stp>Bid Qty</stp>
        <tr r="D1239" s="1"/>
      </tp>
      <tp>
        <v>36</v>
        <stp/>
        <stp>bse_cm|IML25</stp>
        <stp>Bid Qty</stp>
        <tr r="D1326" s="1"/>
      </tp>
      <tp>
        <v>48</v>
        <stp/>
        <stp>bse_cm|KFL27</stp>
        <stp>Bid Qty</stp>
        <tr r="D1303" s="1"/>
      </tp>
      <tp t="e">
        <v>#N/A</v>
        <stp/>
        <stp>bse_cm|IML24</stp>
        <stp>Bid Qty</stp>
        <tr r="D34" s="1"/>
      </tp>
      <tp>
        <v>25</v>
        <stp/>
        <stp>bse_cm|KFL26</stp>
        <stp>Bid Qty</stp>
        <tr r="D1306" s="1"/>
      </tp>
      <tp>
        <v>62</v>
        <stp/>
        <stp>bse_cm|IML27</stp>
        <stp>Bid Qty</stp>
        <tr r="D1325" s="1"/>
      </tp>
      <tp>
        <v>46</v>
        <stp/>
        <stp>bse_cm|KFL25</stp>
        <stp>Bid Qty</stp>
        <tr r="D1309" s="1"/>
      </tp>
      <tp>
        <v>10</v>
        <stp/>
        <stp>bse_cm|MFL23</stp>
        <stp>Bid Qty</stp>
        <tr r="D1668" s="1"/>
      </tp>
      <tp>
        <v>0</v>
        <stp/>
        <stp>bse_cm|10SFL25</stp>
        <stp>Open</stp>
        <tr r="M1681" s="1"/>
      </tp>
      <tp>
        <v>20</v>
        <stp/>
        <stp>bse_cm|MML25</stp>
        <stp>Bid Qty</stp>
        <tr r="D1253" s="1"/>
      </tp>
      <tp>
        <v>50</v>
        <stp/>
        <stp>bse_cm|MFL25</stp>
        <stp>Bid Qty</stp>
        <tr r="D1733" s="1"/>
      </tp>
      <tp>
        <v>100</v>
        <stp/>
        <stp>bse_cm|MML24</stp>
        <stp>Bid Qty</stp>
        <tr r="D1740" s="1"/>
      </tp>
      <tp>
        <v>10</v>
        <stp/>
        <stp>bse_cm|MFL27</stp>
        <stp>Bid Qty</stp>
        <tr r="D1563" s="1"/>
      </tp>
      <tp>
        <v>10</v>
        <stp/>
        <stp>bse_cm|MML26</stp>
        <stp>Bid Qty</stp>
        <tr r="D1410" s="1"/>
      </tp>
      <tp>
        <v>63</v>
        <stp/>
        <stp>bse_cm|MFL26</stp>
        <stp>Bid Qty</stp>
        <tr r="D1666" s="1"/>
      </tp>
      <tp>
        <v>10</v>
        <stp/>
        <stp>bse_cm|MFL29</stp>
        <stp>Bid Qty</stp>
        <tr r="D1598" s="1"/>
      </tp>
      <tp>
        <v>18</v>
        <stp/>
        <stp>bse_cm|MML28</stp>
        <stp>Bid Qty</stp>
        <tr r="D584" s="1"/>
      </tp>
      <tp>
        <v>30</v>
        <stp/>
        <stp>bse_cm|MFL28</stp>
        <stp>Bid Qty</stp>
        <tr r="D1638" s="1"/>
      </tp>
      <tp>
        <v>186</v>
        <stp/>
        <stp>bse_cm|IML29</stp>
        <stp>Bid Qty</stp>
        <tr r="D1528" s="1"/>
      </tp>
      <tp>
        <v>25</v>
        <stp/>
        <stp>bse_cm|IML28</stp>
        <stp>Bid Qty</stp>
        <tr r="D1458" s="1"/>
      </tp>
      <tp>
        <v>90</v>
        <stp/>
        <stp>bse_cm|KFL29</stp>
        <stp>Bid Qty</stp>
        <tr r="D1619" s="1"/>
      </tp>
      <tp>
        <v>0</v>
        <stp/>
        <stp>nse_cm|11DLSL25A-Y3</stp>
        <stp>Open</stp>
        <tr r="M64" s="1"/>
      </tp>
      <tp>
        <v>971</v>
        <stp/>
        <stp>nse_cm|957NIDO26-N5</stp>
        <stp>High</stp>
        <tr r="N255" s="1"/>
      </tp>
      <tp>
        <v>0</v>
        <stp/>
        <stp>bse_cm|1015SCFL29</stp>
        <stp>Open</stp>
        <tr r="M1355" s="1"/>
      </tp>
      <tp>
        <v>5</v>
        <stp/>
        <stp>bse_cm|SFL30</stp>
        <stp>Bid Qty</stp>
        <tr r="D1597" s="1"/>
      </tp>
      <tp>
        <v>50</v>
        <stp/>
        <stp>bse_cm|MFL31</stp>
        <stp>Bid Qty</stp>
        <tr r="D701" s="1"/>
      </tp>
      <tp>
        <v>20</v>
        <stp/>
        <stp>bse_cm|MML30</stp>
        <stp>Bid Qty</stp>
        <tr r="D1525" s="1"/>
      </tp>
      <tp>
        <v>50</v>
        <stp/>
        <stp>bse_cm|MFL30</stp>
        <stp>Bid Qty</stp>
        <tr r="D1460" s="1"/>
      </tp>
      <tp>
        <v>1034.4000000000001</v>
        <stp/>
        <stp>bse_cm|92MMFSL27</stp>
        <stp>Prev Close</stp>
        <tr r="P384" s="1"/>
      </tp>
      <tp>
        <v>20</v>
        <stp/>
        <stp>bse_cm|KFL31</stp>
        <stp>Bid Qty</stp>
        <tr r="D1297" s="1"/>
      </tp>
      <tp>
        <v>25</v>
        <stp/>
        <stp>bse_cm|KFL30</stp>
        <stp>Bid Qty</stp>
        <tr r="D1298" s="1"/>
      </tp>
      <tp>
        <v>0</v>
        <stp/>
        <stp>bse_cm|10SFL27</stp>
        <stp>Open</stp>
        <tr r="M863" s="1"/>
      </tp>
      <tp t="s">
        <v>INE532F07DX6</v>
        <stp/>
        <stp>bse_cm|10EFSL33</stp>
        <stp>Isin code</stp>
        <tr r="R150" s="1"/>
      </tp>
      <tp>
        <v>1350</v>
        <stp/>
        <stp>nse_cm|892PFCL33-N8</stp>
        <stp xml:space="preserve">Low </stp>
        <tr r="O530" s="1"/>
      </tp>
      <tp>
        <v>989</v>
        <stp/>
        <stp>bse_cm|KAFL080824</stp>
        <stp>High</stp>
        <tr r="N1417" s="1"/>
      </tp>
      <tp>
        <v>0</v>
        <stp/>
        <stp>bse_cm|795MMFSL32</stp>
        <stp>High</stp>
        <tr r="N1184" s="1"/>
      </tp>
      <tp>
        <v>0</v>
        <stp/>
        <stp>nse_cm|SCLZC26B-AY</stp>
        <stp>% Change</stp>
        <tr r="J1658" s="1"/>
      </tp>
      <tp t="s">
        <v>NSE</v>
        <stp/>
        <stp>nse_cm|925SCL25A-NH</stp>
        <stp>Exchange</stp>
        <tr r="C715" s="1"/>
      </tp>
      <tp>
        <v>0</v>
        <stp/>
        <stp>bse_cm|10VCL25</stp>
        <stp>Open</stp>
        <tr r="M1646" s="1"/>
      </tp>
      <tp>
        <v>0</v>
        <stp/>
        <stp>nse_cm|SCL26-NA</stp>
        <stp>Ask Qty</stp>
        <tr r="G919" s="1"/>
      </tp>
      <tp>
        <v>0</v>
        <stp/>
        <stp>bse_cm|875TCAPS29</stp>
        <stp>High</stp>
        <tr r="N935" s="1"/>
      </tp>
      <tp>
        <v>1085</v>
        <stp/>
        <stp>bse_cm|1025JFCS28</stp>
        <stp>High</stp>
        <tr r="N363" s="1"/>
      </tp>
      <tp t="s">
        <v>NSE</v>
        <stp/>
        <stp>nse_cm|925SCL25Z-NE</stp>
        <stp>Exchange</stp>
        <tr r="C914" s="1"/>
      </tp>
      <tp>
        <v>0</v>
        <stp/>
        <stp>bse_cm|702HUDCO26</stp>
        <stp>Open</stp>
        <tr r="M1718" s="1"/>
      </tp>
      <tp>
        <v>0</v>
        <stp/>
        <stp>bse_cm|704HUDCO26</stp>
        <stp>Open</stp>
        <tr r="M1724" s="1"/>
      </tp>
      <tp>
        <v>1030</v>
        <stp/>
        <stp>bse_cm|865TCAPS27</stp>
        <stp>High</stp>
        <tr r="N377" s="1"/>
      </tp>
      <tp>
        <v>1031.0999999999999</v>
        <stp/>
        <stp>bse_cm|885TCAPS29</stp>
        <stp>High</stp>
        <tr r="N12" s="1"/>
      </tp>
      <tp>
        <v>0</v>
        <stp/>
        <stp>bse_cm|855TCAPS27</stp>
        <stp>High</stp>
        <tr r="N1004" s="1"/>
      </tp>
      <tp>
        <v>0</v>
        <stp/>
        <stp>nse_cm|SCLZC25B-AT</stp>
        <stp>% Change</stp>
        <tr r="J1541" s="1"/>
      </tp>
      <tp>
        <v>1000.05</v>
        <stp/>
        <stp>nse_cm|1040NFL26-NA</stp>
        <stp>High</stp>
        <tr r="N678" s="1"/>
      </tp>
      <tp t="s">
        <v>NSE</v>
        <stp/>
        <stp>nse_cm|965SCL25A-NF</stp>
        <stp>Exchange</stp>
        <tr r="C163" s="1"/>
      </tp>
      <tp>
        <v>0</v>
        <stp/>
        <stp>bse_cm|729HUDCO26</stp>
        <stp>Open</stp>
        <tr r="M523" s="1"/>
      </tp>
      <tp>
        <v>1057.0999999999999</v>
        <stp/>
        <stp>bse_cm|727HUDCO26</stp>
        <stp>Open</stp>
        <tr r="M481" s="1"/>
      </tp>
      <tp t="s">
        <v>INE027E07972</v>
        <stp/>
        <stp>bse_cm|935LTF29</stp>
        <stp>Isin code</stp>
        <tr r="R396" s="1"/>
      </tp>
      <tp t="s">
        <v>INE027E07980</v>
        <stp/>
        <stp>bse_cm|884LTF29</stp>
        <stp>Isin code</stp>
        <tr r="R1337" s="1"/>
      </tp>
      <tp t="s">
        <v>INE027E07998</v>
        <stp/>
        <stp>bse_cm|898LTF29</stp>
        <stp>Isin code</stp>
        <tr r="R416" s="1"/>
      </tp>
      <tp>
        <v>0</v>
        <stp/>
        <stp>nse_cm|SCLZC25A-AS</stp>
        <stp>% Change</stp>
        <tr r="J1232" s="1"/>
      </tp>
      <tp>
        <v>0</v>
        <stp/>
        <stp>bse_cm|769IGT28</stp>
        <stp>Ask Qty</stp>
        <tr r="G1195" s="1"/>
      </tp>
      <tp>
        <v>0</v>
        <stp/>
        <stp>nse_cm|971SCL28A-NT</stp>
        <stp>Ask Rate</stp>
        <tr r="F680" s="1"/>
      </tp>
      <tp>
        <v>947</v>
        <stp/>
        <stp>bse_cm|957ISFL26</stp>
        <stp>Bid Rate</stp>
        <tr r="E761" s="1"/>
      </tp>
      <tp>
        <v>895</v>
        <stp/>
        <stp>bse_cm|960ISFL25</stp>
        <stp>Bid Rate</stp>
        <tr r="E871" s="1"/>
      </tp>
      <tp>
        <v>975</v>
        <stp/>
        <stp>bse_cm|921ISFL25</stp>
        <stp>Bid Rate</stp>
        <tr r="E350" s="1"/>
      </tp>
      <tp>
        <v>1061.01</v>
        <stp/>
        <stp>bse_cm|CIFCZC28A</stp>
        <stp>Bid Rate</stp>
        <tr r="E1396" s="1"/>
      </tp>
      <tp>
        <v>1000</v>
        <stp/>
        <stp>nse_cm|10IIFL29-N6</stp>
        <stp>Face Value</stp>
        <tr r="Q193" s="1"/>
      </tp>
      <tp t="s">
        <v>934JMFCS28</v>
        <stp/>
        <stp>bse_cm|934JMFCS28</stp>
        <stp>Trading Symbol</stp>
        <tr r="B325" s="1"/>
      </tp>
      <tp>
        <v>1195.2</v>
        <stp/>
        <stp>bse_cm|MMFLZC27B</stp>
        <stp>Bid Rate</stp>
        <tr r="E1570" s="1"/>
      </tp>
      <tp>
        <v>1125.2</v>
        <stp/>
        <stp>bse_cm|MMFLZC27C</stp>
        <stp>Bid Rate</stp>
        <tr r="E1463" s="1"/>
      </tp>
      <tp>
        <v>1220.4000000000001</v>
        <stp/>
        <stp>bse_cm|MMFLZC27A</stp>
        <stp>Bid Rate</stp>
        <tr r="E1260" s="1"/>
      </tp>
      <tp>
        <v>1001.2</v>
        <stp/>
        <stp>bse_cm|707IRFC25</stp>
        <stp>Bid Rate</stp>
        <tr r="E1653" s="1"/>
      </tp>
      <tp>
        <v>1008</v>
        <stp/>
        <stp>bse_cm|732IRFC25</stp>
        <stp>Bid Rate</stp>
        <tr r="E174" s="1"/>
      </tp>
      <tp>
        <v>1127.8</v>
        <stp/>
        <stp>bse_cm|MMFLZC27D</stp>
        <stp>Bid Rate</stp>
        <tr r="E1406" s="1"/>
      </tp>
      <tp>
        <v>1145.0999999999999</v>
        <stp/>
        <stp>bse_cm|840IRFC29</stp>
        <stp>Bid Rate</stp>
        <tr r="E1634" s="1"/>
      </tp>
      <tp>
        <v>1152.01</v>
        <stp/>
        <stp>bse_cm|865IRFC29</stp>
        <stp>Bid Rate</stp>
        <tr r="E501" s="1"/>
      </tp>
      <tp>
        <v>1108.01</v>
        <stp/>
        <stp>bse_cm|739HUDC31</stp>
        <stp>Bid Rate</stp>
        <tr r="E1347" s="1"/>
      </tp>
      <tp>
        <v>1014.01</v>
        <stp/>
        <stp>bse_cm|704IRFC26</stp>
        <stp>Bid Rate</stp>
        <tr r="E557" s="1"/>
      </tp>
      <tp>
        <v>1014.5</v>
        <stp/>
        <stp>bse_cm|729IRFC26</stp>
        <stp>Bid Rate</stp>
        <tr r="E367" s="1"/>
      </tp>
      <tp>
        <v>1000</v>
        <stp/>
        <stp>nse_cm|86CIFC29-NN</stp>
        <stp>Face Value</stp>
        <tr r="Q1340" s="1"/>
      </tp>
      <tp>
        <v>1027.18</v>
        <stp/>
        <stp>bse_cm|957ICCL25</stp>
        <stp>Bid Rate</stp>
        <tr r="E432" s="1"/>
      </tp>
      <tp>
        <v>1000</v>
        <stp/>
        <stp>nse_cm|0MOFSL26-N1</stp>
        <stp>Face Value</stp>
        <tr r="Q1644" s="1"/>
      </tp>
      <tp>
        <v>1000</v>
        <stp/>
        <stp>nse_cm|10IFSL26-N7</stp>
        <stp>Face Value</stp>
        <tr r="Q293" s="1"/>
      </tp>
      <tp>
        <v>903</v>
        <stp/>
        <stp>bse_cm|843IHFL29</stp>
        <stp>Bid Rate</stp>
        <tr r="E139" s="1"/>
      </tp>
      <tp>
        <v>939.2</v>
        <stp/>
        <stp>bse_cm|875IHFL29</stp>
        <stp>Bid Rate</stp>
        <tr r="E1230" s="1"/>
      </tp>
      <tp>
        <v>905</v>
        <stp/>
        <stp>bse_cm|865IIFL28</stp>
        <stp>Bid Rate</stp>
        <tr r="E75" s="1"/>
      </tp>
      <tp>
        <v>930.2</v>
        <stp/>
        <stp>bse_cm|965IFSL26</stp>
        <stp>Bid Rate</stp>
        <tr r="E1142" s="1"/>
      </tp>
      <tp>
        <v>954</v>
        <stp/>
        <stp>bse_cm|984IFSL26</stp>
        <stp>Bid Rate</stp>
        <tr r="E457" s="1"/>
      </tp>
      <tp t="s">
        <v>753IREDA26</v>
        <stp/>
        <stp>bse_cm|753IREDA26</stp>
        <stp>Trading Symbol</stp>
        <tr r="B487" s="1"/>
      </tp>
      <tp t="s">
        <v>743IREDA36</v>
        <stp/>
        <stp>bse_cm|743IREDA36</stp>
        <stp>Trading Symbol</stp>
        <tr r="B1441" s="1"/>
      </tp>
      <tp>
        <v>975</v>
        <stp/>
        <stp>bse_cm|945IFSL25</stp>
        <stp>Bid Rate</stp>
        <tr r="E483" s="1"/>
      </tp>
      <tp>
        <v>590.20000000000005</v>
        <stp/>
        <stp>bse_cm|955IFSL25</stp>
        <stp>Bid Rate</stp>
        <tr r="E1470" s="1"/>
      </tp>
      <tp>
        <v>969</v>
        <stp/>
        <stp>bse_cm|966IFSL25</stp>
        <stp>Bid Rate</stp>
        <tr r="E1051" s="1"/>
      </tp>
      <tp>
        <v>1001.1</v>
        <stp/>
        <stp>bse_cm|980IFSL25</stp>
        <stp>Bid Rate</stp>
        <tr r="E474" s="1"/>
      </tp>
      <tp>
        <v>0</v>
        <stp/>
        <stp>bse_cm|925SFCL25</stp>
        <stp>Ask Rate</stp>
        <tr r="F1482" s="1"/>
      </tp>
      <tp>
        <v>862.8</v>
        <stp/>
        <stp>bse_cm|125ICFL26</stp>
        <stp>Bid Rate</stp>
        <tr r="E1214" s="1"/>
      </tp>
      <tp>
        <v>1050</v>
        <stp/>
        <stp>bse_cm|825IIFL25</stp>
        <stp>Bid Rate</stp>
        <tr r="E47" s="1"/>
      </tp>
      <tp t="e">
        <v>#N/A</v>
        <stp/>
        <stp>bse_cm|975SFL024</stp>
        <stp>Ask Rate</stp>
        <tr r="F31" s="1"/>
      </tp>
      <tp t="s">
        <v>764HUDCO31</v>
        <stp/>
        <stp>bse_cm|764HUDCO31</stp>
        <stp>Trading Symbol</stp>
        <tr r="B16" s="1"/>
      </tp>
      <tp t="s">
        <v>704HUDCO26</v>
        <stp/>
        <stp>bse_cm|704HUDCO26</stp>
        <stp>Trading Symbol</stp>
        <tr r="B1724" s="1"/>
      </tp>
      <tp>
        <v>950</v>
        <stp/>
        <stp>bse_cm|842IIFL26</stp>
        <stp>Bid Rate</stp>
        <tr r="E181" s="1"/>
      </tp>
      <tp>
        <v>912</v>
        <stp/>
        <stp>bse_cm|875IIFL26</stp>
        <stp>Bid Rate</stp>
        <tr r="E642" s="1"/>
      </tp>
      <tp>
        <v>1025</v>
        <stp/>
        <stp>bse_cm|115ICFL25</stp>
        <stp>Bid Rate</stp>
        <tr r="E1548" s="1"/>
      </tp>
      <tp>
        <v>1002</v>
        <stp/>
        <stp>nse_cm|980SCL33-NX</stp>
        <stp>Prev Close</stp>
        <tr r="P360" s="1"/>
      </tp>
      <tp>
        <v>990</v>
        <stp/>
        <stp>bse_cm|850IIFL27</stp>
        <stp>Bid Rate</stp>
        <tr r="E1407" s="1"/>
      </tp>
      <tp>
        <v>940</v>
        <stp/>
        <stp>bse_cm|84CIFCL28</stp>
        <stp>Bid Rate</stp>
        <tr r="E387" s="1"/>
      </tp>
      <tp>
        <v>922</v>
        <stp/>
        <stp>bse_cm|820IIFL27</stp>
        <stp>Bid Rate</stp>
        <tr r="E176" s="1"/>
      </tp>
      <tp>
        <v>0</v>
        <stp/>
        <stp>bse_cm|850SCFL25</stp>
        <stp>Ask Rate</stp>
        <tr r="F1099" s="1"/>
      </tp>
      <tp>
        <v>1003</v>
        <stp/>
        <stp>bse_cm|866SCFL25</stp>
        <stp>Ask Rate</stp>
        <tr r="F342" s="1"/>
      </tp>
      <tp>
        <v>0</v>
        <stp/>
        <stp>bse_cm|105IIFL29</stp>
        <stp>Bid Rate</stp>
        <tr r="E338" s="1"/>
      </tp>
      <tp>
        <v>0</v>
        <stp/>
        <stp>bse_cm|820SCFL25</stp>
        <stp>Ask Rate</stp>
        <tr r="F1059" s="1"/>
      </tp>
      <tp>
        <v>0</v>
        <stp/>
        <stp>bse_cm|965SCFL25</stp>
        <stp>Ask Rate</stp>
        <tr r="F1106" s="1"/>
      </tp>
      <tp>
        <v>0</v>
        <stp/>
        <stp>bse_cm|925SCFL25</stp>
        <stp>Ask Rate</stp>
        <tr r="F774" s="1"/>
      </tp>
      <tp>
        <v>0</v>
        <stp/>
        <stp>bse_cm|843SCFL27</stp>
        <stp>Ask Rate</stp>
        <tr r="F1074" s="1"/>
      </tp>
      <tp>
        <v>0</v>
        <stp/>
        <stp>bse_cm|875SCFL27</stp>
        <stp>Ask Rate</stp>
        <tr r="F1011" s="1"/>
      </tp>
      <tp>
        <v>1143</v>
        <stp/>
        <stp>bse_cm|990SCFL26</stp>
        <stp>Ask Rate</stp>
        <tr r="F1676" s="1"/>
      </tp>
      <tp>
        <v>1070</v>
        <stp/>
        <stp>bse_cm|889SCFL27</stp>
        <stp>Ask Rate</stp>
        <tr r="F484" s="1"/>
      </tp>
      <tp>
        <v>650.20000000000005</v>
        <stp/>
        <stp>bse_cm|940ICCL28</stp>
        <stp>Bid Rate</stp>
        <tr r="E1126" s="1"/>
      </tp>
      <tp>
        <v>880.2</v>
        <stp/>
        <stp>bse_cm|957ICCL28</stp>
        <stp>Bid Rate</stp>
        <tr r="E1572" s="1"/>
      </tp>
      <tp>
        <v>0</v>
        <stp/>
        <stp>bse_cm|925SCFL27</stp>
        <stp>Ask Rate</stp>
        <tr r="F772" s="1"/>
      </tp>
      <tp>
        <v>823</v>
        <stp/>
        <stp>bse_cm|985ICCL28</stp>
        <stp>Bid Rate</stp>
        <tr r="E1483" s="1"/>
      </tp>
      <tp>
        <v>0</v>
        <stp/>
        <stp>bse_cm|980ICCL28</stp>
        <stp>Bid Rate</stp>
        <tr r="E783" s="1"/>
      </tp>
      <tp>
        <v>970.11</v>
        <stp/>
        <stp>bse_cm|985IIFL22</stp>
        <stp>Bid Rate</stp>
        <tr r="E178" s="1"/>
      </tp>
      <tp>
        <v>945.01</v>
        <stp/>
        <stp>bse_cm|KFL070824</stp>
        <stp>Open</stp>
        <tr r="M551" s="1"/>
      </tp>
      <tp>
        <v>0</v>
        <stp/>
        <stp>bse_cm|1040NFL26</stp>
        <stp>Open</stp>
        <tr r="M1453" s="1"/>
      </tp>
      <tp>
        <v>0</v>
        <stp/>
        <stp>bse_cm|1050NFL26</stp>
        <stp>Open</stp>
        <tr r="M260" s="1"/>
      </tp>
      <tp>
        <v>0</v>
        <stp/>
        <stp>bse_cm|1090NFL26</stp>
        <stp>Open</stp>
        <tr r="M364" s="1"/>
      </tp>
      <tp t="s">
        <v>1003NHFL29</v>
        <stp/>
        <stp>bse_cm|1003NHFL29</stp>
        <stp>Trading Symbol</stp>
        <tr r="B605" s="1"/>
      </tp>
      <tp>
        <v>0</v>
        <stp/>
        <stp>bse_cm|1050MML25</stp>
        <stp>Open</stp>
        <tr r="M1503" s="1"/>
      </tp>
      <tp>
        <v>0</v>
        <stp/>
        <stp>bse_cm|1070MML25</stp>
        <stp>Open</stp>
        <tr r="M1504" s="1"/>
      </tp>
      <tp>
        <v>0</v>
        <stp/>
        <stp>nse_cm|CAGL25-N8</stp>
        <stp>Open</stp>
        <tr r="M710" s="1"/>
      </tp>
      <tp t="s">
        <v>1003ISFL28</v>
        <stp/>
        <stp>bse_cm|1003ISFL28</stp>
        <stp>Trading Symbol</stp>
        <tr r="B1456" s="1"/>
      </tp>
      <tp t="s">
        <v>1003IIFL29</v>
        <stp/>
        <stp>bse_cm|1003IIFL29</stp>
        <stp>Trading Symbol</stp>
        <tr r="B1078" s="1"/>
      </tp>
      <tp t="s">
        <v>1003SCFL31</v>
        <stp/>
        <stp>bse_cm|1003SCFL31</stp>
        <stp>Trading Symbol</stp>
        <tr r="B1076" s="1"/>
      </tp>
      <tp>
        <v>1022.21</v>
        <stp/>
        <stp>bse_cm|850MFL27A</stp>
        <stp>Bid Rate</stp>
        <tr r="E355" s="1"/>
      </tp>
      <tp>
        <v>0</v>
        <stp/>
        <stp>bse_cm|1060MML26</stp>
        <stp>Open</stp>
        <tr r="M1218" s="1"/>
      </tp>
      <tp>
        <v>0</v>
        <stp/>
        <stp>bse_cm|1080MML26</stp>
        <stp>Open</stp>
        <tr r="M1163" s="1"/>
      </tp>
      <tp t="s">
        <v>1050ICCL28</v>
        <stp/>
        <stp>bse_cm|1050ICCL28</stp>
        <stp>Trading Symbol</stp>
        <tr r="B1133" s="1"/>
      </tp>
      <tp>
        <v>834.15</v>
        <stp/>
        <stp>bse_cm|950MFL27A</stp>
        <stp>Bid Rate</stp>
        <tr r="E241" s="1"/>
      </tp>
      <tp>
        <v>0</v>
        <stp/>
        <stp>bse_cm|1010EFS28</stp>
        <stp>Open</stp>
        <tr r="M116" s="1"/>
      </tp>
      <tp>
        <v>0</v>
        <stp/>
        <stp>bse_cm|1150KLM26</stp>
        <stp>Open</stp>
        <tr r="M1224" s="1"/>
      </tp>
      <tp>
        <v>0</v>
        <stp/>
        <stp>bse_cm|1010EFS29</stp>
        <stp>Open</stp>
        <tr r="M726" s="1"/>
      </tp>
      <tp>
        <v>1430</v>
        <stp/>
        <stp>bse_cm|1060ECL29</stp>
        <stp>Open</stp>
        <tr r="M272" s="1"/>
      </tp>
      <tp>
        <v>0</v>
        <stp/>
        <stp>bse_cm|1050KLM27</stp>
        <stp>Open</stp>
        <tr r="M609" s="1"/>
      </tp>
      <tp>
        <v>0</v>
        <stp/>
        <stp>bse_cm|1050IML25</stp>
        <stp>Open</stp>
        <tr r="M499" s="1"/>
      </tp>
      <tp>
        <v>0</v>
        <stp/>
        <stp>bse_cm|1150IFL26</stp>
        <stp>Open</stp>
        <tr r="M1225" s="1"/>
      </tp>
      <tp>
        <v>0</v>
        <stp/>
        <stp>bse_cm|1030ICC26</stp>
        <stp>Open</stp>
        <tr r="M1538" s="1"/>
      </tp>
      <tp t="s">
        <v>1026NIDO34</v>
        <stp/>
        <stp>bse_cm|1026NIDO34</stp>
        <stp>Trading Symbol</stp>
        <tr r="B1018" s="1"/>
      </tp>
      <tp t="s">
        <v>SCFL310524</v>
        <stp/>
        <stp>bse_cm|SCFL310524</stp>
        <stp>Trading Symbol</stp>
        <tr r="B1241" s="1"/>
      </tp>
      <tp>
        <v>990</v>
        <stp/>
        <stp>bse_cm|875SCL23A</stp>
        <stp>Ask Rate</stp>
        <tr r="F194" s="1"/>
      </tp>
      <tp>
        <v>0</v>
        <stp/>
        <stp>bse_cm|835SCL23A</stp>
        <stp>Ask Rate</stp>
        <tr r="F1104" s="1"/>
      </tp>
      <tp>
        <v>1030</v>
        <stp/>
        <stp>nse_cm|ABFL28-N3</stp>
        <stp>Open</stp>
        <tr r="M1063" s="1"/>
      </tp>
      <tp>
        <v>0</v>
        <stp/>
        <stp>bse_cm|1150IML28</stp>
        <stp>Open</stp>
        <tr r="M92" s="1"/>
      </tp>
      <tp>
        <v>0</v>
        <stp/>
        <stp>bse_cm|980SCL33A</stp>
        <stp>Ask Rate</stp>
        <tr r="F1056" s="1"/>
      </tp>
      <tp>
        <v>0</v>
        <stp/>
        <stp>bse_cm|950SCL23A</stp>
        <stp>Ask Rate</stp>
        <tr r="F1146" s="1"/>
      </tp>
      <tp>
        <v>0</v>
        <stp/>
        <stp>bse_cm|920SCL23A</stp>
        <stp>Ask Rate</stp>
        <tr r="F1114" s="1"/>
      </tp>
      <tp>
        <v>0</v>
        <stp/>
        <stp>bse_cm|1250IFL29</stp>
        <stp>Open</stp>
        <tr r="M1215" s="1"/>
      </tp>
      <tp>
        <v>0</v>
        <stp/>
        <stp>bse_cm|1150IML29</stp>
        <stp>Open</stp>
        <tr r="M601" s="1"/>
      </tp>
      <tp>
        <v>0</v>
        <stp/>
        <stp>bse_cm|980SCL33B</stp>
        <stp>Ask Rate</stp>
        <tr r="F1054" s="1"/>
      </tp>
      <tp t="s">
        <v>KAFL080824</v>
        <stp/>
        <stp>bse_cm|KAFL080824</stp>
        <stp>Trading Symbol</stp>
        <tr r="B1417" s="1"/>
      </tp>
      <tp>
        <v>0</v>
        <stp/>
        <stp>nse_cm|ABFL26-N1</stp>
        <stp>Open</stp>
        <tr r="M1679" s="1"/>
      </tp>
      <tp>
        <v>0</v>
        <stp/>
        <stp>bse_cm|980SCL33C</stp>
        <stp>Ask Rate</stp>
        <tr r="F1384" s="1"/>
      </tp>
      <tp>
        <v>950</v>
        <stp/>
        <stp>bse_cm|835SCL23B</stp>
        <stp>Ask Rate</stp>
        <tr r="F167" s="1"/>
      </tp>
      <tp>
        <v>0</v>
        <stp/>
        <stp>nse_cm|CAGL24-N2</stp>
        <stp>Open</stp>
        <tr r="M1762" s="1"/>
      </tp>
      <tp>
        <v>0</v>
        <stp/>
        <stp>bse_cm|980SCL33D</stp>
        <stp>Ask Rate</stp>
        <tr r="F1022" s="1"/>
      </tp>
      <tp>
        <v>0</v>
        <stp/>
        <stp>bse_cm|1050MML28</stp>
        <stp>Open</stp>
        <tr r="M1159" s="1"/>
      </tp>
      <tp>
        <v>0</v>
        <stp/>
        <stp>bse_cm|1150MML29</stp>
        <stp>Open</stp>
        <tr r="M248" s="1"/>
      </tp>
      <tp>
        <v>815.2</v>
        <stp/>
        <stp>bse_cm|1080MML29</stp>
        <stp>Open</stp>
        <tr r="M72" s="1"/>
      </tp>
      <tp>
        <v>27</v>
        <stp/>
        <stp>nse_cm|CAGL25A-N4</stp>
        <stp>Bid Qty</stp>
        <tr r="D709" s="1"/>
      </tp>
      <tp>
        <v>11</v>
        <stp/>
        <stp>nse_cm|CAGL27A-N6</stp>
        <stp>Bid Qty</stp>
        <tr r="D758" s="1"/>
      </tp>
      <tp>
        <v>0</v>
        <stp/>
        <stp>bse_cm|KAF080824</stp>
        <stp>Open</stp>
        <tr r="M1322" s="1"/>
      </tp>
      <tp t="s">
        <v>875CIFC23B</v>
        <stp/>
        <stp>bse_cm|875CIFC23B</stp>
        <stp>Trading Symbol</stp>
        <tr r="B1394" s="1"/>
      </tp>
      <tp>
        <v>0</v>
        <stp/>
        <stp>bse_cm|1050CCI25</stp>
        <stp>Open</stp>
        <tr r="M173" s="1"/>
      </tp>
      <tp t="s">
        <v>950IIFL27</v>
        <stp/>
        <stp>nse_cm|950IIFL27-Y2</stp>
        <stp>Symbol</stp>
        <tr r="A995" s="1"/>
      </tp>
      <tp t="s">
        <v>842IIFL26</v>
        <stp/>
        <stp>nse_cm|842IIFL26-NL</stp>
        <stp>Symbol</stp>
        <tr r="A145" s="1"/>
      </tp>
      <tp t="s">
        <v>BSE</v>
        <stp/>
        <stp>bse_cm|955SCL27A</stp>
        <stp>Exchange</stp>
        <tr r="C948" s="1"/>
      </tp>
      <tp t="s">
        <v>BSE</v>
        <stp/>
        <stp>bse_cm|948SCL27A</stp>
        <stp>Exchange</stp>
        <tr r="C697" s="1"/>
      </tp>
      <tp t="s">
        <v>BSE</v>
        <stp/>
        <stp>bse_cm|915SCL27A</stp>
        <stp>Exchange</stp>
        <tr r="C951" s="1"/>
      </tp>
      <tp t="s">
        <v>BSE</v>
        <stp/>
        <stp>bse_cm|902SCL27A</stp>
        <stp>Exchange</stp>
        <tr r="C1354" s="1"/>
      </tp>
      <tp t="s">
        <v>875IIFL26</v>
        <stp/>
        <stp>nse_cm|875IIFL26-NM</stp>
        <stp>Symbol</stp>
        <tr r="A640" s="1"/>
      </tp>
      <tp t="s">
        <v>9SCFL25-Y5</v>
        <stp/>
        <stp>nse_cm|9SCFL25-Y5</stp>
        <stp>Trading Symbol</stp>
        <tr r="B389" s="1"/>
      </tp>
      <tp t="s">
        <v>830CIFC26</v>
        <stp/>
        <stp>nse_cm|830CIFC26-N2</stp>
        <stp>Symbol</stp>
        <tr r="A1625" s="1"/>
      </tp>
      <tp t="s">
        <v>AEL120924</v>
        <stp/>
        <stp>nse_cm|AEL120924-N2</stp>
        <stp>Symbol</stp>
        <tr r="A1673" s="1"/>
      </tp>
      <tp t="s">
        <v>BSE</v>
        <stp/>
        <stp>bse_cm|925SFL27A</stp>
        <stp>Exchange</stp>
        <tr r="C848" s="1"/>
      </tp>
      <tp t="s">
        <v>INE741K07454</v>
        <stp/>
        <stp>bse_cm|CAGL24</stp>
        <stp>Isin code</stp>
        <tr r="R1761" s="1"/>
      </tp>
      <tp>
        <v>0</v>
        <stp/>
        <stp>bse_cm|MFL31A</stp>
        <stp>ATP</stp>
        <tr r="K1275" s="1"/>
      </tp>
      <tp>
        <v>0</v>
        <stp/>
        <stp>bse_cm|MFL30A</stp>
        <stp>ATP</stp>
        <tr r="K1370" s="1"/>
      </tp>
      <tp>
        <v>0</v>
        <stp/>
        <stp>bse_cm|1040UCL25</stp>
        <stp>Open</stp>
        <tr r="M1612" s="1"/>
      </tp>
      <tp>
        <v>0</v>
        <stp/>
        <stp>bse_cm|1050UCL25</stp>
        <stp>Open</stp>
        <tr r="M417" s="1"/>
      </tp>
      <tp t="s">
        <v>INE148I07KN1</v>
        <stp/>
        <stp>nse_cm|889SCL26-NS</stp>
        <stp>Isin code</stp>
        <tr r="R222" s="1"/>
      </tp>
      <tp>
        <v>0</v>
        <stp/>
        <stp>bse_cm|1050VCL25</stp>
        <stp>Open</stp>
        <tr r="M656" s="1"/>
      </tp>
      <tp>
        <v>0</v>
        <stp/>
        <stp>bse_cm|1050SFL26</stp>
        <stp>Open</stp>
        <tr r="M890" s="1"/>
      </tp>
      <tp>
        <v>150</v>
        <stp/>
        <stp>nse_cm|DLSL25A-Y4</stp>
        <stp>Bid Qty</stp>
        <tr r="D1732" s="1"/>
      </tp>
      <tp>
        <v>0</v>
        <stp/>
        <stp>bse_cm|KFL30A</stp>
        <stp>ATP</stp>
        <tr r="K1592" s="1"/>
      </tp>
      <tp>
        <v>994</v>
        <stp/>
        <stp>nse_cm|985IIFL22-NC</stp>
        <stp>High</stp>
        <tr r="N114" s="1"/>
      </tp>
      <tp>
        <v>-100</v>
        <stp/>
        <stp>bse_cm|ABFL28</stp>
        <stp>% Change</stp>
        <tr r="J1373" s="1"/>
      </tp>
      <tp>
        <v>0</v>
        <stp/>
        <stp>bse_cm|9SFL2026</stp>
        <stp>Ask Qty</stp>
        <tr r="G1473" s="1"/>
      </tp>
      <tp>
        <v>1000</v>
        <stp/>
        <stp>bse_cm|910TCAP28</stp>
        <stp>Face Value</stp>
        <tr r="Q409" s="1"/>
      </tp>
      <tp t="s">
        <v>INE01I507596</v>
        <stp/>
        <stp>bse_cm|KAFLZC28</stp>
        <stp>Isin code</stp>
        <tr r="R1315" s="1"/>
      </tp>
      <tp t="e">
        <v>#N/A</v>
        <stp/>
        <stp>bse_cm|SFLZC24</stp>
        <stp>Trading Symbol</stp>
        <tr r="B30" s="1"/>
      </tp>
      <tp t="s">
        <v>SFLZC25</v>
        <stp/>
        <stp>bse_cm|SFLZC25</stp>
        <stp>Trading Symbol</stp>
        <tr r="B802" s="1"/>
      </tp>
      <tp t="s">
        <v>SFLZC26</v>
        <stp/>
        <stp>bse_cm|SFLZC26</stp>
        <stp>Trading Symbol</stp>
        <tr r="B801" s="1"/>
      </tp>
      <tp t="s">
        <v>SCLZC25</v>
        <stp/>
        <stp>bse_cm|SCLZC25</stp>
        <stp>Trading Symbol</stp>
        <tr r="B917" s="1"/>
      </tp>
      <tp t="s">
        <v>SCLZC26</v>
        <stp/>
        <stp>bse_cm|SCLZC26</stp>
        <stp>Trading Symbol</stp>
        <tr r="B1464" s="1"/>
      </tp>
      <tp>
        <v>920</v>
        <stp/>
        <stp>bse_cm|890ICCL23A</stp>
        <stp>High</stp>
        <tr r="N1486" s="1"/>
      </tp>
      <tp t="s">
        <v>INE530B08110</v>
        <stp/>
        <stp>bse_cm|IIFLZC28</stp>
        <stp>Isin code</stp>
        <tr r="R1660" s="1"/>
      </tp>
      <tp>
        <v>0</v>
        <stp/>
        <stp>bse_cm|EFSL26D</stp>
        <stp>Volume Traded Today</stp>
        <tr r="L1617" s="1"/>
      </tp>
      <tp>
        <v>0</v>
        <stp/>
        <stp>bse_cm|EFSL26A</stp>
        <stp>Volume Traded Today</stp>
        <tr r="L1567" s="1"/>
      </tp>
      <tp>
        <v>0</v>
        <stp/>
        <stp>bse_cm|EFSL26C</stp>
        <stp>Volume Traded Today</stp>
        <tr r="L1650" s="1"/>
      </tp>
      <tp>
        <v>0</v>
        <stp/>
        <stp>bse_cm|EFSL26B</stp>
        <stp>Volume Traded Today</stp>
        <tr r="L1564" s="1"/>
      </tp>
      <tp>
        <v>1000</v>
        <stp/>
        <stp>bse_cm|EFSL26724</stp>
        <stp>Face Value</stp>
        <tr r="Q1336" s="1"/>
      </tp>
      <tp>
        <v>10</v>
        <stp/>
        <stp>bse_cm|EFSL27A</stp>
        <stp>Volume Traded Today</stp>
        <tr r="L1649" s="1"/>
      </tp>
      <tp>
        <v>986</v>
        <stp/>
        <stp>bse_cm|939EFSL26</stp>
        <stp>Prev Close</stp>
        <tr r="P188" s="1"/>
      </tp>
      <tp>
        <v>0</v>
        <stp/>
        <stp>nse_cm|835IFL25-NV</stp>
        <stp>% Change</stp>
        <tr r="J98" s="1"/>
      </tp>
      <tp>
        <v>0</v>
        <stp/>
        <stp>nse_cm|935SCL28-NV</stp>
        <stp>% Change</stp>
        <tr r="J986" s="1"/>
      </tp>
      <tp>
        <v>0</v>
        <stp/>
        <stp>bse_cm|MFLVIII27H</stp>
        <stp>Ask Rate</stp>
        <tr r="F1274" s="1"/>
      </tp>
      <tp>
        <v>0</v>
        <stp/>
        <stp>bse_cm|EFSL24C</stp>
        <stp>Volume Traded Today</stp>
        <tr r="L1755" s="1"/>
      </tp>
      <tp t="s">
        <v>INE101Q08126</v>
        <stp/>
        <stp>bse_cm|MMFLZC28</stp>
        <stp>Isin code</stp>
        <tr r="R1259" s="1"/>
      </tp>
      <tp>
        <v>939.2</v>
        <stp/>
        <stp>nse_cm|875IHFL29-ND</stp>
        <stp>High</stp>
        <tr r="N77" s="1"/>
      </tp>
      <tp>
        <v>0</v>
        <stp/>
        <stp>bse_cm|EFSL25A</stp>
        <stp>Volume Traded Today</stp>
        <tr r="L1706" s="1"/>
      </tp>
      <tp>
        <v>0</v>
        <stp/>
        <stp>bse_cm|EFSL25B</stp>
        <stp>Volume Traded Today</stp>
        <tr r="L1682" s="1"/>
      </tp>
      <tp>
        <v>1000</v>
        <stp/>
        <stp>bse_cm|MFCL16924A</stp>
        <stp>High</stp>
        <tr r="N1285" s="1"/>
      </tp>
      <tp>
        <v>0</v>
        <stp/>
        <stp>bse_cm|1075SCL33A</stp>
        <stp>Open</stp>
        <tr r="M629" s="1"/>
      </tp>
      <tp>
        <v>0</v>
        <stp/>
        <stp>bse_cm|1025SCL33A</stp>
        <stp>Open</stp>
        <tr r="M835" s="1"/>
      </tp>
      <tp>
        <v>960</v>
        <stp/>
        <stp>bse_cm|935EFSL27</stp>
        <stp>Prev Close</stp>
        <tr r="P157" s="1"/>
      </tp>
      <tp>
        <v>0</v>
        <stp/>
        <stp>bse_cm|1075SCL33B</stp>
        <stp>Open</stp>
        <tr r="M706" s="1"/>
      </tp>
      <tp>
        <v>0</v>
        <stp/>
        <stp>bse_cm|EFSL28A</stp>
        <stp>Volume Traded Today</stp>
        <tr r="L1335" s="1"/>
      </tp>
      <tp>
        <v>980</v>
        <stp/>
        <stp>bse_cm|MFCL16924C</stp>
        <stp>High</stp>
        <tr r="N660" s="1"/>
      </tp>
      <tp>
        <v>0</v>
        <stp/>
        <stp>bse_cm|92LTF29</stp>
        <stp>ATP</stp>
        <tr r="K1088" s="1"/>
      </tp>
      <tp>
        <v>836.15</v>
        <stp/>
        <stp>bse_cm|950MFCL27D</stp>
        <stp>High</stp>
        <tr r="N1496" s="1"/>
      </tp>
      <tp>
        <v>998.6</v>
        <stp/>
        <stp>bse_cm|MFCL16924B</stp>
        <stp>High</stp>
        <tr r="N1284" s="1"/>
      </tp>
      <tp>
        <v>0</v>
        <stp/>
        <stp>bse_cm|KFL070824D</stp>
        <stp>High</stp>
        <tr r="N1310" s="1"/>
      </tp>
      <tp>
        <v>1110</v>
        <stp/>
        <stp>nse_cm|985ICCL28-NO</stp>
        <stp>High</stp>
        <tr r="N1605" s="1"/>
      </tp>
      <tp>
        <v>0</v>
        <stp/>
        <stp>bse_cm|KFL070824C</stp>
        <stp>High</stp>
        <tr r="N1311" s="1"/>
      </tp>
      <tp>
        <v>896.2</v>
        <stp/>
        <stp>bse_cm|930EFSL31</stp>
        <stp>Prev Close</stp>
        <tr r="P65" s="1"/>
      </tp>
      <tp>
        <v>1015</v>
        <stp/>
        <stp>nse_cm|1050NFL26-N7</stp>
        <stp>High</stp>
        <tr r="N259" s="1"/>
      </tp>
      <tp>
        <v>990</v>
        <stp/>
        <stp>nse_cm|1050UCL25-N7</stp>
        <stp>High</stp>
        <tr r="N201" s="1"/>
      </tp>
      <tp>
        <v>0</v>
        <stp/>
        <stp>bse_cm|866ICCL23A</stp>
        <stp>High</stp>
        <tr r="N1075" s="1"/>
      </tp>
      <tp>
        <v>0</v>
        <stp/>
        <stp>bse_cm|KFL070824B</stp>
        <stp>High</stp>
        <tr r="N1312" s="1"/>
      </tp>
      <tp>
        <v>1069.9000000000001</v>
        <stp/>
        <stp>nse_cm|11UCL26-NC</stp>
        <stp>Ask Rate</stp>
        <tr r="F322" s="1"/>
      </tp>
      <tp>
        <v>979</v>
        <stp/>
        <stp>nse_cm|875IIFL26-NM</stp>
        <stp>High</stp>
        <tr r="N640" s="1"/>
      </tp>
      <tp>
        <v>-100</v>
        <stp/>
        <stp>bse_cm|ABFL26</stp>
        <stp>% Change</stp>
        <tr r="J1064" s="1"/>
      </tp>
      <tp>
        <v>969</v>
        <stp/>
        <stp>bse_cm|875MFCL26C</stp>
        <stp>High</stp>
        <tr r="N309" s="1"/>
      </tp>
      <tp>
        <v>0</v>
        <stp/>
        <stp>bse_cm|KFL070824A</stp>
        <stp>High</stp>
        <tr r="N1313" s="1"/>
      </tp>
      <tp>
        <v>936.34</v>
        <stp/>
        <stp>bse_cm|EFS290424A</stp>
        <stp>High</stp>
        <tr r="N571" s="1"/>
      </tp>
      <tp t="s">
        <v>INE532F07DG1</v>
        <stp/>
        <stp>bse_cm|EFSLZC28</stp>
        <stp>Isin code</stp>
        <tr r="R1637" s="1"/>
      </tp>
      <tp>
        <v>920</v>
        <stp/>
        <stp>nse_cm|865IIFL28-NS</stp>
        <stp>High</stp>
        <tr r="N74" s="1"/>
      </tp>
      <tp>
        <v>919</v>
        <stp/>
        <stp>nse_cm|843IHFL29-NC</stp>
        <stp xml:space="preserve">Low </stp>
        <tr r="O123" s="1"/>
      </tp>
      <tp>
        <v>1000</v>
        <stp/>
        <stp>bse_cm|0MML29</stp>
        <stp>Prev Close</stp>
        <tr r="P1041" s="1"/>
      </tp>
      <tp>
        <v>1000</v>
        <stp/>
        <stp>bse_cm|0MML27</stp>
        <stp>Prev Close</stp>
        <tr r="P1043" s="1"/>
      </tp>
      <tp>
        <v>1010</v>
        <stp/>
        <stp>bse_cm|9IML25</stp>
        <stp>Prev Close</stp>
        <tr r="P588" s="1"/>
      </tp>
      <tp>
        <v>1000</v>
        <stp/>
        <stp>nse_cm|925SCL25Z-NE</stp>
        <stp>Face Value</stp>
        <tr r="Q914" s="1"/>
      </tp>
      <tp>
        <v>909</v>
        <stp/>
        <stp>bse_cm|9IIFL28</stp>
        <stp>Bid Rate</stp>
        <tr r="E126" s="1"/>
      </tp>
      <tp>
        <v>1000</v>
        <stp/>
        <stp>bse_cm|865IRFC29</stp>
        <stp>Face Value</stp>
        <tr r="Q501" s="1"/>
      </tp>
      <tp>
        <v>1000</v>
        <stp/>
        <stp>bse_cm|764IRFC31</stp>
        <stp>Face Value</stp>
        <tr r="Q466" s="1"/>
      </tp>
      <tp>
        <v>1002</v>
        <stp/>
        <stp>bse_cm|925ICCL24A</stp>
        <stp xml:space="preserve">Low </stp>
        <tr r="O1072" s="1"/>
      </tp>
      <tp>
        <v>0</v>
        <stp/>
        <stp>nse_cm|9SFL25A-ZH</stp>
        <stp>Open</stp>
        <tr r="M463" s="1"/>
      </tp>
      <tp>
        <v>960</v>
        <stp/>
        <stp>bse_cm|920EFSL27A</stp>
        <stp>High</stp>
        <tr r="N685" s="1"/>
      </tp>
      <tp>
        <v>1000</v>
        <stp/>
        <stp>bse_cm|965SCFL25</stp>
        <stp>Face Value</stp>
        <tr r="Q1106" s="1"/>
      </tp>
      <tp>
        <v>1000</v>
        <stp/>
        <stp>bse_cm|995NWIL32</stp>
        <stp>Face Value</stp>
        <tr r="Q1023" s="1"/>
      </tp>
      <tp>
        <v>1000</v>
        <stp/>
        <stp>bse_cm|935MFCL29</stp>
        <stp>Face Value</stp>
        <tr r="Q239" s="1"/>
      </tp>
      <tp>
        <v>1000</v>
        <stp/>
        <stp>bse_cm|865IIFL28</stp>
        <stp>Face Value</stp>
        <tr r="Q75" s="1"/>
      </tp>
      <tp>
        <v>990</v>
        <stp/>
        <stp>nse_cm|1035UCL24-N6</stp>
        <stp xml:space="preserve">Low </stp>
        <tr r="O591" s="1"/>
      </tp>
      <tp t="s">
        <v>KFLZC31</v>
        <stp/>
        <stp>bse_cm|KFLZC31</stp>
        <stp>Trading Symbol</stp>
        <tr r="B1286" s="1"/>
      </tp>
      <tp t="s">
        <v>KFLZC2A</v>
        <stp/>
        <stp>bse_cm|KFLZC2A</stp>
        <stp>Trading Symbol</stp>
        <tr r="B1760" s="1"/>
      </tp>
      <tp t="s">
        <v>KFLZC24</v>
        <stp/>
        <stp>bse_cm|KFLZC24</stp>
        <stp>Trading Symbol</stp>
        <tr r="B1766" s="1"/>
      </tp>
      <tp t="s">
        <v>KFLZC25</v>
        <stp/>
        <stp>bse_cm|KFLZC25</stp>
        <stp>Trading Symbol</stp>
        <tr r="B1754" s="1"/>
      </tp>
      <tp t="s">
        <v>KFLZC26</v>
        <stp/>
        <stp>bse_cm|KFLZC26</stp>
        <stp>Trading Symbol</stp>
        <tr r="B1709" s="1"/>
      </tp>
      <tp t="s">
        <v>KFLZC27</v>
        <stp/>
        <stp>bse_cm|KFLZC27</stp>
        <stp>Trading Symbol</stp>
        <tr r="B1292" s="1"/>
      </tp>
      <tp t="s">
        <v>KFLZC28</v>
        <stp/>
        <stp>bse_cm|KFLZC28</stp>
        <stp>Trading Symbol</stp>
        <tr r="B1290" s="1"/>
      </tp>
      <tp t="s">
        <v>KFLZC29</v>
        <stp/>
        <stp>bse_cm|KFLZC29</stp>
        <stp>Trading Symbol</stp>
        <tr r="B1639" s="1"/>
      </tp>
      <tp>
        <v>1095</v>
        <stp/>
        <stp>bse_cm|739NHAI31A</stp>
        <stp xml:space="preserve">Low </stp>
        <tr r="O546" s="1"/>
      </tp>
      <tp>
        <v>0</v>
        <stp/>
        <stp>bse_cm|913ICCL24A</stp>
        <stp xml:space="preserve">Low </stp>
        <tr r="O1162" s="1"/>
      </tp>
      <tp>
        <v>1000</v>
        <stp/>
        <stp>bse_cm|866SCFL25</stp>
        <stp>Face Value</stp>
        <tr r="Q342" s="1"/>
      </tp>
      <tp>
        <v>1000</v>
        <stp/>
        <stp>bse_cm|MFCL16924</stp>
        <stp>Face Value</stp>
        <tr r="Q579" s="1"/>
      </tp>
      <tp>
        <v>0</v>
        <stp/>
        <stp>bse_cm|9SCFL25</stp>
        <stp>Ask Rate</stp>
        <tr r="F1505" s="1"/>
      </tp>
      <tp t="s">
        <v>MFLZC30</v>
        <stp/>
        <stp>bse_cm|MFLZC30</stp>
        <stp>Trading Symbol</stp>
        <tr r="B1267" s="1"/>
      </tp>
      <tp t="s">
        <v>MFLZC32</v>
        <stp/>
        <stp>bse_cm|MFLZC32</stp>
        <stp>Trading Symbol</stp>
        <tr r="B1266" s="1"/>
      </tp>
      <tp t="s">
        <v>MFLZC25</v>
        <stp/>
        <stp>bse_cm|MFLZC25</stp>
        <stp>Trading Symbol</stp>
        <tr r="B1683" s="1"/>
      </tp>
      <tp t="s">
        <v>MFLZC26</v>
        <stp/>
        <stp>bse_cm|MFLZC26</stp>
        <stp>Trading Symbol</stp>
        <tr r="B1720" s="1"/>
      </tp>
      <tp t="s">
        <v>MFLZC27</v>
        <stp/>
        <stp>bse_cm|MFLZC27</stp>
        <stp>Trading Symbol</stp>
        <tr r="B1271" s="1"/>
      </tp>
      <tp t="s">
        <v>MHLZC26</v>
        <stp/>
        <stp>bse_cm|MHLZC26</stp>
        <stp>Trading Symbol</stp>
        <tr r="B1522" s="1"/>
      </tp>
      <tp>
        <v>1000</v>
        <stp/>
        <stp>bse_cm|960ISFL25</stp>
        <stp>Face Value</stp>
        <tr r="Q871" s="1"/>
      </tp>
      <tp>
        <v>1000</v>
        <stp/>
        <stp>bse_cm|970CAGL28</stp>
        <stp>Face Value</stp>
        <tr r="Q292" s="1"/>
      </tp>
      <tp>
        <v>0</v>
        <stp/>
        <stp>nse_cm|10NIDO26-N6</stp>
        <stp>% Change</stp>
        <tr r="J66" s="1"/>
      </tp>
      <tp>
        <v>0</v>
        <stp/>
        <stp>nse_cm|910TCAP28-NA</stp>
        <stp>Open</stp>
        <tr r="M411" s="1"/>
      </tp>
      <tp>
        <v>1000</v>
        <stp/>
        <stp>bse_cm|714NHAI26</stp>
        <stp>Face Value</stp>
        <tr r="Q1662" s="1"/>
      </tp>
      <tp>
        <v>905</v>
        <stp/>
        <stp>bse_cm|10EFS33</stp>
        <stp>Open</stp>
        <tr r="M112" s="1"/>
      </tp>
      <tp>
        <v>1000</v>
        <stp/>
        <stp>bse_cm|1025MMFL26</stp>
        <stp xml:space="preserve">Low </stp>
        <tr r="O320" s="1"/>
      </tp>
      <tp>
        <v>0</v>
        <stp/>
        <stp>nse_cm|935PEL33-N3</stp>
        <stp>% Change</stp>
        <tr r="J1375" s="1"/>
      </tp>
      <tp>
        <v>971</v>
        <stp/>
        <stp>bse_cm|104SMCGS29</stp>
        <stp xml:space="preserve">Low </stp>
        <tr r="O206" s="1"/>
      </tp>
      <tp>
        <v>0</v>
        <stp/>
        <stp>bse_cm|81MFL28</stp>
        <stp>Open</stp>
        <tr r="M314" s="1"/>
      </tp>
      <tp>
        <v>0</v>
        <stp/>
        <stp>bse_cm|11CCL26</stp>
        <stp>Open</stp>
        <tr r="M1219" s="1"/>
      </tp>
      <tp>
        <v>0</v>
        <stp/>
        <stp>bse_cm|11CCI26</stp>
        <stp>Open</stp>
        <tr r="M1220" s="1"/>
      </tp>
      <tp>
        <v>0</v>
        <stp/>
        <stp>bse_cm|11MML28</stp>
        <stp>Open</stp>
        <tr r="M1131" s="1"/>
      </tp>
      <tp>
        <v>0</v>
        <stp/>
        <stp>nse_cm|932AEL27-N3</stp>
        <stp>% Change</stp>
        <tr r="J471" s="1"/>
      </tp>
      <tp t="e">
        <v>#N/A</v>
        <stp/>
        <stp>bse_cm|1025MHFL24</stp>
        <stp xml:space="preserve">Low </stp>
        <tr r="O29" s="1"/>
      </tp>
      <tp t="e">
        <v>#N/A</v>
        <stp/>
        <stp>bse_cm|1065MHFL24</stp>
        <stp xml:space="preserve">Low </stp>
        <tr r="O36" s="1"/>
      </tp>
      <tp>
        <v>20</v>
        <stp/>
        <stp>bse_cm|749IGT28</stp>
        <stp>Bid Qty</stp>
        <tr r="D1198" s="1"/>
      </tp>
      <tp>
        <v>0</v>
        <stp/>
        <stp>bse_cm|11IML27</stp>
        <stp>Open</stp>
        <tr r="M177" s="1"/>
      </tp>
      <tp t="s">
        <v>INE051307AU8</v>
        <stp/>
        <stp>bse_cm|11CCIL27</stp>
        <stp>Isin code</stp>
        <tr r="R691" s="1"/>
      </tp>
      <tp>
        <v>17</v>
        <stp/>
        <stp>bse_cm|745IGT26</stp>
        <stp>Bid Qty</stp>
        <tr r="D1202" s="1"/>
      </tp>
      <tp>
        <v>0</v>
        <stp/>
        <stp>bse_cm|11IML26</stp>
        <stp>Open</stp>
        <tr r="M1132" s="1"/>
      </tp>
      <tp>
        <v>0</v>
        <stp/>
        <stp>nse_cm|990SCL26A-NL</stp>
        <stp>Ask Rate</stp>
        <tr r="F1049" s="1"/>
      </tp>
      <tp>
        <v>1221</v>
        <stp/>
        <stp>nse_cm|735PFCL35-N1</stp>
        <stp>High</stp>
        <tr r="N26" s="1"/>
      </tp>
      <tp>
        <v>0</v>
        <stp/>
        <stp>nse_cm|898LTF29-N7</stp>
        <stp>% Change</stp>
        <tr r="J385" s="1"/>
      </tp>
      <tp>
        <v>0</v>
        <stp/>
        <stp>bse_cm|11IFL25</stp>
        <stp>Open</stp>
        <tr r="M1421" s="1"/>
      </tp>
      <tp>
        <v>0</v>
        <stp/>
        <stp>bse_cm|102SMCGS27</stp>
        <stp xml:space="preserve">Low </stp>
        <tr r="O1017" s="1"/>
      </tp>
      <tp>
        <v>952</v>
        <stp/>
        <stp>bse_cm|MFCL160924</stp>
        <stp xml:space="preserve">Low </stp>
        <tr r="O572" s="1"/>
      </tp>
      <tp t="s">
        <v>INE549K08293</v>
        <stp/>
        <stp>bse_cm|975MFL29</stp>
        <stp>Isin code</stp>
        <tr r="R683" s="1"/>
      </tp>
      <tp t="s">
        <v>INE01I507935</v>
        <stp/>
        <stp>bse_cm|95KAFL25</stp>
        <stp>Isin code</stp>
        <tr r="R40" s="1"/>
      </tp>
      <tp t="s">
        <v>INE549K07DG5</v>
        <stp/>
        <stp>bse_cm|935MFL29</stp>
        <stp>Isin code</stp>
        <tr r="R238" s="1"/>
      </tp>
      <tp>
        <v>0</v>
        <stp/>
        <stp>nse_cm|1050SCL30-NU</stp>
        <stp>High</stp>
        <tr r="N893" s="1"/>
      </tp>
      <tp>
        <v>0</v>
        <stp/>
        <stp>nse_cm|940SCL26A-NK</stp>
        <stp>Ask Rate</stp>
        <tr r="F906" s="1"/>
      </tp>
      <tp>
        <v>900</v>
        <stp/>
        <stp>nse_cm|1035UCL26-NA</stp>
        <stp xml:space="preserve">Low </stp>
        <tr r="O1627" s="1"/>
      </tp>
      <tp t="s">
        <v>INE414G07IZ9</v>
        <stp/>
        <stp>bse_cm|850MFL29</stp>
        <stp>Isin code</stp>
        <tr r="R356" s="1"/>
      </tp>
      <tp t="s">
        <v>INE414G07IT2</v>
        <stp/>
        <stp>bse_cm|825MFL29</stp>
        <stp>Isin code</stp>
        <tr r="R473" s="1"/>
      </tp>
      <tp>
        <v>991.01</v>
        <stp/>
        <stp>nse_cm|925CAGL26-N9</stp>
        <stp>High</stp>
        <tr r="N639" s="1"/>
      </tp>
      <tp t="s">
        <v>BSE</v>
        <stp/>
        <stp>bse_cm|9SFL26A</stp>
        <stp>Exchange</stp>
        <tr r="C1065" s="1"/>
      </tp>
      <tp>
        <v>960</v>
        <stp/>
        <stp>bse_cm|1050KAFL28</stp>
        <stp>High</stp>
        <tr r="N610" s="1"/>
      </tp>
      <tp>
        <v>0</v>
        <stp/>
        <stp>bse_cm|1075KAFL28</stp>
        <stp>High</stp>
        <tr r="N1118" s="1"/>
      </tp>
      <tp>
        <v>970</v>
        <stp/>
        <stp>bse_cm|791JMFPL26</stp>
        <stp>High</stp>
        <tr r="N276" s="1"/>
      </tp>
      <tp>
        <v>1150.5999999999999</v>
        <stp/>
        <stp>nse_cm|850NHAI29-N5</stp>
        <stp>High</stp>
        <tr r="N512" s="1"/>
      </tp>
      <tp>
        <v>945</v>
        <stp/>
        <stp>bse_cm|1075KAFL29</stp>
        <stp>High</stp>
        <tr r="N125" s="1"/>
      </tp>
      <tp>
        <v>1069.01</v>
        <stp/>
        <stp>bse_cm|93MMFSL27</stp>
        <stp>Prev Close</stp>
        <tr r="P333" s="1"/>
      </tp>
      <tp>
        <v>1025.78</v>
        <stp/>
        <stp>bse_cm|93MOFSL34</stp>
        <stp>Prev Close</stp>
        <tr r="P312" s="1"/>
      </tp>
      <tp>
        <v>0</v>
        <stp/>
        <stp>nse_cm|850SCL25A-NW</stp>
        <stp>Ask Rate</stp>
        <tr r="F984" s="1"/>
      </tp>
      <tp>
        <v>0</v>
        <stp/>
        <stp>bse_cm|790MMFSL27</stp>
        <stp>High</stp>
        <tr r="N1189" s="1"/>
      </tp>
      <tp>
        <v>0</v>
        <stp/>
        <stp>bse_cm|91SFL27</stp>
        <stp>Open</stp>
        <tr r="M574" s="1"/>
      </tp>
      <tp>
        <v>1085</v>
        <stp/>
        <stp>nse_cm|105IIFL29-N7</stp>
        <stp>High</stp>
        <tr r="N270" s="1"/>
      </tp>
      <tp>
        <v>1052.8</v>
        <stp/>
        <stp>nse_cm|825IIFL25-N7</stp>
        <stp>High</stp>
        <tr r="N49" s="1"/>
      </tp>
      <tp>
        <v>0</v>
        <stp/>
        <stp>bse_cm|10SCL31</stp>
        <stp>Open</stp>
        <tr r="M1085" s="1"/>
      </tp>
      <tp>
        <v>0</v>
        <stp/>
        <stp>bse_cm|MFLV29E</stp>
        <stp>ATP</stp>
        <tr r="K650" s="1"/>
      </tp>
      <tp>
        <v>975</v>
        <stp/>
        <stp>nse_cm|965IFSL26-N6</stp>
        <stp>High</stp>
        <tr r="N1346" s="1"/>
      </tp>
      <tp>
        <v>0</v>
        <stp/>
        <stp>bse_cm|772IGT31</stp>
        <stp>Ask Qty</stp>
        <tr r="G1194" s="1"/>
      </tp>
      <tp>
        <v>0</v>
        <stp/>
        <stp>bse_cm|11UCL26</stp>
        <stp>Open</stp>
        <tr r="M323" s="1"/>
      </tp>
      <tp t="s">
        <v>BSE</v>
        <stp/>
        <stp>bse_cm|9SCL26B</stp>
        <stp>Exchange</stp>
        <tr r="C1135" s="1"/>
      </tp>
      <tp>
        <v>1015</v>
        <stp/>
        <stp>nse_cm|10NFL25-N9</stp>
        <stp>Ask Rate</stp>
        <tr r="F345" s="1"/>
      </tp>
      <tp>
        <v>981</v>
        <stp/>
        <stp>nse_cm|945IFSL25-N4</stp>
        <stp>High</stp>
        <tr r="N453" s="1"/>
      </tp>
      <tp>
        <v>0</v>
        <stp/>
        <stp>bse_cm|875PCHFL31</stp>
        <stp>High</stp>
        <tr r="N1172" s="1"/>
      </tp>
      <tp>
        <v>998</v>
        <stp/>
        <stp>nse_cm|945CAGL24-N1</stp>
        <stp>High</stp>
        <tr r="N1704" s="1"/>
      </tp>
      <tp>
        <v>-100</v>
        <stp/>
        <stp>bse_cm|KFL28D</stp>
        <stp>% Change</stp>
        <tr r="J1299" s="1"/>
      </tp>
      <tp>
        <v>0</v>
        <stp/>
        <stp>bse_cm|769HUDCO31</stp>
        <stp>Open</stp>
        <tr r="M15" s="1"/>
      </tp>
      <tp>
        <v>0</v>
        <stp/>
        <stp>bse_cm|764HUDCO31</stp>
        <stp>Open</stp>
        <tr r="M16" s="1"/>
      </tp>
      <tp>
        <v>1020</v>
        <stp/>
        <stp>nse_cm|805ABFL28-N2</stp>
        <stp>High</stp>
        <tr r="N477" s="1"/>
      </tp>
      <tp>
        <v>0</v>
        <stp/>
        <stp>bse_cm|IIFLHFZC27</stp>
        <stp>Ask Rate</stp>
        <tr r="F1516" s="1"/>
      </tp>
      <tp>
        <v>0</v>
        <stp/>
        <stp>bse_cm|MFLI25A</stp>
        <stp>ATP</stp>
        <tr r="K362" s="1"/>
      </tp>
      <tp>
        <v>959</v>
        <stp/>
        <stp>nse_cm|925ERFL28-N6</stp>
        <stp>High</stp>
        <tr r="N165" s="1"/>
      </tp>
      <tp>
        <v>0</v>
        <stp/>
        <stp>bse_cm|1050SCFL31</stp>
        <stp>Open</stp>
        <tr r="M1123" s="1"/>
      </tp>
      <tp>
        <v>0</v>
        <stp/>
        <stp>bse_cm|1003SCFL31</stp>
        <stp>Open</stp>
        <tr r="M1076" s="1"/>
      </tp>
      <tp>
        <v>0</v>
        <stp/>
        <stp>bse_cm|MFLV26E</stp>
        <stp>ATP</stp>
        <tr r="K352" s="1"/>
      </tp>
      <tp>
        <v>0</v>
        <stp/>
        <stp>bse_cm|1075SCFL34</stp>
        <stp>Open</stp>
        <tr r="M1020" s="1"/>
      </tp>
      <tp>
        <v>0</v>
        <stp/>
        <stp>bse_cm|1025SCFL34</stp>
        <stp>Open</stp>
        <tr r="M1025" s="1"/>
      </tp>
      <tp>
        <v>0</v>
        <stp/>
        <stp>bse_cm|739HUDCO31</stp>
        <stp>Open</stp>
        <tr r="M569" s="1"/>
      </tp>
      <tp>
        <v>990</v>
        <stp/>
        <stp>bse_cm|1075KLMA28</stp>
        <stp>High</stp>
        <tr r="N1116" s="1"/>
      </tp>
      <tp>
        <v>970</v>
        <stp/>
        <stp>bse_cm|1050KLMA28</stp>
        <stp>High</stp>
        <tr r="N611" s="1"/>
      </tp>
      <tp>
        <v>1000</v>
        <stp/>
        <stp>bse_cm|1025KAFL25</stp>
        <stp>High</stp>
        <tr r="N770" s="1"/>
      </tp>
      <tp>
        <v>0</v>
        <stp/>
        <stp>bse_cm|1050KAFL25</stp>
        <stp>High</stp>
        <tr r="N1161" s="1"/>
      </tp>
      <tp t="s">
        <v>INE414G07IO3</v>
        <stp/>
        <stp>bse_cm|8MFLTD28</stp>
        <stp>Isin code</stp>
        <tr r="R366" s="1"/>
      </tp>
      <tp>
        <v>0</v>
        <stp/>
        <stp>bse_cm|1125KAFL27</stp>
        <stp>High</stp>
        <tr r="N1228" s="1"/>
      </tp>
      <tp>
        <v>0</v>
        <stp/>
        <stp>bse_cm|1025KAFL27</stp>
        <stp>High</stp>
        <tr r="N769" s="1"/>
      </tp>
      <tp>
        <v>0</v>
        <stp/>
        <stp>bse_cm|1050KAFL27</stp>
        <stp>High</stp>
        <tr r="N1160" s="1"/>
      </tp>
      <tp>
        <v>1000</v>
        <stp/>
        <stp>nse_cm|78ABFL33-N4</stp>
        <stp>Face Value</stp>
        <tr r="Q371" s="1"/>
      </tp>
      <tp>
        <v>1084</v>
        <stp/>
        <stp>bse_cm|EFSLZC26B</stp>
        <stp>Bid Rate</stp>
        <tr r="E1678" s="1"/>
      </tp>
      <tp>
        <v>50</v>
        <stp/>
        <stp>nse_cm|9SFL25A-ZH</stp>
        <stp>Bid Qty</stp>
        <tr r="D463" s="1"/>
      </tp>
      <tp>
        <v>0</v>
        <stp/>
        <stp>nse_cm|ICCL25-NS</stp>
        <stp>Open</stp>
        <tr r="M1401" s="1"/>
      </tp>
      <tp>
        <v>1000</v>
        <stp/>
        <stp>nse_cm|769IGT28-NH</stp>
        <stp>Face Value</stp>
        <tr r="Q1487" s="1"/>
      </tp>
      <tp>
        <v>1000</v>
        <stp/>
        <stp>nse_cm|749IGT28-NG</stp>
        <stp>Face Value</stp>
        <tr r="Q1197" s="1"/>
      </tp>
      <tp>
        <v>985.2</v>
        <stp/>
        <stp>bse_cm|EFSLZC26C</stp>
        <stp>Bid Rate</stp>
        <tr r="E1332" s="1"/>
      </tp>
      <tp>
        <v>1265.2</v>
        <stp/>
        <stp>bse_cm|EFSLZC26A</stp>
        <stp>Bid Rate</stp>
        <tr r="E1574" s="1"/>
      </tp>
      <tp>
        <v>1000</v>
        <stp/>
        <stp>nse_cm|10IIFL28-N4</stp>
        <stp>Face Value</stp>
        <tr r="Q42" s="1"/>
      </tp>
      <tp t="s">
        <v>975JMFCS28</v>
        <stp/>
        <stp>bse_cm|975JMFCS28</stp>
        <stp>Trading Symbol</stp>
        <tr r="B275" s="1"/>
      </tp>
      <tp>
        <v>1085</v>
        <stp/>
        <stp>bse_cm|753IRFC30</stp>
        <stp>Bid Rate</stp>
        <tr r="E454" s="1"/>
      </tp>
      <tp>
        <v>1083.31</v>
        <stp/>
        <stp>bse_cm|728IRFC30</stp>
        <stp>Bid Rate</stp>
        <tr r="E469" s="1"/>
      </tp>
      <tp>
        <v>1096.52</v>
        <stp/>
        <stp>bse_cm|764IRFC31</stp>
        <stp>Bid Rate</stp>
        <tr r="E466" s="1"/>
      </tp>
      <tp>
        <v>1090.0999999999999</v>
        <stp/>
        <stp>bse_cm|735IRFC31</stp>
        <stp>Bid Rate</stp>
        <tr r="E1427" s="1"/>
      </tp>
      <tp>
        <v>0</v>
        <stp/>
        <stp>nse_cm|DLSL25-NW</stp>
        <stp>Open</stp>
        <tr r="M1745" s="1"/>
      </tp>
      <tp t="s">
        <v>MVAFZC25</v>
        <stp/>
        <stp>bse_cm|MVAFZC25</stp>
        <stp>Trading Symbol</stp>
        <tr r="B1746" s="1"/>
      </tp>
      <tp t="s">
        <v>BSE</v>
        <stp/>
        <stp>bse_cm|10MVAFL25</stp>
        <stp>Exchange</stp>
        <tr r="C1675" s="1"/>
      </tp>
      <tp>
        <v>996.55</v>
        <stp/>
        <stp>bse_cm|IIFLZC26B</stp>
        <stp>Bid Rate</stp>
        <tr r="E1179" s="1"/>
      </tp>
      <tp>
        <v>1314.8</v>
        <stp/>
        <stp>bse_cm|KAFLZC26A</stp>
        <stp>Bid Rate</stp>
        <tr r="E1710" s="1"/>
      </tp>
      <tp>
        <v>1133.75</v>
        <stp/>
        <stp>bse_cm|750IRFC35</stp>
        <stp>Bid Rate</stp>
        <tr r="E488" s="1"/>
      </tp>
      <tp>
        <v>0</v>
        <stp/>
        <stp>bse_cm|725IRFC35</stp>
        <stp>Bid Rate</stp>
        <tr r="E560" s="1"/>
      </tp>
      <tp>
        <v>1000</v>
        <stp/>
        <stp>nse_cm|96IIFL28-N5</stp>
        <stp>Face Value</stp>
        <tr r="Q106" s="1"/>
      </tp>
      <tp>
        <v>1000</v>
        <stp/>
        <stp>nse_cm|81ABFL33-N5</stp>
        <stp>Face Value</stp>
        <tr r="Q1588" s="1"/>
      </tp>
      <tp>
        <v>1000</v>
        <stp/>
        <stp>nse_cm|865IFL28-NZ</stp>
        <stp>Face Value</stp>
        <tr r="Q103" s="1"/>
      </tp>
      <tp>
        <v>1057.25</v>
        <stp/>
        <stp>bse_cm|IIFLZC26A</stp>
        <stp>Bid Rate</stp>
        <tr r="E1674" s="1"/>
      </tp>
      <tp t="s">
        <v>MMFLZC28</v>
        <stp/>
        <stp>bse_cm|MMFLZC28</stp>
        <stp>Trading Symbol</stp>
        <tr r="B1259" s="1"/>
      </tp>
      <tp t="s">
        <v>MMFLZC25</v>
        <stp/>
        <stp>bse_cm|MMFLZC25</stp>
        <stp>Trading Symbol</stp>
        <tr r="B1731" s="1"/>
      </tp>
      <tp t="s">
        <v>MMFLZC26</v>
        <stp/>
        <stp>bse_cm|MMFLZC26</stp>
        <stp>Trading Symbol</stp>
        <tr r="B1261" s="1"/>
      </tp>
      <tp t="s">
        <v>MMFLZC27</v>
        <stp/>
        <stp>bse_cm|MMFLZC27</stp>
        <stp>Trading Symbol</stp>
        <tr r="B1462" s="1"/>
      </tp>
      <tp>
        <v>1000</v>
        <stp/>
        <stp>nse_cm|0MOFSL27-N3</stp>
        <stp>Face Value</stp>
        <tr r="Q1038" s="1"/>
      </tp>
      <tp>
        <v>0</v>
        <stp/>
        <stp>nse_cm|9PEL25-N0</stp>
        <stp>Open</stp>
        <tr r="M341" s="1"/>
      </tp>
      <tp t="e">
        <v>#N/A</v>
        <stp/>
        <stp>bse_cm|MHFLZC24</stp>
        <stp>Trading Symbol</stp>
        <tr r="B35" s="1"/>
      </tp>
      <tp t="s">
        <v>MHFLZC26</v>
        <stp/>
        <stp>bse_cm|MHFLZC26</stp>
        <stp>Trading Symbol</stp>
        <tr r="B1714" s="1"/>
      </tp>
      <tp>
        <v>9</v>
        <stp/>
        <stp>nse_cm|9SCL26B-ND</stp>
        <stp>Bid Qty</stp>
        <tr r="D994" s="1"/>
      </tp>
      <tp>
        <v>1000</v>
        <stp/>
        <stp>nse_cm|792TCH25-N3</stp>
        <stp>Prev Close</stp>
        <tr r="P1187" s="1"/>
      </tp>
      <tp>
        <v>0</v>
        <stp/>
        <stp>bse_cm|689RECL24</stp>
        <stp>Ask Rate</stp>
        <tr r="F1206" s="1"/>
      </tp>
      <tp>
        <v>0</v>
        <stp/>
        <stp>nse_cm|CAGL26-NA</stp>
        <stp>Open</stp>
        <tr r="M735" s="1"/>
      </tp>
      <tp>
        <v>1000.4</v>
        <stp/>
        <stp>nse_cm|801TCH25-N4</stp>
        <stp>Prev Close</stp>
        <tr r="P493" s="1"/>
      </tp>
      <tp>
        <v>0</v>
        <stp/>
        <stp>nse_cm|CAGL27-NC</stp>
        <stp>Open</stp>
        <tr r="M733" s="1"/>
      </tp>
      <tp>
        <v>1242</v>
        <stp/>
        <stp>nse_cm|862REC33-NA</stp>
        <stp>Prev Close</stp>
        <tr r="P563" s="1"/>
      </tp>
      <tp>
        <v>0</v>
        <stp/>
        <stp>nse_cm|CAGL28-NE</stp>
        <stp>Open</stp>
        <tr r="M756" s="1"/>
      </tp>
      <tp>
        <v>990.45</v>
        <stp/>
        <stp>bse_cm|975MFL24B</stp>
        <stp>Bid Rate</stp>
        <tr r="E415" s="1"/>
      </tp>
      <tp t="s">
        <v>1010NIDO28</v>
        <stp/>
        <stp>bse_cm|1010NIDO28</stp>
        <stp>Trading Symbol</stp>
        <tr r="B199" s="1"/>
      </tp>
      <tp t="s">
        <v>INE033L08270</v>
        <stp/>
        <stp>nse_cm|TCHF30-NB</stp>
        <stp>Isin code</stp>
        <tr r="R408" s="1"/>
      </tp>
      <tp>
        <v>1009</v>
        <stp/>
        <stp>bse_cm|9PCHFL31A</stp>
        <stp>Bid Rate</stp>
        <tr r="E301" s="1"/>
      </tp>
      <tp>
        <v>50</v>
        <stp/>
        <stp>nse_cm|DLSL25A-Y4</stp>
        <stp>Ask Qty</stp>
        <tr r="G1732" s="1"/>
      </tp>
      <tp>
        <v>0</v>
        <stp/>
        <stp>nse_cm|875CIFC23B-NJ</stp>
        <stp>% Change</stp>
        <tr r="J346" s="1"/>
      </tp>
      <tp t="s">
        <v>92LTF29-N4</v>
        <stp/>
        <stp>nse_cm|92LTF29-N4</stp>
        <stp>Trading Symbol</stp>
        <tr r="B1087" s="1"/>
      </tp>
      <tp t="s">
        <v>BSE</v>
        <stp/>
        <stp>bse_cm|865SCL24B</stp>
        <stp>Exchange</stp>
        <tr r="C953" s="1"/>
      </tp>
      <tp t="s">
        <v>INE244L07473</v>
        <stp/>
        <stp>bse_cm|ICCL25</stp>
        <stp>Isin code</stp>
        <tr r="R1330" s="1"/>
      </tp>
      <tp t="s">
        <v>735PFCL35</v>
        <stp/>
        <stp>nse_cm|735PFCL35-N1</stp>
        <stp>Symbol</stp>
        <tr r="A26" s="1"/>
      </tp>
      <tp>
        <v>0</v>
        <stp/>
        <stp>nse_cm|CAGL25A-N4</stp>
        <stp>Ask Qty</stp>
        <tr r="G709" s="1"/>
      </tp>
      <tp>
        <v>0</v>
        <stp/>
        <stp>nse_cm|CAGL27A-N6</stp>
        <stp>Ask Qty</stp>
        <tr r="G758" s="1"/>
      </tp>
      <tp t="s">
        <v>760PFCL35</v>
        <stp/>
        <stp>nse_cm|760PFCL35-N3</stp>
        <stp>Symbol</stp>
        <tr r="A22" s="1"/>
      </tp>
      <tp t="s">
        <v>INE741K07553</v>
        <stp/>
        <stp>bse_cm|CAGL27</stp>
        <stp>Isin code</stp>
        <tr r="R734" s="1"/>
      </tp>
      <tp t="s">
        <v>825IIFL25</v>
        <stp/>
        <stp>nse_cm|825IIFL25-N7</stp>
        <stp>Symbol</stp>
        <tr r="A49" s="1"/>
      </tp>
      <tp>
        <v>0</v>
        <stp/>
        <stp>bse_cm|1003VCL25</stp>
        <stp>Open</stp>
        <tr r="M151" s="1"/>
      </tp>
      <tp t="s">
        <v>INE148I07QZ2</v>
        <stp/>
        <stp>nse_cm|980SCL33-NX</stp>
        <stp>Isin code</stp>
        <tr r="R360" s="1"/>
      </tp>
      <tp>
        <v>950</v>
        <stp/>
        <stp>bse_cm|11DLSL25A</stp>
        <stp>Bid Rate</stp>
        <tr r="E300" s="1"/>
      </tp>
      <tp>
        <v>0</v>
        <stp/>
        <stp>bse_cm|SCL310524</stp>
        <stp>Open</stp>
        <tr r="M1345" s="1"/>
      </tp>
      <tp>
        <v>650</v>
        <stp/>
        <stp>nse_cm|902SCL26I-AW</stp>
        <stp>Prev Close</stp>
        <tr r="P1383" s="1"/>
      </tp>
      <tp>
        <v>1025</v>
        <stp/>
        <stp>nse_cm|87LTF27-NH</stp>
        <stp>Ask Rate</stp>
        <tr r="F407" s="1"/>
      </tp>
      <tp>
        <v>1000</v>
        <stp/>
        <stp>nse_cm|925SCL28I-BA</stp>
        <stp>Prev Close</stp>
        <tr r="P821" s="1"/>
      </tp>
      <tp>
        <v>1072.8</v>
        <stp/>
        <stp>nse_cm|86LTF24-NJ</stp>
        <stp>Ask Rate</stp>
        <tr r="F7" s="1"/>
      </tp>
      <tp>
        <v>1240</v>
        <stp/>
        <stp>nse_cm|948SCL26I-AX</stp>
        <stp>Prev Close</stp>
        <tr r="P1708" s="1"/>
      </tp>
      <tp>
        <v>0</v>
        <stp/>
        <stp>bse_cm|8ABFL26</stp>
        <stp>Volume Traded Today</stp>
        <tr r="L539" s="1"/>
      </tp>
      <tp>
        <v>990</v>
        <stp/>
        <stp>nse_cm|971SCL28I-BC</stp>
        <stp>Prev Close</stp>
        <tr r="P531" s="1"/>
      </tp>
      <tp>
        <v>1069</v>
        <stp/>
        <stp>nse_cm|85LTF26-NM</stp>
        <stp>Ask Rate</stp>
        <tr r="F365" s="1"/>
      </tp>
      <tp>
        <v>0</v>
        <stp/>
        <stp>nse_cm|816ABFL29-NC</stp>
        <stp>High</stp>
        <tr r="N732" s="1"/>
      </tp>
      <tp>
        <v>865</v>
        <stp/>
        <stp>nse_cm|990SCL26I-AV</stp>
        <stp>Prev Close</stp>
        <tr r="P1368" s="1"/>
      </tp>
      <tp>
        <v>0</v>
        <stp/>
        <stp>bse_cm|1003SCL30A</stp>
        <stp>Open</stp>
        <tr r="M875" s="1"/>
      </tp>
      <tp>
        <v>980</v>
        <stp/>
        <stp>bse_cm|105EFSL29</stp>
        <stp>Prev Close</stp>
        <tr r="P1358" s="1"/>
      </tp>
      <tp>
        <v>1021</v>
        <stp/>
        <stp>nse_cm|93MOFSL34-N6</stp>
        <stp>Ask Rate</stp>
        <tr r="F299" s="1"/>
      </tp>
      <tp>
        <v>0</v>
        <stp/>
        <stp>bse_cm|12KLM25</stp>
        <stp>ATP</stp>
        <tr r="K1211" s="1"/>
      </tp>
      <tp>
        <v>1000</v>
        <stp/>
        <stp>nse_cm|CIFC26-NK</stp>
        <stp>Face Value</stp>
        <tr r="Q741" s="1"/>
      </tp>
      <tp>
        <v>1085</v>
        <stp/>
        <stp>nse_cm|97MOFSL34-N7</stp>
        <stp>Ask Rate</stp>
        <tr r="F1599" s="1"/>
      </tp>
      <tp t="s">
        <v>BSE</v>
        <stp/>
        <stp>bse_cm|9TCAP28</stp>
        <stp>Exchange</stp>
        <tr r="C545" s="1"/>
      </tp>
      <tp>
        <v>973.8</v>
        <stp/>
        <stp>bse_cm|101EFSL28</stp>
        <stp>Prev Close</stp>
        <tr r="P211" s="1"/>
      </tp>
      <tp>
        <v>0</v>
        <stp/>
        <stp>bse_cm|96ONE29</stp>
        <stp>ATP</stp>
        <tr r="K1621" s="1"/>
      </tp>
      <tp>
        <v>1040</v>
        <stp/>
        <stp>nse_cm|91MOFSL27-N2</stp>
        <stp>Ask Rate</stp>
        <tr r="F1611" s="1"/>
      </tp>
      <tp>
        <v>1000</v>
        <stp/>
        <stp>bse_cm|1030ICC26</stp>
        <stp>Face Value</stp>
        <tr r="Q1538" s="1"/>
      </tp>
      <tp>
        <v>1019.5</v>
        <stp/>
        <stp>nse_cm|1102NFL26-N8</stp>
        <stp xml:space="preserve">Low </stp>
        <tr r="O587" s="1"/>
      </tp>
      <tp>
        <v>1000</v>
        <stp/>
        <stp>bse_cm|729NHAI26</stp>
        <stp>Face Value</stp>
        <tr r="Q348" s="1"/>
      </tp>
      <tp>
        <v>1000</v>
        <stp/>
        <stp>bse_cm|753IRFC30</stp>
        <stp>Face Value</stp>
        <tr r="Q454" s="1"/>
      </tp>
      <tp>
        <v>1000</v>
        <stp/>
        <stp>nse_cm|11DLSL25A-Y3</stp>
        <stp>Face Value</stp>
        <tr r="Q64" s="1"/>
      </tp>
      <tp>
        <v>965</v>
        <stp/>
        <stp>bse_cm|895EFSL25A</stp>
        <stp>High</stp>
        <tr r="N594" s="1"/>
      </tp>
      <tp>
        <v>990.01</v>
        <stp/>
        <stp>nse_cm|850IIFL27-NA</stp>
        <stp xml:space="preserve">Low </stp>
        <tr r="O608" s="1"/>
      </tp>
      <tp>
        <v>-0.38</v>
        <stp/>
        <stp>nse_cm|10CAGL27-N5</stp>
        <stp>% Change</stp>
        <tr r="J273" s="1"/>
      </tp>
      <tp t="s">
        <v>NSE</v>
        <stp/>
        <stp>nse_cm|96SCL25-AA</stp>
        <stp>Exchange</stp>
        <tr r="C1067" s="1"/>
      </tp>
      <tp>
        <v>1000</v>
        <stp/>
        <stp>bse_cm|750IRFC35</stp>
        <stp>Face Value</stp>
        <tr r="Q488" s="1"/>
      </tp>
      <tp>
        <v>1000</v>
        <stp/>
        <stp>bse_cm|958NHFL27</stp>
        <stp>Face Value</stp>
        <tr r="Q616" s="1"/>
      </tp>
      <tp>
        <v>0</v>
        <stp/>
        <stp>bse_cm|925FL27</stp>
        <stp>Open</stp>
        <tr r="M615" s="1"/>
      </tp>
      <tp>
        <v>-0.11</v>
        <stp/>
        <stp>nse_cm|10IIFL28-N4</stp>
        <stp>% Change</stp>
        <tr r="J42" s="1"/>
      </tp>
      <tp>
        <v>1000</v>
        <stp/>
        <stp>bse_cm|1040UCL25</stp>
        <stp>Face Value</stp>
        <tr r="Q1612" s="1"/>
      </tp>
      <tp>
        <v>1000</v>
        <stp/>
        <stp>bse_cm|SCL310524</stp>
        <stp>Face Value</stp>
        <tr r="Q1345" s="1"/>
      </tp>
      <tp>
        <v>1000</v>
        <stp/>
        <stp>bse_cm|1050SCL31</stp>
        <stp>Face Value</stp>
        <tr r="Q892" s="1"/>
      </tp>
      <tp>
        <v>1000</v>
        <stp/>
        <stp>bse_cm|1050SCL30</stp>
        <stp>Face Value</stp>
        <tr r="Q867" s="1"/>
      </tp>
      <tp>
        <v>1000</v>
        <stp/>
        <stp>bse_cm|1050VCL25</stp>
        <stp>Face Value</stp>
        <tr r="Q656" s="1"/>
      </tp>
      <tp>
        <v>1000</v>
        <stp/>
        <stp>bse_cm|1050UCL25</stp>
        <stp>Face Value</stp>
        <tr r="Q417" s="1"/>
      </tp>
      <tp>
        <v>1000</v>
        <stp/>
        <stp>bse_cm|945CAGL24</stp>
        <stp>Face Value</stp>
        <tr r="Q566" s="1"/>
      </tp>
      <tp>
        <v>0.25</v>
        <stp/>
        <stp>nse_cm|10IIFL29-N6</stp>
        <stp>% Change</stp>
        <tr r="J193" s="1"/>
      </tp>
      <tp>
        <v>15</v>
        <stp/>
        <stp>bse_cm|9SFL2026</stp>
        <stp>Bid Qty</stp>
        <tr r="D1473" s="1"/>
      </tp>
      <tp>
        <v>1000</v>
        <stp/>
        <stp>bse_cm|CCI110324</stp>
        <stp>Face Value</stp>
        <tr r="Q755" s="1"/>
      </tp>
      <tp>
        <v>1000</v>
        <stp/>
        <stp>bse_cm|1060ECL29</stp>
        <stp>Face Value</stp>
        <tr r="Q272" s="1"/>
      </tp>
      <tp>
        <v>0</v>
        <stp/>
        <stp>nse_cm|10IFSL26-N7</stp>
        <stp>% Change</stp>
        <tr r="J293" s="1"/>
      </tp>
      <tp>
        <v>1000</v>
        <stp/>
        <stp>bse_cm|1075CCL25</stp>
        <stp>Face Value</stp>
        <tr r="Q1119" s="1"/>
      </tp>
      <tp>
        <v>1000</v>
        <stp/>
        <stp>bse_cm|1075UCL25</stp>
        <stp>Face Value</stp>
        <tr r="Q515" s="1"/>
      </tp>
      <tp>
        <v>1000</v>
        <stp/>
        <stp>bse_cm|1075SCL34</stp>
        <stp>Face Value</stp>
        <tr r="Q888" s="1"/>
      </tp>
      <tp>
        <v>1000</v>
        <stp/>
        <stp>bse_cm|1075SCL33</stp>
        <stp>Face Value</stp>
        <tr r="Q881" s="1"/>
      </tp>
      <tp>
        <v>1005</v>
        <stp/>
        <stp>nse_cm|940CAGL27-NB</stp>
        <stp xml:space="preserve">Low </stp>
        <tr r="O1367" s="1"/>
      </tp>
      <tp>
        <v>1000</v>
        <stp/>
        <stp>bse_cm|957ISFL26</stp>
        <stp>Face Value</stp>
        <tr r="Q761" s="1"/>
      </tp>
      <tp>
        <v>1000</v>
        <stp/>
        <stp>bse_cm|1003VCL25</stp>
        <stp>Face Value</stp>
        <tr r="Q151" s="1"/>
      </tp>
      <tp>
        <v>1000</v>
        <stp/>
        <stp>bse_cm|1003SCL31</stp>
        <stp>Face Value</stp>
        <tr r="Q727" s="1"/>
      </tp>
      <tp>
        <v>857.14</v>
        <stp/>
        <stp>bse_cm|1003SCL30</stp>
        <stp>Face Value</stp>
        <tr r="Q877" s="1"/>
      </tp>
      <tp>
        <v>1000</v>
        <stp/>
        <stp>bse_cm|1050CCI25</stp>
        <stp>Face Value</stp>
        <tr r="Q173" s="1"/>
      </tp>
      <tp>
        <v>1000</v>
        <stp/>
        <stp>bse_cm|850SCFL25</stp>
        <stp>Face Value</stp>
        <tr r="Q1099" s="1"/>
      </tp>
      <tp>
        <v>1000</v>
        <stp/>
        <stp>bse_cm|950NHFL26</stp>
        <stp>Face Value</stp>
        <tr r="Q582" s="1"/>
      </tp>
      <tp>
        <v>1000</v>
        <stp/>
        <stp>bse_cm|950MMFL26</stp>
        <stp>Face Value</stp>
        <tr r="Q291" s="1"/>
      </tp>
      <tp>
        <v>1000</v>
        <stp/>
        <stp>bse_cm|950MMFL25</stp>
        <stp>Face Value</stp>
        <tr r="Q1526" s="1"/>
      </tp>
      <tp>
        <v>1000</v>
        <stp/>
        <stp>bse_cm|850IIFL27</stp>
        <stp>Face Value</stp>
        <tr r="Q1407" s="1"/>
      </tp>
      <tp>
        <v>1000</v>
        <stp/>
        <stp>bse_cm|940CAGL27</stp>
        <stp>Face Value</stp>
        <tr r="Q261" s="1"/>
      </tp>
      <tp>
        <v>1000</v>
        <stp/>
        <stp>bse_cm|1015ECL29</stp>
        <stp>Face Value</stp>
        <tr r="Q210" s="1"/>
      </tp>
      <tp>
        <v>1000</v>
        <stp/>
        <stp>bse_cm|1015SCL29</stp>
        <stp>Face Value</stp>
        <tr r="Q1177" s="1"/>
      </tp>
      <tp>
        <v>1000</v>
        <stp/>
        <stp>bse_cm|1015SCL28</stp>
        <stp>Face Value</stp>
        <tr r="Q327" s="1"/>
      </tp>
      <tp>
        <v>0</v>
        <stp/>
        <stp>nse_cm|940ICCL28-NN</stp>
        <stp xml:space="preserve">Low </stp>
        <tr r="O779" s="1"/>
      </tp>
      <tp>
        <v>1024</v>
        <stp/>
        <stp>nse_cm|970CAGL28-ND</stp>
        <stp xml:space="preserve">Low </stp>
        <tr r="O306" s="1"/>
      </tp>
      <tp>
        <v>881.4</v>
        <stp/>
        <stp>bse_cm|1025KFL27A</stp>
        <stp xml:space="preserve">Low </stp>
        <tr r="O89" s="1"/>
      </tp>
      <tp>
        <v>0</v>
        <stp/>
        <stp>bse_cm|1010EFS29A</stp>
        <stp xml:space="preserve">Low </stp>
        <tr r="O1593" s="1"/>
      </tp>
      <tp>
        <v>1000</v>
        <stp/>
        <stp>bse_cm|1075CCI26</stp>
        <stp>Face Value</stp>
        <tr r="Q1425" s="1"/>
      </tp>
      <tp>
        <v>100000</v>
        <stp/>
        <stp>bse_cm|1025UCL27</stp>
        <stp>Face Value</stp>
        <tr r="Q1019" s="1"/>
      </tp>
      <tp>
        <v>1000</v>
        <stp/>
        <stp>bse_cm|1025UCL25</stp>
        <stp>Face Value</stp>
        <tr r="Q326" s="1"/>
      </tp>
      <tp>
        <v>1000</v>
        <stp/>
        <stp>bse_cm|1025SCL34</stp>
        <stp>Face Value</stp>
        <tr r="Q129" s="1"/>
      </tp>
      <tp>
        <v>1000</v>
        <stp/>
        <stp>bse_cm|1025SCL33</stp>
        <stp>Face Value</stp>
        <tr r="Q879" s="1"/>
      </tp>
      <tp>
        <v>0</v>
        <stp/>
        <stp>nse_cm|10ISFL26-N3</stp>
        <stp>% Change</stp>
        <tr r="J1527" s="1"/>
      </tp>
      <tp>
        <v>750</v>
        <stp/>
        <stp>bse_cm|1035UCL26</stp>
        <stp>Face Value</stp>
        <tr r="Q1626" s="1"/>
      </tp>
      <tp>
        <v>1000</v>
        <stp/>
        <stp>bse_cm|1035UCL24</stp>
        <stp>Face Value</stp>
        <tr r="Q1580" s="1"/>
      </tp>
      <tp>
        <v>0</v>
        <stp/>
        <stp>nse_cm|980ICCL28-NL</stp>
        <stp xml:space="preserve">Low </stp>
        <tr r="O780" s="1"/>
      </tp>
      <tp>
        <v>1000</v>
        <stp/>
        <stp>bse_cm|970NIDO32</stp>
        <stp>Face Value</stp>
        <tr r="Q67" s="1"/>
      </tp>
      <tp>
        <v>1000</v>
        <stp/>
        <stp>bse_cm|870NIDO25</stp>
        <stp>Face Value</stp>
        <tr r="Q86" s="1"/>
      </tp>
      <tp>
        <v>0</v>
        <stp/>
        <stp>nse_cm|905PEL26-N1</stp>
        <stp>% Change</stp>
        <tr r="J500" s="1"/>
      </tp>
      <tp>
        <v>1010</v>
        <stp/>
        <stp>bse_cm|IML1622024</stp>
        <stp xml:space="preserve">Low </stp>
        <tr r="O1328" s="1"/>
      </tp>
      <tp>
        <v>1172.25</v>
        <stp/>
        <stp>nse_cm|875NHAI29-N6</stp>
        <stp xml:space="preserve">Low </stp>
        <tr r="O495" s="1"/>
      </tp>
      <tp>
        <v>1040</v>
        <stp/>
        <stp>nse_cm|960ISFL25-N1</stp>
        <stp xml:space="preserve">Low </stp>
        <tr r="O1695" s="1"/>
      </tp>
      <tp>
        <v>0</v>
        <stp/>
        <stp>bse_cm|92LTF29</stp>
        <stp>Open</stp>
        <tr r="M1088" s="1"/>
      </tp>
      <tp t="s">
        <v>INE134E07AM3</v>
        <stp/>
        <stp>bse_cm|68PFCL31</stp>
        <stp>Isin code</stp>
        <tr r="R1205" s="1"/>
      </tp>
      <tp>
        <v>925.2</v>
        <stp/>
        <stp>bse_cm|9MFL25A</stp>
        <stp>Bid Rate</stp>
        <tr r="E702" s="1"/>
      </tp>
      <tp t="s">
        <v>INE01I507877</v>
        <stp/>
        <stp>bse_cm|10KAFL26</stp>
        <stp>Isin code</stp>
        <tr r="R1096" s="1"/>
      </tp>
      <tp t="s">
        <v>INE01I507471</v>
        <stp/>
        <stp>bse_cm|11KAFL26</stp>
        <stp>Isin code</stp>
        <tr r="R671" s="1"/>
      </tp>
      <tp t="s">
        <v>NSE</v>
        <stp/>
        <stp>nse_cm|948SCL26I-AX</stp>
        <stp>Exchange</stp>
        <tr r="C1708" s="1"/>
      </tp>
      <tp>
        <v>1001.1</v>
        <stp/>
        <stp>nse_cm|980IFSL25-N5</stp>
        <stp xml:space="preserve">Low </stp>
        <tr r="O476" s="1"/>
      </tp>
      <tp>
        <v>964</v>
        <stp/>
        <stp>bse_cm|1003NHFL29</stp>
        <stp xml:space="preserve">Low </stp>
        <tr r="O605" s="1"/>
      </tp>
      <tp>
        <v>1000</v>
        <stp/>
        <stp>bse_cm|1010NIDO28</stp>
        <stp xml:space="preserve">Low </stp>
        <tr r="O199" s="1"/>
      </tp>
      <tp>
        <v>841</v>
        <stp/>
        <stp>bse_cm|1050NHFL29</stp>
        <stp xml:space="preserve">Low </stp>
        <tr r="O1125" s="1"/>
      </tp>
      <tp>
        <v>1102.0999999999999</v>
        <stp/>
        <stp>nse_cm|736PFCL28-N2</stp>
        <stp>High</stp>
        <tr r="N11" s="1"/>
      </tp>
      <tp>
        <v>0</v>
        <stp/>
        <stp>bse_cm|12IFL27</stp>
        <stp>Open</stp>
        <tr r="M258" s="1"/>
      </tp>
      <tp>
        <v>0</v>
        <stp/>
        <stp>bse_cm|12KLM25</stp>
        <stp>Open</stp>
        <tr r="M1211" s="1"/>
      </tp>
      <tp>
        <v>966.13</v>
        <stp/>
        <stp>bse_cm|1003NIDO29</stp>
        <stp xml:space="preserve">Low </stp>
        <tr r="O679" s="1"/>
      </tp>
      <tp>
        <v>0</v>
        <stp/>
        <stp>bse_cm|1050NIDO29</stp>
        <stp xml:space="preserve">Low </stp>
        <tr r="O1124" s="1"/>
      </tp>
      <tp>
        <v>1035</v>
        <stp/>
        <stp>nse_cm|1060ECL29-NS</stp>
        <stp>High</stp>
        <tr r="N144" s="1"/>
      </tp>
      <tp>
        <v>0</v>
        <stp/>
        <stp>bse_cm|12IML26</stp>
        <stp>Open</stp>
        <tr r="M1494" s="1"/>
      </tp>
      <tp>
        <v>999</v>
        <stp/>
        <stp>nse_cm|960CAGL25-N3</stp>
        <stp xml:space="preserve">Low </stp>
        <tr r="O305" s="1"/>
      </tp>
      <tp>
        <v>930</v>
        <stp/>
        <stp>nse_cm|820IIFL27-N9</stp>
        <stp xml:space="preserve">Low </stp>
        <tr r="O266" s="1"/>
      </tp>
      <tp t="s">
        <v>NSE</v>
        <stp/>
        <stp>nse_cm|888SCL25A-AQ</stp>
        <stp>Exchange</stp>
        <tr r="C910" s="1"/>
      </tp>
      <tp>
        <v>0</v>
        <stp/>
        <stp>bse_cm|12CCI29</stp>
        <stp>Open</stp>
        <tr r="M91" s="1"/>
      </tp>
      <tp t="s">
        <v>INE423A07351</v>
        <stp/>
        <stp>bse_cm|925AEL26</stp>
        <stp>Isin code</stp>
        <tr r="R335" s="1"/>
      </tp>
      <tp>
        <v>989</v>
        <stp/>
        <stp>nse_cm|910CAGL25-N7</stp>
        <stp xml:space="preserve">Low </stp>
        <tr r="O622" s="1"/>
      </tp>
      <tp>
        <v>10</v>
        <stp/>
        <stp>bse_cm|772IGT31</stp>
        <stp>Bid Qty</stp>
        <tr r="D1194" s="1"/>
      </tp>
      <tp>
        <v>-100</v>
        <stp/>
        <stp>nse_cm|902SCL26-N8</stp>
        <stp>% Change</stp>
        <tr r="J968" s="1"/>
      </tp>
      <tp t="s">
        <v>BSE</v>
        <stp/>
        <stp>bse_cm|9SFL25A</stp>
        <stp>Exchange</stp>
        <tr r="C441" s="1"/>
      </tp>
      <tp>
        <v>1160</v>
        <stp/>
        <stp>nse_cm|879NHPC28-N5</stp>
        <stp>High</stp>
        <tr r="N464" s="1"/>
      </tp>
      <tp>
        <v>0</v>
        <stp/>
        <stp>bse_cm|87SCL25</stp>
        <stp>Volume Traded Today</stp>
        <tr r="L958" s="1"/>
      </tp>
      <tp>
        <v>0</v>
        <stp/>
        <stp>bse_cm|87SCL27</stp>
        <stp>Volume Traded Today</stp>
        <tr r="L978" s="1"/>
      </tp>
      <tp>
        <v>0</v>
        <stp/>
        <stp>bse_cm|84MFL25</stp>
        <stp>Volume Traded Today</stp>
        <tr r="L316" s="1"/>
      </tp>
      <tp>
        <v>0</v>
        <stp/>
        <stp>bse_cm|745IGT26</stp>
        <stp>Ask Qty</stp>
        <tr r="G1202" s="1"/>
      </tp>
      <tp>
        <v>5.25</v>
        <stp/>
        <stp>nse_cm|849NTPC25-N7</stp>
        <stp>High</stp>
        <tr r="N302" s="1"/>
      </tp>
      <tp>
        <v>0</v>
        <stp/>
        <stp>bse_cm|85KFL25</stp>
        <stp>Volume Traded Today</stp>
        <tr r="L641" s="1"/>
      </tp>
      <tp>
        <v>0</v>
        <stp/>
        <stp>bse_cm|95KLM25</stp>
        <stp>Volume Traded Today</stp>
        <tr r="L73" s="1"/>
      </tp>
      <tp>
        <v>0</v>
        <stp/>
        <stp>bse_cm|85IFL26</stp>
        <stp>Volume Traded Today</stp>
        <tr r="L1357" s="1"/>
      </tp>
      <tp t="s">
        <v>00:00:00</v>
        <stp/>
        <stp>bse_cm|CIFC26A</stp>
        <stp>LTT</stp>
        <tr r="I740" s="1"/>
      </tp>
      <tp>
        <v>0</v>
        <stp/>
        <stp>bse_cm|CIFC26A</stp>
        <stp>LTP</stp>
        <tr r="H740" s="1"/>
      </tp>
      <tp>
        <v>0</v>
        <stp/>
        <stp>bse_cm|NIDO25A</stp>
        <stp>ATP</stp>
        <tr r="K1245" s="1"/>
      </tp>
      <tp>
        <v>0</v>
        <stp/>
        <stp>bse_cm|0NHFL29</stp>
        <stp>ATP</stp>
        <tr r="K1035" s="1"/>
      </tp>
      <tp>
        <v>0</v>
        <stp/>
        <stp>bse_cm|0NHFL27</stp>
        <stp>ATP</stp>
        <tr r="K1036" s="1"/>
      </tp>
      <tp>
        <v>0</v>
        <stp/>
        <stp>bse_cm|0NHFL26</stp>
        <stp>ATP</stp>
        <tr r="K1037" s="1"/>
      </tp>
      <tp t="s">
        <v>NSE</v>
        <stp/>
        <stp>nse_cm|948SCL26D-AI</stp>
        <stp>Exchange</stp>
        <tr r="C1690" s="1"/>
      </tp>
      <tp>
        <v>0</v>
        <stp/>
        <stp>bse_cm|81MFL28</stp>
        <stp>Volume Traded Today</stp>
        <tr r="L314" s="1"/>
      </tp>
      <tp>
        <v>1163.3</v>
        <stp/>
        <stp>nse_cm|760PFCL35-N3</stp>
        <stp xml:space="preserve">Low </stp>
        <tr r="O22" s="1"/>
      </tp>
      <tp>
        <v>0</v>
        <stp/>
        <stp>bse_cm|85PCHFL26</stp>
        <stp>ATP</stp>
        <tr r="K713" s="1"/>
      </tp>
      <tp>
        <v>1065</v>
        <stp/>
        <stp>bse_cm|1025NWFL25</stp>
        <stp xml:space="preserve">Low </stp>
        <tr r="O154" s="1"/>
      </tp>
      <tp t="s">
        <v>INE532F07CJ7</v>
        <stp/>
        <stp>bse_cm|97EFSL31</stp>
        <stp>Isin code</stp>
        <tr r="R635" s="1"/>
      </tp>
      <tp t="s">
        <v>INE532F07CI9</v>
        <stp/>
        <stp>bse_cm|93EFSL31</stp>
        <stp>Isin code</stp>
        <tr r="R83" s="1"/>
      </tp>
      <tp t="s">
        <v>00:00:00</v>
        <stp/>
        <stp>bse_cm|CAGL27A</stp>
        <stp>LTT</stp>
        <tr r="I1379" s="1"/>
      </tp>
      <tp>
        <v>0</v>
        <stp/>
        <stp>bse_cm|CAGL27A</stp>
        <stp>LTP</stp>
        <tr r="H1379" s="1"/>
      </tp>
      <tp>
        <v>1000</v>
        <stp/>
        <stp>nse_cm|1065NFL27-NC</stp>
        <stp>High</stp>
        <tr r="N170" s="1"/>
      </tp>
      <tp>
        <v>1000</v>
        <stp/>
        <stp>bse_cm|85PCHFL26</stp>
        <stp>Face Value</stp>
        <tr r="Q713" s="1"/>
      </tp>
      <tp>
        <v>0</v>
        <stp/>
        <stp>bse_cm|SCFL310524</stp>
        <stp>Open</stp>
        <tr r="M1241" s="1"/>
      </tp>
      <tp t="s">
        <v>00:00:00</v>
        <stp/>
        <stp>bse_cm|CAGL25A</stp>
        <stp>LTT</stp>
        <tr r="I1701" s="1"/>
      </tp>
      <tp>
        <v>0</v>
        <stp/>
        <stp>bse_cm|CAGL25A</stp>
        <stp>LTP</stp>
        <tr r="H1701" s="1"/>
      </tp>
      <tp>
        <v>0</v>
        <stp/>
        <stp>bse_cm|88MFL28</stp>
        <stp>Volume Traded Today</stp>
        <tr r="L233" s="1"/>
      </tp>
      <tp>
        <v>0</v>
        <stp/>
        <stp>bse_cm|88SCL25</stp>
        <stp>Volume Traded Today</stp>
        <tr r="L987" s="1"/>
      </tp>
      <tp>
        <v>1000</v>
        <stp/>
        <stp>nse_cm|IIFLZC28B-Y1</stp>
        <stp>Open</stp>
        <tr r="M1491" s="1"/>
      </tp>
      <tp>
        <v>0</v>
        <stp/>
        <stp>bse_cm|749IGT28</stp>
        <stp>Ask Qty</stp>
        <tr r="G1198" s="1"/>
      </tp>
      <tp>
        <v>0</v>
        <stp/>
        <stp>bse_cm|89MFL26</stp>
        <stp>Volume Traded Today</stp>
        <tr r="L250" s="1"/>
      </tp>
      <tp>
        <v>0</v>
        <stp/>
        <stp>bse_cm|89SCL24</stp>
        <stp>Volume Traded Today</stp>
        <tr r="L1153" s="1"/>
      </tp>
      <tp>
        <v>1061</v>
        <stp/>
        <stp>nse_cm|830PFCL27-N5</stp>
        <stp xml:space="preserve">Low </stp>
        <tr r="O400" s="1"/>
      </tp>
      <tp t="s">
        <v>764NABAR31</v>
        <stp/>
        <stp>bse_cm|764NABAR31</stp>
        <stp>Trading Symbol</stp>
        <tr r="B497" s="1"/>
      </tp>
      <tp t="s">
        <v>704NABAR26</v>
        <stp/>
        <stp>bse_cm|704NABAR26</stp>
        <stp>Trading Symbol</stp>
        <tr r="B1702" s="1"/>
      </tp>
      <tp>
        <v>1017</v>
        <stp/>
        <stp>bse_cm|EFSLZC25A</stp>
        <stp>Bid Rate</stp>
        <tr r="E1333" s="1"/>
      </tp>
      <tp>
        <v>950.2</v>
        <stp/>
        <stp>bse_cm|CCILZC25A</stp>
        <stp>Bid Rate</stp>
        <tr r="E749" s="1"/>
      </tp>
      <tp>
        <v>1150.2</v>
        <stp/>
        <stp>bse_cm|MMFLZC25B</stp>
        <stp>Bid Rate</stp>
        <tr r="E1581" s="1"/>
      </tp>
      <tp>
        <v>1050.2</v>
        <stp/>
        <stp>bse_cm|MMFLZC25C</stp>
        <stp>Bid Rate</stp>
        <tr r="E1263" s="1"/>
      </tp>
      <tp>
        <v>1000</v>
        <stp/>
        <stp>nse_cm|99IFCI24-NH</stp>
        <stp>Face Value</stp>
        <tr r="Q39" s="1"/>
      </tp>
      <tp t="s">
        <v>NWFLZC25</v>
        <stp/>
        <stp>bse_cm|NWFLZC25</stp>
        <stp>Trading Symbol</stp>
        <tr r="B1758" s="1"/>
      </tp>
      <tp>
        <v>1119.8</v>
        <stp/>
        <stp>bse_cm|MMFLZC25A</stp>
        <stp>Bid Rate</stp>
        <tr r="E1264" s="1"/>
      </tp>
      <tp>
        <v>1055.2</v>
        <stp/>
        <stp>bse_cm|IIFLZC25B</stp>
        <stp>Bid Rate</stp>
        <tr r="E1685" s="1"/>
      </tp>
      <tp>
        <v>1214.8</v>
        <stp/>
        <stp>bse_cm|IIFLZC25C</stp>
        <stp>Bid Rate</stp>
        <tr r="E1750" s="1"/>
      </tp>
      <tp>
        <v>1180.2</v>
        <stp/>
        <stp>bse_cm|MMFLZC25D</stp>
        <stp>Bid Rate</stp>
        <tr r="E1262" s="1"/>
      </tp>
      <tp>
        <v>0</v>
        <stp/>
        <stp>nse_cm|9SCL26B-ND</stp>
        <stp>Ask Qty</stp>
        <tr r="G994" s="1"/>
      </tp>
      <tp>
        <v>1121.8</v>
        <stp/>
        <stp>bse_cm|IIFLZC25A</stp>
        <stp>Bid Rate</stp>
        <tr r="E1737" s="1"/>
      </tp>
      <tp>
        <v>835.15</v>
        <stp/>
        <stp>bse_cm|975KAFL25</stp>
        <stp>Bid Rate</stp>
        <tr r="E860" s="1"/>
      </tp>
      <tp>
        <v>0</v>
        <stp/>
        <stp>bse_cm|747PFCL33</stp>
        <stp>Ask Rate</stp>
        <tr r="F1199" s="1"/>
      </tp>
      <tp>
        <v>1026</v>
        <stp/>
        <stp>bse_cm|753PFCL33</stp>
        <stp>Ask Rate</stp>
        <tr r="F426" s="1"/>
      </tp>
      <tp>
        <v>835.2</v>
        <stp/>
        <stp>bse_cm|935KAFL25</stp>
        <stp>Bid Rate</stp>
        <tr r="E785" s="1"/>
      </tp>
      <tp>
        <v>1250.5</v>
        <stp/>
        <stp>bse_cm|MFLVII25G</stp>
        <stp>Ask Rate</stp>
        <tr r="F1729" s="1"/>
      </tp>
      <tp>
        <v>865</v>
        <stp/>
        <stp>bse_cm|957JFPL30</stp>
        <stp>Bid Rate</stp>
        <tr r="E760" s="1"/>
      </tp>
      <tp>
        <v>901.7</v>
        <stp/>
        <stp>bse_cm|975KAFL26</stp>
        <stp>Bid Rate</stp>
        <tr r="E859" s="1"/>
      </tp>
      <tp>
        <v>0</v>
        <stp/>
        <stp>bse_cm|658PFCL31</stp>
        <stp>Ask Rate</stp>
        <tr r="F1209" s="1"/>
      </tp>
      <tp>
        <v>0</v>
        <stp/>
        <stp>bse_cm|663PFCL31</stp>
        <stp>Ask Rate</stp>
        <tr r="F1208" s="1"/>
      </tp>
      <tp>
        <v>1000</v>
        <stp/>
        <stp>bse_cm|682PFCL31</stp>
        <stp>Ask Rate</stp>
        <tr r="F433" s="1"/>
      </tp>
      <tp>
        <v>1050</v>
        <stp/>
        <stp>bse_cm|683PFCL31</stp>
        <stp>Ask Rate</stp>
        <tr r="F449" s="1"/>
      </tp>
      <tp>
        <v>825.25</v>
        <stp/>
        <stp>bse_cm|985KAFL26</stp>
        <stp>Bid Rate</stp>
        <tr r="E1102" s="1"/>
      </tp>
      <tp>
        <v>0</v>
        <stp/>
        <stp>bse_cm|678PFCL36</stp>
        <stp>Ask Rate</stp>
        <tr r="F1207" s="1"/>
      </tp>
      <tp>
        <v>1015</v>
        <stp/>
        <stp>bse_cm|695PFCL36</stp>
        <stp>Ask Rate</stp>
        <tr r="F430" s="1"/>
      </tp>
      <tp>
        <v>999</v>
        <stp/>
        <stp>bse_cm|697PFCL36</stp>
        <stp>Ask Rate</stp>
        <tr r="F431" s="1"/>
      </tp>
      <tp>
        <v>955</v>
        <stp/>
        <stp>bse_cm|950KFIL26</stp>
        <stp>Bid Rate</stp>
        <tr r="E602" s="1"/>
      </tp>
      <tp t="s">
        <v>NIDOZC26</v>
        <stp/>
        <stp>bse_cm|NIDOZC26</stp>
        <stp>Trading Symbol</stp>
        <tr r="B27" s="1"/>
      </tp>
      <tp>
        <v>1044.95</v>
        <stp/>
        <stp>bse_cm|715PFCL36</stp>
        <stp>Ask Rate</stp>
        <tr r="F437" s="1"/>
      </tp>
      <tp>
        <v>855.21</v>
        <stp/>
        <stp>bse_cm|925KFIL25</stp>
        <stp>Bid Rate</stp>
        <tr r="E776" s="1"/>
      </tp>
      <tp>
        <v>50</v>
        <stp/>
        <stp>nse_cm|9SFL25A-ZH</stp>
        <stp>Ask Qty</stp>
        <tr r="G463" s="1"/>
      </tp>
      <tp>
        <v>0</v>
        <stp/>
        <stp>nse_cm|957SCL31-Z3</stp>
        <stp>Prev Close</stp>
        <tr r="P874" s="1"/>
      </tp>
      <tp>
        <v>1049</v>
        <stp/>
        <stp>bse_cm|755PFCL38</stp>
        <stp>Ask Rate</stp>
        <tr r="F434" s="1"/>
      </tp>
      <tp>
        <v>0</v>
        <stp/>
        <stp>bse_cm|750PFCL38</stp>
        <stp>Ask Rate</stp>
        <tr r="F1196" s="1"/>
      </tp>
      <tp t="s">
        <v>AEL120924A</v>
        <stp/>
        <stp>bse_cm|AEL120924A</stp>
        <stp>Trading Symbol</stp>
        <tr r="B1524" s="1"/>
      </tp>
      <tp t="s">
        <v>AEL120924B</v>
        <stp/>
        <stp>bse_cm|AEL120924B</stp>
        <stp>Trading Symbol</stp>
        <tr r="B1641" s="1"/>
      </tp>
      <tp>
        <v>816.2</v>
        <stp/>
        <stp>bse_cm|950KLMF26</stp>
        <stp>Bid Rate</stp>
        <tr r="E278" s="1"/>
      </tp>
      <tp t="s">
        <v>102SMCGS27</v>
        <stp/>
        <stp>bse_cm|102SMCGS27</stp>
        <stp>Trading Symbol</stp>
        <tr r="B1017" s="1"/>
      </tp>
      <tp>
        <v>0</v>
        <stp/>
        <stp>bse_cm|EFS290424</stp>
        <stp>Open</stp>
        <tr r="M570" s="1"/>
      </tp>
      <tp>
        <v>0</v>
        <stp/>
        <stp>bse_cm|1102NFL26</stp>
        <stp>Open</stp>
        <tr r="M567" s="1"/>
      </tp>
      <tp>
        <v>966.01</v>
        <stp/>
        <stp>bse_cm|865MFL25A</stp>
        <stp>Bid Rate</stp>
        <tr r="E153" s="1"/>
      </tp>
      <tp>
        <v>963.2</v>
        <stp/>
        <stp>bse_cm|825MFL25A</stp>
        <stp>Bid Rate</stp>
        <tr r="E931" s="1"/>
      </tp>
      <tp t="s">
        <v>1003NIDO29</v>
        <stp/>
        <stp>bse_cm|1003NIDO29</stp>
        <stp>Trading Symbol</stp>
        <tr r="B679" s="1"/>
      </tp>
      <tp t="s">
        <v>NIDO010329</v>
        <stp/>
        <stp>bse_cm|NIDO010329</stp>
        <stp>Trading Symbol</stp>
        <tr r="B1246" s="1"/>
      </tp>
      <tp t="s">
        <v>NIDO010327</v>
        <stp/>
        <stp>bse_cm|NIDO010327</stp>
        <stp>Trading Symbol</stp>
        <tr r="B1247" s="1"/>
      </tp>
      <tp t="s">
        <v>NIDO010326</v>
        <stp/>
        <stp>bse_cm|NIDO010326</stp>
        <stp>Trading Symbol</stp>
        <tr r="B1248" s="1"/>
      </tp>
      <tp t="s">
        <v>1026NHFL34</v>
        <stp/>
        <stp>bse_cm|1026NHFL34</stp>
        <stp>Trading Symbol</stp>
        <tr r="B155" s="1"/>
      </tp>
      <tp t="s">
        <v>888IHFL25C</v>
        <stp/>
        <stp>bse_cm|888IHFL25C</stp>
        <stp>Trading Symbol</stp>
        <tr r="B1058" s="1"/>
      </tp>
      <tp t="s">
        <v>888IHFL25F</v>
        <stp/>
        <stp>bse_cm|888IHFL25F</stp>
        <stp>Trading Symbol</stp>
        <tr r="B693" s="1"/>
      </tp>
      <tp t="s">
        <v>948ICCL25A</v>
        <stp/>
        <stp>bse_cm|948ICCL25A</stp>
        <stp>Trading Symbol</stp>
        <tr r="B1398" s="1"/>
      </tp>
      <tp t="s">
        <v>948IFSL25B</v>
        <stp/>
        <stp>bse_cm|948IFSL25B</stp>
        <stp>Trading Symbol</stp>
        <tr r="B599" s="1"/>
      </tp>
      <tp t="s">
        <v>1025NWFL25</v>
        <stp/>
        <stp>bse_cm|1025NWFL25</stp>
        <stp>Trading Symbol</stp>
        <tr r="B154" s="1"/>
      </tp>
      <tp t="s">
        <v>1025NWFL30</v>
        <stp/>
        <stp>bse_cm|1025NWFL30</stp>
        <stp>Trading Symbol</stp>
        <tr r="B1026" s="1"/>
      </tp>
      <tp t="e">
        <v>#N/A</v>
        <stp/>
        <stp>bse_cm|1025MHFL24</stp>
        <stp>Trading Symbol</stp>
        <tr r="B29" s="1"/>
      </tp>
      <tp t="s">
        <v>1025MMFL26</v>
        <stp/>
        <stp>bse_cm|1025MMFL26</stp>
        <stp>Trading Symbol</stp>
        <tr r="B320" s="1"/>
      </tp>
      <tp t="s">
        <v>1025KAFL25</v>
        <stp/>
        <stp>bse_cm|1025KAFL25</stp>
        <stp>Trading Symbol</stp>
        <tr r="B770" s="1"/>
      </tp>
      <tp t="s">
        <v>1125KAFL27</v>
        <stp/>
        <stp>bse_cm|1125KAFL27</stp>
        <stp>Trading Symbol</stp>
        <tr r="B1228" s="1"/>
      </tp>
      <tp t="s">
        <v>1025KAFL27</v>
        <stp/>
        <stp>bse_cm|1025KAFL27</stp>
        <stp>Trading Symbol</stp>
        <tr r="B769" s="1"/>
      </tp>
      <tp t="s">
        <v>1025SCFL34</v>
        <stp/>
        <stp>bse_cm|1025SCFL34</stp>
        <stp>Trading Symbol</stp>
        <tr r="B1025" s="1"/>
      </tp>
      <tp t="s">
        <v>BSE</v>
        <stp/>
        <stp>bse_cm|925SCL25Z</stp>
        <stp>Exchange</stp>
        <tr r="C790" s="1"/>
      </tp>
      <tp t="s">
        <v>BSE</v>
        <stp/>
        <stp>bse_cm|965SCL25C</stp>
        <stp>Exchange</stp>
        <tr r="C506" s="1"/>
      </tp>
      <tp t="s">
        <v>BSE</v>
        <stp/>
        <stp>bse_cm|925SCL25C</stp>
        <stp>Exchange</stp>
        <tr r="C676" s="1"/>
      </tp>
      <tp t="s">
        <v>BSE</v>
        <stp/>
        <stp>bse_cm|888SCL25B</stp>
        <stp>Exchange</stp>
        <tr r="C909" s="1"/>
      </tp>
      <tp t="s">
        <v>BSE</v>
        <stp/>
        <stp>bse_cm|965SCL25B</stp>
        <stp>Exchange</stp>
        <tr r="C1507" s="1"/>
      </tp>
      <tp t="s">
        <v>BSE</v>
        <stp/>
        <stp>bse_cm|925SCL25B</stp>
        <stp>Exchange</stp>
        <tr r="C1490" s="1"/>
      </tp>
      <tp t="s">
        <v>BSE</v>
        <stp/>
        <stp>bse_cm|965SCL25A</stp>
        <stp>Exchange</stp>
        <tr r="C234" s="1"/>
      </tp>
      <tp t="s">
        <v>BSE</v>
        <stp/>
        <stp>bse_cm|925SCL25A</stp>
        <stp>Exchange</stp>
        <tr r="C1515" s="1"/>
      </tp>
      <tp t="s">
        <v>BSE</v>
        <stp/>
        <stp>bse_cm|850SCL25A</stp>
        <stp>Exchange</stp>
        <tr r="C1387" s="1"/>
      </tp>
      <tp t="s">
        <v>BSE</v>
        <stp/>
        <stp>bse_cm|894SCL25A</stp>
        <stp>Exchange</stp>
        <tr r="C1235" s="1"/>
      </tp>
      <tp t="s">
        <v>BSE</v>
        <stp/>
        <stp>bse_cm|888SCL25A</stp>
        <stp>Exchange</stp>
        <tr r="C911" s="1"/>
      </tp>
      <tp t="s">
        <v>BSE</v>
        <stp/>
        <stp>bse_cm|925SCL25G</stp>
        <stp>Exchange</stp>
        <tr r="C717" s="1"/>
      </tp>
      <tp t="s">
        <v>BSE</v>
        <stp/>
        <stp>bse_cm|965SCL25F</stp>
        <stp>Exchange</stp>
        <tr r="C673" s="1"/>
      </tp>
      <tp t="s">
        <v>BSE</v>
        <stp/>
        <stp>bse_cm|925SCL25F</stp>
        <stp>Exchange</stp>
        <tr r="C719" s="1"/>
      </tp>
      <tp t="s">
        <v>8ABFL26-N0</v>
        <stp/>
        <stp>nse_cm|8ABFL26-N0</stp>
        <stp>Trading Symbol</stp>
        <tr r="B358" s="1"/>
      </tp>
      <tp t="s">
        <v>BSE</v>
        <stp/>
        <stp>bse_cm|MFLTDVI25</stp>
        <stp>Exchange</stp>
        <tr r="C1686" s="1"/>
      </tp>
      <tp t="s">
        <v>BSE</v>
        <stp/>
        <stp>bse_cm|965SCL25E</stp>
        <stp>Exchange</stp>
        <tr r="C414" s="1"/>
      </tp>
      <tp t="s">
        <v>BSE</v>
        <stp/>
        <stp>bse_cm|888SCL25D</stp>
        <stp>Exchange</stp>
        <tr r="C788" s="1"/>
      </tp>
      <tp t="s">
        <v>BSE</v>
        <stp/>
        <stp>bse_cm|888SCL25E</stp>
        <stp>Exchange</stp>
        <tr r="C1356" s="1"/>
      </tp>
      <tp t="s">
        <v>INE741K07538</v>
        <stp/>
        <stp>bse_cm|CAGL26</stp>
        <stp>Isin code</stp>
        <tr r="R708" s="1"/>
      </tp>
      <tp t="s">
        <v>BSE</v>
        <stp/>
        <stp>bse_cm|MFLTDII27</stp>
        <stp>Exchange</stp>
        <tr r="C297" s="1"/>
      </tp>
      <tp>
        <v>0</v>
        <stp/>
        <stp>bse_cm|SFL270224</stp>
        <stp>Open</stp>
        <tr r="M808" s="1"/>
      </tp>
      <tp t="s">
        <v>INE148I07SB9</v>
        <stp/>
        <stp>nse_cm|888SCL26-YP</stp>
        <stp>Isin code</stp>
        <tr r="R841" s="1"/>
      </tp>
      <tp>
        <v>0</v>
        <stp/>
        <stp>bse_cm|1003SCL30</stp>
        <stp>Open</stp>
        <tr r="M877" s="1"/>
      </tp>
      <tp t="s">
        <v>BSE</v>
        <stp/>
        <stp>bse_cm|925SCL25H</stp>
        <stp>Exchange</stp>
        <tr r="C886" s="1"/>
      </tp>
      <tp>
        <v>0</v>
        <stp/>
        <stp>bse_cm|1003SCL31</stp>
        <stp>Open</stp>
        <tr r="M727" s="1"/>
      </tp>
      <tp>
        <v>0</v>
        <stp/>
        <stp>bse_cm|MFOPTVI24</stp>
        <stp>Ask Rate</stp>
        <tr r="F1547" s="1"/>
      </tp>
      <tp>
        <v>1050</v>
        <stp/>
        <stp>bse_cm|MFOPTIV24</stp>
        <stp>Ask Rate</stp>
        <tr r="F380" s="1"/>
      </tp>
      <tp>
        <v>1000</v>
        <stp/>
        <stp>nse_cm|925SCL25H-Y0</stp>
        <stp>Prev Close</stp>
        <tr r="P791" s="1"/>
      </tp>
      <tp>
        <v>-100</v>
        <stp/>
        <stp>bse_cm|CAGL28</stp>
        <stp>% Change</stp>
        <tr r="J757" s="1"/>
      </tp>
      <tp>
        <v>0</v>
        <stp/>
        <stp>bse_cm|9EFSL25</stp>
        <stp>Volume Traded Today</stp>
        <tr r="L606" s="1"/>
      </tp>
      <tp>
        <v>10</v>
        <stp/>
        <stp>bse_cm|9EFSL26</stp>
        <stp>Volume Traded Today</stp>
        <tr r="L581" s="1"/>
      </tp>
      <tp>
        <v>-100</v>
        <stp/>
        <stp>bse_cm|CIFC26</stp>
        <stp>% Change</stp>
        <tr r="J742" s="1"/>
      </tp>
      <tp>
        <v>1020</v>
        <stp/>
        <stp>bse_cm|1025MMF26A</stp>
        <stp>High</stp>
        <tr r="N290" s="1"/>
      </tp>
      <tp>
        <v>1183</v>
        <stp/>
        <stp>nse_cm|888IRFC29-NE</stp>
        <stp>High</stp>
        <tr r="N508" s="1"/>
      </tp>
      <tp>
        <v>1060</v>
        <stp/>
        <stp>nse_cm|1075UCL25-N9</stp>
        <stp>High</stp>
        <tr r="N498" s="1"/>
      </tp>
      <tp>
        <v>825.8</v>
        <stp/>
        <stp>bse_cm|9KSFL27</stp>
        <stp>Bid Rate</stp>
        <tr r="E1418" s="1"/>
      </tp>
      <tp>
        <v>0</v>
        <stp/>
        <stp>bse_cm|10VCL25</stp>
        <stp>ATP</stp>
        <tr r="K1646" s="1"/>
      </tp>
      <tp>
        <v>0</v>
        <stp/>
        <stp>bse_cm|10SFL25</stp>
        <stp>ATP</stp>
        <tr r="K1681" s="1"/>
      </tp>
      <tp>
        <v>0</v>
        <stp/>
        <stp>bse_cm|10SFL27</stp>
        <stp>ATP</stp>
        <tr r="K863" s="1"/>
      </tp>
      <tp>
        <v>0</v>
        <stp/>
        <stp>bse_cm|10KFL28</stp>
        <stp>ATP</stp>
        <tr r="K674" s="1"/>
      </tp>
      <tp t="s">
        <v>INE121A07RL4</v>
        <stp/>
        <stp>bse_cm|CIFCZC25</stp>
        <stp>Isin code</stp>
        <tr r="R1436" s="1"/>
      </tp>
      <tp>
        <v>0</v>
        <stp/>
        <stp>bse_cm|10NFL25</stp>
        <stp>ATP</stp>
        <tr r="K1568" s="1"/>
      </tp>
      <tp>
        <v>0</v>
        <stp/>
        <stp>bse_cm|10MFL25</stp>
        <stp>ATP</stp>
        <tr r="K577" s="1"/>
      </tp>
      <tp>
        <v>0</v>
        <stp/>
        <stp>bse_cm|10KFL25</stp>
        <stp>ATP</stp>
        <tr r="K1093" s="1"/>
      </tp>
      <tp>
        <v>0</v>
        <stp/>
        <stp>bse_cm|10KFL27</stp>
        <stp>ATP</stp>
        <tr r="K675" s="1"/>
      </tp>
      <tp>
        <v>1018.89</v>
        <stp/>
        <stp>nse_cm|1075NFL25-N6</stp>
        <stp>High</stp>
        <tr r="N1438" s="1"/>
      </tp>
      <tp>
        <v>950</v>
        <stp/>
        <stp>bse_cm|915EFSL26</stp>
        <stp>Prev Close</stp>
        <tr r="P93" s="1"/>
      </tp>
      <tp>
        <v>0</v>
        <stp/>
        <stp>bse_cm|11UCL26</stp>
        <stp>ATP</stp>
        <tr r="K323" s="1"/>
      </tp>
      <tp>
        <v>0</v>
        <stp/>
        <stp>bse_cm|10SCL31</stp>
        <stp>ATP</stp>
        <tr r="K1085" s="1"/>
      </tp>
      <tp>
        <v>0</v>
        <stp/>
        <stp>bse_cm|11MML28</stp>
        <stp>ATP</stp>
        <tr r="K1131" s="1"/>
      </tp>
      <tp>
        <v>0</v>
        <stp/>
        <stp>bse_cm|11CCL26</stp>
        <stp>ATP</stp>
        <tr r="K1219" s="1"/>
      </tp>
      <tp>
        <v>0</v>
        <stp/>
        <stp>bse_cm|11IML26</stp>
        <stp>ATP</stp>
        <tr r="K1132" s="1"/>
      </tp>
      <tp>
        <v>0</v>
        <stp/>
        <stp>bse_cm|11IML27</stp>
        <stp>ATP</stp>
        <tr r="K177" s="1"/>
      </tp>
      <tp>
        <v>0</v>
        <stp/>
        <stp>bse_cm|11IFL25</stp>
        <stp>ATP</stp>
        <tr r="K1421" s="1"/>
      </tp>
      <tp>
        <v>963.25</v>
        <stp/>
        <stp>bse_cm|916EFSL26</stp>
        <stp>Prev Close</stp>
        <tr r="P69" s="1"/>
      </tp>
      <tp>
        <v>0</v>
        <stp/>
        <stp>bse_cm|12IML26</stp>
        <stp>ATP</stp>
        <tr r="K1494" s="1"/>
      </tp>
      <tp>
        <v>0</v>
        <stp/>
        <stp>bse_cm|12IFL27</stp>
        <stp>ATP</stp>
        <tr r="K258" s="1"/>
      </tp>
      <tp>
        <v>-100</v>
        <stp/>
        <stp>bse_cm|CIFC28</stp>
        <stp>% Change</stp>
        <tr r="J1529" s="1"/>
      </tp>
      <tp>
        <v>50</v>
        <stp/>
        <stp>bse_cm|9MFCL26</stp>
        <stp>Volume Traded Today</stp>
        <tr r="L156" s="1"/>
      </tp>
      <tp>
        <v>1027.5</v>
        <stp/>
        <stp>bse_cm|MFCL30424D</stp>
        <stp>High</stp>
        <tr r="N1281" s="1"/>
      </tp>
      <tp>
        <v>-100</v>
        <stp/>
        <stp>bse_cm|CAGL27</stp>
        <stp>% Change</stp>
        <tr r="J734" s="1"/>
      </tp>
      <tp>
        <v>1006</v>
        <stp/>
        <stp>bse_cm|MFCL30424C</stp>
        <stp>High</stp>
        <tr r="N1552" s="1"/>
      </tp>
      <tp>
        <v>975</v>
        <stp/>
        <stp>nse_cm|10IIFL28A-NE</stp>
        <stp>High</stp>
        <tr r="N108" s="1"/>
      </tp>
      <tp>
        <v>-100</v>
        <stp/>
        <stp>bse_cm|CAGL26</stp>
        <stp>% Change</stp>
        <tr r="J708" s="1"/>
      </tp>
      <tp>
        <v>0</v>
        <stp/>
        <stp>bse_cm|9KSFL27</stp>
        <stp>Volume Traded Today</stp>
        <tr r="L1418" s="1"/>
      </tp>
      <tp>
        <v>1036</v>
        <stp/>
        <stp>bse_cm|MFCL30424B</stp>
        <stp>High</stp>
        <tr r="N1282" s="1"/>
      </tp>
      <tp>
        <v>-100</v>
        <stp/>
        <stp>bse_cm|CAGL25</stp>
        <stp>% Change</stp>
        <tr r="J1061" s="1"/>
      </tp>
      <tp>
        <v>1008</v>
        <stp/>
        <stp>bse_cm|MFCL30424A</stp>
        <stp>High</stp>
        <tr r="N1283" s="1"/>
      </tp>
      <tp>
        <v>-100</v>
        <stp/>
        <stp>bse_cm|CAGL24</stp>
        <stp>% Change</stp>
        <tr r="J1761" s="1"/>
      </tp>
      <tp>
        <v>0</v>
        <stp/>
        <stp>bse_cm|9IIFL28</stp>
        <stp>Volume Traded Today</stp>
        <tr r="L126" s="1"/>
      </tp>
      <tp>
        <v>943</v>
        <stp/>
        <stp>nse_cm|96IIFL28A-NF</stp>
        <stp>High</stp>
        <tr r="N81" s="1"/>
      </tp>
      <tp>
        <v>1.1100000000000001</v>
        <stp/>
        <stp>nse_cm|81ABFL33-N5</stp>
        <stp>% Change</stp>
        <tr r="J1588" s="1"/>
      </tp>
      <tp>
        <v>1000</v>
        <stp/>
        <stp>bse_cm|739NHAI26</stp>
        <stp>Face Value</stp>
        <tr r="Q442" s="1"/>
      </tp>
      <tp>
        <v>900</v>
        <stp/>
        <stp>bse_cm|984ICCL26A</stp>
        <stp xml:space="preserve">Low </stp>
        <tr r="O883" s="1"/>
      </tp>
      <tp>
        <v>1000</v>
        <stp/>
        <stp>bse_cm|840IRFC29</stp>
        <stp>Face Value</stp>
        <tr r="Q1634" s="1"/>
      </tp>
      <tp>
        <v>841</v>
        <stp/>
        <stp>nse_cm|957ICCL28-NW</stp>
        <stp>High</stp>
        <tr r="N762" s="1"/>
      </tp>
      <tp>
        <v>0</v>
        <stp/>
        <stp>bse_cm|1125KLM26A</stp>
        <stp xml:space="preserve">Low </stp>
        <tr r="O1226" s="1"/>
      </tp>
      <tp t="e">
        <v>#N/A</v>
        <stp/>
        <stp>bse_cm|1075IML24A</stp>
        <stp xml:space="preserve">Low </stp>
        <tr r="O32" s="1"/>
      </tp>
      <tp>
        <v>0</v>
        <stp/>
        <stp>nse_cm|915SCL26-NE</stp>
        <stp>% Change</stp>
        <tr r="J58" s="1"/>
      </tp>
      <tp>
        <v>0</v>
        <stp/>
        <stp>bse_cm|9SCFL25</stp>
        <stp>Volume Traded Today</stp>
        <tr r="L1505" s="1"/>
      </tp>
      <tp>
        <v>16</v>
        <stp/>
        <stp>nse_cm|872MMFSL26-N1</stp>
        <stp>Ask Qty</stp>
        <tr r="G404" s="1"/>
      </tp>
      <tp>
        <v>0</v>
        <stp/>
        <stp>nse_cm|889SCFL27-YC</stp>
        <stp>Open</stp>
        <tr r="M595" s="1"/>
      </tp>
      <tp>
        <v>1000</v>
        <stp/>
        <stp>bse_cm|967NIDO28</stp>
        <stp>Face Value</stp>
        <tr r="Q227" s="1"/>
      </tp>
      <tp t="s">
        <v>09:51:55</v>
        <stp/>
        <stp>nse_cm|9PCHFL31A-NA</stp>
        <stp>LTT</stp>
        <tr r="I435" s="1"/>
      </tp>
      <tp>
        <v>1008.8</v>
        <stp/>
        <stp>nse_cm|9PCHFL31A-NA</stp>
        <stp>LTP</stp>
        <tr r="H435" s="1"/>
      </tp>
      <tp>
        <v>1000</v>
        <stp/>
        <stp>bse_cm|715PFCL36</stp>
        <stp>Face Value</stp>
        <tr r="Q437" s="1"/>
      </tp>
      <tp>
        <v>1000</v>
        <stp/>
        <stp>bse_cm|915MFCL27</stp>
        <stp>Face Value</stp>
        <tr r="Q1472" s="1"/>
      </tp>
      <tp>
        <v>1000</v>
        <stp/>
        <stp>bse_cm|1125CCI27</stp>
        <stp>Face Value</stp>
        <tr r="Q1229" s="1"/>
      </tp>
      <tp>
        <v>1024</v>
        <stp/>
        <stp>bse_cm|7PFCL31</stp>
        <stp>Ask Rate</stp>
        <tr r="F425" s="1"/>
      </tp>
      <tp>
        <v>901</v>
        <stp/>
        <stp>bse_cm|1025KFL26C</stp>
        <stp xml:space="preserve">Low </stp>
        <tr r="O459" s="1"/>
      </tp>
      <tp>
        <v>995</v>
        <stp/>
        <stp>bse_cm|875EFSL24A</stp>
        <stp>High</stp>
        <tr r="N229" s="1"/>
      </tp>
      <tp>
        <v>990</v>
        <stp/>
        <stp>bse_cm|948IFSL25B</stp>
        <stp>High</stp>
        <tr r="N599" s="1"/>
      </tp>
      <tp>
        <v>1000</v>
        <stp/>
        <stp>bse_cm|735NHAI31</stp>
        <stp>Face Value</stp>
        <tr r="Q565" s="1"/>
      </tp>
      <tp>
        <v>970</v>
        <stp/>
        <stp>bse_cm|1025KFL26B</stp>
        <stp xml:space="preserve">Low </stp>
        <tr r="O1422" s="1"/>
      </tp>
      <tp>
        <v>965</v>
        <stp/>
        <stp>bse_cm|1025KFL26A</stp>
        <stp xml:space="preserve">Low </stp>
        <tr r="O525" s="1"/>
      </tp>
      <tp>
        <v>990</v>
        <stp/>
        <stp>bse_cm|1010EFS28A</stp>
        <stp xml:space="preserve">Low </stp>
        <tr r="O78" s="1"/>
      </tp>
      <tp>
        <v>1000</v>
        <stp/>
        <stp>bse_cm|IFL19424A</stp>
        <stp>Face Value</stp>
        <tr r="Q1419" s="1"/>
      </tp>
      <tp>
        <v>1000</v>
        <stp/>
        <stp>bse_cm|842IIFL26</stp>
        <stp>Face Value</stp>
        <tr r="Q181" s="1"/>
      </tp>
      <tp>
        <v>1000</v>
        <stp/>
        <stp>bse_cm|843SCFL27</stp>
        <stp>Face Value</stp>
        <tr r="Q1074" s="1"/>
      </tp>
      <tp>
        <v>1000</v>
        <stp/>
        <stp>bse_cm|960NIDO26</stp>
        <stp>Face Value</stp>
        <tr r="Q870" s="1"/>
      </tp>
      <tp>
        <v>1000</v>
        <stp/>
        <stp>bse_cm|843IHFL29</stp>
        <stp>Face Value</stp>
        <tr r="Q139" s="1"/>
      </tp>
      <tp>
        <v>0</v>
        <stp/>
        <stp>nse_cm|94IFCI25-NL</stp>
        <stp>% Change</stp>
        <tr r="J235" s="1"/>
      </tp>
      <tp t="s">
        <v>INE033L07GP2</v>
        <stp/>
        <stp>bse_cm|82TCHF25</stp>
        <stp>Isin code</stp>
        <tr r="R1015" s="1"/>
      </tp>
      <tp t="s">
        <v>INE033L07GQ0</v>
        <stp/>
        <stp>bse_cm|83TCHF25</stp>
        <stp>Isin code</stp>
        <tr r="R489" s="1"/>
      </tp>
      <tp t="s">
        <v>INE051307AX2</v>
        <stp/>
        <stp>bse_cm|95CCIL25</stp>
        <stp>Isin code</stp>
        <tr r="R37" s="1"/>
      </tp>
      <tp>
        <v>1047.58</v>
        <stp/>
        <stp>bse_cm|825MFL2026</stp>
        <stp xml:space="preserve">Low </stp>
        <tr r="O318" s="1"/>
      </tp>
      <tp>
        <v>995</v>
        <stp/>
        <stp>bse_cm|1003ISFL28</stp>
        <stp>High</stp>
        <tr r="N1456" s="1"/>
      </tp>
      <tp>
        <v>945.03</v>
        <stp/>
        <stp>bse_cm|1050ISFL28</stp>
        <stp>High</stp>
        <tr r="N1497" s="1"/>
      </tp>
      <tp>
        <v>903.1</v>
        <stp/>
        <stp>bse_cm|1045NIDO33</stp>
        <stp xml:space="preserve">Low </stp>
        <tr r="O71" s="1"/>
      </tp>
      <tp t="s">
        <v>INE549K07DQ4</v>
        <stp/>
        <stp>bse_cm|10MFCL30</stp>
        <stp>Isin code</stp>
        <tr r="R1091" s="1"/>
      </tp>
      <tp>
        <v>964</v>
        <stp/>
        <stp>nse_cm|921ISFL25-N0</stp>
        <stp xml:space="preserve">Low </stp>
        <tr r="O287" s="1"/>
      </tp>
      <tp>
        <v>901</v>
        <stp/>
        <stp>bse_cm|1026NIDO34</stp>
        <stp xml:space="preserve">Low </stp>
        <tr r="O1018" s="1"/>
      </tp>
      <tp>
        <v>876.1</v>
        <stp/>
        <stp>bse_cm|1075NIDO34</stp>
        <stp xml:space="preserve">Low </stp>
        <tr r="O1021" s="1"/>
      </tp>
      <tp>
        <v>983.2</v>
        <stp/>
        <stp>bse_cm|8MFL24A</stp>
        <stp>Bid Rate</stp>
        <tr r="E1549" s="1"/>
      </tp>
      <tp>
        <v>925.8</v>
        <stp/>
        <stp>bse_cm|KAFL28A</stp>
        <stp>Bid Rate</stp>
        <tr r="E1319" s="1"/>
      </tp>
      <tp>
        <v>889</v>
        <stp/>
        <stp>bse_cm|1026NHFL34</stp>
        <stp xml:space="preserve">Low </stp>
        <tr r="O155" s="1"/>
      </tp>
      <tp>
        <v>950</v>
        <stp/>
        <stp>bse_cm|1075NHFL34</stp>
        <stp xml:space="preserve">Low </stp>
        <tr r="O1553" s="1"/>
      </tp>
      <tp>
        <v>500</v>
        <stp/>
        <stp>bse_cm|769IGT28</stp>
        <stp>Bid Qty</stp>
        <tr r="D1195" s="1"/>
      </tp>
      <tp t="s">
        <v>INE248U07ER8</v>
        <stp/>
        <stp>bse_cm|966ONE29</stp>
        <stp>Isin code</stp>
        <tr r="R281" s="1"/>
      </tp>
      <tp>
        <v>0</v>
        <stp/>
        <stp>bse_cm|NIDO010327</stp>
        <stp xml:space="preserve">Low </stp>
        <tr r="O1247" s="1"/>
      </tp>
      <tp t="s">
        <v>INE248U07FF0</v>
        <stp/>
        <stp>bse_cm|921ONE29</stp>
        <stp>Isin code</stp>
        <tr r="R1112" s="1"/>
      </tp>
      <tp t="s">
        <v>INE248U07ES6</v>
        <stp/>
        <stp>bse_cm|926ONE29</stp>
        <stp>Isin code</stp>
        <tr r="R1467" s="1"/>
      </tp>
      <tp t="s">
        <v>INE01CY077F8</v>
        <stp/>
        <stp>bse_cm|12ICFL25</stp>
        <stp>Isin code</stp>
        <tr r="R1213" s="1"/>
      </tp>
      <tp t="s">
        <v>INE01I507570</v>
        <stp/>
        <stp>bse_cm|11KAFL27</stp>
        <stp>Isin code</stp>
        <tr r="R184" s="1"/>
      </tp>
      <tp>
        <v>999</v>
        <stp/>
        <stp>bse_cm|NIDO010326</stp>
        <stp xml:space="preserve">Low </stp>
        <tr r="O1248" s="1"/>
      </tp>
      <tp t="s">
        <v>INE741K07496</v>
        <stp/>
        <stp>bse_cm|10CAGL27</stp>
        <stp>Isin code</stp>
        <tr r="R282" s="1"/>
      </tp>
      <tp>
        <v>1010</v>
        <stp/>
        <stp>nse_cm|1119NFL27-ND</stp>
        <stp xml:space="preserve">Low </stp>
        <tr r="O337" s="1"/>
      </tp>
      <tp>
        <v>970</v>
        <stp/>
        <stp>bse_cm|875KFL2025</stp>
        <stp xml:space="preserve">Low </stp>
        <tr r="O1158" s="1"/>
      </tp>
      <tp>
        <v>0</v>
        <stp/>
        <stp>bse_cm|NIDO010329</stp>
        <stp xml:space="preserve">Low </stp>
        <tr r="O1246" s="1"/>
      </tp>
      <tp>
        <v>0</v>
        <stp/>
        <stp>nse_cm|902SCL26A-NM</stp>
        <stp>Ask Rate</stp>
        <tr r="F904" s="1"/>
      </tp>
      <tp>
        <v>0</v>
        <stp/>
        <stp>bse_cm|SCL22</stp>
        <stp>Ask Qty</stp>
        <tr r="G1239" s="1"/>
      </tp>
      <tp>
        <v>0</v>
        <stp/>
        <stp>bse_cm|SCL24</stp>
        <stp>Ask Qty</stp>
        <tr r="G1377" s="1"/>
      </tp>
      <tp>
        <v>0</v>
        <stp/>
        <stp>bse_cm|SCL25</stp>
        <stp>Ask Qty</stp>
        <tr r="G1234" s="1"/>
      </tp>
      <tp>
        <v>0</v>
        <stp/>
        <stp>bse_cm|SFL25</stp>
        <stp>Ask Qty</stp>
        <tr r="G813" s="1"/>
      </tp>
      <tp>
        <v>0</v>
        <stp/>
        <stp>bse_cm|SFL26</stp>
        <stp>Ask Qty</stp>
        <tr r="G811" s="1"/>
      </tp>
      <tp>
        <v>0</v>
        <stp/>
        <stp>bse_cm|SFL27</stp>
        <stp>Ask Qty</stp>
        <tr r="G809" s="1"/>
      </tp>
      <tp>
        <v>0</v>
        <stp/>
        <stp>bse_cm|SFL28</stp>
        <stp>Ask Qty</stp>
        <tr r="G803" s="1"/>
      </tp>
      <tp>
        <v>10</v>
        <stp/>
        <stp>bse_cm|KFL29</stp>
        <stp>Ask Qty</stp>
        <tr r="G1619" s="1"/>
      </tp>
      <tp>
        <v>0</v>
        <stp/>
        <stp>bse_cm|IML28</stp>
        <stp>Ask Qty</stp>
        <tr r="G1458" s="1"/>
      </tp>
      <tp>
        <v>0</v>
        <stp/>
        <stp>bse_cm|IML29</stp>
        <stp>Ask Qty</stp>
        <tr r="G1528" s="1"/>
      </tp>
      <tp>
        <v>10</v>
        <stp/>
        <stp>bse_cm|MML28</stp>
        <stp>Ask Qty</stp>
        <tr r="G584" s="1"/>
      </tp>
      <tp>
        <v>50</v>
        <stp/>
        <stp>bse_cm|MFL28</stp>
        <stp>Ask Qty</stp>
        <tr r="G1638" s="1"/>
      </tp>
      <tp>
        <v>15</v>
        <stp/>
        <stp>bse_cm|MFL29</stp>
        <stp>Ask Qty</stp>
        <tr r="G1598" s="1"/>
      </tp>
      <tp>
        <v>0</v>
        <stp/>
        <stp>bse_cm|MML26</stp>
        <stp>Ask Qty</stp>
        <tr r="G1410" s="1"/>
      </tp>
      <tp>
        <v>50</v>
        <stp/>
        <stp>bse_cm|MFL26</stp>
        <stp>Ask Qty</stp>
        <tr r="G1666" s="1"/>
      </tp>
      <tp>
        <v>0</v>
        <stp/>
        <stp>bse_cm|MFL27</stp>
        <stp>Ask Qty</stp>
        <tr r="G1563" s="1"/>
      </tp>
      <tp>
        <v>51</v>
        <stp/>
        <stp>bse_cm|MML24</stp>
        <stp>Ask Qty</stp>
        <tr r="G1740" s="1"/>
      </tp>
      <tp>
        <v>0</v>
        <stp/>
        <stp>bse_cm|MML25</stp>
        <stp>Ask Qty</stp>
        <tr r="G1253" s="1"/>
      </tp>
      <tp>
        <v>50</v>
        <stp/>
        <stp>bse_cm|MFL25</stp>
        <stp>Ask Qty</stp>
        <tr r="G1733" s="1"/>
      </tp>
      <tp>
        <v>0</v>
        <stp/>
        <stp>bse_cm|IML27</stp>
        <stp>Ask Qty</stp>
        <tr r="G1325" s="1"/>
      </tp>
      <tp>
        <v>0</v>
        <stp/>
        <stp>bse_cm|KFL25</stp>
        <stp>Ask Qty</stp>
        <tr r="G1309" s="1"/>
      </tp>
      <tp>
        <v>50</v>
        <stp/>
        <stp>bse_cm|MFL23</stp>
        <stp>Ask Qty</stp>
        <tr r="G1668" s="1"/>
      </tp>
      <tp t="e">
        <v>#N/A</v>
        <stp/>
        <stp>bse_cm|IML24</stp>
        <stp>Ask Qty</stp>
        <tr r="G34" s="1"/>
      </tp>
      <tp>
        <v>0</v>
        <stp/>
        <stp>bse_cm|KFL26</stp>
        <stp>Ask Qty</stp>
        <tr r="G1306" s="1"/>
      </tp>
      <tp>
        <v>0</v>
        <stp/>
        <stp>bse_cm|IML25</stp>
        <stp>Ask Qty</stp>
        <tr r="G1326" s="1"/>
      </tp>
      <tp>
        <v>0</v>
        <stp/>
        <stp>bse_cm|KFL27</stp>
        <stp>Ask Qty</stp>
        <tr r="G1303" s="1"/>
      </tp>
      <tp>
        <v>5</v>
        <stp/>
        <stp>bse_cm|SFL30</stp>
        <stp>Ask Qty</stp>
        <tr r="G1597" s="1"/>
      </tp>
      <tp>
        <v>0</v>
        <stp/>
        <stp>bse_cm|KFL30</stp>
        <stp>Ask Qty</stp>
        <tr r="G1298" s="1"/>
      </tp>
      <tp>
        <v>0</v>
        <stp/>
        <stp>bse_cm|KFL31</stp>
        <stp>Ask Qty</stp>
        <tr r="G1297" s="1"/>
      </tp>
      <tp>
        <v>0</v>
        <stp/>
        <stp>bse_cm|MML30</stp>
        <stp>Ask Qty</stp>
        <tr r="G1525" s="1"/>
      </tp>
      <tp>
        <v>0</v>
        <stp/>
        <stp>bse_cm|MFL30</stp>
        <stp>Ask Qty</stp>
        <tr r="G1460" s="1"/>
      </tp>
      <tp>
        <v>0</v>
        <stp/>
        <stp>bse_cm|MFL31</stp>
        <stp>Ask Qty</stp>
        <tr r="G701" s="1"/>
      </tp>
      <tp>
        <v>1217</v>
        <stp/>
        <stp>nse_cm|867PFCL33-N7</stp>
        <stp>High</stp>
        <tr r="N550" s="1"/>
      </tp>
      <tp>
        <v>0</v>
        <stp/>
        <stp>nse_cm|SCL26-NA</stp>
        <stp>Bid Qty</stp>
        <tr r="D919" s="1"/>
      </tp>
      <tp>
        <v>950</v>
        <stp/>
        <stp>bse_cm|810MFL2028</stp>
        <stp xml:space="preserve">Low </stp>
        <tr r="O651" s="1"/>
      </tp>
      <tp t="s">
        <v>INE423A07328</v>
        <stp/>
        <stp>bse_cm|965AEL27</stp>
        <stp>Isin code</stp>
        <tr r="R370" s="1"/>
      </tp>
      <tp t="s">
        <v>INE423A07310</v>
        <stp/>
        <stp>bse_cm|932AEL27</stp>
        <stp>Isin code</stp>
        <tr r="R317" s="1"/>
      </tp>
      <tp t="s">
        <v>INE148I07MA4</v>
        <stp/>
        <stp>bse_cm|93SCFL25</stp>
        <stp>Isin code</stp>
        <tr r="R980" s="1"/>
      </tp>
      <tp>
        <v>0</v>
        <stp/>
        <stp>bse_cm|82IGT31</stp>
        <stp>Open</stp>
        <tr r="M383" s="1"/>
      </tp>
      <tp t="s">
        <v>INE523H07BB1</v>
        <stp/>
        <stp>bse_cm|10JFPL30</stp>
        <stp>Isin code</stp>
        <tr r="R1097" s="1"/>
      </tp>
      <tp>
        <v>0</v>
        <stp/>
        <stp>bse_cm|96MFL25</stp>
        <stp>Volume Traded Today</stp>
        <tr r="L1392" s="1"/>
      </tp>
      <tp>
        <v>0</v>
        <stp/>
        <stp>bse_cm|96SCL25</stp>
        <stp>Volume Traded Today</stp>
        <tr r="L1068" s="1"/>
      </tp>
      <tp>
        <v>0</v>
        <stp/>
        <stp>bse_cm|93SCL25</stp>
        <stp>Open</stp>
        <tr r="M729" s="1"/>
      </tp>
      <tp>
        <v>971</v>
        <stp/>
        <stp>nse_cm|957ISFL26-N2</stp>
        <stp>High</stp>
        <tr r="N245" s="1"/>
      </tp>
      <tp>
        <v>0</v>
        <stp/>
        <stp>bse_cm|97SFL26</stp>
        <stp>Volume Traded Today</stp>
        <tr r="L405" s="1"/>
      </tp>
      <tp>
        <v>0</v>
        <stp/>
        <stp>bse_cm|97SFL29</stp>
        <stp>Volume Traded Today</stp>
        <tr r="L21" s="1"/>
      </tp>
      <tp>
        <v>0</v>
        <stp/>
        <stp>bse_cm|97SFL28</stp>
        <stp>Volume Traded Today</stp>
        <tr r="L23" s="1"/>
      </tp>
      <tp>
        <v>0</v>
        <stp/>
        <stp>bse_cm|93SCL24</stp>
        <stp>Open</stp>
        <tr r="M945" s="1"/>
      </tp>
      <tp>
        <v>1036.71</v>
        <stp/>
        <stp>bse_cm|91MOFSL27</stp>
        <stp>Prev Close</stp>
        <tr r="P1558" s="1"/>
      </tp>
      <tp>
        <v>1225.25</v>
        <stp/>
        <stp>bse_cm|DLSL25A</stp>
        <stp>Bid Rate</stp>
        <tr r="E1734" s="1"/>
      </tp>
      <tp>
        <v>0</v>
        <stp/>
        <stp>bse_cm|94MFL27</stp>
        <stp>Volume Traded Today</stp>
        <tr r="L189" s="1"/>
      </tp>
      <tp>
        <v>0</v>
        <stp/>
        <stp>bse_cm|94SCL27</stp>
        <stp>Volume Traded Today</stp>
        <tr r="L1152" s="1"/>
      </tp>
      <tp>
        <v>0</v>
        <stp/>
        <stp>bse_cm|94SFL28</stp>
        <stp>Volume Traded Today</stp>
        <tr r="L24" s="1"/>
      </tp>
      <tp>
        <v>0</v>
        <stp/>
        <stp>bse_cm|1050ICCL28</stp>
        <stp>High</stp>
        <tr r="N1133" s="1"/>
      </tp>
      <tp>
        <v>942</v>
        <stp/>
        <stp>bse_cm|1003ICCL28</stp>
        <stp>High</stp>
        <tr r="N655" s="1"/>
      </tp>
      <tp>
        <v>986</v>
        <stp/>
        <stp>bse_cm|1030ICCL28</stp>
        <stp>High</stp>
        <tr r="N1521" s="1"/>
      </tp>
      <tp>
        <v>0</v>
        <stp/>
        <stp>bse_cm|95KFL27</stp>
        <stp>Volume Traded Today</stp>
        <tr r="L607" s="1"/>
      </tp>
      <tp>
        <v>0</v>
        <stp/>
        <stp>bse_cm|95KFL26</stp>
        <stp>Volume Traded Today</stp>
        <tr r="L253" s="1"/>
      </tp>
      <tp>
        <v>0</v>
        <stp/>
        <stp>bse_cm|95MFL25</stp>
        <stp>Volume Traded Today</stp>
        <tr r="L1420" s="1"/>
      </tp>
      <tp>
        <v>-0.57999999999999996</v>
        <stp/>
        <stp>bse_cm|IML28C</stp>
        <stp>% Change</stp>
        <tr r="J1648" s="1"/>
      </tp>
      <tp>
        <v>0</v>
        <stp/>
        <stp>bse_cm|925FL27</stp>
        <stp>Volume Traded Today</stp>
        <tr r="L615" s="1"/>
      </tp>
      <tp>
        <v>0</v>
        <stp/>
        <stp>bse_cm|93SCL25</stp>
        <stp>Volume Traded Today</stp>
        <tr r="L729" s="1"/>
      </tp>
      <tp>
        <v>0</v>
        <stp/>
        <stp>bse_cm|93SCL24</stp>
        <stp>Volume Traded Today</stp>
        <tr r="L945" s="1"/>
      </tp>
      <tp t="s">
        <v>INE148I07MO5</v>
        <stp/>
        <stp>nse_cm|SCL24-ZD</stp>
        <stp>Isin code</stp>
        <tr r="R956" s="1"/>
      </tp>
      <tp>
        <v>1460</v>
        <stp/>
        <stp>nse_cm|848NTPC28-N2</stp>
        <stp>High</stp>
        <tr r="N1405" s="1"/>
      </tp>
      <tp>
        <v>0</v>
        <stp/>
        <stp>nse_cm|11DLSL25-NV</stp>
        <stp>% Change</stp>
        <tr r="J48" s="1"/>
      </tp>
      <tp>
        <v>0</v>
        <stp/>
        <stp>bse_cm|91SFL27</stp>
        <stp>Volume Traded Today</stp>
        <tr r="L574" s="1"/>
      </tp>
      <tp>
        <v>13</v>
        <stp/>
        <stp>nse_cm|SCL22-ZC</stp>
        <stp>Bid Qty</stp>
        <tr r="D955" s="1"/>
      </tp>
      <tp>
        <v>11</v>
        <stp/>
        <stp>nse_cm|SCL24-ZD</stp>
        <stp>Bid Qty</stp>
        <tr r="D956" s="1"/>
      </tp>
      <tp>
        <v>906.5</v>
        <stp/>
        <stp>bse_cm|1003IIFL29</stp>
        <stp>High</stp>
        <tr r="N1078" s="1"/>
      </tp>
      <tp>
        <v>900.01</v>
        <stp/>
        <stp>bse_cm|1050IIFL29</stp>
        <stp>High</stp>
        <tr r="N763" s="1"/>
      </tp>
      <tp>
        <v>1107</v>
        <stp/>
        <stp>bse_cm|1030IFSL26</stp>
        <stp>High</stp>
        <tr r="N1654" s="1"/>
      </tp>
      <tp>
        <v>0</v>
        <stp/>
        <stp>nse_cm|92LTF29-N4</stp>
        <stp>Ask Rate</stp>
        <tr r="F1087" s="1"/>
      </tp>
      <tp>
        <v>5</v>
        <stp/>
        <stp>nse_cm|SCL25-Y6</stp>
        <stp>Bid Qty</stp>
        <tr r="D1753" s="1"/>
      </tp>
      <tp>
        <v>930</v>
        <stp/>
        <stp>bse_cm|1025ICCL26</stp>
        <stp>High</stp>
        <tr r="N1175" s="1"/>
      </tp>
      <tp>
        <v>980.1</v>
        <stp/>
        <stp>nse_cm|1015ECL29-NR</stp>
        <stp xml:space="preserve">Low </stp>
        <tr r="O204" s="1"/>
      </tp>
      <tp>
        <v>1015</v>
        <stp/>
        <stp>nse_cm|1015SCL28-NR</stp>
        <stp xml:space="preserve">Low </stp>
        <tr r="O288" s="1"/>
      </tp>
      <tp>
        <v>1011</v>
        <stp/>
        <stp>bse_cm|1025NWFL30</stp>
        <stp xml:space="preserve">Low </stp>
        <tr r="O1026" s="1"/>
      </tp>
      <tp>
        <v>0</v>
        <stp/>
        <stp>bse_cm|98SCL27</stp>
        <stp>Volume Traded Today</stp>
        <tr r="L1545" s="1"/>
      </tp>
      <tp>
        <v>1005.18</v>
        <stp/>
        <stp>bse_cm|1225ICLF26</stp>
        <stp>High</stp>
        <tr r="N1217" s="1"/>
      </tp>
      <tp>
        <v>1021</v>
        <stp/>
        <stp>bse_cm|1175ICLF25</stp>
        <stp>High</stp>
        <tr r="N1222" s="1"/>
      </tp>
      <tp>
        <v>200</v>
        <stp/>
        <stp>bse_cm|99AEL29</stp>
        <stp>Volume Traded Today</stp>
        <tr r="L243" s="1"/>
      </tp>
      <tp>
        <v>0</v>
        <stp/>
        <stp>bse_cm|98SCL34</stp>
        <stp>Volume Traded Today</stp>
        <tr r="L1053" s="1"/>
      </tp>
      <tp>
        <v>0</v>
        <stp/>
        <stp>bse_cm|99SCL27</stp>
        <stp>Volume Traded Today</stp>
        <tr r="L1169" s="1"/>
      </tp>
      <tp t="s">
        <v>735NABAR31</v>
        <stp/>
        <stp>bse_cm|735NABAR31</stp>
        <stp>Trading Symbol</stp>
        <tr r="B14" s="1"/>
      </tp>
      <tp t="s">
        <v>BSE</v>
        <stp/>
        <stp>bse_cm|910TCAP28</stp>
        <stp>Exchange</stp>
        <tr r="C409" s="1"/>
      </tp>
      <tp>
        <v>1000</v>
        <stp/>
        <stp>nse_cm|94IFCI25-NL</stp>
        <stp>Face Value</stp>
        <tr r="Q235" s="1"/>
      </tp>
      <tp>
        <v>1340.21</v>
        <stp/>
        <stp>bse_cm|MMFLZC24D</stp>
        <stp>Bid Rate</stp>
        <tr r="E1265" s="1"/>
      </tp>
      <tp t="s">
        <v>975KLMAF26</v>
        <stp/>
        <stp>bse_cm|975KLMAF26</stp>
        <stp>Trading Symbol</stp>
        <tr r="B857" s="1"/>
      </tp>
      <tp t="s">
        <v>925KLMAF25</v>
        <stp/>
        <stp>bse_cm|925KLMAF25</stp>
        <stp>Trading Symbol</stp>
        <tr r="B612" s="1"/>
      </tp>
      <tp>
        <v>0</v>
        <stp/>
        <stp>bse_cm|745PFCL26</stp>
        <stp>Ask Rate</stp>
        <tr r="F1200" s="1"/>
      </tp>
      <tp>
        <v>1030</v>
        <stp/>
        <stp>bse_cm|750PFCL26</stp>
        <stp>Ask Rate</stp>
        <tr r="F448" s="1"/>
      </tp>
      <tp>
        <v>0</v>
        <stp/>
        <stp>bse_cm|565PFCL26</stp>
        <stp>Ask Rate</stp>
        <tr r="F1210" s="1"/>
      </tp>
      <tp>
        <v>872.4</v>
        <stp/>
        <stp>bse_cm|948JFPL25</stp>
        <stp>Bid Rate</stp>
        <tr r="E490" s="1"/>
      </tp>
      <tp t="s">
        <v>1025MMF26A</v>
        <stp/>
        <stp>bse_cm|1025MMF26A</stp>
        <stp>Trading Symbol</stp>
        <tr r="B290" s="1"/>
      </tp>
      <tp t="s">
        <v>727HUDCO26</v>
        <stp/>
        <stp>bse_cm|727HUDCO26</stp>
        <stp>Trading Symbol</stp>
        <tr r="B481" s="1"/>
      </tp>
      <tp>
        <v>1024.4000000000001</v>
        <stp/>
        <stp>nse_cm|957SCL30-BX</stp>
        <stp>Prev Close</stp>
        <tr r="P1109" s="1"/>
      </tp>
      <tp t="s">
        <v>KFL070824C</v>
        <stp/>
        <stp>bse_cm|KFL070824C</stp>
        <stp>Trading Symbol</stp>
        <tr r="B1311" s="1"/>
      </tp>
      <tp t="s">
        <v>KFL070824B</v>
        <stp/>
        <stp>bse_cm|KFL070824B</stp>
        <stp>Trading Symbol</stp>
        <tr r="B1312" s="1"/>
      </tp>
      <tp t="s">
        <v>KFL070824A</v>
        <stp/>
        <stp>bse_cm|KFL070824A</stp>
        <stp>Trading Symbol</stp>
        <tr r="B1313" s="1"/>
      </tp>
      <tp t="s">
        <v>KFL070824D</v>
        <stp/>
        <stp>bse_cm|KFL070824D</stp>
        <stp>Trading Symbol</stp>
        <tr r="B1310" s="1"/>
      </tp>
      <tp>
        <v>1100</v>
        <stp/>
        <stp>nse_cm|935PEL33-N3</stp>
        <stp>Prev Close</stp>
        <tr r="P1375" s="1"/>
      </tp>
      <tp t="s">
        <v>INE148I07MV0</v>
        <stp/>
        <stp>bse_cm|915SCL27A</stp>
        <stp>Isin code</stp>
        <tr r="R951" s="1"/>
      </tp>
      <tp t="s">
        <v>INE148I07QM0</v>
        <stp/>
        <stp>bse_cm|902SCL26A</stp>
        <stp>Isin code</stp>
        <tr r="R967" s="1"/>
      </tp>
      <tp t="s">
        <v>INE148I07TH4</v>
        <stp/>
        <stp>bse_cm|902SCL27A</stp>
        <stp>Isin code</stp>
        <tr r="R1354" s="1"/>
      </tp>
      <tp t="s">
        <v>8MFL2026</v>
        <stp/>
        <stp>bse_cm|8MFL2026</stp>
        <stp>Trading Symbol</stp>
        <tr r="B451" s="1"/>
      </tp>
      <tp t="s">
        <v>INE148I07QS7</v>
        <stp/>
        <stp>bse_cm|925SCL28A</stp>
        <stp>Isin code</stp>
        <tr r="R938" s="1"/>
      </tp>
      <tp t="s">
        <v>INE148I07TQ5</v>
        <stp/>
        <stp>bse_cm|925SCL29A</stp>
        <stp>Isin code</stp>
        <tr r="R268" s="1"/>
      </tp>
      <tp t="s">
        <v>INE148I07QG2</v>
        <stp/>
        <stp>bse_cm|925SCL25A</stp>
        <stp>Isin code</stp>
        <tr r="R1515" s="1"/>
      </tp>
      <tp t="s">
        <v>INE148I07SA1</v>
        <stp/>
        <stp>bse_cm|925SCL26A</stp>
        <stp>Isin code</stp>
        <tr r="R990" s="1"/>
      </tp>
      <tp t="s">
        <v>INE148I07OI3</v>
        <stp/>
        <stp>bse_cm|920SCL23A</stp>
        <stp>Isin code</stp>
        <tr r="R1114" s="1"/>
      </tp>
      <tp>
        <v>813.95</v>
        <stp/>
        <stp>bse_cm|865SCL24B</stp>
        <stp>Bid Rate</stp>
        <tr r="E953" s="1"/>
      </tp>
      <tp t="s">
        <v>INE148I07MS6</v>
        <stp/>
        <stp>bse_cm|955SCL27A</stp>
        <stp>Isin code</stp>
        <tr r="R948" s="1"/>
      </tp>
      <tp t="s">
        <v>INE148I07OM5</v>
        <stp/>
        <stp>bse_cm|950SCL23A</stp>
        <stp>Isin code</stp>
        <tr r="R1146" s="1"/>
      </tp>
      <tp t="s">
        <v>INE05F407CF5</v>
        <stp/>
        <stp>bse_cm|MML27524A</stp>
        <stp>Isin code</stp>
        <tr r="R1250" s="1"/>
      </tp>
      <tp t="s">
        <v>INE148I07QK4</v>
        <stp/>
        <stp>bse_cm|948SCL26A</stp>
        <stp>Isin code</stp>
        <tr r="R494" s="1"/>
      </tp>
      <tp t="s">
        <v>INE148I07TL6</v>
        <stp/>
        <stp>bse_cm|948SCL27A</stp>
        <stp>Isin code</stp>
        <tr r="R697" s="1"/>
      </tp>
      <tp t="s">
        <v>INE148I07QH0</v>
        <stp/>
        <stp>bse_cm|940SCL26A</stp>
        <stp>Isin code</stp>
        <tr r="R920" s="1"/>
      </tp>
      <tp t="s">
        <v>INE148I07QT5</v>
        <stp/>
        <stp>bse_cm|971SCL28A</stp>
        <stp>Isin code</stp>
        <tr r="R1027" s="1"/>
      </tp>
      <tp t="s">
        <v>INE148I07TG6</v>
        <stp/>
        <stp>bse_cm|971SCL29A</stp>
        <stp>Isin code</stp>
        <tr r="R862" s="1"/>
      </tp>
      <tp t="s">
        <v>INE148I07QQ1</v>
        <stp/>
        <stp>bse_cm|965SCL28A</stp>
        <stp>Isin code</stp>
        <tr r="R1136" s="1"/>
      </tp>
      <tp t="s">
        <v>INE148I07QN8</v>
        <stp/>
        <stp>bse_cm|965SCL25A</stp>
        <stp>Isin code</stp>
        <tr r="R234" s="1"/>
      </tp>
      <tp t="s">
        <v>INE148I07TE1</v>
        <stp/>
        <stp>bse_cm|965SCL26A</stp>
        <stp>Isin code</stp>
        <tr r="R1481" s="1"/>
      </tp>
      <tp>
        <v>0</v>
        <stp/>
        <stp>bse_cm|1003SCL30</stp>
        <stp xml:space="preserve">Low </stp>
        <tr r="O877" s="1"/>
      </tp>
      <tp t="s">
        <v>1015SCFL29-YY</v>
        <stp/>
        <stp>nse_cm|1015SCFL29-YY</stp>
        <stp>Trading Symbol</stp>
        <tr r="B1455" s="1"/>
      </tp>
      <tp t="s">
        <v>INE804IA7139</v>
        <stp/>
        <stp>bse_cm|995ECL29A</stp>
        <stp>Isin code</stp>
        <tr r="R152" s="1"/>
      </tp>
      <tp t="s">
        <v>INE148I07QI8</v>
        <stp/>
        <stp>bse_cm|990SCL26A</stp>
        <stp>Isin code</stp>
        <tr r="R1057" s="1"/>
      </tp>
      <tp>
        <v>0</v>
        <stp/>
        <stp>bse_cm|1003SCL31</stp>
        <stp xml:space="preserve">Low </stp>
        <tr r="O727" s="1"/>
      </tp>
      <tp t="s">
        <v>INE148I07PU5</v>
        <stp/>
        <stp>bse_cm|980SCL33A</stp>
        <stp>Isin code</stp>
        <tr r="R1056" s="1"/>
      </tp>
      <tp t="s">
        <v>BSE</v>
        <stp/>
        <stp>bse_cm|11DLSL25A</stp>
        <stp>Exchange</stp>
        <tr r="C300" s="1"/>
      </tp>
      <tp>
        <v>0</v>
        <stp/>
        <stp>bse_cm|SFL270224</stp>
        <stp xml:space="preserve">Low </stp>
        <tr r="O808" s="1"/>
      </tp>
      <tp>
        <v>993</v>
        <stp/>
        <stp>bse_cm|1045EFS34</stp>
        <stp>High</stp>
        <tr r="N1450" s="1"/>
      </tp>
      <tp t="s">
        <v>840CIFCL28-N4</v>
        <stp/>
        <stp>nse_cm|840CIFCL28-N4</stp>
        <stp>Trading Symbol</stp>
        <tr r="B556" s="1"/>
      </tp>
      <tp>
        <v>0</v>
        <stp/>
        <stp>bse_cm|925KFL26A</stp>
        <stp>Ask Rate</stp>
        <tr r="F1479" s="1"/>
      </tp>
      <tp>
        <v>0</v>
        <stp/>
        <stp>bse_cm|875KFL26A</stp>
        <stp>Ask Rate</stp>
        <tr r="F1155" s="1"/>
      </tp>
      <tp>
        <v>940</v>
        <stp/>
        <stp>bse_cm|1045EFS33</stp>
        <stp>High</stp>
        <tr r="N1030" s="1"/>
      </tp>
      <tp t="s">
        <v>1015SCL28</v>
        <stp/>
        <stp>nse_cm|1015SCL28-NR</stp>
        <stp>Symbol</stp>
        <tr r="A288" s="1"/>
      </tp>
      <tp>
        <v>963.51</v>
        <stp/>
        <stp>bse_cm|EFS290424</stp>
        <stp xml:space="preserve">Low </stp>
        <tr r="O570" s="1"/>
      </tp>
      <tp>
        <v>2330</v>
        <stp/>
        <stp>nse_cm|IFCIZC25-NM</stp>
        <stp>Prev Close</stp>
        <tr r="P1765" s="1"/>
      </tp>
      <tp>
        <v>986</v>
        <stp/>
        <stp>bse_cm|1102NFL26</stp>
        <stp xml:space="preserve">Low </stp>
        <tr r="O567" s="1"/>
      </tp>
      <tp t="s">
        <v>BSE</v>
        <stp/>
        <stp>bse_cm|975MFL24B</stp>
        <stp>Exchange</stp>
        <tr r="C415" s="1"/>
      </tp>
      <tp t="s">
        <v>INE140A07757</v>
        <stp/>
        <stp>nse_cm|9PEL25-N0</stp>
        <stp>Isin code</stp>
        <tr r="R341" s="1"/>
      </tp>
      <tp t="s">
        <v>97SFL28-YS</v>
        <stp/>
        <stp>nse_cm|97SFL28-YS</stp>
        <stp>Trading Symbol</stp>
        <tr r="B19" s="1"/>
      </tp>
      <tp t="s">
        <v>94SFL28-YL</v>
        <stp/>
        <stp>nse_cm|94SFL28-YL</stp>
        <stp>Trading Symbol</stp>
        <tr r="B5" s="1"/>
      </tp>
      <tp t="s">
        <v>BSE</v>
        <stp/>
        <stp>bse_cm|9PCHFL31A</stp>
        <stp>Exchange</stp>
        <tr r="C301" s="1"/>
      </tp>
      <tp t="s">
        <v>IIFLZC26B</v>
        <stp/>
        <stp>bse_cm|IIFLZC26B</stp>
        <stp>Symbol</stp>
        <tr r="A1179" s="1"/>
      </tp>
      <tp t="s">
        <v>IIFLZC26A</v>
        <stp/>
        <stp>bse_cm|IIFLZC26A</stp>
        <stp>Symbol</stp>
        <tr r="A1674" s="1"/>
      </tp>
      <tp t="s">
        <v>CIFCZC28A</v>
        <stp/>
        <stp>bse_cm|CIFCZC28A</stp>
        <stp>Symbol</stp>
        <tr r="A1396" s="1"/>
      </tp>
      <tp t="s">
        <v>IIFLZC25C</v>
        <stp/>
        <stp>bse_cm|IIFLZC25C</stp>
        <stp>Symbol</stp>
        <tr r="A1750" s="1"/>
      </tp>
      <tp t="s">
        <v>IIFLZC25B</v>
        <stp/>
        <stp>bse_cm|IIFLZC25B</stp>
        <stp>Symbol</stp>
        <tr r="A1685" s="1"/>
      </tp>
      <tp t="s">
        <v>IIFLZC25A</v>
        <stp/>
        <stp>bse_cm|IIFLZC25A</stp>
        <stp>Symbol</stp>
        <tr r="A1737" s="1"/>
      </tp>
      <tp t="s">
        <v>CIFCZC25A</v>
        <stp/>
        <stp>bse_cm|CIFCZC25A</stp>
        <stp>Symbol</stp>
        <tr r="A1728" s="1"/>
      </tp>
      <tp t="s">
        <v>IIFLZC28C</v>
        <stp/>
        <stp>bse_cm|IIFLZC28C</stp>
        <stp>Symbol</stp>
        <tr r="A1404" s="1"/>
      </tp>
      <tp t="s">
        <v>IIFLZC28B</v>
        <stp/>
        <stp>bse_cm|IIFLZC28B</stp>
        <stp>Symbol</stp>
        <tr r="A1595" s="1"/>
      </tp>
      <tp t="s">
        <v>IIFLZC28A</v>
        <stp/>
        <stp>bse_cm|IIFLZC28A</stp>
        <stp>Symbol</stp>
        <tr r="A1628" s="1"/>
      </tp>
      <tp t="s">
        <v>CIFCZC26A</v>
        <stp/>
        <stp>bse_cm|CIFCZC26A</stp>
        <stp>Symbol</stp>
        <tr r="A737" s="1"/>
      </tp>
      <tp>
        <v>911.17</v>
        <stp/>
        <stp>bse_cm|1075SCL33</stp>
        <stp>High</stp>
        <tr r="N881" s="1"/>
      </tp>
      <tp>
        <v>0</v>
        <stp/>
        <stp>bse_cm|1025SCL33</stp>
        <stp>High</stp>
        <tr r="N879" s="1"/>
      </tp>
      <tp>
        <v>975</v>
        <stp/>
        <stp>bse_cm|1075SCL34</stp>
        <stp>High</stp>
        <tr r="N888" s="1"/>
      </tp>
      <tp>
        <v>960</v>
        <stp/>
        <stp>bse_cm|1025SCL34</stp>
        <stp>High</stp>
        <tr r="N129" s="1"/>
      </tp>
      <tp t="s">
        <v>MFL27</v>
        <stp/>
        <stp>bse_cm|MFL27</stp>
        <stp>Trading Symbol</stp>
        <tr r="B1563" s="1"/>
      </tp>
      <tp t="s">
        <v>MFL26</v>
        <stp/>
        <stp>bse_cm|MFL26</stp>
        <stp>Trading Symbol</stp>
        <tr r="B1666" s="1"/>
      </tp>
      <tp t="s">
        <v>MFL25</v>
        <stp/>
        <stp>bse_cm|MFL25</stp>
        <stp>Trading Symbol</stp>
        <tr r="B1733" s="1"/>
      </tp>
      <tp t="s">
        <v>KFL25</v>
        <stp/>
        <stp>bse_cm|KFL25</stp>
        <stp>Trading Symbol</stp>
        <tr r="B1309" s="1"/>
      </tp>
      <tp t="s">
        <v>MFL23</v>
        <stp/>
        <stp>bse_cm|MFL23</stp>
        <stp>Trading Symbol</stp>
        <tr r="B1668" s="1"/>
      </tp>
      <tp t="s">
        <v>KFL27</v>
        <stp/>
        <stp>bse_cm|KFL27</stp>
        <stp>Trading Symbol</stp>
        <tr r="B1303" s="1"/>
      </tp>
      <tp t="s">
        <v>KFL26</v>
        <stp/>
        <stp>bse_cm|KFL26</stp>
        <stp>Trading Symbol</stp>
        <tr r="B1306" s="1"/>
      </tp>
      <tp t="s">
        <v>KFL29</v>
        <stp/>
        <stp>bse_cm|KFL29</stp>
        <stp>Trading Symbol</stp>
        <tr r="B1619" s="1"/>
      </tp>
      <tp t="s">
        <v>MFL29</v>
        <stp/>
        <stp>bse_cm|MFL29</stp>
        <stp>Trading Symbol</stp>
        <tr r="B1598" s="1"/>
      </tp>
      <tp t="s">
        <v>MFL28</v>
        <stp/>
        <stp>bse_cm|MFL28</stp>
        <stp>Trading Symbol</stp>
        <tr r="B1638" s="1"/>
      </tp>
      <tp t="s">
        <v>SFL28</v>
        <stp/>
        <stp>bse_cm|SFL28</stp>
        <stp>Trading Symbol</stp>
        <tr r="B803" s="1"/>
      </tp>
      <tp t="s">
        <v>SFL25</v>
        <stp/>
        <stp>bse_cm|SFL25</stp>
        <stp>Trading Symbol</stp>
        <tr r="B813" s="1"/>
      </tp>
      <tp t="s">
        <v>SFL27</v>
        <stp/>
        <stp>bse_cm|SFL27</stp>
        <stp>Trading Symbol</stp>
        <tr r="B809" s="1"/>
      </tp>
      <tp t="s">
        <v>SFL26</v>
        <stp/>
        <stp>bse_cm|SFL26</stp>
        <stp>Trading Symbol</stp>
        <tr r="B811" s="1"/>
      </tp>
      <tp t="s">
        <v>KFL31</v>
        <stp/>
        <stp>bse_cm|KFL31</stp>
        <stp>Trading Symbol</stp>
        <tr r="B1297" s="1"/>
      </tp>
      <tp t="s">
        <v>KFL30</v>
        <stp/>
        <stp>bse_cm|KFL30</stp>
        <stp>Trading Symbol</stp>
        <tr r="B1298" s="1"/>
      </tp>
      <tp t="s">
        <v>MFL31</v>
        <stp/>
        <stp>bse_cm|MFL31</stp>
        <stp>Trading Symbol</stp>
        <tr r="B701" s="1"/>
      </tp>
      <tp t="s">
        <v>MFL30</v>
        <stp/>
        <stp>bse_cm|MFL30</stp>
        <stp>Trading Symbol</stp>
        <tr r="B1460" s="1"/>
      </tp>
      <tp t="s">
        <v>SFL30</v>
        <stp/>
        <stp>bse_cm|SFL30</stp>
        <stp>Trading Symbol</stp>
        <tr r="B1597" s="1"/>
      </tp>
      <tp>
        <v>0</v>
        <stp/>
        <stp>nse_cm|88SCL25-ZG</stp>
        <stp>Ask Rate</stp>
        <tr r="F960" s="1"/>
      </tp>
      <tp>
        <v>0</v>
        <stp/>
        <stp>nse_cm|990SCL27-YT</stp>
        <stp>% Change</stp>
        <tr r="J1024" s="1"/>
      </tp>
      <tp>
        <v>0</v>
        <stp/>
        <stp>bse_cm|984ICCL26A</stp>
        <stp>Open</stp>
        <tr r="M883" s="1"/>
      </tp>
      <tp>
        <v>25</v>
        <stp/>
        <stp>bse_cm|92EFSL26</stp>
        <stp>Ask Qty</stp>
        <tr r="G186" s="1"/>
      </tp>
      <tp>
        <v>0</v>
        <stp/>
        <stp>nse_cm|850NIRMA27-N7</stp>
        <stp>Bid Qty</stp>
        <tr r="D1010" s="1"/>
      </tp>
      <tp>
        <v>0</v>
        <stp/>
        <stp>nse_cm|1015SCL28A-AL</stp>
        <stp>Bid Qty</stp>
        <tr r="D1443" s="1"/>
      </tp>
      <tp>
        <v>830</v>
        <stp/>
        <stp>bse_cm|1080MML29</stp>
        <stp>Prev Close</stp>
        <tr r="P72" s="1"/>
      </tp>
      <tp>
        <v>1000</v>
        <stp/>
        <stp>bse_cm|1080MML26</stp>
        <stp>Prev Close</stp>
        <tr r="P1163" s="1"/>
      </tp>
      <tp>
        <v>100</v>
        <stp/>
        <stp>nse_cm|1015SCL28B-AZ</stp>
        <stp>Bid Qty</stp>
        <tr r="D1614" s="1"/>
      </tp>
      <tp>
        <v>296</v>
        <stp/>
        <stp>nse_cm|1025SCL34A-ZT</stp>
        <stp>Ask Qty</stp>
        <tr r="G171" s="1"/>
      </tp>
      <tp>
        <v>900</v>
        <stp/>
        <stp>bse_cm|965ARKA28</stp>
        <stp>Prev Close</stp>
        <tr r="P1349" s="1"/>
      </tp>
      <tp>
        <v>875.4</v>
        <stp/>
        <stp>bse_cm|965ARKA26</stp>
        <stp>Prev Close</stp>
        <tr r="P869" s="1"/>
      </tp>
      <tp>
        <v>1000</v>
        <stp/>
        <stp>bse_cm|MML110924</stp>
        <stp>Prev Close</stp>
        <tr r="P1257" s="1"/>
      </tp>
      <tp>
        <v>1015</v>
        <stp/>
        <stp>bse_cm|11DLSL25A</stp>
        <stp>Prev Close</stp>
        <tr r="P300" s="1"/>
      </tp>
      <tp>
        <v>875</v>
        <stp/>
        <stp>bse_cm|11EFSL34A</stp>
        <stp>Prev Close</stp>
        <tr r="P1408" s="1"/>
      </tp>
      <tp t="e">
        <v>#N/A</v>
        <stp/>
        <stp>bse_cm|1075IML24A</stp>
        <stp>Open</stp>
        <tr r="M32" s="1"/>
      </tp>
      <tp>
        <v>0</v>
        <stp/>
        <stp>bse_cm|1125KLM26A</stp>
        <stp>Open</stp>
        <tr r="M1226" s="1"/>
      </tp>
      <tp>
        <v>1061</v>
        <stp/>
        <stp>bse_cm|91EFSL24A</stp>
        <stp>Prev Close</stp>
        <tr r="P46" s="1"/>
      </tp>
      <tp>
        <v>0</v>
        <stp/>
        <stp>nse_cm|96SCL25-AA</stp>
        <stp>Bid Rate</stp>
        <tr r="E1067" s="1"/>
      </tp>
      <tp>
        <v>977</v>
        <stp/>
        <stp>bse_cm|1150KLM26</stp>
        <stp>Prev Close</stp>
        <tr r="P1224" s="1"/>
      </tp>
      <tp>
        <v>1000</v>
        <stp/>
        <stp>bse_cm|1050MML28</stp>
        <stp>Prev Close</stp>
        <tr r="P1159" s="1"/>
      </tp>
      <tp>
        <v>1050</v>
        <stp/>
        <stp>bse_cm|1050IML25</stp>
        <stp>Prev Close</stp>
        <tr r="P499" s="1"/>
      </tp>
      <tp>
        <v>981</v>
        <stp/>
        <stp>bse_cm|1050MML25</stp>
        <stp>Prev Close</stp>
        <tr r="P1503" s="1"/>
      </tp>
      <tp>
        <v>905</v>
        <stp/>
        <stp>bse_cm|10EFS33</stp>
        <stp>ATP</stp>
        <tr r="K112" s="1"/>
      </tp>
      <tp>
        <v>0</v>
        <stp/>
        <stp>nse_cm|89SCL24-ZO</stp>
        <stp>Ask Rate</stp>
        <tr r="F972" s="1"/>
      </tp>
      <tp>
        <v>991.2</v>
        <stp/>
        <stp>bse_cm|1060MML26</stp>
        <stp>Prev Close</stp>
        <tr r="P1218" s="1"/>
      </tp>
      <tp>
        <v>1000</v>
        <stp/>
        <stp>bse_cm|1175KLM25</stp>
        <stp>Prev Close</stp>
        <tr r="P1691" s="1"/>
      </tp>
      <tp>
        <v>940.35</v>
        <stp/>
        <stp>nse_cm|889SCFL27-YC</stp>
        <stp xml:space="preserve">Low </stp>
        <tr r="O595" s="1"/>
      </tp>
      <tp>
        <v>952</v>
        <stp/>
        <stp>bse_cm|1070MML25</stp>
        <stp>Prev Close</stp>
        <tr r="P1504" s="1"/>
      </tp>
      <tp t="e">
        <v>#N/A</v>
        <stp/>
        <stp>bse_cm|1075IML24</stp>
        <stp>Prev Close</stp>
        <tr r="P33" s="1"/>
      </tp>
      <tp>
        <v>980</v>
        <stp/>
        <stp>bse_cm|1075IML27</stp>
        <stp>Prev Close</stp>
        <tr r="P96" s="1"/>
      </tp>
      <tp>
        <v>1000</v>
        <stp/>
        <stp>bse_cm|1075MML26</stp>
        <stp>Prev Close</stp>
        <tr r="P1115" s="1"/>
      </tp>
      <tp>
        <v>960</v>
        <stp/>
        <stp>bse_cm|1075MML27</stp>
        <stp>Prev Close</stp>
        <tr r="P1510" s="1"/>
      </tp>
      <tp>
        <v>0</v>
        <stp/>
        <stp>bse_cm|1025KFL26A</stp>
        <stp>Open</stp>
        <tr r="M525" s="1"/>
      </tp>
      <tp>
        <v>0</v>
        <stp/>
        <stp>bse_cm|1010EFS28A</stp>
        <stp>Open</stp>
        <tr r="M78" s="1"/>
      </tp>
      <tp>
        <v>922.8</v>
        <stp/>
        <stp>bse_cm|1015MML25</stp>
        <stp>Prev Close</stp>
        <tr r="P1103" s="1"/>
      </tp>
      <tp>
        <v>958.39</v>
        <stp/>
        <stp>bse_cm|IML160224</stp>
        <stp>Prev Close</stp>
        <tr r="P1329" s="1"/>
      </tp>
      <tp>
        <v>979</v>
        <stp/>
        <stp>bse_cm|1025MML25</stp>
        <stp>Prev Close</stp>
        <tr r="P766" s="1"/>
      </tp>
      <tp>
        <v>922</v>
        <stp/>
        <stp>bse_cm|1025MML26</stp>
        <stp>Prev Close</stp>
        <tr r="P765" s="1"/>
      </tp>
      <tp>
        <v>0</v>
        <stp/>
        <stp>bse_cm|1025KFL26C</stp>
        <stp>Open</stp>
        <tr r="M459" s="1"/>
      </tp>
      <tp>
        <v>15</v>
        <stp/>
        <stp>nse_cm|IIFLHF29-NE</stp>
        <stp>Bid Qty</stp>
        <tr r="D1630" s="1"/>
      </tp>
      <tp>
        <v>18</v>
        <stp/>
        <stp>bse_cm|92ICCL28</stp>
        <stp>Ask Qty</stp>
        <tr r="G202" s="1"/>
      </tp>
      <tp>
        <v>0</v>
        <stp/>
        <stp>bse_cm|12ICFL25</stp>
        <stp>Ask Qty</stp>
        <tr r="G1213" s="1"/>
      </tp>
      <tp>
        <v>1000</v>
        <stp/>
        <stp>bse_cm|1125KLM26</stp>
        <stp>Prev Close</stp>
        <tr r="P1227" s="1"/>
      </tp>
      <tp>
        <v>0</v>
        <stp/>
        <stp>bse_cm|1025KFL26B</stp>
        <stp>Open</stp>
        <tr r="M1422" s="1"/>
      </tp>
      <tp>
        <v>0</v>
        <stp/>
        <stp>bse_cm|948SCL26B</stp>
        <stp>Volume Traded Today</stp>
        <tr r="L470" s="1"/>
      </tp>
      <tp>
        <v>0</v>
        <stp/>
        <stp>bse_cm|888SCL26A</stp>
        <stp>Volume Traded Today</stp>
        <tr r="L840" s="1"/>
      </tp>
      <tp>
        <v>0</v>
        <stp/>
        <stp>bse_cm|948SCL26A</stp>
        <stp>Volume Traded Today</stp>
        <tr r="L494" s="1"/>
      </tp>
      <tp>
        <v>0</v>
        <stp/>
        <stp>bse_cm|948SCL26D</stp>
        <stp>Volume Traded Today</stp>
        <tr r="L1081" s="1"/>
      </tp>
      <tp>
        <v>0</v>
        <stp/>
        <stp>bse_cm|948SCL26I</stp>
        <stp>Volume Traded Today</stp>
        <tr r="L1080" s="1"/>
      </tp>
      <tp>
        <v>0</v>
        <stp/>
        <stp>nse_cm|1025SCL33A-N1</stp>
        <stp>Ask Qty</stp>
        <tr r="G834" s="1"/>
      </tp>
      <tp>
        <v>0</v>
        <stp/>
        <stp>bse_cm|948SCL27A</stp>
        <stp>Volume Traded Today</stp>
        <tr r="L697" s="1"/>
      </tp>
      <tp>
        <v>1000</v>
        <stp/>
        <stp>nse_cm|925SCL25G-NY</stp>
        <stp>Face Value</stp>
        <tr r="Q887" s="1"/>
      </tp>
      <tp>
        <v>0</v>
        <stp/>
        <stp>bse_cm|0NHFL26</stp>
        <stp>Ask Rate</stp>
        <tr r="F1037" s="1"/>
      </tp>
      <tp>
        <v>0</v>
        <stp/>
        <stp>bse_cm|888SCL25B</stp>
        <stp>Volume Traded Today</stp>
        <tr r="L909" s="1"/>
      </tp>
      <tp>
        <v>0</v>
        <stp/>
        <stp>bse_cm|888SCL25A</stp>
        <stp>Volume Traded Today</stp>
        <tr r="L911" s="1"/>
      </tp>
      <tp>
        <v>0</v>
        <stp/>
        <stp>bse_cm|888SCL25E</stp>
        <stp>Volume Traded Today</stp>
        <tr r="L1356" s="1"/>
      </tp>
      <tp>
        <v>0</v>
        <stp/>
        <stp>bse_cm|888SCL25D</stp>
        <stp>Volume Traded Today</stp>
        <tr r="L788" s="1"/>
      </tp>
      <tp>
        <v>0</v>
        <stp/>
        <stp>bse_cm|0NHFL27</stp>
        <stp>Ask Rate</stp>
        <tr r="F1036" s="1"/>
      </tp>
      <tp>
        <v>0</v>
        <stp/>
        <stp>nse_cm|769IGT28-NH</stp>
        <stp>% Change</stp>
        <tr r="J1487" s="1"/>
      </tp>
      <tp>
        <v>10</v>
        <stp/>
        <stp>bse_cm|94IFCI25</stp>
        <stp>Bid Qty</stp>
        <tr r="D228" s="1"/>
      </tp>
      <tp>
        <v>25</v>
        <stp/>
        <stp>bse_cm|11KAFL27</stp>
        <stp>Bid Qty</stp>
        <tr r="D184" s="1"/>
      </tp>
      <tp>
        <v>10</v>
        <stp/>
        <stp>bse_cm|11KAFL26</stp>
        <stp>Bid Qty</stp>
        <tr r="D671" s="1"/>
      </tp>
      <tp>
        <v>19</v>
        <stp/>
        <stp>bse_cm|11KAFL29</stp>
        <stp>Bid Qty</stp>
        <tr r="D662" s="1"/>
      </tp>
      <tp>
        <v>9</v>
        <stp/>
        <stp>bse_cm|11EFSL34</stp>
        <stp>Bid Qty</stp>
        <tr r="D1429" s="1"/>
      </tp>
      <tp>
        <v>5</v>
        <stp/>
        <stp>bse_cm|11DLSL25</stp>
        <stp>Bid Qty</stp>
        <tr r="D1539" s="1"/>
      </tp>
      <tp>
        <v>985.2</v>
        <stp/>
        <stp>bse_cm|9TCAP28</stp>
        <stp>Bid Rate</stp>
        <tr r="E545" s="1"/>
      </tp>
      <tp>
        <v>10</v>
        <stp/>
        <stp>bse_cm|8MFL2026</stp>
        <stp>Bid Qty</stp>
        <tr r="D451" s="1"/>
      </tp>
      <tp>
        <v>1083</v>
        <stp/>
        <stp>nse_cm|CIFC28-NB</stp>
        <stp>Prev Close</stp>
        <tr r="P1618" s="1"/>
      </tp>
      <tp>
        <v>10</v>
        <stp/>
        <stp>bse_cm|81ABFL33</stp>
        <stp>Bid Qty</stp>
        <tr r="D1603" s="1"/>
      </tp>
      <tp>
        <v>0</v>
        <stp/>
        <stp>bse_cm|0NHFL29</stp>
        <stp>Ask Rate</stp>
        <tr r="F1035" s="1"/>
      </tp>
      <tp>
        <v>0</v>
        <stp/>
        <stp>nse_cm|87SCL25-ZV</stp>
        <stp>Ask Rate</stp>
        <tr r="F979" s="1"/>
      </tp>
      <tp>
        <v>10</v>
        <stp/>
        <stp>bse_cm|11CCIL27</stp>
        <stp>Bid Qty</stp>
        <tr r="D691" s="1"/>
      </tp>
      <tp>
        <v>30</v>
        <stp/>
        <stp>bse_cm|11CCIL26</stp>
        <stp>Bid Qty</stp>
        <tr r="D625" s="1"/>
      </tp>
      <tp>
        <v>1000</v>
        <stp/>
        <stp>bse_cm|93SCL25</stp>
        <stp xml:space="preserve">Low </stp>
        <tr r="O729" s="1"/>
      </tp>
      <tp>
        <v>1057</v>
        <stp/>
        <stp>bse_cm|93SCL24</stp>
        <stp xml:space="preserve">Low </stp>
        <tr r="O945" s="1"/>
      </tp>
      <tp>
        <v>800</v>
        <stp/>
        <stp>nse_cm|948SCL26D-AI</stp>
        <stp>Bid Rate</stp>
        <tr r="E1690" s="1"/>
      </tp>
      <tp>
        <v>1050.1099999999999</v>
        <stp/>
        <stp>bse_cm|9SFL25A</stp>
        <stp>Bid Rate</stp>
        <tr r="E441" s="1"/>
      </tp>
      <tp>
        <v>25</v>
        <stp/>
        <stp>bse_cm|985ONE34</stp>
        <stp>Bid Qty</stp>
        <tr r="D1101" s="1"/>
      </tp>
      <tp>
        <v>970</v>
        <stp/>
        <stp>bse_cm|95KFL27</stp>
        <stp>High</stp>
        <tr r="N607" s="1"/>
      </tp>
      <tp>
        <v>20</v>
        <stp/>
        <stp>bse_cm|915SCL27</stp>
        <stp>Bid Qty</stp>
        <tr r="D1127" s="1"/>
      </tp>
      <tp>
        <v>250</v>
        <stp/>
        <stp>bse_cm|915SCL26</stp>
        <stp>Bid Qty</stp>
        <tr r="D148" s="1"/>
      </tp>
      <tp>
        <v>5</v>
        <stp/>
        <stp>bse_cm|915MFL28</stp>
        <stp>Bid Qty</stp>
        <tr r="D283" s="1"/>
      </tp>
      <tp>
        <v>15</v>
        <stp/>
        <stp>bse_cm|915MFL27</stp>
        <stp>Bid Qty</stp>
        <tr r="D614" s="1"/>
      </tp>
      <tp>
        <v>1</v>
        <stp/>
        <stp>bse_cm|915MFL25</stp>
        <stp>Bid Qty</stp>
        <tr r="D105" s="1"/>
      </tp>
      <tp>
        <v>970</v>
        <stp/>
        <stp>bse_cm|95KFL26</stp>
        <stp>High</stp>
        <tr r="N253" s="1"/>
      </tp>
      <tp>
        <v>0</v>
        <stp/>
        <stp>bse_cm|NIDO25A</stp>
        <stp>Ask Rate</stp>
        <tr r="F1245" s="1"/>
      </tp>
      <tp>
        <v>1</v>
        <stp/>
        <stp>bse_cm|916SCL25</stp>
        <stp>Bid Qty</stp>
        <tr r="D964" s="1"/>
      </tp>
      <tp>
        <v>50</v>
        <stp/>
        <stp>bse_cm|886ONE25</stp>
        <stp>Bid Qty</stp>
        <tr r="D723" s="1"/>
      </tp>
      <tp>
        <v>970</v>
        <stp/>
        <stp>bse_cm|85KFL25</stp>
        <stp>High</stp>
        <tr r="N641" s="1"/>
      </tp>
      <tp>
        <v>976.66</v>
        <stp/>
        <stp>bse_cm|95KLM25</stp>
        <stp>High</stp>
        <tr r="N73" s="1"/>
      </tp>
      <tp>
        <v>0</v>
        <stp/>
        <stp>bse_cm|920SCL23A</stp>
        <stp>ATP</stp>
        <tr r="K1114" s="1"/>
      </tp>
      <tp>
        <v>0</v>
        <stp/>
        <stp>bse_cm|950SCL23A</stp>
        <stp>ATP</stp>
        <tr r="K1146" s="1"/>
      </tp>
      <tp>
        <v>940.58</v>
        <stp/>
        <stp>bse_cm|85IFL26</stp>
        <stp>High</stp>
        <tr r="N1357" s="1"/>
      </tp>
      <tp>
        <v>3</v>
        <stp/>
        <stp>bse_cm|910MFL26</stp>
        <stp>Bid Qty</stp>
        <tr r="D277" s="1"/>
      </tp>
      <tp>
        <v>190</v>
        <stp/>
        <stp>bse_cm|810MFL25</stp>
        <stp>Bid Qty</stp>
        <tr r="D429" s="1"/>
      </tp>
      <tp>
        <v>0</v>
        <stp/>
        <stp>bse_cm|1025NWFL30</stp>
        <stp>Open</stp>
        <tr r="M1026" s="1"/>
      </tp>
      <tp>
        <v>997.8</v>
        <stp/>
        <stp>bse_cm|95MFL25</stp>
        <stp>High</stp>
        <tr r="N1420" s="1"/>
      </tp>
      <tp>
        <v>0</v>
        <stp/>
        <stp>bse_cm|850SCL25A</stp>
        <stp>ATP</stp>
        <tr r="K1387" s="1"/>
      </tp>
      <tp>
        <v>0</v>
        <stp/>
        <stp>bse_cm|990SCL26D</stp>
        <stp>ATP</stp>
        <tr r="K1534" s="1"/>
      </tp>
      <tp>
        <v>0</v>
        <stp/>
        <stp>bse_cm|940SCL26C</stp>
        <stp>ATP</stp>
        <tr r="K794" s="1"/>
      </tp>
      <tp>
        <v>0</v>
        <stp/>
        <stp>bse_cm|940SCL26B</stp>
        <stp>ATP</stp>
        <tr r="K905" s="1"/>
      </tp>
      <tp>
        <v>0</v>
        <stp/>
        <stp>bse_cm|990SCL26B</stp>
        <stp>ATP</stp>
        <tr r="K1048" s="1"/>
      </tp>
      <tp>
        <v>0</v>
        <stp/>
        <stp>bse_cm|940SCL26A</stp>
        <stp>ATP</stp>
        <tr r="K920" s="1"/>
      </tp>
      <tp>
        <v>0</v>
        <stp/>
        <stp>bse_cm|990SCL26A</stp>
        <stp>ATP</stp>
        <tr r="K1057" s="1"/>
      </tp>
      <tp>
        <v>1062</v>
        <stp/>
        <stp>bse_cm|85LTF26</stp>
        <stp>High</stp>
        <tr r="N410" s="1"/>
      </tp>
      <tp>
        <v>0</v>
        <stp/>
        <stp>bse_cm|990SCL26I</stp>
        <stp>ATP</stp>
        <tr r="K797" s="1"/>
      </tp>
      <tp>
        <v>0</v>
        <stp/>
        <stp>nse_cm|1015ECL29-NR</stp>
        <stp>Open</stp>
        <tr r="M204" s="1"/>
      </tp>
      <tp t="s">
        <v>INE511C07706</v>
        <stp/>
        <stp>bse_cm|829PFL29</stp>
        <stp>Isin code</stp>
        <tr r="R930" s="1"/>
      </tp>
      <tp>
        <v>0</v>
        <stp/>
        <stp>nse_cm|1015SCL28-NR</stp>
        <stp>Open</stp>
        <tr r="M288" s="1"/>
      </tp>
      <tp t="s">
        <v>BSE</v>
        <stp/>
        <stp>bse_cm|9MFL25A</stp>
        <stp>Exchange</stp>
        <tr r="C702" s="1"/>
      </tp>
      <tp>
        <v>0</v>
        <stp/>
        <stp>bse_cm|84CIFCL28</stp>
        <stp>LTP</stp>
        <tr r="H387" s="1"/>
      </tp>
      <tp t="s">
        <v>00:00:00</v>
        <stp/>
        <stp>bse_cm|84CIFCL28</stp>
        <stp>LTT</stp>
        <tr r="I387" s="1"/>
      </tp>
      <tp>
        <v>0</v>
        <stp/>
        <stp>bse_cm|890MFL26A</stp>
        <stp>ATP</stp>
        <tr r="K698" s="1"/>
      </tp>
      <tp>
        <v>0</v>
        <stp/>
        <stp>bse_cm|927MFL26</stp>
        <stp>Ask Qty</stp>
        <tr r="G1457" s="1"/>
      </tp>
      <tp>
        <v>0</v>
        <stp/>
        <stp>nse_cm|921ISFL25-N0</stp>
        <stp>Open</stp>
        <tr r="M287" s="1"/>
      </tp>
      <tp>
        <v>0</v>
        <stp/>
        <stp>bse_cm|850MFL27A</stp>
        <stp>ATP</stp>
        <tr r="K355" s="1"/>
      </tp>
      <tp>
        <v>0</v>
        <stp/>
        <stp>bse_cm|950MFL27A</stp>
        <stp>ATP</stp>
        <tr r="K241" s="1"/>
      </tp>
      <tp>
        <v>903.1</v>
        <stp/>
        <stp>bse_cm|1045NIDO33</stp>
        <stp>Open</stp>
        <tr r="M71" s="1"/>
      </tp>
      <tp t="s">
        <v>77IGT28</v>
        <stp/>
        <stp>bse_cm|77IGT28</stp>
        <stp>Trading Symbol</stp>
        <tr r="B1191" s="1"/>
      </tp>
      <tp t="s">
        <v>76IGT26</v>
        <stp/>
        <stp>bse_cm|76IGT26</stp>
        <stp>Trading Symbol</stp>
        <tr r="B1608" s="1"/>
      </tp>
      <tp t="s">
        <v>79IGT28</v>
        <stp/>
        <stp>bse_cm|79IGT28</stp>
        <stp>Trading Symbol</stp>
        <tr r="B1183" s="1"/>
      </tp>
      <tp>
        <v>0</v>
        <stp/>
        <stp>bse_cm|884LTF29</stp>
        <stp>Ask Qty</stp>
        <tr r="G1337" s="1"/>
      </tp>
      <tp>
        <v>0</v>
        <stp/>
        <stp>nse_cm|948SCL26I-AX</stp>
        <stp>Bid Rate</stp>
        <tr r="E1708" s="1"/>
      </tp>
      <tp>
        <v>0</v>
        <stp/>
        <stp>bse_cm|925SCL28</stp>
        <stp>Ask Qty</stp>
        <tr r="G940" s="1"/>
      </tp>
      <tp>
        <v>0</v>
        <stp/>
        <stp>bse_cm|925SCL29</stp>
        <stp>Ask Qty</stp>
        <tr r="G820" s="1"/>
      </tp>
      <tp>
        <v>0</v>
        <stp/>
        <stp>bse_cm|925SFL26</stp>
        <stp>Ask Qty</stp>
        <tr r="G850" s="1"/>
      </tp>
      <tp>
        <v>0</v>
        <stp/>
        <stp>bse_cm|925SCL26</stp>
        <stp>Ask Qty</stp>
        <tr r="G913" s="1"/>
      </tp>
      <tp>
        <v>0</v>
        <stp/>
        <stp>bse_cm|925SFL27</stp>
        <stp>Ask Qty</stp>
        <tr r="G849" s="1"/>
      </tp>
      <tp>
        <v>0</v>
        <stp/>
        <stp>bse_cm|925SCL27</stp>
        <stp>Ask Qty</stp>
        <tr r="G1414" s="1"/>
      </tp>
      <tp>
        <v>4</v>
        <stp/>
        <stp>bse_cm|925SCL25</stp>
        <stp>Ask Qty</stp>
        <tr r="G104" s="1"/>
      </tp>
      <tp>
        <v>0</v>
        <stp/>
        <stp>bse_cm|925KFL26</stp>
        <stp>Ask Qty</stp>
        <tr r="G775" s="1"/>
      </tp>
      <tp>
        <v>20</v>
        <stp/>
        <stp>bse_cm|925KFL27</stp>
        <stp>Ask Qty</stp>
        <tr r="G313" s="1"/>
      </tp>
      <tp>
        <v>144</v>
        <stp/>
        <stp>bse_cm|825KFL25</stp>
        <stp>Ask Qty</stp>
        <tr r="G252" s="1"/>
      </tp>
      <tp>
        <v>90</v>
        <stp/>
        <stp>bse_cm|725MFL24</stp>
        <stp>Ask Qty</stp>
        <tr r="G446" s="1"/>
      </tp>
      <tp>
        <v>0</v>
        <stp/>
        <stp>bse_cm|925MFL25</stp>
        <stp>Ask Qty</stp>
        <tr r="G1466" s="1"/>
      </tp>
      <tp>
        <v>0</v>
        <stp/>
        <stp>bse_cm|825MFL25</stp>
        <stp>Ask Qty</stp>
        <tr r="G596" s="1"/>
      </tp>
      <tp>
        <v>32</v>
        <stp/>
        <stp>bse_cm|925MFL26</stp>
        <stp>Ask Qty</stp>
        <tr r="G230" s="1"/>
      </tp>
      <tp>
        <v>10</v>
        <stp/>
        <stp>bse_cm|825MFL26</stp>
        <stp>Ask Qty</stp>
        <tr r="G418" s="1"/>
      </tp>
      <tp>
        <v>0</v>
        <stp/>
        <stp>bse_cm|885LTF27</stp>
        <stp>Ask Qty</stp>
        <tr r="G1008" s="1"/>
      </tp>
      <tp>
        <v>10</v>
        <stp/>
        <stp>bse_cm|825MFL27</stp>
        <stp>Ask Qty</stp>
        <tr r="G344" s="1"/>
      </tp>
      <tp>
        <v>70</v>
        <stp/>
        <stp>bse_cm|825MFL29</stp>
        <stp>Ask Qty</stp>
        <tr r="G473" s="1"/>
      </tp>
      <tp>
        <v>100</v>
        <stp/>
        <stp>bse_cm|925AEL26</stp>
        <stp>Ask Qty</stp>
        <tr r="G335" s="1"/>
      </tp>
      <tp>
        <v>0</v>
        <stp/>
        <stp>bse_cm|825MFL2026</stp>
        <stp>Open</stp>
        <tr r="M318" s="1"/>
      </tp>
      <tp>
        <v>0</v>
        <stp/>
        <stp>bse_cm|NIDO010327</stp>
        <stp>Open</stp>
        <tr r="M1247" s="1"/>
      </tp>
      <tp>
        <v>0</v>
        <stp/>
        <stp>nse_cm|1119NFL27-ND</stp>
        <stp>Open</stp>
        <tr r="M337" s="1"/>
      </tp>
      <tp>
        <v>0</v>
        <stp/>
        <stp>bse_cm|875KFL2025</stp>
        <stp>Open</stp>
        <tr r="M1158" s="1"/>
      </tp>
      <tp>
        <v>0</v>
        <stp/>
        <stp>bse_cm|NIDO010326</stp>
        <stp>Open</stp>
        <tr r="M1248" s="1"/>
      </tp>
      <tp>
        <v>250</v>
        <stp/>
        <stp>bse_cm|920PEL28</stp>
        <stp>Ask Qty</stp>
        <tr r="G440" s="1"/>
      </tp>
      <tp>
        <v>0</v>
        <stp/>
        <stp>bse_cm|820SCL25</stp>
        <stp>Ask Qty</stp>
        <tr r="G925" s="1"/>
      </tp>
      <tp>
        <v>0</v>
        <stp/>
        <stp>bse_cm|1075NIDO34</stp>
        <stp>Open</stp>
        <tr r="M1021" s="1"/>
      </tp>
      <tp>
        <v>0</v>
        <stp/>
        <stp>bse_cm|1026NIDO34</stp>
        <stp>Open</stp>
        <tr r="M1018" s="1"/>
      </tp>
      <tp>
        <v>0</v>
        <stp/>
        <stp>bse_cm|1075NHFL34</stp>
        <stp>Open</stp>
        <tr r="M1553" s="1"/>
      </tp>
      <tp>
        <v>889</v>
        <stp/>
        <stp>bse_cm|1026NHFL34</stp>
        <stp>Open</stp>
        <tr r="M155" s="1"/>
      </tp>
      <tp>
        <v>985.5</v>
        <stp/>
        <stp>bse_cm|915SCL27A</stp>
        <stp>Prev Close</stp>
        <tr r="P951" s="1"/>
      </tp>
      <tp>
        <v>815.2</v>
        <stp/>
        <stp>nse_cm|888SCL25A-AQ</stp>
        <stp>Bid Rate</stp>
        <tr r="E910" s="1"/>
      </tp>
      <tp>
        <v>0</v>
        <stp/>
        <stp>bse_cm|NIDO010329</stp>
        <stp>Open</stp>
        <tr r="M1246" s="1"/>
      </tp>
      <tp>
        <v>1027</v>
        <stp/>
        <stp>bse_cm|82IGT31</stp>
        <stp xml:space="preserve">Low </stp>
        <tr r="O383" s="1"/>
      </tp>
      <tp>
        <v>0</v>
        <stp/>
        <stp>bse_cm|810MFL2028</stp>
        <stp>Open</stp>
        <tr r="M651" s="1"/>
      </tp>
      <tp t="s">
        <v>82IGT31</v>
        <stp/>
        <stp>bse_cm|82IGT31</stp>
        <stp>Trading Symbol</stp>
        <tr r="B383" s="1"/>
      </tp>
      <tp>
        <v>0</v>
        <stp/>
        <stp>nse_cm|87SCL27-Z6</stp>
        <stp>Ask Rate</stp>
        <tr r="F950" s="1"/>
      </tp>
      <tp>
        <v>0</v>
        <stp/>
        <stp>bse_cm|829PFL29</stp>
        <stp>Ask Qty</stp>
        <tr r="G930" s="1"/>
      </tp>
      <tp>
        <v>0</v>
        <stp/>
        <stp>bse_cm|ICLFLZC29</stp>
        <stp>LTP</stp>
        <tr r="H1613" s="1"/>
      </tp>
      <tp t="s">
        <v>00:00:00</v>
        <stp/>
        <stp>bse_cm|ICLFLZC29</stp>
        <stp>LTT</stp>
        <tr r="I1613" s="1"/>
      </tp>
      <tp t="s">
        <v>BSE</v>
        <stp/>
        <stp>bse_cm|950KFIL26</stp>
        <stp>Exchange</stp>
        <tr r="C602" s="1"/>
      </tp>
      <tp>
        <v>7</v>
        <stp/>
        <stp>bse_cm|1050SCFL31</stp>
        <stp>Bid Qty</stp>
        <tr r="D1123" s="1"/>
      </tp>
      <tp>
        <v>0</v>
        <stp/>
        <stp>bse_cm|1003ICCL28</stp>
        <stp>Ask Qty</stp>
        <tr r="G655" s="1"/>
      </tp>
      <tp>
        <v>0</v>
        <stp/>
        <stp>bse_cm|1003IIFL29</stp>
        <stp>Ask Qty</stp>
        <tr r="G1078" s="1"/>
      </tp>
      <tp>
        <v>0</v>
        <stp/>
        <stp>bse_cm|1003ISFL28</stp>
        <stp>Ask Qty</stp>
        <tr r="G1456" s="1"/>
      </tp>
      <tp>
        <v>0</v>
        <stp/>
        <stp>bse_cm|105MMFL25B</stp>
        <stp>Ask Qty</stp>
        <tr r="G1390" s="1"/>
      </tp>
      <tp>
        <v>158</v>
        <stp/>
        <stp>bse_cm|105MMFL25C</stp>
        <stp>Ask Qty</stp>
        <tr r="G480" s="1"/>
      </tp>
      <tp>
        <v>0</v>
        <stp/>
        <stp>bse_cm|105MMFL25A</stp>
        <stp>Ask Qty</stp>
        <tr r="G1364" s="1"/>
      </tp>
      <tp t="s">
        <v>BSE</v>
        <stp/>
        <stp>bse_cm|925KFIL25</stp>
        <stp>Exchange</stp>
        <tr r="C776" s="1"/>
      </tp>
      <tp>
        <v>174</v>
        <stp/>
        <stp>bse_cm|875MFCL26C</stp>
        <stp>Ask Qty</stp>
        <tr r="G309" s="1"/>
      </tp>
      <tp>
        <v>0</v>
        <stp/>
        <stp>bse_cm|950MFCL27D</stp>
        <stp>Ask Qty</stp>
        <tr r="G1496" s="1"/>
      </tp>
      <tp t="s">
        <v>BSE</v>
        <stp/>
        <stp>bse_cm|975KAFL25</stp>
        <stp>Exchange</stp>
        <tr r="C860" s="1"/>
      </tp>
      <tp t="s">
        <v>BSE</v>
        <stp/>
        <stp>bse_cm|935KAFL25</stp>
        <stp>Exchange</stp>
        <tr r="C785" s="1"/>
      </tp>
      <tp t="s">
        <v>BSE</v>
        <stp/>
        <stp>bse_cm|957JFPL30</stp>
        <stp>Exchange</stp>
        <tr r="C760" s="1"/>
      </tp>
      <tp>
        <v>0</v>
        <stp/>
        <stp>bse_cm|1050NIDO29</stp>
        <stp>Ask Qty</stp>
        <tr r="G1124" s="1"/>
      </tp>
      <tp>
        <v>500</v>
        <stp/>
        <stp>bse_cm|1010NIDO28</stp>
        <stp>Ask Qty</stp>
        <tr r="G199" s="1"/>
      </tp>
      <tp>
        <v>0</v>
        <stp/>
        <stp>bse_cm|1003NHFL29</stp>
        <stp>Ask Qty</stp>
        <tr r="G605" s="1"/>
      </tp>
      <tp t="s">
        <v>BSE</v>
        <stp/>
        <stp>bse_cm|985KAFL26</stp>
        <stp>Exchange</stp>
        <tr r="C1102" s="1"/>
      </tp>
      <tp t="s">
        <v>BSE</v>
        <stp/>
        <stp>bse_cm|975KAFL26</stp>
        <stp>Exchange</stp>
        <tr r="C859" s="1"/>
      </tp>
      <tp t="s">
        <v>BSE</v>
        <stp/>
        <stp>bse_cm|950KLMF26</stp>
        <stp>Exchange</stp>
        <tr r="C278" s="1"/>
      </tp>
      <tp>
        <v>1000</v>
        <stp/>
        <stp>nse_cm|801TCH28-N7</stp>
        <stp>Face Value</stp>
        <tr r="Q1181" s="1"/>
      </tp>
      <tp>
        <v>0</v>
        <stp/>
        <stp>bse_cm|CCIL110324</stp>
        <stp>Ask Qty</stp>
        <tr r="G754" s="1"/>
      </tp>
      <tp>
        <v>99</v>
        <stp/>
        <stp>bse_cm|975MFCL28E</stp>
        <stp>Ask Qty</stp>
        <tr r="G303" s="1"/>
      </tp>
      <tp>
        <v>0</v>
        <stp/>
        <stp>bse_cm|995NWIL32</stp>
        <stp>Ask Rate</stp>
        <tr r="F1023" s="1"/>
      </tp>
      <tp>
        <v>989</v>
        <stp/>
        <stp>bse_cm|953NWIL32</stp>
        <stp>Ask Rate</stp>
        <tr r="F226" s="1"/>
      </tp>
      <tp>
        <v>919.8</v>
        <stp/>
        <stp>bse_cm|970NIDO32</stp>
        <stp>Ask Rate</stp>
        <tr r="F67" s="1"/>
      </tp>
      <tp>
        <v>892.5</v>
        <stp/>
        <stp>bse_cm|930NIDO32</stp>
        <stp>Ask Rate</stp>
        <tr r="F76" s="1"/>
      </tp>
      <tp>
        <v>8</v>
        <stp/>
        <stp>bse_cm|1050CCIL25</stp>
        <stp>Bid Qty</stp>
        <tr r="D2" s="1"/>
      </tp>
      <tp>
        <v>40</v>
        <stp/>
        <stp>bse_cm|1150CCIL29</stp>
        <stp>Bid Qty</stp>
        <tr r="D424" s="1"/>
      </tp>
      <tp>
        <v>2</v>
        <stp/>
        <stp>bse_cm|1150CCIL28</stp>
        <stp>Bid Qty</stp>
        <tr r="D460" s="1"/>
      </tp>
      <tp>
        <v>0</v>
        <stp/>
        <stp>bse_cm|MML27524A</stp>
        <stp>High</stp>
        <tr r="N1250" s="1"/>
      </tp>
      <tp t="s">
        <v>BSE</v>
        <stp/>
        <stp>bse_cm|CCILZC25A</stp>
        <stp>Exchange</stp>
        <tr r="C749" s="1"/>
      </tp>
      <tp>
        <v>20</v>
        <stp/>
        <stp>bse_cm|1010EFSL32</stp>
        <stp>Bid Qty</stp>
        <tr r="D631" s="1"/>
      </tp>
      <tp>
        <v>10</v>
        <stp/>
        <stp>bse_cm|1050EFSL29</stp>
        <stp>Bid Qty</stp>
        <tr r="D1484" s="1"/>
      </tp>
      <tp>
        <v>25</v>
        <stp/>
        <stp>bse_cm|1010EFSL29</stp>
        <stp>Bid Qty</stp>
        <tr r="D1459" s="1"/>
      </tp>
      <tp>
        <v>20</v>
        <stp/>
        <stp>bse_cm|1010EFSL28</stp>
        <stp>Bid Qty</stp>
        <tr r="D663" s="1"/>
      </tp>
      <tp t="s">
        <v>BSE</v>
        <stp/>
        <stp>bse_cm|EFSLZC25A</stp>
        <stp>Exchange</stp>
        <tr r="C1333" s="1"/>
      </tp>
      <tp t="s">
        <v>105UCL2026-NB</v>
        <stp/>
        <stp>nse_cm|105UCL2026-NB</stp>
        <stp>Trading Symbol</stp>
        <tr r="B130" s="1"/>
      </tp>
      <tp t="s">
        <v>BSE</v>
        <stp/>
        <stp>bse_cm|IIFLZC25B</stp>
        <stp>Exchange</stp>
        <tr r="C1685" s="1"/>
      </tp>
      <tp>
        <v>16</v>
        <stp/>
        <stp>bse_cm|1050KAFL27</stp>
        <stp>Bid Qty</stp>
        <tr r="D1160" s="1"/>
      </tp>
      <tp>
        <v>20</v>
        <stp/>
        <stp>bse_cm|1050KAFL25</stp>
        <stp>Bid Qty</stp>
        <tr r="D1161" s="1"/>
      </tp>
      <tp>
        <v>20</v>
        <stp/>
        <stp>bse_cm|1050KAFL28</stp>
        <stp>Bid Qty</stp>
        <tr r="D610" s="1"/>
      </tp>
      <tp t="s">
        <v>BSE</v>
        <stp/>
        <stp>bse_cm|IIFLZC25C</stp>
        <stp>Exchange</stp>
        <tr r="C1750" s="1"/>
      </tp>
      <tp>
        <v>0</v>
        <stp/>
        <stp>bse_cm|1003SCFL31</stp>
        <stp>Ask Qty</stp>
        <tr r="G1076" s="1"/>
      </tp>
      <tp>
        <v>0</v>
        <stp/>
        <stp>bse_cm|91MOFSL27</stp>
        <stp>Ask Rate</stp>
        <tr r="F1558" s="1"/>
      </tp>
      <tp t="s">
        <v>BSE</v>
        <stp/>
        <stp>bse_cm|MMFLZC25D</stp>
        <stp>Exchange</stp>
        <tr r="C1262" s="1"/>
      </tp>
      <tp>
        <v>36</v>
        <stp/>
        <stp>bse_cm|1050IIFL29</stp>
        <stp>Bid Qty</stp>
        <tr r="D763" s="1"/>
      </tp>
      <tp>
        <v>100</v>
        <stp/>
        <stp>bse_cm|1030IFSL26</stp>
        <stp>Bid Qty</stp>
        <tr r="D1654" s="1"/>
      </tp>
      <tp>
        <v>20</v>
        <stp/>
        <stp>bse_cm|1050ICCL28</stp>
        <stp>Bid Qty</stp>
        <tr r="D1133" s="1"/>
      </tp>
      <tp>
        <v>12</v>
        <stp/>
        <stp>bse_cm|1030ICCL28</stp>
        <stp>Bid Qty</stp>
        <tr r="D1521" s="1"/>
      </tp>
      <tp>
        <v>50</v>
        <stp/>
        <stp>bse_cm|1050ISFL28</stp>
        <stp>Bid Qty</stp>
        <tr r="D1497" s="1"/>
      </tp>
      <tp t="s">
        <v>BSE</v>
        <stp/>
        <stp>bse_cm|IIFLZC25A</stp>
        <stp>Exchange</stp>
        <tr r="C1737" s="1"/>
      </tp>
      <tp>
        <v>15</v>
        <stp/>
        <stp>bse_cm|1050NHFL29</stp>
        <stp>Bid Qty</stp>
        <tr r="D1125" s="1"/>
      </tp>
      <tp>
        <v>25</v>
        <stp/>
        <stp>bse_cm|1003NIDO29</stp>
        <stp>Bid Qty</stp>
        <tr r="D679" s="1"/>
      </tp>
      <tp>
        <v>1344.9</v>
        <stp/>
        <stp>bse_cm|735NHAI31</stp>
        <stp>Ask Rate</stp>
        <tr r="F565" s="1"/>
      </tp>
      <tp>
        <v>1114.99</v>
        <stp/>
        <stp>bse_cm|769NHAI31</stp>
        <stp>Ask Rate</stp>
        <tr r="F465" s="1"/>
      </tp>
      <tp t="s">
        <v>BSE</v>
        <stp/>
        <stp>bse_cm|MMFLZC25B</stp>
        <stp>Exchange</stp>
        <tr r="C1581" s="1"/>
      </tp>
      <tp>
        <v>15</v>
        <stp/>
        <stp>bse_cm|NIDO010329</stp>
        <stp>Bid Qty</stp>
        <tr r="D1246" s="1"/>
      </tp>
      <tp>
        <v>12</v>
        <stp/>
        <stp>bse_cm|NIDO010327</stp>
        <stp>Bid Qty</stp>
        <tr r="D1247" s="1"/>
      </tp>
      <tp>
        <v>25</v>
        <stp/>
        <stp>bse_cm|NIDO010326</stp>
        <stp>Bid Qty</stp>
        <tr r="D1248" s="1"/>
      </tp>
      <tp t="s">
        <v>BSE</v>
        <stp/>
        <stp>bse_cm|MMFLZC25C</stp>
        <stp>Exchange</stp>
        <tr r="C1263" s="1"/>
      </tp>
      <tp>
        <v>4</v>
        <stp/>
        <stp>bse_cm|1010MFCL30</stp>
        <stp>Bid Qty</stp>
        <tr r="D285" s="1"/>
      </tp>
      <tp>
        <v>1051.8</v>
        <stp/>
        <stp>nse_cm|85IIFL25-NO</stp>
        <stp>Prev Close</stp>
        <tr r="P110" s="1"/>
      </tp>
      <tp>
        <v>998</v>
        <stp/>
        <stp>nse_cm|835IFL25-NV</stp>
        <stp>Prev Close</stp>
        <tr r="P98" s="1"/>
      </tp>
      <tp t="s">
        <v>BSE</v>
        <stp/>
        <stp>bse_cm|MMFLZC25A</stp>
        <stp>Exchange</stp>
        <tr r="C1264" s="1"/>
      </tp>
      <tp>
        <v>826.1</v>
        <stp/>
        <stp>bse_cm|925SCL25G</stp>
        <stp>Bid Rate</stp>
        <tr r="E717" s="1"/>
      </tp>
      <tp>
        <v>1019</v>
        <stp/>
        <stp>bse_cm|1075NFL25</stp>
        <stp>High</stp>
        <tr r="N643" s="1"/>
      </tp>
      <tp>
        <v>996.72</v>
        <stp/>
        <stp>bse_cm|1025NFL25</stp>
        <stp>High</stp>
        <tr r="N624" s="1"/>
      </tp>
      <tp>
        <v>1000</v>
        <stp/>
        <stp>bse_cm|1075MML26</stp>
        <stp>High</stp>
        <tr r="N1115" s="1"/>
      </tp>
      <tp>
        <v>922</v>
        <stp/>
        <stp>bse_cm|1025MML26</stp>
        <stp>High</stp>
        <tr r="N765" s="1"/>
      </tp>
      <tp>
        <v>1112</v>
        <stp/>
        <stp>bse_cm|MFLTDVI25</stp>
        <stp>Bid Rate</stp>
        <tr r="E1686" s="1"/>
      </tp>
      <tp>
        <v>910.2</v>
        <stp/>
        <stp>bse_cm|965SCL25F</stp>
        <stp>Bid Rate</stp>
        <tr r="E673" s="1"/>
      </tp>
      <tp>
        <v>820.1</v>
        <stp/>
        <stp>bse_cm|925SCL25F</stp>
        <stp>Bid Rate</stp>
        <tr r="E719" s="1"/>
      </tp>
      <tp>
        <v>975</v>
        <stp/>
        <stp>bse_cm|104ECL29A</stp>
        <stp>Ask Rate</stp>
        <tr r="F79" s="1"/>
      </tp>
      <tp>
        <v>1000</v>
        <stp/>
        <stp>bse_cm|1125MML27</stp>
        <stp>High</stp>
        <tr r="N592" s="1"/>
      </tp>
      <tp>
        <v>960</v>
        <stp/>
        <stp>bse_cm|1075MML27</stp>
        <stp>High</stp>
        <tr r="N1510" s="1"/>
      </tp>
      <tp>
        <v>690.2</v>
        <stp/>
        <stp>bse_cm|888SCL25D</stp>
        <stp>Bid Rate</stp>
        <tr r="E788" s="1"/>
      </tp>
      <tp>
        <v>930.41</v>
        <stp/>
        <stp>bse_cm|965SCL25E</stp>
        <stp>Bid Rate</stp>
        <tr r="E414" s="1"/>
      </tp>
      <tp t="s">
        <v>INE148I07RR7</v>
        <stp/>
        <stp>bse_cm|835SCL23A</stp>
        <stp>Isin code</stp>
        <tr r="R1104" s="1"/>
      </tp>
      <tp>
        <v>1002.5</v>
        <stp/>
        <stp>bse_cm|1065NFL27</stp>
        <stp>High</stp>
        <tr r="N182" s="1"/>
      </tp>
      <tp>
        <v>930.2</v>
        <stp/>
        <stp>bse_cm|MFLTDII27</stp>
        <stp>Bid Rate</stp>
        <tr r="E297" s="1"/>
      </tp>
      <tp>
        <v>0</v>
        <stp/>
        <stp>bse_cm|888SCL25E</stp>
        <stp>Bid Rate</stp>
        <tr r="E1356" s="1"/>
      </tp>
      <tp>
        <v>979</v>
        <stp/>
        <stp>bse_cm|1025MML25</stp>
        <stp>High</stp>
        <tr r="N766" s="1"/>
      </tp>
      <tp>
        <v>1194.8</v>
        <stp/>
        <stp>bse_cm|1015MML25</stp>
        <stp>High</stp>
        <tr r="N1103" s="1"/>
      </tp>
      <tp t="s">
        <v>INE219X07199</v>
        <stp/>
        <stp>nse_cm|745IGT26-NC</stp>
        <stp>Isin code</stp>
        <tr r="R1201" s="1"/>
      </tp>
      <tp>
        <v>0</v>
        <stp/>
        <stp>nse_cm|1015SCFL29-YY</stp>
        <stp>% Change</stp>
        <tr r="J1455" s="1"/>
      </tp>
      <tp>
        <v>812.25</v>
        <stp/>
        <stp>bse_cm|888SCL25B</stp>
        <stp>Bid Rate</stp>
        <tr r="E909" s="1"/>
      </tp>
      <tp>
        <v>800.4</v>
        <stp/>
        <stp>bse_cm|965SCL25C</stp>
        <stp>Bid Rate</stp>
        <tr r="E506" s="1"/>
      </tp>
      <tp>
        <v>950.2</v>
        <stp/>
        <stp>bse_cm|925SCL25C</stp>
        <stp>Bid Rate</stp>
        <tr r="E676" s="1"/>
      </tp>
      <tp t="s">
        <v>INE148I08348</v>
        <stp/>
        <stp>bse_cm|850SCL25A</stp>
        <stp>Isin code</stp>
        <tr r="R1387" s="1"/>
      </tp>
      <tp>
        <v>0</v>
        <stp/>
        <stp>bse_cm|1175IFL26</stp>
        <stp>High</stp>
        <tr r="N1221" s="1"/>
      </tp>
      <tp>
        <v>835.2</v>
        <stp/>
        <stp>bse_cm|965SCL25B</stp>
        <stp>Bid Rate</stp>
        <tr r="E1507" s="1"/>
      </tp>
      <tp>
        <v>930.2</v>
        <stp/>
        <stp>bse_cm|925SCL25B</stp>
        <stp>Bid Rate</stp>
        <tr r="E1490" s="1"/>
      </tp>
      <tp>
        <v>990</v>
        <stp/>
        <stp>bse_cm|1025KFL25</stp>
        <stp>High</stp>
        <tr r="N638" s="1"/>
      </tp>
      <tp>
        <v>1009</v>
        <stp/>
        <stp>bse_cm|1225IFL27</stp>
        <stp>High</stp>
        <tr r="N1216" s="1"/>
      </tp>
      <tp>
        <v>980</v>
        <stp/>
        <stp>bse_cm|1075IML27</stp>
        <stp>High</stp>
        <tr r="N96" s="1"/>
      </tp>
      <tp>
        <v>1000</v>
        <stp/>
        <stp>bse_cm|1175KLM25</stp>
        <stp>High</stp>
        <tr r="N1691" s="1"/>
      </tp>
      <tp>
        <v>1035.2</v>
        <stp/>
        <stp>bse_cm|965SCL25A</stp>
        <stp>Bid Rate</stp>
        <tr r="E234" s="1"/>
      </tp>
      <tp>
        <v>940</v>
        <stp/>
        <stp>bse_cm|925SCL25A</stp>
        <stp>Bid Rate</stp>
        <tr r="E1515" s="1"/>
      </tp>
      <tp t="s">
        <v>INE148I07RU1</v>
        <stp/>
        <stp>bse_cm|875SCL23A</stp>
        <stp>Isin code</stp>
        <tr r="R194" s="1"/>
      </tp>
      <tp>
        <v>960</v>
        <stp/>
        <stp>bse_cm|1025KFL26</stp>
        <stp>High</stp>
        <tr r="N768" s="1"/>
      </tp>
      <tp t="e">
        <v>#N/A</v>
        <stp/>
        <stp>bse_cm|1075IML24</stp>
        <stp>High</stp>
        <tr r="N33" s="1"/>
      </tp>
      <tp>
        <v>1010</v>
        <stp/>
        <stp>bse_cm|1125KLM26</stp>
        <stp>High</stp>
        <tr r="N1227" s="1"/>
      </tp>
      <tp>
        <v>910.2</v>
        <stp/>
        <stp>bse_cm|894SCL25A</stp>
        <stp>Bid Rate</stp>
        <tr r="E1235" s="1"/>
      </tp>
      <tp>
        <v>820.2</v>
        <stp/>
        <stp>bse_cm|888SCL25A</stp>
        <stp>Bid Rate</stp>
        <tr r="E911" s="1"/>
      </tp>
      <tp>
        <v>825.2</v>
        <stp/>
        <stp>bse_cm|850SCL25A</stp>
        <stp>Bid Rate</stp>
        <tr r="E1387" s="1"/>
      </tp>
      <tp>
        <v>1180</v>
        <stp/>
        <stp>bse_cm|1015ECL29</stp>
        <stp>High</stp>
        <tr r="N210" s="1"/>
      </tp>
      <tp>
        <v>965</v>
        <stp/>
        <stp>bse_cm|1025KFL27</stp>
        <stp>High</stp>
        <tr r="N767" s="1"/>
      </tp>
      <tp>
        <v>1020.12</v>
        <stp/>
        <stp>bse_cm|1075KLM27</stp>
        <stp>High</stp>
        <tr r="N1117" s="1"/>
      </tp>
      <tp>
        <v>995</v>
        <stp/>
        <stp>bse_cm|1003VCL25</stp>
        <stp xml:space="preserve">Low </stp>
        <tr r="O151" s="1"/>
      </tp>
      <tp t="s">
        <v>INE148I07MT4</v>
        <stp/>
        <stp>bse_cm|894SCL25A</stp>
        <stp>Isin code</stp>
        <tr r="R1235" s="1"/>
      </tp>
      <tp>
        <v>1000</v>
        <stp/>
        <stp>bse_cm|1025KFL28</stp>
        <stp>High</stp>
        <tr r="N626" s="1"/>
      </tp>
      <tp t="s">
        <v>1050ICCL28-NV</v>
        <stp/>
        <stp>nse_cm|1050ICCL28-NV</stp>
        <stp>Trading Symbol</stp>
        <tr r="B764" s="1"/>
      </tp>
      <tp>
        <v>955</v>
        <stp/>
        <stp>bse_cm|995ECL29A</stp>
        <stp>Ask Rate</stp>
        <tr r="F152" s="1"/>
      </tp>
      <tp t="s">
        <v>INE148I07OJ1</v>
        <stp/>
        <stp>bse_cm|888SCL25A</stp>
        <stp>Isin code</stp>
        <tr r="R911" s="1"/>
      </tp>
      <tp t="s">
        <v>INE148I07TD3</v>
        <stp/>
        <stp>bse_cm|888SCL26A</stp>
        <stp>Isin code</stp>
        <tr r="R840" s="1"/>
      </tp>
      <tp>
        <v>0</v>
        <stp/>
        <stp>bse_cm|1025KFL29</stp>
        <stp>High</stp>
        <tr r="N196" s="1"/>
      </tp>
      <tp t="s">
        <v>876HUDCO28-ND</v>
        <stp/>
        <stp>nse_cm|876HUDCO28-ND</stp>
        <stp>Trading Symbol</stp>
        <tr r="B509" s="1"/>
      </tp>
      <tp t="s">
        <v>INE741K07496</v>
        <stp/>
        <stp>nse_cm|10CAGL27-N5</stp>
        <stp>Isin code</stp>
        <tr r="R273" s="1"/>
      </tp>
      <tp>
        <v>0</v>
        <stp/>
        <stp>nse_cm|905SC24-ZB</stp>
        <stp>Ask Qty</stp>
        <tr r="G1374" s="1"/>
      </tp>
      <tp>
        <v>970</v>
        <stp/>
        <stp>bse_cm|SCL310524</stp>
        <stp xml:space="preserve">Low </stp>
        <tr r="O1345" s="1"/>
      </tp>
      <tp t="s">
        <v>1003ICCL28-NX</v>
        <stp/>
        <stp>nse_cm|1003ICCL28-NX</stp>
        <stp>Trading Symbol</stp>
        <tr r="B553" s="1"/>
      </tp>
      <tp t="s">
        <v>891IIFCL34-N4</v>
        <stp/>
        <stp>nse_cm|891IIFCL34-N4</stp>
        <stp>Trading Symbol</stp>
        <tr r="B516" s="1"/>
      </tp>
      <tp>
        <v>990</v>
        <stp/>
        <stp>bse_cm|1075CCL25</stp>
        <stp>High</stp>
        <tr r="N1119" s="1"/>
      </tp>
      <tp t="s">
        <v>INE121A07RR1</v>
        <stp/>
        <stp>nse_cm|CIFC26-NK</stp>
        <stp>Isin code</stp>
        <tr r="R741" s="1"/>
      </tp>
      <tp>
        <v>945</v>
        <stp/>
        <stp>bse_cm|1075CCI26</stp>
        <stp>High</stp>
        <tr r="N1425" s="1"/>
      </tp>
      <tp t="s">
        <v>1030ICCL28-NM</v>
        <stp/>
        <stp>nse_cm|1030ICCL28-NM</stp>
        <stp>Trading Symbol</stp>
        <tr r="B1596" s="1"/>
      </tp>
      <tp>
        <v>835.2</v>
        <stp/>
        <stp>bse_cm|925SCL25H</stp>
        <stp>Bid Rate</stp>
        <tr r="E886" s="1"/>
      </tp>
      <tp>
        <v>0</v>
        <stp/>
        <stp>bse_cm|1125CCI27</stp>
        <stp>High</stp>
        <tr r="N1229" s="1"/>
      </tp>
      <tp t="s">
        <v>1015SCL29</v>
        <stp/>
        <stp>nse_cm|1015SCL29-ZL</stp>
        <stp>Symbol</stp>
        <tr r="A1176" s="1"/>
      </tp>
      <tp>
        <v>1015</v>
        <stp/>
        <stp>bse_cm|1015SCL28</stp>
        <stp>High</stp>
        <tr r="N327" s="1"/>
      </tp>
      <tp>
        <v>962.96</v>
        <stp/>
        <stp>bse_cm|1025SFL28</stp>
        <stp>High</stp>
        <tr r="N100" s="1"/>
      </tp>
      <tp>
        <v>0</v>
        <stp/>
        <stp>bse_cm|1015SCL29</stp>
        <stp>High</stp>
        <tr r="N1177" s="1"/>
      </tp>
      <tp>
        <v>929.18</v>
        <stp/>
        <stp>bse_cm|1025SFL29</stp>
        <stp>High</stp>
        <tr r="N1446" s="1"/>
      </tp>
      <tp>
        <v>2516</v>
        <stp/>
        <stp>nse_cm|IFCIZC24-NI</stp>
        <stp>Prev Close</stp>
        <tr r="P1768" s="1"/>
      </tp>
      <tp t="s">
        <v>97SFL29-YZ</v>
        <stp/>
        <stp>nse_cm|97SFL29-YZ</stp>
        <stp>Trading Symbol</stp>
        <tr r="B20" s="1"/>
      </tp>
      <tp t="s">
        <v>BSE</v>
        <stp/>
        <stp>bse_cm|865MFL25A</stp>
        <stp>Exchange</stp>
        <tr r="C153" s="1"/>
      </tp>
      <tp t="s">
        <v>BSE</v>
        <stp/>
        <stp>bse_cm|825MFL25A</stp>
        <stp>Exchange</stp>
        <tr r="C931" s="1"/>
      </tp>
      <tp>
        <v>899</v>
        <stp/>
        <stp>bse_cm|1035UCL26</stp>
        <stp>High</stp>
        <tr r="N1626" s="1"/>
      </tp>
      <tp>
        <v>0</v>
        <stp/>
        <stp>bse_cm|1025UCL27</stp>
        <stp>High</stp>
        <tr r="N1019" s="1"/>
      </tp>
      <tp t="s">
        <v>9SCL26BA</v>
        <stp/>
        <stp>bse_cm|9SCL26BA</stp>
        <stp>Trading Symbol</stp>
        <tr r="B160" s="1"/>
      </tp>
      <tp>
        <v>987.03</v>
        <stp/>
        <stp>bse_cm|1035UCL24</stp>
        <stp>High</stp>
        <tr r="N1580" s="1"/>
      </tp>
      <tp>
        <v>1034.5</v>
        <stp/>
        <stp>bse_cm|1075UCL25</stp>
        <stp>High</stp>
        <tr r="N515" s="1"/>
      </tp>
      <tp>
        <v>970.01</v>
        <stp/>
        <stp>bse_cm|1025UCL25</stp>
        <stp>High</stp>
        <tr r="N326" s="1"/>
      </tp>
      <tp t="s">
        <v>INE148I07MW8</v>
        <stp/>
        <stp>nse_cm|833SCL24-ZE</stp>
        <stp>Isin code</stp>
        <tr r="R957" s="1"/>
      </tp>
      <tp t="s">
        <v>9SFL2026</v>
        <stp/>
        <stp>bse_cm|9SFL2026</stp>
        <stp>Trading Symbol</stp>
        <tr r="B1473" s="1"/>
      </tp>
      <tp>
        <v>0</v>
        <stp/>
        <stp>bse_cm|RFLNIFT25</stp>
        <stp>Ask Rate</stp>
        <tr r="F1242" s="1"/>
      </tp>
      <tp>
        <v>825.1</v>
        <stp/>
        <stp>bse_cm|925SCL25Z</stp>
        <stp>Bid Rate</stp>
        <tr r="E790" s="1"/>
      </tp>
      <tp>
        <v>1000</v>
        <stp/>
        <stp>bse_cm|1025SFL25</stp>
        <stp>High</stp>
        <tr r="N1071" s="1"/>
      </tp>
      <tp>
        <v>0</v>
        <stp/>
        <stp>nse_cm|850IIFL27-NA</stp>
        <stp>Open</stp>
        <tr r="M608" s="1"/>
      </tp>
      <tp>
        <v>1300</v>
        <stp/>
        <stp>nse_cm|DLSL25A-Y4</stp>
        <stp>Ask Rate</stp>
        <tr r="F1732" s="1"/>
      </tp>
      <tp>
        <v>0</v>
        <stp/>
        <stp>bse_cm|79IGT28</stp>
        <stp>ATP</stp>
        <tr r="K1183" s="1"/>
      </tp>
      <tp>
        <v>1019.5</v>
        <stp/>
        <stp>nse_cm|1102NFL26-N8</stp>
        <stp>Open</stp>
        <tr r="M587" s="1"/>
      </tp>
      <tp>
        <v>339</v>
        <stp/>
        <stp>bse_cm|93EFSL31</stp>
        <stp>Ask Qty</stp>
        <tr r="G83" s="1"/>
      </tp>
      <tp>
        <v>0</v>
        <stp/>
        <stp>nse_cm|93SCL25-ZH</stp>
        <stp>Ask Rate</stp>
        <tr r="F961" s="1"/>
      </tp>
      <tp>
        <v>3</v>
        <stp/>
        <stp>bse_cm|MMFSL26A</stp>
        <stp>Ask Qty</stp>
        <tr r="G1722" s="1"/>
      </tp>
      <tp>
        <v>950</v>
        <stp/>
        <stp>bse_cm|925FL27</stp>
        <stp xml:space="preserve">Low </stp>
        <tr r="O615" s="1"/>
      </tp>
      <tp>
        <v>900</v>
        <stp/>
        <stp>bse_cm|10EFSL34A</stp>
        <stp>Prev Close</stp>
        <tr r="P131" s="1"/>
      </tp>
      <tp>
        <v>959</v>
        <stp/>
        <stp>bse_cm|10EFSL33B</stp>
        <stp>Prev Close</stp>
        <tr r="P136" s="1"/>
      </tp>
      <tp>
        <v>941.99</v>
        <stp/>
        <stp>bse_cm|10EFSL33A</stp>
        <stp>Prev Close</stp>
        <tr r="P140" s="1"/>
      </tp>
      <tp>
        <v>1165.2</v>
        <stp/>
        <stp>nse_cm|91SFL27-ZI</stp>
        <stp>Ask Rate</stp>
        <tr r="F533" s="1"/>
      </tp>
      <tp>
        <v>5</v>
        <stp/>
        <stp>bse_cm|10NIDO26</stp>
        <stp>Ask Qty</stp>
        <tr r="G62" s="1"/>
      </tp>
      <tp>
        <v>0</v>
        <stp/>
        <stp>bse_cm|10NIDO27</stp>
        <stp>Ask Qty</stp>
        <tr r="G597" s="1"/>
      </tp>
      <tp>
        <v>-5.12</v>
        <stp/>
        <stp>nse_cm|889SCL27-YT</stp>
        <stp>% Change</stp>
        <tr r="J120" s="1"/>
      </tp>
      <tp>
        <v>1000</v>
        <stp/>
        <stp>bse_cm|1050KLM27</stp>
        <stp>Prev Close</stp>
        <tr r="P609" s="1"/>
      </tp>
      <tp>
        <v>0</v>
        <stp/>
        <stp>nse_cm|940CAGL27-NB</stp>
        <stp>Open</stp>
        <tr r="M1367" s="1"/>
      </tp>
      <tp>
        <v>25</v>
        <stp/>
        <stp>bse_cm|76NHAI31</stp>
        <stp>Ask Qty</stp>
        <tr r="G478" s="1"/>
      </tp>
      <tp>
        <v>0</v>
        <stp/>
        <stp>bse_cm|10NIDO33</stp>
        <stp>Ask Qty</stp>
        <tr r="G1447" s="1"/>
      </tp>
      <tp>
        <v>1070</v>
        <stp/>
        <stp>bse_cm|1150MML29</stp>
        <stp>Prev Close</stp>
        <tr r="P248" s="1"/>
      </tp>
      <tp>
        <v>995</v>
        <stp/>
        <stp>bse_cm|1150IML28</stp>
        <stp>Prev Close</stp>
        <tr r="P92" s="1"/>
      </tp>
      <tp>
        <v>1010</v>
        <stp/>
        <stp>bse_cm|1150IML29</stp>
        <stp>Prev Close</stp>
        <tr r="P601" s="1"/>
      </tp>
      <tp>
        <v>989.62</v>
        <stp/>
        <stp>bse_cm|955NWIL27</stp>
        <stp>Prev Close</stp>
        <tr r="P1480" s="1"/>
      </tp>
      <tp>
        <v>975</v>
        <stp/>
        <stp>bse_cm|10KAFL26B</stp>
        <stp>Prev Close</stp>
        <tr r="P1094" s="1"/>
      </tp>
      <tp>
        <v>1000</v>
        <stp/>
        <stp>bse_cm|10KAFL26A</stp>
        <stp>Prev Close</stp>
        <tr r="P1095" s="1"/>
      </tp>
      <tp>
        <v>1000</v>
        <stp/>
        <stp>bse_cm|MVAF27</stp>
        <stp>Face Value</stp>
        <tr r="Q1689" s="1"/>
      </tp>
      <tp>
        <v>1020.12</v>
        <stp/>
        <stp>bse_cm|1075KLM27</stp>
        <stp>Prev Close</stp>
        <tr r="P1117" s="1"/>
      </tp>
      <tp>
        <v>0</v>
        <stp/>
        <stp>bse_cm|IML16224</stp>
        <stp>Ask Qty</stp>
        <tr r="G1499" s="1"/>
      </tp>
      <tp>
        <v>981.8</v>
        <stp/>
        <stp>bse_cm|10IIFL28A</stp>
        <stp>Prev Close</stp>
        <tr r="P101" s="1"/>
      </tp>
      <tp>
        <v>9</v>
        <stp/>
        <stp>nse_cm|1003SCL30A-NV</stp>
        <stp>Bid Qty</stp>
        <tr r="D728" s="1"/>
      </tp>
      <tp>
        <v>881.4</v>
        <stp/>
        <stp>bse_cm|1025KFL27A</stp>
        <stp>Open</stp>
        <tr r="M89" s="1"/>
      </tp>
      <tp>
        <v>975</v>
        <stp/>
        <stp>bse_cm|950KFIL26</stp>
        <stp>Prev Close</stp>
        <tr r="P602" s="1"/>
      </tp>
      <tp>
        <v>934.62</v>
        <stp/>
        <stp>bse_cm|950CCIL25</stp>
        <stp>Prev Close</stp>
        <tr r="P99" s="1"/>
      </tp>
      <tp>
        <v>0</v>
        <stp/>
        <stp>bse_cm|1010EFS29A</stp>
        <stp>Open</stp>
        <tr r="M1593" s="1"/>
      </tp>
      <tp>
        <v>0</v>
        <stp/>
        <stp>nse_cm|94SCL27-ZG</stp>
        <stp>Ask Rate</stp>
        <tr r="F1151" s="1"/>
      </tp>
      <tp>
        <v>0</v>
        <stp/>
        <stp>nse_cm|980ICCL28-NL</stp>
        <stp>Open</stp>
        <tr r="M780" s="1"/>
      </tp>
      <tp>
        <v>0</v>
        <stp/>
        <stp>nse_cm|888SCL26-YP</stp>
        <stp>% Change</stp>
        <tr r="J841" s="1"/>
      </tp>
      <tp>
        <v>995</v>
        <stp/>
        <stp>bse_cm|1125MML27</stp>
        <stp>Prev Close</stp>
        <tr r="P592" s="1"/>
      </tp>
      <tp>
        <v>0</v>
        <stp/>
        <stp>nse_cm|99SCL27-ZH</stp>
        <stp>Ask Rate</stp>
        <tr r="F1168" s="1"/>
      </tp>
      <tp>
        <v>0</v>
        <stp/>
        <stp>bse_cm|76IGT26</stp>
        <stp>ATP</stp>
        <tr r="K1608" s="1"/>
      </tp>
      <tp>
        <v>1024</v>
        <stp/>
        <stp>nse_cm|970CAGL28-ND</stp>
        <stp>Open</stp>
        <tr r="M306" s="1"/>
      </tp>
      <tp>
        <v>0</v>
        <stp/>
        <stp>nse_cm|940ICCL28-NN</stp>
        <stp>Open</stp>
        <tr r="M779" s="1"/>
      </tp>
      <tp>
        <v>994</v>
        <stp/>
        <stp>bse_cm|953NWIL32</stp>
        <stp>Prev Close</stp>
        <tr r="P226" s="1"/>
      </tp>
      <tp>
        <v>0</v>
        <stp/>
        <stp>bse_cm|77IGT28</stp>
        <stp>ATP</stp>
        <tr r="K1191" s="1"/>
      </tp>
      <tp>
        <v>100</v>
        <stp/>
        <stp>bse_cm|10MFCL30</stp>
        <stp>Bid Qty</stp>
        <tr r="D1091" s="1"/>
      </tp>
      <tp>
        <v>45</v>
        <stp/>
        <stp>bse_cm|10MMFL27</stp>
        <stp>Bid Qty</stp>
        <tr r="D1090" s="1"/>
      </tp>
      <tp>
        <v>25</v>
        <stp/>
        <stp>bse_cm|10NHFL27</stp>
        <stp>Bid Qty</stp>
        <tr r="D658" s="1"/>
      </tp>
      <tp>
        <v>1000</v>
        <stp/>
        <stp>nse_cm|925SCL25F-BD</stp>
        <stp>Face Value</stp>
        <tr r="Q718" s="1"/>
      </tp>
      <tp t="s">
        <v>BSE</v>
        <stp/>
        <stp>bse_cm|9KSFL27</stp>
        <stp>Exchange</stp>
        <tr r="C1418" s="1"/>
      </tp>
      <tp>
        <v>10</v>
        <stp/>
        <stp>bse_cm|10ISFL26</stp>
        <stp>Bid Qty</stp>
        <tr r="D1509" s="1"/>
      </tp>
      <tp>
        <v>1</v>
        <stp/>
        <stp>bse_cm|10IIFL29</stp>
        <stp>Bid Qty</stp>
        <tr r="D307" s="1"/>
      </tp>
      <tp>
        <v>20</v>
        <stp/>
        <stp>bse_cm|10IFSL26</stp>
        <stp>Bid Qty</stp>
        <tr r="D428" s="1"/>
      </tp>
      <tp>
        <v>10</v>
        <stp/>
        <stp>bse_cm|10IIFL28</stp>
        <stp>Bid Qty</stp>
        <tr r="D68" s="1"/>
      </tp>
      <tp>
        <v>0</v>
        <stp/>
        <stp>bse_cm|93SCFL25</stp>
        <stp>Ask Qty</stp>
        <tr r="G980" s="1"/>
      </tp>
      <tp>
        <v>0</v>
        <stp/>
        <stp>nse_cm|98SCL34-ZS</stp>
        <stp>Ask Rate</stp>
        <tr r="F1052" s="1"/>
      </tp>
      <tp>
        <v>1000</v>
        <stp/>
        <stp>nse_cm|965SCL25F-NZ</stp>
        <stp>Face Value</stp>
        <tr r="Q1362" s="1"/>
      </tp>
      <tp>
        <v>11</v>
        <stp/>
        <stp>nse_cm|920IIFLS26-N8</stp>
        <stp>Bid Qty</stp>
        <tr r="D208" s="1"/>
      </tp>
      <tp>
        <v>101</v>
        <stp/>
        <stp>nse_cm|960IIFLS26-N9</stp>
        <stp>Bid Qty</stp>
        <tr r="D1489" s="1"/>
      </tp>
      <tp>
        <v>25</v>
        <stp/>
        <stp>bse_cm|10KSFL25</stp>
        <stp>Bid Qty</stp>
        <tr r="D107" s="1"/>
      </tp>
      <tp>
        <v>20</v>
        <stp/>
        <stp>bse_cm|10KFIL27</stp>
        <stp>Bid Qty</stp>
        <tr r="D183" s="1"/>
      </tp>
      <tp>
        <v>45</v>
        <stp/>
        <stp>bse_cm|10JFPL30</stp>
        <stp>Bid Qty</stp>
        <tr r="D1097" s="1"/>
      </tp>
      <tp>
        <v>12</v>
        <stp/>
        <stp>bse_cm|10KAFL26</stp>
        <stp>Bid Qty</stp>
        <tr r="D1096" s="1"/>
      </tp>
      <tp>
        <v>30</v>
        <stp/>
        <stp>bse_cm|10EFSL34</stp>
        <stp>Bid Qty</stp>
        <tr r="D164" s="1"/>
      </tp>
      <tp>
        <v>9</v>
        <stp/>
        <stp>bse_cm|10EFSL33</stp>
        <stp>Bid Qty</stp>
        <tr r="D150" s="1"/>
      </tp>
      <tp>
        <v>25</v>
        <stp/>
        <stp>bse_cm|10EFSL27</stp>
        <stp>Bid Qty</stp>
        <tr r="D1139" s="1"/>
      </tp>
      <tp>
        <v>912</v>
        <stp/>
        <stp>bse_cm|1003SCL30A</stp>
        <stp xml:space="preserve">Low </stp>
        <tr r="O875" s="1"/>
      </tp>
      <tp>
        <v>0</v>
        <stp/>
        <stp>nse_cm|93SCL24-ZP</stp>
        <stp>Ask Rate</stp>
        <tr r="F1506" s="1"/>
      </tp>
      <tp>
        <v>-100</v>
        <stp/>
        <stp>nse_cm|772IGT31-NK</stp>
        <stp>% Change</stp>
        <tr r="J1193" s="1"/>
      </tp>
      <tp>
        <v>5</v>
        <stp/>
        <stp>bse_cm|10CAGL27</stp>
        <stp>Bid Qty</stp>
        <tr r="D282" s="1"/>
      </tp>
      <tp>
        <v>0</v>
        <stp/>
        <stp>nse_cm|98SCL27-ZX</stp>
        <stp>Ask Rate</stp>
        <tr r="F1378" s="1"/>
      </tp>
      <tp>
        <v>0</v>
        <stp/>
        <stp>bse_cm|971SCL28C</stp>
        <stp>ATP</stp>
        <tr r="K827" s="1"/>
      </tp>
      <tp>
        <v>0</v>
        <stp/>
        <stp>bse_cm|971SCL28B</stp>
        <stp>ATP</stp>
        <tr r="K714" s="1"/>
      </tp>
      <tp>
        <v>0</v>
        <stp/>
        <stp>bse_cm|971SCL28A</stp>
        <stp>ATP</stp>
        <tr r="K1027" s="1"/>
      </tp>
      <tp>
        <v>0</v>
        <stp/>
        <stp>bse_cm|971SCL28I</stp>
        <stp>ATP</stp>
        <tr r="K1471" s="1"/>
      </tp>
      <tp>
        <v>0</v>
        <stp/>
        <stp>bse_cm|971SCL29A</stp>
        <stp>ATP</stp>
        <tr r="K862" s="1"/>
      </tp>
      <tp>
        <v>50</v>
        <stp/>
        <stp>bse_cm|898ONE26</stp>
        <stp>Bid Qty</stp>
        <tr r="D1154" s="1"/>
      </tp>
      <tp t="s">
        <v>BSE</v>
        <stp/>
        <stp>bse_cm|DLSL25A</stp>
        <stp>Exchange</stp>
        <tr r="C1734" s="1"/>
      </tp>
      <tp t="s">
        <v>8ABFL26</v>
        <stp/>
        <stp>bse_cm|8ABFL26</stp>
        <stp>Trading Symbol</stp>
        <tr r="B539" s="1"/>
      </tp>
      <tp>
        <v>0</v>
        <stp/>
        <stp>nse_cm|888SCL26A-ZC</stp>
        <stp>Ask Rate</stp>
        <tr r="F839" s="1"/>
      </tp>
      <tp t="s">
        <v>85KFL25</v>
        <stp/>
        <stp>bse_cm|85KFL25</stp>
        <stp>Trading Symbol</stp>
        <tr r="B641" s="1"/>
      </tp>
      <tp t="s">
        <v>85IFL26</v>
        <stp/>
        <stp>bse_cm|85IFL26</stp>
        <stp>Trading Symbol</stp>
        <tr r="B1357" s="1"/>
      </tp>
      <tp t="s">
        <v>84MFL25</v>
        <stp/>
        <stp>bse_cm|84MFL25</stp>
        <stp>Trading Symbol</stp>
        <tr r="B316" s="1"/>
      </tp>
      <tp t="s">
        <v>81MFL28</v>
        <stp/>
        <stp>bse_cm|81MFL28</stp>
        <stp>Trading Symbol</stp>
        <tr r="B314" s="1"/>
      </tp>
      <tp t="s">
        <v>89MFL26</v>
        <stp/>
        <stp>bse_cm|89MFL26</stp>
        <stp>Trading Symbol</stp>
        <tr r="B250" s="1"/>
      </tp>
      <tp t="s">
        <v>88MFL28</v>
        <stp/>
        <stp>bse_cm|88MFL28</stp>
        <stp>Trading Symbol</stp>
        <tr r="B233" s="1"/>
      </tp>
      <tp t="s">
        <v>9IIFL28</v>
        <stp/>
        <stp>bse_cm|9IIFL28</stp>
        <stp>Trading Symbol</stp>
        <tr r="B126" s="1"/>
      </tp>
      <tp t="s">
        <v>9KSFL27</v>
        <stp/>
        <stp>bse_cm|9KSFL27</stp>
        <stp>Trading Symbol</stp>
        <tr r="B1418" s="1"/>
      </tp>
      <tp t="s">
        <v>9SCFL25</v>
        <stp/>
        <stp>bse_cm|9SCFL25</stp>
        <stp>Trading Symbol</stp>
        <tr r="B1505" s="1"/>
      </tp>
      <tp>
        <v>1053.9000000000001</v>
        <stp/>
        <stp>bse_cm|MFLOPTII24</stp>
        <stp>Ask Rate</stp>
        <tr r="F559" s="1"/>
      </tp>
      <tp t="s">
        <v>95MFL25</v>
        <stp/>
        <stp>bse_cm|95MFL25</stp>
        <stp>Trading Symbol</stp>
        <tr r="B1420" s="1"/>
      </tp>
      <tp t="s">
        <v>95KFL27</v>
        <stp/>
        <stp>bse_cm|95KFL27</stp>
        <stp>Trading Symbol</stp>
        <tr r="B607" s="1"/>
      </tp>
      <tp t="s">
        <v>95KFL26</v>
        <stp/>
        <stp>bse_cm|95KFL26</stp>
        <stp>Trading Symbol</stp>
        <tr r="B253" s="1"/>
      </tp>
      <tp t="s">
        <v>94MFL27</v>
        <stp/>
        <stp>bse_cm|94MFL27</stp>
        <stp>Trading Symbol</stp>
        <tr r="B189" s="1"/>
      </tp>
      <tp t="s">
        <v>94SFL28</v>
        <stp/>
        <stp>bse_cm|94SFL28</stp>
        <stp>Trading Symbol</stp>
        <tr r="B24" s="1"/>
      </tp>
      <tp t="s">
        <v>97SFL29</v>
        <stp/>
        <stp>bse_cm|97SFL29</stp>
        <stp>Trading Symbol</stp>
        <tr r="B21" s="1"/>
      </tp>
      <tp t="s">
        <v>97SFL28</v>
        <stp/>
        <stp>bse_cm|97SFL28</stp>
        <stp>Trading Symbol</stp>
        <tr r="B23" s="1"/>
      </tp>
      <tp t="s">
        <v>97SFL26</v>
        <stp/>
        <stp>bse_cm|97SFL26</stp>
        <stp>Trading Symbol</stp>
        <tr r="B405" s="1"/>
      </tp>
      <tp t="s">
        <v>96MFL25</v>
        <stp/>
        <stp>bse_cm|96MFL25</stp>
        <stp>Trading Symbol</stp>
        <tr r="B1392" s="1"/>
      </tp>
      <tp t="s">
        <v>91SFL27</v>
        <stp/>
        <stp>bse_cm|91SFL27</stp>
        <stp>Trading Symbol</stp>
        <tr r="B574" s="1"/>
      </tp>
      <tp t="s">
        <v>925FL27</v>
        <stp/>
        <stp>bse_cm|925FL27</stp>
        <stp>Trading Symbol</stp>
        <tr r="B615" s="1"/>
      </tp>
      <tp>
        <v>100</v>
        <stp/>
        <stp>bse_cm|104ECL24</stp>
        <stp>Bid Qty</stp>
        <tr r="D38" s="1"/>
      </tp>
      <tp>
        <v>170</v>
        <stp/>
        <stp>bse_cm|104ECL29</stp>
        <stp>Bid Qty</stp>
        <tr r="D149" s="1"/>
      </tp>
      <tp>
        <v>0</v>
        <stp/>
        <stp>bse_cm|9KFL26B</stp>
        <stp>Ask Rate</stp>
        <tr r="F667" s="1"/>
      </tp>
      <tp>
        <v>60</v>
        <stp/>
        <stp>bse_cm|905PEL26</stp>
        <stp>Bid Qty</stp>
        <tr r="D1518" s="1"/>
      </tp>
      <tp>
        <v>9</v>
        <stp/>
        <stp>bse_cm|905SCL25</stp>
        <stp>Bid Qty</stp>
        <tr r="D1060" s="1"/>
      </tp>
      <tp>
        <v>20</v>
        <stp/>
        <stp>bse_cm|905SCL27</stp>
        <stp>Bid Qty</stp>
        <tr r="D976" s="1"/>
      </tp>
      <tp>
        <v>10</v>
        <stp/>
        <stp>bse_cm|905MFL28</stp>
        <stp>Bid Qty</stp>
        <tr r="D207" s="1"/>
      </tp>
      <tp>
        <v>18</v>
        <stp/>
        <stp>bse_cm|105MML25</stp>
        <stp>Bid Qty</stp>
        <tr r="D1170" s="1"/>
      </tp>
      <tp>
        <v>0</v>
        <stp/>
        <stp>bse_cm|1025NWFL25</stp>
        <stp>Open</stp>
        <tr r="M154" s="1"/>
      </tp>
      <tp>
        <v>0</v>
        <stp/>
        <stp>nse_cm|760PFCL35-N3</stp>
        <stp>Open</stp>
        <tr r="M22" s="1"/>
      </tp>
      <tp>
        <v>0</v>
        <stp/>
        <stp>bse_cm|980SCL33D</stp>
        <stp>ATP</stp>
        <tr r="K1022" s="1"/>
      </tp>
      <tp>
        <v>0</v>
        <stp/>
        <stp>bse_cm|980SCL33C</stp>
        <stp>ATP</stp>
        <tr r="K1384" s="1"/>
      </tp>
      <tp>
        <v>0</v>
        <stp/>
        <stp>bse_cm|980SCL33B</stp>
        <stp>ATP</stp>
        <tr r="K1054" s="1"/>
      </tp>
      <tp>
        <v>0</v>
        <stp/>
        <stp>bse_cm|980SCL33A</stp>
        <stp>ATP</stp>
        <tr r="K1056" s="1"/>
      </tp>
      <tp>
        <v>999</v>
        <stp/>
        <stp>bse_cm|9MFL30A</stp>
        <stp>Ask Rate</stp>
        <tr r="F289" s="1"/>
      </tp>
      <tp>
        <v>0</v>
        <stp/>
        <stp>bse_cm|9KFL26A</stp>
        <stp>Ask Rate</stp>
        <tr r="F1083" s="1"/>
      </tp>
      <tp>
        <v>980.5</v>
        <stp/>
        <stp>bse_cm|84MFL25</stp>
        <stp>High</stp>
        <tr r="N316" s="1"/>
      </tp>
      <tp t="s">
        <v>INE140A07765</v>
        <stp/>
        <stp>bse_cm|920PEL28</stp>
        <stp>Isin code</stp>
        <tr r="R440" s="1"/>
      </tp>
      <tp>
        <v>0</v>
        <stp/>
        <stp>nse_cm|830PFCL27-N5</stp>
        <stp>Open</stp>
        <tr r="M400" s="1"/>
      </tp>
      <tp>
        <v>28</v>
        <stp/>
        <stp>bse_cm|891ONE25</stp>
        <stp>Bid Qty</stp>
        <tr r="D1339" s="1"/>
      </tp>
      <tp>
        <v>0</v>
        <stp/>
        <stp>nse_cm|913ICCL24A-NF</stp>
        <stp>Ask Qty</stp>
        <tr r="G781" s="1"/>
      </tp>
      <tp>
        <v>1000</v>
        <stp/>
        <stp>nse_cm|IIFLZC28B-Y1</stp>
        <stp xml:space="preserve">Low </stp>
        <tr r="O1491" s="1"/>
      </tp>
      <tp>
        <v>20</v>
        <stp/>
        <stp>bse_cm|902SCL27</stp>
        <stp>Bid Qty</stp>
        <tr r="D902" s="1"/>
      </tp>
      <tp>
        <v>6</v>
        <stp/>
        <stp>bse_cm|902SCL26</stp>
        <stp>Bid Qty</stp>
        <tr r="D969" s="1"/>
      </tp>
      <tp t="s">
        <v>0NHFL26</v>
        <stp/>
        <stp>bse_cm|0NHFL26</stp>
        <stp>Trading Symbol</stp>
        <tr r="B1037" s="1"/>
      </tp>
      <tp t="s">
        <v>0NHFL27</v>
        <stp/>
        <stp>bse_cm|0NHFL27</stp>
        <stp>Trading Symbol</stp>
        <tr r="B1036" s="1"/>
      </tp>
      <tp t="s">
        <v>0NHFL29</v>
        <stp/>
        <stp>bse_cm|0NHFL29</stp>
        <stp>Trading Symbol</stp>
        <tr r="B1035" s="1"/>
      </tp>
      <tp>
        <v>0</v>
        <stp/>
        <stp>bse_cm|931SFL26A</stp>
        <stp>ATP</stp>
        <tr r="K1086" s="1"/>
      </tp>
      <tp>
        <v>1020.02</v>
        <stp/>
        <stp>bse_cm|94MFL27</stp>
        <stp>High</stp>
        <tr r="N189" s="1"/>
      </tp>
      <tp>
        <v>0</v>
        <stp/>
        <stp>nse_cm|948SCL27A-ZJ</stp>
        <stp>Ask Rate</stp>
        <tr r="F845" s="1"/>
      </tp>
      <tp>
        <v>0</v>
        <stp/>
        <stp>bse_cm|SCFL310524</stp>
        <stp xml:space="preserve">Low </stp>
        <tr r="O1241" s="1"/>
      </tp>
      <tp>
        <v>10</v>
        <stp/>
        <stp>bse_cm|903SFL28</stp>
        <stp>Bid Qty</stp>
        <tr r="D397" s="1"/>
      </tp>
      <tp t="s">
        <v>11IFL25</v>
        <stp/>
        <stp>bse_cm|11IFL25</stp>
        <stp>Trading Symbol</stp>
        <tr r="B1421" s="1"/>
      </tp>
      <tp t="s">
        <v>10MFL25</v>
        <stp/>
        <stp>bse_cm|10MFL25</stp>
        <stp>Trading Symbol</stp>
        <tr r="B577" s="1"/>
      </tp>
      <tp t="s">
        <v>10NFL25</v>
        <stp/>
        <stp>bse_cm|10NFL25</stp>
        <stp>Trading Symbol</stp>
        <tr r="B1568" s="1"/>
      </tp>
      <tp t="s">
        <v>10KFL27</v>
        <stp/>
        <stp>bse_cm|10KFL27</stp>
        <stp>Trading Symbol</stp>
        <tr r="B675" s="1"/>
      </tp>
      <tp t="s">
        <v>10KFL25</v>
        <stp/>
        <stp>bse_cm|10KFL25</stp>
        <stp>Trading Symbol</stp>
        <tr r="B1093" s="1"/>
      </tp>
      <tp t="s">
        <v>10KFL28</v>
        <stp/>
        <stp>bse_cm|10KFL28</stp>
        <stp>Trading Symbol</stp>
        <tr r="B674" s="1"/>
      </tp>
      <tp t="s">
        <v>10SFL27</v>
        <stp/>
        <stp>bse_cm|10SFL27</stp>
        <stp>Trading Symbol</stp>
        <tr r="B863" s="1"/>
      </tp>
      <tp t="s">
        <v>10SFL25</v>
        <stp/>
        <stp>bse_cm|10SFL25</stp>
        <stp>Trading Symbol</stp>
        <tr r="B1681" s="1"/>
      </tp>
      <tp t="s">
        <v>12IFL27</v>
        <stp/>
        <stp>bse_cm|12IFL27</stp>
        <stp>Trading Symbol</stp>
        <tr r="B258" s="1"/>
      </tp>
      <tp>
        <v>1173</v>
        <stp/>
        <stp>nse_cm|875NHAI29-N6</stp>
        <stp>Open</stp>
        <tr r="M495" s="1"/>
      </tp>
      <tp>
        <v>0</v>
        <stp/>
        <stp>nse_cm|960ISFL25-N1</stp>
        <stp>Open</stp>
        <tr r="M1695" s="1"/>
      </tp>
      <tp t="s">
        <v>BSE</v>
        <stp/>
        <stp>bse_cm|8MFL24A</stp>
        <stp>Exchange</stp>
        <tr r="C1549" s="1"/>
      </tp>
      <tp t="s">
        <v>BSE</v>
        <stp/>
        <stp>bse_cm|KAFL28A</stp>
        <stp>Exchange</stp>
        <tr r="C1319" s="1"/>
      </tp>
      <tp>
        <v>0</v>
        <stp/>
        <stp>bse_cm|IML1622024</stp>
        <stp>Open</stp>
        <tr r="M1328" s="1"/>
      </tp>
      <tp>
        <v>750</v>
        <stp/>
        <stp>bse_cm|902SCL26I</stp>
        <stp>Prev Close</stp>
        <tr r="P903" s="1"/>
      </tp>
      <tp>
        <v>1000</v>
        <stp/>
        <stp>bse_cm|902SCL26A</stp>
        <stp>Prev Close</stp>
        <tr r="P967" s="1"/>
      </tp>
      <tp>
        <v>1000</v>
        <stp/>
        <stp>bse_cm|902SCL27A</stp>
        <stp>Prev Close</stp>
        <tr r="P1354" s="1"/>
      </tp>
      <tp>
        <v>0</v>
        <stp/>
        <stp>bse_cm|94SCL27</stp>
        <stp>High</stp>
        <tr r="N1152" s="1"/>
      </tp>
      <tp t="s">
        <v>10EFS33</v>
        <stp/>
        <stp>bse_cm|10EFS33</stp>
        <stp>Trading Symbol</stp>
        <tr r="B112" s="1"/>
      </tp>
      <tp>
        <v>0</v>
        <stp/>
        <stp>bse_cm|92LTF29</stp>
        <stp xml:space="preserve">Low </stp>
        <tr r="O1088" s="1"/>
      </tp>
      <tp>
        <v>1059.9000000000001</v>
        <stp/>
        <stp>nse_cm|97SFL26-Z9</stp>
        <stp>Ask Rate</stp>
        <tr r="F438" s="1"/>
      </tp>
      <tp>
        <v>1</v>
        <stp/>
        <stp>bse_cm|935PEL33</stp>
        <stp>Ask Qty</stp>
        <tr r="G368" s="1"/>
      </tp>
      <tp>
        <v>3</v>
        <stp/>
        <stp>bse_cm|935SCL28</stp>
        <stp>Ask Qty</stp>
        <tr r="G284" s="1"/>
      </tp>
      <tp>
        <v>0</v>
        <stp/>
        <stp>bse_cm|835IFL25</stp>
        <stp>Ask Qty</stp>
        <tr r="G668" s="1"/>
      </tp>
      <tp>
        <v>98</v>
        <stp/>
        <stp>bse_cm|735MFL25</stp>
        <stp>Ask Qty</stp>
        <tr r="G308" s="1"/>
      </tp>
      <tp>
        <v>159</v>
        <stp/>
        <stp>bse_cm|835MFL26</stp>
        <stp>Ask Qty</stp>
        <tr r="G169" s="1"/>
      </tp>
      <tp>
        <v>175</v>
        <stp/>
        <stp>bse_cm|935MFL29</stp>
        <stp>Ask Qty</stp>
        <tr r="G238" s="1"/>
      </tp>
      <tp>
        <v>0</v>
        <stp/>
        <stp>nse_cm|980IFSL25-N5</stp>
        <stp>Open</stp>
        <tr r="M476" s="1"/>
      </tp>
      <tp>
        <v>25</v>
        <stp/>
        <stp>bse_cm|932AEL27</stp>
        <stp>Ask Qty</stp>
        <tr r="G317" s="1"/>
      </tp>
      <tp>
        <v>0</v>
        <stp/>
        <stp>bse_cm|833SCL24</stp>
        <stp>Ask Qty</stp>
        <tr r="G1180" s="1"/>
      </tp>
      <tp>
        <v>50</v>
        <stp/>
        <stp>bse_cm|930SFL28</stp>
        <stp>Ask Qty</stp>
        <tr r="G10" s="1"/>
      </tp>
      <tp>
        <v>960</v>
        <stp/>
        <stp>bse_cm|104ECL29A</stp>
        <stp>Prev Close</stp>
        <tr r="P79" s="1"/>
      </tp>
      <tp>
        <v>0</v>
        <stp/>
        <stp>bse_cm|931SFL26</stp>
        <stp>Ask Qty</stp>
        <tr r="G1492" s="1"/>
      </tp>
      <tp>
        <v>189</v>
        <stp/>
        <stp>nse_cm|890ICCL23A-NZ</stp>
        <stp>Bid Qty</stp>
        <tr r="D1363" s="1"/>
      </tp>
      <tp>
        <v>975</v>
        <stp/>
        <stp>bse_cm|905MFL28A</stp>
        <stp>Prev Close</stp>
        <tr r="P224" s="1"/>
      </tp>
      <tp>
        <v>0</v>
        <stp/>
        <stp>nse_cm|820IIFL27-N9</stp>
        <stp>Open</stp>
        <tr r="M266" s="1"/>
      </tp>
      <tp>
        <v>0</v>
        <stp/>
        <stp>nse_cm|960CAGL25-N3</stp>
        <stp>Open</stp>
        <tr r="M305" s="1"/>
      </tp>
      <tp>
        <v>0</v>
        <stp/>
        <stp>bse_cm|12KLM25</stp>
        <stp xml:space="preserve">Low </stp>
        <tr r="O1211" s="1"/>
      </tp>
      <tp>
        <v>1004</v>
        <stp/>
        <stp>bse_cm|12IFL27</stp>
        <stp xml:space="preserve">Low </stp>
        <tr r="O258" s="1"/>
      </tp>
      <tp>
        <v>0</v>
        <stp/>
        <stp>bse_cm|1050NHFL29</stp>
        <stp>Open</stp>
        <tr r="M1125" s="1"/>
      </tp>
      <tp>
        <v>0</v>
        <stp/>
        <stp>bse_cm|1010NIDO28</stp>
        <stp>Open</stp>
        <tr r="M199" s="1"/>
      </tp>
      <tp>
        <v>0</v>
        <stp/>
        <stp>bse_cm|1003NHFL29</stp>
        <stp>Open</stp>
        <tr r="M605" s="1"/>
      </tp>
      <tp>
        <v>1000</v>
        <stp/>
        <stp>bse_cm|12IML26</stp>
        <stp xml:space="preserve">Low </stp>
        <tr r="O1494" s="1"/>
      </tp>
      <tp>
        <v>0</v>
        <stp/>
        <stp>bse_cm|1050NIDO29</stp>
        <stp>Open</stp>
        <tr r="M1124" s="1"/>
      </tp>
      <tp>
        <v>0</v>
        <stp/>
        <stp>bse_cm|1003NIDO29</stp>
        <stp>Open</stp>
        <tr r="M679" s="1"/>
      </tp>
      <tp>
        <v>0</v>
        <stp/>
        <stp>nse_cm|910CAGL25-N7</stp>
        <stp>Open</stp>
        <tr r="M622" s="1"/>
      </tp>
      <tp>
        <v>942</v>
        <stp/>
        <stp>bse_cm|12CCI29</stp>
        <stp xml:space="preserve">Low </stp>
        <tr r="O91" s="1"/>
      </tp>
      <tp>
        <v>30</v>
        <stp/>
        <stp>bse_cm|898LTF29</stp>
        <stp>Ask Qty</stp>
        <tr r="G416" s="1"/>
      </tp>
      <tp>
        <v>0</v>
        <stp/>
        <stp>bse_cm|939SCL27</stp>
        <stp>Ask Qty</stp>
        <tr r="G985" s="1"/>
      </tp>
      <tp>
        <v>1045.0999999999999</v>
        <stp/>
        <stp>bse_cm|94SFL28</stp>
        <stp>High</stp>
        <tr r="N24" s="1"/>
      </tp>
      <tp>
        <v>0</v>
        <stp/>
        <stp>bse_cm|MFCL30424B</stp>
        <stp>Ask Qty</stp>
        <tr r="G1282" s="1"/>
      </tp>
      <tp>
        <v>0</v>
        <stp/>
        <stp>bse_cm|MFCL30424C</stp>
        <stp>Ask Qty</stp>
        <tr r="G1552" s="1"/>
      </tp>
      <tp>
        <v>0</v>
        <stp/>
        <stp>bse_cm|MFCL30424A</stp>
        <stp>Ask Qty</stp>
        <tr r="G1283" s="1"/>
      </tp>
      <tp>
        <v>0</v>
        <stp/>
        <stp>bse_cm|MFCL30424D</stp>
        <stp>Ask Qty</stp>
        <tr r="G1281" s="1"/>
      </tp>
      <tp t="s">
        <v>BSE</v>
        <stp/>
        <stp>bse_cm|948JFPL25</stp>
        <stp>Exchange</stp>
        <tr r="C490" s="1"/>
      </tp>
      <tp>
        <v>0</v>
        <stp/>
        <stp>bse_cm|MFCL16924A</stp>
        <stp>Ask Qty</stp>
        <tr r="G1285" s="1"/>
      </tp>
      <tp>
        <v>0</v>
        <stp/>
        <stp>bse_cm|MFCL16924B</stp>
        <stp>Ask Qty</stp>
        <tr r="G1284" s="1"/>
      </tp>
      <tp>
        <v>0</v>
        <stp/>
        <stp>bse_cm|MFCL16924C</stp>
        <stp>Ask Qty</stp>
        <tr r="G660" s="1"/>
      </tp>
      <tp t="s">
        <v>10IIFLSF27-NB</v>
        <stp/>
        <stp>nse_cm|10IIFLSF27-NB</stp>
        <stp>Trading Symbol</stp>
        <tr r="B1657" s="1"/>
      </tp>
      <tp>
        <v>0</v>
        <stp/>
        <stp>bse_cm|EFSL26724A</stp>
        <stp>Ask Qty</stp>
        <tr r="G1468" s="1"/>
      </tp>
      <tp>
        <v>0</v>
        <stp/>
        <stp>bse_cm|915NWIL25</stp>
        <stp>Ask Rate</stp>
        <tr r="F620" s="1"/>
      </tp>
      <tp>
        <v>979</v>
        <stp/>
        <stp>bse_cm|916NWIL27</stp>
        <stp>Ask Rate</stp>
        <tr r="F209" s="1"/>
      </tp>
      <tp>
        <v>0</v>
        <stp/>
        <stp>bse_cm|955NWIL27</stp>
        <stp>Ask Rate</stp>
        <tr r="F1480" s="1"/>
      </tp>
      <tp>
        <v>5.27</v>
        <stp/>
        <stp>bse_cm|849NTPC25</stp>
        <stp>Ask Rate</stp>
        <tr r="F443" s="1"/>
      </tp>
      <tp>
        <v>0</v>
        <stp/>
        <stp>bse_cm|CCIL14824C</stp>
        <stp>Ask Qty</stp>
        <tr r="G751" s="1"/>
      </tp>
      <tp>
        <v>0</v>
        <stp/>
        <stp>bse_cm|CCIL14824B</stp>
        <stp>Ask Qty</stp>
        <tr r="G752" s="1"/>
      </tp>
      <tp>
        <v>25</v>
        <stp/>
        <stp>bse_cm|CCIL14824A</stp>
        <stp>Ask Qty</stp>
        <tr r="G590" s="1"/>
      </tp>
      <tp>
        <v>100</v>
        <stp/>
        <stp>bse_cm|775MFL2025</stp>
        <stp>Bid Qty</stp>
        <tr r="D336" s="1"/>
      </tp>
      <tp>
        <v>170</v>
        <stp/>
        <stp>bse_cm|775MFL2026</stp>
        <stp>Bid Qty</stp>
        <tr r="D240" s="1"/>
      </tp>
      <tp>
        <v>20</v>
        <stp/>
        <stp>bse_cm|785MFL2028</stp>
        <stp>Bid Qty</stp>
        <tr r="D357" s="1"/>
      </tp>
      <tp>
        <v>0</v>
        <stp/>
        <stp>bse_cm|958NHFL27</stp>
        <stp>Ask Rate</stp>
        <tr r="F616" s="1"/>
      </tp>
      <tp>
        <v>0</v>
        <stp/>
        <stp>bse_cm|960NIDO26</stp>
        <stp>Ask Rate</stp>
        <tr r="F870" s="1"/>
      </tp>
      <tp>
        <v>1014</v>
        <stp/>
        <stp>bse_cm|957NIDO26</stp>
        <stp>Ask Rate</stp>
        <tr r="F329" s="1"/>
      </tp>
      <tp>
        <v>975.2</v>
        <stp/>
        <stp>bse_cm|920NIDO26</stp>
        <stp>Ask Rate</stp>
        <tr r="F166" s="1"/>
      </tp>
      <tp>
        <v>1011.5</v>
        <stp/>
        <stp>bse_cm|MFLIII25C</stp>
        <stp>Ask Rate</stp>
        <tr r="F213" s="1"/>
      </tp>
      <tp>
        <v>993</v>
        <stp/>
        <stp>bse_cm|950NHFL26</stp>
        <stp>Ask Rate</stp>
        <tr r="F582" s="1"/>
      </tp>
      <tp>
        <v>0</v>
        <stp/>
        <stp>bse_cm|958NIDO27</stp>
        <stp>Ask Rate</stp>
        <tr r="F1402" s="1"/>
      </tp>
      <tp>
        <v>968.26</v>
        <stp/>
        <stp>bse_cm|955NIDO27</stp>
        <stp>Ask Rate</stp>
        <tr r="F51" s="1"/>
      </tp>
      <tp>
        <v>937.19</v>
        <stp/>
        <stp>bse_cm|915NIDO27</stp>
        <stp>Ask Rate</stp>
        <tr r="F59" s="1"/>
      </tp>
      <tp>
        <v>1072</v>
        <stp/>
        <stp>bse_cm|10MFL24AA</stp>
        <stp>High</stp>
        <tr r="N475" s="1"/>
      </tp>
      <tp>
        <v>980.5</v>
        <stp/>
        <stp>bse_cm|870NIDO25</stp>
        <stp>Ask Rate</stp>
        <tr r="F86" s="1"/>
      </tp>
      <tp>
        <v>1021.95</v>
        <stp/>
        <stp>bse_cm|905NIDO25</stp>
        <stp>Ask Rate</stp>
        <tr r="F60" s="1"/>
      </tp>
      <tp>
        <v>975</v>
        <stp/>
        <stp>bse_cm|895NHFL25</stp>
        <stp>Ask Rate</stp>
        <tr r="F54" s="1"/>
      </tp>
      <tp>
        <v>1026.98</v>
        <stp/>
        <stp>bse_cm|93MOFSL34</stp>
        <stp>Ask Rate</stp>
        <tr r="F312" s="1"/>
      </tp>
      <tp>
        <v>1094</v>
        <stp/>
        <stp>bse_cm|97MOFSL34</stp>
        <stp>Ask Rate</stp>
        <tr r="F1600" s="1"/>
      </tp>
      <tp>
        <v>1000</v>
        <stp/>
        <stp>bse_cm|967NIDO28</stp>
        <stp>Ask Rate</stp>
        <tr r="F227" s="1"/>
      </tp>
      <tp t="s">
        <v>BSE</v>
        <stp/>
        <stp>bse_cm|MMFLZC24D</stp>
        <stp>Exchange</stp>
        <tr r="C1265" s="1"/>
      </tp>
      <tp>
        <v>940</v>
        <stp/>
        <stp>nse_cm|943ECL28-NJ</stp>
        <stp>Prev Close</stp>
        <tr r="P94" s="1"/>
      </tp>
      <tp>
        <v>935</v>
        <stp/>
        <stp>nse_cm|985ECL28-NK</stp>
        <stp>Prev Close</stp>
        <tr r="P52" s="1"/>
      </tp>
      <tp>
        <v>1027.99</v>
        <stp/>
        <stp>bse_cm|729NHAI26</stp>
        <stp>Ask Rate</stp>
        <tr r="F348" s="1"/>
      </tp>
      <tp>
        <v>1058.99</v>
        <stp/>
        <stp>bse_cm|739NHAI26</stp>
        <stp>Ask Rate</stp>
        <tr r="F442" s="1"/>
      </tp>
      <tp>
        <v>0</v>
        <stp/>
        <stp>bse_cm|704NHAI26</stp>
        <stp>Ask Rate</stp>
        <tr r="F1204" s="1"/>
      </tp>
      <tp>
        <v>1235.5999999999999</v>
        <stp/>
        <stp>bse_cm|714NHAI26</stp>
        <stp>Ask Rate</stp>
        <tr r="F1662" s="1"/>
      </tp>
      <tp>
        <v>1174.25</v>
        <stp/>
        <stp>bse_cm|875NHAI29</stp>
        <stp>Ask Rate</stp>
        <tr r="F496" s="1"/>
      </tp>
      <tp>
        <v>1383.9</v>
        <stp/>
        <stp>bse_cm|850NHAI29</stp>
        <stp>Ask Rate</stp>
        <tr r="F580" s="1"/>
      </tp>
      <tp>
        <v>20</v>
        <stp/>
        <stp>bse_cm|810MFL2028</stp>
        <stp>Bid Qty</stp>
        <tr r="D651" s="1"/>
      </tp>
      <tp>
        <v>189</v>
        <stp/>
        <stp>bse_cm|825MFL2026</stp>
        <stp>Bid Qty</stp>
        <tr r="D318" s="1"/>
      </tp>
      <tp>
        <v>304</v>
        <stp/>
        <stp>nse_cm|79NHIT35-N1</stp>
        <stp>Prev Close</stp>
        <tr r="P1589" s="1"/>
      </tp>
      <tp>
        <v>1042.55</v>
        <stp/>
        <stp>bse_cm|910TCAP28</stp>
        <stp>Bid Rate</stp>
        <tr r="E409" s="1"/>
      </tp>
      <tp>
        <v>100</v>
        <stp/>
        <stp>bse_cm|739NHAI31A</stp>
        <stp>Bid Qty</stp>
        <tr r="D546" s="1"/>
      </tp>
      <tp t="s">
        <v>INE148I07RZ0</v>
        <stp/>
        <stp>bse_cm|835SCL23B</stp>
        <stp>Isin code</stp>
        <tr r="R167" s="1"/>
      </tp>
      <tp>
        <v>797</v>
        <stp/>
        <stp>bse_cm|990SCL26D</stp>
        <stp>Bid Rate</stp>
        <tr r="E1534" s="1"/>
      </tp>
      <tp>
        <v>712.2</v>
        <stp/>
        <stp>bse_cm|948SCL26D</stp>
        <stp>Bid Rate</stp>
        <tr r="E1081" s="1"/>
      </tp>
      <tp>
        <v>822.8</v>
        <stp/>
        <stp>bse_cm|931SFL26A</stp>
        <stp>Bid Rate</stp>
        <tr r="E1086" s="1"/>
      </tp>
      <tp>
        <v>925</v>
        <stp/>
        <stp>bse_cm|925SCL26D</stp>
        <stp>Bid Rate</stp>
        <tr r="E619" s="1"/>
      </tp>
      <tp t="s">
        <v>INE148I07PL4</v>
        <stp/>
        <stp>bse_cm|925SCL28C</stp>
        <stp>Isin code</stp>
        <tr r="R824" s="1"/>
      </tp>
      <tp t="s">
        <v>INE148I07OL7</v>
        <stp/>
        <stp>bse_cm|925SCL25C</stp>
        <stp>Isin code</stp>
        <tr r="R676" s="1"/>
      </tp>
      <tp t="s">
        <v>INE148I07SZ8</v>
        <stp/>
        <stp>bse_cm|925SCL26C</stp>
        <stp>Isin code</stp>
        <tr r="R725" s="1"/>
      </tp>
      <tp t="s">
        <v>858HUDCO29-NC</v>
        <stp/>
        <stp>nse_cm|858HUDCO29-NC</stp>
        <stp>Trading Symbol</stp>
        <tr r="B1636" s="1"/>
      </tp>
      <tp>
        <v>560.20000000000005</v>
        <stp/>
        <stp>bse_cm|940SCL26C</stp>
        <stp>Bid Rate</stp>
        <tr r="E794" s="1"/>
      </tp>
      <tp>
        <v>805.2</v>
        <stp/>
        <stp>bse_cm|925SCL26C</stp>
        <stp>Bid Rate</stp>
        <tr r="E725" s="1"/>
      </tp>
      <tp t="s">
        <v>INE027E07BA2</v>
        <stp/>
        <stp>nse_cm|829LTF24-NL</stp>
        <stp>Isin code</stp>
        <tr r="R3" s="1"/>
      </tp>
      <tp>
        <v>812.3</v>
        <stp/>
        <stp>bse_cm|990SCL26B</stp>
        <stp>Bid Rate</stp>
        <tr r="E1048" s="1"/>
      </tp>
      <tp>
        <v>812.25</v>
        <stp/>
        <stp>bse_cm|940SCL26B</stp>
        <stp>Bid Rate</stp>
        <tr r="E905" s="1"/>
      </tp>
      <tp>
        <v>900.3</v>
        <stp/>
        <stp>bse_cm|948SCL26B</stp>
        <stp>Bid Rate</stp>
        <tr r="E470" s="1"/>
      </tp>
      <tp>
        <v>920.1</v>
        <stp/>
        <stp>bse_cm|925SCL26B</stp>
        <stp>Bid Rate</stp>
        <tr r="E1360" s="1"/>
      </tp>
      <tp t="s">
        <v>INE148I07ON3</v>
        <stp/>
        <stp>bse_cm|940SCL26C</stp>
        <stp>Isin code</stp>
        <tr r="R794" s="1"/>
      </tp>
      <tp>
        <v>1060</v>
        <stp/>
        <stp>bse_cm|990SCL26A</stp>
        <stp>Bid Rate</stp>
        <tr r="E1057" s="1"/>
      </tp>
      <tp>
        <v>930.4</v>
        <stp/>
        <stp>bse_cm|965SCL26A</stp>
        <stp>Bid Rate</stp>
        <tr r="E1481" s="1"/>
      </tp>
      <tp>
        <v>820.4</v>
        <stp/>
        <stp>bse_cm|940SCL26A</stp>
        <stp>Bid Rate</stp>
        <tr r="E920" s="1"/>
      </tp>
      <tp>
        <v>980</v>
        <stp/>
        <stp>bse_cm|948SCL26A</stp>
        <stp>Bid Rate</stp>
        <tr r="E494" s="1"/>
      </tp>
      <tp>
        <v>850.11</v>
        <stp/>
        <stp>bse_cm|925SCL26A</stp>
        <stp>Bid Rate</stp>
        <tr r="E990" s="1"/>
      </tp>
      <tp>
        <v>820.5</v>
        <stp/>
        <stp>bse_cm|902SCL26A</stp>
        <stp>Bid Rate</stp>
        <tr r="E967" s="1"/>
      </tp>
      <tp t="s">
        <v>INE148I07PM2</v>
        <stp/>
        <stp>bse_cm|971SCL28C</stp>
        <stp>Isin code</stp>
        <tr r="R827" s="1"/>
      </tp>
      <tp>
        <v>805.2</v>
        <stp/>
        <stp>bse_cm|888SCL26A</stp>
        <stp>Bid Rate</stp>
        <tr r="E840" s="1"/>
      </tp>
      <tp t="s">
        <v>INE148I07PK6</v>
        <stp/>
        <stp>bse_cm|965SCL28C</stp>
        <stp>Isin code</stp>
        <tr r="R818" s="1"/>
      </tp>
      <tp t="s">
        <v>INE148I07MK3</v>
        <stp/>
        <stp>bse_cm|865SCL24B</stp>
        <stp>Isin code</stp>
        <tr r="R953" s="1"/>
      </tp>
      <tp t="s">
        <v>INE148I07ND6</v>
        <stp/>
        <stp>bse_cm|965SCL25C</stp>
        <stp>Isin code</stp>
        <tr r="R506" s="1"/>
      </tp>
      <tp t="s">
        <v>INE027E07AM9</v>
        <stp/>
        <stp>nse_cm|852LTF27-NG</stp>
        <stp>Isin code</stp>
        <tr r="R1006" s="1"/>
      </tp>
      <tp>
        <v>949</v>
        <stp/>
        <stp>bse_cm|1050VCL25</stp>
        <stp xml:space="preserve">Low </stp>
        <tr r="O656" s="1"/>
      </tp>
      <tp t="s">
        <v>INE148I07RE5</v>
        <stp/>
        <stp>bse_cm|888SCL25B</stp>
        <stp>Isin code</stp>
        <tr r="R909" s="1"/>
      </tp>
      <tp t="s">
        <v>INE148I07QD9</v>
        <stp/>
        <stp>bse_cm|980SCL33C</stp>
        <stp>Isin code</stp>
        <tr r="R1384" s="1"/>
      </tp>
      <tp t="s">
        <v>KFLZC26D</v>
        <stp/>
        <stp>bse_cm|KFLZC26D</stp>
        <stp>Trading Symbol</stp>
        <tr r="B1294" s="1"/>
      </tp>
      <tp t="s">
        <v>KFLZC26E</v>
        <stp/>
        <stp>bse_cm|KFLZC26E</stp>
        <stp>Trading Symbol</stp>
        <tr r="B1293" s="1"/>
      </tp>
      <tp t="s">
        <v>KFLZC26B</v>
        <stp/>
        <stp>bse_cm|KFLZC26B</stp>
        <stp>Trading Symbol</stp>
        <tr r="B1711" s="1"/>
      </tp>
      <tp t="s">
        <v>KFLZC26C</v>
        <stp/>
        <stp>bse_cm|KFLZC26C</stp>
        <stp>Trading Symbol</stp>
        <tr r="B1744" s="1"/>
      </tp>
      <tp t="s">
        <v>KFLZC26A</v>
        <stp/>
        <stp>bse_cm|KFLZC26A</stp>
        <stp>Trading Symbol</stp>
        <tr r="B1442" s="1"/>
      </tp>
      <tp t="s">
        <v>KFLZC27A</v>
        <stp/>
        <stp>bse_cm|KFLZC27A</stp>
        <stp>Trading Symbol</stp>
        <tr r="B1291" s="1"/>
      </tp>
      <tp t="s">
        <v>KFLZC24D</v>
        <stp/>
        <stp>bse_cm|KFLZC24D</stp>
        <stp>Trading Symbol</stp>
        <tr r="B1296" s="1"/>
      </tp>
      <tp t="s">
        <v>KFLZC25D</v>
        <stp/>
        <stp>bse_cm|KFLZC25D</stp>
        <stp>Trading Symbol</stp>
        <tr r="B1735" s="1"/>
      </tp>
      <tp t="s">
        <v>KFLZC25E</v>
        <stp/>
        <stp>bse_cm|KFLZC25E</stp>
        <stp>Trading Symbol</stp>
        <tr r="B1530" s="1"/>
      </tp>
      <tp t="s">
        <v>KFLZC25B</v>
        <stp/>
        <stp>bse_cm|KFLZC25B</stp>
        <stp>Trading Symbol</stp>
        <tr r="B1739" s="1"/>
      </tp>
      <tp t="s">
        <v>KFLZC25C</v>
        <stp/>
        <stp>bse_cm|KFLZC25C</stp>
        <stp>Trading Symbol</stp>
        <tr r="B1295" s="1"/>
      </tp>
      <tp t="s">
        <v>KFLZC25A</v>
        <stp/>
        <stp>bse_cm|KFLZC25A</stp>
        <stp>Trading Symbol</stp>
        <tr r="B1738" s="1"/>
      </tp>
      <tp>
        <v>999.9</v>
        <stp/>
        <stp>bse_cm|1050UCL25</stp>
        <stp xml:space="preserve">Low </stp>
        <tr r="O417" s="1"/>
      </tp>
      <tp>
        <v>990.01</v>
        <stp/>
        <stp>bse_cm|1040UCL25</stp>
        <stp xml:space="preserve">Low </stp>
        <tr r="O1612" s="1"/>
      </tp>
      <tp t="s">
        <v>KFLZC28B</v>
        <stp/>
        <stp>bse_cm|KFLZC28B</stp>
        <stp>Trading Symbol</stp>
        <tr r="B1288" s="1"/>
      </tp>
      <tp t="s">
        <v>KFLZC28C</v>
        <stp/>
        <stp>bse_cm|KFLZC28C</stp>
        <stp>Trading Symbol</stp>
        <tr r="B1287" s="1"/>
      </tp>
      <tp t="s">
        <v>KFLZC28A</v>
        <stp/>
        <stp>bse_cm|KFLZC28A</stp>
        <stp>Trading Symbol</stp>
        <tr r="B1289" s="1"/>
      </tp>
      <tp t="s">
        <v>860CIFCL28-NG</v>
        <stp/>
        <stp>nse_cm|860CIFCL28-NG</stp>
        <stp>Trading Symbol</stp>
        <tr r="B647" s="1"/>
      </tp>
      <tp t="s">
        <v>INE860H07IS6</v>
        <stp/>
        <stp>nse_cm|81ABFL33-N5</stp>
        <stp>Isin code</stp>
        <tr r="R1588" s="1"/>
      </tp>
      <tp>
        <v>1020</v>
        <stp/>
        <stp>bse_cm|1050SFL26</stp>
        <stp xml:space="preserve">Low </stp>
        <tr r="O890" s="1"/>
      </tp>
      <tp>
        <v>0</v>
        <stp/>
        <stp>bse_cm|990SCL26I</stp>
        <stp>Bid Rate</stp>
        <tr r="E797" s="1"/>
      </tp>
      <tp>
        <v>650.5</v>
        <stp/>
        <stp>bse_cm|948SCL26I</stp>
        <stp>Bid Rate</stp>
        <tr r="E1080" s="1"/>
      </tp>
      <tp>
        <v>0</v>
        <stp/>
        <stp>bse_cm|902SCL26I</stp>
        <stp>Bid Rate</stp>
        <tr r="E903" s="1"/>
      </tp>
      <tp>
        <v>991.2</v>
        <stp/>
        <stp>bse_cm|1060MML26</stp>
        <stp xml:space="preserve">Low </stp>
        <tr r="O1218" s="1"/>
      </tp>
      <tp>
        <v>0</v>
        <stp/>
        <stp>bse_cm|1080MML26</stp>
        <stp xml:space="preserve">Low </stp>
        <tr r="O1163" s="1"/>
      </tp>
      <tp>
        <v>10</v>
        <stp/>
        <stp>nse_cm|905SC24-ZB</stp>
        <stp>Bid Qty</stp>
        <tr r="D1374" s="1"/>
      </tp>
      <tp>
        <v>945.01</v>
        <stp/>
        <stp>bse_cm|KFL070824</stp>
        <stp xml:space="preserve">Low </stp>
        <tr r="O551" s="1"/>
      </tp>
      <tp>
        <v>1050</v>
        <stp/>
        <stp>nse_cm|CAGL25-N8</stp>
        <stp xml:space="preserve">Low </stp>
        <tr r="O710" s="1"/>
      </tp>
      <tp>
        <v>952</v>
        <stp/>
        <stp>bse_cm|1070MML25</stp>
        <stp xml:space="preserve">Low </stp>
        <tr r="O1504" s="1"/>
      </tp>
      <tp>
        <v>825.2</v>
        <stp/>
        <stp>bse_cm|1050MML25</stp>
        <stp xml:space="preserve">Low </stp>
        <tr r="O1503" s="1"/>
      </tp>
      <tp>
        <v>1015</v>
        <stp/>
        <stp>bse_cm|1050NFL26</stp>
        <stp xml:space="preserve">Low </stp>
        <tr r="O260" s="1"/>
      </tp>
      <tp>
        <v>950</v>
        <stp/>
        <stp>bse_cm|1040NFL26</stp>
        <stp xml:space="preserve">Low </stp>
        <tr r="O1453" s="1"/>
      </tp>
      <tp>
        <v>1045.8399999999999</v>
        <stp/>
        <stp>bse_cm|1090NFL26</stp>
        <stp xml:space="preserve">Low </stp>
        <tr r="O364" s="1"/>
      </tp>
      <tp>
        <v>1134</v>
        <stp/>
        <stp>bse_cm|1030ICC26</stp>
        <stp xml:space="preserve">Low </stp>
        <tr r="O1538" s="1"/>
      </tp>
      <tp>
        <v>0</v>
        <stp/>
        <stp>bse_cm|1150IFL26</stp>
        <stp xml:space="preserve">Low </stp>
        <tr r="O1225" s="1"/>
      </tp>
      <tp t="s">
        <v>BSE</v>
        <stp/>
        <stp>bse_cm|875MFL26A</stp>
        <stp>Exchange</stp>
        <tr r="C286" s="1"/>
      </tp>
      <tp t="s">
        <v>BSE</v>
        <stp/>
        <stp>bse_cm|865MFL26A</stp>
        <stp>Exchange</stp>
        <tr r="C242" s="1"/>
      </tp>
      <tp t="s">
        <v>BSE</v>
        <stp/>
        <stp>bse_cm|890MFL26A</stp>
        <stp>Exchange</stp>
        <tr r="C698" s="1"/>
      </tp>
      <tp>
        <v>0</v>
        <stp/>
        <stp>bse_cm|1150KLM26</stp>
        <stp xml:space="preserve">Low </stp>
        <tr r="O1224" s="1"/>
      </tp>
      <tp>
        <v>984</v>
        <stp/>
        <stp>bse_cm|1010EFS28</stp>
        <stp xml:space="preserve">Low </stp>
        <tr r="O116" s="1"/>
      </tp>
      <tp t="s">
        <v>BSE</v>
        <stp/>
        <stp>bse_cm|927MFL26A</stp>
        <stp>Exchange</stp>
        <tr r="C617" s="1"/>
      </tp>
      <tp>
        <v>1000</v>
        <stp/>
        <stp>bse_cm|1050KLM27</stp>
        <stp xml:space="preserve">Low </stp>
        <tr r="O609" s="1"/>
      </tp>
      <tp>
        <v>1050</v>
        <stp/>
        <stp>bse_cm|1050IML25</stp>
        <stp xml:space="preserve">Low </stp>
        <tr r="O499" s="1"/>
      </tp>
      <tp>
        <v>1011</v>
        <stp/>
        <stp>bse_cm|1060ECL29</stp>
        <stp xml:space="preserve">Low </stp>
        <tr r="O272" s="1"/>
      </tp>
      <tp>
        <v>920</v>
        <stp/>
        <stp>bse_cm|1010EFS29</stp>
        <stp xml:space="preserve">Low </stp>
        <tr r="O726" s="1"/>
      </tp>
      <tp>
        <v>1036</v>
        <stp/>
        <stp>nse_cm|ABFL26-N1</stp>
        <stp xml:space="preserve">Low </stp>
        <tr r="O1679" s="1"/>
      </tp>
      <tp>
        <v>1191</v>
        <stp/>
        <stp>nse_cm|CAGL24-N2</stp>
        <stp xml:space="preserve">Low </stp>
        <tr r="O1762" s="1"/>
      </tp>
      <tp t="s">
        <v>885MOFSL26-N0</v>
        <stp/>
        <stp>nse_cm|885MOFSL26-N0</stp>
        <stp>Trading Symbol</stp>
        <tr r="B1635" s="1"/>
      </tp>
      <tp>
        <v>995</v>
        <stp/>
        <stp>bse_cm|1150IML28</stp>
        <stp xml:space="preserve">Low </stp>
        <tr r="O92" s="1"/>
      </tp>
      <tp>
        <v>1030</v>
        <stp/>
        <stp>nse_cm|ABFL28-N3</stp>
        <stp xml:space="preserve">Low </stp>
        <tr r="O1063" s="1"/>
      </tp>
      <tp>
        <v>-100</v>
        <stp/>
        <stp>nse_cm|SCFL310524-ZE</stp>
        <stp>% Change</stp>
        <tr r="J1240" s="1"/>
      </tp>
      <tp>
        <v>1010</v>
        <stp/>
        <stp>bse_cm|1150IML29</stp>
        <stp xml:space="preserve">Low </stp>
        <tr r="O601" s="1"/>
      </tp>
      <tp>
        <v>1000</v>
        <stp/>
        <stp>bse_cm|1250IFL29</stp>
        <stp xml:space="preserve">Low </stp>
        <tr r="O1215" s="1"/>
      </tp>
      <tp>
        <v>975</v>
        <stp/>
        <stp>bse_cm|1050CCI25</stp>
        <stp xml:space="preserve">Low </stp>
        <tr r="O173" s="1"/>
      </tp>
      <tp>
        <v>0</v>
        <stp/>
        <stp>bse_cm|KAF080824</stp>
        <stp xml:space="preserve">Low </stp>
        <tr r="O1322" s="1"/>
      </tp>
      <tp>
        <v>1000</v>
        <stp/>
        <stp>bse_cm|1050MML28</stp>
        <stp xml:space="preserve">Low </stp>
        <tr r="O1159" s="1"/>
      </tp>
      <tp>
        <v>1069</v>
        <stp/>
        <stp>bse_cm|1150MML29</stp>
        <stp xml:space="preserve">Low </stp>
        <tr r="O248" s="1"/>
      </tp>
      <tp>
        <v>815.2</v>
        <stp/>
        <stp>bse_cm|1080MML29</stp>
        <stp xml:space="preserve">Low </stp>
        <tr r="O72" s="1"/>
      </tp>
      <tp>
        <v>0</v>
        <stp/>
        <stp>nse_cm|843IHFL29-NC</stp>
        <stp>Open</stp>
        <tr r="M123" s="1"/>
      </tp>
      <tp>
        <v>12</v>
        <stp/>
        <stp>bse_cm|10EFSL33</stp>
        <stp>Ask Qty</stp>
        <tr r="G150" s="1"/>
      </tp>
      <tp>
        <v>981</v>
        <stp/>
        <stp>bse_cm|10EFSL34</stp>
        <stp>Ask Qty</stp>
        <tr r="G164" s="1"/>
      </tp>
      <tp>
        <v>0</v>
        <stp/>
        <stp>bse_cm|10EFSL27</stp>
        <stp>Ask Qty</stp>
        <tr r="G1139" s="1"/>
      </tp>
      <tp>
        <v>25</v>
        <stp/>
        <stp>bse_cm|10CAGL27</stp>
        <stp>Ask Qty</stp>
        <tr r="G282" s="1"/>
      </tp>
      <tp>
        <v>888.6</v>
        <stp/>
        <stp>bse_cm|93EFSL31A</stp>
        <stp>Prev Close</stp>
        <tr r="P85" s="1"/>
      </tp>
      <tp>
        <v>975</v>
        <stp/>
        <stp>nse_cm|9IIFL28-Y0</stp>
        <stp>Ask Rate</stp>
        <tr r="F175" s="1"/>
      </tp>
      <tp>
        <v>1050.9000000000001</v>
        <stp/>
        <stp>nse_cm|94SFL28-YL</stp>
        <stp>Ask Rate</stp>
        <tr r="F5" s="1"/>
      </tp>
      <tp>
        <v>0</v>
        <stp/>
        <stp>bse_cm|10NHFL27</stp>
        <stp>Ask Qty</stp>
        <tr r="G658" s="1"/>
      </tp>
      <tp>
        <v>0</v>
        <stp/>
        <stp>bse_cm|913ICCL24A</stp>
        <stp>Open</stp>
        <tr r="M1162" s="1"/>
      </tp>
      <tp>
        <v>1095</v>
        <stp/>
        <stp>bse_cm|739NHAI31A</stp>
        <stp>Open</stp>
        <tr r="M546" s="1"/>
      </tp>
      <tp>
        <v>960.2</v>
        <stp/>
        <stp>bse_cm|895NHFL25</stp>
        <stp>Prev Close</stp>
        <tr r="P54" s="1"/>
      </tp>
      <tp>
        <v>0</v>
        <stp/>
        <stp>bse_cm|10MFCL30</stp>
        <stp>Ask Qty</stp>
        <tr r="G1091" s="1"/>
      </tp>
      <tp>
        <v>0</v>
        <stp/>
        <stp>nse_cm|1035UCL24-N6</stp>
        <stp>Open</stp>
        <tr r="M591" s="1"/>
      </tp>
      <tp>
        <v>0</v>
        <stp/>
        <stp>bse_cm|10MMFL27</stp>
        <stp>Ask Qty</stp>
        <tr r="G1090" s="1"/>
      </tp>
      <tp>
        <v>0</v>
        <stp/>
        <stp>bse_cm|925ICCL24A</stp>
        <stp>Open</stp>
        <tr r="M1072" s="1"/>
      </tp>
      <tp>
        <v>1061</v>
        <stp/>
        <stp>nse_cm|9SFL25A-ZH</stp>
        <stp xml:space="preserve">Low </stp>
        <tr r="O463" s="1"/>
      </tp>
      <tp>
        <v>990</v>
        <stp/>
        <stp>nse_cm|960IIFLS26-N9</stp>
        <stp>Ask Qty</stp>
        <tr r="G1489" s="1"/>
      </tp>
      <tp>
        <v>10</v>
        <stp/>
        <stp>nse_cm|920IIFLS26-N8</stp>
        <stp>Ask Qty</stp>
        <tr r="G208" s="1"/>
      </tp>
      <tp>
        <v>1101</v>
        <stp/>
        <stp>bse_cm|990SCFL26</stp>
        <stp>Prev Close</stp>
        <tr r="P1676" s="1"/>
      </tp>
      <tp>
        <v>10</v>
        <stp/>
        <stp>bse_cm|10KSFL25</stp>
        <stp>Ask Qty</stp>
        <tr r="G107" s="1"/>
      </tp>
      <tp>
        <v>0</v>
        <stp/>
        <stp>bse_cm|10KAFL26</stp>
        <stp>Ask Qty</stp>
        <tr r="G1096" s="1"/>
      </tp>
      <tp>
        <v>0</v>
        <stp/>
        <stp>bse_cm|10JFPL30</stp>
        <stp>Ask Qty</stp>
        <tr r="G1097" s="1"/>
      </tp>
      <tp>
        <v>175</v>
        <stp/>
        <stp>bse_cm|10KFIL27</stp>
        <stp>Ask Qty</stp>
        <tr r="G183" s="1"/>
      </tp>
      <tp t="s">
        <v>BSE</v>
        <stp/>
        <stp>bse_cm|MHLZC26</stp>
        <stp>Exchange</stp>
        <tr r="C1522" s="1"/>
      </tp>
      <tp>
        <v>0</v>
        <stp/>
        <stp>bse_cm|1025SFL25A</stp>
        <stp>High</stp>
        <tr r="N1070" s="1"/>
      </tp>
      <tp>
        <v>0</v>
        <stp/>
        <stp>bse_cm|10ISFL26</stp>
        <stp>Ask Qty</stp>
        <tr r="G1509" s="1"/>
      </tp>
      <tp>
        <v>7</v>
        <stp/>
        <stp>bse_cm|93SCFL25</stp>
        <stp>Bid Qty</stp>
        <tr r="D980" s="1"/>
      </tp>
      <tp>
        <v>100</v>
        <stp/>
        <stp>bse_cm|10IIFL28</stp>
        <stp>Ask Qty</stp>
        <tr r="G68" s="1"/>
      </tp>
      <tp>
        <v>50</v>
        <stp/>
        <stp>bse_cm|10IIFL29</stp>
        <stp>Ask Qty</stp>
        <tr r="G307" s="1"/>
      </tp>
      <tp>
        <v>50</v>
        <stp/>
        <stp>bse_cm|10IFSL26</stp>
        <stp>Ask Qty</stp>
        <tr r="G428" s="1"/>
      </tp>
      <tp>
        <v>1048.1500000000001</v>
        <stp/>
        <stp>nse_cm|910TCAP28-NA</stp>
        <stp xml:space="preserve">Low </stp>
        <tr r="O411" s="1"/>
      </tp>
      <tp>
        <v>16</v>
        <stp/>
        <stp>bse_cm|IML16224</stp>
        <stp>Bid Qty</stp>
        <tr r="D1499" s="1"/>
      </tp>
      <tp>
        <v>25</v>
        <stp/>
        <stp>bse_cm|10NIDO27</stp>
        <stp>Bid Qty</stp>
        <tr r="D597" s="1"/>
      </tp>
      <tp>
        <v>10</v>
        <stp/>
        <stp>bse_cm|10NIDO26</stp>
        <stp>Bid Qty</stp>
        <tr r="D62" s="1"/>
      </tp>
      <tp>
        <v>1107.99</v>
        <stp/>
        <stp>nse_cm|97SFL29-YZ</stp>
        <stp>Ask Rate</stp>
        <tr r="F20" s="1"/>
      </tp>
      <tp>
        <v>-100</v>
        <stp/>
        <stp>nse_cm|745IGT26-NC</stp>
        <stp>% Change</stp>
        <tr r="J1201" s="1"/>
      </tp>
      <tp>
        <v>50</v>
        <stp/>
        <stp>bse_cm|10NIDO33</stp>
        <stp>Bid Qty</stp>
        <tr r="D1447" s="1"/>
      </tp>
      <tp>
        <v>5</v>
        <stp/>
        <stp>bse_cm|76NHAI31</stp>
        <stp>Bid Qty</stp>
        <tr r="D478" s="1"/>
      </tp>
      <tp>
        <v>0</v>
        <stp/>
        <stp>nse_cm|888SCL25B-Y2</stp>
        <stp>Ask Rate</stp>
        <tr r="F789" s="1"/>
      </tp>
      <tp>
        <v>1070</v>
        <stp/>
        <stp>nse_cm|TCHF30-NB</stp>
        <stp>Prev Close</stp>
        <tr r="P408" s="1"/>
      </tp>
      <tp>
        <v>0</v>
        <stp/>
        <stp>nse_cm|1003SCL30A-NV</stp>
        <stp>Ask Qty</stp>
        <tr r="G728" s="1"/>
      </tp>
      <tp>
        <v>1000</v>
        <stp/>
        <stp>nse_cm|965SCL25E-BF</stp>
        <stp>Face Value</stp>
        <tr r="Q413" s="1"/>
      </tp>
      <tp>
        <v>0</v>
        <stp/>
        <stp>bse_cm|1075SCL33B</stp>
        <stp xml:space="preserve">Low </stp>
        <tr r="O706" s="1"/>
      </tp>
      <tp>
        <v>180</v>
        <stp/>
        <stp>bse_cm|93EFSL31</stp>
        <stp>Bid Qty</stp>
        <tr r="D83" s="1"/>
      </tp>
      <tp>
        <v>857.14</v>
        <stp/>
        <stp>nse_cm|888SCL25D-NC</stp>
        <stp>Face Value</stp>
        <tr r="Q916" s="1"/>
      </tp>
      <tp>
        <v>801.3</v>
        <stp/>
        <stp>nse_cm|965SCL25C-N0</stp>
        <stp>Bid Rate</stp>
        <tr r="E507" s="1"/>
      </tp>
      <tp>
        <v>1071.7</v>
        <stp/>
        <stp>nse_cm|9SCFL25-Y5</stp>
        <stp>Ask Rate</stp>
        <tr r="F389" s="1"/>
      </tp>
      <tp>
        <v>1132</v>
        <stp/>
        <stp>nse_cm|82HUDCO27-N2</stp>
        <stp>Bid Rate</stp>
        <tr r="E532" s="1"/>
      </tp>
      <tp>
        <v>0</v>
        <stp/>
        <stp>bse_cm|1025SCL33A</stp>
        <stp xml:space="preserve">Low </stp>
        <tr r="O835" s="1"/>
      </tp>
      <tp>
        <v>-100</v>
        <stp/>
        <stp>nse_cm|749IGT28-NG</stp>
        <stp>% Change</stp>
        <tr r="J1197" s="1"/>
      </tp>
      <tp>
        <v>950</v>
        <stp/>
        <stp>bse_cm|1075SCL33A</stp>
        <stp xml:space="preserve">Low </stp>
        <tr r="O629" s="1"/>
      </tp>
      <tp>
        <v>1051</v>
        <stp/>
        <stp>nse_cm|97SFL28-YS</stp>
        <stp>Ask Rate</stp>
        <tr r="F19" s="1"/>
      </tp>
      <tp>
        <v>979</v>
        <stp/>
        <stp>nse_cm|948SCL26B-Y8</stp>
        <stp>Ask Rate</stp>
        <tr r="F159" s="1"/>
      </tp>
      <tp>
        <v>20</v>
        <stp/>
        <stp>bse_cm|MMFSL26A</stp>
        <stp>Bid Qty</stp>
        <tr r="D1722" s="1"/>
      </tp>
      <tp>
        <v>1028.2</v>
        <stp/>
        <stp>bse_cm|91SFL27</stp>
        <stp xml:space="preserve">Low </stp>
        <tr r="O574" s="1"/>
      </tp>
      <tp>
        <v>963</v>
        <stp/>
        <stp>nse_cm|925SCL25A-NH</stp>
        <stp>Bid Rate</stp>
        <tr r="E715" s="1"/>
      </tp>
      <tp>
        <v>-100</v>
        <stp/>
        <stp>nse_cm|980SCL34-Z7</stp>
        <stp>% Change</stp>
        <tr r="J884" s="1"/>
      </tp>
      <tp>
        <v>30</v>
        <stp/>
        <stp>bse_cm|898LTF29</stp>
        <stp>Bid Qty</stp>
        <tr r="D416" s="1"/>
      </tp>
      <tp>
        <v>848.15</v>
        <stp/>
        <stp>bse_cm|0SFL27A</stp>
        <stp>Bid Rate</stp>
        <tr r="E1034" s="1"/>
      </tp>
      <tp>
        <v>5</v>
        <stp/>
        <stp>bse_cm|939SCL27</stp>
        <stp>Bid Qty</stp>
        <tr r="D985" s="1"/>
      </tp>
      <tp>
        <v>0</v>
        <stp/>
        <stp>bse_cm|77IGT28</stp>
        <stp>High</stp>
        <tr r="N1191" s="1"/>
      </tp>
      <tp>
        <v>0</v>
        <stp/>
        <stp>nse_cm|SFLZC25A-ZK</stp>
        <stp>% Change</stp>
        <tr r="J1582" s="1"/>
      </tp>
      <tp>
        <v>0</v>
        <stp/>
        <stp>bse_cm|10SCL31</stp>
        <stp xml:space="preserve">Low </stp>
        <tr r="O1085" s="1"/>
      </tp>
      <tp>
        <v>1069.9000000000001</v>
        <stp/>
        <stp>bse_cm|11UCL26</stp>
        <stp xml:space="preserve">Low </stp>
        <tr r="O323" s="1"/>
      </tp>
      <tp t="s">
        <v>99AEL29</v>
        <stp/>
        <stp>bse_cm|99AEL29</stp>
        <stp>Trading Symbol</stp>
        <tr r="B243" s="1"/>
      </tp>
      <tp>
        <v>9</v>
        <stp/>
        <stp>bse_cm|935PEL33</stp>
        <stp>Bid Qty</stp>
        <tr r="D368" s="1"/>
      </tp>
      <tp>
        <v>20</v>
        <stp/>
        <stp>bse_cm|935SCL28</stp>
        <stp>Bid Qty</stp>
        <tr r="D284" s="1"/>
      </tp>
      <tp>
        <v>2</v>
        <stp/>
        <stp>bse_cm|935MFL29</stp>
        <stp>Bid Qty</stp>
        <tr r="D238" s="1"/>
      </tp>
      <tp>
        <v>190</v>
        <stp/>
        <stp>bse_cm|835MFL26</stp>
        <stp>Bid Qty</stp>
        <tr r="D169" s="1"/>
      </tp>
      <tp>
        <v>180</v>
        <stp/>
        <stp>bse_cm|735MFL25</stp>
        <stp>Bid Qty</stp>
        <tr r="D308" s="1"/>
      </tp>
      <tp>
        <v>180</v>
        <stp/>
        <stp>bse_cm|835IFL25</stp>
        <stp>Bid Qty</stp>
        <tr r="D668" s="1"/>
      </tp>
      <tp>
        <v>1140.01</v>
        <stp/>
        <stp>bse_cm|764HUDCO31</stp>
        <stp xml:space="preserve">Low </stp>
        <tr r="O16" s="1"/>
      </tp>
      <tp t="s">
        <v>INE148I08322</v>
        <stp/>
        <stp>bse_cm|889SCL28</stp>
        <stp>Isin code</stp>
        <tr r="R1069" s="1"/>
      </tp>
      <tp>
        <v>1161.9000000000001</v>
        <stp/>
        <stp>bse_cm|769HUDCO31</stp>
        <stp xml:space="preserve">Low </stp>
        <tr r="O15" s="1"/>
      </tp>
      <tp>
        <v>0</v>
        <stp/>
        <stp>bse_cm|1003SCFL31</stp>
        <stp xml:space="preserve">Low </stp>
        <tr r="O1076" s="1"/>
      </tp>
      <tp>
        <v>0</v>
        <stp/>
        <stp>bse_cm|1050SCFL31</stp>
        <stp xml:space="preserve">Low </stp>
        <tr r="O1123" s="1"/>
      </tp>
      <tp t="s">
        <v>INE148I07NW6</v>
        <stp/>
        <stp>bse_cm|965SCL28</stp>
        <stp>Isin code</stp>
        <tr r="R1138" s="1"/>
      </tp>
      <tp t="s">
        <v>INE148I07NV8</v>
        <stp/>
        <stp>bse_cm|971SCL28</stp>
        <stp>Isin code</stp>
        <tr r="R1028" s="1"/>
      </tp>
      <tp t="s">
        <v>INE148I07KP6</v>
        <stp/>
        <stp>bse_cm|975SCL28</stp>
        <stp>Isin code</stp>
        <tr r="R1485" s="1"/>
      </tp>
      <tp t="s">
        <v>INE148I07NX4</v>
        <stp/>
        <stp>bse_cm|925SCL28</stp>
        <stp>Isin code</stp>
        <tr r="R940" s="1"/>
      </tp>
      <tp t="s">
        <v>INE148I08330</v>
        <stp/>
        <stp>bse_cm|935SCL28</stp>
        <stp>Isin code</stp>
        <tr r="R284" s="1"/>
      </tp>
      <tp>
        <v>50</v>
        <stp/>
        <stp>bse_cm|930SFL28</stp>
        <stp>Bid Qty</stp>
        <tr r="D10" s="1"/>
      </tp>
      <tp>
        <v>818.8</v>
        <stp/>
        <stp>nse_cm|925SCL25Z-NE</stp>
        <stp>Bid Rate</stp>
        <tr r="E914" s="1"/>
      </tp>
      <tp>
        <v>50</v>
        <stp/>
        <stp>bse_cm|931SFL26</stp>
        <stp>Bid Qty</stp>
        <tr r="D1492" s="1"/>
      </tp>
      <tp>
        <v>0</v>
        <stp/>
        <stp>nse_cm|890ICCL23A-NZ</stp>
        <stp>Ask Qty</stp>
        <tr r="G1363" s="1"/>
      </tp>
      <tp>
        <v>0</v>
        <stp/>
        <stp>bse_cm|1025SCFL34</stp>
        <stp xml:space="preserve">Low </stp>
        <tr r="O1025" s="1"/>
      </tp>
      <tp>
        <v>959.8</v>
        <stp/>
        <stp>bse_cm|1075SCFL34</stp>
        <stp xml:space="preserve">Low </stp>
        <tr r="O1020" s="1"/>
      </tp>
      <tp t="s">
        <v>INE721A07OC7</v>
        <stp/>
        <stp>bse_cm|930SFL28</stp>
        <stp>Isin code</stp>
        <tr r="R10" s="1"/>
      </tp>
      <tp t="s">
        <v>INE721A07NU1</v>
        <stp/>
        <stp>bse_cm|903SFL28</stp>
        <stp>Isin code</stp>
        <tr r="R397" s="1"/>
      </tp>
      <tp>
        <v>100</v>
        <stp/>
        <stp>bse_cm|932AEL27</stp>
        <stp>Bid Qty</stp>
        <tr r="D317" s="1"/>
      </tp>
      <tp>
        <v>0</v>
        <stp/>
        <stp>bse_cm|902SCL26A</stp>
        <stp>ATP</stp>
        <tr r="K967" s="1"/>
      </tp>
      <tp>
        <v>0</v>
        <stp/>
        <stp>bse_cm|902SCL26I</stp>
        <stp>ATP</stp>
        <tr r="K903" s="1"/>
      </tp>
      <tp>
        <v>0</v>
        <stp/>
        <stp>nse_cm|SFLZC26A-ZC</stp>
        <stp>% Change</stp>
        <tr r="J1716" s="1"/>
      </tp>
      <tp>
        <v>16</v>
        <stp/>
        <stp>bse_cm|833SCL24</stp>
        <stp>Bid Qty</stp>
        <tr r="D1180" s="1"/>
      </tp>
      <tp>
        <v>1135</v>
        <stp/>
        <stp>bse_cm|739HUDCO31</stp>
        <stp xml:space="preserve">Low </stp>
        <tr r="O569" s="1"/>
      </tp>
      <tp>
        <v>0</v>
        <stp/>
        <stp>bse_cm|902SCL27A</stp>
        <stp>ATP</stp>
        <tr r="K1354" s="1"/>
      </tp>
      <tp>
        <v>1026.95</v>
        <stp/>
        <stp>bse_cm|87LTF27</stp>
        <stp>High</stp>
        <tr r="N412" s="1"/>
      </tp>
      <tp>
        <v>1056.8</v>
        <stp/>
        <stp>nse_cm|965SCL25A-NF</stp>
        <stp>Bid Rate</stp>
        <tr r="E163" s="1"/>
      </tp>
      <tp t="s">
        <v>BSE</v>
        <stp/>
        <stp>bse_cm|9MFL27A</stp>
        <stp>Exchange</stp>
        <tr r="C257" s="1"/>
      </tp>
      <tp>
        <v>0</v>
        <stp/>
        <stp>bse_cm|1025MMFL26</stp>
        <stp>Open</stp>
        <tr r="M320" s="1"/>
      </tp>
      <tp>
        <v>0</v>
        <stp/>
        <stp>bse_cm|87SCL27</stp>
        <stp>High</stp>
        <tr r="N978" s="1"/>
      </tp>
      <tp>
        <v>819.75</v>
        <stp/>
        <stp>nse_cm|925SCL25G-NY</stp>
        <stp>Bid Rate</stp>
        <tr r="E887" s="1"/>
      </tp>
      <tp>
        <v>866</v>
        <stp/>
        <stp>bse_cm|11MML28</stp>
        <stp xml:space="preserve">Low </stp>
        <tr r="O1131" s="1"/>
      </tp>
      <tp>
        <v>975</v>
        <stp/>
        <stp>bse_cm|11CCL26</stp>
        <stp xml:space="preserve">Low </stp>
        <tr r="O1219" s="1"/>
      </tp>
      <tp>
        <v>820</v>
        <stp/>
        <stp>bse_cm|11CCI26</stp>
        <stp xml:space="preserve">Low </stp>
        <tr r="O1220" s="1"/>
      </tp>
      <tp>
        <v>985</v>
        <stp/>
        <stp>bse_cm|81MFL28</stp>
        <stp xml:space="preserve">Low </stp>
        <tr r="O314" s="1"/>
      </tp>
      <tp>
        <v>0</v>
        <stp/>
        <stp>bse_cm|104SMCGS29</stp>
        <stp>Open</stp>
        <tr r="M206" s="1"/>
      </tp>
      <tp>
        <v>1031</v>
        <stp/>
        <stp>bse_cm|97SFL26</stp>
        <stp>High</stp>
        <tr r="N405" s="1"/>
      </tp>
      <tp>
        <v>50</v>
        <stp/>
        <stp>bse_cm|104ECL29</stp>
        <stp>Ask Qty</stp>
        <tr r="G149" s="1"/>
      </tp>
      <tp>
        <v>245</v>
        <stp/>
        <stp>bse_cm|104ECL24</stp>
        <stp>Ask Qty</stp>
        <tr r="G38" s="1"/>
      </tp>
      <tp>
        <v>905</v>
        <stp/>
        <stp>bse_cm|10EFS33</stp>
        <stp xml:space="preserve">Low </stp>
        <tr r="O112" s="1"/>
      </tp>
      <tp>
        <v>0</v>
        <stp/>
        <stp>bse_cm|87SCL25</stp>
        <stp>High</stp>
        <tr r="N958" s="1"/>
      </tp>
      <tp>
        <v>0</v>
        <stp/>
        <stp>bse_cm|905SCL27</stp>
        <stp>Ask Qty</stp>
        <tr r="G976" s="1"/>
      </tp>
      <tp>
        <v>0</v>
        <stp/>
        <stp>bse_cm|905PEL26</stp>
        <stp>Ask Qty</stp>
        <tr r="G1518" s="1"/>
      </tp>
      <tp>
        <v>0</v>
        <stp/>
        <stp>bse_cm|905SCL25</stp>
        <stp>Ask Qty</stp>
        <tr r="G1060" s="1"/>
      </tp>
      <tp>
        <v>0</v>
        <stp/>
        <stp>bse_cm|105MML25</stp>
        <stp>Ask Qty</stp>
        <tr r="G1170" s="1"/>
      </tp>
      <tp>
        <v>50</v>
        <stp/>
        <stp>bse_cm|905MFL28</stp>
        <stp>Ask Qty</stp>
        <tr r="G207" s="1"/>
      </tp>
      <tp>
        <v>1010</v>
        <stp/>
        <stp>bse_cm|931SFL26A</stp>
        <stp>Prev Close</stp>
        <tr r="P1086" s="1"/>
      </tp>
      <tp>
        <v>910.2</v>
        <stp/>
        <stp>nse_cm|965SCL25F-NZ</stp>
        <stp>Bid Rate</stp>
        <tr r="E1362" s="1"/>
      </tp>
      <tp>
        <v>0</v>
        <stp/>
        <stp>bse_cm|902SCL26</stp>
        <stp>Ask Qty</stp>
        <tr r="G969" s="1"/>
      </tp>
      <tp>
        <v>0</v>
        <stp/>
        <stp>bse_cm|902SCL27</stp>
        <stp>Ask Qty</stp>
        <tr r="G902" s="1"/>
      </tp>
      <tp>
        <v>20</v>
        <stp/>
        <stp>bse_cm|903SFL28</stp>
        <stp>Ask Qty</stp>
        <tr r="G397" s="1"/>
      </tp>
      <tp>
        <v>819.35</v>
        <stp/>
        <stp>nse_cm|965SCL28A-NQ</stp>
        <stp>Bid Rate</stp>
        <tr r="E897" s="1"/>
      </tp>
      <tp>
        <v>0</v>
        <stp/>
        <stp>bse_cm|891ONE25</stp>
        <stp>Ask Qty</stp>
        <tr r="G1339" s="1"/>
      </tp>
      <tp>
        <v>5</v>
        <stp/>
        <stp>nse_cm|913ICCL24A-NF</stp>
        <stp>Bid Qty</stp>
        <tr r="D781" s="1"/>
      </tp>
      <tp t="e">
        <v>#N/A</v>
        <stp/>
        <stp>bse_cm|1065MHFL24</stp>
        <stp>Open</stp>
        <tr r="M36" s="1"/>
      </tp>
      <tp>
        <v>906.27</v>
        <stp/>
        <stp>bse_cm|835SCL23B</stp>
        <stp>Prev Close</stp>
        <tr r="P167" s="1"/>
      </tp>
      <tp>
        <v>977.3</v>
        <stp/>
        <stp>bse_cm|835SCL23A</stp>
        <stp>Prev Close</stp>
        <tr r="P1104" s="1"/>
      </tp>
      <tp t="e">
        <v>#N/A</v>
        <stp/>
        <stp>bse_cm|1025MHFL24</stp>
        <stp>Open</stp>
        <tr r="M29" s="1"/>
      </tp>
      <tp>
        <v>819.45</v>
        <stp/>
        <stp>nse_cm|925SCL28A-NS</stp>
        <stp>Bid Rate</stp>
        <tr r="E895" s="1"/>
      </tp>
      <tp>
        <v>950</v>
        <stp/>
        <stp>bse_cm|11IFL25</stp>
        <stp xml:space="preserve">Low </stp>
        <tr r="O1421" s="1"/>
      </tp>
      <tp>
        <v>2584</v>
        <stp/>
        <stp>bse_cm|728IREDA26</stp>
        <stp>High</stp>
        <tr r="N1203" s="1"/>
      </tp>
      <tp>
        <v>980</v>
        <stp/>
        <stp>bse_cm|11IML27</stp>
        <stp xml:space="preserve">Low </stp>
        <tr r="O177" s="1"/>
      </tp>
      <tp>
        <v>1070</v>
        <stp/>
        <stp>bse_cm|JMFPTBIL25</stp>
        <stp>Ask Rate</stp>
        <tr r="F9" s="1"/>
      </tp>
      <tp>
        <v>875</v>
        <stp/>
        <stp>bse_cm|11IML26</stp>
        <stp xml:space="preserve">Low </stp>
        <tr r="O1132" s="1"/>
      </tp>
      <tp>
        <v>0</v>
        <stp/>
        <stp>nse_cm|1035UCL26-NA</stp>
        <stp>Open</stp>
        <tr r="M1627" s="1"/>
      </tp>
      <tp>
        <v>0</v>
        <stp/>
        <stp>bse_cm|898ONE26</stp>
        <stp>Ask Qty</stp>
        <tr r="G1154" s="1"/>
      </tp>
      <tp>
        <v>1102</v>
        <stp/>
        <stp>bse_cm|97SFL29</stp>
        <stp>High</stp>
        <tr r="N21" s="1"/>
      </tp>
      <tp>
        <v>0</v>
        <stp/>
        <stp>bse_cm|EFSL28A</stp>
        <stp>Ask Rate</stp>
        <tr r="F1335" s="1"/>
      </tp>
      <tp>
        <v>1065.01</v>
        <stp/>
        <stp>bse_cm|753IREDA26</stp>
        <stp>High</stp>
        <tr r="N487" s="1"/>
      </tp>
      <tp>
        <v>974.5</v>
        <stp/>
        <stp>bse_cm|MFCL160924</stp>
        <stp>Open</stp>
        <tr r="M572" s="1"/>
      </tp>
      <tp>
        <v>0</v>
        <stp/>
        <stp>bse_cm|102SMCGS27</stp>
        <stp>Open</stp>
        <tr r="M1017" s="1"/>
      </tp>
      <tp>
        <v>1102</v>
        <stp/>
        <stp>bse_cm|97SFL28</stp>
        <stp>High</stp>
        <tr r="N23" s="1"/>
      </tp>
      <tp t="s">
        <v>BSE</v>
        <stp/>
        <stp>bse_cm|843IHFL29</stp>
        <stp>Exchange</stp>
        <tr r="C139" s="1"/>
      </tp>
      <tp t="s">
        <v>BSE</v>
        <stp/>
        <stp>bse_cm|875IHFL29</stp>
        <stp>Exchange</stp>
        <tr r="C1230" s="1"/>
      </tp>
      <tp t="s">
        <v>BSE</v>
        <stp/>
        <stp>bse_cm|865IIFL28</stp>
        <stp>Exchange</stp>
        <tr r="C75" s="1"/>
      </tp>
      <tp t="s">
        <v>BSE</v>
        <stp/>
        <stp>bse_cm|984IFSL26</stp>
        <stp>Exchange</stp>
        <tr r="C457" s="1"/>
      </tp>
      <tp t="s">
        <v>BSE</v>
        <stp/>
        <stp>bse_cm|965IFSL26</stp>
        <stp>Exchange</stp>
        <tr r="C1142" s="1"/>
      </tp>
      <tp>
        <v>1065.02</v>
        <stp/>
        <stp>nse_cm|9PEL25-N0</stp>
        <stp xml:space="preserve">Low </stp>
        <tr r="O341" s="1"/>
      </tp>
      <tp t="s">
        <v>BSE</v>
        <stp/>
        <stp>bse_cm|980IFSL25</stp>
        <stp>Exchange</stp>
        <tr r="C474" s="1"/>
      </tp>
      <tp t="s">
        <v>BSE</v>
        <stp/>
        <stp>bse_cm|945IFSL25</stp>
        <stp>Exchange</stp>
        <tr r="C483" s="1"/>
      </tp>
      <tp t="s">
        <v>BSE</v>
        <stp/>
        <stp>bse_cm|955IFSL25</stp>
        <stp>Exchange</stp>
        <tr r="C1470" s="1"/>
      </tp>
      <tp t="s">
        <v>BSE</v>
        <stp/>
        <stp>bse_cm|966IFSL25</stp>
        <stp>Exchange</stp>
        <tr r="C1051" s="1"/>
      </tp>
      <tp>
        <v>25</v>
        <stp/>
        <stp>bse_cm|739NHAI31A</stp>
        <stp>Ask Qty</stp>
        <tr r="G546" s="1"/>
      </tp>
      <tp t="s">
        <v>BSE</v>
        <stp/>
        <stp>bse_cm|957ICCL25</stp>
        <stp>Exchange</stp>
        <tr r="C432" s="1"/>
      </tp>
      <tp>
        <v>9</v>
        <stp/>
        <stp>bse_cm|825MFL2026</stp>
        <stp>Ask Qty</stp>
        <tr r="G318" s="1"/>
      </tp>
      <tp>
        <v>0</v>
        <stp/>
        <stp>bse_cm|810MFL2028</stp>
        <stp>Ask Qty</stp>
        <tr r="G651" s="1"/>
      </tp>
      <tp t="s">
        <v>BSE</v>
        <stp/>
        <stp>bse_cm|105IIFL29</stp>
        <stp>Exchange</stp>
        <tr r="C338" s="1"/>
      </tp>
      <tp>
        <v>10</v>
        <stp/>
        <stp>bse_cm|785MFL2028</stp>
        <stp>Ask Qty</stp>
        <tr r="G357" s="1"/>
      </tp>
      <tp>
        <v>0</v>
        <stp/>
        <stp>nse_cm|CAGL27-NC</stp>
        <stp xml:space="preserve">Low </stp>
        <tr r="O733" s="1"/>
      </tp>
      <tp>
        <v>46</v>
        <stp/>
        <stp>bse_cm|775MFL2026</stp>
        <stp>Ask Qty</stp>
        <tr r="G240" s="1"/>
      </tp>
      <tp>
        <v>1</v>
        <stp/>
        <stp>bse_cm|775MFL2025</stp>
        <stp>Ask Qty</stp>
        <tr r="G336" s="1"/>
      </tp>
      <tp>
        <v>-100</v>
        <stp/>
        <stp>nse_cm|1025SCFL34-Z5</stp>
        <stp>% Change</stp>
        <tr r="J880" s="1"/>
      </tp>
      <tp t="s">
        <v>CIFCZC26A</v>
        <stp/>
        <stp>nse_cm|CIFCZC26A-N3</stp>
        <stp>Symbol</stp>
        <tr r="A1565" s="1"/>
      </tp>
      <tp t="s">
        <v>CIFCZC25A</v>
        <stp/>
        <stp>nse_cm|CIFCZC25A-N1</stp>
        <stp>Symbol</stp>
        <tr r="A1730" s="1"/>
      </tp>
      <tp t="s">
        <v>CIFCZC28A</v>
        <stp/>
        <stp>nse_cm|CIFCZC28A-N5</stp>
        <stp>Symbol</stp>
        <tr r="A1559" s="1"/>
      </tp>
      <tp>
        <v>833</v>
        <stp/>
        <stp>nse_cm|CAGL26-NA</stp>
        <stp xml:space="preserve">Low </stp>
        <tr r="O735" s="1"/>
      </tp>
      <tp>
        <v>0</v>
        <stp/>
        <stp>nse_cm|1075SCFL34-Z6</stp>
        <stp>% Change</stp>
        <tr r="J882" s="1"/>
      </tp>
      <tp t="s">
        <v>BSE</v>
        <stp/>
        <stp>bse_cm|980ICCL28</stp>
        <stp>Exchange</stp>
        <tr r="C783" s="1"/>
      </tp>
      <tp t="s">
        <v>BSE</v>
        <stp/>
        <stp>bse_cm|985ICCL28</stp>
        <stp>Exchange</stp>
        <tr r="C1483" s="1"/>
      </tp>
      <tp t="s">
        <v>BSE</v>
        <stp/>
        <stp>bse_cm|985IIFL22</stp>
        <stp>Exchange</stp>
        <tr r="C178" s="1"/>
      </tp>
      <tp t="s">
        <v>BSE</v>
        <stp/>
        <stp>bse_cm|940ICCL28</stp>
        <stp>Exchange</stp>
        <tr r="C1126" s="1"/>
      </tp>
      <tp t="s">
        <v>BSE</v>
        <stp/>
        <stp>bse_cm|957ICCL28</stp>
        <stp>Exchange</stp>
        <tr r="C1572" s="1"/>
      </tp>
      <tp t="s">
        <v>BSE</v>
        <stp/>
        <stp>bse_cm|125ICFL26</stp>
        <stp>Exchange</stp>
        <tr r="C1214" s="1"/>
      </tp>
      <tp t="s">
        <v>BSE</v>
        <stp/>
        <stp>bse_cm|825IIFL25</stp>
        <stp>Exchange</stp>
        <tr r="C47" s="1"/>
      </tp>
      <tp t="s">
        <v>BSE</v>
        <stp/>
        <stp>bse_cm|842IIFL26</stp>
        <stp>Exchange</stp>
        <tr r="C181" s="1"/>
      </tp>
      <tp t="s">
        <v>BSE</v>
        <stp/>
        <stp>bse_cm|875IIFL26</stp>
        <stp>Exchange</stp>
        <tr r="C642" s="1"/>
      </tp>
      <tp t="s">
        <v>BSE</v>
        <stp/>
        <stp>bse_cm|115ICFL25</stp>
        <stp>Exchange</stp>
        <tr r="C1548" s="1"/>
      </tp>
      <tp>
        <v>1050</v>
        <stp/>
        <stp>nse_cm|CAGL28-NE</stp>
        <stp xml:space="preserve">Low </stp>
        <tr r="O756" s="1"/>
      </tp>
      <tp t="s">
        <v>BSE</v>
        <stp/>
        <stp>bse_cm|850IIFL27</stp>
        <stp>Exchange</stp>
        <tr r="C1407" s="1"/>
      </tp>
      <tp t="s">
        <v>BSE</v>
        <stp/>
        <stp>bse_cm|84CIFCL28</stp>
        <stp>Exchange</stp>
        <tr r="C387" s="1"/>
      </tp>
      <tp t="s">
        <v>BSE</v>
        <stp/>
        <stp>bse_cm|820IIFL27</stp>
        <stp>Exchange</stp>
        <tr r="C176" s="1"/>
      </tp>
      <tp>
        <v>1005</v>
        <stp/>
        <stp>bse_cm|950MMFL26</stp>
        <stp>Ask Rate</stp>
        <tr r="F291" s="1"/>
      </tp>
      <tp>
        <v>1000</v>
        <stp/>
        <stp>bse_cm|975MMFL26</stp>
        <stp>Ask Rate</stp>
        <tr r="F215" s="1"/>
      </tp>
      <tp>
        <v>0</v>
        <stp/>
        <stp>bse_cm|825MMFS27</stp>
        <stp>Ask Rate</stp>
        <tr r="F1381" s="1"/>
      </tp>
      <tp t="s">
        <v>BSE</v>
        <stp/>
        <stp>bse_cm|CIFCZC28A</stp>
        <stp>Exchange</stp>
        <tr r="C1396" s="1"/>
      </tp>
      <tp>
        <v>1115</v>
        <stp/>
        <stp>nse_cm|ICCL25-NS</stp>
        <stp xml:space="preserve">Low </stp>
        <tr r="O1401" s="1"/>
      </tp>
      <tp>
        <v>0</v>
        <stp/>
        <stp>bse_cm|975MMFL24</stp>
        <stp>Ask Rate</stp>
        <tr r="F853" s="1"/>
      </tp>
      <tp>
        <v>1957.3</v>
        <stp/>
        <stp>bse_cm|915MMFS24</stp>
        <stp>Ask Rate</stp>
        <tr r="F1752" s="1"/>
      </tp>
      <tp>
        <v>50</v>
        <stp/>
        <stp>bse_cm|EFSL26724A</stp>
        <stp>Bid Qty</stp>
        <tr r="D1468" s="1"/>
      </tp>
      <tp>
        <v>0</v>
        <stp/>
        <stp>bse_cm|950MMFL25</stp>
        <stp>Ask Rate</stp>
        <tr r="F1526" s="1"/>
      </tp>
      <tp>
        <v>990</v>
        <stp/>
        <stp>bse_cm|935MFCL29</stp>
        <stp>Ask Rate</stp>
        <tr r="F239" s="1"/>
      </tp>
      <tp>
        <v>975</v>
        <stp/>
        <stp>bse_cm|945MFCL29</stp>
        <stp>Ask Rate</stp>
        <tr r="F682" s="1"/>
      </tp>
      <tp>
        <v>0</v>
        <stp/>
        <stp>bse_cm|975MFCL29</stp>
        <stp>Ask Rate</stp>
        <tr r="F856" s="1"/>
      </tp>
      <tp>
        <v>0</v>
        <stp/>
        <stp>bse_cm|990MFCL29</stp>
        <stp>Ask Rate</stp>
        <tr r="F1449" s="1"/>
      </tp>
      <tp>
        <v>1095</v>
        <stp/>
        <stp>bse_cm|95MMFSL29</stp>
        <stp>Ask Rate</stp>
        <tr r="F353" s="1"/>
      </tp>
      <tp t="s">
        <v>BSE</v>
        <stp/>
        <stp>bse_cm|957ISFL26</stp>
        <stp>Exchange</stp>
        <tr r="C761" s="1"/>
      </tp>
      <tp t="s">
        <v>BSE</v>
        <stp/>
        <stp>bse_cm|960ISFL25</stp>
        <stp>Exchange</stp>
        <tr r="C871" s="1"/>
      </tp>
      <tp t="s">
        <v>BSE</v>
        <stp/>
        <stp>bse_cm|921ISFL25</stp>
        <stp>Exchange</stp>
        <tr r="C350" s="1"/>
      </tp>
      <tp>
        <v>20</v>
        <stp/>
        <stp>bse_cm|CCIL14824A</stp>
        <stp>Bid Qty</stp>
        <tr r="D590" s="1"/>
      </tp>
      <tp>
        <v>22</v>
        <stp/>
        <stp>bse_cm|CCIL14824B</stp>
        <stp>Bid Qty</stp>
        <tr r="D752" s="1"/>
      </tp>
      <tp>
        <v>24</v>
        <stp/>
        <stp>bse_cm|CCIL14824C</stp>
        <stp>Bid Qty</stp>
        <tr r="D751" s="1"/>
      </tp>
      <tp t="s">
        <v>BSE</v>
        <stp/>
        <stp>bse_cm|707IRFC25</stp>
        <stp>Exchange</stp>
        <tr r="C1653" s="1"/>
      </tp>
      <tp t="s">
        <v>BSE</v>
        <stp/>
        <stp>bse_cm|732IRFC25</stp>
        <stp>Exchange</stp>
        <tr r="C174" s="1"/>
      </tp>
      <tp>
        <v>30</v>
        <stp/>
        <stp>bse_cm|MFCL16924C</stp>
        <stp>Bid Qty</stp>
        <tr r="D660" s="1"/>
      </tp>
      <tp>
        <v>30</v>
        <stp/>
        <stp>bse_cm|MFCL16924B</stp>
        <stp>Bid Qty</stp>
        <tr r="D1284" s="1"/>
      </tp>
      <tp>
        <v>30</v>
        <stp/>
        <stp>bse_cm|MFCL16924A</stp>
        <stp>Bid Qty</stp>
        <tr r="D1285" s="1"/>
      </tp>
      <tp t="s">
        <v>BSE</v>
        <stp/>
        <stp>bse_cm|840IRFC29</stp>
        <stp>Exchange</stp>
        <tr r="C1634" s="1"/>
      </tp>
      <tp t="s">
        <v>BSE</v>
        <stp/>
        <stp>bse_cm|865IRFC29</stp>
        <stp>Exchange</stp>
        <tr r="C501" s="1"/>
      </tp>
      <tp t="s">
        <v>BSE</v>
        <stp/>
        <stp>bse_cm|739HUDC31</stp>
        <stp>Exchange</stp>
        <tr r="C1347" s="1"/>
      </tp>
      <tp t="s">
        <v>BSE</v>
        <stp/>
        <stp>bse_cm|704IRFC26</stp>
        <stp>Exchange</stp>
        <tr r="C557" s="1"/>
      </tp>
      <tp t="s">
        <v>BSE</v>
        <stp/>
        <stp>bse_cm|729IRFC26</stp>
        <stp>Exchange</stp>
        <tr r="C367" s="1"/>
      </tp>
      <tp>
        <v>0</v>
        <stp/>
        <stp>bse_cm|915MFCL27</stp>
        <stp>Ask Rate</stp>
        <tr r="F1472" s="1"/>
      </tp>
      <tp>
        <v>995</v>
        <stp/>
        <stp>bse_cm|925MFCL27</stp>
        <stp>Ask Rate</stp>
        <tr r="F262" s="1"/>
      </tp>
      <tp>
        <v>0</v>
        <stp/>
        <stp>bse_cm|950MFCL27</stp>
        <stp>Ask Rate</stp>
        <tr r="F1148" s="1"/>
      </tp>
      <tp>
        <v>0</v>
        <stp/>
        <stp>bse_cm|965MFCL27</stp>
        <stp>Ask Rate</stp>
        <tr r="F618" s="1"/>
      </tp>
      <tp>
        <v>998.5</v>
        <stp/>
        <stp>bse_cm|890MFCL26</stp>
        <stp>Ask Rate</stp>
        <tr r="F279" s="1"/>
      </tp>
      <tp>
        <v>1087.99</v>
        <stp/>
        <stp>bse_cm|92MMFSL27</stp>
        <stp>Ask Rate</stp>
        <tr r="F384" s="1"/>
      </tp>
      <tp>
        <v>1071.99</v>
        <stp/>
        <stp>bse_cm|93MMFSL27</stp>
        <stp>Ask Rate</stp>
        <tr r="F333" s="1"/>
      </tp>
      <tp>
        <v>0</v>
        <stp/>
        <stp>bse_cm|88MMFSL26</stp>
        <stp>Ask Rate</stp>
        <tr r="F988" s="1"/>
      </tp>
      <tp t="s">
        <v>BSE</v>
        <stp/>
        <stp>bse_cm|MMFLZC27D</stp>
        <stp>Exchange</stp>
        <tr r="C1406" s="1"/>
      </tp>
      <tp>
        <v>1291.83</v>
        <stp/>
        <stp>nse_cm|DLSL25-NW</stp>
        <stp xml:space="preserve">Low </stp>
        <tr r="O1745" s="1"/>
      </tp>
      <tp>
        <v>1026</v>
        <stp/>
        <stp>bse_cm|925MFCL26</stp>
        <stp>Ask Rate</stp>
        <tr r="F1610" s="1"/>
      </tp>
      <tp>
        <v>992</v>
        <stp/>
        <stp>bse_cm|940MFCL26</stp>
        <stp>Ask Rate</stp>
        <tr r="F200" s="1"/>
      </tp>
      <tp>
        <v>0</v>
        <stp/>
        <stp>bse_cm|105MMFL25</stp>
        <stp>Ask Rate</stp>
        <tr r="F1171" s="1"/>
      </tp>
      <tp>
        <v>22</v>
        <stp/>
        <stp>bse_cm|MFCL30424D</stp>
        <stp>Bid Qty</stp>
        <tr r="D1281" s="1"/>
      </tp>
      <tp>
        <v>12</v>
        <stp/>
        <stp>bse_cm|MFCL30424A</stp>
        <stp>Bid Qty</stp>
        <tr r="D1283" s="1"/>
      </tp>
      <tp>
        <v>50</v>
        <stp/>
        <stp>bse_cm|MFCL30424C</stp>
        <stp>Bid Qty</stp>
        <tr r="D1552" s="1"/>
      </tp>
      <tp>
        <v>50</v>
        <stp/>
        <stp>bse_cm|MFCL30424B</stp>
        <stp>Bid Qty</stp>
        <tr r="D1282" s="1"/>
      </tp>
      <tp>
        <v>1020</v>
        <stp/>
        <stp>bse_cm|10MMLTD24</stp>
        <stp>Ask Rate</stp>
        <tr r="F1615" s="1"/>
      </tp>
      <tp t="s">
        <v>BSE</v>
        <stp/>
        <stp>bse_cm|MMFLZC27B</stp>
        <stp>Exchange</stp>
        <tr r="C1570" s="1"/>
      </tp>
      <tp t="s">
        <v>BSE</v>
        <stp/>
        <stp>bse_cm|MMFLZC27C</stp>
        <stp>Exchange</stp>
        <tr r="C1463" s="1"/>
      </tp>
      <tp>
        <v>1010</v>
        <stp/>
        <stp>nse_cm|85CIFC27-NL</stp>
        <stp>Prev Close</stp>
        <tr r="P973" s="1"/>
      </tp>
      <tp t="s">
        <v>BSE</v>
        <stp/>
        <stp>bse_cm|MMFLZC27A</stp>
        <stp>Exchange</stp>
        <tr r="C1260" s="1"/>
      </tp>
      <tp>
        <v>822.5</v>
        <stp/>
        <stp>bse_cm|925SFL27A</stp>
        <stp>Bid Rate</stp>
        <tr r="E848" s="1"/>
      </tp>
      <tp t="s">
        <v>INE148I07RS5</v>
        <stp/>
        <stp>bse_cm|925SCL28B</stp>
        <stp>Isin code</stp>
        <tr r="R894" s="1"/>
      </tp>
      <tp t="s">
        <v>INE148I07RI6</v>
        <stp/>
        <stp>bse_cm|925SCL25B</stp>
        <stp>Isin code</stp>
        <tr r="R1490" s="1"/>
      </tp>
      <tp t="s">
        <v>INE148I07SC7</v>
        <stp/>
        <stp>bse_cm|925SCL26B</stp>
        <stp>Isin code</stp>
        <tr r="R1360" s="1"/>
      </tp>
      <tp>
        <v>0</v>
        <stp/>
        <stp>bse_cm|0MML27524</stp>
        <stp>Ask Rate</stp>
        <tr r="F1042" s="1"/>
      </tp>
      <tp t="s">
        <v>INE148I07RJ4</v>
        <stp/>
        <stp>bse_cm|948SCL26B</stp>
        <stp>Isin code</stp>
        <tr r="R470" s="1"/>
      </tp>
      <tp t="s">
        <v>INE148I07RG0</v>
        <stp/>
        <stp>bse_cm|940SCL26B</stp>
        <stp>Isin code</stp>
        <tr r="R905" s="1"/>
      </tp>
      <tp>
        <v>895.2</v>
        <stp/>
        <stp>bse_cm|955SCL27A</stp>
        <stp>Bid Rate</stp>
        <tr r="E948" s="1"/>
      </tp>
      <tp>
        <v>900.3</v>
        <stp/>
        <stp>bse_cm|948SCL27A</stp>
        <stp>Bid Rate</stp>
        <tr r="E697" s="1"/>
      </tp>
      <tp>
        <v>900.3</v>
        <stp/>
        <stp>bse_cm|915SCL27A</stp>
        <stp>Bid Rate</stp>
        <tr r="E951" s="1"/>
      </tp>
      <tp>
        <v>812.2</v>
        <stp/>
        <stp>bse_cm|902SCL27A</stp>
        <stp>Bid Rate</stp>
        <tr r="E1354" s="1"/>
      </tp>
      <tp t="s">
        <v>INE148I07RO4</v>
        <stp/>
        <stp>bse_cm|971SCL28B</stp>
        <stp>Isin code</stp>
        <tr r="R714" s="1"/>
      </tp>
      <tp t="s">
        <v>INE148I07RM8</v>
        <stp/>
        <stp>bse_cm|965SCL28B</stp>
        <stp>Isin code</stp>
        <tr r="R896" s="1"/>
      </tp>
      <tp t="s">
        <v>INE148I07RD7</v>
        <stp/>
        <stp>bse_cm|965SCL25B</stp>
        <stp>Isin code</stp>
        <tr r="R1507" s="1"/>
      </tp>
      <tp t="s">
        <v>849NTPC25</v>
        <stp/>
        <stp>nse_cm|849NTPC25-N7</stp>
        <stp>Symbol</stp>
        <tr r="A302" s="1"/>
      </tp>
      <tp>
        <v>0</v>
        <stp/>
        <stp>bse_cm|1050SCL30</stp>
        <stp xml:space="preserve">Low </stp>
        <tr r="O867" s="1"/>
      </tp>
      <tp t="s">
        <v>INE148I07RN6</v>
        <stp/>
        <stp>bse_cm|990SCL26B</stp>
        <stp>Isin code</stp>
        <tr r="R1048" s="1"/>
      </tp>
      <tp>
        <v>0</v>
        <stp/>
        <stp>bse_cm|1050SCL31</stp>
        <stp xml:space="preserve">Low </stp>
        <tr r="O892" s="1"/>
      </tp>
      <tp t="s">
        <v>INE148I07RX5</v>
        <stp/>
        <stp>bse_cm|980SCL33B</stp>
        <stp>Isin code</stp>
        <tr r="R1054" s="1"/>
      </tp>
      <tp t="s">
        <v>880IREDA34-N6</v>
        <stp/>
        <stp>nse_cm|880IREDA34-N6</stp>
        <stp>Trading Symbol</stp>
        <tr r="B511" s="1"/>
      </tp>
      <tp t="s">
        <v>875PCHFL26-N8</v>
        <stp/>
        <stp>nse_cm|875PCHFL26-N8</stp>
        <stp>Trading Symbol</stp>
        <tr r="B271" s="1"/>
      </tp>
      <tp t="s">
        <v>751HUDCO28-N5</v>
        <stp/>
        <stp>nse_cm|751HUDCO28-N5</stp>
        <stp>Trading Symbol</stp>
        <tr r="B492" s="1"/>
      </tp>
      <tp t="s">
        <v>851HUDCO28-NB</v>
        <stp/>
        <stp>nse_cm|851HUDCO28-NB</stp>
        <stp>Trading Symbol</stp>
        <tr r="B502" s="1"/>
      </tp>
      <tp>
        <v>0</v>
        <stp/>
        <stp>bse_cm|875KFL25A</stp>
        <stp>Ask Rate</stp>
        <tr r="F1157" s="1"/>
      </tp>
      <tp t="s">
        <v>INE860H07IP2</v>
        <stp/>
        <stp>nse_cm|78ABFL33-N4</stp>
        <stp>Isin code</stp>
        <tr r="R371" s="1"/>
      </tp>
      <tp t="s">
        <v>855IREDA29-N2</v>
        <stp/>
        <stp>nse_cm|855IREDA29-N2</stp>
        <stp>Trading Symbol</stp>
        <tr r="B505" s="1"/>
      </tp>
      <tp t="s">
        <v>1077IIFL30-N7</v>
        <stp/>
        <stp>nse_cm|1077IIFL30-N7</stp>
        <stp>Trading Symbol</stp>
        <tr r="B996" s="1"/>
      </tp>
      <tp>
        <v>933.33</v>
        <stp/>
        <stp>bse_cm|IML160224</stp>
        <stp xml:space="preserve">Low </stp>
        <tr r="O1329" s="1"/>
      </tp>
      <tp>
        <v>0</v>
        <stp/>
        <stp>bse_cm|MML110924</stp>
        <stp xml:space="preserve">Low </stp>
        <tr r="O1257" s="1"/>
      </tp>
      <tp>
        <v>1400</v>
        <stp/>
        <stp>bse_cm|1071KFL25</stp>
        <stp xml:space="preserve">Low </stp>
        <tr r="O1122" s="1"/>
      </tp>
      <tp t="s">
        <v>BSE</v>
        <stp/>
        <stp>bse_cm|850MFL27A</stp>
        <stp>Exchange</stp>
        <tr r="C355" s="1"/>
      </tp>
      <tp>
        <v>1545</v>
        <stp/>
        <stp>bse_cm|1041KFL26</stp>
        <stp xml:space="preserve">Low </stp>
        <tr r="O1031" s="1"/>
      </tp>
      <tp t="s">
        <v>BSE</v>
        <stp/>
        <stp>bse_cm|950MFL27A</stp>
        <stp>Exchange</stp>
        <tr r="C241" s="1"/>
      </tp>
      <tp t="s">
        <v>1049DLSL25-NX</v>
        <stp/>
        <stp>nse_cm|1049DLSL25-NX</stp>
        <stp>Trading Symbol</stp>
        <tr r="B43" s="1"/>
      </tp>
      <tp t="s">
        <v>INE020B07IE0</v>
        <stp/>
        <stp>nse_cm|861REC34-ND</stp>
        <stp>Isin code</stp>
        <tr r="R583" s="1"/>
      </tp>
      <tp t="s">
        <v>INE148I07MM9</v>
        <stp/>
        <stp>nse_cm|865SCL24-ZA</stp>
        <stp>Isin code</stp>
        <tr r="R954" s="1"/>
      </tp>
      <tp>
        <v>960</v>
        <stp/>
        <stp>bse_cm|CCI110324</stp>
        <stp xml:space="preserve">Low </stp>
        <tr r="O755" s="1"/>
      </tp>
      <tp>
        <v>0</v>
        <stp/>
        <stp>bse_cm|AEL120924</stp>
        <stp xml:space="preserve">Low </stp>
        <tr r="O1062" s="1"/>
      </tp>
      <tp>
        <v>1010</v>
        <stp/>
        <stp>bse_cm|IFL190424</stp>
        <stp xml:space="preserve">Low </stp>
        <tr r="O1663" s="1"/>
      </tp>
      <tp>
        <v>60</v>
        <stp/>
        <stp>bse_cm|8MFL2026</stp>
        <stp>Ask Qty</stp>
        <tr r="G451" s="1"/>
      </tp>
      <tp>
        <v>1000</v>
        <stp/>
        <stp>bse_cm|ICCL25</stp>
        <stp>Face Value</stp>
        <tr r="Q1330" s="1"/>
      </tp>
      <tp>
        <v>1000</v>
        <stp/>
        <stp>bse_cm|0SCL27</stp>
        <stp>Face Value</stp>
        <tr r="Q721" s="1"/>
      </tp>
      <tp>
        <v>1000</v>
        <stp/>
        <stp>bse_cm|0SCL26</stp>
        <stp>Face Value</stp>
        <tr r="Q1359" s="1"/>
      </tp>
      <tp>
        <v>1000</v>
        <stp/>
        <stp>bse_cm|9SCL25</stp>
        <stp>Face Value</stp>
        <tr r="Q653" s="1"/>
      </tp>
      <tp>
        <v>0</v>
        <stp/>
        <stp>nse_cm|79IGT28-NF</stp>
        <stp>Ask Rate</stp>
        <tr r="F692" s="1"/>
      </tp>
      <tp>
        <v>0</v>
        <stp/>
        <stp>bse_cm|11DLSL25</stp>
        <stp>Ask Qty</stp>
        <tr r="G1539" s="1"/>
      </tp>
      <tp>
        <v>0</v>
        <stp/>
        <stp>bse_cm|11EFSL34</stp>
        <stp>Ask Qty</stp>
        <tr r="G1429" s="1"/>
      </tp>
      <tp>
        <v>0</v>
        <stp/>
        <stp>nse_cm|894SCL24-ZR</stp>
        <stp>% Change</stp>
        <tr r="J661" s="1"/>
      </tp>
      <tp>
        <v>0</v>
        <stp/>
        <stp>bse_cm|925ICCL25I</stp>
        <stp>Open</stp>
        <tr r="M782" s="1"/>
      </tp>
      <tp>
        <v>916.8</v>
        <stp/>
        <stp>bse_cm|888ERFL28</stp>
        <stp>Prev Close</stp>
        <tr r="P216" s="1"/>
      </tp>
      <tp>
        <v>1079</v>
        <stp/>
        <stp>bse_cm|905SC24</stp>
        <stp xml:space="preserve">Low </stp>
        <tr r="O573" s="1"/>
      </tp>
      <tp>
        <v>0</v>
        <stp/>
        <stp>nse_cm|1025UCL25-N8</stp>
        <stp>Open</stp>
        <tr r="M217" s="1"/>
      </tp>
      <tp>
        <v>0</v>
        <stp/>
        <stp>bse_cm|11CCIL26</stp>
        <stp>Ask Qty</stp>
        <tr r="G625" s="1"/>
      </tp>
      <tp>
        <v>0</v>
        <stp/>
        <stp>bse_cm|11CCIL27</stp>
        <stp>Ask Qty</stp>
        <tr r="G691" s="1"/>
      </tp>
      <tp>
        <v>940.35</v>
        <stp/>
        <stp>bse_cm|889SCFL27</stp>
        <stp>Prev Close</stp>
        <tr r="P484" s="1"/>
      </tp>
      <tp>
        <v>10</v>
        <stp/>
        <stp>bse_cm|81ABFL33</stp>
        <stp>Ask Qty</stp>
        <tr r="G1603" s="1"/>
      </tp>
      <tp>
        <v>0</v>
        <stp/>
        <stp>nse_cm|85PCHFL26-N7</stp>
        <stp>Ask Rate</stp>
        <tr r="F712" s="1"/>
      </tp>
      <tp t="s">
        <v>BSE</v>
        <stp/>
        <stp>bse_cm|9IIFL28</stp>
        <stp>Exchange</stp>
        <tr r="C126" s="1"/>
      </tp>
      <tp>
        <v>0</v>
        <stp/>
        <stp>bse_cm|965ICCL25I</stp>
        <stp>Open</stp>
        <tr r="M1430" s="1"/>
      </tp>
      <tp>
        <v>0</v>
        <stp/>
        <stp>nse_cm|1025NFL25-N5</stp>
        <stp>Open</stp>
        <tr r="M1488" s="1"/>
      </tp>
      <tp>
        <v>0</v>
        <stp/>
        <stp>nse_cm|894SCL27-ZY</stp>
        <stp>% Change</stp>
        <tr r="J731" s="1"/>
      </tp>
      <tp>
        <v>975.7</v>
        <stp/>
        <stp>bse_cm|985IIFL22</stp>
        <stp>Prev Close</stp>
        <tr r="P178" s="1"/>
      </tp>
      <tp>
        <v>1000</v>
        <stp/>
        <stp>bse_cm|985KAFL26</stp>
        <stp>Prev Close</stp>
        <tr r="P1102" s="1"/>
      </tp>
      <tp>
        <v>20</v>
        <stp/>
        <stp>nse_cm|1025SCL33A-N1</stp>
        <stp>Bid Qty</stp>
        <tr r="D834" s="1"/>
      </tp>
      <tp>
        <v>0</v>
        <stp/>
        <stp>bse_cm|10MMLTD24</stp>
        <stp>Volume Traded Today</stp>
        <tr r="L1615" s="1"/>
      </tp>
      <tp>
        <v>905.2</v>
        <stp/>
        <stp>bse_cm|1025SCL34A</stp>
        <stp>High</stp>
        <tr r="N672" s="1"/>
      </tp>
      <tp>
        <v>0</v>
        <stp/>
        <stp>bse_cm|SCL310524A</stp>
        <stp>High</stp>
        <tr r="N918" s="1"/>
      </tp>
      <tp>
        <v>0</v>
        <stp/>
        <stp>bse_cm|82IGT31</stp>
        <stp>LTP</stp>
        <tr r="H383" s="1"/>
      </tp>
      <tp t="s">
        <v>00:00:00</v>
        <stp/>
        <stp>bse_cm|82IGT31</stp>
        <stp>LTT</stp>
        <tr r="I383" s="1"/>
      </tp>
      <tp>
        <v>0</v>
        <stp/>
        <stp>bse_cm|955ICCL25A</stp>
        <stp>Open</stp>
        <tr r="M1143" s="1"/>
      </tp>
      <tp>
        <v>0</v>
        <stp/>
        <stp>nse_cm|842IIFL26-NL</stp>
        <stp>Open</stp>
        <tr r="M145" s="1"/>
      </tp>
      <tp>
        <v>0</v>
        <stp/>
        <stp>bse_cm|11KAFL29</stp>
        <stp>Ask Qty</stp>
        <tr r="G662" s="1"/>
      </tp>
      <tp>
        <v>0</v>
        <stp/>
        <stp>bse_cm|11KAFL26</stp>
        <stp>Ask Qty</stp>
        <tr r="G671" s="1"/>
      </tp>
      <tp>
        <v>48</v>
        <stp/>
        <stp>bse_cm|11KAFL27</stp>
        <stp>Ask Qty</stp>
        <tr r="G184" s="1"/>
      </tp>
      <tp>
        <v>0</v>
        <stp/>
        <stp>bse_cm|948ICCL25A</stp>
        <stp>Open</stp>
        <tr r="M1398" s="1"/>
      </tp>
      <tp>
        <v>1080.0999999999999</v>
        <stp/>
        <stp>nse_cm|76IGT26-ND</stp>
        <stp>Ask Rate</stp>
        <tr r="F527" s="1"/>
      </tp>
      <tp>
        <v>0</v>
        <stp/>
        <stp>nse_cm|77IGT28-NE</stp>
        <stp>Ask Rate</stp>
        <tr r="F1190" s="1"/>
      </tp>
      <tp>
        <v>10</v>
        <stp/>
        <stp>bse_cm|94IFCI25</stp>
        <stp>Ask Qty</stp>
        <tr r="G228" s="1"/>
      </tp>
      <tp>
        <v>0</v>
        <stp/>
        <stp>bse_cm|966ICCL25A</stp>
        <stp>Open</stp>
        <tr r="M846" s="1"/>
      </tp>
      <tp>
        <v>1258.25</v>
        <stp/>
        <stp>bse_cm|DLSL25</stp>
        <stp>Prev Close</stp>
        <tr r="P1747" s="1"/>
      </tp>
      <tp>
        <v>1117.2</v>
        <stp/>
        <stp>bse_cm|EFSL25</stp>
        <stp>Prev Close</stp>
        <tr r="P1694" s="1"/>
      </tp>
      <tp>
        <v>1050.55</v>
        <stp/>
        <stp>bse_cm|EFSL27</stp>
        <stp>Prev Close</stp>
        <tr r="P1531" s="1"/>
      </tp>
      <tp>
        <v>1213.2</v>
        <stp/>
        <stp>bse_cm|EFSL26</stp>
        <stp>Prev Close</stp>
        <tr r="P1687" s="1"/>
      </tp>
      <tp>
        <v>925</v>
        <stp/>
        <stp>bse_cm|EFSL29</stp>
        <stp>Prev Close</stp>
        <tr r="P659" s="1"/>
      </tp>
      <tp>
        <v>1047.55</v>
        <stp/>
        <stp>bse_cm|EFSL28</stp>
        <stp>Prev Close</stp>
        <tr r="P1609" s="1"/>
      </tp>
      <tp>
        <v>0</v>
        <stp/>
        <stp>bse_cm|9TCAP28</stp>
        <stp>Volume Traded Today</stp>
        <tr r="L545" s="1"/>
      </tp>
      <tp>
        <v>1000</v>
        <stp/>
        <stp>nse_cm|925SCL26D-ZD</stp>
        <stp>Face Value</stp>
        <tr r="Q1448" s="1"/>
      </tp>
      <tp>
        <v>1000</v>
        <stp/>
        <stp>nse_cm|931SFL26A-NA</stp>
        <stp>Face Value</stp>
        <tr r="Q786" s="1"/>
      </tp>
      <tp>
        <v>667</v>
        <stp/>
        <stp>nse_cm|948SCL26D-AI</stp>
        <stp>Face Value</stp>
        <tr r="Q1690" s="1"/>
      </tp>
      <tp>
        <v>973</v>
        <stp/>
        <stp>bse_cm|865MF25</stp>
        <stp>High</stp>
        <tr r="N111" s="1"/>
      </tp>
      <tp>
        <v>7</v>
        <stp/>
        <stp>nse_cm|IIFLHF29-NE</stp>
        <stp>Ask Qty</stp>
        <tr r="G1630" s="1"/>
      </tp>
      <tp>
        <v>36</v>
        <stp/>
        <stp>bse_cm|12ICFL25</stp>
        <stp>Bid Qty</stp>
        <tr r="D1213" s="1"/>
      </tp>
      <tp>
        <v>5</v>
        <stp/>
        <stp>bse_cm|92ICCL28</stp>
        <stp>Bid Qty</stp>
        <tr r="D202" s="1"/>
      </tp>
      <tp>
        <v>1000</v>
        <stp/>
        <stp>nse_cm|96IIFL28A-NF</stp>
        <stp>Face Value</stp>
        <tr r="Q81" s="1"/>
      </tp>
      <tp>
        <v>900</v>
        <stp/>
        <stp>nse_cm|888SCL25E-N4</stp>
        <stp>Face Value</stp>
        <tr r="Q1444" s="1"/>
      </tp>
      <tp>
        <v>1000</v>
        <stp/>
        <stp>nse_cm|980SCL33D-YG</stp>
        <stp>Face Value</stp>
        <tr r="Q830" s="1"/>
      </tp>
      <tp>
        <v>18</v>
        <stp/>
        <stp>bse_cm|92EFSL26</stp>
        <stp>Bid Qty</stp>
        <tr r="D186" s="1"/>
      </tp>
      <tp>
        <v>667</v>
        <stp/>
        <stp>nse_cm|990SCL26D-AH</stp>
        <stp>Face Value</stp>
        <tr r="Q1556" s="1"/>
      </tp>
      <tp>
        <v>0</v>
        <stp/>
        <stp>nse_cm|850NIRMA27-N7</stp>
        <stp>Ask Qty</stp>
        <tr r="G1010" s="1"/>
      </tp>
      <tp>
        <v>0</v>
        <stp/>
        <stp>bse_cm|MMFSL26</stp>
        <stp>Ask Rate</stp>
        <tr r="F1258" s="1"/>
      </tp>
      <tp>
        <v>969.8</v>
        <stp/>
        <stp>bse_cm|9MFCL26</stp>
        <stp>Ask Rate</stp>
        <tr r="F156" s="1"/>
      </tp>
      <tp>
        <v>843</v>
        <stp/>
        <stp>bse_cm|SFL270224A</stp>
        <stp xml:space="preserve">Low </stp>
        <tr r="O807" s="1"/>
      </tp>
      <tp>
        <v>0</v>
        <stp/>
        <stp>nse_cm|1015SCL28A-AL</stp>
        <stp>Ask Qty</stp>
        <tr r="G1443" s="1"/>
      </tp>
      <tp>
        <v>16</v>
        <stp/>
        <stp>nse_cm|1025SCL34A-ZT</stp>
        <stp>Bid Qty</stp>
        <tr r="D171" s="1"/>
      </tp>
      <tp>
        <v>10</v>
        <stp/>
        <stp>nse_cm|1015SCL28B-AZ</stp>
        <stp>Ask Qty</stp>
        <tr r="G1614" s="1"/>
      </tp>
      <tp>
        <v>1010</v>
        <stp/>
        <stp>bse_cm|10SFL27</stp>
        <stp xml:space="preserve">Low </stp>
        <tr r="O863" s="1"/>
      </tp>
      <tp>
        <v>1375</v>
        <stp/>
        <stp>nse_cm|892PFCL33-N8</stp>
        <stp>Open</stp>
        <tr r="M530" s="1"/>
      </tp>
      <tp>
        <v>0</v>
        <stp/>
        <stp>nse_cm|894SCL25-Z3</stp>
        <stp>% Change</stp>
        <tr r="J1698" s="1"/>
      </tp>
      <tp>
        <v>1010</v>
        <stp/>
        <stp>bse_cm|10SFL25</stp>
        <stp xml:space="preserve">Low </stp>
        <tr r="O1681" s="1"/>
      </tp>
      <tp>
        <v>1000</v>
        <stp/>
        <stp>nse_cm|11DLSL25A-Y3</stp>
        <stp xml:space="preserve">Low </stp>
        <tr r="O64" s="1"/>
      </tp>
      <tp>
        <v>1000</v>
        <stp/>
        <stp>bse_cm|96ONE29</stp>
        <stp>High</stp>
        <tr r="N1621" s="1"/>
      </tp>
      <tp>
        <v>832.4</v>
        <stp/>
        <stp>bse_cm|9SCL26B</stp>
        <stp>Bid Rate</stp>
        <tr r="E1135" s="1"/>
      </tp>
      <tp>
        <v>963</v>
        <stp/>
        <stp>bse_cm|1015SCFL29</stp>
        <stp xml:space="preserve">Low </stp>
        <tr r="O1355" s="1"/>
      </tp>
      <tp>
        <v>822.4</v>
        <stp/>
        <stp>bse_cm|9SFL26A</stp>
        <stp>Bid Rate</stp>
        <tr r="E1065" s="1"/>
      </tp>
      <tp>
        <v>20</v>
        <stp/>
        <stp>bse_cm|829PFL29</stp>
        <stp>Bid Qty</stp>
        <tr r="D930" s="1"/>
      </tp>
      <tp>
        <v>0</v>
        <stp/>
        <stp>bse_cm|MFLV29E</stp>
        <stp>Ask Rate</stp>
        <tr r="F650" s="1"/>
      </tp>
      <tp>
        <v>981.2</v>
        <stp/>
        <stp>bse_cm|10VCL25</stp>
        <stp xml:space="preserve">Low </stp>
        <tr r="O1646" s="1"/>
      </tp>
      <tp>
        <v>20</v>
        <stp/>
        <stp>bse_cm|884LTF29</stp>
        <stp>Bid Qty</stp>
        <tr r="D1337" s="1"/>
      </tp>
      <tp>
        <v>1057.0999999999999</v>
        <stp/>
        <stp>bse_cm|727HUDCO26</stp>
        <stp xml:space="preserve">Low </stp>
        <tr r="O481" s="1"/>
      </tp>
      <tp>
        <v>5</v>
        <stp/>
        <stp>bse_cm|925SCL25</stp>
        <stp>Bid Qty</stp>
        <tr r="D104" s="1"/>
      </tp>
      <tp>
        <v>0</v>
        <stp/>
        <stp>bse_cm|925SFL27</stp>
        <stp>Bid Qty</stp>
        <tr r="D849" s="1"/>
      </tp>
      <tp>
        <v>12</v>
        <stp/>
        <stp>bse_cm|925SCL27</stp>
        <stp>Bid Qty</stp>
        <tr r="D1414" s="1"/>
      </tp>
      <tp>
        <v>12</v>
        <stp/>
        <stp>bse_cm|925SFL26</stp>
        <stp>Bid Qty</stp>
        <tr r="D850" s="1"/>
      </tp>
      <tp>
        <v>20</v>
        <stp/>
        <stp>bse_cm|925SCL26</stp>
        <stp>Bid Qty</stp>
        <tr r="D913" s="1"/>
      </tp>
      <tp>
        <v>20</v>
        <stp/>
        <stp>bse_cm|925SCL29</stp>
        <stp>Bid Qty</stp>
        <tr r="D820" s="1"/>
      </tp>
      <tp>
        <v>20</v>
        <stp/>
        <stp>bse_cm|925SCL28</stp>
        <stp>Bid Qty</stp>
        <tr r="D940" s="1"/>
      </tp>
      <tp>
        <v>1069.0999999999999</v>
        <stp/>
        <stp>bse_cm|729HUDCO26</stp>
        <stp xml:space="preserve">Low </stp>
        <tr r="O523" s="1"/>
      </tp>
      <tp>
        <v>1</v>
        <stp/>
        <stp>bse_cm|925AEL26</stp>
        <stp>Bid Qty</stp>
        <tr r="D335" s="1"/>
      </tp>
      <tp>
        <v>50</v>
        <stp/>
        <stp>bse_cm|825MFL29</stp>
        <stp>Bid Qty</stp>
        <tr r="D473" s="1"/>
      </tp>
      <tp>
        <v>30</v>
        <stp/>
        <stp>bse_cm|825MFL27</stp>
        <stp>Bid Qty</stp>
        <tr r="D344" s="1"/>
      </tp>
      <tp>
        <v>5</v>
        <stp/>
        <stp>bse_cm|925MFL26</stp>
        <stp>Bid Qty</stp>
        <tr r="D230" s="1"/>
      </tp>
      <tp>
        <v>190</v>
        <stp/>
        <stp>bse_cm|825MFL26</stp>
        <stp>Bid Qty</stp>
        <tr r="D418" s="1"/>
      </tp>
      <tp>
        <v>20</v>
        <stp/>
        <stp>bse_cm|885LTF27</stp>
        <stp>Bid Qty</stp>
        <tr r="D1008" s="1"/>
      </tp>
      <tp>
        <v>27</v>
        <stp/>
        <stp>bse_cm|925MFL25</stp>
        <stp>Bid Qty</stp>
        <tr r="D1466" s="1"/>
      </tp>
      <tp>
        <v>180</v>
        <stp/>
        <stp>bse_cm|825MFL25</stp>
        <stp>Bid Qty</stp>
        <tr r="D596" s="1"/>
      </tp>
      <tp>
        <v>180</v>
        <stp/>
        <stp>bse_cm|725MFL24</stp>
        <stp>Bid Qty</stp>
        <tr r="D446" s="1"/>
      </tp>
      <tp>
        <v>16</v>
        <stp/>
        <stp>bse_cm|825KFL25</stp>
        <stp>Bid Qty</stp>
        <tr r="D252" s="1"/>
      </tp>
      <tp>
        <v>40</v>
        <stp/>
        <stp>bse_cm|925KFL27</stp>
        <stp>Bid Qty</stp>
        <tr r="D313" s="1"/>
      </tp>
      <tp>
        <v>10</v>
        <stp/>
        <stp>bse_cm|925KFL26</stp>
        <stp>Bid Qty</stp>
        <tr r="D775" s="1"/>
      </tp>
      <tp>
        <v>1756.5</v>
        <stp/>
        <stp>bse_cm|704HUDCO26</stp>
        <stp xml:space="preserve">Low </stp>
        <tr r="O1724" s="1"/>
      </tp>
      <tp t="s">
        <v>INE03W107223</v>
        <stp/>
        <stp>bse_cm|10ARKA28</stp>
        <stp>Isin code</stp>
        <tr r="R1400" s="1"/>
      </tp>
      <tp>
        <v>1762</v>
        <stp/>
        <stp>bse_cm|702HUDCO26</stp>
        <stp xml:space="preserve">Low </stp>
        <tr r="O1718" s="1"/>
      </tp>
      <tp t="s">
        <v>INE148I07SP9</v>
        <stp/>
        <stp>bse_cm|965SCL29</stp>
        <stp>Isin code</stp>
        <tr r="R816" s="1"/>
      </tp>
      <tp t="s">
        <v>INE148I07SN4</v>
        <stp/>
        <stp>bse_cm|971SCL29</stp>
        <stp>Isin code</stp>
        <tr r="R521" s="1"/>
      </tp>
      <tp t="s">
        <v>INE148I07SO2</v>
        <stp/>
        <stp>bse_cm|925SCL29</stp>
        <stp>Isin code</stp>
        <tr r="R820" s="1"/>
      </tp>
      <tp>
        <v>29</v>
        <stp/>
        <stp>bse_cm|927MFL26</stp>
        <stp>Bid Qty</stp>
        <tr r="D1457" s="1"/>
      </tp>
      <tp>
        <v>988</v>
        <stp/>
        <stp>bse_cm|76IGT26</stp>
        <stp>High</stp>
        <tr r="N1608" s="1"/>
      </tp>
      <tp>
        <v>0</v>
        <stp/>
        <stp>bse_cm|CIFC26A</stp>
        <stp>Ask Rate</stp>
        <tr r="F740" s="1"/>
      </tp>
      <tp>
        <v>5</v>
        <stp/>
        <stp>bse_cm|820SCL25</stp>
        <stp>Bid Qty</stp>
        <tr r="D925" s="1"/>
      </tp>
      <tp>
        <v>10</v>
        <stp/>
        <stp>bse_cm|920PEL28</stp>
        <stp>Bid Qty</stp>
        <tr r="D440" s="1"/>
      </tp>
      <tp>
        <v>1065.03</v>
        <stp/>
        <stp>bse_cm|86LTF24</stp>
        <stp>High</stp>
        <tr r="N8" s="1"/>
      </tp>
      <tp>
        <v>1060</v>
        <stp/>
        <stp>bse_cm|96MFL25</stp>
        <stp>High</stp>
        <tr r="N1392" s="1"/>
      </tp>
      <tp>
        <v>0</v>
        <stp/>
        <stp>bse_cm|10MVAFL25</stp>
        <stp>ATP</stp>
        <tr r="K1675" s="1"/>
      </tp>
      <tp>
        <v>0</v>
        <stp/>
        <stp>bse_cm|916SCL25</stp>
        <stp>Ask Qty</stp>
        <tr r="G964" s="1"/>
      </tp>
      <tp>
        <v>0</v>
        <stp/>
        <stp>bse_cm|886ONE25</stp>
        <stp>Ask Qty</stp>
        <tr r="G723" s="1"/>
      </tp>
      <tp>
        <v>1000</v>
        <stp/>
        <stp>nse_cm|9PCHFL31A-NA</stp>
        <stp>Face Value</stp>
        <tr r="Q435" s="1"/>
      </tp>
      <tp>
        <v>0</v>
        <stp/>
        <stp>bse_cm|985ONE34</stp>
        <stp>Ask Qty</stp>
        <tr r="G1101" s="1"/>
      </tp>
      <tp>
        <v>1000</v>
        <stp/>
        <stp>bse_cm|920SCL23A</stp>
        <stp>Prev Close</stp>
        <tr r="P1114" s="1"/>
      </tp>
      <tp>
        <v>0</v>
        <stp/>
        <stp>bse_cm|96SCL25</stp>
        <stp>High</stp>
        <tr r="N1068" s="1"/>
      </tp>
      <tp>
        <v>250</v>
        <stp/>
        <stp>bse_cm|915SCL26</stp>
        <stp>Ask Qty</stp>
        <tr r="G148" s="1"/>
      </tp>
      <tp>
        <v>0</v>
        <stp/>
        <stp>bse_cm|915SCL27</stp>
        <stp>Ask Qty</stp>
        <tr r="G1127" s="1"/>
      </tp>
      <tp>
        <v>184</v>
        <stp/>
        <stp>bse_cm|915MFL25</stp>
        <stp>Ask Qty</stp>
        <tr r="G105" s="1"/>
      </tp>
      <tp>
        <v>0</v>
        <stp/>
        <stp>bse_cm|915MFL27</stp>
        <stp>Ask Qty</stp>
        <tr r="G614" s="1"/>
      </tp>
      <tp>
        <v>20</v>
        <stp/>
        <stp>bse_cm|915MFL28</stp>
        <stp>Ask Qty</stp>
        <tr r="G283" s="1"/>
      </tp>
      <tp>
        <v>0</v>
        <stp/>
        <stp>bse_cm|88MMFSL26</stp>
        <stp>ATP</stp>
        <tr r="K988" s="1"/>
      </tp>
      <tp>
        <v>0</v>
        <stp/>
        <stp>bse_cm|92MMFSL27</stp>
        <stp>ATP</stp>
        <tr r="K384" s="1"/>
      </tp>
      <tp>
        <v>0</v>
        <stp/>
        <stp>bse_cm|93MMFSL27</stp>
        <stp>ATP</stp>
        <tr r="K333" s="1"/>
      </tp>
      <tp>
        <v>0</v>
        <stp/>
        <stp>bse_cm|95MMFSL29</stp>
        <stp>ATP</stp>
        <tr r="K353" s="1"/>
      </tp>
      <tp>
        <v>999</v>
        <stp/>
        <stp>bse_cm|927MFL26A</stp>
        <stp>Prev Close</stp>
        <tr r="P617" s="1"/>
      </tp>
      <tp>
        <v>200</v>
        <stp/>
        <stp>bse_cm|810MFL25</stp>
        <stp>Ask Qty</stp>
        <tr r="G429" s="1"/>
      </tp>
      <tp>
        <v>551</v>
        <stp/>
        <stp>bse_cm|910MFL26</stp>
        <stp>Ask Qty</stp>
        <tr r="G277" s="1"/>
      </tp>
      <tp>
        <v>0</v>
        <stp/>
        <stp>bse_cm|91MOFSL27</stp>
        <stp>ATP</stp>
        <tr r="K1558" s="1"/>
      </tp>
      <tp>
        <v>990</v>
        <stp/>
        <stp>bse_cm|10KFL28</stp>
        <stp xml:space="preserve">Low </stp>
        <tr r="O674" s="1"/>
      </tp>
      <tp>
        <v>0</v>
        <stp/>
        <stp>bse_cm|97MOFSL34</stp>
        <stp>ATP</stp>
        <tr r="K1600" s="1"/>
      </tp>
      <tp>
        <v>0</v>
        <stp/>
        <stp>bse_cm|93MOFSL34</stp>
        <stp>ATP</stp>
        <tr r="K312" s="1"/>
      </tp>
      <tp>
        <v>800</v>
        <stp/>
        <stp>bse_cm|925SCL28I</stp>
        <stp>Prev Close</stp>
        <tr r="P822" s="1"/>
      </tp>
      <tp>
        <v>900.3</v>
        <stp/>
        <stp>bse_cm|925SCL28B</stp>
        <stp>Prev Close</stp>
        <tr r="P894" s="1"/>
      </tp>
      <tp>
        <v>800</v>
        <stp/>
        <stp>bse_cm|925SCL28C</stp>
        <stp>Prev Close</stp>
        <tr r="P824" s="1"/>
      </tp>
      <tp>
        <v>839.35</v>
        <stp/>
        <stp>bse_cm|925SCL28A</stp>
        <stp>Prev Close</stp>
        <tr r="P938" s="1"/>
      </tp>
      <tp>
        <v>948</v>
        <stp/>
        <stp>bse_cm|925SCL29A</stp>
        <stp>Prev Close</stp>
        <tr r="P268" s="1"/>
      </tp>
      <tp>
        <v>1000</v>
        <stp/>
        <stp>bse_cm|925SCL25Z</stp>
        <stp>Prev Close</stp>
        <tr r="P790" s="1"/>
      </tp>
      <tp>
        <v>1000</v>
        <stp/>
        <stp>bse_cm|925SCL25H</stp>
        <stp>Prev Close</stp>
        <tr r="P886" s="1"/>
      </tp>
      <tp>
        <v>1000</v>
        <stp/>
        <stp>bse_cm|925SCL25F</stp>
        <stp>Prev Close</stp>
        <tr r="P719" s="1"/>
      </tp>
      <tp>
        <v>1000</v>
        <stp/>
        <stp>bse_cm|925SCL25G</stp>
        <stp>Prev Close</stp>
        <tr r="P717" s="1"/>
      </tp>
      <tp>
        <v>957.51</v>
        <stp/>
        <stp>bse_cm|925SCL25B</stp>
        <stp>Prev Close</stp>
        <tr r="P1490" s="1"/>
      </tp>
      <tp>
        <v>995</v>
        <stp/>
        <stp>bse_cm|925SCL25C</stp>
        <stp>Prev Close</stp>
        <tr r="P676" s="1"/>
      </tp>
      <tp>
        <v>975</v>
        <stp/>
        <stp>bse_cm|925SCL25A</stp>
        <stp>Prev Close</stp>
        <tr r="P1515" s="1"/>
      </tp>
      <tp>
        <v>960</v>
        <stp/>
        <stp>bse_cm|925SCL26D</stp>
        <stp>Prev Close</stp>
        <tr r="P619" s="1"/>
      </tp>
      <tp>
        <v>920.1</v>
        <stp/>
        <stp>bse_cm|925SCL26B</stp>
        <stp>Prev Close</stp>
        <tr r="P1360" s="1"/>
      </tp>
      <tp>
        <v>1000</v>
        <stp/>
        <stp>bse_cm|925SCL26C</stp>
        <stp>Prev Close</stp>
        <tr r="P725" s="1"/>
      </tp>
      <tp>
        <v>1000</v>
        <stp/>
        <stp>bse_cm|925SCL26A</stp>
        <stp>Prev Close</stp>
        <tr r="P990" s="1"/>
      </tp>
      <tp>
        <v>1000</v>
        <stp/>
        <stp>bse_cm|925SFL27A</stp>
        <stp>Prev Close</stp>
        <tr r="P848" s="1"/>
      </tp>
      <tp>
        <v>975</v>
        <stp/>
        <stp>bse_cm|825MFL25A</stp>
        <stp>Prev Close</stp>
        <tr r="P931" s="1"/>
      </tp>
      <tp>
        <v>861.7</v>
        <stp/>
        <stp>bse_cm|925KFL26A</stp>
        <stp>Prev Close</stp>
        <tr r="P1479" s="1"/>
      </tp>
      <tp>
        <v>990</v>
        <stp/>
        <stp>bse_cm|10KFL27</stp>
        <stp xml:space="preserve">Low </stp>
        <tr r="O675" s="1"/>
      </tp>
      <tp>
        <v>1040</v>
        <stp/>
        <stp>bse_cm|SFL2722024</stp>
        <stp>High</stp>
        <tr r="N806" s="1"/>
      </tp>
      <tp>
        <v>1140</v>
        <stp/>
        <stp>bse_cm|749IREDA31</stp>
        <stp>High</stp>
        <tr r="N568" s="1"/>
      </tp>
      <tp>
        <v>990</v>
        <stp/>
        <stp>bse_cm|10KFL25</stp>
        <stp xml:space="preserve">Low </stp>
        <tr r="O1093" s="1"/>
      </tp>
      <tp>
        <v>0</v>
        <stp/>
        <stp>bse_cm|0SMCGSL26</stp>
        <stp>ATP</stp>
        <tr r="K589" s="1"/>
      </tp>
      <tp>
        <v>0</v>
        <stp/>
        <stp>bse_cm|0SMCGSL27</stp>
        <stp>ATP</stp>
        <tr r="K1532" s="1"/>
      </tp>
      <tp>
        <v>1145.1199999999999</v>
        <stp/>
        <stp>bse_cm|774IREDA31</stp>
        <stp>High</stp>
        <tr r="N17" s="1"/>
      </tp>
      <tp>
        <v>1048</v>
        <stp/>
        <stp>bse_cm|10MFL25</stp>
        <stp xml:space="preserve">Low </stp>
        <tr r="O577" s="1"/>
      </tp>
      <tp>
        <v>1205.03</v>
        <stp/>
        <stp>bse_cm|768IREDA36</stp>
        <stp>High</stp>
        <tr r="N543" s="1"/>
      </tp>
      <tp>
        <v>0</v>
        <stp/>
        <stp>bse_cm|1010MFCL30</stp>
        <stp>Open</stp>
        <tr r="M285" s="1"/>
      </tp>
      <tp>
        <v>0</v>
        <stp/>
        <stp>bse_cm|743IREDA36</stp>
        <stp>High</stp>
        <tr r="N1441" s="1"/>
      </tp>
      <tp>
        <v>993</v>
        <stp/>
        <stp>bse_cm|10NFL25</stp>
        <stp xml:space="preserve">Low </stp>
        <tr r="O1568" s="1"/>
      </tp>
      <tp>
        <v>11</v>
        <stp/>
        <stp>bse_cm|1003SCFL31</stp>
        <stp>Bid Qty</stp>
        <tr r="D1076" s="1"/>
      </tp>
      <tp>
        <v>0</v>
        <stp/>
        <stp>bse_cm|1050ICCL28</stp>
        <stp>Ask Qty</stp>
        <tr r="G1133" s="1"/>
      </tp>
      <tp>
        <v>0</v>
        <stp/>
        <stp>bse_cm|1030ICCL28</stp>
        <stp>Ask Qty</stp>
        <tr r="G1521" s="1"/>
      </tp>
      <tp>
        <v>0</v>
        <stp/>
        <stp>bse_cm|1050IIFL29</stp>
        <stp>Ask Qty</stp>
        <tr r="G763" s="1"/>
      </tp>
      <tp>
        <v>100</v>
        <stp/>
        <stp>bse_cm|1030IFSL26</stp>
        <stp>Ask Qty</stp>
        <tr r="G1654" s="1"/>
      </tp>
      <tp>
        <v>0</v>
        <stp/>
        <stp>bse_cm|1050ISFL28</stp>
        <stp>Ask Qty</stp>
        <tr r="G1497" s="1"/>
      </tp>
      <tp>
        <v>0</v>
        <stp/>
        <stp>bse_cm|1050KAFL28</stp>
        <stp>Ask Qty</stp>
        <tr r="G610" s="1"/>
      </tp>
      <tp>
        <v>0</v>
        <stp/>
        <stp>bse_cm|1050KAFL25</stp>
        <stp>Ask Qty</stp>
        <tr r="G1161" s="1"/>
      </tp>
      <tp>
        <v>0</v>
        <stp/>
        <stp>bse_cm|1050KAFL27</stp>
        <stp>Ask Qty</stp>
        <tr r="G1160" s="1"/>
      </tp>
      <tp>
        <v>100</v>
        <stp/>
        <stp>bse_cm|1010MFCL30</stp>
        <stp>Ask Qty</stp>
        <tr r="G285" s="1"/>
      </tp>
      <tp>
        <v>0</v>
        <stp/>
        <stp>bse_cm|1003NIDO29</stp>
        <stp>Ask Qty</stp>
        <tr r="G679" s="1"/>
      </tp>
      <tp>
        <v>0</v>
        <stp/>
        <stp>bse_cm|1050NHFL29</stp>
        <stp>Ask Qty</stp>
        <tr r="G1125" s="1"/>
      </tp>
      <tp>
        <v>0</v>
        <stp/>
        <stp>bse_cm|NIDO010326</stp>
        <stp>Ask Qty</stp>
        <tr r="G1248" s="1"/>
      </tp>
      <tp>
        <v>0</v>
        <stp/>
        <stp>bse_cm|NIDO010327</stp>
        <stp>Ask Qty</stp>
        <tr r="G1247" s="1"/>
      </tp>
      <tp>
        <v>0</v>
        <stp/>
        <stp>bse_cm|NIDO010329</stp>
        <stp>Ask Qty</stp>
        <tr r="G1246" s="1"/>
      </tp>
      <tp>
        <v>10</v>
        <stp/>
        <stp>bse_cm|1150CCIL28</stp>
        <stp>Ask Qty</stp>
        <tr r="G460" s="1"/>
      </tp>
      <tp>
        <v>5</v>
        <stp/>
        <stp>bse_cm|1150CCIL29</stp>
        <stp>Ask Qty</stp>
        <tr r="G424" s="1"/>
      </tp>
      <tp>
        <v>50</v>
        <stp/>
        <stp>bse_cm|1050CCIL25</stp>
        <stp>Ask Qty</stp>
        <tr r="G2" s="1"/>
      </tp>
      <tp>
        <v>0</v>
        <stp/>
        <stp>bse_cm|1010EFSL32</stp>
        <stp>Ask Qty</stp>
        <tr r="G631" s="1"/>
      </tp>
      <tp>
        <v>0</v>
        <stp/>
        <stp>bse_cm|1010EFSL28</stp>
        <stp>Ask Qty</stp>
        <tr r="G663" s="1"/>
      </tp>
      <tp>
        <v>0</v>
        <stp/>
        <stp>bse_cm|1050EFSL29</stp>
        <stp>Ask Qty</stp>
        <tr r="G1484" s="1"/>
      </tp>
      <tp>
        <v>0</v>
        <stp/>
        <stp>bse_cm|1010EFSL29</stp>
        <stp>Ask Qty</stp>
        <tr r="G1459" s="1"/>
      </tp>
      <tp t="s">
        <v>MFLTDI25</v>
        <stp/>
        <stp>bse_cm|MFLTDI25</stp>
        <stp>Trading Symbol</stp>
        <tr r="B1476" s="1"/>
      </tp>
      <tp>
        <v>1000</v>
        <stp/>
        <stp>nse_cm|745IGT26-NC</stp>
        <stp>Prev Close</stp>
        <tr r="P1201" s="1"/>
      </tp>
      <tp>
        <v>20</v>
        <stp/>
        <stp>bse_cm|CCIL110324</stp>
        <stp>Bid Qty</stp>
        <tr r="D754" s="1"/>
      </tp>
      <tp>
        <v>0</v>
        <stp/>
        <stp>bse_cm|EFSL26724</stp>
        <stp>Ask Rate</stp>
        <tr r="F1336" s="1"/>
      </tp>
      <tp>
        <v>985</v>
        <stp/>
        <stp>nse_cm|10NIDO26-N6</stp>
        <stp>Prev Close</stp>
        <tr r="P66" s="1"/>
      </tp>
      <tp>
        <v>0</v>
        <stp/>
        <stp>bse_cm|CCIL14824</stp>
        <stp>Ask Rate</stp>
        <tr r="F753" s="1"/>
      </tp>
      <tp>
        <v>0</v>
        <stp/>
        <stp>bse_cm|MML11924B</stp>
        <stp>High</stp>
        <tr r="N1255" s="1"/>
      </tp>
      <tp t="s">
        <v>BSE</v>
        <stp/>
        <stp>bse_cm|EFSLZC26B</stp>
        <stp>Exchange</stp>
        <tr r="C1678" s="1"/>
      </tp>
      <tp>
        <v>1920</v>
        <stp/>
        <stp>bse_cm|805MMFS32</stp>
        <stp>Ask Rate</stp>
        <tr r="F1763" s="1"/>
      </tp>
      <tp>
        <v>980</v>
        <stp/>
        <stp>bse_cm|MML11924C</stp>
        <stp>High</stp>
        <tr r="N1623" s="1"/>
      </tp>
      <tp t="s">
        <v>BSE</v>
        <stp/>
        <stp>bse_cm|EFSLZC26C</stp>
        <stp>Exchange</stp>
        <tr r="C1332" s="1"/>
      </tp>
      <tp>
        <v>100</v>
        <stp/>
        <stp>bse_cm|975MFCL28E</stp>
        <stp>Bid Qty</stp>
        <tr r="D303" s="1"/>
      </tp>
      <tp>
        <v>0</v>
        <stp/>
        <stp>bse_cm|MML11924A</stp>
        <stp>High</stp>
        <tr r="N1256" s="1"/>
      </tp>
      <tp t="s">
        <v>BSE</v>
        <stp/>
        <stp>bse_cm|EFSLZC26A</stp>
        <stp>Exchange</stp>
        <tr r="C1574" s="1"/>
      </tp>
      <tp>
        <v>1019.97</v>
        <stp/>
        <stp>bse_cm|MFCL30424</stp>
        <stp>Ask Rate</stp>
        <tr r="F1606" s="1"/>
      </tp>
      <tp>
        <v>1040.25</v>
        <stp/>
        <stp>bse_cm|10MVAFL25</stp>
        <stp>Bid Rate</stp>
        <tr r="E1675" s="1"/>
      </tp>
      <tp>
        <v>20</v>
        <stp/>
        <stp>bse_cm|105MMFL25A</stp>
        <stp>Bid Qty</stp>
        <tr r="D1364" s="1"/>
      </tp>
      <tp>
        <v>51</v>
        <stp/>
        <stp>bse_cm|105MMFL25C</stp>
        <stp>Bid Qty</stp>
        <tr r="D480" s="1"/>
      </tp>
      <tp>
        <v>20</v>
        <stp/>
        <stp>bse_cm|105MMFL25B</stp>
        <stp>Bid Qty</stp>
        <tr r="D1390" s="1"/>
      </tp>
      <tp t="s">
        <v>BSE</v>
        <stp/>
        <stp>bse_cm|IIFLZC26B</stp>
        <stp>Exchange</stp>
        <tr r="C1179" s="1"/>
      </tp>
      <tp t="s">
        <v>BSE</v>
        <stp/>
        <stp>bse_cm|750IRFC35</stp>
        <stp>Exchange</stp>
        <tr r="C488" s="1"/>
      </tp>
      <tp t="s">
        <v>BSE</v>
        <stp/>
        <stp>bse_cm|725IRFC35</stp>
        <stp>Exchange</stp>
        <tr r="C560" s="1"/>
      </tp>
      <tp>
        <v>15</v>
        <stp/>
        <stp>bse_cm|950MFCL27D</stp>
        <stp>Bid Qty</stp>
        <tr r="D1496" s="1"/>
      </tp>
      <tp>
        <v>100</v>
        <stp/>
        <stp>bse_cm|875MFCL26C</stp>
        <stp>Bid Qty</stp>
        <tr r="D309" s="1"/>
      </tp>
      <tp t="s">
        <v>BSE</v>
        <stp/>
        <stp>bse_cm|KAFLZC26A</stp>
        <stp>Exchange</stp>
        <tr r="C1710" s="1"/>
      </tp>
      <tp>
        <v>0</v>
        <stp/>
        <stp>bse_cm|1050SCFL31</stp>
        <stp>Ask Qty</stp>
        <tr r="G1123" s="1"/>
      </tp>
      <tp>
        <v>980</v>
        <stp/>
        <stp>bse_cm|MFCL16924</stp>
        <stp>Ask Rate</stp>
        <tr r="F579" s="1"/>
      </tp>
      <tp>
        <v>50</v>
        <stp/>
        <stp>bse_cm|1003IIFL29</stp>
        <stp>Bid Qty</stp>
        <tr r="D1078" s="1"/>
      </tp>
      <tp>
        <v>5</v>
        <stp/>
        <stp>bse_cm|1003ICCL28</stp>
        <stp>Bid Qty</stp>
        <tr r="D655" s="1"/>
      </tp>
      <tp>
        <v>106</v>
        <stp/>
        <stp>bse_cm|1003ISFL28</stp>
        <stp>Bid Qty</stp>
        <tr r="D1456" s="1"/>
      </tp>
      <tp>
        <v>0</v>
        <stp/>
        <stp>bse_cm|IFL19424A</stp>
        <stp>High</stp>
        <tr r="N1419" s="1"/>
      </tp>
      <tp t="s">
        <v>BSE</v>
        <stp/>
        <stp>bse_cm|IIFLZC26A</stp>
        <stp>Exchange</stp>
        <tr r="C1674" s="1"/>
      </tp>
      <tp t="s">
        <v>BSE</v>
        <stp/>
        <stp>bse_cm|753IRFC30</stp>
        <stp>Exchange</stp>
        <tr r="C454" s="1"/>
      </tp>
      <tp t="s">
        <v>BSE</v>
        <stp/>
        <stp>bse_cm|728IRFC30</stp>
        <stp>Exchange</stp>
        <tr r="C469" s="1"/>
      </tp>
      <tp>
        <v>25</v>
        <stp/>
        <stp>bse_cm|1010NIDO28</stp>
        <stp>Bid Qty</stp>
        <tr r="D199" s="1"/>
      </tp>
      <tp>
        <v>14</v>
        <stp/>
        <stp>bse_cm|1003NHFL29</stp>
        <stp>Bid Qty</stp>
        <tr r="D605" s="1"/>
      </tp>
      <tp>
        <v>14</v>
        <stp/>
        <stp>bse_cm|1050NIDO29</stp>
        <stp>Bid Qty</stp>
        <tr r="D1124" s="1"/>
      </tp>
      <tp t="s">
        <v>BSE</v>
        <stp/>
        <stp>bse_cm|764IRFC31</stp>
        <stp>Exchange</stp>
        <tr r="C466" s="1"/>
      </tp>
      <tp t="s">
        <v>BSE</v>
        <stp/>
        <stp>bse_cm|735IRFC31</stp>
        <stp>Exchange</stp>
        <tr r="C1427" s="1"/>
      </tp>
      <tp>
        <v>0</v>
        <stp/>
        <stp>bse_cm|955MFCL30</stp>
        <stp>Ask Rate</stp>
        <tr r="F1130" s="1"/>
      </tp>
      <tp>
        <v>995</v>
        <stp/>
        <stp>bse_cm|965MFCL30</stp>
        <stp>Ask Rate</stp>
        <tr r="F225" s="1"/>
      </tp>
      <tp>
        <v>403</v>
        <stp/>
        <stp>nse_cm|79NHIT47-N3</stp>
        <stp>Prev Close</stp>
        <tr r="P1585" s="1"/>
      </tp>
      <tp>
        <v>991.2</v>
        <stp/>
        <stp>bse_cm|1060MML26</stp>
        <stp>High</stp>
        <tr r="N1218" s="1"/>
      </tp>
      <tp>
        <v>0</v>
        <stp/>
        <stp>bse_cm|1080MML26</stp>
        <stp>High</stp>
        <tr r="N1163" s="1"/>
      </tp>
      <tp>
        <v>945.01</v>
        <stp/>
        <stp>bse_cm|KFL070824</stp>
        <stp>High</stp>
        <tr r="N551" s="1"/>
      </tp>
      <tp t="s">
        <v>INE549K07BO3</v>
        <stp/>
        <stp>bse_cm|825MFL25A</stp>
        <stp>Isin code</stp>
        <tr r="R931" s="1"/>
      </tp>
      <tp>
        <v>1015</v>
        <stp/>
        <stp>bse_cm|1050NFL26</stp>
        <stp>High</stp>
        <tr r="N260" s="1"/>
      </tp>
      <tp>
        <v>950</v>
        <stp/>
        <stp>bse_cm|1040NFL26</stp>
        <stp>High</stp>
        <tr r="N1453" s="1"/>
      </tp>
      <tp>
        <v>1045.8399999999999</v>
        <stp/>
        <stp>bse_cm|1090NFL26</stp>
        <stp>High</stp>
        <tr r="N364" s="1"/>
      </tp>
      <tp>
        <v>1065.52</v>
        <stp/>
        <stp>nse_cm|CAGL25-N8</stp>
        <stp>High</stp>
        <tr r="N710" s="1"/>
      </tp>
      <tp>
        <v>952</v>
        <stp/>
        <stp>bse_cm|1070MML25</stp>
        <stp>High</stp>
        <tr r="N1504" s="1"/>
      </tp>
      <tp>
        <v>981</v>
        <stp/>
        <stp>bse_cm|1050MML25</stp>
        <stp>High</stp>
        <tr r="N1503" s="1"/>
      </tp>
      <tp t="s">
        <v>INE414G07IV8</v>
        <stp/>
        <stp>bse_cm|850MFL27A</stp>
        <stp>Isin code</stp>
        <tr r="R355" s="1"/>
      </tp>
      <tp>
        <v>1134</v>
        <stp/>
        <stp>bse_cm|1030ICC26</stp>
        <stp>High</stp>
        <tr r="N1538" s="1"/>
      </tp>
      <tp>
        <v>0</v>
        <stp/>
        <stp>bse_cm|1150IFL26</stp>
        <stp>High</stp>
        <tr r="N1225" s="1"/>
      </tp>
      <tp t="s">
        <v>INE530L07236</v>
        <stp/>
        <stp>nse_cm|NIDOZC26-N7</stp>
        <stp>Isin code</stp>
        <tr r="R28" s="1"/>
      </tp>
      <tp t="s">
        <v>INE403Q07DL2</v>
        <stp/>
        <stp>bse_cm|875KFL25A</stp>
        <stp>Isin code</stp>
        <tr r="R1157" s="1"/>
      </tp>
      <tp t="s">
        <v>INE403Q07EF2</v>
        <stp/>
        <stp>bse_cm|875KFL26A</stp>
        <stp>Isin code</stp>
        <tr r="R1155" s="1"/>
      </tp>
      <tp t="s">
        <v>INE549K07AB2</v>
        <stp/>
        <stp>bse_cm|875MFL26A</stp>
        <stp>Isin code</stp>
        <tr r="R286" s="1"/>
      </tp>
      <tp>
        <v>984</v>
        <stp/>
        <stp>bse_cm|1010EFS28</stp>
        <stp>High</stp>
        <tr r="N116" s="1"/>
      </tp>
      <tp>
        <v>0</v>
        <stp/>
        <stp>bse_cm|1150KLM26</stp>
        <stp>High</stp>
        <tr r="N1224" s="1"/>
      </tp>
      <tp t="s">
        <v>INE148I07PD1</v>
        <stp/>
        <stp>bse_cm|965SCL25E</stp>
        <stp>Isin code</stp>
        <tr r="R414" s="1"/>
      </tp>
      <tp t="s">
        <v>INE549K07CE2</v>
        <stp/>
        <stp>bse_cm|865MFL26A</stp>
        <stp>Isin code</stp>
        <tr r="R242" s="1"/>
      </tp>
      <tp t="s">
        <v>INE549K07CI3</v>
        <stp/>
        <stp>bse_cm|865MFL25A</stp>
        <stp>Isin code</stp>
        <tr r="R153" s="1"/>
      </tp>
      <tp>
        <v>1430</v>
        <stp/>
        <stp>bse_cm|1060ECL29</stp>
        <stp>High</stp>
        <tr r="N272" s="1"/>
      </tp>
      <tp t="s">
        <v>INE027E07AL1</v>
        <stp/>
        <stp>nse_cm|905LTF27-NF</stp>
        <stp>Isin code</stp>
        <tr r="R393" s="1"/>
      </tp>
      <tp>
        <v>920</v>
        <stp/>
        <stp>bse_cm|1010EFS29</stp>
        <stp>High</stp>
        <tr r="N726" s="1"/>
      </tp>
      <tp>
        <v>1000</v>
        <stp/>
        <stp>bse_cm|1050KLM27</stp>
        <stp>High</stp>
        <tr r="N609" s="1"/>
      </tp>
      <tp>
        <v>1050</v>
        <stp/>
        <stp>bse_cm|1050IML25</stp>
        <stp>High</stp>
        <tr r="N499" s="1"/>
      </tp>
      <tp t="s">
        <v>INE549K07CQ6</v>
        <stp/>
        <stp>bse_cm|890MFL26A</stp>
        <stp>Isin code</stp>
        <tr r="R698" s="1"/>
      </tp>
      <tp>
        <v>1050</v>
        <stp/>
        <stp>nse_cm|ABFL26-N1</stp>
        <stp>High</stp>
        <tr r="N1679" s="1"/>
      </tp>
      <tp t="s">
        <v>810TCHFL27-ND</v>
        <stp/>
        <stp>nse_cm|810TCHFL27-ND</stp>
        <stp>Trading Symbol</stp>
        <tr r="B1016" s="1"/>
      </tp>
      <tp t="s">
        <v>INE05F407CR0</v>
        <stp/>
        <stp>bse_cm|MML11924C</stp>
        <stp>Isin code</stp>
        <tr r="R1623" s="1"/>
      </tp>
      <tp t="s">
        <v>INE148I07QC1</v>
        <stp/>
        <stp>bse_cm|888SCL25D</stp>
        <stp>Isin code</stp>
        <tr r="R788" s="1"/>
      </tp>
      <tp>
        <v>1191</v>
        <stp/>
        <stp>nse_cm|CAGL24-N2</stp>
        <stp>High</stp>
        <tr r="N1762" s="1"/>
      </tp>
      <tp>
        <v>1030</v>
        <stp/>
        <stp>nse_cm|ABFL28-N3</stp>
        <stp>High</stp>
        <tr r="N1063" s="1"/>
      </tp>
      <tp>
        <v>995</v>
        <stp/>
        <stp>bse_cm|1150IML28</stp>
        <stp>High</stp>
        <tr r="N92" s="1"/>
      </tp>
      <tp t="s">
        <v>MFLZC26D</v>
        <stp/>
        <stp>bse_cm|MFLZC26D</stp>
        <stp>Trading Symbol</stp>
        <tr r="B1440" s="1"/>
      </tp>
      <tp t="s">
        <v>MFLZC26E</v>
        <stp/>
        <stp>bse_cm|MFLZC26E</stp>
        <stp>Trading Symbol</stp>
        <tr r="B1651" s="1"/>
      </tp>
      <tp t="s">
        <v>MFLZC26B</v>
        <stp/>
        <stp>bse_cm|MFLZC26B</stp>
        <stp>Trading Symbol</stp>
        <tr r="B1272" s="1"/>
      </tp>
      <tp t="s">
        <v>MFLZC26C</v>
        <stp/>
        <stp>bse_cm|MFLZC26C</stp>
        <stp>Trading Symbol</stp>
        <tr r="B1350" s="1"/>
      </tp>
      <tp t="s">
        <v>MFLZC26A</v>
        <stp/>
        <stp>bse_cm|MFLZC26A</stp>
        <stp>Trading Symbol</stp>
        <tr r="B1715" s="1"/>
      </tp>
      <tp t="s">
        <v>MFLZC27F</v>
        <stp/>
        <stp>bse_cm|MFLZC27F</stp>
        <stp>Trading Symbol</stp>
        <tr r="B1566" s="1"/>
      </tp>
      <tp t="s">
        <v>MFLZC27D</v>
        <stp/>
        <stp>bse_cm|MFLZC27D</stp>
        <stp>Trading Symbol</stp>
        <tr r="B1700" s="1"/>
      </tp>
      <tp t="s">
        <v>MFLZC27E</v>
        <stp/>
        <stp>bse_cm|MFLZC27E</stp>
        <stp>Trading Symbol</stp>
        <tr r="B1677" s="1"/>
      </tp>
      <tp t="s">
        <v>MFLZC27B</v>
        <stp/>
        <stp>bse_cm|MFLZC27B</stp>
        <stp>Trading Symbol</stp>
        <tr r="B1697" s="1"/>
      </tp>
      <tp t="s">
        <v>MFLZC27C</v>
        <stp/>
        <stp>bse_cm|MFLZC27C</stp>
        <stp>Trading Symbol</stp>
        <tr r="B1411" s="1"/>
      </tp>
      <tp t="s">
        <v>MFLZC27A</v>
        <stp/>
        <stp>bse_cm|MFLZC27A</stp>
        <stp>Trading Symbol</stp>
        <tr r="B1270" s="1"/>
      </tp>
      <tp t="s">
        <v>MFLZC24D</v>
        <stp/>
        <stp>bse_cm|MFLZC24D</stp>
        <stp>Trading Symbol</stp>
        <tr r="B1550" s="1"/>
      </tp>
      <tp t="s">
        <v>MFLZC24C</v>
        <stp/>
        <stp>bse_cm|MFLZC24C</stp>
        <stp>Trading Symbol</stp>
        <tr r="B1551" s="1"/>
      </tp>
      <tp t="s">
        <v>MFLZC25D</v>
        <stp/>
        <stp>bse_cm|MFLZC25D</stp>
        <stp>Trading Symbol</stp>
        <tr r="B1520" s="1"/>
      </tp>
      <tp t="s">
        <v>MFLZC25B</v>
        <stp/>
        <stp>bse_cm|MFLZC25B</stp>
        <stp>Trading Symbol</stp>
        <tr r="B1273" s="1"/>
      </tp>
      <tp t="s">
        <v>MFLZC25C</v>
        <stp/>
        <stp>bse_cm|MFLZC25C</stp>
        <stp>Trading Symbol</stp>
        <tr r="B1579" s="1"/>
      </tp>
      <tp t="s">
        <v>MFLZC25A</v>
        <stp/>
        <stp>bse_cm|MFLZC25A</stp>
        <stp>Trading Symbol</stp>
        <tr r="B1757" s="1"/>
      </tp>
      <tp t="s">
        <v>MFLZC28F</v>
        <stp/>
        <stp>bse_cm|MFLZC28F</stp>
        <stp>Trading Symbol</stp>
        <tr r="B1268" s="1"/>
      </tp>
      <tp t="s">
        <v>MFLZC28E</v>
        <stp/>
        <stp>bse_cm|MFLZC28E</stp>
        <stp>Trading Symbol</stp>
        <tr r="B1269" s="1"/>
      </tp>
      <tp t="s">
        <v>MFLZC29A</v>
        <stp/>
        <stp>bse_cm|MFLZC29A</stp>
        <stp>Trading Symbol</stp>
        <tr r="B1554" s="1"/>
      </tp>
      <tp>
        <v>1000</v>
        <stp/>
        <stp>bse_cm|1250IFL29</stp>
        <stp>High</stp>
        <tr r="N1215" s="1"/>
      </tp>
      <tp>
        <v>1010</v>
        <stp/>
        <stp>bse_cm|1150IML29</stp>
        <stp>High</stp>
        <tr r="N601" s="1"/>
      </tp>
      <tp t="s">
        <v>875PCHFL31-N9</v>
        <stp/>
        <stp>nse_cm|875PCHFL31-N9</stp>
        <stp>Trading Symbol</stp>
        <tr r="B1012" s="1"/>
      </tp>
      <tp>
        <v>1014.9</v>
        <stp/>
        <stp>bse_cm|9PCHFL31A</stp>
        <stp>Ask Rate</stp>
        <tr r="F301" s="1"/>
      </tp>
      <tp t="s">
        <v>1048IIFL27-N6</v>
        <stp/>
        <stp>nse_cm|1048IIFL27-N6</stp>
        <stp>Trading Symbol</stp>
        <tr r="B997" s="1"/>
      </tp>
      <tp>
        <v>975</v>
        <stp/>
        <stp>bse_cm|1050CCI25</stp>
        <stp>High</stp>
        <tr r="N173" s="1"/>
      </tp>
      <tp>
        <v>0</v>
        <stp/>
        <stp>bse_cm|KAF080824</stp>
        <stp>High</stp>
        <tr r="N1322" s="1"/>
      </tp>
      <tp t="s">
        <v>SCL24A</v>
        <stp/>
        <stp>nse_cm|SCL24A-ZS</stp>
        <stp>Symbol</stp>
        <tr r="A1751" s="1"/>
      </tp>
      <tp t="s">
        <v>SCL25A</v>
        <stp/>
        <stp>nse_cm|SCL25A-BH</stp>
        <stp>Symbol</stp>
        <tr r="A1237" s="1"/>
      </tp>
      <tp>
        <v>1000</v>
        <stp/>
        <stp>bse_cm|1050MML28</stp>
        <stp>High</stp>
        <tr r="N1159" s="1"/>
      </tp>
      <tp>
        <v>1004.9</v>
        <stp/>
        <stp>bse_cm|975MFL24B</stp>
        <stp>Ask Rate</stp>
        <tr r="F415" s="1"/>
      </tp>
      <tp>
        <v>1070</v>
        <stp/>
        <stp>bse_cm|1150MML29</stp>
        <stp>High</stp>
        <tr r="N248" s="1"/>
      </tp>
      <tp>
        <v>815.2</v>
        <stp/>
        <stp>bse_cm|1080MML29</stp>
        <stp>High</stp>
        <tr r="N72" s="1"/>
      </tp>
      <tp>
        <v>1050</v>
        <stp/>
        <stp>bse_cm|11DLSL25A</stp>
        <stp>Ask Rate</stp>
        <tr r="F300" s="1"/>
      </tp>
      <tp t="s">
        <v>BSE</v>
        <stp/>
        <stp>bse_cm|875KFL26A</stp>
        <stp>Exchange</stp>
        <tr r="C1155" s="1"/>
      </tp>
      <tp t="s">
        <v>BSE</v>
        <stp/>
        <stp>bse_cm|925KFL26A</stp>
        <stp>Exchange</stp>
        <tr r="C1479" s="1"/>
      </tp>
      <tp>
        <v>991</v>
        <stp/>
        <stp>bse_cm|1050VCL25</stp>
        <stp>High</stp>
        <tr r="N656" s="1"/>
      </tp>
      <tp t="s">
        <v>INE721A07PK7</v>
        <stp/>
        <stp>nse_cm|875SFL27-ZF</stp>
        <stp>Isin code</stp>
        <tr r="R379" s="1"/>
      </tp>
      <tp t="s">
        <v>INE721A07PJ9</v>
        <stp/>
        <stp>nse_cm|866SFL25-ZE</stp>
        <stp>Isin code</stp>
        <tr r="R1389" s="1"/>
      </tp>
      <tp t="s">
        <v>MMFLZC27D</v>
        <stp/>
        <stp>bse_cm|MMFLZC27D</stp>
        <stp>Symbol</stp>
        <tr r="A1406" s="1"/>
      </tp>
      <tp t="s">
        <v>MMFLZC27C</v>
        <stp/>
        <stp>bse_cm|MMFLZC27C</stp>
        <stp>Symbol</stp>
        <tr r="A1463" s="1"/>
      </tp>
      <tp t="s">
        <v>MMFLZC27B</v>
        <stp/>
        <stp>bse_cm|MMFLZC27B</stp>
        <stp>Symbol</stp>
        <tr r="A1570" s="1"/>
      </tp>
      <tp t="s">
        <v>MMFLZC27A</v>
        <stp/>
        <stp>bse_cm|MMFLZC27A</stp>
        <stp>Symbol</stp>
        <tr r="A1260" s="1"/>
      </tp>
      <tp t="s">
        <v>MMFLZC24D</v>
        <stp/>
        <stp>bse_cm|MMFLZC24D</stp>
        <stp>Symbol</stp>
        <tr r="A1265" s="1"/>
      </tp>
      <tp t="s">
        <v>MMFLZC25D</v>
        <stp/>
        <stp>bse_cm|MMFLZC25D</stp>
        <stp>Symbol</stp>
        <tr r="A1262" s="1"/>
      </tp>
      <tp t="s">
        <v>MMFLZC25C</v>
        <stp/>
        <stp>bse_cm|MMFLZC25C</stp>
        <stp>Symbol</stp>
        <tr r="A1263" s="1"/>
      </tp>
      <tp t="s">
        <v>MMFLZC25B</v>
        <stp/>
        <stp>bse_cm|MMFLZC25B</stp>
        <stp>Symbol</stp>
        <tr r="A1581" s="1"/>
      </tp>
      <tp t="s">
        <v>MMFLZC25A</v>
        <stp/>
        <stp>bse_cm|MMFLZC25A</stp>
        <stp>Symbol</stp>
        <tr r="A1264" s="1"/>
      </tp>
      <tp t="s">
        <v>MMFLZC28B</v>
        <stp/>
        <stp>bse_cm|MMFLZC28B</stp>
        <stp>Symbol</stp>
        <tr r="A1535" s="1"/>
      </tp>
      <tp t="s">
        <v>MMFLZC28A</v>
        <stp/>
        <stp>bse_cm|MMFLZC28A</stp>
        <stp>Symbol</stp>
        <tr r="A1348" s="1"/>
      </tp>
      <tp>
        <v>999.9</v>
        <stp/>
        <stp>bse_cm|1050UCL25</stp>
        <stp>High</stp>
        <tr r="N417" s="1"/>
      </tp>
      <tp>
        <v>990.01</v>
        <stp/>
        <stp>bse_cm|1040UCL25</stp>
        <stp>High</stp>
        <tr r="N1612" s="1"/>
      </tp>
      <tp>
        <v>1020</v>
        <stp/>
        <stp>bse_cm|1050SFL26</stp>
        <stp>High</stp>
        <tr r="N890" s="1"/>
      </tp>
      <tp>
        <v>1010</v>
        <stp/>
        <stp>nse_cm|91MOFSL27-N2</stp>
        <stp>Bid Rate</stp>
        <tr r="E1611" s="1"/>
      </tp>
      <tp>
        <v>0</v>
        <stp/>
        <stp>bse_cm|890ICCL23A</stp>
        <stp>Open</stp>
        <tr r="M1486" s="1"/>
      </tp>
      <tp>
        <v>990.11</v>
        <stp/>
        <stp>bse_cm|95CCIL24A</stp>
        <stp>Prev Close</stp>
        <tr r="P873" s="1"/>
      </tp>
      <tp>
        <v>0</v>
        <stp/>
        <stp>nse_cm|985IIFL22-NC</stp>
        <stp>Open</stp>
        <tr r="M114" s="1"/>
      </tp>
      <tp>
        <v>0</v>
        <stp/>
        <stp>bse_cm|96EFSL27</stp>
        <stp>Ask Qty</stp>
        <tr r="G1050" s="1"/>
      </tp>
      <tp>
        <v>0</v>
        <stp/>
        <stp>bse_cm|96EFSL26</stp>
        <stp>Ask Qty</stp>
        <tr r="G1465" s="1"/>
      </tp>
      <tp>
        <v>1000</v>
        <stp/>
        <stp>bse_cm|NIDO25</stp>
        <stp>Face Value</stp>
        <tr r="Q1726" s="1"/>
      </tp>
      <tp>
        <v>1000</v>
        <stp/>
        <stp>bse_cm|NIDO27</stp>
        <stp>Face Value</stp>
        <tr r="Q1661" s="1"/>
      </tp>
      <tp>
        <v>1000</v>
        <stp/>
        <stp>bse_cm|NIDO26</stp>
        <stp>Face Value</stp>
        <tr r="Q1244" s="1"/>
      </tp>
      <tp>
        <v>1000</v>
        <stp/>
        <stp>bse_cm|NIDO28</stp>
        <stp>Face Value</stp>
        <tr r="Q1243" s="1"/>
      </tp>
      <tp>
        <v>1055</v>
        <stp/>
        <stp>nse_cm|97MOFSL34-N7</stp>
        <stp>Bid Rate</stp>
        <tr r="E1599" s="1"/>
      </tp>
      <tp>
        <v>0</v>
        <stp/>
        <stp>nse_cm|875IHFL29-ND</stp>
        <stp>Open</stp>
        <tr r="M77" s="1"/>
      </tp>
      <tp>
        <v>1012.8</v>
        <stp/>
        <stp>nse_cm|93MOFSL34-N6</stp>
        <stp>Bid Rate</stp>
        <tr r="E299" s="1"/>
      </tp>
      <tp t="s">
        <v>NSE</v>
        <stp/>
        <stp>nse_cm|87SCL25-ZV</stp>
        <stp>Exchange</stp>
        <tr r="C979" s="1"/>
      </tp>
      <tp t="s">
        <v>BSE</v>
        <stp/>
        <stp>bse_cm|0NHFL29</stp>
        <stp>Exchange</stp>
        <tr r="C1035" s="1"/>
      </tp>
      <tp>
        <v>0</v>
        <stp/>
        <stp>bse_cm|95NIDO26</stp>
        <stp>Ask Qty</stp>
        <tr r="G670" s="1"/>
      </tp>
      <tp>
        <v>1000</v>
        <stp/>
        <stp>nse_cm|9PEL25-N0</stp>
        <stp>Face Value</stp>
        <tr r="Q341" s="1"/>
      </tp>
      <tp t="s">
        <v>BSE</v>
        <stp/>
        <stp>bse_cm|0NHFL27</stp>
        <stp>Exchange</stp>
        <tr r="C1036" s="1"/>
      </tp>
      <tp>
        <v>0</v>
        <stp/>
        <stp>bse_cm|MFCL16924C</stp>
        <stp>Open</stp>
        <tr r="M660" s="1"/>
      </tp>
      <tp>
        <v>0</v>
        <stp/>
        <stp>bse_cm|1075SCL33B</stp>
        <stp>High</stp>
        <tr r="N706" s="1"/>
      </tp>
      <tp>
        <v>1061.02</v>
        <stp/>
        <stp>nse_cm|85LTF26-NM</stp>
        <stp>Bid Rate</stp>
        <tr r="E365" s="1"/>
      </tp>
      <tp t="s">
        <v>BSE</v>
        <stp/>
        <stp>bse_cm|0NHFL26</stp>
        <stp>Exchange</stp>
        <tr r="C1037" s="1"/>
      </tp>
      <tp>
        <v>0</v>
        <stp/>
        <stp>bse_cm|MFCL16924B</stp>
        <stp>Open</stp>
        <tr r="M1284" s="1"/>
      </tp>
      <tp>
        <v>0</v>
        <stp/>
        <stp>bse_cm|950MFCL27D</stp>
        <stp>Open</stp>
        <tr r="M1496" s="1"/>
      </tp>
      <tp>
        <v>0</v>
        <stp/>
        <stp>bse_cm|KFL070824D</stp>
        <stp>Open</stp>
        <tr r="M1310" s="1"/>
      </tp>
      <tp>
        <v>0</v>
        <stp/>
        <stp>bse_cm|MFCL16924A</stp>
        <stp>Open</stp>
        <tr r="M1285" s="1"/>
      </tp>
      <tp>
        <v>1000</v>
        <stp/>
        <stp>nse_cm|IIFLZC28B-Y1</stp>
        <stp>ATP</stp>
        <tr r="K1491" s="1"/>
      </tp>
      <tp>
        <v>0</v>
        <stp/>
        <stp>bse_cm|1025SCL33A</stp>
        <stp>High</stp>
        <tr r="N835" s="1"/>
      </tp>
      <tp>
        <v>950</v>
        <stp/>
        <stp>bse_cm|1075SCL33A</stp>
        <stp>High</stp>
        <tr r="N629" s="1"/>
      </tp>
      <tp>
        <v>0</v>
        <stp/>
        <stp>nse_cm|875IIFL26-NM</stp>
        <stp>Open</stp>
        <tr r="M640" s="1"/>
      </tp>
      <tp>
        <v>0</v>
        <stp/>
        <stp>bse_cm|875MFCL26C</stp>
        <stp>Open</stp>
        <tr r="M309" s="1"/>
      </tp>
      <tp>
        <v>0</v>
        <stp/>
        <stp>bse_cm|KFL070824A</stp>
        <stp>Open</stp>
        <tr r="M1313" s="1"/>
      </tp>
      <tp>
        <v>0</v>
        <stp/>
        <stp>bse_cm|EFS290424A</stp>
        <stp>Open</stp>
        <tr r="M571" s="1"/>
      </tp>
      <tp>
        <v>1065.1199999999999</v>
        <stp/>
        <stp>nse_cm|86LTF24-NJ</stp>
        <stp>Bid Rate</stp>
        <tr r="E7" s="1"/>
      </tp>
      <tp>
        <v>1110</v>
        <stp/>
        <stp>nse_cm|985ICCL28-NO</stp>
        <stp>Open</stp>
        <tr r="M1605" s="1"/>
      </tp>
      <tp>
        <v>1000</v>
        <stp/>
        <stp>nse_cm|0SCL26-YR</stp>
        <stp>Face Value</stp>
        <tr r="Q1622" s="1"/>
      </tp>
      <tp>
        <v>0</v>
        <stp/>
        <stp>bse_cm|KFL070824C</stp>
        <stp>Open</stp>
        <tr r="M1311" s="1"/>
      </tp>
      <tp>
        <v>0</v>
        <stp/>
        <stp>nse_cm|1050NFL26-N7</stp>
        <stp>Open</stp>
        <tr r="M259" s="1"/>
      </tp>
      <tp>
        <v>990</v>
        <stp/>
        <stp>nse_cm|1050UCL25-N7</stp>
        <stp>Open</stp>
        <tr r="M201" s="1"/>
      </tp>
      <tp>
        <v>100</v>
        <stp/>
        <stp>bse_cm|96IIFL28</stp>
        <stp>Ask Qty</stp>
        <tr r="G118" s="1"/>
      </tp>
      <tp>
        <v>0</v>
        <stp/>
        <stp>bse_cm|866ICCL23A</stp>
        <stp>Open</stp>
        <tr r="M1075" s="1"/>
      </tp>
      <tp>
        <v>0</v>
        <stp/>
        <stp>bse_cm|KFL070824B</stp>
        <stp>Open</stp>
        <tr r="M1312" s="1"/>
      </tp>
      <tp>
        <v>1021.01</v>
        <stp/>
        <stp>nse_cm|87LTF27-NH</stp>
        <stp>Bid Rate</stp>
        <tr r="E407" s="1"/>
      </tp>
      <tp>
        <v>920</v>
        <stp/>
        <stp>nse_cm|865IIFL28-NS</stp>
        <stp>Open</stp>
        <tr r="M74" s="1"/>
      </tp>
      <tp t="s">
        <v>NSE</v>
        <stp/>
        <stp>nse_cm|89SCL24-ZO</stp>
        <stp>Exchange</stp>
        <tr r="C972" s="1"/>
      </tp>
      <tp>
        <v>800</v>
        <stp/>
        <stp>nse_cm|925SCL28C-BS</stp>
        <stp>Face Value</stp>
        <tr r="Q823" s="1"/>
      </tp>
      <tp>
        <v>1000</v>
        <stp/>
        <stp>nse_cm|925SCL25C-AR</stp>
        <stp>Face Value</stp>
        <tr r="Q249" s="1"/>
      </tp>
      <tp>
        <v>1000</v>
        <stp/>
        <stp>nse_cm|925SCL26C-ZA</stp>
        <stp>Face Value</stp>
        <tr r="Q724" s="1"/>
      </tp>
      <tp>
        <v>1000</v>
        <stp/>
        <stp>nse_cm|835SCL23B-YM</stp>
        <stp>Face Value</stp>
        <tr r="Q179" s="1"/>
      </tp>
      <tp>
        <v>667</v>
        <stp/>
        <stp>nse_cm|940SCL26C-AU</stp>
        <stp>Face Value</stp>
        <tr r="Q793" s="1"/>
      </tp>
      <tp>
        <v>0</v>
        <stp/>
        <stp>nse_cm|SCLZC26F-Y9</stp>
        <stp>% Change</stp>
        <tr r="J800" s="1"/>
      </tp>
      <tp>
        <v>170</v>
        <stp/>
        <stp>bse_cm|85IIFL25</stp>
        <stp>Bid Qty</stp>
        <tr r="D134" s="1"/>
      </tp>
      <tp>
        <v>800</v>
        <stp/>
        <stp>nse_cm|965SCL28C-BR</stp>
        <stp>Face Value</stp>
        <tr r="Q817" s="1"/>
      </tp>
      <tp>
        <v>800</v>
        <stp/>
        <stp>nse_cm|965SCL25C-N0</stp>
        <stp>Face Value</stp>
        <tr r="Q507" s="1"/>
      </tp>
      <tp>
        <v>1000</v>
        <stp/>
        <stp>nse_cm|865SCL24B-Z8</stp>
        <stp>Face Value</stp>
        <tr r="Q952" s="1"/>
      </tp>
      <tp>
        <v>10</v>
        <stp/>
        <stp>bse_cm|95KAFL25</stp>
        <stp>Bid Qty</stp>
        <tr r="D40" s="1"/>
      </tp>
      <tp>
        <v>800</v>
        <stp/>
        <stp>nse_cm|971SCL28C-BU</stp>
        <stp>Face Value</stp>
        <tr r="Q826" s="1"/>
      </tp>
      <tp>
        <v>857.14</v>
        <stp/>
        <stp>nse_cm|980SCL33C-ND</stp>
        <stp>Face Value</stp>
        <tr r="Q1385" s="1"/>
      </tp>
      <tp>
        <v>1000</v>
        <stp/>
        <stp>nse_cm|888SCL25B-Y2</stp>
        <stp>Face Value</stp>
        <tr r="Q789" s="1"/>
      </tp>
      <tp>
        <v>20</v>
        <stp/>
        <stp>nse_cm|SCL310524A-ZK</stp>
        <stp>Bid Qty</stp>
        <tr r="D1445" s="1"/>
      </tp>
      <tp>
        <v>1191</v>
        <stp/>
        <stp>nse_cm|CAGL24-N2</stp>
        <stp>Prev Close</stp>
        <tr r="P1762" s="1"/>
      </tp>
      <tp>
        <v>-100</v>
        <stp/>
        <stp>nse_cm|SCLZC25E-Y4</stp>
        <stp>% Change</stp>
        <tr r="J787" s="1"/>
      </tp>
      <tp t="s">
        <v>NSE</v>
        <stp/>
        <stp>nse_cm|88SCL25-ZG</stp>
        <stp>Exchange</stp>
        <tr r="C960" s="1"/>
      </tp>
      <tp>
        <v>1078</v>
        <stp/>
        <stp>nse_cm|9SFL25A-ZH</stp>
        <stp>High</stp>
        <tr r="N463" s="1"/>
      </tp>
      <tp>
        <v>0</v>
        <stp/>
        <stp>bse_cm|920EFSL27A</stp>
        <stp>Open</stp>
        <tr r="M685" s="1"/>
      </tp>
      <tp>
        <v>0</v>
        <stp/>
        <stp>nse_cm|SCLZC25F-Y5</stp>
        <stp>% Change</stp>
        <tr r="J1512" s="1"/>
      </tp>
      <tp>
        <v>0</v>
        <stp/>
        <stp>nse_cm|IIFLZC25B-NW</stp>
        <stp>ATP</stp>
        <tr r="K1684" s="1"/>
      </tp>
      <tp>
        <v>0</v>
        <stp/>
        <stp>nse_cm|IIFLZC25A-NP</stp>
        <stp>ATP</stp>
        <tr r="K1578" s="1"/>
      </tp>
      <tp>
        <v>1327.67</v>
        <stp/>
        <stp>nse_cm|IIFLZC26A-NR</stp>
        <stp>ATP</stp>
        <tr r="K1680" s="1"/>
      </tp>
      <tp>
        <v>0</v>
        <stp/>
        <stp>nse_cm|IIFLZC26B-NY</stp>
        <stp>ATP</stp>
        <tr r="K1629" s="1"/>
      </tp>
      <tp>
        <v>0</v>
        <stp/>
        <stp>nse_cm|IIFLZC28A-NU</stp>
        <stp>ATP</stp>
        <tr r="K1624" s="1"/>
      </tp>
      <tp>
        <v>0</v>
        <stp/>
        <stp>nse_cm|CIFCZC28A-N5</stp>
        <stp>ATP</stp>
        <tr r="K1559" s="1"/>
      </tp>
      <tp>
        <v>0</v>
        <stp/>
        <stp>nse_cm|CIFCZC25A-N1</stp>
        <stp>ATP</stp>
        <tr r="K1730" s="1"/>
      </tp>
      <tp>
        <v>0</v>
        <stp/>
        <stp>nse_cm|CIFCZC26A-N3</stp>
        <stp>ATP</stp>
        <tr r="K1565" s="1"/>
      </tp>
      <tp>
        <v>1209</v>
        <stp/>
        <stp>nse_cm|IIFLZC28C-N6</stp>
        <stp>ATP</stp>
        <tr r="K1656" s="1"/>
      </tp>
      <tp>
        <v>0</v>
        <stp/>
        <stp>nse_cm|IIFLZC25C-N8</stp>
        <stp>ATP</stp>
        <tr r="K1748" s="1"/>
      </tp>
      <tp>
        <v>0</v>
        <stp/>
        <stp>bse_cm|1025SFL25A</stp>
        <stp xml:space="preserve">Low </stp>
        <tr r="O1070" s="1"/>
      </tp>
      <tp>
        <v>1055.5</v>
        <stp/>
        <stp>nse_cm|910TCAP28-NA</stp>
        <stp>High</stp>
        <tr r="N411" s="1"/>
      </tp>
      <tp>
        <v>20</v>
        <stp/>
        <stp>bse_cm|95CCIL25</stp>
        <stp>Bid Qty</stp>
        <tr r="D37" s="1"/>
      </tp>
      <tp>
        <v>0</v>
        <stp/>
        <stp>bse_cm|87SCL27</stp>
        <stp xml:space="preserve">Low </stp>
        <tr r="O978" s="1"/>
      </tp>
      <tp>
        <v>1031</v>
        <stp/>
        <stp>bse_cm|97SFL26</stp>
        <stp xml:space="preserve">Low </stp>
        <tr r="O405" s="1"/>
      </tp>
      <tp>
        <v>820</v>
        <stp/>
        <stp>bse_cm|11CCI26</stp>
        <stp>High</stp>
        <tr r="N1220" s="1"/>
      </tp>
      <tp>
        <v>975</v>
        <stp/>
        <stp>bse_cm|11CCL26</stp>
        <stp>High</stp>
        <tr r="N1219" s="1"/>
      </tp>
      <tp>
        <v>985</v>
        <stp/>
        <stp>bse_cm|81MFL28</stp>
        <stp>High</stp>
        <tr r="N314" s="1"/>
      </tp>
      <tp>
        <v>866</v>
        <stp/>
        <stp>bse_cm|11MML28</stp>
        <stp>High</stp>
        <tr r="N1131" s="1"/>
      </tp>
      <tp>
        <v>0</v>
        <stp/>
        <stp>bse_cm|87SCL25</stp>
        <stp xml:space="preserve">Low </stp>
        <tr r="O958" s="1"/>
      </tp>
      <tp>
        <v>960</v>
        <stp/>
        <stp>bse_cm|10EFS33</stp>
        <stp>High</stp>
        <tr r="N112" s="1"/>
      </tp>
      <tp t="s">
        <v>CIFC26A</v>
        <stp/>
        <stp>bse_cm|CIFC26A</stp>
        <stp>Trading Symbol</stp>
        <tr r="B740" s="1"/>
      </tp>
      <tp t="s">
        <v>NSE</v>
        <stp/>
        <stp>nse_cm|87SCL27-Z6</stp>
        <stp>Exchange</stp>
        <tr r="C950" s="1"/>
      </tp>
      <tp t="s">
        <v>87SCL27</v>
        <stp/>
        <stp>bse_cm|87SCL27</stp>
        <stp>Trading Symbol</stp>
        <tr r="B978" s="1"/>
      </tp>
      <tp t="s">
        <v>87SCL25</v>
        <stp/>
        <stp>bse_cm|87SCL25</stp>
        <stp>Trading Symbol</stp>
        <tr r="B958" s="1"/>
      </tp>
      <tp t="s">
        <v>89SCL24</v>
        <stp/>
        <stp>bse_cm|89SCL24</stp>
        <stp>Trading Symbol</stp>
        <tr r="B1153" s="1"/>
      </tp>
      <tp t="s">
        <v>88SCL25</v>
        <stp/>
        <stp>bse_cm|88SCL25</stp>
        <stp>Trading Symbol</stp>
        <tr r="B987" s="1"/>
      </tp>
      <tp t="s">
        <v>9MFCL26</v>
        <stp/>
        <stp>bse_cm|9MFCL26</stp>
        <stp>Trading Symbol</stp>
        <tr r="B156" s="1"/>
      </tp>
      <tp t="s">
        <v>94SCL27</v>
        <stp/>
        <stp>bse_cm|94SCL27</stp>
        <stp>Trading Symbol</stp>
        <tr r="B1152" s="1"/>
      </tp>
      <tp t="s">
        <v>96SCL25</v>
        <stp/>
        <stp>bse_cm|96SCL25</stp>
        <stp>Trading Symbol</stp>
        <tr r="B1068" s="1"/>
      </tp>
      <tp t="s">
        <v>93SCL25</v>
        <stp/>
        <stp>bse_cm|93SCL25</stp>
        <stp>Trading Symbol</stp>
        <tr r="B729" s="1"/>
      </tp>
      <tp t="s">
        <v>93SCL24</v>
        <stp/>
        <stp>bse_cm|93SCL24</stp>
        <stp>Trading Symbol</stp>
        <tr r="B945" s="1"/>
      </tp>
      <tp t="s">
        <v>99SCL27</v>
        <stp/>
        <stp>bse_cm|99SCL27</stp>
        <stp>Trading Symbol</stp>
        <tr r="B1169" s="1"/>
      </tp>
      <tp t="s">
        <v>98SCL34</v>
        <stp/>
        <stp>bse_cm|98SCL34</stp>
        <stp>Trading Symbol</stp>
        <tr r="B1053" s="1"/>
      </tp>
      <tp t="s">
        <v>98SCL27</v>
        <stp/>
        <stp>bse_cm|98SCL27</stp>
        <stp>Trading Symbol</stp>
        <tr r="B1545" s="1"/>
      </tp>
      <tp>
        <v>0</v>
        <stp/>
        <stp>nse_cm|735PFCL35-N1</stp>
        <stp>Open</stp>
        <tr r="M26" s="1"/>
      </tp>
      <tp>
        <v>2584</v>
        <stp/>
        <stp>bse_cm|728IREDA26</stp>
        <stp xml:space="preserve">Low </stp>
        <tr r="O1203" s="1"/>
      </tp>
      <tp>
        <v>990</v>
        <stp/>
        <stp>bse_cm|11IFL25</stp>
        <stp>High</stp>
        <tr r="N1421" s="1"/>
      </tp>
      <tp>
        <v>12</v>
        <stp/>
        <stp>bse_cm|955SCL25</stp>
        <stp>Bid Qty</stp>
        <tr r="D1128" s="1"/>
      </tp>
      <tp>
        <v>10</v>
        <stp/>
        <stp>bse_cm|955SCL27</stp>
        <stp>Bid Qty</stp>
        <tr r="D621" s="1"/>
      </tp>
      <tp t="s">
        <v>7PFCL31</v>
        <stp/>
        <stp>bse_cm|7PFCL31</stp>
        <stp>Trading Symbol</stp>
        <tr r="B425" s="1"/>
      </tp>
      <tp>
        <v>0</v>
        <stp/>
        <stp>bse_cm|MFOPTVI24</stp>
        <stp>ATP</stp>
        <tr r="K1547" s="1"/>
      </tp>
      <tp>
        <v>20</v>
        <stp/>
        <stp>bse_cm|957SCL31</stp>
        <stp>Bid Qty</stp>
        <tr r="D1108" s="1"/>
      </tp>
      <tp>
        <v>0</v>
        <stp/>
        <stp>bse_cm|957SCL30</stp>
        <stp>Bid Qty</stp>
        <tr r="D1110" s="1"/>
      </tp>
      <tp>
        <v>119</v>
        <stp/>
        <stp>bse_cm|956AEL29</stp>
        <stp>Bid Qty</stp>
        <tr r="D311" s="1"/>
      </tp>
      <tp>
        <v>980</v>
        <stp/>
        <stp>bse_cm|11IML27</stp>
        <stp>High</stp>
        <tr r="N177" s="1"/>
      </tp>
      <tp t="s">
        <v>11CCI26</v>
        <stp/>
        <stp>bse_cm|11CCI26</stp>
        <stp>Trading Symbol</stp>
        <tr r="B1220" s="1"/>
      </tp>
      <tp t="s">
        <v>12CCI29</v>
        <stp/>
        <stp>bse_cm|12CCI29</stp>
        <stp>Trading Symbol</stp>
        <tr r="B91" s="1"/>
      </tp>
      <tp>
        <v>40</v>
        <stp/>
        <stp>bse_cm|957VCL25</stp>
        <stp>Bid Qty</stp>
        <tr r="D53" s="1"/>
      </tp>
      <tp>
        <v>14</v>
        <stp/>
        <stp>bse_cm|857SCL24</stp>
        <stp>Bid Qty</stp>
        <tr r="D1002" s="1"/>
      </tp>
      <tp>
        <v>875</v>
        <stp/>
        <stp>bse_cm|11IML26</stp>
        <stp>High</stp>
        <tr r="N1132" s="1"/>
      </tp>
      <tp>
        <v>0</v>
        <stp/>
        <stp>bse_cm|9MFL25A</stp>
        <stp>Ask Rate</stp>
        <tr r="F702" s="1"/>
      </tp>
      <tp>
        <v>20</v>
        <stp/>
        <stp>bse_cm|850SCL25</stp>
        <stp>Bid Qty</stp>
        <tr r="D923" s="1"/>
      </tp>
      <tp>
        <v>14</v>
        <stp/>
        <stp>bse_cm|950SFL27</stp>
        <stp>Bid Qty</stp>
        <tr r="D1144" s="1"/>
      </tp>
      <tp>
        <v>0</v>
        <stp/>
        <stp>nse_cm|1050SCL30-NU</stp>
        <stp>Open</stp>
        <tr r="M893" s="1"/>
      </tp>
      <tp>
        <v>100</v>
        <stp/>
        <stp>bse_cm|850MFL29</stp>
        <stp>Bid Qty</stp>
        <tr r="D356" s="1"/>
      </tp>
      <tp>
        <v>20</v>
        <stp/>
        <stp>bse_cm|850MFL28</stp>
        <stp>Bid Qty</stp>
        <tr r="D236" s="1"/>
      </tp>
      <tp>
        <v>190</v>
        <stp/>
        <stp>bse_cm|750MFL27</stp>
        <stp>Bid Qty</stp>
        <tr r="D274" s="1"/>
      </tp>
      <tp>
        <v>20</v>
        <stp/>
        <stp>bse_cm|950MFL27</stp>
        <stp>Bid Qty</stp>
        <tr r="D1147" s="1"/>
      </tp>
      <tp>
        <v>170</v>
        <stp/>
        <stp>bse_cm|850MFL27</stp>
        <stp>Bid Qty</stp>
        <tr r="D265" s="1"/>
      </tp>
      <tp>
        <v>15</v>
        <stp/>
        <stp>bse_cm|950MML24</stp>
        <stp>Bid Qty</stp>
        <tr r="D304" s="1"/>
      </tp>
      <tp>
        <v>180</v>
        <stp/>
        <stp>bse_cm|850MFL24</stp>
        <stp>Bid Qty</stp>
        <tr r="D1100" s="1"/>
      </tp>
      <tp>
        <v>18</v>
        <stp/>
        <stp>bse_cm|950KFL27</stp>
        <stp>Bid Qty</stp>
        <tr r="D143" s="1"/>
      </tp>
      <tp>
        <v>0</v>
        <stp/>
        <stp>nse_cm|SCLZC26G-YA</stp>
        <stp>% Change</stp>
        <tr r="J815" s="1"/>
      </tp>
      <tp>
        <v>0</v>
        <stp/>
        <stp>nse_cm|866ICCL23A-NY</stp>
        <stp>Ask Qty</stp>
        <tr r="G759" s="1"/>
      </tp>
      <tp>
        <v>0</v>
        <stp/>
        <stp>nse_cm|966ICCL25A-NI</stp>
        <stp>Ask Qty</stp>
        <tr r="G1461" s="1"/>
      </tp>
      <tp>
        <v>0</v>
        <stp/>
        <stp>bse_cm|894SCL25A</stp>
        <stp>ATP</stp>
        <tr r="K1235" s="1"/>
      </tp>
      <tp>
        <v>1099</v>
        <stp/>
        <stp>bse_cm|97SFL29</stp>
        <stp xml:space="preserve">Low </stp>
        <tr r="O21" s="1"/>
      </tp>
      <tp>
        <v>1065.01</v>
        <stp/>
        <stp>bse_cm|753IREDA26</stp>
        <stp xml:space="preserve">Low </stp>
        <tr r="O487" s="1"/>
      </tp>
      <tp>
        <v>1102</v>
        <stp/>
        <stp>bse_cm|97SFL28</stp>
        <stp xml:space="preserve">Low </stp>
        <tr r="O23" s="1"/>
      </tp>
      <tp t="s">
        <v>11CCL26</v>
        <stp/>
        <stp>bse_cm|11CCL26</stp>
        <stp>Trading Symbol</stp>
        <tr r="B1219" s="1"/>
      </tp>
      <tp t="s">
        <v>10SCL31</v>
        <stp/>
        <stp>bse_cm|10SCL31</stp>
        <stp>Trading Symbol</stp>
        <tr r="B1085" s="1"/>
      </tp>
      <tp t="s">
        <v>11UCL26</v>
        <stp/>
        <stp>bse_cm|11UCL26</stp>
        <stp>Trading Symbol</stp>
        <tr r="B323" s="1"/>
      </tp>
      <tp t="s">
        <v>10VCL25</v>
        <stp/>
        <stp>bse_cm|10VCL25</stp>
        <stp>Trading Symbol</stp>
        <tr r="B1646" s="1"/>
      </tp>
      <tp>
        <v>20</v>
        <stp/>
        <stp>bse_cm|866SFL25</stp>
        <stp>Ask Qty</stp>
        <tr r="G1652" s="1"/>
      </tp>
      <tp>
        <v>0</v>
        <stp/>
        <stp>bse_cm|866SCL25</stp>
        <stp>Ask Qty</stp>
        <tr r="G603" s="1"/>
      </tp>
      <tp>
        <v>1028.2</v>
        <stp/>
        <stp>bse_cm|91SFL27</stp>
        <stp>High</stp>
        <tr r="N574" s="1"/>
      </tp>
      <tp>
        <v>0</v>
        <stp/>
        <stp>nse_cm|925CAGL26-N9</stp>
        <stp>Open</stp>
        <tr r="M639" s="1"/>
      </tp>
      <tp t="s">
        <v>BSE</v>
        <stp/>
        <stp>bse_cm|NIDO25A</stp>
        <stp>Exchange</stp>
        <tr r="C1245" s="1"/>
      </tp>
      <tp>
        <v>0</v>
        <stp/>
        <stp>bse_cm|1075KAFL28</stp>
        <stp>Open</stp>
        <tr r="M1118" s="1"/>
      </tp>
      <tp>
        <v>0</v>
        <stp/>
        <stp>bse_cm|1050KAFL28</stp>
        <stp>Open</stp>
        <tr r="M610" s="1"/>
      </tp>
      <tp>
        <v>984.91</v>
        <stp/>
        <stp>bse_cm|950SCL23A</stp>
        <stp>Prev Close</stp>
        <tr r="P1146" s="1"/>
      </tp>
      <tp>
        <v>931</v>
        <stp/>
        <stp>bse_cm|850SCL25A</stp>
        <stp>Prev Close</stp>
        <tr r="P1387" s="1"/>
      </tp>
      <tp>
        <v>1029.8</v>
        <stp/>
        <stp>bse_cm|950MFL27A</stp>
        <stp>Prev Close</stp>
        <tr r="P241" s="1"/>
      </tp>
      <tp>
        <v>1061.7</v>
        <stp/>
        <stp>bse_cm|850MFL27A</stp>
        <stp>Prev Close</stp>
        <tr r="P355" s="1"/>
      </tp>
      <tp>
        <v>0</v>
        <stp/>
        <stp>bse_cm|791JMFPL26</stp>
        <stp>Open</stp>
        <tr r="M276" s="1"/>
      </tp>
      <tp>
        <v>0</v>
        <stp/>
        <stp>bse_cm|965SCL28</stp>
        <stp>Ask Qty</stp>
        <tr r="G1138" s="1"/>
      </tp>
      <tp>
        <v>0</v>
        <stp/>
        <stp>bse_cm|965SCL29</stp>
        <stp>Ask Qty</stp>
        <tr r="G816" s="1"/>
      </tp>
      <tp>
        <v>0</v>
        <stp/>
        <stp>bse_cm|865SCL26</stp>
        <stp>Ask Qty</stp>
        <tr r="G627" s="1"/>
      </tp>
      <tp>
        <v>0</v>
        <stp/>
        <stp>bse_cm|965SCL26</stp>
        <stp>Ask Qty</stp>
        <tr r="G665" s="1"/>
      </tp>
      <tp>
        <v>0</v>
        <stp/>
        <stp>bse_cm|865SCL24</stp>
        <stp>Ask Qty</stp>
        <tr r="G1165" s="1"/>
      </tp>
      <tp>
        <v>0</v>
        <stp/>
        <stp>bse_cm|965SCL25</stp>
        <stp>Ask Qty</stp>
        <tr r="G1105" s="1"/>
      </tp>
      <tp>
        <v>0</v>
        <stp/>
        <stp>nse_cm|850NHAI29-N5</stp>
        <stp>Open</stp>
        <tr r="M512" s="1"/>
      </tp>
      <tp>
        <v>0</v>
        <stp/>
        <stp>bse_cm|965VCL25</stp>
        <stp>Ask Qty</stp>
        <tr r="G1543" s="1"/>
      </tp>
      <tp>
        <v>0</v>
        <stp/>
        <stp>bse_cm|975KLM25</stp>
        <stp>Ask Qty</stp>
        <tr r="G858" s="1"/>
      </tp>
      <tp>
        <v>0</v>
        <stp/>
        <stp>bse_cm|965MML25</stp>
        <stp>Ask Qty</stp>
        <tr r="G1107" s="1"/>
      </tp>
      <tp>
        <v>100</v>
        <stp/>
        <stp>bse_cm|965AEL27</stp>
        <stp>Ask Qty</stp>
        <tr r="G370" s="1"/>
      </tp>
      <tp>
        <v>100</v>
        <stp/>
        <stp>bse_cm|865IFL28</stp>
        <stp>Ask Qty</stp>
        <tr r="G115" s="1"/>
      </tp>
      <tp>
        <v>0</v>
        <stp/>
        <stp>bse_cm|1075KAFL29</stp>
        <stp>Open</stp>
        <tr r="M125" s="1"/>
      </tp>
      <tp>
        <v>0</v>
        <stp/>
        <stp>bse_cm|790MMFSL27</stp>
        <stp>Open</stp>
        <tr r="M1189" s="1"/>
      </tp>
      <tp>
        <v>0</v>
        <stp/>
        <stp>nse_cm|945IFSL25-N4</stp>
        <stp>Open</stp>
        <tr r="M453" s="1"/>
      </tp>
      <tp>
        <v>0</v>
        <stp/>
        <stp>bse_cm|77IGT28</stp>
        <stp xml:space="preserve">Low </stp>
        <tr r="O1191" s="1"/>
      </tp>
      <tp>
        <v>0</v>
        <stp/>
        <stp>bse_cm|875PCHFL31</stp>
        <stp>Open</stp>
        <tr r="M1172" s="1"/>
      </tp>
      <tp>
        <v>0</v>
        <stp/>
        <stp>nse_cm|825IIFL25-N7</stp>
        <stp>Open</stp>
        <tr r="M49" s="1"/>
      </tp>
      <tp>
        <v>1085</v>
        <stp/>
        <stp>nse_cm|105IIFL29-N7</stp>
        <stp>Open</stp>
        <tr r="M270" s="1"/>
      </tp>
      <tp>
        <v>50</v>
        <stp/>
        <stp>bse_cm|760MFL25</stp>
        <stp>Ask Qty</stp>
        <tr r="G482" s="1"/>
      </tp>
      <tp>
        <v>0</v>
        <stp/>
        <stp>bse_cm|10SCL31</stp>
        <stp>High</stp>
        <tr r="N1085" s="1"/>
      </tp>
      <tp>
        <v>0</v>
        <stp/>
        <stp>nse_cm|965IFSL26-N6</stp>
        <stp>Open</stp>
        <tr r="M1346" s="1"/>
      </tp>
      <tp>
        <v>25</v>
        <stp/>
        <stp>nse_cm|875IIFL26A-NQ</stp>
        <stp>Bid Qty</stp>
        <tr r="D634" s="1"/>
      </tp>
      <tp>
        <v>0</v>
        <stp/>
        <stp>nse_cm|965ICCL25I-NQ</stp>
        <stp>Bid Qty</stp>
        <tr r="D696" s="1"/>
      </tp>
      <tp>
        <v>5</v>
        <stp/>
        <stp>nse_cm|925ICCL25I-NP</stp>
        <stp>Bid Qty</stp>
        <tr r="D777" s="1"/>
      </tp>
      <tp>
        <v>1</v>
        <stp/>
        <stp>nse_cm|955ICCL25A-NH</stp>
        <stp>Bid Qty</stp>
        <tr r="D486" s="1"/>
      </tp>
      <tp>
        <v>9</v>
        <stp/>
        <stp>nse_cm|925ICCL24A-NE</stp>
        <stp>Bid Qty</stp>
        <tr r="D1393" s="1"/>
      </tp>
      <tp>
        <v>2</v>
        <stp/>
        <stp>nse_cm|925IHFL25D-N6</stp>
        <stp>Bid Qty</stp>
        <tr r="D575" s="1"/>
      </tp>
      <tp>
        <v>12</v>
        <stp/>
        <stp>nse_cm|965IHFL25D-N7</stp>
        <stp>Bid Qty</stp>
        <tr r="D1469" s="1"/>
      </tp>
      <tp>
        <v>5</v>
        <stp/>
        <stp>nse_cm|925IHFL25E-N8</stp>
        <stp>Bid Qty</stp>
        <tr r="D561" s="1"/>
      </tp>
      <tp>
        <v>0</v>
        <stp/>
        <stp>bse_cm|104ECL29A</stp>
        <stp>ATP</stp>
        <tr r="K79" s="1"/>
      </tp>
      <tp>
        <v>872</v>
        <stp/>
        <stp>bse_cm|955SCL27A</stp>
        <stp>Prev Close</stp>
        <tr r="P948" s="1"/>
      </tp>
      <tp>
        <v>1069.9000000000001</v>
        <stp/>
        <stp>bse_cm|11UCL26</stp>
        <stp>High</stp>
        <tr r="N323" s="1"/>
      </tp>
      <tp>
        <v>0</v>
        <stp/>
        <stp>nse_cm|945CAGL24-N1</stp>
        <stp>Open</stp>
        <tr r="M1704" s="1"/>
      </tp>
      <tp>
        <v>1162</v>
        <stp/>
        <stp>bse_cm|769HUDCO31</stp>
        <stp>High</stp>
        <tr r="N15" s="1"/>
      </tp>
      <tp>
        <v>1145.01</v>
        <stp/>
        <stp>bse_cm|764HUDCO31</stp>
        <stp>High</stp>
        <tr r="N16" s="1"/>
      </tp>
      <tp>
        <v>0</v>
        <stp/>
        <stp>nse_cm|805ABFL28-N2</stp>
        <stp>Open</stp>
        <tr r="M477" s="1"/>
      </tp>
      <tp>
        <v>0</v>
        <stp/>
        <stp>nse_cm|925ERFL28-N6</stp>
        <stp>Open</stp>
        <tr r="M165" s="1"/>
      </tp>
      <tp>
        <v>0</v>
        <stp/>
        <stp>bse_cm|1003SCFL31</stp>
        <stp>High</stp>
        <tr r="N1076" s="1"/>
      </tp>
      <tp>
        <v>0</v>
        <stp/>
        <stp>bse_cm|1050SCFL31</stp>
        <stp>High</stp>
        <tr r="N1123" s="1"/>
      </tp>
      <tp>
        <v>0</v>
        <stp/>
        <stp>bse_cm|1125KAFL27</stp>
        <stp>Open</stp>
        <tr r="M1228" s="1"/>
      </tp>
      <tp>
        <v>0</v>
        <stp/>
        <stp>bse_cm|1050KAFL27</stp>
        <stp>Open</stp>
        <tr r="M1160" s="1"/>
      </tp>
      <tp>
        <v>0</v>
        <stp/>
        <stp>bse_cm|1025KAFL27</stp>
        <stp>Open</stp>
        <tr r="M769" s="1"/>
      </tp>
      <tp>
        <v>0</v>
        <stp/>
        <stp>bse_cm|944MFL28A</stp>
        <stp>ATP</stp>
        <tr r="K1073" s="1"/>
      </tp>
      <tp>
        <v>0</v>
        <stp/>
        <stp>bse_cm|1025SCFL34</stp>
        <stp>High</stp>
        <tr r="N1025" s="1"/>
      </tp>
      <tp>
        <v>959.8</v>
        <stp/>
        <stp>bse_cm|1075SCFL34</stp>
        <stp>High</stp>
        <tr r="N1020" s="1"/>
      </tp>
      <tp>
        <v>1026.95</v>
        <stp/>
        <stp>bse_cm|87LTF27</stp>
        <stp xml:space="preserve">Low </stp>
        <tr r="O412" s="1"/>
      </tp>
      <tp>
        <v>0</v>
        <stp/>
        <stp>bse_cm|1050KLMA28</stp>
        <stp>Open</stp>
        <tr r="M611" s="1"/>
      </tp>
      <tp>
        <v>0</v>
        <stp/>
        <stp>bse_cm|1075KLMA28</stp>
        <stp>Open</stp>
        <tr r="M1116" s="1"/>
      </tp>
      <tp>
        <v>1135</v>
        <stp/>
        <stp>bse_cm|739HUDCO31</stp>
        <stp>High</stp>
        <tr r="N569" s="1"/>
      </tp>
      <tp>
        <v>0</v>
        <stp/>
        <stp>bse_cm|1050KAFL25</stp>
        <stp>Open</stp>
        <tr r="M1161" s="1"/>
      </tp>
      <tp>
        <v>0</v>
        <stp/>
        <stp>bse_cm|1025KAFL25</stp>
        <stp>Open</stp>
        <tr r="M770" s="1"/>
      </tp>
      <tp>
        <v>1170.55</v>
        <stp/>
        <stp>bse_cm|IIFLZC25A</stp>
        <stp>Ask Rate</stp>
        <tr r="F1737" s="1"/>
      </tp>
      <tp t="s">
        <v>BSE</v>
        <stp/>
        <stp>bse_cm|91MOFSL27</stp>
        <stp>Exchange</stp>
        <tr r="C1558" s="1"/>
      </tp>
      <tp>
        <v>0</v>
        <stp/>
        <stp>bse_cm|MMFLZC25D</stp>
        <stp>Ask Rate</stp>
        <tr r="F1262" s="1"/>
      </tp>
      <tp>
        <v>0</v>
        <stp/>
        <stp>bse_cm|948IFSL25B</stp>
        <stp>Ask Qty</stp>
        <tr r="G599" s="1"/>
      </tp>
      <tp>
        <v>1232.8</v>
        <stp/>
        <stp>bse_cm|IIFLZC25C</stp>
        <stp>Ask Rate</stp>
        <tr r="F1750" s="1"/>
      </tp>
      <tp>
        <v>1115</v>
        <stp/>
        <stp>nse_cm|ICCL25-NS</stp>
        <stp>High</stp>
        <tr r="N1401" s="1"/>
      </tp>
      <tp>
        <v>1085</v>
        <stp/>
        <stp>bse_cm|IIFLZC25B</stp>
        <stp>Ask Rate</stp>
        <tr r="F1685" s="1"/>
      </tp>
      <tp>
        <v>0</v>
        <stp/>
        <stp>bse_cm|890ICCL23A</stp>
        <stp>Ask Qty</stp>
        <tr r="G1486" s="1"/>
      </tp>
      <tp>
        <v>0</v>
        <stp/>
        <stp>bse_cm|866ICCL23A</stp>
        <stp>Ask Qty</stp>
        <tr r="G1075" s="1"/>
      </tp>
      <tp>
        <v>0</v>
        <stp/>
        <stp>bse_cm|MMFLZC25A</stp>
        <stp>Ask Rate</stp>
        <tr r="F1264" s="1"/>
      </tp>
      <tp>
        <v>0</v>
        <stp/>
        <stp>bse_cm|965ICCL25I</stp>
        <stp>Ask Qty</stp>
        <tr r="G1430" s="1"/>
      </tp>
      <tp>
        <v>0</v>
        <stp/>
        <stp>bse_cm|925ICCL25I</stp>
        <stp>Ask Qty</stp>
        <tr r="G782" s="1"/>
      </tp>
      <tp>
        <v>0</v>
        <stp/>
        <stp>bse_cm|966ICCL25A</stp>
        <stp>Ask Qty</stp>
        <tr r="G846" s="1"/>
      </tp>
      <tp>
        <v>0</v>
        <stp/>
        <stp>bse_cm|948ICCL25A</stp>
        <stp>Ask Qty</stp>
        <tr r="G1398" s="1"/>
      </tp>
      <tp>
        <v>0</v>
        <stp/>
        <stp>bse_cm|955ICCL25A</stp>
        <stp>Ask Qty</stp>
        <tr r="G1143" s="1"/>
      </tp>
      <tp>
        <v>0</v>
        <stp/>
        <stp>bse_cm|925ICCL24A</stp>
        <stp>Ask Qty</stp>
        <tr r="G1072" s="1"/>
      </tp>
      <tp>
        <v>0</v>
        <stp/>
        <stp>bse_cm|913ICCL24A</stp>
        <stp>Ask Qty</stp>
        <tr r="G1162" s="1"/>
      </tp>
      <tp>
        <v>0</v>
        <stp/>
        <stp>bse_cm|MMFLZC25C</stp>
        <stp>Ask Rate</stp>
        <tr r="F1263" s="1"/>
      </tp>
      <tp t="s">
        <v>BSE</v>
        <stp/>
        <stp>bse_cm|735NHAI31</stp>
        <stp>Exchange</stp>
        <tr r="C565" s="1"/>
      </tp>
      <tp t="s">
        <v>BSE</v>
        <stp/>
        <stp>bse_cm|769NHAI31</stp>
        <stp>Exchange</stp>
        <tr r="C465" s="1"/>
      </tp>
      <tp>
        <v>0</v>
        <stp/>
        <stp>bse_cm|875KFL2025</stp>
        <stp>Ask Qty</stp>
        <tr r="G1158" s="1"/>
      </tp>
      <tp>
        <v>0</v>
        <stp/>
        <stp>bse_cm|MMFLZC25B</stp>
        <stp>Ask Rate</stp>
        <tr r="F1581" s="1"/>
      </tp>
      <tp>
        <v>0</v>
        <stp/>
        <stp>bse_cm|984ICCL26A</stp>
        <stp>Ask Qty</stp>
        <tr r="G883" s="1"/>
      </tp>
      <tp>
        <v>-100</v>
        <stp/>
        <stp>nse_cm|1003SCFL31-Z4</stp>
        <stp>% Change</stp>
        <tr r="J878" s="1"/>
      </tp>
      <tp>
        <v>0</v>
        <stp/>
        <stp>bse_cm|CCILZC25A</stp>
        <stp>Ask Rate</stp>
        <tr r="F749" s="1"/>
      </tp>
      <tp t="s">
        <v>BSE</v>
        <stp/>
        <stp>bse_cm|970NIDO32</stp>
        <stp>Exchange</stp>
        <tr r="C67" s="1"/>
      </tp>
      <tp t="s">
        <v>BSE</v>
        <stp/>
        <stp>bse_cm|930NIDO32</stp>
        <stp>Exchange</stp>
        <tr r="C76" s="1"/>
      </tp>
      <tp>
        <v>1291.83</v>
        <stp/>
        <stp>nse_cm|DLSL25-NW</stp>
        <stp>High</stp>
        <tr r="N1745" s="1"/>
      </tp>
      <tp>
        <v>0</v>
        <stp/>
        <stp>bse_cm|EFSLZC25A</stp>
        <stp>Ask Rate</stp>
        <tr r="F1333" s="1"/>
      </tp>
      <tp>
        <v>25</v>
        <stp/>
        <stp>bse_cm|875IIFL26A</stp>
        <stp>Ask Qty</stp>
        <tr r="G232" s="1"/>
      </tp>
      <tp>
        <v>1000</v>
        <stp/>
        <stp>nse_cm|920PEL28-N2</stp>
        <stp>Face Value</stp>
        <tr r="Q373" s="1"/>
      </tp>
      <tp>
        <v>0</v>
        <stp/>
        <stp>nse_cm|845LTF24-NI</stp>
        <stp>Prev Close</stp>
        <tr r="P942" s="1"/>
      </tp>
      <tp>
        <v>1000</v>
        <stp/>
        <stp>nse_cm|829LTF24-NL</stp>
        <stp>Prev Close</stp>
        <tr r="P3" s="1"/>
      </tp>
      <tp>
        <v>1000</v>
        <stp/>
        <stp>nse_cm|815LTF24-NK</stp>
        <stp>Prev Close</stp>
        <tr r="P1693" s="1"/>
      </tp>
      <tp>
        <v>15</v>
        <stp/>
        <stp>bse_cm|EFSL260724</stp>
        <stp>Ask Qty</stp>
        <tr r="G586" s="1"/>
      </tp>
      <tp>
        <v>0</v>
        <stp/>
        <stp>bse_cm|888IHFL25C</stp>
        <stp>Ask Qty</stp>
        <tr r="G1058" s="1"/>
      </tp>
      <tp>
        <v>0</v>
        <stp/>
        <stp>bse_cm|888IHFL25F</stp>
        <stp>Ask Qty</stp>
        <tr r="G693" s="1"/>
      </tp>
      <tp>
        <v>0</v>
        <stp/>
        <stp>bse_cm|965IHFL25D</stp>
        <stp>Ask Qty</stp>
        <tr r="G1432" s="1"/>
      </tp>
      <tp>
        <v>48</v>
        <stp/>
        <stp>bse_cm|925IHFL25D</stp>
        <stp>Ask Qty</stp>
        <tr r="G1671" s="1"/>
      </tp>
      <tp>
        <v>18</v>
        <stp/>
        <stp>bse_cm|925IHFL25E</stp>
        <stp>Ask Qty</stp>
        <tr r="G398" s="1"/>
      </tp>
      <tp>
        <v>1015.99</v>
        <stp/>
        <stp>nse_cm|797IGT31-NL</stp>
        <stp>Prev Close</stp>
        <tr r="P374" s="1"/>
      </tp>
      <tp>
        <v>1000</v>
        <stp/>
        <stp>nse_cm|795IGT31-NI</stp>
        <stp>Prev Close</stp>
        <tr r="P1185" s="1"/>
      </tp>
      <tp>
        <v>1000</v>
        <stp/>
        <stp>nse_cm|772IGT31-NK</stp>
        <stp>Prev Close</stp>
        <tr r="P1193" s="1"/>
      </tp>
      <tp>
        <v>1005</v>
        <stp/>
        <stp>bse_cm|950KLMF26</stp>
        <stp>Ask Rate</stp>
        <tr r="F278" s="1"/>
      </tp>
      <tp>
        <v>1071</v>
        <stp/>
        <stp>nse_cm|9PEL25-N0</stp>
        <stp>High</stp>
        <tr r="N341" s="1"/>
      </tp>
      <tp>
        <v>10</v>
        <stp/>
        <stp>bse_cm|EFSL290424</stp>
        <stp>Bid Qty</stp>
        <tr r="D1334" s="1"/>
      </tp>
      <tp>
        <v>1015</v>
        <stp/>
        <stp>bse_cm|755PFCL38</stp>
        <stp>Bid Rate</stp>
        <tr r="E434" s="1"/>
      </tp>
      <tp>
        <v>860.2</v>
        <stp/>
        <stp>bse_cm|750PFCL38</stp>
        <stp>Bid Rate</stp>
        <tr r="E1196" s="1"/>
      </tp>
      <tp t="s">
        <v>BSE</v>
        <stp/>
        <stp>bse_cm|953NWIL32</stp>
        <stp>Exchange</stp>
        <tr r="C226" s="1"/>
      </tp>
      <tp t="s">
        <v>BSE</v>
        <stp/>
        <stp>bse_cm|995NWIL32</stp>
        <stp>Exchange</stp>
        <tr r="C1023" s="1"/>
      </tp>
      <tp>
        <v>50</v>
        <stp/>
        <stp>bse_cm|1004EFSL29</stp>
        <stp>Bid Qty</stp>
        <tr r="D1586" s="1"/>
      </tp>
      <tp>
        <v>0</v>
        <stp/>
        <stp>bse_cm|925KFIL25</stp>
        <stp>Ask Rate</stp>
        <tr r="F776" s="1"/>
      </tp>
      <tp>
        <v>0</v>
        <stp/>
        <stp>nse_cm|CAGL27-NC</stp>
        <stp>High</stp>
        <tr r="N733" s="1"/>
      </tp>
      <tp>
        <v>1035</v>
        <stp/>
        <stp>bse_cm|715PFCL36</stp>
        <stp>Bid Rate</stp>
        <tr r="E437" s="1"/>
      </tp>
      <tp>
        <v>833</v>
        <stp/>
        <stp>nse_cm|CAGL26-NA</stp>
        <stp>High</stp>
        <tr r="N735" s="1"/>
      </tp>
      <tp>
        <v>849</v>
        <stp/>
        <stp>bse_cm|678PFCL36</stp>
        <stp>Bid Rate</stp>
        <tr r="E1207" s="1"/>
      </tp>
      <tp>
        <v>972.01</v>
        <stp/>
        <stp>bse_cm|697PFCL36</stp>
        <stp>Bid Rate</stp>
        <tr r="E431" s="1"/>
      </tp>
      <tp>
        <v>900</v>
        <stp/>
        <stp>bse_cm|695PFCL36</stp>
        <stp>Bid Rate</stp>
        <tr r="E430" s="1"/>
      </tp>
      <tp>
        <v>975</v>
        <stp/>
        <stp>bse_cm|950KFIL26</stp>
        <stp>Ask Rate</stp>
        <tr r="F602" s="1"/>
      </tp>
      <tp>
        <v>0</v>
        <stp/>
        <stp>bse_cm|975KAFL26</stp>
        <stp>Ask Rate</stp>
        <tr r="F859" s="1"/>
      </tp>
      <tp>
        <v>850</v>
        <stp/>
        <stp>bse_cm|658PFCL31</stp>
        <stp>Bid Rate</stp>
        <tr r="E1209" s="1"/>
      </tp>
      <tp>
        <v>849</v>
        <stp/>
        <stp>bse_cm|663PFCL31</stp>
        <stp>Bid Rate</stp>
        <tr r="E1208" s="1"/>
      </tp>
      <tp>
        <v>965.2</v>
        <stp/>
        <stp>bse_cm|683PFCL31</stp>
        <stp>Bid Rate</stp>
        <tr r="E449" s="1"/>
      </tp>
      <tp>
        <v>849</v>
        <stp/>
        <stp>bse_cm|682PFCL31</stp>
        <stp>Bid Rate</stp>
        <tr r="E433" s="1"/>
      </tp>
      <tp>
        <v>0</v>
        <stp/>
        <stp>bse_cm|985KAFL26</stp>
        <stp>Ask Rate</stp>
        <tr r="F1102" s="1"/>
      </tp>
      <tp>
        <v>1012</v>
        <stp/>
        <stp>nse_cm|956AEL29-N6</stp>
        <stp>Prev Close</stp>
        <tr r="P298" s="1"/>
      </tp>
      <tp>
        <v>0</v>
        <stp/>
        <stp>bse_cm|957JFPL30</stp>
        <stp>Ask Rate</stp>
        <tr r="F760" s="1"/>
      </tp>
      <tp>
        <v>1140.2</v>
        <stp/>
        <stp>bse_cm|MFLVII25G</stp>
        <stp>Bid Rate</stp>
        <tr r="E1729" s="1"/>
      </tp>
      <tp>
        <v>1050</v>
        <stp/>
        <stp>nse_cm|CAGL28-NE</stp>
        <stp>High</stp>
        <tr r="N756" s="1"/>
      </tp>
      <tp>
        <v>302.5</v>
        <stp/>
        <stp>nse_cm|79NHIT40-N2</stp>
        <stp>Prev Close</stp>
        <tr r="P1587" s="1"/>
      </tp>
      <tp>
        <v>0</v>
        <stp/>
        <stp>bse_cm|975KAFL25</stp>
        <stp>Ask Rate</stp>
        <tr r="F860" s="1"/>
      </tp>
      <tp>
        <v>855.2</v>
        <stp/>
        <stp>bse_cm|747PFCL33</stp>
        <stp>Bid Rate</stp>
        <tr r="E1199" s="1"/>
      </tp>
      <tp>
        <v>926.01</v>
        <stp/>
        <stp>bse_cm|753PFCL33</stp>
        <stp>Bid Rate</stp>
        <tr r="E426" s="1"/>
      </tp>
      <tp>
        <v>0</v>
        <stp/>
        <stp>bse_cm|935KAFL25</stp>
        <stp>Ask Rate</stp>
        <tr r="F785" s="1"/>
      </tp>
      <tp>
        <v>0</v>
        <stp/>
        <stp>nse_cm|92LTF29-N4</stp>
        <stp>Bid Qty</stp>
        <tr r="D1087" s="1"/>
      </tp>
      <tp>
        <v>3</v>
        <stp/>
        <stp>nse_cm|86LTF24-NJ</stp>
        <stp>Bid Qty</stp>
        <tr r="D7" s="1"/>
      </tp>
      <tp>
        <v>10</v>
        <stp/>
        <stp>nse_cm|87LTF27-NH</stp>
        <stp>Bid Qty</stp>
        <tr r="D407" s="1"/>
      </tp>
      <tp>
        <v>100</v>
        <stp/>
        <stp>nse_cm|85LTF26-NM</stp>
        <stp>Bid Qty</stp>
        <tr r="D365" s="1"/>
      </tp>
      <tp t="s">
        <v>INE549K07CP8</v>
        <stp/>
        <stp>bse_cm|905MFL28A</stp>
        <stp>Isin code</stp>
        <tr r="R224" s="1"/>
      </tp>
      <tp>
        <v>958.39</v>
        <stp/>
        <stp>bse_cm|IML160224</stp>
        <stp>High</stp>
        <tr r="N1329" s="1"/>
      </tp>
      <tp t="s">
        <v>INE244L07150</v>
        <stp/>
        <stp>bse_cm|931SFL26A</stp>
        <stp>Isin code</stp>
        <tr r="R1086" s="1"/>
      </tp>
      <tp>
        <v>0</v>
        <stp/>
        <stp>bse_cm|MML110924</stp>
        <stp>High</stp>
        <tr r="N1257" s="1"/>
      </tp>
      <tp t="s">
        <v>INE148I07TC5</v>
        <stp/>
        <stp>bse_cm|925SCL26D</stp>
        <stp>Isin code</stp>
        <tr r="R619" s="1"/>
      </tp>
      <tp t="s">
        <v>INE302E07730</v>
        <stp/>
        <stp>bse_cm|925SFL27A</stp>
        <stp>Isin code</stp>
        <tr r="R848" s="1"/>
      </tp>
      <tp t="s">
        <v>INE403Q07ES5</v>
        <stp/>
        <stp>bse_cm|925KFL26A</stp>
        <stp>Isin code</stp>
        <tr r="R1479" s="1"/>
      </tp>
      <tp t="s">
        <v>INE549K07CN3</v>
        <stp/>
        <stp>bse_cm|927MFL26A</stp>
        <stp>Isin code</stp>
        <tr r="R617" s="1"/>
      </tp>
      <tp t="s">
        <v>INE549K07DE0</v>
        <stp/>
        <stp>bse_cm|950MFL27A</stp>
        <stp>Isin code</stp>
        <tr r="R241" s="1"/>
      </tp>
      <tp t="s">
        <v>INE148I07NZ9</v>
        <stp/>
        <stp>bse_cm|948SCL26D</stp>
        <stp>Isin code</stp>
        <tr r="R1081" s="1"/>
      </tp>
      <tp t="s">
        <v>INE549K07CL7</v>
        <stp/>
        <stp>bse_cm|944MFL28A</stp>
        <stp>Isin code</stp>
        <tr r="R1073" s="1"/>
      </tp>
      <tp>
        <v>1400</v>
        <stp/>
        <stp>bse_cm|1071KFL25</stp>
        <stp>High</stp>
        <tr r="N1122" s="1"/>
      </tp>
      <tp t="s">
        <v>866NTPC33</v>
        <stp/>
        <stp>nse_cm|866NTPC33-N3</stp>
        <stp>Symbol</stp>
        <tr r="A555" s="1"/>
      </tp>
      <tp t="s">
        <v>INE549K07DF7</v>
        <stp/>
        <stp>bse_cm|975MFL29A</stp>
        <stp>Isin code</stp>
        <tr r="R854" s="1"/>
      </tp>
      <tp>
        <v>1545</v>
        <stp/>
        <stp>bse_cm|1041KFL26</stp>
        <stp>High</stp>
        <tr r="N1031" s="1"/>
      </tp>
      <tp t="s">
        <v>INE530B08102</v>
        <stp/>
        <stp>bse_cm|96IIFL28A</stp>
        <stp>Isin code</stp>
        <tr r="R88" s="1"/>
      </tp>
      <tp t="s">
        <v>BSE</v>
        <stp/>
        <stp>bse_cm|RFLNIFT25</stp>
        <stp>Exchange</stp>
        <tr r="C1242" s="1"/>
      </tp>
      <tp t="s">
        <v>INE148I07OB8</v>
        <stp/>
        <stp>bse_cm|990SCL26D</stp>
        <stp>Isin code</stp>
        <tr r="R1534" s="1"/>
      </tp>
      <tp t="s">
        <v>INE05F407CL3</v>
        <stp/>
        <stp>bse_cm|MML11924B</stp>
        <stp>Isin code</stp>
        <tr r="R1255" s="1"/>
      </tp>
      <tp t="s">
        <v>INE148I07PV3</v>
        <stp/>
        <stp>bse_cm|888SCL25E</stp>
        <stp>Isin code</stp>
        <tr r="R1356" s="1"/>
      </tp>
      <tp t="s">
        <v>INE148I07RP1</v>
        <stp/>
        <stp>bse_cm|980SCL33D</stp>
        <stp>Isin code</stp>
        <tr r="R1022" s="1"/>
      </tp>
      <tp t="s">
        <v>891NTPC33</v>
        <stp/>
        <stp>nse_cm|891NTPC33-N6</stp>
        <stp>Symbol</stp>
        <tr r="A535" s="1"/>
      </tp>
      <tp>
        <v>3</v>
        <stp/>
        <stp>bse_cm|975MFL24BB</stp>
        <stp>Bid Qty</stp>
        <tr r="D552" s="1"/>
      </tp>
      <tp>
        <v>960</v>
        <stp/>
        <stp>bse_cm|CCI110324</stp>
        <stp>High</stp>
        <tr r="N755" s="1"/>
      </tp>
      <tp>
        <v>979.8</v>
        <stp/>
        <stp>bse_cm|865MFL25A</stp>
        <stp>Ask Rate</stp>
        <tr r="F153" s="1"/>
      </tp>
      <tp>
        <v>0</v>
        <stp/>
        <stp>bse_cm|825MFL25A</stp>
        <stp>Ask Rate</stp>
        <tr r="F931" s="1"/>
      </tp>
      <tp>
        <v>0</v>
        <stp/>
        <stp>bse_cm|AEL120924</stp>
        <stp>High</stp>
        <tr r="N1062" s="1"/>
      </tp>
      <tp>
        <v>1015</v>
        <stp/>
        <stp>bse_cm|IFL190424</stp>
        <stp>High</stp>
        <tr r="N1663" s="1"/>
      </tp>
      <tp>
        <v>1286.2</v>
        <stp/>
        <stp>bse_cm|MFOPTVI24</stp>
        <stp>Bid Rate</stp>
        <tr r="E1547" s="1"/>
      </tp>
      <tp>
        <v>1045</v>
        <stp/>
        <stp>bse_cm|MFOPTIV24</stp>
        <stp>Bid Rate</stp>
        <tr r="E380" s="1"/>
      </tp>
      <tp t="s">
        <v>MFLVII25G</v>
        <stp/>
        <stp>bse_cm|MFLVII25G</stp>
        <stp>Symbol</stp>
        <tr r="A1729" s="1"/>
      </tp>
      <tp t="s">
        <v>MFLIII25C</v>
        <stp/>
        <stp>bse_cm|MFLIII25C</stp>
        <stp>Symbol</stp>
        <tr r="A213" s="1"/>
      </tp>
      <tp t="s">
        <v>BSE</v>
        <stp/>
        <stp>bse_cm|995ECL29A</stp>
        <stp>Exchange</stp>
        <tr r="C152" s="1"/>
      </tp>
      <tp>
        <v>1620</v>
        <stp/>
        <stp>nse_cm|IIFLZC25-ND</stp>
        <stp>Prev Close</stp>
        <tr r="P1742" s="1"/>
      </tp>
      <tp t="s">
        <v>960ISFL25</v>
        <stp/>
        <stp>nse_cm|960ISFL25-N1</stp>
        <stp>Symbol</stp>
        <tr r="A1695" s="1"/>
      </tp>
      <tp>
        <v>2499</v>
        <stp/>
        <stp>nse_cm|NIDOZC26-N7</stp>
        <stp>Prev Close</stp>
        <tr r="P28" s="1"/>
      </tp>
      <tp t="s">
        <v>921ISFL25</v>
        <stp/>
        <stp>nse_cm|921ISFL25-N0</stp>
        <stp>Symbol</stp>
        <tr r="A287" s="1"/>
      </tp>
      <tp>
        <v>0</v>
        <stp/>
        <stp>bse_cm|1050SCL30</stp>
        <stp>High</stp>
        <tr r="N867" s="1"/>
      </tp>
      <tp>
        <v>0</v>
        <stp/>
        <stp>bse_cm|1050SCL31</stp>
        <stp>High</stp>
        <tr r="N892" s="1"/>
      </tp>
      <tp t="s">
        <v>BSE</v>
        <stp/>
        <stp>bse_cm|104ECL29A</stp>
        <stp>Exchange</stp>
        <tr r="C79" s="1"/>
      </tp>
      <tp t="s">
        <v>875TCAPS29-NB</v>
        <stp/>
        <stp>nse_cm|875TCAPS29-NB</stp>
        <stp>Trading Symbol</stp>
        <tr r="B934" s="1"/>
      </tp>
      <tp t="s">
        <v>INE148I07OD4</v>
        <stp/>
        <stp>nse_cm|965SCL25-AG</stp>
        <stp>Isin code</stp>
        <tr r="R1577" s="1"/>
      </tp>
      <tp t="s">
        <v>INE020B07HT0</v>
        <stp/>
        <stp>nse_cm|862REC33-NA</stp>
        <stp>Isin code</stp>
        <tr r="R563" s="1"/>
      </tp>
      <tp t="s">
        <v>SCL22</v>
        <stp/>
        <stp>bse_cm|SCL22</stp>
        <stp>Trading Symbol</stp>
        <tr r="B1239" s="1"/>
      </tp>
      <tp t="s">
        <v>SCL25</v>
        <stp/>
        <stp>bse_cm|SCL25</stp>
        <stp>Trading Symbol</stp>
        <tr r="B1234" s="1"/>
      </tp>
      <tp t="s">
        <v>SCL24</v>
        <stp/>
        <stp>bse_cm|SCL24</stp>
        <stp>Trading Symbol</stp>
        <tr r="B1377" s="1"/>
      </tp>
      <tp>
        <v>1000</v>
        <stp/>
        <stp>bse_cm|9PEL25</stp>
        <stp>Face Value</stp>
        <tr r="Q315" s="1"/>
      </tp>
      <tp>
        <v>0</v>
        <stp/>
        <stp>bse_cm|ICLFLZC29</stp>
        <stp>Volume Traded Today</stp>
        <tr r="L1613" s="1"/>
      </tp>
      <tp>
        <v>0</v>
        <stp/>
        <stp>bse_cm|97EFSL31</stp>
        <stp>Ask Qty</stp>
        <tr r="G635" s="1"/>
      </tp>
      <tp>
        <v>963.5</v>
        <stp/>
        <stp>bse_cm|865MF25</stp>
        <stp xml:space="preserve">Low </stp>
        <tr r="O111" s="1"/>
      </tp>
      <tp t="s">
        <v>NSE</v>
        <stp/>
        <stp>nse_cm|98SCL27-ZX</stp>
        <stp>Exchange</stp>
        <tr r="C1378" s="1"/>
      </tp>
      <tp>
        <v>0</v>
        <stp/>
        <stp>nse_cm|CIF27-NM</stp>
        <stp>% Change</stp>
        <tr r="J1665" s="1"/>
      </tp>
      <tp>
        <v>0</v>
        <stp/>
        <stp>bse_cm|9ICCL23A</stp>
        <stp>Ask Qty</stp>
        <tr r="G1434" s="1"/>
      </tp>
      <tp>
        <v>5</v>
        <stp/>
        <stp>bse_cm|9IIFL28A</stp>
        <stp>Ask Qty</stp>
        <tr r="G218" s="1"/>
      </tp>
      <tp>
        <v>-100</v>
        <stp/>
        <stp>nse_cm|CIF29-NO</stp>
        <stp>% Change</stp>
        <tr r="J743" s="1"/>
      </tp>
      <tp>
        <v>965.25</v>
        <stp/>
        <stp>bse_cm|950KLMF26</stp>
        <stp>Prev Close</stp>
        <tr r="P278" s="1"/>
      </tp>
      <tp t="s">
        <v>NSE</v>
        <stp/>
        <stp>nse_cm|93SCL24-ZP</stp>
        <stp>Exchange</stp>
        <tr r="C1506" s="1"/>
      </tp>
      <tp>
        <v>0</v>
        <stp/>
        <stp>nse_cm|SCLZC25-YN</stp>
        <stp>Open</stp>
        <tr r="M1727" s="1"/>
      </tp>
      <tp>
        <v>0</v>
        <stp/>
        <stp>bse_cm|9KSFL27</stp>
        <stp>Ask Rate</stp>
        <tr r="F1418" s="1"/>
      </tp>
      <tp>
        <v>1000</v>
        <stp/>
        <stp>bse_cm|915NWIL25</stp>
        <stp>Prev Close</stp>
        <tr r="P620" s="1"/>
      </tp>
      <tp>
        <v>930</v>
        <stp/>
        <stp>bse_cm|115CCIL28</stp>
        <stp>Prev Close</stp>
        <tr r="P382" s="1"/>
      </tp>
      <tp>
        <v>965</v>
        <stp/>
        <stp>bse_cm|916NWIL27</stp>
        <stp>Prev Close</stp>
        <tr r="P209" s="1"/>
      </tp>
      <tp>
        <v>0</v>
        <stp/>
        <stp>bse_cm|IML23623</stp>
        <stp>Ask Qty</stp>
        <tr r="G1327" s="1"/>
      </tp>
      <tp>
        <v>0</v>
        <stp/>
        <stp>nse_cm|1040UCL25-N4</stp>
        <stp>Open</stp>
        <tr r="M669" s="1"/>
      </tp>
      <tp>
        <v>0</v>
        <stp/>
        <stp>nse_cm|957IIFLS27-NA</stp>
        <stp>Ask Qty</stp>
        <tr r="G1495" s="1"/>
      </tp>
      <tp>
        <v>0</v>
        <stp/>
        <stp>bse_cm|105MMFL25A</stp>
        <stp>Open</stp>
        <tr r="M1364" s="1"/>
      </tp>
      <tp>
        <v>1000</v>
        <stp/>
        <stp>bse_cm|MML27524A</stp>
        <stp>Prev Close</stp>
        <tr r="P1250" s="1"/>
      </tp>
      <tp t="s">
        <v>NSE</v>
        <stp/>
        <stp>nse_cm|98SCL34-ZS</stp>
        <stp>Exchange</stp>
        <tr r="C1052" s="1"/>
      </tp>
      <tp>
        <v>1000</v>
        <stp/>
        <stp>nse_cm|0SCL27-YW</stp>
        <stp>Face Value</stp>
        <tr r="Q1616" s="1"/>
      </tp>
      <tp>
        <v>0</v>
        <stp/>
        <stp>bse_cm|105MMFL25C</stp>
        <stp>Open</stp>
        <tr r="M480" s="1"/>
      </tp>
      <tp>
        <v>843</v>
        <stp/>
        <stp>bse_cm|SFL270224A</stp>
        <stp>High</stp>
        <tr r="N807" s="1"/>
      </tp>
      <tp>
        <v>0</v>
        <stp/>
        <stp>bse_cm|84CIFCL28</stp>
        <stp>Volume Traded Today</stp>
        <tr r="L387" s="1"/>
      </tp>
      <tp>
        <v>0</v>
        <stp/>
        <stp>bse_cm|105MMFL25B</stp>
        <stp>Open</stp>
        <tr r="M1390" s="1"/>
      </tp>
      <tp>
        <v>0</v>
        <stp/>
        <stp>nse_cm|1075SCL33B-NW</stp>
        <stp>Ask Qty</stp>
        <tr r="G889" s="1"/>
      </tp>
      <tp>
        <v>0</v>
        <stp/>
        <stp>nse_cm|1075SCL33A-N2</stp>
        <stp>Ask Qty</stp>
        <tr r="G630" s="1"/>
      </tp>
      <tp>
        <v>10</v>
        <stp/>
        <stp>bse_cm|MML27524</stp>
        <stp>Bid Qty</stp>
        <tr r="D1511" s="1"/>
      </tp>
      <tp>
        <v>175</v>
        <stp/>
        <stp>nse_cm|858HUDCO29-NC</stp>
        <stp>Ask Qty</stp>
        <tr r="G1636" s="1"/>
      </tp>
      <tp>
        <v>1000</v>
        <stp/>
        <stp>nse_cm|925SCL25B-Y3</stp>
        <stp>Face Value</stp>
        <tr r="Q600" s="1"/>
      </tp>
      <tp>
        <v>1000</v>
        <stp/>
        <stp>nse_cm|925SCL26B-YQ</stp>
        <stp>Face Value</stp>
        <tr r="Q90" s="1"/>
      </tp>
      <tp>
        <v>1000</v>
        <stp/>
        <stp>nse_cm|925SCL28B-YC</stp>
        <stp>Face Value</stp>
        <tr r="Q825" s="1"/>
      </tp>
      <tp>
        <v>1000</v>
        <stp/>
        <stp>nse_cm|948SCL26B-Y8</stp>
        <stp>Face Value</stp>
        <tr r="Q159" s="1"/>
      </tp>
      <tp>
        <v>1000</v>
        <stp/>
        <stp>nse_cm|940SCL26B-Y6</stp>
        <stp>Face Value</stp>
        <tr r="Q795" s="1"/>
      </tp>
      <tp>
        <v>1021</v>
        <stp/>
        <stp>bse_cm|7PFCL31</stp>
        <stp>Bid Rate</stp>
        <tr r="E425" s="1"/>
      </tp>
      <tp t="s">
        <v>NSE</v>
        <stp/>
        <stp>nse_cm|99SCL27-ZH</stp>
        <stp>Exchange</stp>
        <tr r="C1168" s="1"/>
      </tp>
      <tp>
        <v>1099</v>
        <stp/>
        <stp>bse_cm|905SC24</stp>
        <stp>High</stp>
        <tr r="N573" s="1"/>
      </tp>
      <tp>
        <v>1000</v>
        <stp/>
        <stp>nse_cm|965SCL25B-Y1</stp>
        <stp>Face Value</stp>
        <tr r="Q1502" s="1"/>
      </tp>
      <tp>
        <v>1000</v>
        <stp/>
        <stp>nse_cm|965SCL28B-YB</stp>
        <stp>Face Value</stp>
        <tr r="Q819" s="1"/>
      </tp>
      <tp t="s">
        <v>NSE</v>
        <stp/>
        <stp>nse_cm|94SCL27-ZG</stp>
        <stp>Exchange</stp>
        <tr r="C1151" s="1"/>
      </tp>
      <tp>
        <v>1000</v>
        <stp/>
        <stp>nse_cm|971SCL28B-YD</stp>
        <stp>Face Value</stp>
        <tr r="Q828" s="1"/>
      </tp>
      <tp>
        <v>0</v>
        <stp/>
        <stp>bse_cm|915EFSL26A</stp>
        <stp>Open</stp>
        <tr r="M187" s="1"/>
      </tp>
      <tp>
        <v>0</v>
        <stp/>
        <stp>bse_cm|920EFSL26B</stp>
        <stp>Open</stp>
        <tr r="M247" s="1"/>
      </tp>
      <tp>
        <v>1000</v>
        <stp/>
        <stp>nse_cm|980SCL33B-YL</stp>
        <stp>Face Value</stp>
        <tr r="Q837" s="1"/>
      </tp>
      <tp>
        <v>1000</v>
        <stp/>
        <stp>nse_cm|990SCL26B-Y7</stp>
        <stp>Face Value</stp>
        <tr r="Q798" s="1"/>
      </tp>
      <tp>
        <v>1065.52</v>
        <stp/>
        <stp>nse_cm|CAGL25-N8</stp>
        <stp>Prev Close</stp>
        <tr r="P710" s="1"/>
      </tp>
      <tp>
        <v>905.2</v>
        <stp/>
        <stp>bse_cm|1025SCL34A</stp>
        <stp xml:space="preserve">Low </stp>
        <tr r="O672" s="1"/>
      </tp>
      <tp>
        <v>0</v>
        <stp/>
        <stp>bse_cm|SCL310524A</stp>
        <stp xml:space="preserve">Low </stp>
        <tr r="O918" s="1"/>
      </tp>
      <tp>
        <v>1036</v>
        <stp/>
        <stp>nse_cm|ABFL26-N1</stp>
        <stp>Prev Close</stp>
        <tr r="P1679" s="1"/>
      </tp>
      <tp t="s">
        <v>NSE</v>
        <stp/>
        <stp>nse_cm|DLSL25A-Y4</stp>
        <stp>Exchange</stp>
        <tr r="C1732" s="1"/>
      </tp>
      <tp>
        <v>932.2</v>
        <stp/>
        <stp>bse_cm|920EFSL26A</stp>
        <stp>Open</stp>
        <tr r="M61" s="1"/>
      </tp>
      <tp t="s">
        <v>NSE</v>
        <stp/>
        <stp>nse_cm|91SFL27-ZI</stp>
        <stp>Exchange</stp>
        <tr r="C533" s="1"/>
      </tp>
      <tp>
        <v>0</v>
        <stp/>
        <stp>bse_cm|955EFSL26A</stp>
        <stp>Open</stp>
        <tr r="M214" s="1"/>
      </tp>
      <tp>
        <v>0</v>
        <stp/>
        <stp>bse_cm|960EFSL26C</stp>
        <stp>Open</stp>
        <tr r="M137" s="1"/>
      </tp>
      <tp t="s">
        <v>NSE</v>
        <stp/>
        <stp>nse_cm|93SCL25-ZH</stp>
        <stp>Exchange</stp>
        <tr r="C961" s="1"/>
      </tp>
      <tp>
        <v>0</v>
        <stp/>
        <stp>bse_cm|955EFSL26B</stp>
        <stp>Open</stp>
        <tr r="M666" s="1"/>
      </tp>
      <tp>
        <v>0</v>
        <stp/>
        <stp>bse_cm|925SCL28C</stp>
        <stp>ATP</stp>
        <tr r="K824" s="1"/>
      </tp>
      <tp>
        <v>0</v>
        <stp/>
        <stp>bse_cm|965SCL28C</stp>
        <stp>ATP</stp>
        <tr r="K818" s="1"/>
      </tp>
      <tp>
        <v>0</v>
        <stp/>
        <stp>bse_cm|925SCL28B</stp>
        <stp>ATP</stp>
        <tr r="K894" s="1"/>
      </tp>
      <tp>
        <v>0</v>
        <stp/>
        <stp>bse_cm|965SCL28B</stp>
        <stp>ATP</stp>
        <tr r="K896" s="1"/>
      </tp>
      <tp>
        <v>0</v>
        <stp/>
        <stp>bse_cm|925SCL28A</stp>
        <stp>ATP</stp>
        <tr r="K938" s="1"/>
      </tp>
      <tp>
        <v>0</v>
        <stp/>
        <stp>bse_cm|965SCL28A</stp>
        <stp>ATP</stp>
        <tr r="K1136" s="1"/>
      </tp>
      <tp>
        <v>0</v>
        <stp/>
        <stp>bse_cm|925SCL28I</stp>
        <stp>ATP</stp>
        <tr r="K822" s="1"/>
      </tp>
      <tp>
        <v>0</v>
        <stp/>
        <stp>bse_cm|925SCL29A</stp>
        <stp>ATP</stp>
        <tr r="K268" s="1"/>
      </tp>
      <tp>
        <v>0</v>
        <stp/>
        <stp>bse_cm|96SCL25</stp>
        <stp xml:space="preserve">Low </stp>
        <tr r="O1068" s="1"/>
      </tp>
      <tp>
        <v>12</v>
        <stp/>
        <stp>bse_cm|948SCL27</stp>
        <stp>Bid Qty</stp>
        <tr r="D1079" s="1"/>
      </tp>
      <tp>
        <v>12</v>
        <stp/>
        <stp>bse_cm|948SCL26</stp>
        <stp>Bid Qty</stp>
        <tr r="D1647" s="1"/>
      </tp>
      <tp>
        <v>990</v>
        <stp/>
        <stp>bse_cm|10KFL28</stp>
        <stp>High</stp>
        <tr r="N674" s="1"/>
      </tp>
      <tp>
        <v>819.15</v>
        <stp/>
        <stp>nse_cm|902SCL26A-NM</stp>
        <stp>Bid Rate</stp>
        <tr r="E904" s="1"/>
      </tp>
      <tp>
        <v>100</v>
        <stp/>
        <stp>bse_cm|944MFL28</stp>
        <stp>Bid Qty</stp>
        <tr r="D677" s="1"/>
      </tp>
      <tp>
        <v>993</v>
        <stp/>
        <stp>bse_cm|10KFL27</stp>
        <stp>High</stp>
        <tr r="N675" s="1"/>
      </tp>
      <tp>
        <v>1040</v>
        <stp/>
        <stp>bse_cm|SFL2722024</stp>
        <stp xml:space="preserve">Low </stp>
        <tr r="O806" s="1"/>
      </tp>
      <tp>
        <v>1140</v>
        <stp/>
        <stp>bse_cm|749IREDA31</stp>
        <stp xml:space="preserve">Low </stp>
        <tr r="O568" s="1"/>
      </tp>
      <tp>
        <v>1145.1199999999999</v>
        <stp/>
        <stp>bse_cm|774IREDA31</stp>
        <stp xml:space="preserve">Low </stp>
        <tr r="O17" s="1"/>
      </tp>
      <tp t="s">
        <v>INE033L07GR8</v>
        <stp/>
        <stp>bse_cm|801TCH28</stp>
        <stp>Isin code</stp>
        <tr r="R1182" s="1"/>
      </tp>
      <tp t="s">
        <v>NSE</v>
        <stp/>
        <stp>nse_cm|97SFL26-Z9</stp>
        <stp>Exchange</stp>
        <tr r="C438" s="1"/>
      </tp>
      <tp>
        <v>990</v>
        <stp/>
        <stp>bse_cm|10KFL25</stp>
        <stp>High</stp>
        <tr r="N1093" s="1"/>
      </tp>
      <tp>
        <v>12</v>
        <stp/>
        <stp>bse_cm|847SCL25</stp>
        <stp>Bid Qty</stp>
        <tr r="D941" s="1"/>
      </tp>
      <tp>
        <v>0</v>
        <stp/>
        <stp>bse_cm|835SCL23B</stp>
        <stp>ATP</stp>
        <tr r="K167" s="1"/>
      </tp>
      <tp>
        <v>0</v>
        <stp/>
        <stp>bse_cm|835SCL23A</stp>
        <stp>ATP</stp>
        <tr r="K1104" s="1"/>
      </tp>
      <tp>
        <v>0</v>
        <stp/>
        <stp>bse_cm|875SCL23A</stp>
        <stp>ATP</stp>
        <tr r="K194" s="1"/>
      </tp>
      <tp>
        <v>0</v>
        <stp/>
        <stp>bse_cm|8MFL24A</stp>
        <stp>Ask Rate</stp>
        <tr r="F1549" s="1"/>
      </tp>
      <tp>
        <v>0</v>
        <stp/>
        <stp>bse_cm|KAFL28A</stp>
        <stp>Ask Rate</stp>
        <tr r="F1319" s="1"/>
      </tp>
      <tp>
        <v>11</v>
        <stp/>
        <stp>bse_cm|940SCL27</stp>
        <stp>Bid Qty</stp>
        <tr r="D792" s="1"/>
      </tp>
      <tp>
        <v>0</v>
        <stp/>
        <stp>bse_cm|940SCL26</stp>
        <stp>Bid Qty</stp>
        <tr r="D778" s="1"/>
      </tp>
      <tp>
        <v>1205.03</v>
        <stp/>
        <stp>bse_cm|768IREDA36</stp>
        <stp xml:space="preserve">Low </stp>
        <tr r="O543" s="1"/>
      </tp>
      <tp>
        <v>13</v>
        <stp/>
        <stp>bse_cm|840MFL27</stp>
        <stp>Bid Qty</stp>
        <tr r="D133" s="1"/>
      </tp>
      <tp>
        <v>16</v>
        <stp/>
        <stp>bse_cm|950KLM25</stp>
        <stp>Bid Qty</stp>
        <tr r="D1150" s="1"/>
      </tp>
      <tp>
        <v>0</v>
        <stp/>
        <stp>bse_cm|865SCL24B</stp>
        <stp>ATP</stp>
        <tr r="K953" s="1"/>
      </tp>
      <tp>
        <v>1048</v>
        <stp/>
        <stp>bse_cm|10MFL25</stp>
        <stp>High</stp>
        <tr r="N577" s="1"/>
      </tp>
      <tp>
        <v>19</v>
        <stp/>
        <stp>bse_cm|801TCH25</stp>
        <stp>Bid Qty</stp>
        <tr r="D562" s="1"/>
      </tp>
      <tp>
        <v>27</v>
        <stp/>
        <stp>bse_cm|801TCH28</stp>
        <stp>Bid Qty</stp>
        <tr r="D1182" s="1"/>
      </tp>
      <tp>
        <v>0</v>
        <stp/>
        <stp>bse_cm|925SCL25G</stp>
        <stp>ATP</stp>
        <tr r="K717" s="1"/>
      </tp>
      <tp t="s">
        <v>00:00:00</v>
        <stp/>
        <stp>bse_cm|888SCL25B</stp>
        <stp>LTT</stp>
        <tr r="I909" s="1"/>
      </tp>
      <tp>
        <v>0</v>
        <stp/>
        <stp>bse_cm|925SCL25F</stp>
        <stp>ATP</stp>
        <tr r="K719" s="1"/>
      </tp>
      <tp>
        <v>0</v>
        <stp/>
        <stp>bse_cm|965SCL25F</stp>
        <stp>ATP</stp>
        <tr r="K673" s="1"/>
      </tp>
      <tp>
        <v>0</v>
        <stp/>
        <stp>bse_cm|965SCL25E</stp>
        <stp>ATP</stp>
        <tr r="K414" s="1"/>
      </tp>
      <tp>
        <v>0</v>
        <stp/>
        <stp>bse_cm|888SCL25D</stp>
        <stp>LTP</stp>
        <tr r="H788" s="1"/>
      </tp>
      <tp t="s">
        <v>00:00:00</v>
        <stp/>
        <stp>bse_cm|888SCL25A</stp>
        <stp>LTT</stp>
        <tr r="I911" s="1"/>
      </tp>
      <tp>
        <v>0</v>
        <stp/>
        <stp>bse_cm|888SCL25E</stp>
        <stp>LTP</stp>
        <tr r="H1356" s="1"/>
      </tp>
      <tp>
        <v>0</v>
        <stp/>
        <stp>bse_cm|925SCL25C</stp>
        <stp>ATP</stp>
        <tr r="K676" s="1"/>
      </tp>
      <tp>
        <v>0</v>
        <stp/>
        <stp>bse_cm|965SCL25C</stp>
        <stp>ATP</stp>
        <tr r="K506" s="1"/>
      </tp>
      <tp>
        <v>0</v>
        <stp/>
        <stp>bse_cm|888SCL25B</stp>
        <stp>LTP</stp>
        <tr r="H909" s="1"/>
      </tp>
      <tp>
        <v>0</v>
        <stp/>
        <stp>bse_cm|925SCL25B</stp>
        <stp>ATP</stp>
        <tr r="K1490" s="1"/>
      </tp>
      <tp>
        <v>0</v>
        <stp/>
        <stp>bse_cm|965SCL25B</stp>
        <stp>ATP</stp>
        <tr r="K1507" s="1"/>
      </tp>
      <tp>
        <v>0</v>
        <stp/>
        <stp>bse_cm|925SCL25A</stp>
        <stp>ATP</stp>
        <tr r="K1515" s="1"/>
      </tp>
      <tp>
        <v>0</v>
        <stp/>
        <stp>bse_cm|965SCL25A</stp>
        <stp>ATP</stp>
        <tr r="K234" s="1"/>
      </tp>
      <tp t="s">
        <v>00:00:00</v>
        <stp/>
        <stp>bse_cm|888SCL25D</stp>
        <stp>LTT</stp>
        <tr r="I788" s="1"/>
      </tp>
      <tp>
        <v>0</v>
        <stp/>
        <stp>bse_cm|888SCL25A</stp>
        <stp>LTP</stp>
        <tr r="H911" s="1"/>
      </tp>
      <tp t="s">
        <v>00:00:00</v>
        <stp/>
        <stp>bse_cm|888SCL25E</stp>
        <stp>LTT</stp>
        <tr r="I1356" s="1"/>
      </tp>
      <tp>
        <v>0</v>
        <stp/>
        <stp>bse_cm|925SCL25H</stp>
        <stp>ATP</stp>
        <tr r="K886" s="1"/>
      </tp>
      <tp>
        <v>0</v>
        <stp/>
        <stp>bse_cm|925SCL25Z</stp>
        <stp>ATP</stp>
        <tr r="K790" s="1"/>
      </tp>
      <tp>
        <v>0</v>
        <stp/>
        <stp>bse_cm|743IREDA36</stp>
        <stp xml:space="preserve">Low </stp>
        <tr r="O1441" s="1"/>
      </tp>
      <tp t="s">
        <v>00:00:00</v>
        <stp/>
        <stp>bse_cm|948SCL26B</stp>
        <stp>LTT</stp>
        <tr r="I470" s="1"/>
      </tp>
      <tp t="s">
        <v>00:00:00</v>
        <stp/>
        <stp>bse_cm|948SCL26A</stp>
        <stp>LTT</stp>
        <tr r="I494" s="1"/>
      </tp>
      <tp>
        <v>0</v>
        <stp/>
        <stp>bse_cm|925SCL26D</stp>
        <stp>ATP</stp>
        <tr r="K619" s="1"/>
      </tp>
      <tp>
        <v>0</v>
        <stp/>
        <stp>bse_cm|948SCL26D</stp>
        <stp>LTP</stp>
        <tr r="H1081" s="1"/>
      </tp>
      <tp t="s">
        <v>00:00:00</v>
        <stp/>
        <stp>bse_cm|888SCL26A</stp>
        <stp>LTT</stp>
        <tr r="I840" s="1"/>
      </tp>
      <tp>
        <v>0</v>
        <stp/>
        <stp>bse_cm|925SCL26C</stp>
        <stp>ATP</stp>
        <tr r="K725" s="1"/>
      </tp>
      <tp>
        <v>0</v>
        <stp/>
        <stp>bse_cm|925SCL26B</stp>
        <stp>ATP</stp>
        <tr r="K1360" s="1"/>
      </tp>
      <tp>
        <v>0</v>
        <stp/>
        <stp>bse_cm|948SCL26B</stp>
        <stp>LTP</stp>
        <tr r="H470" s="1"/>
      </tp>
      <tp>
        <v>0</v>
        <stp/>
        <stp>bse_cm|925SCL26A</stp>
        <stp>ATP</stp>
        <tr r="K990" s="1"/>
      </tp>
      <tp>
        <v>0</v>
        <stp/>
        <stp>bse_cm|948SCL26A</stp>
        <stp>LTP</stp>
        <tr r="H494" s="1"/>
      </tp>
      <tp>
        <v>0</v>
        <stp/>
        <stp>bse_cm|965SCL26A</stp>
        <stp>ATP</stp>
        <tr r="K1481" s="1"/>
      </tp>
      <tp t="s">
        <v>00:00:00</v>
        <stp/>
        <stp>bse_cm|948SCL26D</stp>
        <stp>LTT</stp>
        <tr r="I1081" s="1"/>
      </tp>
      <tp>
        <v>0</v>
        <stp/>
        <stp>bse_cm|888SCL26A</stp>
        <stp>LTP</stp>
        <tr r="H840" s="1"/>
      </tp>
      <tp t="s">
        <v>00:00:00</v>
        <stp/>
        <stp>bse_cm|948SCL26I</stp>
        <stp>LTT</stp>
        <tr r="I1080" s="1"/>
      </tp>
      <tp>
        <v>0</v>
        <stp/>
        <stp>bse_cm|948SCL26I</stp>
        <stp>LTP</stp>
        <tr r="H1080" s="1"/>
      </tp>
      <tp>
        <v>4</v>
        <stp/>
        <stp>bse_cm|843SCL27</stp>
        <stp>Bid Qty</stp>
        <tr r="D928" s="1"/>
      </tp>
      <tp>
        <v>25</v>
        <stp/>
        <stp>bse_cm|943ECL28</stp>
        <stp>Bid Qty</stp>
        <tr r="D124" s="1"/>
      </tp>
      <tp t="s">
        <v>00:00:00</v>
        <stp/>
        <stp>bse_cm|948SCL27A</stp>
        <stp>LTT</stp>
        <tr r="I697" s="1"/>
      </tp>
      <tp>
        <v>0</v>
        <stp/>
        <stp>bse_cm|925SFL27A</stp>
        <stp>ATP</stp>
        <tr r="K848" s="1"/>
      </tp>
      <tp>
        <v>0</v>
        <stp/>
        <stp>bse_cm|915SCL27A</stp>
        <stp>ATP</stp>
        <tr r="K951" s="1"/>
      </tp>
      <tp>
        <v>0</v>
        <stp/>
        <stp>bse_cm|955SCL27A</stp>
        <stp>ATP</stp>
        <tr r="K948" s="1"/>
      </tp>
      <tp>
        <v>0</v>
        <stp/>
        <stp>bse_cm|948SCL27A</stp>
        <stp>LTP</stp>
        <tr r="H697" s="1"/>
      </tp>
      <tp>
        <v>993</v>
        <stp/>
        <stp>bse_cm|10NFL25</stp>
        <stp>High</stp>
        <tr r="N1568" s="1"/>
      </tp>
      <tp t="s">
        <v>BSE</v>
        <stp/>
        <stp>bse_cm|9KFL26A</stp>
        <stp>Exchange</stp>
        <tr r="C1083" s="1"/>
      </tp>
      <tp t="s">
        <v>BSE</v>
        <stp/>
        <stp>bse_cm|9MFL30A</stp>
        <stp>Exchange</stp>
        <tr r="C289" s="1"/>
      </tp>
      <tp>
        <v>0</v>
        <stp/>
        <stp>bse_cm|875MFL26A</stp>
        <stp>ATP</stp>
        <tr r="K286" s="1"/>
      </tp>
      <tp>
        <v>0</v>
        <stp/>
        <stp>bse_cm|865MFL26A</stp>
        <stp>ATP</stp>
        <tr r="K242" s="1"/>
      </tp>
      <tp>
        <v>1010</v>
        <stp/>
        <stp>bse_cm|10SFL27</stp>
        <stp>High</stp>
        <tr r="N863" s="1"/>
      </tp>
      <tp>
        <v>1000</v>
        <stp/>
        <stp>bse_cm|96ONE29</stp>
        <stp xml:space="preserve">Low </stp>
        <tr r="O1621" s="1"/>
      </tp>
      <tp>
        <v>0</v>
        <stp/>
        <stp>bse_cm|975MFL24B</stp>
        <stp>ATP</stp>
        <tr r="K415" s="1"/>
      </tp>
      <tp>
        <v>0</v>
        <stp/>
        <stp>bse_cm|875PCHFL26</stp>
        <stp>Open</stp>
        <tr r="M331" s="1"/>
      </tp>
      <tp>
        <v>1000</v>
        <stp/>
        <stp>bse_cm|940SCL26B</stp>
        <stp>Prev Close</stp>
        <tr r="P905" s="1"/>
      </tp>
      <tp>
        <v>667</v>
        <stp/>
        <stp>bse_cm|940SCL26C</stp>
        <stp>Prev Close</stp>
        <tr r="P794" s="1"/>
      </tp>
      <tp>
        <v>1000</v>
        <stp/>
        <stp>bse_cm|940SCL26A</stp>
        <stp>Prev Close</stp>
        <tr r="P920" s="1"/>
      </tp>
      <tp>
        <v>1010</v>
        <stp/>
        <stp>bse_cm|10SFL25</stp>
        <stp>High</stp>
        <tr r="N1681" s="1"/>
      </tp>
      <tp>
        <v>1000</v>
        <stp/>
        <stp>nse_cm|11DLSL25A-Y3</stp>
        <stp>High</stp>
        <tr r="N64" s="1"/>
      </tp>
      <tp>
        <v>0</v>
        <stp/>
        <stp>nse_cm|957NIDO26-N5</stp>
        <stp>Open</stp>
        <tr r="M255" s="1"/>
      </tp>
      <tp>
        <v>0</v>
        <stp/>
        <stp>bse_cm|975SCL28</stp>
        <stp>Ask Qty</stp>
        <tr r="G1485" s="1"/>
      </tp>
      <tp>
        <v>50</v>
        <stp/>
        <stp>bse_cm|875SFL27</stp>
        <stp>Ask Qty</stp>
        <tr r="G578" s="1"/>
      </tp>
      <tp>
        <v>0</v>
        <stp/>
        <stp>bse_cm|875SCL27</stp>
        <stp>Ask Qty</stp>
        <tr r="G722" s="1"/>
      </tp>
      <tp>
        <v>0</v>
        <stp/>
        <stp>bse_cm|875SFL25</stp>
        <stp>Ask Qty</stp>
        <tr r="G936" s="1"/>
      </tp>
      <tp>
        <v>0</v>
        <stp/>
        <stp>bse_cm|875KFL26</stp>
        <stp>Ask Qty</stp>
        <tr r="G1156" s="1"/>
      </tp>
      <tp>
        <v>0</v>
        <stp/>
        <stp>bse_cm|975IML26</stp>
        <stp>Ask Qty</stp>
        <tr r="G646" s="1"/>
      </tp>
      <tp>
        <v>5</v>
        <stp/>
        <stp>bse_cm|875KFL25</stp>
        <stp>Ask Qty</stp>
        <tr r="G50" s="1"/>
      </tp>
      <tp>
        <v>0</v>
        <stp/>
        <stp>bse_cm|975MML25</stp>
        <stp>Ask Qty</stp>
        <tr r="G852" s="1"/>
      </tp>
      <tp>
        <v>0</v>
        <stp/>
        <stp>bse_cm|775MFL25</stp>
        <stp>Ask Qty</stp>
        <tr r="G1369" s="1"/>
      </tp>
      <tp>
        <v>0</v>
        <stp/>
        <stp>bse_cm|975MFL25</stp>
        <stp>Ask Qty</stp>
        <tr r="G855" s="1"/>
      </tp>
      <tp>
        <v>190</v>
        <stp/>
        <stp>bse_cm|775MFL26</stp>
        <stp>Ask Qty</stp>
        <tr r="G328" s="1"/>
      </tp>
      <tp>
        <v>0</v>
        <stp/>
        <stp>bse_cm|975NFL25</stp>
        <stp>Ask Qty</stp>
        <tr r="G623" s="1"/>
      </tp>
      <tp>
        <v>12</v>
        <stp/>
        <stp>bse_cm|875MFL26</stp>
        <stp>Ask Qty</stp>
        <tr r="G161" s="1"/>
      </tp>
      <tp>
        <v>0</v>
        <stp/>
        <stp>bse_cm|775MFL27</stp>
        <stp>Ask Qty</stp>
        <tr r="G694" s="1"/>
      </tp>
      <tp>
        <v>0</v>
        <stp/>
        <stp>bse_cm|875MFL28</stp>
        <stp>Ask Qty</stp>
        <tr r="G689" s="1"/>
      </tp>
      <tp>
        <v>0</v>
        <stp/>
        <stp>bse_cm|975MFL29</stp>
        <stp>Ask Qty</stp>
        <tr r="G683" s="1"/>
      </tp>
      <tp t="s">
        <v>BSE</v>
        <stp/>
        <stp>bse_cm|9KFL26B</stp>
        <stp>Exchange</stp>
        <tr r="C667" s="1"/>
      </tp>
      <tp>
        <v>0</v>
        <stp/>
        <stp>bse_cm|825MFL25A</stp>
        <stp>ATP</stp>
        <tr r="K931" s="1"/>
      </tp>
      <tp>
        <v>0</v>
        <stp/>
        <stp>bse_cm|865MFL25A</stp>
        <stp>ATP</stp>
        <tr r="K153" s="1"/>
      </tp>
      <tp>
        <v>963</v>
        <stp/>
        <stp>bse_cm|1015SCFL29</stp>
        <stp>High</stp>
        <tr r="N1355" s="1"/>
      </tp>
      <tp>
        <v>0</v>
        <stp/>
        <stp>bse_cm|875TCAPS29</stp>
        <stp>Open</stp>
        <tr r="M935" s="1"/>
      </tp>
      <tp t="s">
        <v>NSE</v>
        <stp/>
        <stp>nse_cm|948SCL27A-ZJ</stp>
        <stp>Exchange</stp>
        <tr r="C845" s="1"/>
      </tp>
      <tp>
        <v>0</v>
        <stp/>
        <stp>bse_cm|875KFL25A</stp>
        <stp>ATP</stp>
        <tr r="K1157" s="1"/>
      </tp>
      <tp>
        <v>0</v>
        <stp/>
        <stp>bse_cm|1025JFCS28</stp>
        <stp>Open</stp>
        <tr r="M363" s="1"/>
      </tp>
      <tp>
        <v>30</v>
        <stp/>
        <stp>bse_cm|870MFL27</stp>
        <stp>Ask Qty</stp>
        <tr r="G399" s="1"/>
      </tp>
      <tp>
        <v>0</v>
        <stp/>
        <stp>bse_cm|875KFL26A</stp>
        <stp>ATP</stp>
        <tr r="K1155" s="1"/>
      </tp>
      <tp>
        <v>0</v>
        <stp/>
        <stp>bse_cm|925KFL26A</stp>
        <stp>ATP</stp>
        <tr r="K1479" s="1"/>
      </tp>
      <tp>
        <v>0</v>
        <stp/>
        <stp>bse_cm|KAFL080824</stp>
        <stp>Open</stp>
        <tr r="M1417" s="1"/>
      </tp>
      <tp>
        <v>925</v>
        <stp/>
        <stp>bse_cm|944MFL28A</stp>
        <stp>Prev Close</stp>
        <tr r="P1073" s="1"/>
      </tp>
      <tp>
        <v>0</v>
        <stp/>
        <stp>bse_cm|795MMFSL32</stp>
        <stp>Open</stp>
        <tr r="M1184" s="1"/>
      </tp>
      <tp>
        <v>0</v>
        <stp/>
        <stp>nse_cm|92LTF29-N4</stp>
        <stp>Bid Rate</stp>
        <tr r="E1087" s="1"/>
      </tp>
      <tp>
        <v>0</v>
        <stp/>
        <stp>bse_cm|971SCL28</stp>
        <stp>Ask Qty</stp>
        <tr r="G1028" s="1"/>
      </tp>
      <tp>
        <v>10</v>
        <stp/>
        <stp>bse_cm|971SCL29</stp>
        <stp>Ask Qty</stp>
        <tr r="G521" s="1"/>
      </tp>
      <tp>
        <v>0</v>
        <stp/>
        <stp>nse_cm|984ICCL26A-NK</stp>
        <stp>Bid Qty</stp>
        <tr r="D716" s="1"/>
      </tp>
      <tp>
        <v>974</v>
        <stp/>
        <stp>bse_cm|995ECL29A</stp>
        <stp>ATP</stp>
        <tr r="K152" s="1"/>
      </tp>
      <tp>
        <v>999.9</v>
        <stp/>
        <stp>bse_cm|10VCL25</stp>
        <stp>High</stp>
        <tr r="N1646" s="1"/>
      </tp>
      <tp>
        <v>0</v>
        <stp/>
        <stp>bse_cm|855TCAPS27</stp>
        <stp>Open</stp>
        <tr r="M1004" s="1"/>
      </tp>
      <tp>
        <v>0</v>
        <stp/>
        <stp>nse_cm|1040NFL26-NA</stp>
        <stp>Open</stp>
        <tr r="M678" s="1"/>
      </tp>
      <tp>
        <v>1080</v>
        <stp/>
        <stp>bse_cm|729HUDCO26</stp>
        <stp>High</stp>
        <tr r="N523" s="1"/>
      </tp>
      <tp>
        <v>1057.0999999999999</v>
        <stp/>
        <stp>bse_cm|727HUDCO26</stp>
        <stp>High</stp>
        <tr r="N481" s="1"/>
      </tp>
      <tp>
        <v>652</v>
        <stp/>
        <stp>bse_cm|948SCL26I</stp>
        <stp>Prev Close</stp>
        <tr r="P1080" s="1"/>
      </tp>
      <tp>
        <v>890</v>
        <stp/>
        <stp>bse_cm|948SCL26D</stp>
        <stp>Prev Close</stp>
        <tr r="P1081" s="1"/>
      </tp>
      <tp>
        <v>900</v>
        <stp/>
        <stp>bse_cm|948SCL26B</stp>
        <stp>Prev Close</stp>
        <tr r="P470" s="1"/>
      </tp>
      <tp>
        <v>1002</v>
        <stp/>
        <stp>bse_cm|948SCL26A</stp>
        <stp>Prev Close</stp>
        <tr r="P494" s="1"/>
      </tp>
      <tp>
        <v>964.8</v>
        <stp/>
        <stp>bse_cm|948SCL27A</stp>
        <stp>Prev Close</stp>
        <tr r="P697" s="1"/>
      </tp>
      <tp>
        <v>988</v>
        <stp/>
        <stp>bse_cm|76IGT26</stp>
        <stp xml:space="preserve">Low </stp>
        <tr r="O1608" s="1"/>
      </tp>
      <tp>
        <v>1756.5</v>
        <stp/>
        <stp>bse_cm|704HUDCO26</stp>
        <stp>High</stp>
        <tr r="N1724" s="1"/>
      </tp>
      <tp>
        <v>1762</v>
        <stp/>
        <stp>bse_cm|702HUDCO26</stp>
        <stp>High</stp>
        <tr r="N1718" s="1"/>
      </tp>
      <tp>
        <v>0</v>
        <stp/>
        <stp>bse_cm|865TCAPS27</stp>
        <stp>Open</stp>
        <tr r="M377" s="1"/>
      </tp>
      <tp>
        <v>0</v>
        <stp/>
        <stp>bse_cm|885TCAPS29</stp>
        <stp>Open</stp>
        <tr r="M12" s="1"/>
      </tp>
      <tp>
        <v>1065.03</v>
        <stp/>
        <stp>bse_cm|86LTF24</stp>
        <stp xml:space="preserve">Low </stp>
        <tr r="O8" s="1"/>
      </tp>
      <tp>
        <v>1060</v>
        <stp/>
        <stp>bse_cm|96MFL25</stp>
        <stp xml:space="preserve">Low </stp>
        <tr r="O1392" s="1"/>
      </tp>
      <tp t="s">
        <v>BSE</v>
        <stp/>
        <stp>bse_cm|MFLOPTII24</stp>
        <stp>Exchange</stp>
        <tr r="C559" s="1"/>
      </tp>
      <tp t="s">
        <v>NSE</v>
        <stp/>
        <stp>nse_cm|888SCL26A-ZC</stp>
        <stp>Exchange</stp>
        <tr r="C839" s="1"/>
      </tp>
      <tp>
        <v>0</v>
        <stp/>
        <stp>bse_cm|905MFL28A</stp>
        <stp>ATP</stp>
        <tr r="K224" s="1"/>
      </tp>
      <tp>
        <v>1325.3</v>
        <stp/>
        <stp>bse_cm|DLSL25A</stp>
        <stp>Ask Rate</stp>
        <tr r="F1734" s="1"/>
      </tp>
      <tp>
        <v>0</v>
        <stp/>
        <stp>bse_cm|879SCL26</stp>
        <stp>Ask Qty</stp>
        <tr r="G1351" s="1"/>
      </tp>
      <tp>
        <v>0</v>
        <stp/>
        <stp>bse_cm|975MFL29A</stp>
        <stp>ATP</stp>
        <tr r="K854" s="1"/>
      </tp>
      <tp t="s">
        <v>BSE</v>
        <stp/>
        <stp>bse_cm|729NHAI26</stp>
        <stp>Exchange</stp>
        <tr r="C348" s="1"/>
      </tp>
      <tp t="s">
        <v>BSE</v>
        <stp/>
        <stp>bse_cm|739NHAI26</stp>
        <stp>Exchange</stp>
        <tr r="C442" s="1"/>
      </tp>
      <tp t="s">
        <v>BSE</v>
        <stp/>
        <stp>bse_cm|704NHAI26</stp>
        <stp>Exchange</stp>
        <tr r="C1204" s="1"/>
      </tp>
      <tp t="s">
        <v>BSE</v>
        <stp/>
        <stp>bse_cm|714NHAI26</stp>
        <stp>Exchange</stp>
        <tr r="C1662" s="1"/>
      </tp>
      <tp t="s">
        <v>BSE</v>
        <stp/>
        <stp>bse_cm|875NHAI29</stp>
        <stp>Exchange</stp>
        <tr r="C496" s="1"/>
      </tp>
      <tp t="s">
        <v>BSE</v>
        <stp/>
        <stp>bse_cm|850NHAI29</stp>
        <stp>Exchange</stp>
        <tr r="C580" s="1"/>
      </tp>
      <tp>
        <v>5</v>
        <stp/>
        <stp>bse_cm|1025SCFL34</stp>
        <stp>Bid Qty</stp>
        <tr r="D1025" s="1"/>
      </tp>
      <tp>
        <v>20</v>
        <stp/>
        <stp>bse_cm|1075SCFL34</stp>
        <stp>Bid Qty</stp>
        <tr r="D1020" s="1"/>
      </tp>
      <tp t="s">
        <v>BSE</v>
        <stp/>
        <stp>bse_cm|967NIDO28</stp>
        <stp>Exchange</stp>
        <tr r="C227" s="1"/>
      </tp>
      <tp>
        <v>4</v>
        <stp/>
        <stp>bse_cm|1015SCFL29</stp>
        <stp>Bid Qty</stp>
        <tr r="D1355" s="1"/>
      </tp>
      <tp t="s">
        <v>INE516Y07428</v>
        <stp/>
        <stp>bse_cm|9PCHFL31A</stp>
        <stp>Isin code</stp>
        <tr r="R301" s="1"/>
      </tp>
      <tp>
        <v>0</v>
        <stp/>
        <stp>bse_cm|MMFLZC24D</stp>
        <stp>Ask Rate</stp>
        <tr r="F1265" s="1"/>
      </tp>
      <tp t="s">
        <v>BSE</v>
        <stp/>
        <stp>bse_cm|93MOFSL34</stp>
        <stp>Exchange</stp>
        <tr r="C312" s="1"/>
      </tp>
      <tp t="s">
        <v>BSE</v>
        <stp/>
        <stp>bse_cm|97MOFSL34</stp>
        <stp>Exchange</stp>
        <tr r="C1600" s="1"/>
      </tp>
      <tp>
        <v>1050.01</v>
        <stp/>
        <stp>nse_cm|11DLSL25-NV</stp>
        <stp>Prev Close</stp>
        <tr r="P48" s="1"/>
      </tp>
      <tp>
        <v>10</v>
        <stp/>
        <stp>bse_cm|SCFL310524</stp>
        <stp>Bid Qty</stp>
        <tr r="D1241" s="1"/>
      </tp>
      <tp>
        <v>0</v>
        <stp/>
        <stp>bse_cm|MML11924B</stp>
        <stp xml:space="preserve">Low </stp>
        <tr r="O1255" s="1"/>
      </tp>
      <tp>
        <v>980</v>
        <stp/>
        <stp>bse_cm|MML11924C</stp>
        <stp xml:space="preserve">Low </stp>
        <tr r="O1623" s="1"/>
      </tp>
      <tp>
        <v>678</v>
        <stp/>
        <stp>bse_cm|1026NHFL34</stp>
        <stp>Ask Qty</stp>
        <tr r="G155" s="1"/>
      </tp>
      <tp>
        <v>0</v>
        <stp/>
        <stp>bse_cm|1075NIDO34</stp>
        <stp>Ask Qty</stp>
        <tr r="G1021" s="1"/>
      </tp>
      <tp>
        <v>8</v>
        <stp/>
        <stp>bse_cm|1045NIDO33</stp>
        <stp>Ask Qty</stp>
        <tr r="G71" s="1"/>
      </tp>
      <tp>
        <v>0</v>
        <stp/>
        <stp>bse_cm|MML11924A</stp>
        <stp xml:space="preserve">Low </stp>
        <tr r="O1256" s="1"/>
      </tp>
      <tp t="s">
        <v>MFLTDII27</v>
        <stp/>
        <stp>bse_cm|MFLTDII27</stp>
        <stp>Symbol</stp>
        <tr r="A297" s="1"/>
      </tp>
      <tp>
        <v>0</v>
        <stp/>
        <stp>bse_cm|IFL19424A</stp>
        <stp xml:space="preserve">Low </stp>
        <tr r="O1419" s="1"/>
      </tp>
      <tp t="s">
        <v>BSE</v>
        <stp/>
        <stp>bse_cm|895NHFL25</stp>
        <stp>Exchange</stp>
        <tr r="C54" s="1"/>
      </tp>
      <tp t="s">
        <v>BSE</v>
        <stp/>
        <stp>bse_cm|905NIDO25</stp>
        <stp>Exchange</stp>
        <tr r="C60" s="1"/>
      </tp>
      <tp t="s">
        <v>BSE</v>
        <stp/>
        <stp>bse_cm|870NIDO25</stp>
        <stp>Exchange</stp>
        <tr r="C86" s="1"/>
      </tp>
      <tp t="s">
        <v>BSE</v>
        <stp/>
        <stp>bse_cm|950NHFL26</stp>
        <stp>Exchange</stp>
        <tr r="C582" s="1"/>
      </tp>
      <tp t="s">
        <v>BSE</v>
        <stp/>
        <stp>bse_cm|958NIDO27</stp>
        <stp>Exchange</stp>
        <tr r="C1402" s="1"/>
      </tp>
      <tp t="s">
        <v>BSE</v>
        <stp/>
        <stp>bse_cm|955NIDO27</stp>
        <stp>Exchange</stp>
        <tr r="C51" s="1"/>
      </tp>
      <tp t="s">
        <v>BSE</v>
        <stp/>
        <stp>bse_cm|915NIDO27</stp>
        <stp>Exchange</stp>
        <tr r="C59" s="1"/>
      </tp>
      <tp t="s">
        <v>BSE</v>
        <stp/>
        <stp>bse_cm|MFLIII25C</stp>
        <stp>Exchange</stp>
        <tr r="C213" s="1"/>
      </tp>
      <tp t="s">
        <v>BSE</v>
        <stp/>
        <stp>bse_cm|958NHFL27</stp>
        <stp>Exchange</stp>
        <tr r="C616" s="1"/>
      </tp>
      <tp t="s">
        <v>BSE</v>
        <stp/>
        <stp>bse_cm|960NIDO26</stp>
        <stp>Exchange</stp>
        <tr r="C870" s="1"/>
      </tp>
      <tp t="s">
        <v>BSE</v>
        <stp/>
        <stp>bse_cm|957NIDO26</stp>
        <stp>Exchange</stp>
        <tr r="C329" s="1"/>
      </tp>
      <tp t="s">
        <v>BSE</v>
        <stp/>
        <stp>bse_cm|920NIDO26</stp>
        <stp>Exchange</stp>
        <tr r="C166" s="1"/>
      </tp>
      <tp>
        <v>1000</v>
        <stp/>
        <stp>nse_cm|829PFL29-N6</stp>
        <stp>Face Value</stp>
        <tr r="Q1451" s="1"/>
      </tp>
      <tp t="s">
        <v>BSE</v>
        <stp/>
        <stp>bse_cm|916NWIL27</stp>
        <stp>Exchange</stp>
        <tr r="C209" s="1"/>
      </tp>
      <tp t="s">
        <v>BSE</v>
        <stp/>
        <stp>bse_cm|955NWIL27</stp>
        <stp>Exchange</stp>
        <tr r="C1480" s="1"/>
      </tp>
      <tp t="s">
        <v>BSE</v>
        <stp/>
        <stp>bse_cm|849NTPC25</stp>
        <stp>Exchange</stp>
        <tr r="C443" s="1"/>
      </tp>
      <tp t="s">
        <v>INE148I07GL3</v>
        <stp/>
        <stp>nse_cm|9SCL26BA-NA</stp>
        <stp>Isin code</stp>
        <tr r="R122" s="1"/>
      </tp>
      <tp>
        <v>12</v>
        <stp/>
        <stp>bse_cm|1075CCIL25</stp>
        <stp>Bid Qty</stp>
        <tr r="D1121" s="1"/>
      </tp>
      <tp>
        <v>100</v>
        <stp/>
        <stp>bse_cm|1075CCIL26</stp>
        <stp>Bid Qty</stp>
        <tr r="D1120" s="1"/>
      </tp>
      <tp t="s">
        <v>BSE</v>
        <stp/>
        <stp>bse_cm|915NWIL25</stp>
        <stp>Exchange</stp>
        <tr r="C620" s="1"/>
      </tp>
      <tp t="s">
        <v>INE414G07GV2</v>
        <stp/>
        <stp>bse_cm|MFLTDII27</stp>
        <stp>Isin code</stp>
        <tr r="R297" s="1"/>
      </tp>
      <tp t="s">
        <v>MFOPTIV24</v>
        <stp/>
        <stp>bse_cm|MFOPTIV24</stp>
        <stp>Symbol</stp>
        <tr r="A380" s="1"/>
      </tp>
      <tp>
        <v>10</v>
        <stp/>
        <stp>bse_cm|1045EFSL34</stp>
        <stp>Bid Qty</stp>
        <tr r="D1413" s="1"/>
      </tp>
      <tp>
        <v>10</v>
        <stp/>
        <stp>bse_cm|1045EFSL33</stp>
        <stp>Bid Qty</stp>
        <tr r="D1382" s="1"/>
      </tp>
      <tp>
        <v>850</v>
        <stp/>
        <stp>bse_cm|565PFCL26</stp>
        <stp>Bid Rate</stp>
        <tr r="E1210" s="1"/>
      </tp>
      <tp>
        <v>1017</v>
        <stp/>
        <stp>bse_cm|948JFPL25</stp>
        <stp>Ask Rate</stp>
        <tr r="F490" s="1"/>
      </tp>
      <tp>
        <v>25</v>
        <stp/>
        <stp>bse_cm|1125KAFL27</stp>
        <stp>Bid Qty</stp>
        <tr r="D1228" s="1"/>
      </tp>
      <tp>
        <v>14</v>
        <stp/>
        <stp>bse_cm|1025KAFL27</stp>
        <stp>Bid Qty</stp>
        <tr r="D769" s="1"/>
      </tp>
      <tp>
        <v>15</v>
        <stp/>
        <stp>bse_cm|1025KAFL25</stp>
        <stp>Bid Qty</stp>
        <tr r="D770" s="1"/>
      </tp>
      <tp>
        <v>100</v>
        <stp/>
        <stp>bse_cm|1075KAFL28</stp>
        <stp>Bid Qty</stp>
        <tr r="D1118" s="1"/>
      </tp>
      <tp>
        <v>10</v>
        <stp/>
        <stp>bse_cm|1075KAFL29</stp>
        <stp>Bid Qty</stp>
        <tr r="D125" s="1"/>
      </tp>
      <tp>
        <v>850.2</v>
        <stp/>
        <stp>bse_cm|745PFCL26</stp>
        <stp>Bid Rate</stp>
        <tr r="E1200" s="1"/>
      </tp>
      <tp>
        <v>1002</v>
        <stp/>
        <stp>bse_cm|750PFCL26</stp>
        <stp>Bid Rate</stp>
        <tr r="E448" s="1"/>
      </tp>
      <tp>
        <v>0</v>
        <stp/>
        <stp>bse_cm|1025ICCL26</stp>
        <stp>Bid Qty</stp>
        <tr r="D1175" s="1"/>
      </tp>
      <tp>
        <v>100</v>
        <stp/>
        <stp>bse_cm|1025NWFL25</stp>
        <stp>Bid Qty</stp>
        <tr r="D154" s="1"/>
      </tp>
      <tp>
        <v>25</v>
        <stp/>
        <stp>bse_cm|1026NIDO34</stp>
        <stp>Bid Qty</stp>
        <tr r="D1018" s="1"/>
      </tp>
      <tp>
        <v>19</v>
        <stp/>
        <stp>bse_cm|1075NHFL34</stp>
        <stp>Bid Qty</stp>
        <tr r="D1553" s="1"/>
      </tp>
      <tp>
        <v>100</v>
        <stp/>
        <stp>bse_cm|1025NWFL30</stp>
        <stp>Bid Qty</stp>
        <tr r="D1026" s="1"/>
      </tp>
      <tp t="s">
        <v>INE121A07RB5</v>
        <stp/>
        <stp>nse_cm|9ICCL23A-N0</stp>
        <stp>Isin code</stp>
        <tr r="R657" s="1"/>
      </tp>
      <tp>
        <v>20</v>
        <stp/>
        <stp>bse_cm|1025MMFL26</stp>
        <stp>Bid Qty</stp>
        <tr r="D320" s="1"/>
      </tp>
      <tp t="e">
        <v>#N/A</v>
        <stp/>
        <stp>bse_cm|1025MHFL24</stp>
        <stp>Bid Qty</stp>
        <tr r="D29" s="1"/>
      </tp>
      <tp t="e">
        <v>#N/A</v>
        <stp/>
        <stp>bse_cm|1065MHFL24</stp>
        <stp>Bid Qty</stp>
        <tr r="D36" s="1"/>
      </tp>
      <tp>
        <v>963.51</v>
        <stp/>
        <stp>bse_cm|EFS290424</stp>
        <stp>High</stp>
        <tr r="N570" s="1"/>
      </tp>
      <tp t="s">
        <v>INE148I07RA3</v>
        <stp/>
        <stp>bse_cm|925SCL25G</stp>
        <stp>Isin code</stp>
        <tr r="R717" s="1"/>
      </tp>
      <tp>
        <v>986</v>
        <stp/>
        <stp>bse_cm|1102NFL26</stp>
        <stp>High</stp>
        <tr r="N567" s="1"/>
      </tp>
      <tp t="s">
        <v>INE414G07DV9</v>
        <stp/>
        <stp>bse_cm|975MFL24B</stp>
        <stp>Isin code</stp>
        <tr r="R415" s="1"/>
      </tp>
      <tp t="s">
        <v>INE05F407CQ2</v>
        <stp/>
        <stp>bse_cm|MML11924A</stp>
        <stp>Isin code</stp>
        <tr r="R1256" s="1"/>
      </tp>
      <tp>
        <v>0</v>
        <stp/>
        <stp>bse_cm|1025SCL33</stp>
        <stp xml:space="preserve">Low </stp>
        <tr r="O879" s="1"/>
      </tp>
      <tp>
        <v>900</v>
        <stp/>
        <stp>bse_cm|1075SCL33</stp>
        <stp xml:space="preserve">Low </stp>
        <tr r="O881" s="1"/>
      </tp>
      <tp>
        <v>960</v>
        <stp/>
        <stp>bse_cm|1025SCL34</stp>
        <stp xml:space="preserve">Low </stp>
        <tr r="O129" s="1"/>
      </tp>
      <tp>
        <v>975</v>
        <stp/>
        <stp>bse_cm|1075SCL34</stp>
        <stp xml:space="preserve">Low </stp>
        <tr r="O888" s="1"/>
      </tp>
      <tp>
        <v>0</v>
        <stp/>
        <stp>bse_cm|927MFL26A</stp>
        <stp>Ask Rate</stp>
        <tr r="F617" s="1"/>
      </tp>
      <tp>
        <v>0</v>
        <stp/>
        <stp>bse_cm|890MFL26A</stp>
        <stp>Ask Rate</stp>
        <tr r="F698" s="1"/>
      </tp>
      <tp>
        <v>995</v>
        <stp/>
        <stp>bse_cm|875MFL26A</stp>
        <stp>Ask Rate</stp>
        <tr r="F286" s="1"/>
      </tp>
      <tp>
        <v>985</v>
        <stp/>
        <stp>bse_cm|865MFL26A</stp>
        <stp>Ask Rate</stp>
        <tr r="F242" s="1"/>
      </tp>
      <tp t="s">
        <v>INE219X07249</v>
        <stp/>
        <stp>nse_cm|769IGT28-NH</stp>
        <stp>Isin code</stp>
        <tr r="R1487" s="1"/>
      </tp>
      <tp t="s">
        <v>957ISFL26</v>
        <stp/>
        <stp>nse_cm|957ISFL26-N2</stp>
        <stp>Symbol</stp>
        <tr r="A245" s="1"/>
      </tp>
      <tp>
        <v>1250.2</v>
        <stp/>
        <stp>nse_cm|IIFLZC26-NN</stp>
        <stp>Prev Close</stp>
        <tr r="P1696" s="1"/>
      </tp>
      <tp>
        <v>350</v>
        <stp/>
        <stp>bse_cm|975MFL24BB</stp>
        <stp>Ask Qty</stp>
        <tr r="G552" s="1"/>
      </tp>
      <tp>
        <v>0</v>
        <stp/>
        <stp>bse_cm|1003SCL30</stp>
        <stp>High</stp>
        <tr r="N877" s="1"/>
      </tp>
      <tp t="s">
        <v>935MOFSL29-N5</v>
        <stp/>
        <stp>nse_cm|935MOFSL29-N5</stp>
        <stp>Trading Symbol</stp>
        <tr r="B1601" s="1"/>
      </tp>
      <tp>
        <v>0</v>
        <stp/>
        <stp>bse_cm|1003SCL31</stp>
        <stp>High</stp>
        <tr r="N727" s="1"/>
      </tp>
      <tp>
        <v>993</v>
        <stp/>
        <stp>bse_cm|1045EFS34</stp>
        <stp xml:space="preserve">Low </stp>
        <tr r="O1450" s="1"/>
      </tp>
      <tp>
        <v>0</v>
        <stp/>
        <stp>nse_cm|92LTF29-N4</stp>
        <stp>Ask Qty</stp>
        <tr r="G1087" s="1"/>
      </tp>
      <tp>
        <v>0</v>
        <stp/>
        <stp>bse_cm|SFL270224</stp>
        <stp>High</stp>
        <tr r="N808" s="1"/>
      </tp>
      <tp>
        <v>1</v>
        <stp/>
        <stp>nse_cm|85LTF26-NM</stp>
        <stp>Ask Qty</stp>
        <tr r="G365" s="1"/>
      </tp>
      <tp>
        <v>40</v>
        <stp/>
        <stp>nse_cm|87LTF27-NH</stp>
        <stp>Ask Qty</stp>
        <tr r="G407" s="1"/>
      </tp>
      <tp>
        <v>10</v>
        <stp/>
        <stp>nse_cm|86LTF24-NJ</stp>
        <stp>Ask Qty</stp>
        <tr r="G7" s="1"/>
      </tp>
      <tp>
        <v>940</v>
        <stp/>
        <stp>bse_cm|1045EFS33</stp>
        <stp xml:space="preserve">Low </stp>
        <tr r="O1030" s="1"/>
      </tp>
      <tp>
        <v>1000</v>
        <stp/>
        <stp>bse_cm|ABFL28</stp>
        <stp>Face Value</stp>
        <tr r="Q1373" s="1"/>
      </tp>
      <tp>
        <v>1000</v>
        <stp/>
        <stp>bse_cm|ABFL26</stp>
        <stp>Face Value</stp>
        <tr r="Q1064" s="1"/>
      </tp>
      <tp>
        <v>1000</v>
        <stp/>
        <stp>bse_cm|KAFL30</stp>
        <stp>Face Value</stp>
        <tr r="Q1317" s="1"/>
      </tp>
      <tp>
        <v>1000</v>
        <stp/>
        <stp>bse_cm|KAFL29</stp>
        <stp>Face Value</stp>
        <tr r="Q1318" s="1"/>
      </tp>
      <tp>
        <v>1000</v>
        <stp/>
        <stp>bse_cm|KAFL28</stp>
        <stp>Face Value</stp>
        <tr r="Q1320" s="1"/>
      </tp>
      <tp>
        <v>1000</v>
        <stp/>
        <stp>bse_cm|KAFL25</stp>
        <stp>Face Value</stp>
        <tr r="Q1321" s="1"/>
      </tp>
      <tp>
        <v>1000</v>
        <stp/>
        <stp>bse_cm|MMFL25</stp>
        <stp>Face Value</stp>
        <tr r="Q1725" s="1"/>
      </tp>
      <tp>
        <v>1000</v>
        <stp/>
        <stp>bse_cm|MMFL27</stp>
        <stp>Face Value</stp>
        <tr r="Q1513" s="1"/>
      </tp>
      <tp t="s">
        <v>NSE</v>
        <stp/>
        <stp>nse_cm|97SFL28-YS</stp>
        <stp>Exchange</stp>
        <tr r="C19" s="1"/>
      </tp>
      <tp>
        <v>1000</v>
        <stp/>
        <stp>bse_cm|0KFL27</stp>
        <stp>Face Value</stp>
        <tr r="Q1046" s="1"/>
      </tp>
      <tp>
        <v>1000</v>
        <stp/>
        <stp>bse_cm|0KFL26</stp>
        <stp>Face Value</stp>
        <tr r="Q1047" s="1"/>
      </tp>
      <tp>
        <v>1000</v>
        <stp/>
        <stp>bse_cm|0KFL25</stp>
        <stp>Face Value</stp>
        <tr r="Q1604" s="1"/>
      </tp>
      <tp>
        <v>1000</v>
        <stp/>
        <stp>bse_cm|0KFL28</stp>
        <stp>Face Value</stp>
        <tr r="Q1045" s="1"/>
      </tp>
      <tp>
        <v>1000</v>
        <stp/>
        <stp>bse_cm|0SFL26</stp>
        <stp>Face Value</stp>
        <tr r="Q703" s="1"/>
      </tp>
      <tp>
        <v>1000</v>
        <stp/>
        <stp>bse_cm|0KFL31</stp>
        <stp>Face Value</stp>
        <tr r="Q1044" s="1"/>
      </tp>
      <tp>
        <v>1000</v>
        <stp/>
        <stp>bse_cm|0SFL31</stp>
        <stp>Face Value</stp>
        <tr r="Q1032" s="1"/>
      </tp>
      <tp>
        <v>1000</v>
        <stp/>
        <stp>bse_cm|9MFL30</stp>
        <stp>Face Value</stp>
        <tr r="Q244" s="1"/>
      </tp>
      <tp>
        <v>1000</v>
        <stp/>
        <stp>bse_cm|8MFL26</stp>
        <stp>Face Value</stp>
        <tr r="Q654" s="1"/>
      </tp>
      <tp>
        <v>1000</v>
        <stp/>
        <stp>bse_cm|9KFL26</stp>
        <stp>Face Value</stp>
        <tr r="Q1084" s="1"/>
      </tp>
      <tp>
        <v>1000</v>
        <stp/>
        <stp>bse_cm|9MFL25</stp>
        <stp>Face Value</stp>
        <tr r="Q1082" s="1"/>
      </tp>
      <tp>
        <v>1000</v>
        <stp/>
        <stp>bse_cm|9MFL27</stp>
        <stp>Face Value</stp>
        <tr r="Q195" s="1"/>
      </tp>
      <tp>
        <v>1000</v>
        <stp/>
        <stp>bse_cm|9SFL26</stp>
        <stp>Face Value</stp>
        <tr r="Q1066" s="1"/>
      </tp>
      <tp>
        <v>1000</v>
        <stp/>
        <stp>bse_cm|9SFL25</stp>
        <stp>Face Value</stp>
        <tr r="Q340" s="1"/>
      </tp>
      <tp t="s">
        <v>NSE</v>
        <stp/>
        <stp>nse_cm|9SCFL25-Y5</stp>
        <stp>Exchange</stp>
        <tr r="C389" s="1"/>
      </tp>
      <tp>
        <v>-0.15</v>
        <stp/>
        <stp>bse_cm|829LTF24</stp>
        <stp>% Change</stp>
        <tr r="J4" s="1"/>
      </tp>
      <tp>
        <v>0</v>
        <stp/>
        <stp>nse_cm|1075UCL25-N9</stp>
        <stp>Open</stp>
        <tr r="M498" s="1"/>
      </tp>
      <tp>
        <v>0</v>
        <stp/>
        <stp>nse_cm|888IRFC29-NE</stp>
        <stp>Open</stp>
        <tr r="M508" s="1"/>
      </tp>
      <tp>
        <v>1040</v>
        <stp/>
        <stp>bse_cm|689RECL24</stp>
        <stp>Prev Close</stp>
        <tr r="P1206" s="1"/>
      </tp>
      <tp t="s">
        <v>NSE</v>
        <stp/>
        <stp>nse_cm|948SCL26B-Y8</stp>
        <stp>Exchange</stp>
        <tr r="C159" s="1"/>
      </tp>
      <tp>
        <v>947.2</v>
        <stp/>
        <stp>bse_cm|97EFSL31A</stp>
        <stp>Prev Close</stp>
        <tr r="P598" s="1"/>
      </tp>
      <tp>
        <v>0</v>
        <stp/>
        <stp>bse_cm|1025MMF26A</stp>
        <stp>Open</stp>
        <tr r="M290" s="1"/>
      </tp>
      <tp>
        <v>1234</v>
        <stp/>
        <stp>bse_cm|MFLVIII26H</stp>
        <stp>Bid Rate</stp>
        <tr r="E1575" s="1"/>
      </tp>
      <tp t="s">
        <v>NSE</v>
        <stp/>
        <stp>nse_cm|97SFL29-YZ</stp>
        <stp>Exchange</stp>
        <tr r="C20" s="1"/>
      </tp>
      <tp>
        <v>0</v>
        <stp/>
        <stp>bse_cm|MFCL30424D</stp>
        <stp>Open</stp>
        <tr r="M1281" s="1"/>
      </tp>
      <tp>
        <v>830.1</v>
        <stp/>
        <stp>bse_cm|985ICCL28</stp>
        <stp>Prev Close</stp>
        <tr r="P1483" s="1"/>
      </tp>
      <tp>
        <v>950</v>
        <stp/>
        <stp>bse_cm|925KFIL25</stp>
        <stp>Prev Close</stp>
        <tr r="P776" s="1"/>
      </tp>
      <tp>
        <v>5</v>
        <stp/>
        <stp>nse_cm|1075SCL33B-NW</stp>
        <stp>Bid Qty</stp>
        <tr r="D889" s="1"/>
      </tp>
      <tp>
        <v>-100</v>
        <stp/>
        <stp>bse_cm|769IGT28</stp>
        <stp>% Change</stp>
        <tr r="J1195" s="1"/>
      </tp>
      <tp>
        <v>-100</v>
        <stp/>
        <stp>bse_cm|749IGT28</stp>
        <stp>% Change</stp>
        <tr r="J1198" s="1"/>
      </tp>
      <tp>
        <v>100</v>
        <stp/>
        <stp>nse_cm|1075SCL33A-N2</stp>
        <stp>Bid Qty</stp>
        <tr r="D630" s="1"/>
      </tp>
      <tp>
        <v>0</v>
        <stp/>
        <stp>bse_cm|MML27524</stp>
        <stp>Ask Qty</stp>
        <tr r="G1511" s="1"/>
      </tp>
      <tp>
        <v>0</v>
        <stp/>
        <stp>nse_cm|1075NFL25-N6</stp>
        <stp>Open</stp>
        <tr r="M1438" s="1"/>
      </tp>
      <tp>
        <v>100</v>
        <stp/>
        <stp>nse_cm|858HUDCO29-NC</stp>
        <stp>Bid Qty</stp>
        <tr r="D1636" s="1"/>
      </tp>
      <tp>
        <v>0</v>
        <stp/>
        <stp>bse_cm|MFCL30424A</stp>
        <stp>Open</stp>
        <tr r="M1283" s="1"/>
      </tp>
      <tp>
        <v>800</v>
        <stp/>
        <stp>bse_cm|980ICCL28</stp>
        <stp>Prev Close</stp>
        <tr r="P783" s="1"/>
      </tp>
      <tp>
        <v>0</v>
        <stp/>
        <stp>nse_cm|96IIFL28A-NF</stp>
        <stp>Open</stp>
        <tr r="M81" s="1"/>
      </tp>
      <tp>
        <v>960</v>
        <stp/>
        <stp>bse_cm|682PFCL31</stp>
        <stp>Prev Close</stp>
        <tr r="P433" s="1"/>
      </tp>
      <tp>
        <v>0</v>
        <stp/>
        <stp>bse_cm|MFCL30424C</stp>
        <stp>Open</stp>
        <tr r="M1552" s="1"/>
      </tp>
      <tp>
        <v>969.21</v>
        <stp/>
        <stp>nse_cm|10IIFL28A-NE</stp>
        <stp>Open</stp>
        <tr r="M108" s="1"/>
      </tp>
      <tp t="s">
        <v>NSE</v>
        <stp/>
        <stp>nse_cm|888SCL25B-Y2</stp>
        <stp>Exchange</stp>
        <tr r="C789" s="1"/>
      </tp>
      <tp>
        <v>1000</v>
        <stp/>
        <stp>bse_cm|CIFC26</stp>
        <stp>Face Value</stp>
        <tr r="Q742" s="1"/>
      </tp>
      <tp>
        <v>1000</v>
        <stp/>
        <stp>bse_cm|CIFC28</stp>
        <stp>Face Value</stp>
        <tr r="Q1529" s="1"/>
      </tp>
      <tp>
        <v>1011</v>
        <stp/>
        <stp>bse_cm|683PFCL31</stp>
        <stp>Prev Close</stp>
        <tr r="P449" s="1"/>
      </tp>
      <tp>
        <v>0</v>
        <stp/>
        <stp>bse_cm|MFCL30424B</stp>
        <stp>Open</stp>
        <tr r="M1282" s="1"/>
      </tp>
      <tp>
        <v>-100</v>
        <stp/>
        <stp>bse_cm|889SCL28</stp>
        <stp>% Change</stp>
        <tr r="J1069" s="1"/>
      </tp>
      <tp>
        <v>1000</v>
        <stp/>
        <stp>nse_cm|902SCL26A-NM</stp>
        <stp>Face Value</stp>
        <tr r="Q904" s="1"/>
      </tp>
      <tp>
        <v>1000</v>
        <stp/>
        <stp>nse_cm|902SCL27A-ZI</stp>
        <stp>Face Value</stp>
        <tr r="Q1353" s="1"/>
      </tp>
      <tp>
        <v>54</v>
        <stp/>
        <stp>bse_cm|IML23623</stp>
        <stp>Bid Qty</stp>
        <tr r="D1327" s="1"/>
      </tp>
      <tp>
        <v>1000</v>
        <stp/>
        <stp>nse_cm|915SCL27A-ZL</stp>
        <stp>Face Value</stp>
        <tr r="Q966" s="1"/>
      </tp>
      <tp>
        <v>1000</v>
        <stp/>
        <stp>nse_cm|920SCL23A-AO</stp>
        <stp>Face Value</stp>
        <tr r="Q1113" s="1"/>
      </tp>
      <tp>
        <v>1000</v>
        <stp/>
        <stp>nse_cm|925SCL28A-NS</stp>
        <stp>Face Value</stp>
        <tr r="Q895" s="1"/>
      </tp>
      <tp>
        <v>1000</v>
        <stp/>
        <stp>nse_cm|925SCL25A-NH</stp>
        <stp>Face Value</stp>
        <tr r="Q715" s="1"/>
      </tp>
      <tp>
        <v>-100</v>
        <stp/>
        <stp>bse_cm|829PFL29</stp>
        <stp>% Change</stp>
        <tr r="J930" s="1"/>
      </tp>
      <tp>
        <v>1000</v>
        <stp/>
        <stp>nse_cm|925SCL29A-ZM</stp>
        <stp>Face Value</stp>
        <tr r="Q1352" s="1"/>
      </tp>
      <tp>
        <v>1000</v>
        <stp/>
        <stp>nse_cm|925SCL26A-YN</stp>
        <stp>Face Value</stp>
        <tr r="Q838" s="1"/>
      </tp>
      <tp>
        <v>1000</v>
        <stp/>
        <stp>nse_cm|948SCL26A-NN</stp>
        <stp>Face Value</stp>
        <tr r="Q526" s="1"/>
      </tp>
      <tp>
        <v>1000</v>
        <stp/>
        <stp>nse_cm|940SCL26A-NK</stp>
        <stp>Face Value</stp>
        <tr r="Q906" s="1"/>
      </tp>
      <tp>
        <v>1000</v>
        <stp/>
        <stp>nse_cm|948SCL27A-ZJ</stp>
        <stp>Face Value</stp>
        <tr r="Q845" s="1"/>
      </tp>
      <tp>
        <v>1000</v>
        <stp/>
        <stp>nse_cm|950SCL23A-AP</stp>
        <stp>Face Value</stp>
        <tr r="Q1145" s="1"/>
      </tp>
      <tp t="s">
        <v>9SCL26BA</v>
        <stp/>
        <stp>nse_cm|9SCL26BA-NA</stp>
        <stp>Symbol</stp>
        <tr r="A122" s="1"/>
      </tp>
      <tp>
        <v>1000</v>
        <stp/>
        <stp>nse_cm|955SCL27A-ZJ</stp>
        <stp>Face Value</stp>
        <tr r="Q1437" s="1"/>
      </tp>
      <tp>
        <v>0</v>
        <stp/>
        <stp>nse_cm|957ICCL28-NW</stp>
        <stp>Open</stp>
        <tr r="M762" s="1"/>
      </tp>
      <tp>
        <v>20</v>
        <stp/>
        <stp>nse_cm|957IIFLS27-NA</stp>
        <stp>Bid Qty</stp>
        <tr r="D1495" s="1"/>
      </tp>
      <tp>
        <v>1000</v>
        <stp/>
        <stp>nse_cm|965SCL28A-NQ</stp>
        <stp>Face Value</stp>
        <tr r="Q897" s="1"/>
      </tp>
      <tp>
        <v>1000</v>
        <stp/>
        <stp>nse_cm|965SCL25A-NF</stp>
        <stp>Face Value</stp>
        <tr r="Q163" s="1"/>
      </tp>
      <tp>
        <v>1000</v>
        <stp/>
        <stp>nse_cm|965SCL26A-ZB</stp>
        <stp>Face Value</stp>
        <tr r="Q135" s="1"/>
      </tp>
      <tp>
        <v>0</v>
        <stp/>
        <stp>bse_cm|MHLZC26</stp>
        <stp>Ask Rate</stp>
        <tr r="F1522" s="1"/>
      </tp>
      <tp>
        <v>1000</v>
        <stp/>
        <stp>nse_cm|971SCL28A-NT</stp>
        <stp>Face Value</stp>
        <tr r="Q680" s="1"/>
      </tp>
      <tp>
        <v>1000</v>
        <stp/>
        <stp>nse_cm|971SCL29A-ZN</stp>
        <stp>Face Value</stp>
        <tr r="Q861" s="1"/>
      </tp>
      <tp>
        <v>20</v>
        <stp/>
        <stp>bse_cm|97EFSL31</stp>
        <stp>Bid Qty</stp>
        <tr r="D635" s="1"/>
      </tp>
      <tp>
        <v>900</v>
        <stp/>
        <stp>nse_cm|980SCL33A-N3</stp>
        <stp>Face Value</stp>
        <tr r="Q1055" s="1"/>
      </tp>
      <tp>
        <v>1000</v>
        <stp/>
        <stp>bse_cm|984IFSL26</stp>
        <stp>Face Value</stp>
        <tr r="Q457" s="1"/>
      </tp>
      <tp>
        <v>1000</v>
        <stp/>
        <stp>nse_cm|990SCL26A-NL</stp>
        <stp>Face Value</stp>
        <tr r="Q1049" s="1"/>
      </tp>
      <tp>
        <v>940.35</v>
        <stp/>
        <stp>nse_cm|889SCFL27-YC</stp>
        <stp>High</stp>
        <tr r="N595" s="1"/>
      </tp>
      <tp>
        <v>833</v>
        <stp/>
        <stp>nse_cm|CAGL26-NA</stp>
        <stp>Prev Close</stp>
        <tr r="P735" s="1"/>
      </tp>
      <tp t="s">
        <v>NSE</v>
        <stp/>
        <stp>nse_cm|94SFL28-YL</stp>
        <stp>Exchange</stp>
        <tr r="C5" s="1"/>
      </tp>
      <tp>
        <v>-100</v>
        <stp/>
        <stp>bse_cm|718REC35</stp>
        <stp>% Change</stp>
        <tr r="J549" s="1"/>
      </tp>
      <tp>
        <v>1000</v>
        <stp/>
        <stp>bse_cm|980IFSL25</stp>
        <stp>Face Value</stp>
        <tr r="Q474" s="1"/>
      </tp>
      <tp>
        <v>0</v>
        <stp/>
        <stp>nse_cm|980SCL33A-N3</stp>
        <stp>Bid Rate</stp>
        <tr r="E1055" s="1"/>
      </tp>
      <tp t="s">
        <v>NSE</v>
        <stp/>
        <stp>nse_cm|9IIFL28-Y0</stp>
        <stp>Exchange</stp>
        <tr r="C175" s="1"/>
      </tp>
      <tp>
        <v>986.22</v>
        <stp/>
        <stp>bse_cm|875EFSL24A</stp>
        <stp>Open</stp>
        <tr r="M229" s="1"/>
      </tp>
      <tp>
        <v>-100</v>
        <stp/>
        <stp>bse_cm|879SCL26</stp>
        <stp>% Change</stp>
        <tr r="J1351" s="1"/>
      </tp>
      <tp>
        <v>-100</v>
        <stp/>
        <stp>bse_cm|889SCL26</stp>
        <stp>% Change</stp>
        <tr r="J237" s="1"/>
      </tp>
      <tp>
        <v>990</v>
        <stp/>
        <stp>bse_cm|948IFSL25B</stp>
        <stp>Open</stp>
        <tr r="M599" s="1"/>
      </tp>
      <tp>
        <v>22</v>
        <stp/>
        <stp>bse_cm|9ICCL23A</stp>
        <stp>Bid Qty</stp>
        <tr r="D1434" s="1"/>
      </tp>
      <tp>
        <v>-100</v>
        <stp/>
        <stp>bse_cm|889SCL27</stp>
        <stp>% Change</stp>
        <tr r="J121" s="1"/>
      </tp>
      <tp>
        <v>-100</v>
        <stp/>
        <stp>bse_cm|939SCL27</stp>
        <stp>% Change</stp>
        <tr r="J985" s="1"/>
      </tp>
      <tp>
        <v>190</v>
        <stp/>
        <stp>bse_cm|9IIFL28A</stp>
        <stp>Bid Qty</stp>
        <tr r="D218" s="1"/>
      </tp>
      <tp>
        <v>0</v>
        <stp/>
        <stp>bse_cm|1050ISFL28</stp>
        <stp>Open</stp>
        <tr r="M1497" s="1"/>
      </tp>
      <tp>
        <v>0</v>
        <stp/>
        <stp>bse_cm|1003ISFL28</stp>
        <stp>Open</stp>
        <tr r="M1456" s="1"/>
      </tp>
      <tp t="s">
        <v>BSE</v>
        <stp/>
        <stp>bse_cm|JMFPTBIL25</stp>
        <stp>Exchange</stp>
        <tr r="C9" s="1"/>
      </tp>
      <tp>
        <v>1000</v>
        <stp/>
        <stp>bse_cm|88MMFSL26</stp>
        <stp>Face Value</stp>
        <tr r="Q988" s="1"/>
      </tp>
      <tp>
        <v>10</v>
        <stp/>
        <stp>bse_cm|879SCL26</stp>
        <stp>Bid Qty</stp>
        <tr r="D1351" s="1"/>
      </tp>
      <tp t="s">
        <v>BSE</v>
        <stp/>
        <stp>bse_cm|EFSL28A</stp>
        <stp>Exchange</stp>
        <tr r="C1335" s="1"/>
      </tp>
      <tp>
        <v>54</v>
        <stp/>
        <stp>bse_cm|875SFL25</stp>
        <stp>Bid Qty</stp>
        <tr r="D936" s="1"/>
      </tp>
      <tp>
        <v>50</v>
        <stp/>
        <stp>bse_cm|875SFL27</stp>
        <stp>Bid Qty</stp>
        <tr r="D578" s="1"/>
      </tp>
      <tp>
        <v>7</v>
        <stp/>
        <stp>bse_cm|875SCL27</stp>
        <stp>Bid Qty</stp>
        <tr r="D722" s="1"/>
      </tp>
      <tp>
        <v>5</v>
        <stp/>
        <stp>bse_cm|975SCL28</stp>
        <stp>Bid Qty</stp>
        <tr r="D1485" s="1"/>
      </tp>
      <tp>
        <v>50</v>
        <stp/>
        <stp>bse_cm|975MFL29</stp>
        <stp>Bid Qty</stp>
        <tr r="D683" s="1"/>
      </tp>
      <tp>
        <v>20</v>
        <stp/>
        <stp>bse_cm|875MFL28</stp>
        <stp>Bid Qty</stp>
        <tr r="D689" s="1"/>
      </tp>
      <tp>
        <v>400</v>
        <stp/>
        <stp>bse_cm|775MFL27</stp>
        <stp>Bid Qty</stp>
        <tr r="D694" s="1"/>
      </tp>
      <tp>
        <v>10</v>
        <stp/>
        <stp>bse_cm|775MFL26</stp>
        <stp>Bid Qty</stp>
        <tr r="D328" s="1"/>
      </tp>
      <tp>
        <v>50</v>
        <stp/>
        <stp>bse_cm|975NFL25</stp>
        <stp>Bid Qty</stp>
        <tr r="D623" s="1"/>
      </tp>
      <tp>
        <v>190</v>
        <stp/>
        <stp>bse_cm|875MFL26</stp>
        <stp>Bid Qty</stp>
        <tr r="D161" s="1"/>
      </tp>
      <tp>
        <v>15</v>
        <stp/>
        <stp>bse_cm|975MML25</stp>
        <stp>Bid Qty</stp>
        <tr r="D852" s="1"/>
      </tp>
      <tp>
        <v>130</v>
        <stp/>
        <stp>bse_cm|775MFL25</stp>
        <stp>Bid Qty</stp>
        <tr r="D1369" s="1"/>
      </tp>
      <tp>
        <v>50</v>
        <stp/>
        <stp>bse_cm|975MFL25</stp>
        <stp>Bid Qty</stp>
        <tr r="D855" s="1"/>
      </tp>
      <tp>
        <v>5</v>
        <stp/>
        <stp>bse_cm|875KFL25</stp>
        <stp>Bid Qty</stp>
        <tr r="D50" s="1"/>
      </tp>
      <tp>
        <v>10</v>
        <stp/>
        <stp>bse_cm|975IML26</stp>
        <stp>Bid Qty</stp>
        <tr r="D646" s="1"/>
      </tp>
      <tp>
        <v>20</v>
        <stp/>
        <stp>bse_cm|875KFL26</stp>
        <stp>Bid Qty</stp>
        <tr r="D1156" s="1"/>
      </tp>
      <tp>
        <v>0</v>
        <stp/>
        <stp>nse_cm|980SCL33C-ND</stp>
        <stp>Bid Rate</stp>
        <tr r="E1385" s="1"/>
      </tp>
      <tp>
        <v>805.2</v>
        <stp/>
        <stp>nse_cm|931SFL26A-NA</stp>
        <stp>Bid Rate</stp>
        <tr r="E786" s="1"/>
      </tp>
      <tp>
        <v>989.8</v>
        <stp/>
        <stp>bse_cm|9MFL27A</stp>
        <stp>Ask Rate</stp>
        <tr r="F257" s="1"/>
      </tp>
      <tp>
        <v>100</v>
        <stp/>
        <stp>bse_cm|870MFL27</stp>
        <stp>Bid Qty</stp>
        <tr r="D399" s="1"/>
      </tp>
      <tp>
        <v>1027</v>
        <stp/>
        <stp>bse_cm|82IGT31</stp>
        <stp>High</stp>
        <tr r="N383" s="1"/>
      </tp>
      <tp>
        <v>0</v>
        <stp/>
        <stp>bse_cm|9TCAP28</stp>
        <stp>LTP</stp>
        <tr r="H545" s="1"/>
      </tp>
      <tp t="s">
        <v>00:00:00</v>
        <stp/>
        <stp>bse_cm|9TCAP28</stp>
        <stp>LTT</stp>
        <tr r="I545" s="1"/>
      </tp>
      <tp>
        <v>9</v>
        <stp/>
        <stp>bse_cm|971SCL29</stp>
        <stp>Bid Qty</stp>
        <tr r="D521" s="1"/>
      </tp>
      <tp>
        <v>0</v>
        <stp/>
        <stp>bse_cm|971SCL28</stp>
        <stp>Bid Qty</stp>
        <tr r="D1028" s="1"/>
      </tp>
      <tp>
        <v>0</v>
        <stp/>
        <stp>nse_cm|984ICCL26A-NK</stp>
        <stp>Ask Qty</stp>
        <tr r="G716" s="1"/>
      </tp>
      <tp>
        <v>0</v>
        <stp/>
        <stp>nse_cm|867PFCL33-N7</stp>
        <stp>Open</stp>
        <tr r="M550" s="1"/>
      </tp>
      <tp>
        <v>0</v>
        <stp/>
        <stp>bse_cm|1030ICCL28</stp>
        <stp>Open</stp>
        <tr r="M1521" s="1"/>
      </tp>
      <tp>
        <v>0</v>
        <stp/>
        <stp>bse_cm|1003ICCL28</stp>
        <stp>Open</stp>
        <tr r="M655" s="1"/>
      </tp>
      <tp>
        <v>0</v>
        <stp/>
        <stp>bse_cm|1050ICCL28</stp>
        <stp>Open</stp>
        <tr r="M1133" s="1"/>
      </tp>
      <tp>
        <v>1000</v>
        <stp/>
        <stp>nse_cm|971SCL28A-NT</stp>
        <stp>Bid Rate</stp>
        <tr r="E680" s="1"/>
      </tp>
      <tp>
        <v>0</v>
        <stp/>
        <stp>bse_cm|847SCL25</stp>
        <stp>Ask Qty</stp>
        <tr r="G941" s="1"/>
      </tp>
      <tp>
        <v>0</v>
        <stp/>
        <stp>bse_cm|944MFL28</stp>
        <stp>Ask Qty</stp>
        <tr r="G677" s="1"/>
      </tp>
      <tp>
        <v>1000</v>
        <stp/>
        <stp>bse_cm|93SCL25</stp>
        <stp>High</stp>
        <tr r="N729" s="1"/>
      </tp>
      <tp>
        <v>0</v>
        <stp/>
        <stp>nse_cm|957ISFL26-N2</stp>
        <stp>Open</stp>
        <tr r="M245" s="1"/>
      </tp>
      <tp>
        <v>930</v>
        <stp/>
        <stp>bse_cm|971SCL28I</stp>
        <stp>Prev Close</stp>
        <tr r="P1471" s="1"/>
      </tp>
      <tp>
        <v>1000</v>
        <stp/>
        <stp>bse_cm|971SCL28B</stp>
        <stp>Prev Close</stp>
        <tr r="P714" s="1"/>
      </tp>
      <tp>
        <v>800</v>
        <stp/>
        <stp>bse_cm|971SCL28C</stp>
        <stp>Prev Close</stp>
        <tr r="P827" s="1"/>
      </tp>
      <tp>
        <v>912</v>
        <stp/>
        <stp>bse_cm|971SCL28A</stp>
        <stp>Prev Close</stp>
        <tr r="P1027" s="1"/>
      </tp>
      <tp>
        <v>979</v>
        <stp/>
        <stp>bse_cm|971SCL29A</stp>
        <stp>Prev Close</stp>
        <tr r="P862" s="1"/>
      </tp>
      <tp>
        <v>1057</v>
        <stp/>
        <stp>bse_cm|93SCL24</stp>
        <stp>High</stp>
        <tr r="N945" s="1"/>
      </tp>
      <tp>
        <v>0</v>
        <stp/>
        <stp>nse_cm|848NTPC28-N2</stp>
        <stp>Open</stp>
        <tr r="M1405" s="1"/>
      </tp>
      <tp t="s">
        <v>00:00:00</v>
        <stp/>
        <stp>bse_cm|10MMLTD24</stp>
        <stp>LTT</stp>
        <tr r="I1615" s="1"/>
      </tp>
      <tp>
        <v>0</v>
        <stp/>
        <stp>bse_cm|10MMLTD24</stp>
        <stp>LTP</stp>
        <tr r="H1615" s="1"/>
      </tp>
      <tp>
        <v>0</v>
        <stp/>
        <stp>bse_cm|843SCL27</stp>
        <stp>Ask Qty</stp>
        <tr r="G928" s="1"/>
      </tp>
      <tp>
        <v>50</v>
        <stp/>
        <stp>bse_cm|943ECL28</stp>
        <stp>Ask Qty</stp>
        <tr r="G124" s="1"/>
      </tp>
      <tp>
        <v>0</v>
        <stp/>
        <stp>bse_cm|82IGT31</stp>
        <stp>Volume Traded Today</stp>
        <tr r="L383" s="1"/>
      </tp>
      <tp t="e">
        <v>#N/A</v>
        <stp/>
        <stp>bse_cm|975SFL024</stp>
        <stp>Prev Close</stp>
        <tr r="P31" s="1"/>
      </tp>
      <tp>
        <v>0</v>
        <stp/>
        <stp>bse_cm|940SCL26</stp>
        <stp>Ask Qty</stp>
        <tr r="G778" s="1"/>
      </tp>
      <tp>
        <v>0</v>
        <stp/>
        <stp>bse_cm|940SCL27</stp>
        <stp>Ask Qty</stp>
        <tr r="G792" s="1"/>
      </tp>
      <tp>
        <v>0</v>
        <stp/>
        <stp>bse_cm|950KLM25</stp>
        <stp>Ask Qty</stp>
        <tr r="G1150" s="1"/>
      </tp>
      <tp>
        <v>10</v>
        <stp/>
        <stp>bse_cm|840MFL27</stp>
        <stp>Ask Qty</stp>
        <tr r="G133" s="1"/>
      </tp>
      <tp>
        <v>0</v>
        <stp/>
        <stp>bse_cm|801TCH28</stp>
        <stp>Ask Qty</stp>
        <tr r="G1182" s="1"/>
      </tp>
      <tp>
        <v>10</v>
        <stp/>
        <stp>bse_cm|801TCH25</stp>
        <stp>Ask Qty</stp>
        <tr r="G562" s="1"/>
      </tp>
      <tp>
        <v>990</v>
        <stp/>
        <stp>bse_cm|875SCL23A</stp>
        <stp>Prev Close</stp>
        <tr r="P194" s="1"/>
      </tp>
      <tp>
        <v>954</v>
        <stp/>
        <stp>bse_cm|875MFL26A</stp>
        <stp>Prev Close</stp>
        <tr r="P286" s="1"/>
      </tp>
      <tp>
        <v>1004.99</v>
        <stp/>
        <stp>bse_cm|975MFL24B</stp>
        <stp>Prev Close</stp>
        <tr r="P415" s="1"/>
      </tp>
      <tp>
        <v>975</v>
        <stp/>
        <stp>bse_cm|875KFL25A</stp>
        <stp>Prev Close</stp>
        <tr r="P1157" s="1"/>
      </tp>
      <tp>
        <v>970</v>
        <stp/>
        <stp>bse_cm|875KFL26A</stp>
        <stp>Prev Close</stp>
        <tr r="P1155" s="1"/>
      </tp>
      <tp>
        <v>990</v>
        <stp/>
        <stp>bse_cm|975MFL29A</stp>
        <stp>Prev Close</stp>
        <tr r="P854" s="1"/>
      </tp>
      <tp>
        <v>970</v>
        <stp/>
        <stp>bse_cm|95KFL27</stp>
        <stp xml:space="preserve">Low </stp>
        <tr r="O607" s="1"/>
      </tp>
      <tp>
        <v>970</v>
        <stp/>
        <stp>bse_cm|95KFL26</stp>
        <stp xml:space="preserve">Low </stp>
        <tr r="O253" s="1"/>
      </tp>
      <tp>
        <v>975.27</v>
        <stp/>
        <stp>bse_cm|95KLM25</stp>
        <stp xml:space="preserve">Low </stp>
        <tr r="O73" s="1"/>
      </tp>
      <tp>
        <v>970</v>
        <stp/>
        <stp>bse_cm|85KFL25</stp>
        <stp xml:space="preserve">Low </stp>
        <tr r="O641" s="1"/>
      </tp>
      <tp t="s">
        <v>9TCAP28</v>
        <stp/>
        <stp>bse_cm|9TCAP28</stp>
        <stp>Trading Symbol</stp>
        <tr r="B545" s="1"/>
      </tp>
      <tp>
        <v>940.58</v>
        <stp/>
        <stp>bse_cm|85IFL26</stp>
        <stp xml:space="preserve">Low </stp>
        <tr r="O1357" s="1"/>
      </tp>
      <tp>
        <v>0</v>
        <stp/>
        <stp>bse_cm|1050IIFL29</stp>
        <stp>Open</stp>
        <tr r="M763" s="1"/>
      </tp>
      <tp>
        <v>0</v>
        <stp/>
        <stp>bse_cm|1003IIFL29</stp>
        <stp>Open</stp>
        <tr r="M1078" s="1"/>
      </tp>
      <tp>
        <v>1020.2</v>
        <stp/>
        <stp>bse_cm|1030IFSL26</stp>
        <stp>Open</stp>
        <tr r="M1654" s="1"/>
      </tp>
      <tp>
        <v>997.8</v>
        <stp/>
        <stp>bse_cm|95MFL25</stp>
        <stp xml:space="preserve">Low </stp>
        <tr r="O1420" s="1"/>
      </tp>
      <tp>
        <v>0</v>
        <stp/>
        <stp>bse_cm|1175ICLF25</stp>
        <stp>Open</stp>
        <tr r="M1222" s="1"/>
      </tp>
      <tp>
        <v>0</v>
        <stp/>
        <stp>bse_cm|1225ICLF26</stp>
        <stp>Open</stp>
        <tr r="M1217" s="1"/>
      </tp>
      <tp>
        <v>25</v>
        <stp/>
        <stp>bse_cm|948SCL26</stp>
        <stp>Ask Qty</stp>
        <tr r="G1647" s="1"/>
      </tp>
      <tp>
        <v>0</v>
        <stp/>
        <stp>bse_cm|948SCL27</stp>
        <stp>Ask Qty</stp>
        <tr r="G1079" s="1"/>
      </tp>
      <tp>
        <v>1061</v>
        <stp/>
        <stp>bse_cm|85LTF26</stp>
        <stp xml:space="preserve">Low </stp>
        <tr r="O410" s="1"/>
      </tp>
      <tp>
        <v>0</v>
        <stp/>
        <stp>bse_cm|1025ICCL26</stp>
        <stp>Open</stp>
        <tr r="M1175" s="1"/>
      </tp>
      <tp t="s">
        <v>BSE</v>
        <stp/>
        <stp>bse_cm|925MFCL26</stp>
        <stp>Exchange</stp>
        <tr r="C1610" s="1"/>
      </tp>
      <tp t="s">
        <v>BSE</v>
        <stp/>
        <stp>bse_cm|940MFCL26</stp>
        <stp>Exchange</stp>
        <tr r="C200" s="1"/>
      </tp>
      <tp t="s">
        <v>BSE</v>
        <stp/>
        <stp>bse_cm|105MMFL25</stp>
        <stp>Exchange</stp>
        <tr r="C1171" s="1"/>
      </tp>
      <tp t="s">
        <v>INE148I07RY3</v>
        <stp/>
        <stp>nse_cm|SCLZC26F-Y9</stp>
        <stp>Isin code</stp>
        <tr r="R800" s="1"/>
      </tp>
      <tp t="s">
        <v>BSE</v>
        <stp/>
        <stp>bse_cm|10MMLTD24</stp>
        <stp>Exchange</stp>
        <tr r="C1615" s="1"/>
      </tp>
      <tp t="s">
        <v>BSE</v>
        <stp/>
        <stp>bse_cm|890MFCL26</stp>
        <stp>Exchange</stp>
        <tr r="C279" s="1"/>
      </tp>
      <tp t="s">
        <v>BSE</v>
        <stp/>
        <stp>bse_cm|915MFCL27</stp>
        <stp>Exchange</stp>
        <tr r="C1472" s="1"/>
      </tp>
      <tp t="s">
        <v>BSE</v>
        <stp/>
        <stp>bse_cm|925MFCL27</stp>
        <stp>Exchange</stp>
        <tr r="C262" s="1"/>
      </tp>
      <tp t="s">
        <v>BSE</v>
        <stp/>
        <stp>bse_cm|950MFCL27</stp>
        <stp>Exchange</stp>
        <tr r="C1148" s="1"/>
      </tp>
      <tp t="s">
        <v>BSE</v>
        <stp/>
        <stp>bse_cm|965MFCL27</stp>
        <stp>Exchange</stp>
        <tr r="C618" s="1"/>
      </tp>
      <tp t="s">
        <v>BSE</v>
        <stp/>
        <stp>bse_cm|88MMFSL26</stp>
        <stp>Exchange</stp>
        <tr r="C988" s="1"/>
      </tp>
      <tp t="s">
        <v>BSE</v>
        <stp/>
        <stp>bse_cm|92MMFSL27</stp>
        <stp>Exchange</stp>
        <tr r="C384" s="1"/>
      </tp>
      <tp t="s">
        <v>BSE</v>
        <stp/>
        <stp>bse_cm|93MMFSL27</stp>
        <stp>Exchange</stp>
        <tr r="C333" s="1"/>
      </tp>
      <tp>
        <v>0</v>
        <stp/>
        <stp>bse_cm|MML27524A</stp>
        <stp xml:space="preserve">Low </stp>
        <tr r="O1250" s="1"/>
      </tp>
      <tp>
        <v>0</v>
        <stp/>
        <stp>bse_cm|1025ICCL26</stp>
        <stp>Ask Qty</stp>
        <tr r="G1175" s="1"/>
      </tp>
      <tp>
        <v>0</v>
        <stp/>
        <stp>bse_cm|MMFLZC27D</stp>
        <stp>Ask Rate</stp>
        <tr r="F1406" s="1"/>
      </tp>
      <tp>
        <v>1631.9</v>
        <stp/>
        <stp>bse_cm|840IRFC29</stp>
        <stp>Ask Rate</stp>
        <tr r="F1634" s="1"/>
      </tp>
      <tp>
        <v>1169.99</v>
        <stp/>
        <stp>bse_cm|865IRFC29</stp>
        <stp>Ask Rate</stp>
        <tr r="F501" s="1"/>
      </tp>
      <tp>
        <v>0</v>
        <stp/>
        <stp>bse_cm|739HUDC31</stp>
        <stp>Ask Rate</stp>
        <tr r="F1347" s="1"/>
      </tp>
      <tp>
        <v>1100</v>
        <stp/>
        <stp>bse_cm|704IRFC26</stp>
        <stp>Ask Rate</stp>
        <tr r="F557" s="1"/>
      </tp>
      <tp>
        <v>1029.78</v>
        <stp/>
        <stp>bse_cm|729IRFC26</stp>
        <stp>Ask Rate</stp>
        <tr r="F367" s="1"/>
      </tp>
      <tp>
        <v>1206</v>
        <stp/>
        <stp>bse_cm|707IRFC25</stp>
        <stp>Ask Rate</stp>
        <tr r="F1653" s="1"/>
      </tp>
      <tp>
        <v>1018.1</v>
        <stp/>
        <stp>bse_cm|732IRFC25</stp>
        <stp>Ask Rate</stp>
        <tr r="F174" s="1"/>
      </tp>
      <tp>
        <v>50</v>
        <stp/>
        <stp>bse_cm|1075KAFL29</stp>
        <stp>Ask Qty</stp>
        <tr r="G125" s="1"/>
      </tp>
      <tp>
        <v>0</v>
        <stp/>
        <stp>bse_cm|1075KAFL28</stp>
        <stp>Ask Qty</stp>
        <tr r="G1118" s="1"/>
      </tp>
      <tp>
        <v>0</v>
        <stp/>
        <stp>bse_cm|1025KAFL25</stp>
        <stp>Ask Qty</stp>
        <tr r="G770" s="1"/>
      </tp>
      <tp>
        <v>0</v>
        <stp/>
        <stp>bse_cm|1025KAFL27</stp>
        <stp>Ask Qty</stp>
        <tr r="G769" s="1"/>
      </tp>
      <tp>
        <v>0</v>
        <stp/>
        <stp>bse_cm|1125KAFL27</stp>
        <stp>Ask Qty</stp>
        <tr r="G1228" s="1"/>
      </tp>
      <tp>
        <v>0</v>
        <stp/>
        <stp>bse_cm|MMFLZC27A</stp>
        <stp>Ask Rate</stp>
        <tr r="F1260" s="1"/>
      </tp>
      <tp t="e">
        <v>#N/A</v>
        <stp/>
        <stp>bse_cm|1025MHFL24</stp>
        <stp>Ask Qty</stp>
        <tr r="G29" s="1"/>
      </tp>
      <tp t="e">
        <v>#N/A</v>
        <stp/>
        <stp>bse_cm|1065MHFL24</stp>
        <stp>Ask Qty</stp>
        <tr r="G36" s="1"/>
      </tp>
      <tp>
        <v>260</v>
        <stp/>
        <stp>bse_cm|1025MMFL26</stp>
        <stp>Ask Qty</stp>
        <tr r="G320" s="1"/>
      </tp>
      <tp>
        <v>0</v>
        <stp/>
        <stp>bse_cm|MMFLZC27C</stp>
        <stp>Ask Rate</stp>
        <tr r="F1463" s="1"/>
      </tp>
      <tp>
        <v>100</v>
        <stp/>
        <stp>bse_cm|1025NWFL25</stp>
        <stp>Ask Qty</stp>
        <tr r="G154" s="1"/>
      </tp>
      <tp>
        <v>0</v>
        <stp/>
        <stp>bse_cm|1075NHFL34</stp>
        <stp>Ask Qty</stp>
        <tr r="G1553" s="1"/>
      </tp>
      <tp>
        <v>0</v>
        <stp/>
        <stp>bse_cm|1026NIDO34</stp>
        <stp>Ask Qty</stp>
        <tr r="G1018" s="1"/>
      </tp>
      <tp>
        <v>0</v>
        <stp/>
        <stp>bse_cm|1025NWFL30</stp>
        <stp>Ask Qty</stp>
        <tr r="G1026" s="1"/>
      </tp>
      <tp>
        <v>0</v>
        <stp/>
        <stp>bse_cm|MMFLZC27B</stp>
        <stp>Ask Rate</stp>
        <tr r="F1570" s="1"/>
      </tp>
      <tp t="s">
        <v>BSE</v>
        <stp/>
        <stp>bse_cm|950MMFL25</stp>
        <stp>Exchange</stp>
        <tr r="C1526" s="1"/>
      </tp>
      <tp t="s">
        <v>BSE</v>
        <stp/>
        <stp>bse_cm|975MMFL24</stp>
        <stp>Exchange</stp>
        <tr r="C853" s="1"/>
      </tp>
      <tp t="s">
        <v>BSE</v>
        <stp/>
        <stp>bse_cm|915MMFS24</stp>
        <stp>Exchange</stp>
        <tr r="C1752" s="1"/>
      </tp>
      <tp>
        <v>0</v>
        <stp/>
        <stp>bse_cm|CIFCZC28A</stp>
        <stp>Ask Rate</stp>
        <tr r="F1396" s="1"/>
      </tp>
      <tp>
        <v>1000</v>
        <stp/>
        <stp>nse_cm|971SCL29-Z0</stp>
        <stp>Face Value</stp>
        <tr r="Q681" s="1"/>
      </tp>
      <tp>
        <v>1000</v>
        <stp/>
        <stp>nse_cm|965SCL29-YX</stp>
        <stp>Face Value</stp>
        <tr r="Q847" s="1"/>
      </tp>
      <tp>
        <v>1000</v>
        <stp/>
        <stp>nse_cm|925SCL29-YZ</stp>
        <stp>Face Value</stp>
        <tr r="Q851" s="1"/>
      </tp>
      <tp t="s">
        <v>BSE</v>
        <stp/>
        <stp>bse_cm|950MMFL26</stp>
        <stp>Exchange</stp>
        <tr r="C291" s="1"/>
      </tp>
      <tp t="s">
        <v>BSE</v>
        <stp/>
        <stp>bse_cm|975MMFL26</stp>
        <stp>Exchange</stp>
        <tr r="C215" s="1"/>
      </tp>
      <tp t="s">
        <v>BSE</v>
        <stp/>
        <stp>bse_cm|825MMFS27</stp>
        <stp>Exchange</stp>
        <tr r="C1381" s="1"/>
      </tp>
      <tp>
        <v>0</v>
        <stp/>
        <stp>bse_cm|1075CCIL26</stp>
        <stp>Ask Qty</stp>
        <tr r="G1120" s="1"/>
      </tp>
      <tp>
        <v>0</v>
        <stp/>
        <stp>bse_cm|1075CCIL25</stp>
        <stp>Ask Qty</stp>
        <tr r="G1121" s="1"/>
      </tp>
      <tp>
        <v>1000</v>
        <stp/>
        <stp>nse_cm|846REC28-N6</stp>
        <stp>Face Value</stp>
        <tr r="Q548" s="1"/>
      </tp>
      <tp>
        <v>1000</v>
        <stp/>
        <stp>nse_cm|871REC28-N9</stp>
        <stp>Face Value</stp>
        <tr r="Q542" s="1"/>
      </tp>
      <tp>
        <v>0</v>
        <stp/>
        <stp>bse_cm|1045EFSL33</stp>
        <stp>Ask Qty</stp>
        <tr r="G1382" s="1"/>
      </tp>
      <tp>
        <v>0</v>
        <stp/>
        <stp>bse_cm|1045EFSL34</stp>
        <stp>Ask Qty</stp>
        <tr r="G1413" s="1"/>
      </tp>
      <tp>
        <v>1072</v>
        <stp/>
        <stp>nse_cm|865LTF26-NN</stp>
        <stp>Prev Close</stp>
        <tr r="P392" s="1"/>
      </tp>
      <tp>
        <v>0</v>
        <stp/>
        <stp>bse_cm|960ISFL25</stp>
        <stp>Ask Rate</stp>
        <tr r="F871" s="1"/>
      </tp>
      <tp>
        <v>1010</v>
        <stp/>
        <stp>bse_cm|921ISFL25</stp>
        <stp>Ask Rate</stp>
        <tr r="F350" s="1"/>
      </tp>
      <tp>
        <v>0</v>
        <stp/>
        <stp>bse_cm|957ISFL26</stp>
        <stp>Ask Rate</stp>
        <tr r="F761" s="1"/>
      </tp>
      <tp t="s">
        <v>BSE</v>
        <stp/>
        <stp>bse_cm|990MFCL29</stp>
        <stp>Exchange</stp>
        <tr r="C1449" s="1"/>
      </tp>
      <tp t="s">
        <v>BSE</v>
        <stp/>
        <stp>bse_cm|935MFCL29</stp>
        <stp>Exchange</stp>
        <tr r="C239" s="1"/>
      </tp>
      <tp t="s">
        <v>BSE</v>
        <stp/>
        <stp>bse_cm|945MFCL29</stp>
        <stp>Exchange</stp>
        <tr r="C682" s="1"/>
      </tp>
      <tp t="s">
        <v>BSE</v>
        <stp/>
        <stp>bse_cm|975MFCL29</stp>
        <stp>Exchange</stp>
        <tr r="C856" s="1"/>
      </tp>
      <tp t="s">
        <v>BSE</v>
        <stp/>
        <stp>bse_cm|95MMFSL29</stp>
        <stp>Exchange</stp>
        <tr r="C353" s="1"/>
      </tp>
      <tp>
        <v>6685.9</v>
        <stp/>
        <stp>nse_cm|901NHB34-N6</stp>
        <stp>Prev Close</stp>
        <tr r="P520" s="1"/>
      </tp>
      <tp>
        <v>0</v>
        <stp/>
        <stp>bse_cm|940ICCL28</stp>
        <stp>Ask Rate</stp>
        <tr r="F1126" s="1"/>
      </tp>
      <tp>
        <v>0</v>
        <stp/>
        <stp>bse_cm|957ICCL28</stp>
        <stp>Ask Rate</stp>
        <tr r="F1572" s="1"/>
      </tp>
      <tp>
        <v>950.2</v>
        <stp/>
        <stp>bse_cm|925SCFL27</stp>
        <stp>Bid Rate</stp>
        <tr r="E772" s="1"/>
      </tp>
      <tp>
        <v>0</v>
        <stp/>
        <stp>bse_cm|985ICCL28</stp>
        <stp>Ask Rate</stp>
        <tr r="F1483" s="1"/>
      </tp>
      <tp>
        <v>0</v>
        <stp/>
        <stp>bse_cm|980ICCL28</stp>
        <stp>Ask Rate</stp>
        <tr r="F783" s="1"/>
      </tp>
      <tp>
        <v>999</v>
        <stp/>
        <stp>bse_cm|985IIFL22</stp>
        <stp>Ask Rate</stp>
        <tr r="F178" s="1"/>
      </tp>
      <tp>
        <v>6000</v>
        <stp/>
        <stp>nse_cm|890NHB34-N7</stp>
        <stp>Prev Close</stp>
        <tr r="P537" s="1"/>
      </tp>
      <tp>
        <v>6570</v>
        <stp/>
        <stp>nse_cm|865NHB34-N4</stp>
        <stp>Prev Close</stp>
        <tr r="P1166" s="1"/>
      </tp>
      <tp>
        <v>820.2</v>
        <stp/>
        <stp>bse_cm|843SCFL27</stp>
        <stp>Bid Rate</stp>
        <tr r="E1074" s="1"/>
      </tp>
      <tp>
        <v>815.2</v>
        <stp/>
        <stp>bse_cm|875SCFL27</stp>
        <stp>Bid Rate</stp>
        <tr r="E1011" s="1"/>
      </tp>
      <tp>
        <v>1030.0999999999999</v>
        <stp/>
        <stp>bse_cm|990SCFL26</stp>
        <stp>Bid Rate</stp>
        <tr r="E1676" s="1"/>
      </tp>
      <tp>
        <v>901.2</v>
        <stp/>
        <stp>bse_cm|889SCFL27</stp>
        <stp>Bid Rate</stp>
        <tr r="E484" s="1"/>
      </tp>
      <tp>
        <v>1010.2</v>
        <stp/>
        <stp>bse_cm|965SCFL25</stp>
        <stp>Bid Rate</stp>
        <tr r="E1106" s="1"/>
      </tp>
      <tp>
        <v>0</v>
        <stp/>
        <stp>bse_cm|925SCFL25</stp>
        <stp>Bid Rate</stp>
        <tr r="E774" s="1"/>
      </tp>
      <tp>
        <v>825.2</v>
        <stp/>
        <stp>bse_cm|850SCFL25</stp>
        <stp>Bid Rate</stp>
        <tr r="E1099" s="1"/>
      </tp>
      <tp>
        <v>950.2</v>
        <stp/>
        <stp>bse_cm|866SCFL25</stp>
        <stp>Bid Rate</stp>
        <tr r="E342" s="1"/>
      </tp>
      <tp>
        <v>1118.4000000000001</v>
        <stp/>
        <stp>bse_cm|105IIFL29</stp>
        <stp>Ask Rate</stp>
        <tr r="F338" s="1"/>
      </tp>
      <tp>
        <v>820.2</v>
        <stp/>
        <stp>bse_cm|820SCFL25</stp>
        <stp>Bid Rate</stp>
        <tr r="E1059" s="1"/>
      </tp>
      <tp>
        <v>0</v>
        <stp/>
        <stp>bse_cm|850IIFL27</stp>
        <stp>Ask Rate</stp>
        <tr r="F1407" s="1"/>
      </tp>
      <tp>
        <v>1035</v>
        <stp/>
        <stp>bse_cm|84CIFCL28</stp>
        <stp>Ask Rate</stp>
        <tr r="F387" s="1"/>
      </tp>
      <tp>
        <v>958</v>
        <stp/>
        <stp>bse_cm|820IIFL27</stp>
        <stp>Ask Rate</stp>
        <tr r="F176" s="1"/>
      </tp>
      <tp>
        <v>965</v>
        <stp/>
        <stp>bse_cm|842IIFL26</stp>
        <stp>Ask Rate</stp>
        <tr r="F181" s="1"/>
      </tp>
      <tp>
        <v>0</v>
        <stp/>
        <stp>bse_cm|875IIFL26</stp>
        <stp>Ask Rate</stp>
        <tr r="F642" s="1"/>
      </tp>
      <tp>
        <v>0</v>
        <stp/>
        <stp>bse_cm|115ICFL25</stp>
        <stp>Ask Rate</stp>
        <tr r="F1548" s="1"/>
      </tp>
      <tp>
        <v>0</v>
        <stp/>
        <stp>bse_cm|125ICFL26</stp>
        <stp>Ask Rate</stp>
        <tr r="F1214" s="1"/>
      </tp>
      <tp>
        <v>1052.5</v>
        <stp/>
        <stp>bse_cm|825IIFL25</stp>
        <stp>Ask Rate</stp>
        <tr r="F47" s="1"/>
      </tp>
      <tp t="e">
        <v>#N/A</v>
        <stp/>
        <stp>bse_cm|975SFL024</stp>
        <stp>Bid Rate</stp>
        <tr r="E31" s="1"/>
      </tp>
      <tp>
        <v>950.2</v>
        <stp/>
        <stp>bse_cm|925SFCL25</stp>
        <stp>Bid Rate</stp>
        <tr r="E1482" s="1"/>
      </tp>
      <tp>
        <v>1040</v>
        <stp/>
        <stp>bse_cm|945IFSL25</stp>
        <stp>Ask Rate</stp>
        <tr r="F483" s="1"/>
      </tp>
      <tp>
        <v>0</v>
        <stp/>
        <stp>bse_cm|955IFSL25</stp>
        <stp>Ask Rate</stp>
        <tr r="F1470" s="1"/>
      </tp>
      <tp>
        <v>0</v>
        <stp/>
        <stp>bse_cm|966IFSL25</stp>
        <stp>Ask Rate</stp>
        <tr r="F1051" s="1"/>
      </tp>
      <tp>
        <v>1065</v>
        <stp/>
        <stp>bse_cm|980IFSL25</stp>
        <stp>Ask Rate</stp>
        <tr r="F474" s="1"/>
      </tp>
      <tp>
        <v>0</v>
        <stp/>
        <stp>bse_cm|SCFL310524</stp>
        <stp>Ask Qty</stp>
        <tr r="G1241" s="1"/>
      </tp>
      <tp>
        <v>0</v>
        <stp/>
        <stp>bse_cm|1025SCFL34</stp>
        <stp>Ask Qty</stp>
        <tr r="G1025" s="1"/>
      </tp>
      <tp>
        <v>0</v>
        <stp/>
        <stp>bse_cm|1075SCFL34</stp>
        <stp>Ask Qty</stp>
        <tr r="G1020" s="1"/>
      </tp>
      <tp>
        <v>0</v>
        <stp/>
        <stp>bse_cm|1015SCFL29</stp>
        <stp>Ask Qty</stp>
        <tr r="G1355" s="1"/>
      </tp>
      <tp>
        <v>924.94</v>
        <stp/>
        <stp>bse_cm|843IHFL29</stp>
        <stp>Ask Rate</stp>
        <tr r="F139" s="1"/>
      </tp>
      <tp>
        <v>0</v>
        <stp/>
        <stp>bse_cm|875IHFL29</stp>
        <stp>Ask Rate</stp>
        <tr r="F1230" s="1"/>
      </tp>
      <tp>
        <v>920</v>
        <stp/>
        <stp>bse_cm|865IIFL28</stp>
        <stp>Ask Rate</stp>
        <tr r="F75" s="1"/>
      </tp>
      <tp>
        <v>0</v>
        <stp/>
        <stp>bse_cm|965IFSL26</stp>
        <stp>Ask Rate</stp>
        <tr r="F1142" s="1"/>
      </tp>
      <tp>
        <v>1070</v>
        <stp/>
        <stp>bse_cm|984IFSL26</stp>
        <stp>Ask Rate</stp>
        <tr r="F457" s="1"/>
      </tp>
      <tp>
        <v>8</v>
        <stp/>
        <stp>bse_cm|1045NIDO33</stp>
        <stp>Bid Qty</stp>
        <tr r="D71" s="1"/>
      </tp>
      <tp>
        <v>25</v>
        <stp/>
        <stp>bse_cm|1075NIDO34</stp>
        <stp>Bid Qty</stp>
        <tr r="D1021" s="1"/>
      </tp>
      <tp>
        <v>1</v>
        <stp/>
        <stp>bse_cm|1026NHFL34</stp>
        <stp>Bid Qty</stp>
        <tr r="D155" s="1"/>
      </tp>
      <tp>
        <v>1070</v>
        <stp/>
        <stp>bse_cm|957ICCL25</stp>
        <stp>Ask Rate</stp>
        <tr r="F432" s="1"/>
      </tp>
      <tp>
        <v>1015</v>
        <stp/>
        <stp>bse_cm|1015SCL28</stp>
        <stp xml:space="preserve">Low </stp>
        <tr r="O327" s="1"/>
      </tp>
      <tp>
        <v>960</v>
        <stp/>
        <stp>bse_cm|1025SFL28</stp>
        <stp xml:space="preserve">Low </stp>
        <tr r="O100" s="1"/>
      </tp>
      <tp>
        <v>0</v>
        <stp/>
        <stp>bse_cm|1015SCL29</stp>
        <stp xml:space="preserve">Low </stp>
        <tr r="O1177" s="1"/>
      </tp>
      <tp>
        <v>929.18</v>
        <stp/>
        <stp>bse_cm|1025SFL29</stp>
        <stp xml:space="preserve">Low </stp>
        <tr r="O1446" s="1"/>
      </tp>
      <tp>
        <v>815.4</v>
        <stp/>
        <stp>bse_cm|980SCL33D</stp>
        <stp>Bid Rate</stp>
        <tr r="E1022" s="1"/>
      </tp>
      <tp t="s">
        <v>INE148I07OY0</v>
        <stp/>
        <stp>bse_cm|925SCL25F</stp>
        <stp>Isin code</stp>
        <tr r="R719" s="1"/>
      </tp>
      <tp>
        <v>690.1</v>
        <stp/>
        <stp>bse_cm|980SCL33C</stp>
        <stp>Bid Rate</stp>
        <tr r="E1384" s="1"/>
      </tp>
      <tp>
        <v>900.3</v>
        <stp/>
        <stp>bse_cm|835SCL23B</stp>
        <stp>Bid Rate</stp>
        <tr r="E167" s="1"/>
      </tp>
      <tp>
        <v>812.8</v>
        <stp/>
        <stp>bse_cm|980SCL33B</stp>
        <stp>Bid Rate</stp>
        <tr r="E1054" s="1"/>
      </tp>
      <tp>
        <v>722.4</v>
        <stp/>
        <stp>bse_cm|980SCL33A</stp>
        <stp>Bid Rate</stp>
        <tr r="E1056" s="1"/>
      </tp>
      <tp>
        <v>930.2</v>
        <stp/>
        <stp>bse_cm|950SCL23A</stp>
        <stp>Bid Rate</stp>
        <tr r="E1146" s="1"/>
      </tp>
      <tp>
        <v>825.2</v>
        <stp/>
        <stp>bse_cm|920SCL23A</stp>
        <stp>Bid Rate</stp>
        <tr r="E1114" s="1"/>
      </tp>
      <tp>
        <v>900.3</v>
        <stp/>
        <stp>bse_cm|875SCL23A</stp>
        <stp>Bid Rate</stp>
        <tr r="E194" s="1"/>
      </tp>
      <tp>
        <v>816.1</v>
        <stp/>
        <stp>bse_cm|835SCL23A</stp>
        <stp>Bid Rate</stp>
        <tr r="E1104" s="1"/>
      </tp>
      <tp t="s">
        <v>INE148I07RB1</v>
        <stp/>
        <stp>bse_cm|965SCL25F</stp>
        <stp>Isin code</stp>
        <tr r="R673" s="1"/>
      </tp>
      <tp t="s">
        <v>INE027E07AK3</v>
        <stp/>
        <stp>nse_cm|885LTF27-NE</stp>
        <stp>Isin code</stp>
        <tr r="R1007" s="1"/>
      </tp>
      <tp>
        <v>898</v>
        <stp/>
        <stp>bse_cm|1035UCL26</stp>
        <stp xml:space="preserve">Low </stp>
        <tr r="O1626" s="1"/>
      </tp>
      <tp>
        <v>0</v>
        <stp/>
        <stp>bse_cm|1025UCL27</stp>
        <stp xml:space="preserve">Low </stp>
        <tr r="O1019" s="1"/>
      </tp>
      <tp>
        <v>987.03</v>
        <stp/>
        <stp>bse_cm|1035UCL24</stp>
        <stp xml:space="preserve">Low </stp>
        <tr r="O1580" s="1"/>
      </tp>
      <tp>
        <v>969</v>
        <stp/>
        <stp>bse_cm|1025UCL25</stp>
        <stp xml:space="preserve">Low </stp>
        <tr r="O326" s="1"/>
      </tp>
      <tp>
        <v>1034.5</v>
        <stp/>
        <stp>bse_cm|1075UCL25</stp>
        <stp xml:space="preserve">Low </stp>
        <tr r="O515" s="1"/>
      </tp>
      <tp>
        <v>1051.5</v>
        <stp/>
        <stp>bse_cm|950MFL27A</stp>
        <stp>Ask Rate</stp>
        <tr r="F241" s="1"/>
      </tp>
      <tp>
        <v>1000</v>
        <stp/>
        <stp>bse_cm|1025SFL25</stp>
        <stp xml:space="preserve">Low </stp>
        <tr r="O1071" s="1"/>
      </tp>
      <tp>
        <v>1060</v>
        <stp/>
        <stp>bse_cm|850MFL27A</stp>
        <stp>Ask Rate</stp>
        <tr r="F355" s="1"/>
      </tp>
      <tp t="s">
        <v>SCL25B</v>
        <stp/>
        <stp>nse_cm|SCL25B-BI</stp>
        <stp>Symbol</stp>
        <tr r="A1403" s="1"/>
      </tp>
      <tp>
        <v>922</v>
        <stp/>
        <stp>bse_cm|1025MML26</stp>
        <stp xml:space="preserve">Low </stp>
        <tr r="O765" s="1"/>
      </tp>
      <tp>
        <v>1000</v>
        <stp/>
        <stp>bse_cm|1075MML26</stp>
        <stp xml:space="preserve">Low </stp>
        <tr r="O1115" s="1"/>
      </tp>
      <tp>
        <v>996.72</v>
        <stp/>
        <stp>bse_cm|1025NFL25</stp>
        <stp xml:space="preserve">Low </stp>
        <tr r="O624" s="1"/>
      </tp>
      <tp>
        <v>1019</v>
        <stp/>
        <stp>bse_cm|1075NFL25</stp>
        <stp xml:space="preserve">Low </stp>
        <tr r="O643" s="1"/>
      </tp>
      <tp>
        <v>995</v>
        <stp/>
        <stp>bse_cm|1125MML27</stp>
        <stp xml:space="preserve">Low </stp>
        <tr r="O592" s="1"/>
      </tp>
      <tp>
        <v>960</v>
        <stp/>
        <stp>bse_cm|1075MML27</stp>
        <stp xml:space="preserve">Low </stp>
        <tr r="O1510" s="1"/>
      </tp>
      <tp>
        <v>1002</v>
        <stp/>
        <stp>bse_cm|1065NFL27</stp>
        <stp xml:space="preserve">Low </stp>
        <tr r="O182" s="1"/>
      </tp>
      <tp>
        <v>839.5</v>
        <stp/>
        <stp>bse_cm|1025MML25</stp>
        <stp xml:space="preserve">Low </stp>
        <tr r="O766" s="1"/>
      </tp>
      <tp>
        <v>868.2</v>
        <stp/>
        <stp>bse_cm|1015MML25</stp>
        <stp xml:space="preserve">Low </stp>
        <tr r="O1103" s="1"/>
      </tp>
      <tp>
        <v>0</v>
        <stp/>
        <stp>bse_cm|1175IFL26</stp>
        <stp xml:space="preserve">Low </stp>
        <tr r="O1221" s="1"/>
      </tp>
      <tp>
        <v>980</v>
        <stp/>
        <stp>bse_cm|1075IML27</stp>
        <stp xml:space="preserve">Low </stp>
        <tr r="O96" s="1"/>
      </tp>
      <tp>
        <v>1000</v>
        <stp/>
        <stp>bse_cm|1175KLM25</stp>
        <stp xml:space="preserve">Low </stp>
        <tr r="O1691" s="1"/>
      </tp>
      <tp>
        <v>990</v>
        <stp/>
        <stp>bse_cm|1025KFL25</stp>
        <stp xml:space="preserve">Low </stp>
        <tr r="O638" s="1"/>
      </tp>
      <tp>
        <v>1009</v>
        <stp/>
        <stp>bse_cm|1225IFL27</stp>
        <stp xml:space="preserve">Low </stp>
        <tr r="O1216" s="1"/>
      </tp>
      <tp t="s">
        <v>BSE</v>
        <stp/>
        <stp>bse_cm|875KFL25A</stp>
        <stp>Exchange</stp>
        <tr r="C1157" s="1"/>
      </tp>
      <tp>
        <v>1000</v>
        <stp/>
        <stp>bse_cm|1125KLM26</stp>
        <stp xml:space="preserve">Low </stp>
        <tr r="O1227" s="1"/>
      </tp>
      <tp t="e">
        <v>#N/A</v>
        <stp/>
        <stp>bse_cm|1075IML24</stp>
        <stp xml:space="preserve">Low </stp>
        <tr r="O33" s="1"/>
      </tp>
      <tp>
        <v>960</v>
        <stp/>
        <stp>bse_cm|1025KFL26</stp>
        <stp xml:space="preserve">Low </stp>
        <tr r="O768" s="1"/>
      </tp>
      <tp t="s">
        <v>734IRFC28</v>
        <stp/>
        <stp>nse_cm|734IRFC28-N4</stp>
        <stp>Symbol</stp>
        <tr r="A455" s="1"/>
      </tp>
      <tp>
        <v>1020.12</v>
        <stp/>
        <stp>bse_cm|1075KLM27</stp>
        <stp xml:space="preserve">Low </stp>
        <tr r="O1117" s="1"/>
      </tp>
      <tp>
        <v>1070</v>
        <stp/>
        <stp>bse_cm|1015ECL29</stp>
        <stp xml:space="preserve">Low </stp>
        <tr r="O210" s="1"/>
      </tp>
      <tp>
        <v>965</v>
        <stp/>
        <stp>bse_cm|1025KFL27</stp>
        <stp xml:space="preserve">Low </stp>
        <tr r="O767" s="1"/>
      </tp>
      <tp t="s">
        <v>INE020B07ID2</v>
        <stp/>
        <stp>nse_cm|863REC29-NC</stp>
        <stp>Isin code</stp>
        <tr r="R1633" s="1"/>
      </tp>
      <tp>
        <v>1000</v>
        <stp/>
        <stp>bse_cm|1025KFL28</stp>
        <stp xml:space="preserve">Low </stp>
        <tr r="O626" s="1"/>
      </tp>
      <tp>
        <v>996</v>
        <stp/>
        <stp>bse_cm|1003VCL25</stp>
        <stp>High</stp>
        <tr r="N151" s="1"/>
      </tp>
      <tp>
        <v>1020</v>
        <stp/>
        <stp>nse_cm|CIFCZC28-NH</stp>
        <stp>Prev Close</stp>
        <tr r="P1607" s="1"/>
      </tp>
      <tp>
        <v>0</v>
        <stp/>
        <stp>bse_cm|1025KFL29</stp>
        <stp xml:space="preserve">Low </stp>
        <tr r="O196" s="1"/>
      </tp>
      <tp t="s">
        <v>INE148I08256</v>
        <stp/>
        <stp>nse_cm|915SCL26-NE</stp>
        <stp>Isin code</stp>
        <tr r="R58" s="1"/>
      </tp>
      <tp t="s">
        <v>INE020B07IH3</v>
        <stp/>
        <stp>nse_cm|886REC34-NG</stp>
        <stp>Isin code</stp>
        <tr r="R536" s="1"/>
      </tp>
      <tp>
        <v>970</v>
        <stp/>
        <stp>bse_cm|SCL310524</stp>
        <stp>High</stp>
        <tr r="N1345" s="1"/>
      </tp>
      <tp>
        <v>990</v>
        <stp/>
        <stp>bse_cm|1075CCL25</stp>
        <stp xml:space="preserve">Low </stp>
        <tr r="O1119" s="1"/>
      </tp>
      <tp>
        <v>945</v>
        <stp/>
        <stp>bse_cm|1075CCI26</stp>
        <stp xml:space="preserve">Low </stp>
        <tr r="O1425" s="1"/>
      </tp>
      <tp t="s">
        <v>BSE</v>
        <stp/>
        <stp>bse_cm|0MML27524</stp>
        <stp>Exchange</stp>
        <tr r="C1042" s="1"/>
      </tp>
      <tp>
        <v>0</v>
        <stp/>
        <stp>bse_cm|1125CCI27</stp>
        <stp xml:space="preserve">Low </stp>
        <tr r="O1229" s="1"/>
      </tp>
      <tp>
        <v>1000</v>
        <stp/>
        <stp>bse_cm|CAGL28</stp>
        <stp>Face Value</stp>
        <tr r="Q757" s="1"/>
      </tp>
      <tp>
        <v>1000</v>
        <stp/>
        <stp>bse_cm|CAGL25</stp>
        <stp>Face Value</stp>
        <tr r="Q1061" s="1"/>
      </tp>
      <tp>
        <v>1000</v>
        <stp/>
        <stp>bse_cm|CAGL24</stp>
        <stp>Face Value</stp>
        <tr r="Q1761" s="1"/>
      </tp>
      <tp>
        <v>1000</v>
        <stp/>
        <stp>bse_cm|CAGL27</stp>
        <stp>Face Value</stp>
        <tr r="Q734" s="1"/>
      </tp>
      <tp>
        <v>1000</v>
        <stp/>
        <stp>bse_cm|CAGL26</stp>
        <stp>Face Value</stp>
        <tr r="Q708" s="1"/>
      </tp>
      <tp>
        <v>-100</v>
        <stp/>
        <stp>bse_cm|898ONE26</stp>
        <stp>% Change</stp>
        <tr r="J1154" s="1"/>
      </tp>
      <tp>
        <v>1045</v>
        <stp/>
        <stp>nse_cm|11UCL26-NC</stp>
        <stp>Bid Rate</stp>
        <tr r="E322" s="1"/>
      </tp>
      <tp>
        <v>0</v>
        <stp/>
        <stp>nse_cm|SCL310524A-ZK</stp>
        <stp>Ask Qty</stp>
        <tr r="G1445" s="1"/>
      </tp>
      <tp>
        <v>10</v>
        <stp/>
        <stp>bse_cm|95CCIL25</stp>
        <stp>Ask Qty</stp>
        <tr r="G37" s="1"/>
      </tp>
      <tp t="s">
        <v>BSE</v>
        <stp/>
        <stp>bse_cm|MMFSL26</stp>
        <stp>Exchange</stp>
        <tr r="C1258" s="1"/>
      </tp>
      <tp t="s">
        <v>BSE</v>
        <stp/>
        <stp>bse_cm|9MFCL26</stp>
        <stp>Exchange</stp>
        <tr r="C156" s="1"/>
      </tp>
      <tp>
        <v>1000</v>
        <stp/>
        <stp>bse_cm|0MML27524</stp>
        <stp>Prev Close</stp>
        <tr r="P1042" s="1"/>
      </tp>
      <tp>
        <v>1080.1199999999999</v>
        <stp/>
        <stp>bse_cm|MFLVIII27H</stp>
        <stp>Bid Rate</stp>
        <tr r="E1274" s="1"/>
      </tp>
      <tp>
        <v>1000.2</v>
        <stp/>
        <stp>bse_cm|695PFCL36</stp>
        <stp>Prev Close</stp>
        <tr r="P430" s="1"/>
      </tp>
      <tp>
        <v>0</v>
        <stp/>
        <stp>nse_cm|816ABFL29-NC</stp>
        <stp>Open</stp>
        <tr r="M732" s="1"/>
      </tp>
      <tp>
        <v>912</v>
        <stp/>
        <stp>bse_cm|1003SCL30A</stp>
        <stp>High</stp>
        <tr r="N875" s="1"/>
      </tp>
      <tp>
        <v>972.01</v>
        <stp/>
        <stp>bse_cm|697PFCL36</stp>
        <stp>Prev Close</stp>
        <tr r="P431" s="1"/>
      </tp>
      <tp>
        <v>943</v>
        <stp/>
        <stp>bse_cm|96IIFL28A</stp>
        <stp>Prev Close</stp>
        <tr r="P88" s="1"/>
      </tp>
      <tp>
        <v>970</v>
        <stp/>
        <stp>bse_cm|990MFCL29</stp>
        <stp>Prev Close</stp>
        <tr r="P1449" s="1"/>
      </tp>
      <tp>
        <v>967</v>
        <stp/>
        <stp>bse_cm|890MFCL26</stp>
        <stp>Prev Close</stp>
        <tr r="P279" s="1"/>
      </tp>
      <tp>
        <v>20</v>
        <stp/>
        <stp>bse_cm|95KAFL25</stp>
        <stp>Ask Qty</stp>
        <tr r="G40" s="1"/>
      </tp>
      <tp>
        <v>1000</v>
        <stp/>
        <stp>nse_cm|9SCL25-YM</stp>
        <stp>Face Value</stp>
        <tr r="Q97" s="1"/>
      </tp>
      <tp>
        <v>-100</v>
        <stp/>
        <stp>bse_cm|898LTF29</stp>
        <stp>% Change</stp>
        <tr r="J416" s="1"/>
      </tp>
      <tp>
        <v>5</v>
        <stp/>
        <stp>bse_cm|85IIFL25</stp>
        <stp>Ask Qty</stp>
        <tr r="G134" s="1"/>
      </tp>
      <tp>
        <v>0</v>
        <stp/>
        <stp>bse_cm|895EFSL25A</stp>
        <stp>Open</stp>
        <tr r="M594" s="1"/>
      </tp>
      <tp>
        <v>25</v>
        <stp/>
        <stp>bse_cm|95NIDO26</stp>
        <stp>Bid Qty</stp>
        <tr r="D670" s="1"/>
      </tp>
      <tp>
        <v>1000</v>
        <stp/>
        <stp>nse_cm|835SCL23A-YH</stp>
        <stp>Face Value</stp>
        <tr r="Q833" s="1"/>
      </tp>
      <tp>
        <v>100</v>
        <stp/>
        <stp>bse_cm|96IIFL28</stp>
        <stp>Bid Qty</stp>
        <tr r="D118" s="1"/>
      </tp>
      <tp>
        <v>1000</v>
        <stp/>
        <stp>nse_cm|850SCL25A-NW</stp>
        <stp>Face Value</stp>
        <tr r="Q984" s="1"/>
      </tp>
      <tp>
        <v>1046.2</v>
        <stp/>
        <stp>bse_cm|9SCFL25</stp>
        <stp>Bid Rate</stp>
        <tr r="E1505" s="1"/>
      </tp>
      <tp t="s">
        <v>NSE</v>
        <stp/>
        <stp>nse_cm|77IGT28-NE</stp>
        <stp>Exchange</stp>
        <tr r="C1190" s="1"/>
      </tp>
      <tp t="s">
        <v>NSE</v>
        <stp/>
        <stp>nse_cm|76IGT26-ND</stp>
        <stp>Exchange</stp>
        <tr r="C527" s="1"/>
      </tp>
      <tp>
        <v>950</v>
        <stp/>
        <stp>bse_cm|925FL27</stp>
        <stp>High</stp>
        <tr r="N615" s="1"/>
      </tp>
      <tp>
        <v>1000</v>
        <stp/>
        <stp>nse_cm|875SCL23A-YI</stp>
        <stp>Face Value</stp>
        <tr r="Q1477" s="1"/>
      </tp>
      <tp>
        <v>0.42</v>
        <stp/>
        <stp>nse_cm|9SCL26BA-NA</stp>
        <stp>% Change</stp>
        <tr r="J122" s="1"/>
      </tp>
      <tp>
        <v>1000</v>
        <stp/>
        <stp>nse_cm|888SCL25A-AQ</stp>
        <stp>Face Value</stp>
        <tr r="Q910" s="1"/>
      </tp>
      <tp>
        <v>1000</v>
        <stp/>
        <stp>nse_cm|888SCL26A-ZC</stp>
        <stp>Face Value</stp>
        <tr r="Q839" s="1"/>
      </tp>
      <tp>
        <v>50</v>
        <stp/>
        <stp>bse_cm|96EFSL26</stp>
        <stp>Bid Qty</stp>
        <tr r="D1465" s="1"/>
      </tp>
      <tp>
        <v>25</v>
        <stp/>
        <stp>bse_cm|96EFSL27</stp>
        <stp>Bid Qty</stp>
        <tr r="D1050" s="1"/>
      </tp>
      <tp>
        <v>-100</v>
        <stp/>
        <stp>bse_cm|709REC30</stp>
        <stp>% Change</stp>
        <tr r="J564" s="1"/>
      </tp>
      <tp>
        <v>1000</v>
        <stp/>
        <stp>bse_cm|895EFSL25</stp>
        <stp>Face Value</stp>
        <tr r="Q700" s="1"/>
      </tp>
      <tp>
        <v>1000</v>
        <stp/>
        <stp>bse_cm|895EFSL26</stp>
        <stp>Face Value</stp>
        <tr r="Q109" s="1"/>
      </tp>
      <tp>
        <v>1000</v>
        <stp/>
        <stp>bse_cm|995EFSL31</stp>
        <stp>Face Value</stp>
        <tr r="Q192" s="1"/>
      </tp>
      <tp>
        <v>1000</v>
        <stp/>
        <stp>nse_cm|894SCL25A-ZI</stp>
        <stp>Face Value</stp>
        <tr r="Q963" s="1"/>
      </tp>
      <tp>
        <v>1000</v>
        <stp/>
        <stp>nse_cm|CAGL27-NC</stp>
        <stp>Prev Close</stp>
        <tr r="P733" s="1"/>
      </tp>
      <tp t="s">
        <v>NSE</v>
        <stp/>
        <stp>nse_cm|79IGT28-NF</stp>
        <stp>Exchange</stp>
        <tr r="C692" s="1"/>
      </tp>
      <tp>
        <v>-100</v>
        <stp/>
        <stp>bse_cm|888SCL25</stp>
        <stp>% Change</stp>
        <tr r="J1134" s="1"/>
      </tp>
      <tp t="s">
        <v>NSE</v>
        <stp/>
        <stp>nse_cm|85PCHFL26-N7</stp>
        <stp>Exchange</stp>
        <tr r="C712" s="1"/>
      </tp>
      <tp>
        <v>959.4</v>
        <stp/>
        <stp>bse_cm|9IIFL28</stp>
        <stp>Ask Rate</stp>
        <tr r="F126" s="1"/>
      </tp>
      <tp>
        <v>1115</v>
        <stp/>
        <stp>nse_cm|ICCL25-NS</stp>
        <stp>Prev Close</stp>
        <tr r="P1401" s="1"/>
      </tp>
      <tp>
        <v>-100</v>
        <stp/>
        <stp>bse_cm|888SCL26</stp>
        <stp>% Change</stp>
        <tr r="J915" s="1"/>
      </tp>
      <tp>
        <v>-100</v>
        <stp/>
        <stp>bse_cm|948SCL26</stp>
        <stp>% Change</stp>
        <tr r="J1647" s="1"/>
      </tp>
      <tp>
        <v>-100</v>
        <stp/>
        <stp>bse_cm|948SCL27</stp>
        <stp>% Change</stp>
        <tr r="J1079" s="1"/>
      </tp>
      <tp>
        <v>0</v>
        <stp/>
        <stp>bse_cm|94SCL27</stp>
        <stp xml:space="preserve">Low </stp>
        <tr r="O1152" s="1"/>
      </tp>
      <tp>
        <v>0</v>
        <stp/>
        <stp>bse_cm|92LTF29</stp>
        <stp>High</stp>
        <tr r="N1088" s="1"/>
      </tp>
      <tp>
        <v>819.1</v>
        <stp/>
        <stp>nse_cm|940SCL26A-NK</stp>
        <stp>Bid Rate</stp>
        <tr r="E906" s="1"/>
      </tp>
      <tp>
        <v>1030.3</v>
        <stp/>
        <stp>nse_cm|990SCL26A-NL</stp>
        <stp>Bid Rate</stp>
        <tr r="E1049" s="1"/>
      </tp>
      <tp>
        <v>0</v>
        <stp/>
        <stp>bse_cm|965VCL25</stp>
        <stp>Bid Qty</stp>
        <tr r="D1543" s="1"/>
      </tp>
      <tp>
        <v>12</v>
        <stp/>
        <stp>bse_cm|965SCL25</stp>
        <stp>Bid Qty</stp>
        <tr r="D1105" s="1"/>
      </tp>
      <tp>
        <v>20</v>
        <stp/>
        <stp>bse_cm|865SCL24</stp>
        <stp>Bid Qty</stp>
        <tr r="D1165" s="1"/>
      </tp>
      <tp>
        <v>25</v>
        <stp/>
        <stp>bse_cm|865SCL26</stp>
        <stp>Bid Qty</stp>
        <tr r="D627" s="1"/>
      </tp>
      <tp>
        <v>12</v>
        <stp/>
        <stp>bse_cm|965SCL26</stp>
        <stp>Bid Qty</stp>
        <tr r="D665" s="1"/>
      </tp>
      <tp>
        <v>20</v>
        <stp/>
        <stp>bse_cm|965SCL29</stp>
        <stp>Bid Qty</stp>
        <tr r="D816" s="1"/>
      </tp>
      <tp>
        <v>10</v>
        <stp/>
        <stp>bse_cm|965SCL28</stp>
        <stp>Bid Qty</stp>
        <tr r="D1138" s="1"/>
      </tp>
      <tp>
        <v>50</v>
        <stp/>
        <stp>bse_cm|865IFL28</stp>
        <stp>Bid Qty</stp>
        <tr r="D115" s="1"/>
      </tp>
      <tp>
        <v>20</v>
        <stp/>
        <stp>bse_cm|965AEL27</stp>
        <stp>Bid Qty</stp>
        <tr r="D370" s="1"/>
      </tp>
      <tp>
        <v>0</v>
        <stp/>
        <stp>bse_cm|965MML25</stp>
        <stp>Bid Qty</stp>
        <tr r="D1107" s="1"/>
      </tp>
      <tp>
        <v>20</v>
        <stp/>
        <stp>bse_cm|975KLM25</stp>
        <stp>Bid Qty</stp>
        <tr r="D858" s="1"/>
      </tp>
      <tp>
        <v>50</v>
        <stp/>
        <stp>bse_cm|866SFL25</stp>
        <stp>Bid Qty</stp>
        <tr r="D1652" s="1"/>
      </tp>
      <tp>
        <v>12</v>
        <stp/>
        <stp>bse_cm|866SCL25</stp>
        <stp>Bid Qty</stp>
        <tr r="D603" s="1"/>
      </tp>
      <tp>
        <v>1102.0999999999999</v>
        <stp/>
        <stp>nse_cm|736PFCL28-N2</stp>
        <stp>Open</stp>
        <tr r="M11" s="1"/>
      </tp>
      <tp t="e">
        <v>#N/A</v>
        <stp/>
        <stp>bse_cm|975SFL024</stp>
        <stp>ATP</stp>
        <tr r="K31" s="1"/>
      </tp>
      <tp>
        <v>1004</v>
        <stp/>
        <stp>bse_cm|12IFL27</stp>
        <stp>High</stp>
        <tr r="N258" s="1"/>
      </tp>
      <tp>
        <v>0</v>
        <stp/>
        <stp>bse_cm|12KLM25</stp>
        <stp>High</stp>
        <tr r="N1211" s="1"/>
      </tp>
      <tp>
        <v>1015.5</v>
        <stp/>
        <stp>nse_cm|1060ECL29-NS</stp>
        <stp>Open</stp>
        <tr r="M144" s="1"/>
      </tp>
      <tp>
        <v>1001</v>
        <stp/>
        <stp>bse_cm|12IML26</stp>
        <stp>High</stp>
        <tr r="N1494" s="1"/>
      </tp>
      <tp>
        <v>25</v>
        <stp/>
        <stp>bse_cm|760MFL25</stp>
        <stp>Bid Qty</stp>
        <tr r="D482" s="1"/>
      </tp>
      <tp>
        <v>0</v>
        <stp/>
        <stp>nse_cm|925ICCL25I-NP</stp>
        <stp>Ask Qty</stp>
        <tr r="G777" s="1"/>
      </tp>
      <tp>
        <v>0</v>
        <stp/>
        <stp>nse_cm|965ICCL25I-NQ</stp>
        <stp>Ask Qty</stp>
        <tr r="G696" s="1"/>
      </tp>
      <tp>
        <v>0</v>
        <stp/>
        <stp>nse_cm|875IIFL26A-NQ</stp>
        <stp>Ask Qty</stp>
        <tr r="G634" s="1"/>
      </tp>
      <tp>
        <v>0</v>
        <stp/>
        <stp>nse_cm|925ICCL24A-NE</stp>
        <stp>Ask Qty</stp>
        <tr r="G1393" s="1"/>
      </tp>
      <tp>
        <v>10</v>
        <stp/>
        <stp>nse_cm|955ICCL25A-NH</stp>
        <stp>Ask Qty</stp>
        <tr r="G486" s="1"/>
      </tp>
      <tp>
        <v>0</v>
        <stp/>
        <stp>bse_cm|MFLTDVI25</stp>
        <stp>ATP</stp>
        <tr r="K1686" s="1"/>
      </tp>
      <tp>
        <v>0</v>
        <stp/>
        <stp>bse_cm|MFLTDII27</stp>
        <stp>ATP</stp>
        <tr r="K297" s="1"/>
      </tp>
      <tp>
        <v>13</v>
        <stp/>
        <stp>nse_cm|925IHFL25E-N8</stp>
        <stp>Ask Qty</stp>
        <tr r="G561" s="1"/>
      </tp>
      <tp>
        <v>0</v>
        <stp/>
        <stp>nse_cm|965IHFL25D-N7</stp>
        <stp>Ask Qty</stp>
        <tr r="G1469" s="1"/>
      </tp>
      <tp>
        <v>60</v>
        <stp/>
        <stp>nse_cm|925IHFL25D-N6</stp>
        <stp>Ask Qty</stp>
        <tr r="G575" s="1"/>
      </tp>
      <tp>
        <v>942</v>
        <stp/>
        <stp>bse_cm|12CCI29</stp>
        <stp>High</stp>
        <tr r="N91" s="1"/>
      </tp>
      <tp>
        <v>1045</v>
        <stp/>
        <stp>bse_cm|94SFL28</stp>
        <stp xml:space="preserve">Low </stp>
        <tr r="O24" s="1"/>
      </tp>
      <tp>
        <v>0</v>
        <stp/>
        <stp>bse_cm|957SCL30</stp>
        <stp>Ask Qty</stp>
        <tr r="G1110" s="1"/>
      </tp>
      <tp>
        <v>0</v>
        <stp/>
        <stp>bse_cm|957SCL31</stp>
        <stp>Ask Qty</stp>
        <tr r="G1108" s="1"/>
      </tp>
      <tp>
        <v>3</v>
        <stp/>
        <stp>bse_cm|956AEL29</stp>
        <stp>Ask Qty</stp>
        <tr r="G311" s="1"/>
      </tp>
      <tp t="s">
        <v>BSE</v>
        <stp/>
        <stp>bse_cm|CIFC26A</stp>
        <stp>Exchange</stp>
        <tr r="C740" s="1"/>
      </tp>
      <tp>
        <v>0</v>
        <stp/>
        <stp>bse_cm|927MFL26A</stp>
        <stp>ATP</stp>
        <tr r="K617" s="1"/>
      </tp>
      <tp>
        <v>0</v>
        <stp/>
        <stp>bse_cm|857SCL24</stp>
        <stp>Ask Qty</stp>
        <tr r="G1002" s="1"/>
      </tp>
      <tp>
        <v>50</v>
        <stp/>
        <stp>bse_cm|957VCL25</stp>
        <stp>Ask Qty</stp>
        <tr r="G53" s="1"/>
      </tp>
      <tp>
        <v>5.24</v>
        <stp/>
        <stp>nse_cm|849NTPC25-N7</stp>
        <stp>Open</stp>
        <tr r="M302" s="1"/>
      </tp>
      <tp>
        <v>0</v>
        <stp/>
        <stp>bse_cm|955SCL27</stp>
        <stp>Ask Qty</stp>
        <tr r="G621" s="1"/>
      </tp>
      <tp>
        <v>0</v>
        <stp/>
        <stp>bse_cm|955SCL25</stp>
        <stp>Ask Qty</stp>
        <tr r="G1128" s="1"/>
      </tp>
      <tp>
        <v>0</v>
        <stp/>
        <stp>nse_cm|879NHPC28-N5</stp>
        <stp>Open</stp>
        <tr r="M464" s="1"/>
      </tp>
      <tp>
        <v>1081.25</v>
        <stp/>
        <stp>bse_cm|IIFLHFZC27</stp>
        <stp>Bid Rate</stp>
        <tr r="E1516" s="1"/>
      </tp>
      <tp>
        <v>0</v>
        <stp/>
        <stp>bse_cm|950SFL27</stp>
        <stp>Ask Qty</stp>
        <tr r="G1144" s="1"/>
      </tp>
      <tp>
        <v>0</v>
        <stp/>
        <stp>bse_cm|850SCL25</stp>
        <stp>Ask Qty</stp>
        <tr r="G923" s="1"/>
      </tp>
      <tp>
        <v>10</v>
        <stp/>
        <stp>bse_cm|950KFL27</stp>
        <stp>Ask Qty</stp>
        <tr r="G143" s="1"/>
      </tp>
      <tp>
        <v>10</v>
        <stp/>
        <stp>bse_cm|950MML24</stp>
        <stp>Ask Qty</stp>
        <tr r="G304" s="1"/>
      </tp>
      <tp>
        <v>0</v>
        <stp/>
        <stp>bse_cm|850MFL24</stp>
        <stp>Ask Qty</stp>
        <tr r="G1100" s="1"/>
      </tp>
      <tp>
        <v>66</v>
        <stp/>
        <stp>bse_cm|750MFL27</stp>
        <stp>Ask Qty</stp>
        <tr r="G274" s="1"/>
      </tp>
      <tp>
        <v>0</v>
        <stp/>
        <stp>bse_cm|950MFL27</stp>
        <stp>Ask Qty</stp>
        <tr r="G1147" s="1"/>
      </tp>
      <tp>
        <v>54</v>
        <stp/>
        <stp>bse_cm|850MFL27</stp>
        <stp>Ask Qty</stp>
        <tr r="G265" s="1"/>
      </tp>
      <tp>
        <v>205</v>
        <stp/>
        <stp>bse_cm|850MFL28</stp>
        <stp>Ask Qty</stp>
        <tr r="G236" s="1"/>
      </tp>
      <tp>
        <v>49</v>
        <stp/>
        <stp>bse_cm|850MFL29</stp>
        <stp>Ask Qty</stp>
        <tr r="G356" s="1"/>
      </tp>
      <tp>
        <v>0</v>
        <stp/>
        <stp>nse_cm|866ICCL23A-NY</stp>
        <stp>Bid Qty</stp>
        <tr r="D759" s="1"/>
      </tp>
      <tp>
        <v>0</v>
        <stp/>
        <stp>nse_cm|966ICCL25A-NI</stp>
        <stp>Bid Qty</stp>
        <tr r="D1461" s="1"/>
      </tp>
      <tp>
        <v>1000</v>
        <stp/>
        <stp>bse_cm|965SCL28B</stp>
        <stp>Prev Close</stp>
        <tr r="P896" s="1"/>
      </tp>
      <tp>
        <v>800</v>
        <stp/>
        <stp>bse_cm|965SCL28C</stp>
        <stp>Prev Close</stp>
        <tr r="P818" s="1"/>
      </tp>
      <tp>
        <v>1000</v>
        <stp/>
        <stp>bse_cm|965SCL28A</stp>
        <stp>Prev Close</stp>
        <tr r="P1136" s="1"/>
      </tp>
      <tp>
        <v>842.8</v>
        <stp/>
        <stp>bse_cm|865SCL24B</stp>
        <stp>Prev Close</stp>
        <tr r="P953" s="1"/>
      </tp>
      <tp>
        <v>878.58</v>
        <stp/>
        <stp>bse_cm|965SCL25F</stp>
        <stp>Prev Close</stp>
        <tr r="P673" s="1"/>
      </tp>
      <tp>
        <v>963.21</v>
        <stp/>
        <stp>bse_cm|965SCL25E</stp>
        <stp>Prev Close</stp>
        <tr r="P414" s="1"/>
      </tp>
      <tp>
        <v>1030</v>
        <stp/>
        <stp>bse_cm|965SCL25B</stp>
        <stp>Prev Close</stp>
        <tr r="P1507" s="1"/>
      </tp>
      <tp>
        <v>888</v>
        <stp/>
        <stp>bse_cm|965SCL25C</stp>
        <stp>Prev Close</stp>
        <tr r="P506" s="1"/>
      </tp>
      <tp>
        <v>1070</v>
        <stp/>
        <stp>bse_cm|965SCL25A</stp>
        <stp>Prev Close</stp>
        <tr r="P234" s="1"/>
      </tp>
      <tp>
        <v>988</v>
        <stp/>
        <stp>bse_cm|965SCL26A</stp>
        <stp>Prev Close</stp>
        <tr r="P1481" s="1"/>
      </tp>
      <tp>
        <v>965</v>
        <stp/>
        <stp>bse_cm|865MFL26A</stp>
        <stp>Prev Close</stp>
        <tr r="P242" s="1"/>
      </tp>
      <tp>
        <v>967</v>
        <stp/>
        <stp>bse_cm|865MFL25A</stp>
        <stp>Prev Close</stp>
        <tr r="P153" s="1"/>
      </tp>
      <tp>
        <v>985</v>
        <stp/>
        <stp>nse_cm|10NFL25-N9</stp>
        <stp>Bid Rate</stp>
        <tr r="E345" s="1"/>
      </tp>
      <tp>
        <v>987.5</v>
        <stp/>
        <stp>bse_cm|11ICLFL25</stp>
        <stp>ATP</stp>
        <tr r="K452" s="1"/>
      </tp>
      <tp>
        <v>0</v>
        <stp/>
        <stp>bse_cm|12ICLFL26</stp>
        <stp>ATP</stp>
        <tr r="K547" s="1"/>
      </tp>
      <tp>
        <v>980.5</v>
        <stp/>
        <stp>bse_cm|84MFL25</stp>
        <stp xml:space="preserve">Low </stp>
        <tr r="O316" s="1"/>
      </tp>
      <tp>
        <v>1000</v>
        <stp/>
        <stp>nse_cm|IIFLZC28B-Y1</stp>
        <stp>High</stp>
        <tr r="N1491" s="1"/>
      </tp>
      <tp>
        <v>1000</v>
        <stp/>
        <stp>nse_cm|1065NFL27-NC</stp>
        <stp>Open</stp>
        <tr r="M170" s="1"/>
      </tp>
      <tp>
        <v>1020</v>
        <stp/>
        <stp>bse_cm|94MFL27</stp>
        <stp xml:space="preserve">Low </stp>
        <tr r="O189" s="1"/>
      </tp>
      <tp t="s">
        <v>BSE</v>
        <stp/>
        <stp>bse_cm|MFLV29E</stp>
        <stp>Exchange</stp>
        <tr r="C650" s="1"/>
      </tp>
      <tp>
        <v>830.2</v>
        <stp/>
        <stp>nse_cm|850SCL25A-NW</stp>
        <stp>Bid Rate</stp>
        <tr r="E984" s="1"/>
      </tp>
      <tp>
        <v>0</v>
        <stp/>
        <stp>bse_cm|SCFL310524</stp>
        <stp>High</stp>
        <tr r="N1241" s="1"/>
      </tp>
      <tp>
        <v>1135</v>
        <stp/>
        <stp>bse_cm|IIFLZC26A</stp>
        <stp>Ask Rate</stp>
        <tr r="F1674" s="1"/>
      </tp>
      <tp t="s">
        <v>BSE</v>
        <stp/>
        <stp>bse_cm|MFCL16924</stp>
        <stp>Exchange</stp>
        <tr r="C579" s="1"/>
      </tp>
      <tp>
        <v>1714.9</v>
        <stp/>
        <stp>bse_cm|KAFLZC26A</stp>
        <stp>Ask Rate</stp>
        <tr r="F1710" s="1"/>
      </tp>
      <tp>
        <v>1184.99</v>
        <stp/>
        <stp>bse_cm|750IRFC35</stp>
        <stp>Ask Rate</stp>
        <tr r="F488" s="1"/>
      </tp>
      <tp>
        <v>1475</v>
        <stp/>
        <stp>bse_cm|725IRFC35</stp>
        <stp>Ask Rate</stp>
        <tr r="F560" s="1"/>
      </tp>
      <tp t="s">
        <v>BSE</v>
        <stp/>
        <stp>bse_cm|MFCL30424</stp>
        <stp>Exchange</stp>
        <tr r="C1606" s="1"/>
      </tp>
      <tp>
        <v>0</v>
        <stp/>
        <stp>bse_cm|IIFLZC26B</stp>
        <stp>Ask Rate</stp>
        <tr r="F1179" s="1"/>
      </tp>
      <tp t="s">
        <v>INE01CY077K8</v>
        <stp/>
        <stp>bse_cm|ICLFLZC29</stp>
        <stp>Isin code</stp>
        <tr r="R1613" s="1"/>
      </tp>
      <tp t="s">
        <v>BSE</v>
        <stp/>
        <stp>bse_cm|955MFCL30</stp>
        <stp>Exchange</stp>
        <tr r="C1130" s="1"/>
      </tp>
      <tp t="s">
        <v>BSE</v>
        <stp/>
        <stp>bse_cm|965MFCL30</stp>
        <stp>Exchange</stp>
        <tr r="C225" s="1"/>
      </tp>
      <tp>
        <v>1108.7</v>
        <stp/>
        <stp>bse_cm|764IRFC31</stp>
        <stp>Ask Rate</stp>
        <tr r="F466" s="1"/>
      </tp>
      <tp>
        <v>0</v>
        <stp/>
        <stp>bse_cm|735IRFC31</stp>
        <stp>Ask Rate</stp>
        <tr r="F1427" s="1"/>
      </tp>
      <tp>
        <v>1072</v>
        <stp/>
        <stp>bse_cm|10MFL24AA</stp>
        <stp xml:space="preserve">Low </stp>
        <tr r="O475" s="1"/>
      </tp>
      <tp>
        <v>1098</v>
        <stp/>
        <stp>bse_cm|753IRFC30</stp>
        <stp>Ask Rate</stp>
        <tr r="F454" s="1"/>
      </tp>
      <tp>
        <v>1108.25</v>
        <stp/>
        <stp>bse_cm|728IRFC30</stp>
        <stp>Ask Rate</stp>
        <tr r="F469" s="1"/>
      </tp>
      <tp t="s">
        <v>BSE</v>
        <stp/>
        <stp>bse_cm|EFSL26724</stp>
        <stp>Exchange</stp>
        <tr r="C1336" s="1"/>
      </tp>
      <tp>
        <v>1000</v>
        <stp/>
        <stp>nse_cm|889SCL28-NU</stp>
        <stp>Face Value</stp>
        <tr r="Q989" s="1"/>
      </tp>
      <tp>
        <v>1000</v>
        <stp/>
        <stp>nse_cm|935SCL28-NV</stp>
        <stp>Face Value</stp>
        <tr r="Q986" s="1"/>
      </tp>
      <tp>
        <v>1000</v>
        <stp/>
        <stp>nse_cm|975SCL28-NT</stp>
        <stp>Face Value</stp>
        <tr r="Q142" s="1"/>
      </tp>
      <tp>
        <v>800</v>
        <stp/>
        <stp>nse_cm|971SCL28-AN</stp>
        <stp>Face Value</stp>
        <tr r="Q538" s="1"/>
      </tp>
      <tp>
        <v>800</v>
        <stp/>
        <stp>nse_cm|965SCL28-AK</stp>
        <stp>Face Value</stp>
        <tr r="Q1137" s="1"/>
      </tp>
      <tp>
        <v>800</v>
        <stp/>
        <stp>nse_cm|925SCL28-AM</stp>
        <stp>Face Value</stp>
        <tr r="Q939" s="1"/>
      </tp>
      <tp>
        <v>1000</v>
        <stp/>
        <stp>nse_cm|888REC29-NF</stp>
        <stp>Face Value</stp>
        <tr r="Q522" s="1"/>
      </tp>
      <tp>
        <v>1000</v>
        <stp/>
        <stp>nse_cm|863REC29-NC</stp>
        <stp>Face Value</stp>
        <tr r="Q1633" s="1"/>
      </tp>
      <tp>
        <v>1062.31</v>
        <stp/>
        <stp>nse_cm|905LTF27-NF</stp>
        <stp>Prev Close</stp>
        <tr r="P393" s="1"/>
      </tp>
      <tp>
        <v>0</v>
        <stp/>
        <stp>bse_cm|EFSLZC26A</stp>
        <stp>Ask Rate</stp>
        <tr r="F1574" s="1"/>
      </tp>
      <tp>
        <v>1000</v>
        <stp/>
        <stp>nse_cm|885LTF27-NE</stp>
        <stp>Prev Close</stp>
        <tr r="P1007" s="1"/>
      </tp>
      <tp>
        <v>0</v>
        <stp/>
        <stp>nse_cm|852LTF27-NG</stp>
        <stp>Prev Close</stp>
        <tr r="P1006" s="1"/>
      </tp>
      <tp>
        <v>0</v>
        <stp/>
        <stp>nse_cm|824LTF27-NQ</stp>
        <stp>Prev Close</stp>
        <tr r="P999" s="1"/>
      </tp>
      <tp>
        <v>0</v>
        <stp/>
        <stp>nse_cm|815LTF27-NO</stp>
        <stp>Prev Close</stp>
        <tr r="P1001" s="1"/>
      </tp>
      <tp>
        <v>1</v>
        <stp/>
        <stp>bse_cm|1004EFSL29</stp>
        <stp>Ask Qty</stp>
        <tr r="G1586" s="1"/>
      </tp>
      <tp t="s">
        <v>INE414G07HA4</v>
        <stp/>
        <stp>bse_cm|MFLTDVI25</stp>
        <stp>Isin code</stp>
        <tr r="R1686" s="1"/>
      </tp>
      <tp>
        <v>1000</v>
        <stp/>
        <stp>nse_cm|903SFL28-YI</stp>
        <stp>Face Value</stp>
        <tr r="Q372" s="1"/>
      </tp>
      <tp>
        <v>1000</v>
        <stp/>
        <stp>nse_cm|930SFL28-YP</stp>
        <stp>Face Value</stp>
        <tr r="Q6" s="1"/>
      </tp>
      <tp t="s">
        <v>BSE</v>
        <stp/>
        <stp>bse_cm|805MMFS32</stp>
        <stp>Exchange</stp>
        <tr r="C1763" s="1"/>
      </tp>
      <tp>
        <v>0</v>
        <stp/>
        <stp>bse_cm|EFSL290424</stp>
        <stp>Ask Qty</stp>
        <tr r="G1334" s="1"/>
      </tp>
      <tp>
        <v>0</v>
        <stp/>
        <stp>nse_cm|1050SCFL31-Z2</stp>
        <stp>% Change</stp>
        <tr r="J868" s="1"/>
      </tp>
      <tp>
        <v>0</v>
        <stp/>
        <stp>bse_cm|EFSLZC26C</stp>
        <stp>Ask Rate</stp>
        <tr r="F1332" s="1"/>
      </tp>
      <tp t="s">
        <v>BSE</v>
        <stp/>
        <stp>bse_cm|CCIL14824</stp>
        <stp>Exchange</stp>
        <tr r="C753" s="1"/>
      </tp>
      <tp>
        <v>1138.6500000000001</v>
        <stp/>
        <stp>bse_cm|EFSLZC26B</stp>
        <stp>Ask Rate</stp>
        <tr r="F1678" s="1"/>
      </tp>
      <tp>
        <v>1070.1199999999999</v>
        <stp/>
        <stp>nse_cm|84TCHF28-NA</stp>
        <stp>Prev Close</stp>
        <tr r="P402" s="1"/>
      </tp>
      <tp>
        <v>1245.45</v>
        <stp/>
        <stp>nse_cm|83TCHF28-N9</stp>
        <stp>Prev Close</stp>
        <tr r="P831" s="1"/>
      </tp>
      <tp>
        <v>1022</v>
        <stp/>
        <stp>nse_cm|81TCHF28-N8</stp>
        <stp>Prev Close</stp>
        <tr r="P467" s="1"/>
      </tp>
      <tp>
        <v>11</v>
        <stp/>
        <stp>bse_cm|EFSL260724</stp>
        <stp>Bid Qty</stp>
        <tr r="D586" s="1"/>
      </tp>
      <tp>
        <v>5</v>
        <stp/>
        <stp>bse_cm|888IHFL25F</stp>
        <stp>Bid Qty</stp>
        <tr r="D693" s="1"/>
      </tp>
      <tp>
        <v>20</v>
        <stp/>
        <stp>bse_cm|888IHFL25C</stp>
        <stp>Bid Qty</stp>
        <tr r="D1058" s="1"/>
      </tp>
      <tp>
        <v>5</v>
        <stp/>
        <stp>bse_cm|925IHFL25E</stp>
        <stp>Bid Qty</stp>
        <tr r="D398" s="1"/>
      </tp>
      <tp>
        <v>35</v>
        <stp/>
        <stp>bse_cm|925IHFL25D</stp>
        <stp>Bid Qty</stp>
        <tr r="D1671" s="1"/>
      </tp>
      <tp>
        <v>27</v>
        <stp/>
        <stp>bse_cm|965IHFL25D</stp>
        <stp>Bid Qty</stp>
        <tr r="D1432" s="1"/>
      </tp>
      <tp>
        <v>100</v>
        <stp/>
        <stp>bse_cm|875IIFL26A</stp>
        <stp>Bid Qty</stp>
        <tr r="D232" s="1"/>
      </tp>
      <tp>
        <v>20</v>
        <stp/>
        <stp>bse_cm|866ICCL23A</stp>
        <stp>Bid Qty</stp>
        <tr r="D1075" s="1"/>
      </tp>
      <tp>
        <v>130</v>
        <stp/>
        <stp>bse_cm|890ICCL23A</stp>
        <stp>Bid Qty</stp>
        <tr r="D1486" s="1"/>
      </tp>
      <tp>
        <v>1001.1</v>
        <stp/>
        <stp>bse_cm|689RECL24</stp>
        <stp>Bid Rate</stp>
        <tr r="E1206" s="1"/>
      </tp>
      <tp>
        <v>945</v>
        <stp/>
        <stp>nse_cm|92ICCL28-ND</stp>
        <stp>Prev Close</stp>
        <tr r="P203" s="1"/>
      </tp>
      <tp>
        <v>2</v>
        <stp/>
        <stp>bse_cm|948IFSL25B</stp>
        <stp>Bid Qty</stp>
        <tr r="D599" s="1"/>
      </tp>
      <tp>
        <v>10</v>
        <stp/>
        <stp>bse_cm|875KFL2025</stp>
        <stp>Bid Qty</stp>
        <tr r="D1158" s="1"/>
      </tp>
      <tp>
        <v>0</v>
        <stp/>
        <stp>bse_cm|984ICCL26A</stp>
        <stp>Bid Qty</stp>
        <tr r="D883" s="1"/>
      </tp>
      <tp>
        <v>991</v>
        <stp/>
        <stp>nse_cm|975NFL25-N0</stp>
        <stp>Prev Close</stp>
        <tr r="P256" s="1"/>
      </tp>
      <tp>
        <v>30</v>
        <stp/>
        <stp>bse_cm|955ICCL25A</stp>
        <stp>Bid Qty</stp>
        <tr r="D1143" s="1"/>
      </tp>
      <tp>
        <v>9</v>
        <stp/>
        <stp>bse_cm|948ICCL25A</stp>
        <stp>Bid Qty</stp>
        <tr r="D1398" s="1"/>
      </tp>
      <tp>
        <v>1</v>
        <stp/>
        <stp>bse_cm|966ICCL25A</stp>
        <stp>Bid Qty</stp>
        <tr r="D846" s="1"/>
      </tp>
      <tp>
        <v>20</v>
        <stp/>
        <stp>bse_cm|925ICCL25I</stp>
        <stp>Bid Qty</stp>
        <tr r="D782" s="1"/>
      </tp>
      <tp>
        <v>0</v>
        <stp/>
        <stp>bse_cm|965ICCL25I</stp>
        <stp>Bid Qty</stp>
        <tr r="D1430" s="1"/>
      </tp>
      <tp t="s">
        <v>INE414G07EM6</v>
        <stp/>
        <stp>bse_cm|10MFL24AA</stp>
        <stp>Isin code</stp>
        <tr r="R475" s="1"/>
      </tp>
      <tp>
        <v>20</v>
        <stp/>
        <stp>bse_cm|913ICCL24A</stp>
        <stp>Bid Qty</stp>
        <tr r="D1162" s="1"/>
      </tp>
      <tp>
        <v>160</v>
        <stp/>
        <stp>bse_cm|925ICCL24A</stp>
        <stp>Bid Qty</stp>
        <tr r="D1072" s="1"/>
      </tp>
      <tp t="s">
        <v>INE121A07RI0</v>
        <stp/>
        <stp>nse_cm|CIFC28-NB</stp>
        <stp>Isin code</stp>
        <tr r="R1618" s="1"/>
      </tp>
      <tp t="s">
        <v>INE804IA7147</v>
        <stp/>
        <stp>bse_cm|104ECL29A</stp>
        <stp>Isin code</stp>
        <tr r="R79" s="1"/>
      </tp>
      <tp t="s">
        <v>INE148I07OQ6</v>
        <stp/>
        <stp>bse_cm|902SCL26I</stp>
        <stp>Isin code</stp>
        <tr r="R903" s="1"/>
      </tp>
      <tp t="s">
        <v>920IIFLS26-N8</v>
        <stp/>
        <stp>nse_cm|920IIFLS26-N8</stp>
        <stp>Trading Symbol</stp>
        <tr r="B208" s="1"/>
      </tp>
      <tp t="s">
        <v>INE148I07OU8</v>
        <stp/>
        <stp>bse_cm|925SCL28I</stp>
        <stp>Isin code</stp>
        <tr r="R822" s="1"/>
      </tp>
      <tp t="s">
        <v>INE148I07OP8</v>
        <stp/>
        <stp>bse_cm|948SCL26I</stp>
        <stp>Isin code</stp>
        <tr r="R1080" s="1"/>
      </tp>
      <tp t="s">
        <v>EFSL260724</v>
        <stp/>
        <stp>bse_cm|EFSL260724</stp>
        <stp>Trading Symbol</stp>
        <tr r="B586" s="1"/>
      </tp>
      <tp t="s">
        <v>INE148I07OT0</v>
        <stp/>
        <stp>bse_cm|971SCL28I</stp>
        <stp>Isin code</stp>
        <tr r="R1471" s="1"/>
      </tp>
      <tp t="s">
        <v>EFSL290424</v>
        <stp/>
        <stp>bse_cm|EFSL290424</stp>
        <stp>Trading Symbol</stp>
        <tr r="B1334" s="1"/>
      </tp>
      <tp t="s">
        <v>1004EFSL29</v>
        <stp/>
        <stp>bse_cm|1004EFSL29</stp>
        <stp>Trading Symbol</stp>
        <tr r="B1586" s="1"/>
      </tp>
      <tp t="s">
        <v>INE148I07OR4</v>
        <stp/>
        <stp>bse_cm|990SCL26I</stp>
        <stp>Isin code</stp>
        <tr r="R797" s="1"/>
      </tp>
      <tp t="s">
        <v>1003SCFL31-Z4</v>
        <stp/>
        <stp>nse_cm|1003SCFL31-Z4</stp>
        <stp>Trading Symbol</stp>
        <tr r="B878" s="1"/>
      </tp>
      <tp>
        <v>0</v>
        <stp/>
        <stp>bse_cm|944MFL28A</stp>
        <stp>Ask Rate</stp>
        <tr r="F1073" s="1"/>
      </tp>
      <tp>
        <v>980</v>
        <stp/>
        <stp>bse_cm|905MFL28A</stp>
        <stp>Ask Rate</stp>
        <tr r="F224" s="1"/>
      </tp>
      <tp t="s">
        <v>1050SCFL31-Z2</v>
        <stp/>
        <stp>nse_cm|1050SCFL31-Z2</stp>
        <stp>Trading Symbol</stp>
        <tr r="B868" s="1"/>
      </tp>
      <tp t="s">
        <v>INE866I08279</v>
        <stp/>
        <stp>nse_cm|10IIFL29-N6</stp>
        <stp>Isin code</stp>
        <tr r="R193" s="1"/>
      </tp>
      <tp t="s">
        <v>11UCL26-NC</v>
        <stp/>
        <stp>nse_cm|11UCL26-NC</stp>
        <stp>Trading Symbol</stp>
        <tr r="B322" s="1"/>
      </tp>
      <tp t="s">
        <v>1050SCL30</v>
        <stp/>
        <stp>nse_cm|1050SCL30-NU</stp>
        <stp>Symbol</stp>
        <tr r="A893" s="1"/>
      </tp>
      <tp t="s">
        <v>1035UCL26</v>
        <stp/>
        <stp>nse_cm|1035UCL26-NA</stp>
        <stp>Symbol</stp>
        <tr r="A1627" s="1"/>
      </tp>
      <tp t="s">
        <v>1003SCL30</v>
        <stp/>
        <stp>nse_cm|1003SCL30-BW</stp>
        <stp>Symbol</stp>
        <tr r="A876" s="1"/>
      </tp>
      <tp>
        <v>958.99</v>
        <stp/>
        <stp>bse_cm|10EFSL33A</stp>
        <stp>Ask Rate</stp>
        <tr r="F140" s="1"/>
      </tp>
      <tp>
        <v>958</v>
        <stp/>
        <stp>bse_cm|10EFSL33B</stp>
        <stp>Ask Rate</stp>
        <tr r="F136" s="1"/>
      </tp>
      <tp>
        <v>1226</v>
        <stp/>
        <stp>nse_cm|IIFLZC28-NG</stp>
        <stp>Prev Close</stp>
        <tr r="P1659" s="1"/>
      </tp>
      <tp t="s">
        <v>10MFL24AA</v>
        <stp/>
        <stp>bse_cm|10MFL24AA</stp>
        <stp>Symbol</stp>
        <tr r="A475" s="1"/>
      </tp>
      <tp t="s">
        <v>BSE</v>
        <stp/>
        <stp>bse_cm|96IIFL28A</stp>
        <stp>Exchange</stp>
        <tr r="C88" s="1"/>
      </tp>
      <tp t="s">
        <v>INE148I07NV8</v>
        <stp/>
        <stp>nse_cm|971SCL28-AN</stp>
        <stp>Isin code</stp>
        <tr r="R538" s="1"/>
      </tp>
      <tp t="s">
        <v>INE523L07728</v>
        <stp/>
        <stp>bse_cm|NWIL27</stp>
        <stp>Isin code</stp>
        <tr r="R1439" s="1"/>
      </tp>
      <tp t="s">
        <v>INE148I07LQ2</v>
        <stp/>
        <stp>nse_cm|820SCL25-YO</stp>
        <stp>Isin code</stp>
        <tr r="R932" s="1"/>
      </tp>
      <tp t="s">
        <v>INE148I07QF4</v>
        <stp/>
        <stp>nse_cm|888SCL25-NG</stp>
        <stp>Isin code</stp>
        <tr r="R912" s="1"/>
      </tp>
      <tp t="s">
        <v>KAFLZC26A</v>
        <stp/>
        <stp>bse_cm|KAFLZC26A</stp>
        <stp>Symbol</stp>
        <tr r="A1710" s="1"/>
      </tp>
      <tp t="s">
        <v>888ERFL28</v>
        <stp/>
        <stp>nse_cm|888ERFL28-N5</stp>
        <stp>Symbol</stp>
        <tr r="A63" s="1"/>
      </tp>
      <tp t="s">
        <v>BSE</v>
        <stp/>
        <stp>bse_cm|10IIFL28A</stp>
        <stp>Exchange</stp>
        <tr r="C101" s="1"/>
      </tp>
      <tp>
        <v>-100</v>
        <stp/>
        <stp>bse_cm|927MFL26</stp>
        <stp>% Change</stp>
        <tr r="J1457" s="1"/>
      </tp>
      <tp>
        <v>1015</v>
        <stp/>
        <stp>bse_cm|732IRFC25</stp>
        <stp>Prev Close</stp>
        <tr r="P174" s="1"/>
      </tp>
      <tp>
        <v>1030</v>
        <stp/>
        <stp>bse_cm|830CIFC26</stp>
        <stp>Prev Close</stp>
        <tr r="P1013" s="1"/>
      </tp>
      <tp t="s">
        <v>NSE</v>
        <stp/>
        <stp>nse_cm|865SCL24B-Z8</stp>
        <stp>Exchange</stp>
        <tr r="C952" s="1"/>
      </tp>
      <tp>
        <v>0</v>
        <stp/>
        <stp>bse_cm|85CIFC27</stp>
        <stp>Ask Qty</stp>
        <tr r="G974" s="1"/>
      </tp>
      <tp>
        <v>1000</v>
        <stp/>
        <stp>bse_cm|AEL120924</stp>
        <stp>Prev Close</stp>
        <tr r="P1062" s="1"/>
      </tp>
      <tp>
        <v>-100</v>
        <stp/>
        <stp>bse_cm|967EFS28</stp>
        <stp>% Change</stp>
        <tr r="J190" s="1"/>
      </tp>
      <tp>
        <v>1095.45</v>
        <stp/>
        <stp>bse_cm|735IRFC31</stp>
        <stp>Prev Close</stp>
        <tr r="P1427" s="1"/>
      </tp>
      <tp>
        <v>40</v>
        <stp/>
        <stp>bse_cm|83TCHF25</stp>
        <stp>Bid Qty</stp>
        <tr r="D489" s="1"/>
      </tp>
      <tp>
        <v>20</v>
        <stp/>
        <stp>bse_cm|83TCHF28</stp>
        <stp>Bid Qty</stp>
        <tr r="D832" s="1"/>
      </tp>
      <tp>
        <v>1000</v>
        <stp/>
        <stp>bse_cm|565PFCL26</stp>
        <stp>Prev Close</stp>
        <tr r="P1210" s="1"/>
      </tp>
      <tp>
        <v>1000</v>
        <stp/>
        <stp>bse_cm|935KAFL25</stp>
        <stp>Prev Close</stp>
        <tr r="P785" s="1"/>
      </tp>
      <tp>
        <v>1007.93</v>
        <stp/>
        <stp>bse_cm|965MFCL27</stp>
        <stp>Prev Close</stp>
        <tr r="P618" s="1"/>
      </tp>
      <tp>
        <v>985</v>
        <stp/>
        <stp>bse_cm|965MFCL30</stp>
        <stp>Prev Close</stp>
        <tr r="P225" s="1"/>
      </tp>
      <tp>
        <v>1079</v>
        <stp/>
        <stp>bse_cm|935AHFL28</stp>
        <stp>Prev Close</stp>
        <tr r="P456" s="1"/>
      </tp>
      <tp>
        <v>1005.2</v>
        <stp/>
        <stp>bse_cm|925CAGL26</stp>
        <stp>Prev Close</stp>
        <tr r="P294" s="1"/>
      </tp>
      <tp>
        <v>1000</v>
        <stp/>
        <stp>bse_cm|TCHF30</stp>
        <stp>Face Value</stp>
        <tr r="Q423" s="1"/>
      </tp>
      <tp>
        <v>0</v>
        <stp/>
        <stp>bse_cm|925IHFL25E</stp>
        <stp>Open</stp>
        <tr r="M398" s="1"/>
      </tp>
      <tp>
        <v>935</v>
        <stp/>
        <stp>bse_cm|915NIDO27</stp>
        <stp>Prev Close</stp>
        <tr r="P59" s="1"/>
      </tp>
      <tp>
        <v>0</v>
        <stp/>
        <stp>nse_cm|AEL120924-N2</stp>
        <stp>Open</stp>
        <tr r="M1673" s="1"/>
      </tp>
      <tp>
        <v>5</v>
        <stp/>
        <stp>nse_cm|876HUDCO28-ND</stp>
        <stp>Bid Qty</stp>
        <tr r="D509" s="1"/>
      </tp>
      <tp>
        <v>0</v>
        <stp/>
        <stp>bse_cm|925IHFL25D</stp>
        <stp>Open</stp>
        <tr r="M1671" s="1"/>
      </tp>
      <tp>
        <v>0</v>
        <stp/>
        <stp>bse_cm|890MFL26A</stp>
        <stp>Volume Traded Today</stp>
        <tr r="L698" s="1"/>
      </tp>
      <tp>
        <v>1291.83</v>
        <stp/>
        <stp>nse_cm|DLSL25-NW</stp>
        <stp>Prev Close</stp>
        <tr r="P1745" s="1"/>
      </tp>
      <tp>
        <v>0</v>
        <stp/>
        <stp>nse_cm|810TCHFL27-ND</stp>
        <stp>Ask Qty</stp>
        <tr r="G1016" s="1"/>
      </tp>
      <tp>
        <v>0</v>
        <stp/>
        <stp>bse_cm|950MFL27A</stp>
        <stp>Volume Traded Today</stp>
        <tr r="L241" s="1"/>
      </tp>
      <tp>
        <v>0</v>
        <stp/>
        <stp>bse_cm|850MFL27A</stp>
        <stp>Volume Traded Today</stp>
        <tr r="L355" s="1"/>
      </tp>
      <tp>
        <v>0</v>
        <stp/>
        <stp>bse_cm|965IHFL25D</stp>
        <stp>Open</stp>
        <tr r="M1432" s="1"/>
      </tp>
      <tp>
        <v>100</v>
        <stp/>
        <stp>nse_cm|AEL120924A-N5</stp>
        <stp>Bid Qty</stp>
        <tr r="D1555" s="1"/>
      </tp>
      <tp>
        <v>901.4</v>
        <stp/>
        <stp>bse_cm|663PFCL31</stp>
        <stp>Prev Close</stp>
        <tr r="P1208" s="1"/>
      </tp>
      <tp>
        <v>10</v>
        <stp/>
        <stp>nse_cm|AEL120924B-N8</stp>
        <stp>Bid Qty</stp>
        <tr r="D1640" s="1"/>
      </tp>
      <tp>
        <v>0</v>
        <stp/>
        <stp>bse_cm|990SCL26B</stp>
        <stp>Volume Traded Today</stp>
        <tr r="L1048" s="1"/>
      </tp>
      <tp>
        <v>0</v>
        <stp/>
        <stp>bse_cm|940SCL26B</stp>
        <stp>Volume Traded Today</stp>
        <tr r="L905" s="1"/>
      </tp>
      <tp>
        <v>0</v>
        <stp/>
        <stp>bse_cm|940SCL26C</stp>
        <stp>Volume Traded Today</stp>
        <tr r="L794" s="1"/>
      </tp>
      <tp>
        <v>0</v>
        <stp/>
        <stp>bse_cm|990SCL26A</stp>
        <stp>Volume Traded Today</stp>
        <tr r="L1057" s="1"/>
      </tp>
      <tp>
        <v>0</v>
        <stp/>
        <stp>bse_cm|940SCL26A</stp>
        <stp>Volume Traded Today</stp>
        <tr r="L920" s="1"/>
      </tp>
      <tp>
        <v>0</v>
        <stp/>
        <stp>bse_cm|990SCL26D</stp>
        <stp>Volume Traded Today</stp>
        <tr r="L1534" s="1"/>
      </tp>
      <tp>
        <v>0</v>
        <stp/>
        <stp>bse_cm|990SCL26I</stp>
        <stp>Volume Traded Today</stp>
        <tr r="L797" s="1"/>
      </tp>
      <tp>
        <v>14</v>
        <stp/>
        <stp>bse_cm|MFLVI32F</stp>
        <stp>Bid Qty</stp>
        <tr r="D704" s="1"/>
      </tp>
      <tp>
        <v>0</v>
        <stp/>
        <stp>bse_cm|850SCL25A</stp>
        <stp>Volume Traded Today</stp>
        <tr r="L1387" s="1"/>
      </tp>
      <tp>
        <v>180</v>
        <stp/>
        <stp>bse_cm|MFLVI31F</stp>
        <stp>Bid Qty</stp>
        <tr r="D354" s="1"/>
      </tp>
      <tp>
        <v>1030</v>
        <stp/>
        <stp>nse_cm|957ICCL25-YW</stp>
        <stp>High</stp>
        <tr r="N386" s="1"/>
      </tp>
      <tp>
        <v>2175</v>
        <stp/>
        <stp>bse_cm|KFLZC24</stp>
        <stp>Ask Rate</stp>
        <tr r="F1766" s="1"/>
      </tp>
      <tp t="e">
        <v>#N/A</v>
        <stp/>
        <stp>bse_cm|SFLZC24</stp>
        <stp>Ask Rate</stp>
        <tr r="F30" s="1"/>
      </tp>
      <tp>
        <v>0</v>
        <stp/>
        <stp>bse_cm|920SCL23A</stp>
        <stp>Volume Traded Today</stp>
        <tr r="L1114" s="1"/>
      </tp>
      <tp>
        <v>0</v>
        <stp/>
        <stp>bse_cm|950SCL23A</stp>
        <stp>Volume Traded Today</stp>
        <tr r="L1146" s="1"/>
      </tp>
      <tp>
        <v>1150.8</v>
        <stp/>
        <stp>bse_cm|MFLVI25</stp>
        <stp>Ask Rate</stp>
        <tr r="F1707" s="1"/>
      </tp>
      <tp>
        <v>2110</v>
        <stp/>
        <stp>bse_cm|KFLZC25</stp>
        <stp>Ask Rate</stp>
        <tr r="F1754" s="1"/>
      </tp>
      <tp>
        <v>1150</v>
        <stp/>
        <stp>bse_cm|MFLZC25</stp>
        <stp>Ask Rate</stp>
        <tr r="F1683" s="1"/>
      </tp>
      <tp>
        <v>0</v>
        <stp/>
        <stp>bse_cm|SFLZC25</stp>
        <stp>Ask Rate</stp>
        <tr r="F802" s="1"/>
      </tp>
      <tp>
        <v>1043.8</v>
        <stp/>
        <stp>bse_cm|MFLIV25</stp>
        <stp>Ask Rate</stp>
        <tr r="F280" s="1"/>
      </tp>
      <tp t="s">
        <v>INE414G07GR0</v>
        <stp/>
        <stp>bse_cm|MFLVII27</stp>
        <stp>Isin code</stp>
        <tr r="R1397" s="1"/>
      </tp>
      <tp>
        <v>170</v>
        <stp/>
        <stp>bse_cm|99JFPL25</stp>
        <stp>Bid Qty</stp>
        <tr r="D1670" s="1"/>
      </tp>
      <tp>
        <v>960</v>
        <stp/>
        <stp>nse_cm|1025SCL34-Z8</stp>
        <stp xml:space="preserve">Low </stp>
        <tr r="O128" s="1"/>
      </tp>
      <tp>
        <v>1500</v>
        <stp/>
        <stp>bse_cm|MFLVI26</stp>
        <stp>Ask Rate</stp>
        <tr r="F1719" s="1"/>
      </tp>
      <tp>
        <v>1600</v>
        <stp/>
        <stp>bse_cm|KFLZC26</stp>
        <stp>Ask Rate</stp>
        <tr r="F1709" s="1"/>
      </tp>
      <tp>
        <v>1750</v>
        <stp/>
        <stp>bse_cm|MFLZC26</stp>
        <stp>Ask Rate</stp>
        <tr r="F1720" s="1"/>
      </tp>
      <tp>
        <v>0</v>
        <stp/>
        <stp>bse_cm|SFLZC26</stp>
        <stp>Ask Rate</stp>
        <tr r="F801" s="1"/>
      </tp>
      <tp>
        <v>995</v>
        <stp/>
        <stp>bse_cm|MFLII26</stp>
        <stp>Ask Rate</stp>
        <tr r="F390" s="1"/>
      </tp>
      <tp>
        <v>0</v>
        <stp/>
        <stp>bse_cm|MFLIV26</stp>
        <stp>Ask Rate</stp>
        <tr r="F1500" s="1"/>
      </tp>
      <tp>
        <v>0</v>
        <stp/>
        <stp>bse_cm|KFLZC27</stp>
        <stp>Ask Rate</stp>
        <tr r="F1292" s="1"/>
      </tp>
      <tp>
        <v>0</v>
        <stp/>
        <stp>bse_cm|MFLZC27</stp>
        <stp>Ask Rate</stp>
        <tr r="F1271" s="1"/>
      </tp>
      <tp>
        <v>0</v>
        <stp/>
        <stp>bse_cm|MFLII27</stp>
        <stp>Ask Rate</stp>
        <tr r="F648" s="1"/>
      </tp>
      <tp>
        <v>-1.1100000000000001</v>
        <stp/>
        <stp>bse_cm|957VCL25</stp>
        <stp>% Change</stp>
        <tr r="J53" s="1"/>
      </tp>
      <tp>
        <v>0</v>
        <stp/>
        <stp>bse_cm|KFLZC28</stp>
        <stp>Ask Rate</stp>
        <tr r="F1290" s="1"/>
      </tp>
      <tp t="s">
        <v>INE414G07GU4</v>
        <stp/>
        <stp>bse_cm|MFLTDI25</stp>
        <stp>Isin code</stp>
        <tr r="R1476" s="1"/>
      </tp>
      <tp>
        <v>66</v>
        <stp/>
        <stp>bse_cm|89EFSL25</stp>
        <stp>Bid Qty</stp>
        <tr r="D87" s="1"/>
      </tp>
      <tp>
        <v>1000</v>
        <stp/>
        <stp>bse_cm|965IFSL26</stp>
        <stp>Face Value</stp>
        <tr r="Q1142" s="1"/>
      </tp>
      <tp>
        <v>1000</v>
        <stp/>
        <stp>bse_cm|965EFSL32</stp>
        <stp>Face Value</stp>
        <tr r="Q141" s="1"/>
      </tp>
      <tp>
        <v>1189.8</v>
        <stp/>
        <stp>bse_cm|KFLZC29</stp>
        <stp>Ask Rate</stp>
        <tr r="F1639" s="1"/>
      </tp>
      <tp>
        <v>1050</v>
        <stp/>
        <stp>nse_cm|CAGL28-NE</stp>
        <stp>Prev Close</stp>
        <tr r="P756" s="1"/>
      </tp>
      <tp>
        <v>1000</v>
        <stp/>
        <stp>bse_cm|966IFSL25</stp>
        <stp>Face Value</stp>
        <tr r="Q1051" s="1"/>
      </tp>
      <tp>
        <v>1000</v>
        <stp/>
        <stp>bse_cm|957JFPL30</stp>
        <stp>Face Value</stp>
        <tr r="Q760" s="1"/>
      </tp>
      <tp>
        <v>1000</v>
        <stp/>
        <stp>bse_cm|967EFSL28</stp>
        <stp>Face Value</stp>
        <tr r="Q205" s="1"/>
      </tp>
      <tp>
        <v>1000</v>
        <stp/>
        <stp>bse_cm|967EFSL29</stp>
        <stp>Face Value</stp>
        <tr r="Q102" s="1"/>
      </tp>
      <tp>
        <v>-100</v>
        <stp/>
        <stp>bse_cm|857SCL24</stp>
        <stp>% Change</stp>
        <tr r="J1002" s="1"/>
      </tp>
      <tp>
        <v>1000</v>
        <stp/>
        <stp>bse_cm|960EFSL26</stp>
        <stp>Face Value</stp>
        <tr r="Q690" s="1"/>
      </tp>
      <tp>
        <v>1000</v>
        <stp/>
        <stp>bse_cm|960EFSL27</stp>
        <stp>Face Value</stp>
        <tr r="Q70" s="1"/>
      </tp>
      <tp t="s">
        <v>NSE</v>
        <stp/>
        <stp>nse_cm|82IGT31-NJ</stp>
        <stp>Exchange</stp>
        <tr r="C375" s="1"/>
      </tp>
      <tp>
        <v>-100</v>
        <stp/>
        <stp>bse_cm|847SCL25</stp>
        <stp>% Change</stp>
        <tr r="J941" s="1"/>
      </tp>
      <tp>
        <v>22</v>
        <stp/>
        <stp>bse_cm|86CIFC29</stp>
        <stp>Bid Qty</stp>
        <tr r="D1341" s="1"/>
      </tp>
      <tp t="s">
        <v>BSE</v>
        <stp/>
        <stp>bse_cm|EFSL26D</stp>
        <stp>Exchange</stp>
        <tr r="C1617" s="1"/>
      </tp>
      <tp t="s">
        <v>00:00:00</v>
        <stp/>
        <stp>bse_cm|925SCL28C</stp>
        <stp>LTT</stp>
        <tr r="I824" s="1"/>
      </tp>
      <tp t="s">
        <v>00:00:00</v>
        <stp/>
        <stp>bse_cm|965SCL28C</stp>
        <stp>LTT</stp>
        <tr r="I818" s="1"/>
      </tp>
      <tp t="s">
        <v>00:00:00</v>
        <stp/>
        <stp>bse_cm|925SCL28B</stp>
        <stp>LTT</stp>
        <tr r="I894" s="1"/>
      </tp>
      <tp t="s">
        <v>00:00:00</v>
        <stp/>
        <stp>bse_cm|965SCL28B</stp>
        <stp>LTT</stp>
        <tr r="I896" s="1"/>
      </tp>
      <tp t="s">
        <v>00:00:00</v>
        <stp/>
        <stp>bse_cm|925SCL28A</stp>
        <stp>LTT</stp>
        <tr r="I938" s="1"/>
      </tp>
      <tp t="s">
        <v>00:00:00</v>
        <stp/>
        <stp>bse_cm|965SCL28A</stp>
        <stp>LTT</stp>
        <tr r="I1136" s="1"/>
      </tp>
      <tp>
        <v>0</v>
        <stp/>
        <stp>bse_cm|925SCL28C</stp>
        <stp>LTP</stp>
        <tr r="H824" s="1"/>
      </tp>
      <tp>
        <v>0</v>
        <stp/>
        <stp>bse_cm|965SCL28C</stp>
        <stp>LTP</stp>
        <tr r="H818" s="1"/>
      </tp>
      <tp>
        <v>0</v>
        <stp/>
        <stp>bse_cm|925SCL28B</stp>
        <stp>LTP</stp>
        <tr r="H894" s="1"/>
      </tp>
      <tp>
        <v>0</v>
        <stp/>
        <stp>bse_cm|965SCL28B</stp>
        <stp>LTP</stp>
        <tr r="H896" s="1"/>
      </tp>
      <tp>
        <v>0</v>
        <stp/>
        <stp>bse_cm|925SCL28A</stp>
        <stp>LTP</stp>
        <tr r="H938" s="1"/>
      </tp>
      <tp>
        <v>0</v>
        <stp/>
        <stp>bse_cm|965SCL28A</stp>
        <stp>LTP</stp>
        <tr r="H1136" s="1"/>
      </tp>
      <tp t="s">
        <v>00:00:00</v>
        <stp/>
        <stp>bse_cm|925SCL28I</stp>
        <stp>LTT</stp>
        <tr r="I822" s="1"/>
      </tp>
      <tp>
        <v>0</v>
        <stp/>
        <stp>bse_cm|925SCL28I</stp>
        <stp>LTP</stp>
        <tr r="H822" s="1"/>
      </tp>
      <tp>
        <v>0</v>
        <stp/>
        <stp>nse_cm|920SCL23A-AO</stp>
        <stp>Bid Rate</stp>
        <tr r="E1113" s="1"/>
      </tp>
      <tp>
        <v>0</v>
        <stp/>
        <stp>bse_cm|0MML29A</stp>
        <stp>Ask Rate</stp>
        <tr r="F1040" s="1"/>
      </tp>
      <tp t="s">
        <v>00:00:00</v>
        <stp/>
        <stp>bse_cm|925SCL29A</stp>
        <stp>LTT</stp>
        <tr r="I268" s="1"/>
      </tp>
      <tp>
        <v>0</v>
        <stp/>
        <stp>bse_cm|925SCL29A</stp>
        <stp>LTP</stp>
        <tr r="H268" s="1"/>
      </tp>
      <tp>
        <v>1692</v>
        <stp/>
        <stp>bse_cm|KFLZC2A</stp>
        <stp>Ask Rate</stp>
        <tr r="F1760" s="1"/>
      </tp>
      <tp>
        <v>835</v>
        <stp/>
        <stp>nse_cm|990SCL26D-AH</stp>
        <stp>Bid Rate</stp>
        <tr r="E1556" s="1"/>
      </tp>
      <tp>
        <v>0</v>
        <stp/>
        <stp>nse_cm|971SCL29A-ZN</stp>
        <stp>Ask Rate</stp>
        <tr r="F861" s="1"/>
      </tp>
      <tp t="s">
        <v>INE033L07GN7</v>
        <stp/>
        <stp>bse_cm|792TCH25</stp>
        <stp>Isin code</stp>
        <tr r="R1188" s="1"/>
      </tp>
      <tp t="s">
        <v>BSE</v>
        <stp/>
        <stp>bse_cm|EFSL26A</stp>
        <stp>Exchange</stp>
        <tr r="C1567" s="1"/>
      </tp>
      <tp t="s">
        <v>BSE</v>
        <stp/>
        <stp>bse_cm|EFSL26B</stp>
        <stp>Exchange</stp>
        <tr r="C1564" s="1"/>
      </tp>
      <tp>
        <v>45</v>
        <stp/>
        <stp>nse_cm|875CIFC23B-NJ</stp>
        <stp>Ask Qty</stp>
        <tr r="G346" s="1"/>
      </tp>
      <tp t="s">
        <v>BSE</v>
        <stp/>
        <stp>bse_cm|EFSL26C</stp>
        <stp>Exchange</stp>
        <tr r="C1650" s="1"/>
      </tp>
      <tp>
        <v>75</v>
        <stp/>
        <stp>bse_cm|894SCL25</stp>
        <stp>Bid Qty</stp>
        <tr r="D1517" s="1"/>
      </tp>
      <tp>
        <v>7</v>
        <stp/>
        <stp>bse_cm|894SCL24</stp>
        <stp>Bid Qty</stp>
        <tr r="D645" s="1"/>
      </tp>
      <tp>
        <v>5</v>
        <stp/>
        <stp>bse_cm|894SCL27</stp>
        <stp>Bid Qty</stp>
        <tr r="D962" s="1"/>
      </tp>
      <tp>
        <v>108</v>
        <stp/>
        <stp>bse_cm|995ECL24</stp>
        <stp>Bid Qty</stp>
        <tr r="D427" s="1"/>
      </tp>
      <tp>
        <v>20</v>
        <stp/>
        <stp>bse_cm|935LTF29</stp>
        <stp>Bid Qty</stp>
        <tr r="D396" s="1"/>
      </tp>
      <tp>
        <v>1</v>
        <stp/>
        <stp>bse_cm|995ECL29</stp>
        <stp>Bid Qty</stp>
        <tr r="D198" s="1"/>
      </tp>
      <tp>
        <v>0</v>
        <stp/>
        <stp>nse_cm|1003IIFL29-NC</stp>
        <stp>Ask Qty</stp>
        <tr r="G1077" s="1"/>
      </tp>
      <tp>
        <v>200</v>
        <stp/>
        <stp>nse_cm|1003ISFL28-N4</stp>
        <stp>Ask Qty</stp>
        <tr r="G197" s="1"/>
      </tp>
      <tp t="s">
        <v>INE033L07GO5</v>
        <stp/>
        <stp>bse_cm|801TCH25</stp>
        <stp>Isin code</stp>
        <tr r="R562" s="1"/>
      </tp>
      <tp>
        <v>0</v>
        <stp/>
        <stp>nse_cm|1050ICCL28-NV</stp>
        <stp>Ask Qty</stp>
        <tr r="G764" s="1"/>
      </tp>
      <tp>
        <v>1225</v>
        <stp/>
        <stp>bse_cm|CAGL25A</stp>
        <stp>Ask Rate</stp>
        <tr r="F1701" s="1"/>
      </tp>
      <tp t="s">
        <v>00:00:00</v>
        <stp/>
        <stp>bse_cm|835SCL23B</stp>
        <stp>LTT</stp>
        <tr r="I167" s="1"/>
      </tp>
      <tp t="s">
        <v>00:00:00</v>
        <stp/>
        <stp>bse_cm|835SCL23A</stp>
        <stp>LTT</stp>
        <tr r="I1104" s="1"/>
      </tp>
      <tp t="s">
        <v>00:00:00</v>
        <stp/>
        <stp>bse_cm|875SCL23A</stp>
        <stp>LTT</stp>
        <tr r="I194" s="1"/>
      </tp>
      <tp>
        <v>975</v>
        <stp/>
        <stp>bse_cm|835SCL23B</stp>
        <stp>LTP</stp>
        <tr r="H167" s="1"/>
      </tp>
      <tp>
        <v>0</v>
        <stp/>
        <stp>bse_cm|835SCL23A</stp>
        <stp>LTP</stp>
        <tr r="H1104" s="1"/>
      </tp>
      <tp>
        <v>0</v>
        <stp/>
        <stp>bse_cm|875SCL23A</stp>
        <stp>LTP</stp>
        <tr r="H194" s="1"/>
      </tp>
      <tp>
        <v>8</v>
        <stp/>
        <stp>bse_cm|990SCL27</stp>
        <stp>Bid Qty</stp>
        <tr r="D796" s="1"/>
      </tp>
      <tp>
        <v>10</v>
        <stp/>
        <stp>bse_cm|990SCL26</stp>
        <stp>Bid Qty</stp>
        <tr r="D421" s="1"/>
      </tp>
      <tp>
        <v>179</v>
        <stp/>
        <stp>bse_cm|890MFL26</stp>
        <stp>Bid Qty</stp>
        <tr r="D1478" s="1"/>
      </tp>
      <tp t="s">
        <v>00:00:00</v>
        <stp/>
        <stp>bse_cm|865SCL24B</stp>
        <stp>LTT</stp>
        <tr r="I953" s="1"/>
      </tp>
      <tp>
        <v>0</v>
        <stp/>
        <stp>bse_cm|865SCL24B</stp>
        <stp>LTP</stp>
        <tr r="H953" s="1"/>
      </tp>
      <tp t="s">
        <v>00:00:00</v>
        <stp/>
        <stp>bse_cm|925SCL25C</stp>
        <stp>LTT</stp>
        <tr r="I676" s="1"/>
      </tp>
      <tp>
        <v>0</v>
        <stp/>
        <stp>bse_cm|925SCL25G</stp>
        <stp>LTP</stp>
        <tr r="H717" s="1"/>
      </tp>
      <tp t="s">
        <v>00:00:00</v>
        <stp/>
        <stp>bse_cm|965SCL25C</stp>
        <stp>LTT</stp>
        <tr r="I506" s="1"/>
      </tp>
      <tp t="s">
        <v>00:00:00</v>
        <stp/>
        <stp>bse_cm|925SCL25B</stp>
        <stp>LTT</stp>
        <tr r="I1490" s="1"/>
      </tp>
      <tp>
        <v>0</v>
        <stp/>
        <stp>bse_cm|925SCL25F</stp>
        <stp>LTP</stp>
        <tr r="H719" s="1"/>
      </tp>
      <tp t="s">
        <v>00:00:00</v>
        <stp/>
        <stp>bse_cm|965SCL25B</stp>
        <stp>LTT</stp>
        <tr r="I1507" s="1"/>
      </tp>
      <tp>
        <v>0</v>
        <stp/>
        <stp>bse_cm|965SCL25F</stp>
        <stp>LTP</stp>
        <tr r="H673" s="1"/>
      </tp>
      <tp t="s">
        <v>00:00:00</v>
        <stp/>
        <stp>bse_cm|925SCL25A</stp>
        <stp>LTT</stp>
        <tr r="I1515" s="1"/>
      </tp>
      <tp t="s">
        <v>00:00:00</v>
        <stp/>
        <stp>bse_cm|965SCL25A</stp>
        <stp>LTT</stp>
        <tr r="I234" s="1"/>
      </tp>
      <tp>
        <v>0</v>
        <stp/>
        <stp>bse_cm|965SCL25E</stp>
        <stp>LTP</stp>
        <tr r="H414" s="1"/>
      </tp>
      <tp>
        <v>0</v>
        <stp/>
        <stp>bse_cm|888SCL25D</stp>
        <stp>ATP</stp>
        <tr r="K788" s="1"/>
      </tp>
      <tp>
        <v>0</v>
        <stp/>
        <stp>bse_cm|888SCL25E</stp>
        <stp>ATP</stp>
        <tr r="K1356" s="1"/>
      </tp>
      <tp>
        <v>0</v>
        <stp/>
        <stp>bse_cm|925SCL25C</stp>
        <stp>LTP</stp>
        <tr r="H676" s="1"/>
      </tp>
      <tp t="s">
        <v>00:00:00</v>
        <stp/>
        <stp>bse_cm|925SCL25G</stp>
        <stp>LTT</stp>
        <tr r="I717" s="1"/>
      </tp>
      <tp>
        <v>0</v>
        <stp/>
        <stp>bse_cm|965SCL25C</stp>
        <stp>LTP</stp>
        <tr r="H506" s="1"/>
      </tp>
      <tp>
        <v>0</v>
        <stp/>
        <stp>bse_cm|888SCL25B</stp>
        <stp>ATP</stp>
        <tr r="K909" s="1"/>
      </tp>
      <tp>
        <v>0</v>
        <stp/>
        <stp>bse_cm|925SCL25B</stp>
        <stp>LTP</stp>
        <tr r="H1490" s="1"/>
      </tp>
      <tp t="s">
        <v>00:00:00</v>
        <stp/>
        <stp>bse_cm|925SCL25F</stp>
        <stp>LTT</stp>
        <tr r="I719" s="1"/>
      </tp>
      <tp>
        <v>0</v>
        <stp/>
        <stp>bse_cm|965SCL25B</stp>
        <stp>LTP</stp>
        <tr r="H1507" s="1"/>
      </tp>
      <tp t="s">
        <v>00:00:00</v>
        <stp/>
        <stp>bse_cm|965SCL25F</stp>
        <stp>LTT</stp>
        <tr r="I673" s="1"/>
      </tp>
      <tp>
        <v>0</v>
        <stp/>
        <stp>bse_cm|925SCL25A</stp>
        <stp>LTP</stp>
        <tr r="H1515" s="1"/>
      </tp>
      <tp>
        <v>0</v>
        <stp/>
        <stp>bse_cm|965SCL25A</stp>
        <stp>LTP</stp>
        <tr r="H234" s="1"/>
      </tp>
      <tp t="s">
        <v>00:00:00</v>
        <stp/>
        <stp>bse_cm|965SCL25E</stp>
        <stp>LTT</stp>
        <tr r="I414" s="1"/>
      </tp>
      <tp>
        <v>0</v>
        <stp/>
        <stp>bse_cm|888SCL25A</stp>
        <stp>ATP</stp>
        <tr r="K911" s="1"/>
      </tp>
      <tp t="s">
        <v>00:00:00</v>
        <stp/>
        <stp>bse_cm|925SCL25H</stp>
        <stp>LTT</stp>
        <tr r="I886" s="1"/>
      </tp>
      <tp>
        <v>0</v>
        <stp/>
        <stp>bse_cm|925SCL25H</stp>
        <stp>LTP</stp>
        <tr r="H886" s="1"/>
      </tp>
      <tp t="s">
        <v>00:00:00</v>
        <stp/>
        <stp>bse_cm|925SCL25Z</stp>
        <stp>LTT</stp>
        <tr r="I790" s="1"/>
      </tp>
      <tp>
        <v>0</v>
        <stp/>
        <stp>bse_cm|925SCL25Z</stp>
        <stp>LTP</stp>
        <tr r="H790" s="1"/>
      </tp>
      <tp t="s">
        <v>NIDO25A</v>
        <stp/>
        <stp>bse_cm|NIDO25A</stp>
        <stp>Trading Symbol</stp>
        <tr r="B1245" s="1"/>
      </tp>
      <tp t="s">
        <v>00:00:00</v>
        <stp/>
        <stp>bse_cm|925SCL26C</stp>
        <stp>LTT</stp>
        <tr r="I725" s="1"/>
      </tp>
      <tp t="s">
        <v>00:00:00</v>
        <stp/>
        <stp>bse_cm|925SCL26B</stp>
        <stp>LTT</stp>
        <tr r="I1360" s="1"/>
      </tp>
      <tp t="s">
        <v>00:00:00</v>
        <stp/>
        <stp>bse_cm|925SCL26A</stp>
        <stp>LTT</stp>
        <tr r="I990" s="1"/>
      </tp>
      <tp t="s">
        <v>00:00:00</v>
        <stp/>
        <stp>bse_cm|965SCL26A</stp>
        <stp>LTT</stp>
        <tr r="I1481" s="1"/>
      </tp>
      <tp>
        <v>0</v>
        <stp/>
        <stp>bse_cm|925SCL26D</stp>
        <stp>LTP</stp>
        <tr r="H619" s="1"/>
      </tp>
      <tp>
        <v>0</v>
        <stp/>
        <stp>bse_cm|948SCL26D</stp>
        <stp>ATP</stp>
        <tr r="K1081" s="1"/>
      </tp>
      <tp>
        <v>0</v>
        <stp/>
        <stp>bse_cm|925SCL26C</stp>
        <stp>LTP</stp>
        <tr r="H725" s="1"/>
      </tp>
      <tp>
        <v>0</v>
        <stp/>
        <stp>bse_cm|925SCL26B</stp>
        <stp>LTP</stp>
        <tr r="H1360" s="1"/>
      </tp>
      <tp>
        <v>0</v>
        <stp/>
        <stp>bse_cm|948SCL26B</stp>
        <stp>ATP</stp>
        <tr r="K470" s="1"/>
      </tp>
      <tp>
        <v>0</v>
        <stp/>
        <stp>bse_cm|925SCL26A</stp>
        <stp>LTP</stp>
        <tr r="H990" s="1"/>
      </tp>
      <tp>
        <v>0</v>
        <stp/>
        <stp>bse_cm|948SCL26A</stp>
        <stp>ATP</stp>
        <tr r="K494" s="1"/>
      </tp>
      <tp>
        <v>0</v>
        <stp/>
        <stp>bse_cm|965SCL26A</stp>
        <stp>LTP</stp>
        <tr r="H1481" s="1"/>
      </tp>
      <tp t="s">
        <v>00:00:00</v>
        <stp/>
        <stp>bse_cm|925SCL26D</stp>
        <stp>LTT</stp>
        <tr r="I619" s="1"/>
      </tp>
      <tp>
        <v>0</v>
        <stp/>
        <stp>bse_cm|888SCL26A</stp>
        <stp>ATP</stp>
        <tr r="K840" s="1"/>
      </tp>
      <tp>
        <v>0</v>
        <stp/>
        <stp>bse_cm|948SCL26I</stp>
        <stp>ATP</stp>
        <tr r="K1080" s="1"/>
      </tp>
      <tp>
        <v>27</v>
        <stp/>
        <stp>bse_cm|903ONE26</stp>
        <stp>Bid Qty</stp>
        <tr r="D843" s="1"/>
      </tp>
      <tp t="s">
        <v>00:00:00</v>
        <stp/>
        <stp>bse_cm|915SCL27A</stp>
        <stp>LTT</stp>
        <tr r="I951" s="1"/>
      </tp>
      <tp t="s">
        <v>00:00:00</v>
        <stp/>
        <stp>bse_cm|955SCL27A</stp>
        <stp>LTT</stp>
        <tr r="I948" s="1"/>
      </tp>
      <tp>
        <v>0</v>
        <stp/>
        <stp>bse_cm|925SFL27A</stp>
        <stp>LTP</stp>
        <tr r="H848" s="1"/>
      </tp>
      <tp>
        <v>0</v>
        <stp/>
        <stp>bse_cm|915SCL27A</stp>
        <stp>LTP</stp>
        <tr r="H951" s="1"/>
      </tp>
      <tp>
        <v>0</v>
        <stp/>
        <stp>bse_cm|955SCL27A</stp>
        <stp>LTP</stp>
        <tr r="H948" s="1"/>
      </tp>
      <tp>
        <v>0</v>
        <stp/>
        <stp>bse_cm|948SCL27A</stp>
        <stp>ATP</stp>
        <tr r="K697" s="1"/>
      </tp>
      <tp t="s">
        <v>00:00:00</v>
        <stp/>
        <stp>bse_cm|925SFL27A</stp>
        <stp>LTT</stp>
        <tr r="I848" s="1"/>
      </tp>
      <tp>
        <v>0</v>
        <stp/>
        <stp>bse_cm|875MFL26A</stp>
        <stp>LTP</stp>
        <tr r="H286" s="1"/>
      </tp>
      <tp>
        <v>0</v>
        <stp/>
        <stp>bse_cm|865MFL26A</stp>
        <stp>LTP</stp>
        <tr r="H242" s="1"/>
      </tp>
      <tp t="s">
        <v>00:00:00</v>
        <stp/>
        <stp>bse_cm|875MFL26A</stp>
        <stp>LTT</stp>
        <tr r="I286" s="1"/>
      </tp>
      <tp t="s">
        <v>00:00:00</v>
        <stp/>
        <stp>bse_cm|865MFL26A</stp>
        <stp>LTT</stp>
        <tr r="I242" s="1"/>
      </tp>
      <tp>
        <v>0</v>
        <stp/>
        <stp>bse_cm|975MFL24B</stp>
        <stp>LTP</stp>
        <tr r="H415" s="1"/>
      </tp>
      <tp t="s">
        <v>00:00:00</v>
        <stp/>
        <stp>bse_cm|975MFL24B</stp>
        <stp>LTT</stp>
        <tr r="I415" s="1"/>
      </tp>
      <tp>
        <v>900</v>
        <stp/>
        <stp>bse_cm|990SCL26I</stp>
        <stp>Prev Close</stp>
        <tr r="P797" s="1"/>
      </tp>
      <tp>
        <v>840</v>
        <stp/>
        <stp>bse_cm|990SCL26D</stp>
        <stp>Prev Close</stp>
        <tr r="P1534" s="1"/>
      </tp>
      <tp>
        <v>1000</v>
        <stp/>
        <stp>bse_cm|990SCL26B</stp>
        <stp>Prev Close</stp>
        <tr r="P1048" s="1"/>
      </tp>
      <tp>
        <v>1041.0999999999999</v>
        <stp/>
        <stp>bse_cm|990SCL26A</stp>
        <stp>Prev Close</stp>
        <tr r="P1057" s="1"/>
      </tp>
      <tp>
        <v>950.22</v>
        <stp/>
        <stp>bse_cm|890MFL26A</stp>
        <stp>Prev Close</stp>
        <tr r="P698" s="1"/>
      </tp>
      <tp t="s">
        <v>NSE</v>
        <stp/>
        <stp>nse_cm|915SCL27A-ZL</stp>
        <stp>Exchange</stp>
        <tr r="C966" s="1"/>
      </tp>
      <tp>
        <v>0</v>
        <stp/>
        <stp>bse_cm|935ONE26</stp>
        <stp>Ask Qty</stp>
        <tr r="G1173" s="1"/>
      </tp>
      <tp>
        <v>5</v>
        <stp/>
        <stp>bse_cm|905LTF27</stp>
        <stp>Ask Qty</stp>
        <tr r="G394" s="1"/>
      </tp>
      <tp>
        <v>0</v>
        <stp/>
        <stp>bse_cm|825MFL25A</stp>
        <stp>LTP</stp>
        <tr r="H931" s="1"/>
      </tp>
      <tp>
        <v>979.8</v>
        <stp/>
        <stp>bse_cm|865MFL25A</stp>
        <stp>LTP</stp>
        <tr r="H153" s="1"/>
      </tp>
      <tp t="s">
        <v>00:00:00</v>
        <stp/>
        <stp>bse_cm|825MFL25A</stp>
        <stp>LTT</stp>
        <tr r="I931" s="1"/>
      </tp>
      <tp t="s">
        <v>00:00:00</v>
        <stp/>
        <stp>bse_cm|865MFL25A</stp>
        <stp>LTT</stp>
        <tr r="I153" s="1"/>
      </tp>
      <tp>
        <v>0</v>
        <stp/>
        <stp>nse_cm|866NTPC33-N3</stp>
        <stp>Open</stp>
        <tr r="M555" s="1"/>
      </tp>
      <tp>
        <v>0</v>
        <stp/>
        <stp>bse_cm|1025SF29</stp>
        <stp>Ask Qty</stp>
        <tr r="G1409" s="1"/>
      </tp>
      <tp t="s">
        <v>NSE</v>
        <stp/>
        <stp>nse_cm|955SCL27A-ZJ</stp>
        <stp>Exchange</stp>
        <tr r="C1437" s="1"/>
      </tp>
      <tp>
        <v>972.3</v>
        <stp/>
        <stp>nse_cm|1075SCL33-YK</stp>
        <stp>High</stp>
        <tr r="N707" s="1"/>
      </tp>
      <tp>
        <v>0</v>
        <stp/>
        <stp>bse_cm|875KFL25A</stp>
        <stp>LTP</stp>
        <tr r="H1157" s="1"/>
      </tp>
      <tp t="s">
        <v>00:00:00</v>
        <stp/>
        <stp>bse_cm|875KFL25A</stp>
        <stp>LTT</stp>
        <tr r="I1157" s="1"/>
      </tp>
      <tp>
        <v>0</v>
        <stp/>
        <stp>bse_cm|875KFL26A</stp>
        <stp>LTP</stp>
        <tr r="H1155" s="1"/>
      </tp>
      <tp>
        <v>200</v>
        <stp/>
        <stp>nse_cm|866IIFC34B-N3</stp>
        <stp>Bid Qty</stp>
        <tr r="D25" s="1"/>
      </tp>
      <tp>
        <v>0</v>
        <stp/>
        <stp>bse_cm|925KFL26A</stp>
        <stp>LTP</stp>
        <tr r="H1479" s="1"/>
      </tp>
      <tp t="s">
        <v>00:00:00</v>
        <stp/>
        <stp>bse_cm|875KFL26A</stp>
        <stp>LTT</stp>
        <tr r="I1155" s="1"/>
      </tp>
      <tp t="s">
        <v>00:00:00</v>
        <stp/>
        <stp>bse_cm|925KFL26A</stp>
        <stp>LTT</stp>
        <tr r="I1479" s="1"/>
      </tp>
      <tp>
        <v>1000</v>
        <stp/>
        <stp>bse_cm|894SCL25A</stp>
        <stp>Prev Close</stp>
        <tr r="P1235" s="1"/>
      </tp>
      <tp>
        <v>34</v>
        <stp/>
        <stp>bse_cm|10EFS33</stp>
        <stp>Volume Traded Today</stp>
        <tr r="L112" s="1"/>
      </tp>
      <tp t="s">
        <v>10:35:32</v>
        <stp/>
        <stp>bse_cm|995ECL29A</stp>
        <stp>LTT</stp>
        <tr r="I152" s="1"/>
      </tp>
      <tp>
        <v>945</v>
        <stp/>
        <stp>bse_cm|995ECL29A</stp>
        <stp>LTP</stp>
        <tr r="H152" s="1"/>
      </tp>
      <tp>
        <v>969</v>
        <stp/>
        <stp>bse_cm|995ECL29A</stp>
        <stp>Prev Close</stp>
        <tr r="P152" s="1"/>
      </tp>
      <tp>
        <v>0</v>
        <stp/>
        <stp>bse_cm|935MOFSL29</stp>
        <stp>Open</stp>
        <tr r="M1602" s="1"/>
      </tp>
      <tp>
        <v>-100</v>
        <stp/>
        <stp>bse_cm|SCL25A</stp>
        <stp>% Change</stp>
        <tr r="J1238" s="1"/>
      </tp>
      <tp>
        <v>0</v>
        <stp/>
        <stp>nse_cm|1090NFL26-NB</stp>
        <stp>Open</stp>
        <tr r="M636" s="1"/>
      </tp>
      <tp t="s">
        <v>NSE</v>
        <stp/>
        <stp>nse_cm|925SCL26D-ZD</stp>
        <stp>Exchange</stp>
        <tr r="C1448" s="1"/>
      </tp>
      <tp>
        <v>950</v>
        <stp/>
        <stp>bse_cm|975MVAFL25</stp>
        <stp>High</stp>
        <tr r="N458" s="1"/>
      </tp>
      <tp>
        <v>-100</v>
        <stp/>
        <stp>bse_cm|SCL25B</stp>
        <stp>% Change</stp>
        <tr r="J1544" s="1"/>
      </tp>
      <tp>
        <v>0</v>
        <stp/>
        <stp>nse_cm|SCFL310524-ZE</stp>
        <stp>Ask Qty</stp>
        <tr r="G1240" s="1"/>
      </tp>
      <tp t="s">
        <v>NSE</v>
        <stp/>
        <stp>nse_cm|965SCL26A-ZB</stp>
        <stp>Exchange</stp>
        <tr r="C135" s="1"/>
      </tp>
      <tp t="s">
        <v>NSE</v>
        <stp/>
        <stp>nse_cm|925SCL29A-ZM</stp>
        <stp>Exchange</stp>
        <tr r="C1352" s="1"/>
      </tp>
      <tp>
        <v>0</v>
        <stp/>
        <stp>nse_cm|990SCL26I-AV</stp>
        <stp>Bid Rate</stp>
        <tr r="E1368" s="1"/>
      </tp>
      <tp>
        <v>-100</v>
        <stp/>
        <stp>bse_cm|SFL25A</stp>
        <stp>% Change</stp>
        <tr r="J812" s="1"/>
      </tp>
      <tp>
        <v>0</v>
        <stp/>
        <stp>bse_cm|729NABAR26</stp>
        <stp>Open</stp>
        <tr r="M540" s="1"/>
      </tp>
      <tp>
        <v>0</v>
        <stp/>
        <stp>nse_cm|1003SCFL31-Z4</stp>
        <stp>Ask Qty</stp>
        <tr r="G878" s="1"/>
      </tp>
      <tp>
        <v>-100</v>
        <stp/>
        <stp>bse_cm|SFL25B</stp>
        <stp>% Change</stp>
        <tr r="J1433" s="1"/>
      </tp>
      <tp t="s">
        <v>BSE</v>
        <stp/>
        <stp>bse_cm|MFLV26E</stp>
        <stp>Exchange</stp>
        <tr r="C352" s="1"/>
      </tp>
      <tp>
        <v>0</v>
        <stp/>
        <stp>bse_cm|905MFL28A</stp>
        <stp>LTP</stp>
        <tr r="H224" s="1"/>
      </tp>
      <tp t="s">
        <v>00:00:00</v>
        <stp/>
        <stp>bse_cm|905MFL28A</stp>
        <stp>LTT</stp>
        <tr r="I224" s="1"/>
      </tp>
      <tp t="s">
        <v>NSE</v>
        <stp/>
        <stp>nse_cm|925SCL26C-ZA</stp>
        <stp>Exchange</stp>
        <tr r="C724" s="1"/>
      </tp>
      <tp>
        <v>0</v>
        <stp/>
        <stp>bse_cm|975MFL29A</stp>
        <stp>LTP</stp>
        <tr r="H854" s="1"/>
      </tp>
      <tp t="s">
        <v>00:00:00</v>
        <stp/>
        <stp>bse_cm|975MFL29A</stp>
        <stp>LTT</stp>
        <tr r="I854" s="1"/>
      </tp>
      <tp>
        <v>0</v>
        <stp/>
        <stp>bse_cm|704NABAR26</stp>
        <stp>Open</stp>
        <tr r="M1702" s="1"/>
      </tp>
      <tp>
        <v>950.4</v>
        <stp/>
        <stp>nse_cm|950SCL23A-AP</stp>
        <stp>Bid Rate</stp>
        <tr r="E1145" s="1"/>
      </tp>
      <tp>
        <v>550.1</v>
        <stp/>
        <stp>nse_cm|940SCL26C-AU</stp>
        <stp>Bid Rate</stp>
        <tr r="E793" s="1"/>
      </tp>
      <tp>
        <v>0</v>
        <stp/>
        <stp>bse_cm|895EFSL25A</stp>
        <stp>Ask Qty</stp>
        <tr r="G594" s="1"/>
      </tp>
      <tp t="s">
        <v>BSE</v>
        <stp/>
        <stp>bse_cm|11ICLFL25</stp>
        <stp>Exchange</stp>
        <tr r="C452" s="1"/>
      </tp>
      <tp>
        <v>650</v>
        <stp/>
        <stp>bse_cm|875EFSL24A</stp>
        <stp>Ask Qty</stp>
        <tr r="G229" s="1"/>
      </tp>
      <tp t="s">
        <v>BSE</v>
        <stp/>
        <stp>bse_cm|12ICLFL26</stp>
        <stp>Exchange</stp>
        <tr r="C547" s="1"/>
      </tp>
      <tp>
        <v>0</v>
        <stp/>
        <stp>bse_cm|955EFSL26B</stp>
        <stp>Ask Qty</stp>
        <tr r="G666" s="1"/>
      </tp>
      <tp>
        <v>1743</v>
        <stp/>
        <stp>bse_cm|960EFSL26C</stp>
        <stp>Ask Qty</stp>
        <tr r="G137" s="1"/>
      </tp>
      <tp>
        <v>50</v>
        <stp/>
        <stp>bse_cm|955EFSL26A</stp>
        <stp>Ask Qty</stp>
        <tr r="G214" s="1"/>
      </tp>
      <tp>
        <v>10</v>
        <stp/>
        <stp>bse_cm|920EFSL26A</stp>
        <stp>Ask Qty</stp>
        <tr r="G61" s="1"/>
      </tp>
      <tp>
        <v>14</v>
        <stp/>
        <stp>bse_cm|920EFSL26B</stp>
        <stp>Ask Qty</stp>
        <tr r="G247" s="1"/>
      </tp>
      <tp>
        <v>25</v>
        <stp/>
        <stp>bse_cm|915EFSL26A</stp>
        <stp>Ask Qty</stp>
        <tr r="G187" s="1"/>
      </tp>
      <tp>
        <v>5</v>
        <stp/>
        <stp>nse_cm|SCLZC25-YN</stp>
        <stp>Ask Qty</stp>
        <tr r="G1727" s="1"/>
      </tp>
      <tp t="s">
        <v>BSE</v>
        <stp/>
        <stp>bse_cm|115CCIL28</stp>
        <stp>Exchange</stp>
        <tr r="C382" s="1"/>
      </tp>
      <tp t="s">
        <v>INE148I07RF2</v>
        <stp/>
        <stp>nse_cm|SCLZC25E-Y4</stp>
        <stp>Isin code</stp>
        <tr r="R787" s="1"/>
      </tp>
      <tp>
        <v>0</v>
        <stp/>
        <stp>bse_cm|920EFSL27A</stp>
        <stp>Ask Qty</stp>
        <tr r="G685" s="1"/>
      </tp>
      <tp t="s">
        <v>BSE</v>
        <stp/>
        <stp>bse_cm|960CAGL25</stp>
        <stp>Exchange</stp>
        <tr r="C347" s="1"/>
      </tp>
      <tp t="s">
        <v>BSE</v>
        <stp/>
        <stp>bse_cm|910CAGL25</stp>
        <stp>Exchange</stp>
        <tr r="C351" s="1"/>
      </tp>
      <tp t="s">
        <v>BSE</v>
        <stp/>
        <stp>bse_cm|945CAGL24</stp>
        <stp>Exchange</stp>
        <tr r="C566" s="1"/>
      </tp>
      <tp t="s">
        <v>BSE</v>
        <stp/>
        <stp>bse_cm|950CCIL25</stp>
        <stp>Exchange</stp>
        <tr r="C99" s="1"/>
      </tp>
      <tp t="s">
        <v>BSE</v>
        <stp/>
        <stp>bse_cm|940CAGL27</stp>
        <stp>Exchange</stp>
        <tr r="C261" s="1"/>
      </tp>
      <tp t="s">
        <v>BSE</v>
        <stp/>
        <stp>bse_cm|925CAGL26</stp>
        <stp>Exchange</stp>
        <tr r="C294" s="1"/>
      </tp>
      <tp t="s">
        <v>BSE</v>
        <stp/>
        <stp>bse_cm|0SMCGSL26</stp>
        <stp>Exchange</stp>
        <tr r="C589" s="1"/>
      </tp>
      <tp t="s">
        <v>BSE</v>
        <stp/>
        <stp>bse_cm|970CAGL28</stp>
        <stp>Exchange</stp>
        <tr r="C292" s="1"/>
      </tp>
      <tp t="s">
        <v>BSE</v>
        <stp/>
        <stp>bse_cm|0SMCGSL27</stp>
        <stp>Exchange</stp>
        <tr r="C1532" s="1"/>
      </tp>
      <tp t="s">
        <v>IIFLZC28A</v>
        <stp/>
        <stp>nse_cm|IIFLZC28A-NU</stp>
        <stp>Symbol</stp>
        <tr r="A1624" s="1"/>
      </tp>
      <tp t="s">
        <v>IIFLZC26A</v>
        <stp/>
        <stp>nse_cm|IIFLZC26A-NR</stp>
        <stp>Symbol</stp>
        <tr r="A1680" s="1"/>
      </tp>
      <tp t="s">
        <v>IIFLZC25A</v>
        <stp/>
        <stp>nse_cm|IIFLZC25A-NP</stp>
        <stp>Symbol</stp>
        <tr r="A1578" s="1"/>
      </tp>
      <tp>
        <v>1000</v>
        <stp/>
        <stp>nse_cm|843SCL27-YS</stp>
        <stp>Face Value</stp>
        <tr r="Q944" s="1"/>
      </tp>
      <tp>
        <v>1000</v>
        <stp/>
        <stp>nse_cm|875SCL27-YQ</stp>
        <stp>Face Value</stp>
        <tr r="Q937" s="1"/>
      </tp>
      <tp>
        <v>1000</v>
        <stp/>
        <stp>nse_cm|889SCL27-YT</stp>
        <stp>Face Value</stp>
        <tr r="Q120" s="1"/>
      </tp>
      <tp>
        <v>800</v>
        <stp/>
        <stp>nse_cm|894SCL27-ZY</stp>
        <stp>Face Value</stp>
        <tr r="Q731" s="1"/>
      </tp>
      <tp>
        <v>0</v>
        <stp/>
        <stp>bse_cm|CIFCZC26A</stp>
        <stp>Ask Rate</stp>
        <tr r="F737" s="1"/>
      </tp>
      <tp>
        <v>1000</v>
        <stp/>
        <stp>nse_cm|940SCL27-YS</stp>
        <stp>Face Value</stp>
        <tr r="Q842" s="1"/>
      </tp>
      <tp>
        <v>1000</v>
        <stp/>
        <stp>nse_cm|948SCL27-YV</stp>
        <stp>Face Value</stp>
        <tr r="Q127" s="1"/>
      </tp>
      <tp>
        <v>100000</v>
        <stp/>
        <stp>nse_cm|975SCL27-Z9</stp>
        <stp>Face Value</stp>
        <tr r="Q885" s="1"/>
      </tp>
      <tp>
        <v>1000</v>
        <stp/>
        <stp>nse_cm|955SCL27-Z5</stp>
        <stp>Face Value</stp>
        <tr r="Q949" s="1"/>
      </tp>
      <tp>
        <v>800</v>
        <stp/>
        <stp>nse_cm|939SCL27-ZZ</stp>
        <stp>Face Value</stp>
        <tr r="Q982" s="1"/>
      </tp>
      <tp>
        <v>1000</v>
        <stp/>
        <stp>nse_cm|902SCL27-YU</stp>
        <stp>Face Value</stp>
        <tr r="Q844" s="1"/>
      </tp>
      <tp>
        <v>1000</v>
        <stp/>
        <stp>nse_cm|905SCL27-Z4</stp>
        <stp>Face Value</stp>
        <tr r="Q947" s="1"/>
      </tp>
      <tp>
        <v>1000</v>
        <stp/>
        <stp>nse_cm|925SCL27-YR</stp>
        <stp>Face Value</stp>
        <tr r="Q1415" s="1"/>
      </tp>
      <tp>
        <v>1000</v>
        <stp/>
        <stp>nse_cm|915SCL27-Z7</stp>
        <stp>Face Value</stp>
        <tr r="Q1475" s="1"/>
      </tp>
      <tp>
        <v>1000</v>
        <stp/>
        <stp>nse_cm|990SCL27-YT</stp>
        <stp>Face Value</stp>
        <tr r="Q1024" s="1"/>
      </tp>
      <tp>
        <v>259</v>
        <stp/>
        <stp>bse_cm|967EFSL28A</stp>
        <stp>Ask Qty</stp>
        <tr r="G172" s="1"/>
      </tp>
      <tp>
        <v>10</v>
        <stp/>
        <stp>bse_cm|967EFSL28D</stp>
        <stp>Ask Qty</stp>
        <tr r="G168" s="1"/>
      </tp>
      <tp>
        <v>2076</v>
        <stp/>
        <stp>nse_cm|M&amp;MFIN-N3</stp>
        <stp xml:space="preserve">Low </stp>
        <tr r="O1723" s="1"/>
      </tp>
      <tp>
        <v>55</v>
        <stp/>
        <stp>bse_cm|967EFSL29A</stp>
        <stp>Ask Qty</stp>
        <tr r="G180" s="1"/>
      </tp>
      <tp t="s">
        <v>BSE</v>
        <stp/>
        <stp>bse_cm|830CIFC26</stp>
        <stp>Exchange</stp>
        <tr r="C1013" s="1"/>
      </tp>
      <tp>
        <v>1000</v>
        <stp/>
        <stp>nse_cm|875SFL27-ZF</stp>
        <stp>Face Value</stp>
        <tr r="Q379" s="1"/>
      </tp>
      <tp t="s">
        <v>BSE</v>
        <stp/>
        <stp>bse_cm|85PCHFL26</stp>
        <stp>Exchange</stp>
        <tr r="C713" s="1"/>
      </tp>
      <tp>
        <v>5</v>
        <stp/>
        <stp>nse_cm|SCLZC26-NB</stp>
        <stp>Ask Qty</stp>
        <tr r="G1717" s="1"/>
      </tp>
      <tp>
        <v>22</v>
        <stp/>
        <stp>bse_cm|KAFL080824</stp>
        <stp>Bid Qty</stp>
        <tr r="D1417" s="1"/>
      </tp>
      <tp>
        <v>30</v>
        <stp/>
        <stp>bse_cm|1075KLMA28</stp>
        <stp>Bid Qty</stp>
        <tr r="D1116" s="1"/>
      </tp>
      <tp>
        <v>1070</v>
        <stp/>
        <stp>nse_cm|TCHF30-NB</stp>
        <stp xml:space="preserve">Low </stp>
        <tr r="O408" s="1"/>
      </tp>
      <tp t="s">
        <v>800MMFSL27</v>
        <stp/>
        <stp>bse_cm|800MMFSL27</stp>
        <stp>Trading Symbol</stp>
        <tr r="B436" s="1"/>
      </tp>
      <tp t="s">
        <v>790MMFSL27</v>
        <stp/>
        <stp>bse_cm|790MMFSL27</stp>
        <stp>Trading Symbol</stp>
        <tr r="B1189" s="1"/>
      </tp>
      <tp>
        <v>1065</v>
        <stp/>
        <stp>nse_cm|IIFLHF29-NE</stp>
        <stp>Prev Close</stp>
        <tr r="P1630" s="1"/>
      </tp>
      <tp t="s">
        <v>INE0H7R07017</v>
        <stp/>
        <stp>nse_cm|79NHIT35-N1</stp>
        <stp>Isin code</stp>
        <tr r="R1589" s="1"/>
      </tp>
      <tp t="s">
        <v>INE804I079Y6</v>
        <stp/>
        <stp>nse_cm|985ECL28-NK</stp>
        <stp>Isin code</stp>
        <tr r="R52" s="1"/>
      </tp>
      <tp t="s">
        <v>1010EFSL32</v>
        <stp/>
        <stp>bse_cm|1010EFSL32</stp>
        <stp>Trading Symbol</stp>
        <tr r="B631" s="1"/>
      </tp>
      <tp t="s">
        <v>1010EFSL29</v>
        <stp/>
        <stp>bse_cm|1010EFSL29</stp>
        <stp>Trading Symbol</stp>
        <tr r="B1459" s="1"/>
      </tp>
      <tp t="s">
        <v>1010EFSL28</v>
        <stp/>
        <stp>bse_cm|1010EFSL28</stp>
        <stp>Trading Symbol</stp>
        <tr r="B663" s="1"/>
      </tp>
      <tp t="s">
        <v>INE148I07RC9</v>
        <stp/>
        <stp>bse_cm|925SCL25H</stp>
        <stp>Isin code</stp>
        <tr r="R886" s="1"/>
      </tp>
      <tp t="s">
        <v>INE027E07AZ1</v>
        <stp/>
        <stp>nse_cm|815LTF24-NK</stp>
        <stp>Isin code</stp>
        <tr r="R1693" s="1"/>
      </tp>
      <tp t="s">
        <v>NSE</v>
        <stp/>
        <stp>nse_cm|SCL25B-BI</stp>
        <stp>Exchange</stp>
        <tr r="C1403" s="1"/>
      </tp>
      <tp t="s">
        <v>INE741K07553</v>
        <stp/>
        <stp>nse_cm|CAGL27-NC</stp>
        <stp>Isin code</stp>
        <tr r="R733" s="1"/>
      </tp>
      <tp t="s">
        <v>NSE</v>
        <stp/>
        <stp>nse_cm|SCL25A-BH</stp>
        <stp>Exchange</stp>
        <tr r="C1237" s="1"/>
      </tp>
      <tp>
        <v>0</v>
        <stp/>
        <stp>bse_cm|975MFL29A</stp>
        <stp>Ask Rate</stp>
        <tr r="F854" s="1"/>
      </tp>
      <tp t="s">
        <v>INE321N07293</v>
        <stp/>
        <stp>nse_cm|10IFSL26-N7</stp>
        <stp>Isin code</stp>
        <tr r="R293" s="1"/>
      </tp>
      <tp t="s">
        <v>INE338I07156</v>
        <stp/>
        <stp>nse_cm|0MOFSL26-N1</stp>
        <stp>Isin code</stp>
        <tr r="R1644" s="1"/>
      </tp>
      <tp t="s">
        <v>INE219X07231</v>
        <stp/>
        <stp>nse_cm|749IGT28-NG</stp>
        <stp>Isin code</stp>
        <tr r="R1197" s="1"/>
      </tp>
      <tp>
        <v>1083.98</v>
        <stp/>
        <stp>bse_cm|ICLFLZC29</stp>
        <stp>Ask Rate</stp>
        <tr r="F1613" s="1"/>
      </tp>
      <tp t="s">
        <v>774IREDA31-N7</v>
        <stp/>
        <stp>nse_cm|774IREDA31-N7</stp>
        <stp>Trading Symbol</stp>
        <tr r="B18" s="1"/>
      </tp>
      <tp t="s">
        <v>10SCL31-Z1</v>
        <stp/>
        <stp>nse_cm|10SCL31-Z1</stp>
        <stp>Trading Symbol</stp>
        <tr r="B866" s="1"/>
      </tp>
      <tp t="s">
        <v>1003SCL31</v>
        <stp/>
        <stp>nse_cm|1003SCL31-ZQ</stp>
        <stp>Symbol</stp>
        <tr r="A688" s="1"/>
      </tp>
      <tp t="s">
        <v>1050SCL31</v>
        <stp/>
        <stp>nse_cm|1050SCL31-ZP</stp>
        <stp>Symbol</stp>
        <tr r="A891" s="1"/>
      </tp>
      <tp t="s">
        <v>INE00XE07184</v>
        <stp/>
        <stp>bse_cm|MVAF27</stp>
        <stp>Isin code</stp>
        <tr r="R1689" s="1"/>
      </tp>
      <tp t="s">
        <v>840IRFC29</v>
        <stp/>
        <stp>nse_cm|840IRFC29-N8</stp>
        <stp>Symbol</stp>
        <tr r="A528" s="1"/>
      </tp>
      <tp t="s">
        <v>863IRFC29</v>
        <stp/>
        <stp>nse_cm|863IRFC29-NC</stp>
        <stp>Symbol</stp>
        <tr r="A554" s="1"/>
      </tp>
      <tp t="s">
        <v>865IRFC29</v>
        <stp/>
        <stp>nse_cm|865IRFC29-NA</stp>
        <stp>Symbol</stp>
        <tr r="A491" s="1"/>
      </tp>
      <tp t="s">
        <v>925ERFL28</v>
        <stp/>
        <stp>nse_cm|925ERFL28-N6</stp>
        <stp>Symbol</stp>
        <tr r="A165" s="1"/>
      </tp>
      <tp t="s">
        <v>INE020B07IG5</v>
        <stp/>
        <stp>nse_cm|888REC29-NF</stp>
        <stp>Isin code</stp>
        <tr r="R522" s="1"/>
      </tp>
      <tp t="s">
        <v>INE148I07NW6</v>
        <stp/>
        <stp>nse_cm|965SCL28-AK</stp>
        <stp>Isin code</stp>
        <tr r="R1137" s="1"/>
      </tp>
      <tp>
        <v>1099</v>
        <stp/>
        <stp>nse_cm|CIFCZC26-NF</stp>
        <stp>Prev Close</stp>
        <tr r="P1561" s="1"/>
      </tp>
      <tp t="s">
        <v>855TCAPS27-N7</v>
        <stp/>
        <stp>nse_cm|855TCAPS27-N7</stp>
        <stp>Trading Symbol</stp>
        <tr r="B1003" s="1"/>
      </tp>
      <tp t="s">
        <v>888IRFC29</v>
        <stp/>
        <stp>nse_cm|888IRFC29-NE</stp>
        <stp>Symbol</stp>
        <tr r="A508" s="1"/>
      </tp>
      <tp>
        <v>1000</v>
        <stp/>
        <stp>bse_cm|NWIL27</stp>
        <stp>Face Value</stp>
        <tr r="Q1439" s="1"/>
      </tp>
      <tp>
        <v>1000</v>
        <stp/>
        <stp>bse_cm|NWIL25</stp>
        <stp>Face Value</stp>
        <tr r="Q1546" s="1"/>
      </tp>
      <tp>
        <v>1000</v>
        <stp/>
        <stp>nse_cm|M&amp;MFIN-N3</stp>
        <stp>Face Value</stp>
        <tr r="Q1723" s="1"/>
      </tp>
      <tp>
        <v>-100</v>
        <stp/>
        <stp>bse_cm|916ONE25</stp>
        <stp>% Change</stp>
        <tr r="J965" s="1"/>
      </tp>
      <tp>
        <v>-100</v>
        <stp/>
        <stp>bse_cm|886ONE25</stp>
        <stp>% Change</stp>
        <tr r="J723" s="1"/>
      </tp>
      <tp>
        <v>0</v>
        <stp/>
        <stp>nse_cm|902SCL27-YU</stp>
        <stp>% Change</stp>
        <tr r="J844" s="1"/>
      </tp>
      <tp>
        <v>-100</v>
        <stp/>
        <stp>bse_cm|916ONE27</stp>
        <stp>% Change</stp>
        <tr r="J267" s="1"/>
      </tp>
      <tp>
        <v>-100</v>
        <stp/>
        <stp>bse_cm|797IGT31</stp>
        <stp>% Change</stp>
        <tr r="J381" s="1"/>
      </tp>
      <tp>
        <v>0.49</v>
        <stp/>
        <stp>bse_cm|956AEL29</stp>
        <stp>% Change</stp>
        <tr r="J311" s="1"/>
      </tp>
      <tp>
        <v>0</v>
        <stp/>
        <stp>bse_cm|888IHFL25F</stp>
        <stp>Open</stp>
        <tr r="M693" s="1"/>
      </tp>
      <tp>
        <v>1000</v>
        <stp/>
        <stp>bse_cm|678PFCL36</stp>
        <stp>Prev Close</stp>
        <tr r="P1207" s="1"/>
      </tp>
      <tp>
        <v>2</v>
        <stp/>
        <stp>nse_cm|880IREDA29-N5</stp>
        <stp>Bid Qty</stp>
        <tr r="D510" s="1"/>
      </tp>
      <tp>
        <v>10</v>
        <stp/>
        <stp>nse_cm|880IREDA34-N6</stp>
        <stp>Bid Qty</stp>
        <tr r="D511" s="1"/>
      </tp>
      <tp>
        <v>0</v>
        <stp/>
        <stp>nse_cm|939SCL27-ZZ</stp>
        <stp>% Change</stp>
        <tr r="J982" s="1"/>
      </tp>
      <tp>
        <v>0</v>
        <stp/>
        <stp>bse_cm|888IHFL25C</stp>
        <stp>Open</stp>
        <tr r="M1058" s="1"/>
      </tp>
      <tp>
        <v>1475</v>
        <stp/>
        <stp>bse_cm|725IRFC35</stp>
        <stp>Prev Close</stp>
        <tr r="P560" s="1"/>
      </tp>
      <tp>
        <v>0</v>
        <stp/>
        <stp>nse_cm|93SCFL25-Z1</stp>
        <stp>% Change</stp>
        <tr r="J946" s="1"/>
      </tp>
      <tp>
        <v>20</v>
        <stp/>
        <stp>bse_cm|82TCHF25</stp>
        <stp>Bid Qty</stp>
        <tr r="D1015" s="1"/>
      </tp>
      <tp>
        <v>-100</v>
        <stp/>
        <stp>bse_cm|TCHF30</stp>
        <stp>% Change</stp>
        <tr r="J423" s="1"/>
      </tp>
      <tp>
        <v>1000</v>
        <stp/>
        <stp>bse_cm|1250IFL29</stp>
        <stp>Prev Close</stp>
        <tr r="P1215" s="1"/>
      </tp>
      <tp>
        <v>1021</v>
        <stp/>
        <stp>bse_cm|925SCFL27</stp>
        <stp>Prev Close</stp>
        <tr r="P772" s="1"/>
      </tp>
      <tp>
        <v>1000</v>
        <stp/>
        <stp>bse_cm|925SCFL25</stp>
        <stp>Prev Close</stp>
        <tr r="P774" s="1"/>
      </tp>
      <tp>
        <v>1071.5</v>
        <stp/>
        <stp>bse_cm|125ICFL26</stp>
        <stp>Prev Close</stp>
        <tr r="P1214" s="1"/>
      </tp>
      <tp>
        <v>1042.0999999999999</v>
        <stp/>
        <stp>bse_cm|825IIFL25</stp>
        <stp>Prev Close</stp>
        <tr r="P47" s="1"/>
      </tp>
      <tp>
        <v>985</v>
        <stp/>
        <stp>bse_cm|975MFCL29</stp>
        <stp>Prev Close</stp>
        <tr r="P856" s="1"/>
      </tp>
      <tp>
        <v>1153.51</v>
        <stp/>
        <stp>bse_cm|850NHAI29</stp>
        <stp>Prev Close</stp>
        <tr r="P580" s="1"/>
      </tp>
      <tp>
        <v>970</v>
        <stp/>
        <stp>bse_cm|925ERFL28</stp>
        <stp>Prev Close</stp>
        <tr r="P147" s="1"/>
      </tp>
      <tp>
        <v>1014.01</v>
        <stp/>
        <stp>bse_cm|729IRFC26</stp>
        <stp>Prev Close</stp>
        <tr r="P367" s="1"/>
      </tp>
      <tp>
        <v>1010.2</v>
        <stp/>
        <stp>bse_cm|905NIDO25</stp>
        <stp>Prev Close</stp>
        <tr r="P60" s="1"/>
      </tp>
      <tp>
        <v>1000</v>
        <stp/>
        <stp>nse_cm|IIFLZC28B-Y1</stp>
        <stp>LTP</stp>
        <tr r="H1491" s="1"/>
      </tp>
      <tp t="s">
        <v>15:12:45</v>
        <stp/>
        <stp>nse_cm|IIFLZC28B-Y1</stp>
        <stp>LTT</stp>
        <tr r="I1491" s="1"/>
      </tp>
      <tp>
        <v>1103.75</v>
        <stp/>
        <stp>bse_cm|728IRFC30</stp>
        <stp>Prev Close</stp>
        <tr r="P469" s="1"/>
      </tp>
      <tp>
        <v>99</v>
        <stp/>
        <stp>bse_cm|58PFCL26</stp>
        <stp>Bid Qty</stp>
        <tr r="D369" s="1"/>
      </tp>
      <tp>
        <v>1000</v>
        <stp/>
        <stp>bse_cm|820SCFL25</stp>
        <stp>Prev Close</stp>
        <tr r="P1059" s="1"/>
      </tp>
      <tp>
        <v>941.8</v>
        <stp/>
        <stp>bse_cm|820IIFL27</stp>
        <stp>Prev Close</stp>
        <tr r="P176" s="1"/>
      </tp>
      <tp>
        <v>100</v>
        <stp/>
        <stp>bse_cm|68PFCL31</stp>
        <stp>Bid Qty</stp>
        <tr r="D1205" s="1"/>
      </tp>
      <tp t="s">
        <v>BSE</v>
        <stp/>
        <stp>bse_cm|SCLZC26</stp>
        <stp>Exchange</stp>
        <tr r="C1464" s="1"/>
      </tp>
      <tp>
        <v>-100</v>
        <stp/>
        <stp>bse_cm|966ONE29</stp>
        <stp>% Change</stp>
        <tr r="J281" s="1"/>
      </tp>
      <tp>
        <v>-100</v>
        <stp/>
        <stp>bse_cm|926ONE29</stp>
        <stp>% Change</stp>
        <tr r="J1467" s="1"/>
      </tp>
      <tp>
        <v>972.82</v>
        <stp/>
        <stp>bse_cm|921ISFL25</stp>
        <stp>Prev Close</stp>
        <tr r="P350" s="1"/>
      </tp>
      <tp t="s">
        <v>BSE</v>
        <stp/>
        <stp>bse_cm|SCLZC25</stp>
        <stp>Exchange</stp>
        <tr r="C917" s="1"/>
      </tp>
      <tp>
        <v>1009</v>
        <stp/>
        <stp>bse_cm|1225IFL27</stp>
        <stp>Prev Close</stp>
        <tr r="P1216" s="1"/>
      </tp>
      <tp>
        <v>1000</v>
        <stp/>
        <stp>bse_cm|MML11924A</stp>
        <stp>Prev Close</stp>
        <tr r="P1256" s="1"/>
      </tp>
      <tp>
        <v>1000</v>
        <stp/>
        <stp>bse_cm|MML11924B</stp>
        <stp>Prev Close</stp>
        <tr r="P1255" s="1"/>
      </tp>
      <tp>
        <v>980</v>
        <stp/>
        <stp>bse_cm|MML11924C</stp>
        <stp>Prev Close</stp>
        <tr r="P1623" s="1"/>
      </tp>
      <tp>
        <v>0</v>
        <stp/>
        <stp>bse_cm|931SFL26A</stp>
        <stp>Volume Traded Today</stp>
        <tr r="L1086" s="1"/>
      </tp>
      <tp>
        <v>12</v>
        <stp/>
        <stp>bse_cm|SFL27224</stp>
        <stp>Bid Qty</stp>
        <tr r="D805" s="1"/>
      </tp>
      <tp>
        <v>10</v>
        <stp/>
        <stp>bse_cm|MML11924</stp>
        <stp>Bid Qty</stp>
        <tr r="D1536" s="1"/>
      </tp>
      <tp>
        <v>0</v>
        <stp/>
        <stp>bse_cm|MFLZC30</stp>
        <stp>Ask Rate</stp>
        <tr r="F1267" s="1"/>
      </tp>
      <tp>
        <v>0</v>
        <stp/>
        <stp>bse_cm|KFLZC31</stp>
        <stp>Ask Rate</stp>
        <tr r="F1286" s="1"/>
      </tp>
      <tp>
        <v>180</v>
        <stp/>
        <stp>bse_cm|88NWIL25</stp>
        <stp>Bid Qty</stp>
        <tr r="D219" s="1"/>
      </tp>
      <tp>
        <v>1120</v>
        <stp/>
        <stp>nse_cm|IIFLZC26A-NR</stp>
        <stp>Open</stp>
        <tr r="M1680" s="1"/>
      </tp>
      <tp>
        <v>10</v>
        <stp/>
        <stp>bse_cm|81TCHF28</stp>
        <stp>Ask Qty</stp>
        <tr r="G479" s="1"/>
      </tp>
      <tp>
        <v>1200</v>
        <stp/>
        <stp>nse_cm|9TCAP28-N9</stp>
        <stp>Ask Rate</stp>
        <tr r="F544" s="1"/>
      </tp>
      <tp>
        <v>0</v>
        <stp/>
        <stp>bse_cm|MFLZC32</stp>
        <stp>Ask Rate</stp>
        <tr r="F1266" s="1"/>
      </tp>
      <tp>
        <v>15</v>
        <stp/>
        <stp>bse_cm|98NWFL30</stp>
        <stp>Bid Qty</stp>
        <tr r="D231" s="1"/>
      </tp>
      <tp>
        <v>0</v>
        <stp/>
        <stp>nse_cm|IIFLZC25A-NP</stp>
        <stp>Open</stp>
        <tr r="M1578" s="1"/>
      </tp>
      <tp>
        <v>-100</v>
        <stp/>
        <stp>nse_cm|833SCL24-ZE</stp>
        <stp>% Change</stp>
        <tr r="J957" s="1"/>
      </tp>
      <tp>
        <v>0</v>
        <stp/>
        <stp>nse_cm|IIFLZC25B-NW</stp>
        <stp>Open</stp>
        <tr r="M1684" s="1"/>
      </tp>
      <tp>
        <v>1000</v>
        <stp/>
        <stp>bse_cm|948JFPL25</stp>
        <stp>Face Value</stp>
        <tr r="Q490" s="1"/>
      </tp>
      <tp>
        <v>250</v>
        <stp/>
        <stp>bse_cm|MFLII26B</stp>
        <stp>Bid Qty</stp>
        <tr r="D1454" s="1"/>
      </tp>
      <tp>
        <v>10</v>
        <stp/>
        <stp>bse_cm|SFLZC26A</stp>
        <stp>Bid Qty</stp>
        <tr r="D1713" s="1"/>
      </tp>
      <tp>
        <v>10</v>
        <stp/>
        <stp>bse_cm|MFLZC26A</stp>
        <stp>Bid Qty</stp>
        <tr r="D1715" s="1"/>
      </tp>
      <tp>
        <v>50</v>
        <stp/>
        <stp>bse_cm|KFLZC26A</stp>
        <stp>Bid Qty</stp>
        <tr r="D1442" s="1"/>
      </tp>
      <tp>
        <v>50</v>
        <stp/>
        <stp>bse_cm|MFLZC26B</stp>
        <stp>Bid Qty</stp>
        <tr r="D1272" s="1"/>
      </tp>
      <tp>
        <v>28</v>
        <stp/>
        <stp>bse_cm|KFLZC26B</stp>
        <stp>Bid Qty</stp>
        <tr r="D1711" s="1"/>
      </tp>
      <tp>
        <v>50</v>
        <stp/>
        <stp>bse_cm|MFLZC26C</stp>
        <stp>Bid Qty</stp>
        <tr r="D1350" s="1"/>
      </tp>
      <tp>
        <v>50</v>
        <stp/>
        <stp>bse_cm|KFLZC26C</stp>
        <stp>Bid Qty</stp>
        <tr r="D1744" s="1"/>
      </tp>
      <tp>
        <v>50</v>
        <stp/>
        <stp>bse_cm|MFLZC26D</stp>
        <stp>Bid Qty</stp>
        <tr r="D1440" s="1"/>
      </tp>
      <tp>
        <v>200</v>
        <stp/>
        <stp>bse_cm|KFLZC26D</stp>
        <stp>Bid Qty</stp>
        <tr r="D1294" s="1"/>
      </tp>
      <tp>
        <v>7</v>
        <stp/>
        <stp>bse_cm|MFLZC26E</stp>
        <stp>Bid Qty</stp>
        <tr r="D1651" s="1"/>
      </tp>
      <tp>
        <v>27</v>
        <stp/>
        <stp>bse_cm|KFLZC26E</stp>
        <stp>Bid Qty</stp>
        <tr r="D1293" s="1"/>
      </tp>
      <tp>
        <v>0</v>
        <stp/>
        <stp>bse_cm|980SCL33B</stp>
        <stp>Volume Traded Today</stp>
        <tr r="L1054" s="1"/>
      </tp>
      <tp>
        <v>0</v>
        <stp/>
        <stp>bse_cm|980SCL33C</stp>
        <stp>Volume Traded Today</stp>
        <tr r="L1384" s="1"/>
      </tp>
      <tp>
        <v>0</v>
        <stp/>
        <stp>bse_cm|980SCL33A</stp>
        <stp>Volume Traded Today</stp>
        <tr r="L1056" s="1"/>
      </tp>
      <tp>
        <v>0</v>
        <stp/>
        <stp>bse_cm|980SCL33D</stp>
        <stp>Volume Traded Today</stp>
        <tr r="L1022" s="1"/>
      </tp>
      <tp>
        <v>0</v>
        <stp/>
        <stp>bse_cm|98ICCL26</stp>
        <stp>Bid Qty</stp>
        <tr r="D1412" s="1"/>
      </tp>
      <tp>
        <v>190</v>
        <stp/>
        <stp>bse_cm|MFLII27B</stp>
        <stp>Bid Qty</stp>
        <tr r="D359" s="1"/>
      </tp>
      <tp>
        <v>190</v>
        <stp/>
        <stp>bse_cm|MFLIV27D</stp>
        <stp>Bid Qty</stp>
        <tr r="D1452" s="1"/>
      </tp>
      <tp>
        <v>50</v>
        <stp/>
        <stp>bse_cm|MFLZC27A</stp>
        <stp>Bid Qty</stp>
        <tr r="D1270" s="1"/>
      </tp>
      <tp>
        <v>24</v>
        <stp/>
        <stp>bse_cm|KFLZC27A</stp>
        <stp>Bid Qty</stp>
        <tr r="D1291" s="1"/>
      </tp>
      <tp>
        <v>50</v>
        <stp/>
        <stp>bse_cm|MFLZC27B</stp>
        <stp>Bid Qty</stp>
        <tr r="D1697" s="1"/>
      </tp>
      <tp>
        <v>50</v>
        <stp/>
        <stp>bse_cm|MFLZC27C</stp>
        <stp>Bid Qty</stp>
        <tr r="D1411" s="1"/>
      </tp>
      <tp>
        <v>50</v>
        <stp/>
        <stp>bse_cm|MFLZC27D</stp>
        <stp>Bid Qty</stp>
        <tr r="D1700" s="1"/>
      </tp>
      <tp>
        <v>50</v>
        <stp/>
        <stp>bse_cm|MFLZC27E</stp>
        <stp>Bid Qty</stp>
        <tr r="D1677" s="1"/>
      </tp>
      <tp>
        <v>18</v>
        <stp/>
        <stp>bse_cm|MFLZC27F</stp>
        <stp>Bid Qty</stp>
        <tr r="D1566" s="1"/>
      </tp>
      <tp>
        <v>0</v>
        <stp/>
        <stp>nse_cm|9SCL26B-ND</stp>
        <stp>Open</stp>
        <tr r="M994" s="1"/>
      </tp>
      <tp>
        <v>100000</v>
        <stp/>
        <stp>bse_cm|825MMFS27</stp>
        <stp>Prev Close</stp>
        <tr r="P1381" s="1"/>
      </tp>
      <tp>
        <v>50</v>
        <stp/>
        <stp>bse_cm|MFLZC24C</stp>
        <stp>Bid Qty</stp>
        <tr r="D1551" s="1"/>
      </tp>
      <tp>
        <v>25</v>
        <stp/>
        <stp>bse_cm|MFLZC24D</stp>
        <stp>Bid Qty</stp>
        <tr r="D1550" s="1"/>
      </tp>
      <tp>
        <v>50</v>
        <stp/>
        <stp>bse_cm|KFLZC24D</stp>
        <stp>Bid Qty</stp>
        <tr r="D1296" s="1"/>
      </tp>
      <tp>
        <v>120</v>
        <stp/>
        <stp>bse_cm|SFLZC25A</stp>
        <stp>Bid Qty</stp>
        <tr r="D1583" s="1"/>
      </tp>
      <tp>
        <v>50</v>
        <stp/>
        <stp>bse_cm|MFLZC25A</stp>
        <stp>Bid Qty</stp>
        <tr r="D1757" s="1"/>
      </tp>
      <tp>
        <v>54</v>
        <stp/>
        <stp>bse_cm|KFLZC25A</stp>
        <stp>Bid Qty</stp>
        <tr r="D1738" s="1"/>
      </tp>
      <tp>
        <v>170</v>
        <stp/>
        <stp>bse_cm|MFLZC25B</stp>
        <stp>Bid Qty</stp>
        <tr r="D1273" s="1"/>
      </tp>
      <tp>
        <v>25</v>
        <stp/>
        <stp>bse_cm|KFLZC25B</stp>
        <stp>Bid Qty</stp>
        <tr r="D1739" s="1"/>
      </tp>
      <tp>
        <v>180</v>
        <stp/>
        <stp>bse_cm|MFLZC25C</stp>
        <stp>Bid Qty</stp>
        <tr r="D1579" s="1"/>
      </tp>
      <tp>
        <v>22</v>
        <stp/>
        <stp>bse_cm|KFLZC25C</stp>
        <stp>Bid Qty</stp>
        <tr r="D1295" s="1"/>
      </tp>
      <tp>
        <v>50</v>
        <stp/>
        <stp>bse_cm|MFLZC25D</stp>
        <stp>Bid Qty</stp>
        <tr r="D1520" s="1"/>
      </tp>
      <tp>
        <v>50</v>
        <stp/>
        <stp>bse_cm|KFLZC25D</stp>
        <stp>Bid Qty</stp>
        <tr r="D1735" s="1"/>
      </tp>
      <tp>
        <v>30</v>
        <stp/>
        <stp>bse_cm|KFLZC25E</stp>
        <stp>Bid Qty</stp>
        <tr r="D1530" s="1"/>
      </tp>
      <tp>
        <v>814</v>
        <stp/>
        <stp>bse_cm|1015SCL28B</stp>
        <stp xml:space="preserve">Low </stp>
        <tr r="O1178" s="1"/>
      </tp>
      <tp>
        <v>-100</v>
        <stp/>
        <stp>bse_cm|957SCL30</stp>
        <stp>% Change</stp>
        <tr r="J1110" s="1"/>
      </tp>
      <tp>
        <v>100</v>
        <stp/>
        <stp>bse_cm|98EFSL26</stp>
        <stp>Bid Qty</stp>
        <tr r="D82" s="1"/>
      </tp>
      <tp>
        <v>0</v>
        <stp/>
        <stp>nse_cm|IIFLZC26B-NY</stp>
        <stp>Open</stp>
        <tr r="M1629" s="1"/>
      </tp>
      <tp>
        <v>-100</v>
        <stp/>
        <stp>bse_cm|957SCL31</stp>
        <stp>% Change</stp>
        <tr r="J1108" s="1"/>
      </tp>
      <tp>
        <v>1000</v>
        <stp/>
        <stp>bse_cm|975EFSL27</stp>
        <stp>Face Value</stp>
        <tr r="Q45" s="1"/>
      </tp>
      <tp>
        <v>5</v>
        <stp/>
        <stp>bse_cm|849NTPC25</stp>
        <stp>Face Value</stp>
        <tr r="Q443" s="1"/>
      </tp>
      <tp>
        <v>23</v>
        <stp/>
        <stp>bse_cm|KFLZC28A</stp>
        <stp>Bid Qty</stp>
        <tr r="D1289" s="1"/>
      </tp>
      <tp>
        <v>20</v>
        <stp/>
        <stp>bse_cm|KFLZC28B</stp>
        <stp>Bid Qty</stp>
        <tr r="D1288" s="1"/>
      </tp>
      <tp>
        <v>28</v>
        <stp/>
        <stp>bse_cm|KFLZC28C</stp>
        <stp>Bid Qty</stp>
        <tr r="D1287" s="1"/>
      </tp>
      <tp>
        <v>50</v>
        <stp/>
        <stp>bse_cm|MFLZC28E</stp>
        <stp>Bid Qty</stp>
        <tr r="D1269" s="1"/>
      </tp>
      <tp>
        <v>50</v>
        <stp/>
        <stp>bse_cm|MFLZC28F</stp>
        <stp>Bid Qty</stp>
        <tr r="D1268" s="1"/>
      </tp>
      <tp>
        <v>820</v>
        <stp/>
        <stp>bse_cm|1015SCL28A</stp>
        <stp xml:space="preserve">Low </stp>
        <tr r="O1386" s="1"/>
      </tp>
      <tp>
        <v>0</v>
        <stp/>
        <stp>nse_cm|IIFLZC28A-NU</stp>
        <stp>Open</stp>
        <tr r="M1624" s="1"/>
      </tp>
      <tp>
        <v>50</v>
        <stp/>
        <stp>bse_cm|MFLZC29A</stp>
        <stp>Bid Qty</stp>
        <tr r="D1554" s="1"/>
      </tp>
      <tp>
        <v>10</v>
        <stp/>
        <stp>bse_cm|78ABFL33</stp>
        <stp>Bid Qty</stp>
        <tr r="D378" s="1"/>
      </tp>
      <tp>
        <v>1000</v>
        <stp/>
        <stp>bse_cm|970EFSL31</stp>
        <stp>Face Value</stp>
        <tr r="Q220" s="1"/>
      </tp>
      <tp>
        <v>1075.8</v>
        <stp/>
        <stp>nse_cm|IIFLZC25B-NW</stp>
        <stp>LTP</stp>
        <tr r="H1684" s="1"/>
      </tp>
      <tp t="s">
        <v/>
        <stp/>
        <stp>nse_cm|IIFLZC25A-NP</stp>
        <stp>LTT</stp>
        <tr r="I1578" s="1"/>
      </tp>
      <tp t="s">
        <v>09:15:44</v>
        <stp/>
        <stp>nse_cm|IIFLZC26A-NR</stp>
        <stp>LTT</stp>
        <tr r="I1680" s="1"/>
      </tp>
      <tp t="s">
        <v/>
        <stp/>
        <stp>nse_cm|IIFLZC25B-NW</stp>
        <stp>LTT</stp>
        <tr r="I1684" s="1"/>
      </tp>
      <tp>
        <v>1140.22</v>
        <stp/>
        <stp>nse_cm|IIFLZC25A-NP</stp>
        <stp>LTP</stp>
        <tr r="H1578" s="1"/>
      </tp>
      <tp>
        <v>1329</v>
        <stp/>
        <stp>nse_cm|IIFLZC26A-NR</stp>
        <stp>LTP</stp>
        <tr r="H1680" s="1"/>
      </tp>
      <tp t="s">
        <v/>
        <stp/>
        <stp>nse_cm|IIFLZC26B-NY</stp>
        <stp>LTT</stp>
        <tr r="I1629" s="1"/>
      </tp>
      <tp t="s">
        <v/>
        <stp/>
        <stp>nse_cm|IIFLZC28A-NU</stp>
        <stp>LTT</stp>
        <tr r="I1624" s="1"/>
      </tp>
      <tp>
        <v>1060.01</v>
        <stp/>
        <stp>nse_cm|IIFLZC26B-NY</stp>
        <stp>LTP</stp>
        <tr r="H1629" s="1"/>
      </tp>
      <tp>
        <v>1030</v>
        <stp/>
        <stp>nse_cm|IIFLZC28A-NU</stp>
        <stp>LTP</stp>
        <tr r="H1624" s="1"/>
      </tp>
      <tp>
        <v>-100</v>
        <stp/>
        <stp>bse_cm|866SFL25</stp>
        <stp>% Change</stp>
        <tr r="J1652" s="1"/>
      </tp>
      <tp>
        <v>-0.01</v>
        <stp/>
        <stp>bse_cm|866SCL25</stp>
        <stp>% Change</stp>
        <tr r="J603" s="1"/>
      </tp>
      <tp>
        <v>0</v>
        <stp/>
        <stp>bse_cm|916SCL25</stp>
        <stp>% Change</stp>
        <tr r="J964" s="1"/>
      </tp>
      <tp>
        <v>1060</v>
        <stp/>
        <stp>nse_cm|CIFCZC28A-N5</stp>
        <stp>LTP</stp>
        <tr r="H1559" s="1"/>
      </tp>
      <tp t="s">
        <v/>
        <stp/>
        <stp>nse_cm|CIFCZC28A-N5</stp>
        <stp>LTT</stp>
        <tr r="I1559" s="1"/>
      </tp>
      <tp>
        <v>1136</v>
        <stp/>
        <stp>nse_cm|CIFCZC25A-N1</stp>
        <stp>LTP</stp>
        <tr r="H1730" s="1"/>
      </tp>
      <tp>
        <v>1076</v>
        <stp/>
        <stp>nse_cm|CIFCZC26A-N3</stp>
        <stp>LTP</stp>
        <tr r="H1565" s="1"/>
      </tp>
      <tp t="s">
        <v>10:17:25</v>
        <stp/>
        <stp>nse_cm|IIFLZC28C-N6</stp>
        <stp>LTT</stp>
        <tr r="I1656" s="1"/>
      </tp>
      <tp t="s">
        <v/>
        <stp/>
        <stp>nse_cm|IIFLZC25C-N8</stp>
        <stp>LTT</stp>
        <tr r="I1748" s="1"/>
      </tp>
      <tp t="s">
        <v/>
        <stp/>
        <stp>nse_cm|CIFCZC25A-N1</stp>
        <stp>LTT</stp>
        <tr r="I1730" s="1"/>
      </tp>
      <tp t="s">
        <v/>
        <stp/>
        <stp>nse_cm|CIFCZC26A-N3</stp>
        <stp>LTT</stp>
        <tr r="I1565" s="1"/>
      </tp>
      <tp>
        <v>1209</v>
        <stp/>
        <stp>nse_cm|IIFLZC28C-N6</stp>
        <stp>LTP</stp>
        <tr r="H1656" s="1"/>
      </tp>
      <tp>
        <v>1232</v>
        <stp/>
        <stp>nse_cm|IIFLZC25C-N8</stp>
        <stp>LTP</stp>
        <tr r="H1748" s="1"/>
      </tp>
      <tp>
        <v>0</v>
        <stp/>
        <stp>bse_cm|971SCL28B</stp>
        <stp>Volume Traded Today</stp>
        <tr r="L714" s="1"/>
      </tp>
      <tp>
        <v>0</v>
        <stp/>
        <stp>bse_cm|971SCL28C</stp>
        <stp>Volume Traded Today</stp>
        <tr r="L827" s="1"/>
      </tp>
      <tp>
        <v>0</v>
        <stp/>
        <stp>bse_cm|971SCL28A</stp>
        <stp>Volume Traded Today</stp>
        <tr r="L1027" s="1"/>
      </tp>
      <tp>
        <v>0</v>
        <stp/>
        <stp>bse_cm|971SCL28I</stp>
        <stp>Volume Traded Today</stp>
        <tr r="L1471" s="1"/>
      </tp>
      <tp>
        <v>-0.78</v>
        <stp/>
        <stp>nse_cm|903SFL28-YI</stp>
        <stp>% Change</stp>
        <tr r="J372" s="1"/>
      </tp>
      <tp>
        <v>0</v>
        <stp/>
        <stp>bse_cm|971SCL29A</stp>
        <stp>Volume Traded Today</stp>
        <tr r="L862" s="1"/>
      </tp>
      <tp>
        <v>997.45</v>
        <stp/>
        <stp>nse_cm|866SCFL25-Y8</stp>
        <stp>High</stp>
        <tr r="N158" s="1"/>
      </tp>
      <tp>
        <v>0</v>
        <stp/>
        <stp>nse_cm|931SFL26-Z5</stp>
        <stp>% Change</stp>
        <tr r="J519" s="1"/>
      </tp>
      <tp>
        <v>0</v>
        <stp/>
        <stp>nse_cm|950IIFL27-Y2</stp>
        <stp xml:space="preserve">Low </stp>
        <tr r="O995" s="1"/>
      </tp>
      <tp>
        <v>15</v>
        <stp/>
        <stp>nse_cm|1025SCFL34-Z5</stp>
        <stp>Bid Qty</stp>
        <tr r="D880" s="1"/>
      </tp>
      <tp>
        <v>1000</v>
        <stp/>
        <stp>bse_cm|97MOFSL34</stp>
        <stp>Face Value</stp>
        <tr r="Q1600" s="1"/>
      </tp>
      <tp t="s">
        <v>10SCL30A</v>
        <stp/>
        <stp>nse_cm|10SCL30A-BV</stp>
        <stp>Symbol</stp>
        <tr r="A445" s="1"/>
      </tp>
      <tp t="s">
        <v>10SCL31A</v>
        <stp/>
        <stp>nse_cm|10SCL31A-ZO</stp>
        <stp>Symbol</stp>
        <tr r="A864" s="1"/>
      </tp>
      <tp>
        <v>6</v>
        <stp/>
        <stp>bse_cm|888SCL25</stp>
        <stp>Bid Qty</stp>
        <tr r="D1134" s="1"/>
      </tp>
      <tp>
        <v>9</v>
        <stp/>
        <stp>bse_cm|888SCL26</stp>
        <stp>Bid Qty</stp>
        <tr r="D915" s="1"/>
      </tp>
      <tp>
        <v>12</v>
        <stp/>
        <stp>bse_cm|889SCL27</stp>
        <stp>Bid Qty</stp>
        <tr r="D121" s="1"/>
      </tp>
      <tp>
        <v>5</v>
        <stp/>
        <stp>bse_cm|889SCL26</stp>
        <stp>Bid Qty</stp>
        <tr r="D237" s="1"/>
      </tp>
      <tp>
        <v>25</v>
        <stp/>
        <stp>bse_cm|889SCL28</stp>
        <stp>Bid Qty</stp>
        <tr r="D1069" s="1"/>
      </tp>
      <tp>
        <v>12</v>
        <stp/>
        <stp>bse_cm|829LTF24</stp>
        <stp>Bid Qty</stp>
        <tr r="D4" s="1"/>
      </tp>
      <tp t="s">
        <v>BSE</v>
        <stp/>
        <stp>bse_cm|EFSL27A</stp>
        <stp>Exchange</stp>
        <tr r="C1649" s="1"/>
      </tp>
      <tp>
        <v>1</v>
        <stp/>
        <stp>bse_cm|885SCL26</stp>
        <stp>Bid Qty</stp>
        <tr r="D57" s="1"/>
      </tp>
      <tp>
        <v>20</v>
        <stp/>
        <stp>bse_cm|785MFL28</stp>
        <stp>Bid Qty</stp>
        <tr r="D439" s="1"/>
      </tp>
      <tp>
        <v>10</v>
        <stp/>
        <stp>bse_cm|985ECL28</stp>
        <stp>Bid Qty</stp>
        <tr r="D56" s="1"/>
      </tp>
      <tp>
        <v>0</v>
        <stp/>
        <stp>bse_cm|MFOPTVI24</stp>
        <stp>LTP</stp>
        <tr r="H1547" s="1"/>
      </tp>
      <tp>
        <v>1000</v>
        <stp/>
        <stp>bse_cm|10MMLTD24</stp>
        <stp>Face Value</stp>
        <tr r="Q1615" s="1"/>
      </tp>
      <tp t="s">
        <v>00:00:00</v>
        <stp/>
        <stp>bse_cm|MFOPTVI24</stp>
        <stp>LTT</stp>
        <tr r="I1547" s="1"/>
      </tp>
      <tp>
        <v>50</v>
        <stp/>
        <stp>bse_cm|916ONE25</stp>
        <stp>Bid Qty</stp>
        <tr r="D965" s="1"/>
      </tp>
      <tp>
        <v>50</v>
        <stp/>
        <stp>bse_cm|916ONE27</stp>
        <stp>Bid Qty</stp>
        <tr r="D267" s="1"/>
      </tp>
      <tp t="s">
        <v>89SCL24A</v>
        <stp/>
        <stp>nse_cm|89SCL24A-ZM</stp>
        <stp>Symbol</stp>
        <tr r="A970" s="1"/>
      </tp>
      <tp t="s">
        <v>87SCL27A</v>
        <stp/>
        <stp>nse_cm|87SCL27A-ZK</stp>
        <stp>Symbol</stp>
        <tr r="A1416" s="1"/>
      </tp>
      <tp t="s">
        <v>87SCL24A</v>
        <stp/>
        <stp>nse_cm|87SCL24A-ZF</stp>
        <stp>Symbol</stp>
        <tr r="A959" s="1"/>
      </tp>
      <tp t="s">
        <v>INE148I07QZ2</v>
        <stp/>
        <stp>bse_cm|980SCL33</stp>
        <stp>Isin code</stp>
        <tr r="R998" s="1"/>
      </tp>
      <tp>
        <v>0</v>
        <stp/>
        <stp>nse_cm|1050SCL31-ZP</stp>
        <stp>High</stp>
        <tr r="N891" s="1"/>
      </tp>
      <tp t="s">
        <v>93SCL24A</v>
        <stp/>
        <stp>nse_cm|93SCL24A-ZN</stp>
        <stp>Symbol</stp>
        <tr r="A695" s="1"/>
      </tp>
      <tp t="s">
        <v>9ICCL23A</v>
        <stp/>
        <stp>nse_cm|9ICCL23A-N0</stp>
        <stp>Symbol</stp>
        <tr r="A657" s="1"/>
      </tp>
      <tp>
        <v>170</v>
        <stp/>
        <stp>bse_cm|880MFL28</stp>
        <stp>Bid Qty</stp>
        <tr r="D1338" s="1"/>
      </tp>
      <tp>
        <v>9</v>
        <stp/>
        <stp>bse_cm|980SCL33</stp>
        <stp>Bid Qty</stp>
        <tr r="D998" s="1"/>
      </tp>
      <tp>
        <v>20</v>
        <stp/>
        <stp>bse_cm|980SCL34</stp>
        <stp>Bid Qty</stp>
        <tr r="D829" s="1"/>
      </tp>
      <tp t="s">
        <v>00:00:00</v>
        <stp/>
        <stp>bse_cm|894SCL25A</stp>
        <stp>LTT</stp>
        <tr r="I1235" s="1"/>
      </tp>
      <tp>
        <v>0</v>
        <stp/>
        <stp>bse_cm|894SCL25A</stp>
        <stp>LTP</stp>
        <tr r="H1235" s="1"/>
      </tp>
      <tp t="s">
        <v>96ONE29</v>
        <stp/>
        <stp>bse_cm|96ONE29</stp>
        <stp>Trading Symbol</stp>
        <tr r="B1621" s="1"/>
      </tp>
      <tp>
        <v>0</v>
        <stp/>
        <stp>bse_cm|926ONE29</stp>
        <stp>Ask Qty</stp>
        <tr r="G1467" s="1"/>
      </tp>
      <tp>
        <v>0</v>
        <stp/>
        <stp>bse_cm|10IIFLSF27</stp>
        <stp>Open</stp>
        <tr r="M1098" s="1"/>
      </tp>
      <tp>
        <v>0</v>
        <stp/>
        <stp>bse_cm|76IGT26</stp>
        <stp>Volume Traded Today</stp>
        <tr r="L1608" s="1"/>
      </tp>
      <tp>
        <v>0</v>
        <stp/>
        <stp>bse_cm|EFSL290424</stp>
        <stp>Open</stp>
        <tr r="M1334" s="1"/>
      </tp>
      <tp>
        <v>0</v>
        <stp/>
        <stp>bse_cm|77IGT28</stp>
        <stp>Volume Traded Today</stp>
        <tr r="L1191" s="1"/>
      </tp>
      <tp>
        <v>0</v>
        <stp/>
        <stp>bse_cm|815LTF24</stp>
        <stp>Ask Qty</stp>
        <tr r="G1167" s="1"/>
      </tp>
      <tp>
        <v>914.5</v>
        <stp/>
        <stp>bse_cm|980SCL33D</stp>
        <stp>Prev Close</stp>
        <tr r="P1022" s="1"/>
      </tp>
      <tp>
        <v>817.25</v>
        <stp/>
        <stp>bse_cm|980SCL33B</stp>
        <stp>Prev Close</stp>
        <tr r="P1054" s="1"/>
      </tp>
      <tp>
        <v>857.14</v>
        <stp/>
        <stp>bse_cm|980SCL33C</stp>
        <stp>Prev Close</stp>
        <tr r="P1384" s="1"/>
      </tp>
      <tp>
        <v>900</v>
        <stp/>
        <stp>bse_cm|980SCL33A</stp>
        <stp>Prev Close</stp>
        <tr r="P1056" s="1"/>
      </tp>
      <tp>
        <v>0</v>
        <stp/>
        <stp>bse_cm|885MOFSL26</stp>
        <stp>Open</stp>
        <tr r="M1643" s="1"/>
      </tp>
      <tp>
        <v>50</v>
        <stp/>
        <stp>bse_cm|743REC35</stp>
        <stp>Ask Qty</stp>
        <tr r="G513" s="1"/>
      </tp>
      <tp t="s">
        <v>NSE</v>
        <stp/>
        <stp>nse_cm|894SCL25A-ZI</stp>
        <stp>Exchange</stp>
        <tr r="C963" s="1"/>
      </tp>
      <tp>
        <v>0</v>
        <stp/>
        <stp>bse_cm|922ONE25</stp>
        <stp>Ask Qty</stp>
        <tr r="G1111" s="1"/>
      </tp>
      <tp>
        <v>0</v>
        <stp/>
        <stp>nse_cm|CIFCZC28A-N5</stp>
        <stp>Open</stp>
        <tr r="M1559" s="1"/>
      </tp>
      <tp>
        <v>979.93</v>
        <stp/>
        <stp>bse_cm|12ICLFL26</stp>
        <stp>Prev Close</stp>
        <tr r="P547" s="1"/>
      </tp>
      <tp>
        <v>0</v>
        <stp/>
        <stp>bse_cm|921ONE27</stp>
        <stp>Ask Qty</stp>
        <tr r="G1428" s="1"/>
      </tp>
      <tp>
        <v>995.8</v>
        <stp/>
        <stp>bse_cm|975MFL24BB</stp>
        <stp>Bid Rate</stp>
        <tr r="E552" s="1"/>
      </tp>
      <tp>
        <v>0</v>
        <stp/>
        <stp>bse_cm|921ONE29</stp>
        <stp>Ask Qty</stp>
        <tr r="G1112" s="1"/>
      </tp>
      <tp>
        <v>5</v>
        <stp/>
        <stp>nse_cm|888IHFL25C-NR</stp>
        <stp>Bid Qty</stp>
        <tr r="D1426" s="1"/>
      </tp>
      <tp>
        <v>500</v>
        <stp/>
        <stp>nse_cm|888IHFL25F-NC</stp>
        <stp>Bid Qty</stp>
        <tr r="D343" s="1"/>
      </tp>
      <tp>
        <v>5</v>
        <stp/>
        <stp>nse_cm|948ICCL25A-NG</stp>
        <stp>Bid Qty</stp>
        <tr r="D1736" s="1"/>
      </tp>
      <tp t="s">
        <v>00:00:00</v>
        <stp/>
        <stp>bse_cm|104ECL29A</stp>
        <stp>LTT</stp>
        <tr r="I79" s="1"/>
      </tp>
      <tp>
        <v>0</v>
        <stp/>
        <stp>bse_cm|104ECL29A</stp>
        <stp>LTP</stp>
        <tr r="H79" s="1"/>
      </tp>
      <tp>
        <v>1209</v>
        <stp/>
        <stp>nse_cm|IIFLZC28C-N6</stp>
        <stp>Open</stp>
        <tr r="M1656" s="1"/>
      </tp>
      <tp>
        <v>925</v>
        <stp/>
        <stp>nse_cm|888ERFL28-N5</stp>
        <stp>Open</stp>
        <tr r="M63" s="1"/>
      </tp>
      <tp>
        <v>-100</v>
        <stp/>
        <stp>bse_cm|SCL24A</stp>
        <stp>% Change</stp>
        <tr r="J1749" s="1"/>
      </tp>
      <tp>
        <v>0</v>
        <stp/>
        <stp>nse_cm|1015SCFL29-YY</stp>
        <stp>Ask Qty</stp>
        <tr r="G1455" s="1"/>
      </tp>
      <tp>
        <v>950</v>
        <stp/>
        <stp>bse_cm|888SCL25E</stp>
        <stp>Prev Close</stp>
        <tr r="P1356" s="1"/>
      </tp>
      <tp>
        <v>857.14</v>
        <stp/>
        <stp>bse_cm|888SCL25D</stp>
        <stp>Prev Close</stp>
        <tr r="P788" s="1"/>
      </tp>
      <tp>
        <v>1000</v>
        <stp/>
        <stp>bse_cm|888SCL25B</stp>
        <stp>Prev Close</stp>
        <tr r="P909" s="1"/>
      </tp>
      <tp>
        <v>979.8</v>
        <stp/>
        <stp>bse_cm|888SCL25A</stp>
        <stp>Prev Close</stp>
        <tr r="P911" s="1"/>
      </tp>
      <tp>
        <v>1000</v>
        <stp/>
        <stp>bse_cm|888SCL26A</stp>
        <stp>Prev Close</stp>
        <tr r="P840" s="1"/>
      </tp>
      <tp>
        <v>0</v>
        <stp/>
        <stp>nse_cm|IIFLZC25C-N8</stp>
        <stp>Open</stp>
        <tr r="M1748" s="1"/>
      </tp>
      <tp>
        <v>0</v>
        <stp/>
        <stp>bse_cm|735NABAR31</stp>
        <stp>Open</stp>
        <tr r="M14" s="1"/>
      </tp>
      <tp>
        <v>0</v>
        <stp/>
        <stp>nse_cm|CIFCZC26A-N3</stp>
        <stp>Open</stp>
        <tr r="M1565" s="1"/>
      </tp>
      <tp>
        <v>0</v>
        <stp/>
        <stp>nse_cm|CIFCZC25A-N1</stp>
        <stp>Open</stp>
        <tr r="M1730" s="1"/>
      </tp>
      <tp>
        <v>0</v>
        <stp/>
        <stp>nse_cm|850SCFL25-Y4</stp>
        <stp xml:space="preserve">Low </stp>
        <tr r="O924" s="1"/>
      </tp>
      <tp>
        <v>0</v>
        <stp/>
        <stp>bse_cm|897MOFSL29</stp>
        <stp>Open</stp>
        <tr r="M332" s="1"/>
      </tp>
      <tp>
        <v>10</v>
        <stp/>
        <stp>nse_cm|9SCL26BA-NA</stp>
        <stp>Ask Qty</stp>
        <tr r="G122" s="1"/>
      </tp>
      <tp>
        <v>0</v>
        <stp/>
        <stp>bse_cm|944MFL28A</stp>
        <stp>LTP</stp>
        <tr r="H1073" s="1"/>
      </tp>
      <tp>
        <v>0</v>
        <stp/>
        <stp>nse_cm|820SCFL25-Y7</stp>
        <stp xml:space="preserve">Low </stp>
        <tr r="O926" s="1"/>
      </tp>
      <tp t="s">
        <v>00:00:00</v>
        <stp/>
        <stp>bse_cm|944MFL28A</stp>
        <stp>LTT</stp>
        <tr r="I1073" s="1"/>
      </tp>
      <tp>
        <v>0</v>
        <stp/>
        <stp>bse_cm|764NABAR31</stp>
        <stp>Open</stp>
        <tr r="M497" s="1"/>
      </tp>
      <tp>
        <v>985.79</v>
        <stp/>
        <stp>nse_cm|SCL310524-ZF</stp>
        <stp>High</stp>
        <tr r="N593" s="1"/>
      </tp>
      <tp>
        <v>0</v>
        <stp/>
        <stp>bse_cm|79IGT28</stp>
        <stp>Volume Traded Today</stp>
        <tr r="L1183" s="1"/>
      </tp>
      <tp>
        <v>0</v>
        <stp/>
        <stp>bse_cm|EFSL260724</stp>
        <stp>Open</stp>
        <tr r="M586" s="1"/>
      </tp>
      <tp>
        <v>0</v>
        <stp/>
        <stp>nse_cm|10SCL31-Z1</stp>
        <stp>Ask Rate</stp>
        <tr r="F866" s="1"/>
      </tp>
      <tp t="s">
        <v>INE148I07RK2</v>
        <stp/>
        <stp>nse_cm|SCLZC25F-Y5</stp>
        <stp>Isin code</stp>
        <tr r="R1512" s="1"/>
      </tp>
      <tp>
        <v>1100</v>
        <stp/>
        <stp>bse_cm|IIFLZC28A</stp>
        <stp>Ask Rate</stp>
        <tr r="F1628" s="1"/>
      </tp>
      <tp>
        <v>0</v>
        <stp/>
        <stp>bse_cm|IIFLZC28C</stp>
        <stp>Ask Rate</stp>
        <tr r="F1404" s="1"/>
      </tp>
      <tp>
        <v>1020</v>
        <stp/>
        <stp>bse_cm|IIFLZC28B</stp>
        <stp>Ask Rate</stp>
        <tr r="F1595" s="1"/>
      </tp>
      <tp>
        <v>0</v>
        <stp/>
        <stp>bse_cm|MMFLZC28A</stp>
        <stp>Ask Rate</stp>
        <tr r="F1348" s="1"/>
      </tp>
      <tp>
        <v>1000</v>
        <stp/>
        <stp>nse_cm|10ISFL26-N3</stp>
        <stp>Face Value</stp>
        <tr r="Q1527" s="1"/>
      </tp>
      <tp>
        <v>0</v>
        <stp/>
        <stp>bse_cm|MMFLZC28B</stp>
        <stp>Ask Rate</stp>
        <tr r="F1535" s="1"/>
      </tp>
      <tp>
        <v>1000</v>
        <stp/>
        <stp>nse_cm|888SCL26-YP</stp>
        <stp>Face Value</stp>
        <tr r="Q841" s="1"/>
      </tp>
      <tp>
        <v>1000</v>
        <stp/>
        <stp>nse_cm|865SCL26-N8</stp>
        <stp>Face Value</stp>
        <tr r="Q310" s="1"/>
      </tp>
      <tp>
        <v>1000</v>
        <stp/>
        <stp>nse_cm|879SCL26-NC</stp>
        <stp>Face Value</stp>
        <tr r="Q720" s="1"/>
      </tp>
      <tp>
        <v>1000</v>
        <stp/>
        <stp>nse_cm|889SCL26-NS</stp>
        <stp>Face Value</stp>
        <tr r="Q222" s="1"/>
      </tp>
      <tp>
        <v>1000</v>
        <stp/>
        <stp>nse_cm|885SCL26-N9</stp>
        <stp>Face Value</stp>
        <tr r="Q686" s="1"/>
      </tp>
      <tp>
        <v>1000</v>
        <stp/>
        <stp>nse_cm|965SCL26-YO</stp>
        <stp>Face Value</stp>
        <tr r="Q146" s="1"/>
      </tp>
      <tp>
        <v>1000</v>
        <stp/>
        <stp>nse_cm|925SCL26-NR</stp>
        <stp>Face Value</stp>
        <tr r="Q991" s="1"/>
      </tp>
      <tp>
        <v>667</v>
        <stp/>
        <stp>nse_cm|902SCL26-N8</stp>
        <stp>Face Value</stp>
        <tr r="Q968" s="1"/>
      </tp>
      <tp>
        <v>1000</v>
        <stp/>
        <stp>nse_cm|915SCL26-NE</stp>
        <stp>Face Value</stp>
        <tr r="Q58" s="1"/>
      </tp>
      <tp>
        <v>667</v>
        <stp/>
        <stp>nse_cm|948SCL26-N9</stp>
        <stp>Face Value</stp>
        <tr r="Q1632" s="1"/>
      </tp>
      <tp>
        <v>667</v>
        <stp/>
        <stp>nse_cm|940SCL26-N6</stp>
        <stp>Face Value</stp>
        <tr r="Q921" s="1"/>
      </tp>
      <tp>
        <v>667</v>
        <stp/>
        <stp>nse_cm|990SCL26-N7</stp>
        <stp>Face Value</stp>
        <tr r="Q422" s="1"/>
      </tp>
      <tp>
        <v>1000</v>
        <stp/>
        <stp>nse_cm|812REC27-NI</stp>
        <stp>Face Value</stp>
        <tr r="Q462" s="1"/>
      </tp>
      <tp>
        <v>1090.01</v>
        <stp/>
        <stp>nse_cm|935LTF29-N5</stp>
        <stp>Prev Close</stp>
        <tr r="P395" s="1"/>
      </tp>
      <tp>
        <v>0</v>
        <stp/>
        <stp>nse_cm|884LTF29-N6</stp>
        <stp>Prev Close</stp>
        <tr r="P1009" s="1"/>
      </tp>
      <tp>
        <v>1050.9000000000001</v>
        <stp/>
        <stp>nse_cm|898LTF29-N7</stp>
        <stp>Prev Close</stp>
        <tr r="P385" s="1"/>
      </tp>
      <tp>
        <v>0</v>
        <stp/>
        <stp>nse_cm|813LTF29-NP</stp>
        <stp>Prev Close</stp>
        <tr r="P1000" s="1"/>
      </tp>
      <tp>
        <v>1000</v>
        <stp/>
        <stp>nse_cm|931SFL26-Z5</stp>
        <stp>Face Value</stp>
        <tr r="Q519" s="1"/>
      </tp>
      <tp>
        <v>0</v>
        <stp/>
        <stp>bse_cm|EFSLZC28C</stp>
        <stp>Ask Rate</stp>
        <tr r="F1331" s="1"/>
      </tp>
      <tp>
        <v>100</v>
        <stp/>
        <stp>bse_cm|1049EFSL34</stp>
        <stp>Bid Qty</stp>
        <tr r="D1584" s="1"/>
      </tp>
      <tp>
        <v>16</v>
        <stp/>
        <stp>bse_cm|1049DLSL25</stp>
        <stp>Bid Qty</stp>
        <tr r="D84" s="1"/>
      </tp>
      <tp>
        <v>900.66</v>
        <stp/>
        <stp>nse_cm|98ICCL26-NU</stp>
        <stp>Prev Close</stp>
        <tr r="P1569" s="1"/>
      </tp>
      <tp t="s">
        <v>1010EFS29A</v>
        <stp/>
        <stp>bse_cm|1010EFS29A</stp>
        <stp>Trading Symbol</stp>
        <tr r="B1593" s="1"/>
      </tp>
      <tp t="s">
        <v>1010EFS28A</v>
        <stp/>
        <stp>bse_cm|1010EFS28A</stp>
        <stp>Trading Symbol</stp>
        <tr r="B78" s="1"/>
      </tp>
      <tp>
        <v>8</v>
        <stp/>
        <stp>bse_cm|MFCL160924</stp>
        <stp>Bid Qty</stp>
        <tr r="D572" s="1"/>
      </tp>
      <tp>
        <v>0</v>
        <stp/>
        <stp>bse_cm|95CCIL24A</stp>
        <stp>Ask Rate</stp>
        <tr r="F873" s="1"/>
      </tp>
      <tp t="s">
        <v>INE051307AP8</v>
        <stp/>
        <stp>bse_cm|95CCIL24A</stp>
        <stp>Isin code</stp>
        <tr r="R873" s="1"/>
      </tp>
      <tp>
        <v>0</v>
        <stp/>
        <stp>bse_cm|10KAFL26A</stp>
        <stp>Ask Rate</stp>
        <tr r="F1095" s="1"/>
      </tp>
      <tp t="s">
        <v>INE219X07256</v>
        <stp/>
        <stp>nse_cm|795IGT31-NI</stp>
        <stp>Isin code</stp>
        <tr r="R1185" s="1"/>
      </tp>
      <tp>
        <v>0</v>
        <stp/>
        <stp>bse_cm|10KAFL26B</stp>
        <stp>Ask Rate</stp>
        <tr r="F1094" s="1"/>
      </tp>
      <tp t="s">
        <v>1003IIFL29-NC</v>
        <stp/>
        <stp>nse_cm|1003IIFL29-NC</stp>
        <stp>Trading Symbol</stp>
        <tr r="B1077" s="1"/>
      </tp>
      <tp t="s">
        <v>1050IIFL29-ND</v>
        <stp/>
        <stp>nse_cm|1050IIFL29-ND</stp>
        <stp>Trading Symbol</stp>
        <tr r="B585" s="1"/>
      </tp>
      <tp t="s">
        <v>901HUDCO34-NE</v>
        <stp/>
        <stp>nse_cm|901HUDCO34-NE</stp>
        <stp>Trading Symbol</stp>
        <tr r="B517" s="1"/>
      </tp>
      <tp t="s">
        <v>INE477L08147</v>
        <stp/>
        <stp>nse_cm|10IIFL28-N4</stp>
        <stp>Isin code</stp>
        <tr r="R42" s="1"/>
      </tp>
      <tp>
        <v>0</v>
        <stp/>
        <stp>nse_cm|9SCL25-YM</stp>
        <stp>Open</stp>
        <tr r="M97" s="1"/>
      </tp>
      <tp t="s">
        <v>INE01CY077Q5</v>
        <stp/>
        <stp>bse_cm|IFL19424A</stp>
        <stp>Isin code</stp>
        <tr r="R1419" s="1"/>
      </tp>
      <tp>
        <v>-0.5</v>
        <stp/>
        <stp>nse_cm|105UCL2026-NB</stp>
        <stp>% Change</stp>
        <tr r="J130" s="1"/>
      </tp>
      <tp t="s">
        <v>1035UCL24</v>
        <stp/>
        <stp>nse_cm|1035UCL24-N6</stp>
        <stp>Symbol</stp>
        <tr r="A591" s="1"/>
      </tp>
      <tp t="s">
        <v>750IRFC35</v>
        <stp/>
        <stp>nse_cm|750IRFC35-NK</stp>
        <stp>Symbol</stp>
        <tr r="A485" s="1"/>
      </tp>
      <tp t="s">
        <v>CCILZC25A</v>
        <stp/>
        <stp>bse_cm|CCILZC25A</stp>
        <stp>Symbol</stp>
        <tr r="A749" s="1"/>
      </tp>
      <tp t="s">
        <v>INE302E07722</v>
        <stp/>
        <stp>bse_cm|0SFL31</stp>
        <stp>Isin code</stp>
        <tr r="R1032" s="1"/>
      </tp>
      <tp>
        <v>1035</v>
        <stp/>
        <stp>nse_cm|CIFCZC25-ND</stp>
        <stp>Prev Close</stp>
        <tr r="P1435" s="1"/>
      </tp>
      <tp>
        <v>0</v>
        <stp/>
        <stp>nse_cm|0SCL26-YR</stp>
        <stp>Open</stp>
        <tr r="M1622" s="1"/>
      </tp>
      <tp t="s">
        <v>INE523L07702</v>
        <stp/>
        <stp>bse_cm|NWIL25</stp>
        <stp>Isin code</stp>
        <tr r="R1546" s="1"/>
      </tp>
      <tp>
        <v>0</v>
        <stp/>
        <stp>nse_cm|738REC27TF-N2</stp>
        <stp>% Change</stp>
        <tr r="J514" s="1"/>
      </tp>
      <tp>
        <v>0</v>
        <stp/>
        <stp>bse_cm|97EFSL31A</stp>
        <stp>Ask Rate</stp>
        <tr r="F598" s="1"/>
      </tp>
      <tp>
        <v>899.8</v>
        <stp/>
        <stp>bse_cm|93EFSL31A</stp>
        <stp>Ask Rate</stp>
        <tr r="F85" s="1"/>
      </tp>
      <tp t="s">
        <v>865TCAPS27-N8</v>
        <stp/>
        <stp>nse_cm|865TCAPS27-N8</stp>
        <stp>Trading Symbol</stp>
        <tr r="B376" s="1"/>
      </tp>
      <tp t="s">
        <v>885TCAPS29-NC</v>
        <stp/>
        <stp>nse_cm|885TCAPS29-NC</stp>
        <stp>Trading Symbol</stp>
        <tr r="B13" s="1"/>
      </tp>
      <tp>
        <v>0</v>
        <stp/>
        <stp>nse_cm|0SCL27-YW</stp>
        <stp>Open</stp>
        <tr r="M1616" s="1"/>
      </tp>
      <tp>
        <v>-100</v>
        <stp/>
        <stp>bse_cm|944ONE34</stp>
        <stp>% Change</stp>
        <tr r="J269" s="1"/>
      </tp>
      <tp>
        <v>-0.63</v>
        <stp/>
        <stp>bse_cm|775MFL26</stp>
        <stp>% Change</stp>
        <tr r="J328" s="1"/>
      </tp>
      <tp>
        <v>-100</v>
        <stp/>
        <stp>bse_cm|975NFL25</stp>
        <stp>% Change</stp>
        <tr r="J623" s="1"/>
      </tp>
      <tp>
        <v>-100</v>
        <stp/>
        <stp>bse_cm|925MFL26</stp>
        <stp>% Change</stp>
        <tr r="J230" s="1"/>
      </tp>
      <tp>
        <v>-100</v>
        <stp/>
        <stp>bse_cm|875MFL26</stp>
        <stp>% Change</stp>
        <tr r="J161" s="1"/>
      </tp>
      <tp>
        <v>-100</v>
        <stp/>
        <stp>bse_cm|825MFL26</stp>
        <stp>% Change</stp>
        <tr r="J418" s="1"/>
      </tp>
      <tp>
        <v>-100</v>
        <stp/>
        <stp>bse_cm|835MFL26</stp>
        <stp>% Change</stp>
        <tr r="J169" s="1"/>
      </tp>
      <tp>
        <v>1106.02</v>
        <stp/>
        <stp>bse_cm|769NHAI31</stp>
        <stp>Prev Close</stp>
        <tr r="P465" s="1"/>
      </tp>
      <tp>
        <v>-100</v>
        <stp/>
        <stp>bse_cm|905LTF27</stp>
        <stp>% Change</stp>
        <tr r="J394" s="1"/>
      </tp>
      <tp>
        <v>-100</v>
        <stp/>
        <stp>bse_cm|885LTF27</stp>
        <stp>% Change</stp>
        <tr r="J1008" s="1"/>
      </tp>
      <tp>
        <v>0</v>
        <stp/>
        <stp>bse_cm|MFLZC28F</stp>
        <stp>Ask Qty</stp>
        <tr r="G1268" s="1"/>
      </tp>
      <tp>
        <v>0</v>
        <stp/>
        <stp>bse_cm|MFLZC28E</stp>
        <stp>Ask Qty</stp>
        <tr r="G1269" s="1"/>
      </tp>
      <tp>
        <v>0</v>
        <stp/>
        <stp>bse_cm|KFLZC28C</stp>
        <stp>Ask Qty</stp>
        <tr r="G1287" s="1"/>
      </tp>
      <tp>
        <v>0</v>
        <stp/>
        <stp>bse_cm|KFLZC28B</stp>
        <stp>Ask Qty</stp>
        <tr r="G1288" s="1"/>
      </tp>
      <tp>
        <v>0</v>
        <stp/>
        <stp>bse_cm|KFLZC28A</stp>
        <stp>Ask Qty</stp>
        <tr r="G1289" s="1"/>
      </tp>
      <tp>
        <v>-100</v>
        <stp/>
        <stp>bse_cm|775MFL27</stp>
        <stp>% Change</stp>
        <tr r="J694" s="1"/>
      </tp>
      <tp>
        <v>-100</v>
        <stp/>
        <stp>bse_cm|915MFL27</stp>
        <stp>% Change</stp>
        <tr r="J614" s="1"/>
      </tp>
      <tp>
        <v>-100</v>
        <stp/>
        <stp>bse_cm|825MFL27</stp>
        <stp>% Change</stp>
        <tr r="J344" s="1"/>
      </tp>
      <tp>
        <v>970</v>
        <stp/>
        <stp>bse_cm|CCIL14824</stp>
        <stp>Prev Close</stp>
        <tr r="P753" s="1"/>
      </tp>
      <tp>
        <v>-100</v>
        <stp/>
        <stp>bse_cm|865LTF26</stp>
        <stp>% Change</stp>
        <tr r="J391" s="1"/>
      </tp>
      <tp>
        <v>0</v>
        <stp/>
        <stp>bse_cm|MFLZC29A</stp>
        <stp>Ask Qty</stp>
        <tr r="G1554" s="1"/>
      </tp>
      <tp>
        <v>-100</v>
        <stp/>
        <stp>bse_cm|935ONE26</stp>
        <stp>% Change</stp>
        <tr r="J1173" s="1"/>
      </tp>
      <tp>
        <v>-100</v>
        <stp/>
        <stp>bse_cm|725MFL24</stp>
        <stp>% Change</stp>
        <tr r="J446" s="1"/>
      </tp>
      <tp>
        <v>130</v>
        <stp/>
        <stp>bse_cm|98EFSL26</stp>
        <stp>Ask Qty</stp>
        <tr r="G82" s="1"/>
      </tp>
      <tp>
        <v>-100</v>
        <stp/>
        <stp>bse_cm|955ONE27</stp>
        <stp>% Change</stp>
        <tr r="J1129" s="1"/>
      </tp>
      <tp>
        <v>-100</v>
        <stp/>
        <stp>bse_cm|965MML25</stp>
        <stp>% Change</stp>
        <tr r="J1107" s="1"/>
      </tp>
      <tp>
        <v>-100</v>
        <stp/>
        <stp>bse_cm|975MML25</stp>
        <stp>% Change</stp>
        <tr r="J852" s="1"/>
      </tp>
      <tp>
        <v>-100</v>
        <stp/>
        <stp>bse_cm|775MFL25</stp>
        <stp>% Change</stp>
        <tr r="J1369" s="1"/>
      </tp>
      <tp>
        <v>-100</v>
        <stp/>
        <stp>bse_cm|735MFL25</stp>
        <stp>% Change</stp>
        <tr r="J308" s="1"/>
      </tp>
      <tp>
        <v>-100</v>
        <stp/>
        <stp>bse_cm|975MFL25</stp>
        <stp>% Change</stp>
        <tr r="J855" s="1"/>
      </tp>
      <tp>
        <v>-100</v>
        <stp/>
        <stp>bse_cm|925MFL25</stp>
        <stp>% Change</stp>
        <tr r="J1466" s="1"/>
      </tp>
      <tp>
        <v>0.06</v>
        <stp/>
        <stp>bse_cm|915MFL25</stp>
        <stp>% Change</stp>
        <tr r="J105" s="1"/>
      </tp>
      <tp>
        <v>-100</v>
        <stp/>
        <stp>bse_cm|825MFL25</stp>
        <stp>% Change</stp>
        <tr r="J596" s="1"/>
      </tp>
      <tp>
        <v>-100</v>
        <stp/>
        <stp>bse_cm|105MML25</stp>
        <stp>% Change</stp>
        <tr r="J1170" s="1"/>
      </tp>
      <tp>
        <v>-100</v>
        <stp/>
        <stp>bse_cm|845LTF24</stp>
        <stp>% Change</stp>
        <tr r="J943" s="1"/>
      </tp>
      <tp>
        <v>-100</v>
        <stp/>
        <stp>bse_cm|815LTF24</stp>
        <stp>% Change</stp>
        <tr r="J1167" s="1"/>
      </tp>
      <tp>
        <v>-100</v>
        <stp/>
        <stp>nse_cm|905SCL25-ZT</stp>
        <stp>% Change</stp>
        <tr r="J977" s="1"/>
      </tp>
      <tp>
        <v>-100</v>
        <stp/>
        <stp>bse_cm|975IML26</stp>
        <stp>% Change</stp>
        <tr r="J646" s="1"/>
      </tp>
      <tp>
        <v>-100</v>
        <stp/>
        <stp>bse_cm|745IGT26</stp>
        <stp>% Change</stp>
        <tr r="J1202" s="1"/>
      </tp>
      <tp>
        <v>0</v>
        <stp/>
        <stp>nse_cm|930SFL28-YP</stp>
        <stp>% Change</stp>
        <tr r="J6" s="1"/>
      </tp>
      <tp>
        <v>-100</v>
        <stp/>
        <stp>bse_cm|975KLM25</stp>
        <stp>% Change</stp>
        <tr r="J858" s="1"/>
      </tp>
      <tp>
        <v>-100</v>
        <stp/>
        <stp>bse_cm|875KFL25</stp>
        <stp>% Change</stp>
        <tr r="J50" s="1"/>
      </tp>
      <tp>
        <v>-100</v>
        <stp/>
        <stp>bse_cm|825KFL25</stp>
        <stp>% Change</stp>
        <tr r="J252" s="1"/>
      </tp>
      <tp>
        <v>2</v>
        <stp/>
        <stp>bse_cm|78ABFL33</stp>
        <stp>Ask Qty</stp>
        <tr r="G378" s="1"/>
      </tp>
      <tp>
        <v>-100</v>
        <stp/>
        <stp>bse_cm|925KFL26</stp>
        <stp>% Change</stp>
        <tr r="J775" s="1"/>
      </tp>
      <tp>
        <v>-100</v>
        <stp/>
        <stp>bse_cm|875KFL26</stp>
        <stp>% Change</stp>
        <tr r="J1156" s="1"/>
      </tp>
      <tp>
        <v>0</v>
        <stp/>
        <stp>bse_cm|985ECL28</stp>
        <stp>% Change</stp>
        <tr r="J56" s="1"/>
      </tp>
      <tp>
        <v>-100</v>
        <stp/>
        <stp>bse_cm|925KFL27</stp>
        <stp>% Change</stp>
        <tr r="J313" s="1"/>
      </tp>
      <tp>
        <v>-100</v>
        <stp/>
        <stp>bse_cm|835IFL25</stp>
        <stp>% Change</stp>
        <tr r="J668" s="1"/>
      </tp>
      <tp>
        <v>-2.04</v>
        <stp/>
        <stp>bse_cm|995ECL29</stp>
        <stp>% Change</stp>
        <tr r="J198" s="1"/>
      </tp>
      <tp>
        <v>13</v>
        <stp/>
        <stp>bse_cm|88NWIL25</stp>
        <stp>Ask Qty</stp>
        <tr r="G219" s="1"/>
      </tp>
      <tp>
        <v>29</v>
        <stp/>
        <stp>bse_cm|81TCHF28</stp>
        <stp>Bid Qty</stp>
        <tr r="D479" s="1"/>
      </tp>
      <tp>
        <v>22</v>
        <stp/>
        <stp>bse_cm|98NWFL30</stp>
        <stp>Ask Qty</stp>
        <tr r="G231" s="1"/>
      </tp>
      <tp>
        <v>1000</v>
        <stp/>
        <stp>bse_cm|1150IFL26</stp>
        <stp>Prev Close</stp>
        <tr r="P1225" s="1"/>
      </tp>
      <tp>
        <v>0</v>
        <stp/>
        <stp>bse_cm|CCI110324A</stp>
        <stp>Open</stp>
        <tr r="M1590" s="1"/>
      </tp>
      <tp>
        <v>1000</v>
        <stp/>
        <stp>bse_cm|745PFCL26</stp>
        <stp>Prev Close</stp>
        <tr r="P1200" s="1"/>
      </tp>
      <tp>
        <v>1052.54</v>
        <stp/>
        <stp>bse_cm|115ICFL25</stp>
        <stp>Prev Close</stp>
        <tr r="P1548" s="1"/>
      </tp>
      <tp>
        <v>975</v>
        <stp/>
        <stp>bse_cm|945MFCL29</stp>
        <stp>Prev Close</stp>
        <tr r="P682" s="1"/>
      </tp>
      <tp>
        <v>-100</v>
        <stp/>
        <stp>bse_cm|865IFL28</stp>
        <stp>% Change</stp>
        <tr r="J115" s="1"/>
      </tp>
      <tp>
        <v>0.1</v>
        <stp/>
        <stp>bse_cm|995ECL24</stp>
        <stp>% Change</stp>
        <tr r="J427" s="1"/>
      </tp>
      <tp>
        <v>1129.06</v>
        <stp/>
        <stp>bse_cm|739HUDC31</stp>
        <stp>Prev Close</stp>
        <tr r="P1347" s="1"/>
      </tp>
      <tp>
        <v>0</v>
        <stp/>
        <stp>bse_cm|MML11924</stp>
        <stp>Ask Qty</stp>
        <tr r="G1536" s="1"/>
      </tp>
      <tp>
        <v>0</v>
        <stp/>
        <stp>bse_cm|SFL27224</stp>
        <stp>Ask Qty</stp>
        <tr r="G805" s="1"/>
      </tp>
      <tp>
        <v>1000</v>
        <stp/>
        <stp>bse_cm|1175IFL26</stp>
        <stp>Prev Close</stp>
        <tr r="P1221" s="1"/>
      </tp>
      <tp>
        <v>0</v>
        <stp/>
        <stp>nse_cm|843SCFL27-YB</stp>
        <stp xml:space="preserve">Low </stp>
        <tr r="O929" s="1"/>
      </tp>
      <tp>
        <v>1000</v>
        <stp/>
        <stp>bse_cm|747PFCL33</stp>
        <stp>Prev Close</stp>
        <tr r="P1199" s="1"/>
      </tp>
      <tp>
        <v>-100</v>
        <stp/>
        <stp>bse_cm|895EFS25</stp>
        <stp>% Change</stp>
        <tr r="J730" s="1"/>
      </tp>
      <tp>
        <v>986</v>
        <stp/>
        <stp>bse_cm|1102NFL26</stp>
        <stp>Prev Close</stp>
        <tr r="P567" s="1"/>
      </tp>
      <tp>
        <v>-0.09</v>
        <stp/>
        <stp>bse_cm|925AEL26</stp>
        <stp>% Change</stp>
        <tr r="J335" s="1"/>
      </tp>
      <tp>
        <v>800</v>
        <stp/>
        <stp>bse_cm|940ICCL28</stp>
        <stp>Prev Close</stp>
        <tr r="P1126" s="1"/>
      </tp>
      <tp>
        <v>962</v>
        <stp/>
        <stp>bse_cm|940MFCL26</stp>
        <stp>Prev Close</stp>
        <tr r="P200" s="1"/>
      </tp>
      <tp>
        <v>70</v>
        <stp/>
        <stp>bse_cm|MFLZC24D</stp>
        <stp>Ask Qty</stp>
        <tr r="G1550" s="1"/>
      </tp>
      <tp>
        <v>0</v>
        <stp/>
        <stp>bse_cm|KFLZC24D</stp>
        <stp>Ask Qty</stp>
        <tr r="G1296" s="1"/>
      </tp>
      <tp>
        <v>0</v>
        <stp/>
        <stp>bse_cm|MFLZC24C</stp>
        <stp>Ask Qty</stp>
        <tr r="G1551" s="1"/>
      </tp>
      <tp>
        <v>1010</v>
        <stp/>
        <stp>bse_cm|1119NFL27</stp>
        <stp>Prev Close</stp>
        <tr r="P1140" s="1"/>
      </tp>
      <tp>
        <v>0</v>
        <stp/>
        <stp>bse_cm|CCIL14824A</stp>
        <stp>Open</stp>
        <tr r="M590" s="1"/>
      </tp>
      <tp>
        <v>-100</v>
        <stp/>
        <stp>bse_cm|965AEL27</stp>
        <stp>% Change</stp>
        <tr r="J370" s="1"/>
      </tp>
      <tp>
        <v>0</v>
        <stp/>
        <stp>bse_cm|KFLZC25E</stp>
        <stp>Ask Qty</stp>
        <tr r="G1530" s="1"/>
      </tp>
      <tp>
        <v>0</v>
        <stp/>
        <stp>bse_cm|MFLZC25D</stp>
        <stp>Ask Qty</stp>
        <tr r="G1520" s="1"/>
      </tp>
      <tp>
        <v>60</v>
        <stp/>
        <stp>bse_cm|KFLZC25D</stp>
        <stp>Ask Qty</stp>
        <tr r="G1735" s="1"/>
      </tp>
      <tp>
        <v>0</v>
        <stp/>
        <stp>bse_cm|MFLZC25C</stp>
        <stp>Ask Qty</stp>
        <tr r="G1579" s="1"/>
      </tp>
      <tp>
        <v>0</v>
        <stp/>
        <stp>bse_cm|KFLZC25C</stp>
        <stp>Ask Qty</stp>
        <tr r="G1295" s="1"/>
      </tp>
      <tp>
        <v>0</v>
        <stp/>
        <stp>bse_cm|MFLZC25B</stp>
        <stp>Ask Qty</stp>
        <tr r="G1273" s="1"/>
      </tp>
      <tp>
        <v>14</v>
        <stp/>
        <stp>bse_cm|KFLZC25B</stp>
        <stp>Ask Qty</stp>
        <tr r="G1739" s="1"/>
      </tp>
      <tp>
        <v>0</v>
        <stp/>
        <stp>bse_cm|SFLZC25A</stp>
        <stp>Ask Qty</stp>
        <tr r="G1583" s="1"/>
      </tp>
      <tp>
        <v>110</v>
        <stp/>
        <stp>bse_cm|MFLZC25A</stp>
        <stp>Ask Qty</stp>
        <tr r="G1757" s="1"/>
      </tp>
      <tp>
        <v>25</v>
        <stp/>
        <stp>bse_cm|KFLZC25A</stp>
        <stp>Ask Qty</stp>
        <tr r="G1738" s="1"/>
      </tp>
      <tp>
        <v>-100</v>
        <stp/>
        <stp>bse_cm|785MFL28</stp>
        <stp>% Change</stp>
        <tr r="J439" s="1"/>
      </tp>
      <tp>
        <v>-100</v>
        <stp/>
        <stp>bse_cm|905MFL28</stp>
        <stp>% Change</stp>
        <tr r="J207" s="1"/>
      </tp>
      <tp>
        <v>-100</v>
        <stp/>
        <stp>bse_cm|915MFL28</stp>
        <stp>% Change</stp>
        <tr r="J283" s="1"/>
      </tp>
      <tp>
        <v>0</v>
        <stp/>
        <stp>bse_cm|CCIL14824B</stp>
        <stp>Open</stp>
        <tr r="M752" s="1"/>
      </tp>
      <tp>
        <v>-100</v>
        <stp/>
        <stp>bse_cm|875MFL28</stp>
        <stp>% Change</stp>
        <tr r="J689" s="1"/>
      </tp>
      <tp>
        <v>-100</v>
        <stp/>
        <stp>bse_cm|935LTF29</stp>
        <stp>% Change</stp>
        <tr r="J396" s="1"/>
      </tp>
      <tp>
        <v>0</v>
        <stp/>
        <stp>bse_cm|MFLII26B</stp>
        <stp>Ask Qty</stp>
        <tr r="G1454" s="1"/>
      </tp>
      <tp>
        <v>30</v>
        <stp/>
        <stp>bse_cm|MFLZC26E</stp>
        <stp>Ask Qty</stp>
        <tr r="G1651" s="1"/>
      </tp>
      <tp>
        <v>0</v>
        <stp/>
        <stp>bse_cm|KFLZC26E</stp>
        <stp>Ask Qty</stp>
        <tr r="G1293" s="1"/>
      </tp>
      <tp>
        <v>0</v>
        <stp/>
        <stp>bse_cm|MFLZC26D</stp>
        <stp>Ask Qty</stp>
        <tr r="G1440" s="1"/>
      </tp>
      <tp>
        <v>0</v>
        <stp/>
        <stp>bse_cm|KFLZC26D</stp>
        <stp>Ask Qty</stp>
        <tr r="G1294" s="1"/>
      </tp>
      <tp>
        <v>0</v>
        <stp/>
        <stp>bse_cm|MFLZC26C</stp>
        <stp>Ask Qty</stp>
        <tr r="G1350" s="1"/>
      </tp>
      <tp>
        <v>50</v>
        <stp/>
        <stp>bse_cm|KFLZC26C</stp>
        <stp>Ask Qty</stp>
        <tr r="G1744" s="1"/>
      </tp>
      <tp>
        <v>0</v>
        <stp/>
        <stp>bse_cm|MFLZC26B</stp>
        <stp>Ask Qty</stp>
        <tr r="G1272" s="1"/>
      </tp>
      <tp>
        <v>28</v>
        <stp/>
        <stp>bse_cm|KFLZC26B</stp>
        <stp>Ask Qty</stp>
        <tr r="G1711" s="1"/>
      </tp>
      <tp>
        <v>30</v>
        <stp/>
        <stp>bse_cm|SFLZC26A</stp>
        <stp>Ask Qty</stp>
        <tr r="G1713" s="1"/>
      </tp>
      <tp>
        <v>20</v>
        <stp/>
        <stp>bse_cm|MFLZC26A</stp>
        <stp>Ask Qty</stp>
        <tr r="G1715" s="1"/>
      </tp>
      <tp>
        <v>0</v>
        <stp/>
        <stp>bse_cm|KFLZC26A</stp>
        <stp>Ask Qty</stp>
        <tr r="G1442" s="1"/>
      </tp>
      <tp>
        <v>1091.5</v>
        <stp/>
        <stp>nse_cm|764IRFC31-NO</stp>
        <stp>Open</stp>
        <tr r="M468" s="1"/>
      </tp>
      <tp>
        <v>0</v>
        <stp/>
        <stp>bse_cm|98ICCL26</stp>
        <stp>Ask Qty</stp>
        <tr r="G1412" s="1"/>
      </tp>
      <tp>
        <v>-100</v>
        <stp/>
        <stp>bse_cm|975MFL29</stp>
        <stp>% Change</stp>
        <tr r="J683" s="1"/>
      </tp>
      <tp>
        <v>-100</v>
        <stp/>
        <stp>bse_cm|935MFL29</stp>
        <stp>% Change</stp>
        <tr r="J238" s="1"/>
      </tp>
      <tp>
        <v>0</v>
        <stp/>
        <stp>bse_cm|CCIL14824C</stp>
        <stp>Open</stp>
        <tr r="M751" s="1"/>
      </tp>
      <tp>
        <v>-14.68</v>
        <stp/>
        <stp>bse_cm|825MFL29</stp>
        <stp>% Change</stp>
        <tr r="J473" s="1"/>
      </tp>
      <tp>
        <v>892.5</v>
        <stp/>
        <stp>bse_cm|930NIDO32</stp>
        <stp>Prev Close</stp>
        <tr r="P76" s="1"/>
      </tp>
      <tp>
        <v>0</v>
        <stp/>
        <stp>bse_cm|MFLIV27D</stp>
        <stp>Ask Qty</stp>
        <tr r="G1452" s="1"/>
      </tp>
      <tp>
        <v>10</v>
        <stp/>
        <stp>bse_cm|MFLII27B</stp>
        <stp>Ask Qty</stp>
        <tr r="G359" s="1"/>
      </tp>
      <tp>
        <v>0</v>
        <stp/>
        <stp>bse_cm|MFLZC27F</stp>
        <stp>Ask Qty</stp>
        <tr r="G1566" s="1"/>
      </tp>
      <tp>
        <v>9</v>
        <stp/>
        <stp>bse_cm|MFLZC27E</stp>
        <stp>Ask Qty</stp>
        <tr r="G1677" s="1"/>
      </tp>
      <tp>
        <v>200</v>
        <stp/>
        <stp>bse_cm|MFLZC27D</stp>
        <stp>Ask Qty</stp>
        <tr r="G1700" s="1"/>
      </tp>
      <tp>
        <v>0</v>
        <stp/>
        <stp>bse_cm|MFLZC27C</stp>
        <stp>Ask Qty</stp>
        <tr r="G1411" s="1"/>
      </tp>
      <tp>
        <v>200</v>
        <stp/>
        <stp>bse_cm|MFLZC27B</stp>
        <stp>Ask Qty</stp>
        <tr r="G1697" s="1"/>
      </tp>
      <tp>
        <v>0</v>
        <stp/>
        <stp>bse_cm|MFLZC27A</stp>
        <stp>Ask Qty</stp>
        <tr r="G1270" s="1"/>
      </tp>
      <tp>
        <v>0</v>
        <stp/>
        <stp>bse_cm|KFLZC27A</stp>
        <stp>Ask Qty</stp>
        <tr r="G1291" s="1"/>
      </tp>
      <tp>
        <v>0</v>
        <stp/>
        <stp>bse_cm|902SCL26A</stp>
        <stp>Volume Traded Today</stp>
        <tr r="L967" s="1"/>
      </tp>
      <tp>
        <v>0</v>
        <stp/>
        <stp>bse_cm|902SCL26I</stp>
        <stp>Volume Traded Today</stp>
        <tr r="L903" s="1"/>
      </tp>
      <tp>
        <v>-100</v>
        <stp/>
        <stp>bse_cm|965SCL28</stp>
        <stp>% Change</stp>
        <tr r="J1138" s="1"/>
      </tp>
      <tp>
        <v>-100</v>
        <stp/>
        <stp>bse_cm|975SCL28</stp>
        <stp>% Change</stp>
        <tr r="J1485" s="1"/>
      </tp>
      <tp>
        <v>-100</v>
        <stp/>
        <stp>bse_cm|925SCL28</stp>
        <stp>% Change</stp>
        <tr r="J940" s="1"/>
      </tp>
      <tp>
        <v>-100</v>
        <stp/>
        <stp>bse_cm|935SCL28</stp>
        <stp>% Change</stp>
        <tr r="J284" s="1"/>
      </tp>
      <tp>
        <v>0</v>
        <stp/>
        <stp>bse_cm|902SCL27A</stp>
        <stp>Volume Traded Today</stp>
        <tr r="L1354" s="1"/>
      </tp>
      <tp>
        <v>-100</v>
        <stp/>
        <stp>bse_cm|965SCL29</stp>
        <stp>% Change</stp>
        <tr r="J816" s="1"/>
      </tp>
      <tp>
        <v>-100</v>
        <stp/>
        <stp>bse_cm|925SCL29</stp>
        <stp>% Change</stp>
        <tr r="J820" s="1"/>
      </tp>
      <tp>
        <v>0</v>
        <stp/>
        <stp>bse_cm|82TCHF25</stp>
        <stp>Ask Qty</stp>
        <tr r="G1015" s="1"/>
      </tp>
      <tp>
        <v>0</v>
        <stp/>
        <stp>nse_cm|990SCL26B-Y7</stp>
        <stp>Ask Rate</stp>
        <tr r="F798" s="1"/>
      </tp>
      <tp>
        <v>0</v>
        <stp/>
        <stp>nse_cm|940SCL26B-Y6</stp>
        <stp>Ask Rate</stp>
        <tr r="F795" s="1"/>
      </tp>
      <tp>
        <v>66</v>
        <stp/>
        <stp>bse_cm|58PFCL26</stp>
        <stp>Ask Qty</stp>
        <tr r="G369" s="1"/>
      </tp>
      <tp>
        <v>1890</v>
        <stp/>
        <stp>bse_cm|915MMFS24</stp>
        <stp>Prev Close</stp>
        <tr r="P1752" s="1"/>
      </tp>
      <tp t="s">
        <v>NSE</v>
        <stp/>
        <stp>nse_cm|905SC24-ZB</stp>
        <stp>Exchange</stp>
        <tr r="C1374" s="1"/>
      </tp>
      <tp>
        <v>0</v>
        <stp/>
        <stp>bse_cm|68PFCL31</stp>
        <stp>Ask Qty</stp>
        <tr r="G1205" s="1"/>
      </tp>
      <tp>
        <v>989.25</v>
        <stp/>
        <stp>nse_cm|925SCFL27-YA</stp>
        <stp>High</stp>
        <tr r="N113" s="1"/>
      </tp>
      <tp>
        <v>-100</v>
        <stp/>
        <stp>bse_cm|965VCL25</stp>
        <stp>% Change</stp>
        <tr r="J1543" s="1"/>
      </tp>
      <tp>
        <v>-100</v>
        <stp/>
        <stp>bse_cm|734REC30</stp>
        <stp>% Change</stp>
        <tr r="J524" s="1"/>
      </tp>
      <tp>
        <v>1000</v>
        <stp/>
        <stp>bse_cm|945IFSL25</stp>
        <stp>Face Value</stp>
        <tr r="Q483" s="1"/>
      </tp>
      <tp>
        <v>-100</v>
        <stp/>
        <stp>bse_cm|865SCL24</stp>
        <stp>% Change</stp>
        <tr r="J1165" s="1"/>
      </tp>
      <tp>
        <v>-100</v>
        <stp/>
        <stp>bse_cm|875SFL25</stp>
        <stp>% Change</stp>
        <tr r="J936" s="1"/>
      </tp>
      <tp>
        <v>-100</v>
        <stp/>
        <stp>bse_cm|905PEL26</stp>
        <stp>% Change</stp>
        <tr r="J1518" s="1"/>
      </tp>
      <tp>
        <v>-100</v>
        <stp/>
        <stp>bse_cm|965SCL25</stp>
        <stp>% Change</stp>
        <tr r="J1105" s="1"/>
      </tp>
      <tp>
        <v>-100</v>
        <stp/>
        <stp>bse_cm|955SCL25</stp>
        <stp>% Change</stp>
        <tr r="J1128" s="1"/>
      </tp>
      <tp>
        <v>-100</v>
        <stp/>
        <stp>bse_cm|925SCL25</stp>
        <stp>% Change</stp>
        <tr r="J104" s="1"/>
      </tp>
      <tp>
        <v>-100</v>
        <stp/>
        <stp>bse_cm|905SCL25</stp>
        <stp>% Change</stp>
        <tr r="J1060" s="1"/>
      </tp>
      <tp>
        <v>-100</v>
        <stp/>
        <stp>bse_cm|925SFL26</stp>
        <stp>% Change</stp>
        <tr r="J850" s="1"/>
      </tp>
      <tp>
        <v>-100</v>
        <stp/>
        <stp>bse_cm|865SCL26</stp>
        <stp>% Change</stp>
        <tr r="J627" s="1"/>
      </tp>
      <tp>
        <v>0.13</v>
        <stp/>
        <stp>bse_cm|885SCL26</stp>
        <stp>% Change</stp>
        <tr r="J57" s="1"/>
      </tp>
      <tp>
        <v>-100</v>
        <stp/>
        <stp>bse_cm|965SCL26</stp>
        <stp>% Change</stp>
        <tr r="J665" s="1"/>
      </tp>
      <tp>
        <v>-100</v>
        <stp/>
        <stp>bse_cm|925SCL26</stp>
        <stp>% Change</stp>
        <tr r="J913" s="1"/>
      </tp>
      <tp>
        <v>-100</v>
        <stp/>
        <stp>bse_cm|915SCL26</stp>
        <stp>% Change</stp>
        <tr r="J148" s="1"/>
      </tp>
      <tp>
        <v>10</v>
        <stp/>
        <stp>nse_cm|880IREDA34-N6</stp>
        <stp>Ask Qty</stp>
        <tr r="G511" s="1"/>
      </tp>
      <tp>
        <v>50</v>
        <stp/>
        <stp>nse_cm|880IREDA29-N5</stp>
        <stp>Ask Qty</stp>
        <tr r="G510" s="1"/>
      </tp>
      <tp>
        <v>980</v>
        <stp/>
        <stp>bse_cm|967EFSL29A</stp>
        <stp>Open</stp>
        <tr r="M180" s="1"/>
      </tp>
      <tp>
        <v>-100</v>
        <stp/>
        <stp>bse_cm|925SFL27</stp>
        <stp>% Change</stp>
        <tr r="J849" s="1"/>
      </tp>
      <tp>
        <v>-100</v>
        <stp/>
        <stp>bse_cm|875SFL27</stp>
        <stp>% Change</stp>
        <tr r="J578" s="1"/>
      </tp>
      <tp>
        <v>-100</v>
        <stp/>
        <stp>bse_cm|875SCL27</stp>
        <stp>% Change</stp>
        <tr r="J722" s="1"/>
      </tp>
      <tp>
        <v>-100</v>
        <stp/>
        <stp>bse_cm|955SCL27</stp>
        <stp>% Change</stp>
        <tr r="J621" s="1"/>
      </tp>
      <tp>
        <v>-100</v>
        <stp/>
        <stp>bse_cm|925SCL27</stp>
        <stp>% Change</stp>
        <tr r="J1414" s="1"/>
      </tp>
      <tp>
        <v>-100</v>
        <stp/>
        <stp>bse_cm|905SCL27</stp>
        <stp>% Change</stp>
        <tr r="J976" s="1"/>
      </tp>
      <tp>
        <v>-100</v>
        <stp/>
        <stp>bse_cm|915SCL27</stp>
        <stp>% Change</stp>
        <tr r="J1127" s="1"/>
      </tp>
      <tp>
        <v>0</v>
        <stp/>
        <stp>nse_cm|875SCFL27-Y9</stp>
        <stp>High</stp>
        <tr r="N927" s="1"/>
      </tp>
      <tp>
        <v>987.76</v>
        <stp/>
        <stp>bse_cm|99SCL27</stp>
        <stp xml:space="preserve">Low </stp>
        <tr r="O1169" s="1"/>
      </tp>
      <tp>
        <v>0</v>
        <stp/>
        <stp>nse_cm|1015SCFL29-YY</stp>
        <stp>Bid Qty</stp>
        <tr r="D1455" s="1"/>
      </tp>
      <tp>
        <v>0</v>
        <stp/>
        <stp>bse_cm|98SCL34</stp>
        <stp xml:space="preserve">Low </stp>
        <tr r="O1053" s="1"/>
      </tp>
      <tp>
        <v>0</v>
        <stp/>
        <stp>bse_cm|89SCL24</stp>
        <stp xml:space="preserve">Low </stp>
        <tr r="O1153" s="1"/>
      </tp>
      <tp>
        <v>119</v>
        <stp/>
        <stp>nse_cm|9SCL26BA-NA</stp>
        <stp>Bid Qty</stp>
        <tr r="D122" s="1"/>
      </tp>
      <tp>
        <v>-100</v>
        <stp/>
        <stp>nse_cm|905SCL27-Z4</stp>
        <stp>% Change</stp>
        <tr r="J947" s="1"/>
      </tp>
      <tp t="s">
        <v>BSE</v>
        <stp/>
        <stp>bse_cm|EFSL24C</stp>
        <stp>Exchange</stp>
        <tr r="C1755" s="1"/>
      </tp>
      <tp>
        <v>0</v>
        <stp/>
        <stp>nse_cm|971SCL28I-BC</stp>
        <stp>Bid Rate</stp>
        <tr r="E531" s="1"/>
      </tp>
      <tp>
        <v>20</v>
        <stp/>
        <stp>bse_cm|815LTF24</stp>
        <stp>Bid Qty</stp>
        <tr r="D1167" s="1"/>
      </tp>
      <tp>
        <v>10</v>
        <stp/>
        <stp>bse_cm|926ONE29</stp>
        <stp>Bid Qty</stp>
        <tr r="D1467" s="1"/>
      </tp>
      <tp t="e">
        <v>#N/A</v>
        <stp/>
        <stp>bse_cm|975SFL024</stp>
        <stp>LTT</stp>
        <tr r="I31" s="1"/>
      </tp>
      <tp t="e">
        <v>#N/A</v>
        <stp/>
        <stp>bse_cm|975SFL024</stp>
        <stp>LTP</stp>
        <tr r="H31" s="1"/>
      </tp>
      <tp>
        <v>0</v>
        <stp/>
        <stp>bse_cm|CAGL27A</stp>
        <stp>Ask Rate</stp>
        <tr r="F1379" s="1"/>
      </tp>
      <tp t="s">
        <v>INE01HV07429</v>
        <stp/>
        <stp>bse_cm|965VCL25</stp>
        <stp>Isin code</stp>
        <tr r="R1543" s="1"/>
      </tp>
      <tp t="s">
        <v>INE01HV07411</v>
        <stp/>
        <stp>bse_cm|957VCL25</stp>
        <stp>Isin code</stp>
        <tr r="R53" s="1"/>
      </tp>
      <tp t="s">
        <v>INE148I07PS9</v>
        <stp/>
        <stp>bse_cm|957SCL30</stp>
        <stp>Isin code</stp>
        <tr r="R1110" s="1"/>
      </tp>
      <tp t="s">
        <v>865MF25</v>
        <stp/>
        <stp>bse_cm|865MF25</stp>
        <stp>Trading Symbol</stp>
        <tr r="B111" s="1"/>
      </tp>
      <tp t="s">
        <v>INE140A07773</v>
        <stp/>
        <stp>bse_cm|935PEL33</stp>
        <stp>Isin code</stp>
        <tr r="R368" s="1"/>
      </tp>
      <tp>
        <v>50</v>
        <stp/>
        <stp>bse_cm|921ONE29</stp>
        <stp>Bid Qty</stp>
        <tr r="D1112" s="1"/>
      </tp>
      <tp>
        <v>84</v>
        <stp/>
        <stp>bse_cm|921ONE27</stp>
        <stp>Bid Qty</stp>
        <tr r="D1428" s="1"/>
      </tp>
      <tp>
        <v>0</v>
        <stp/>
        <stp>nse_cm|888IHFL25C-NR</stp>
        <stp>Ask Qty</stp>
        <tr r="G1426" s="1"/>
      </tp>
      <tp>
        <v>5</v>
        <stp/>
        <stp>nse_cm|948ICCL25A-NG</stp>
        <stp>Ask Qty</stp>
        <tr r="G1736" s="1"/>
      </tp>
      <tp>
        <v>470</v>
        <stp/>
        <stp>nse_cm|888IHFL25F-NC</stp>
        <stp>Ask Qty</stp>
        <tr r="G343" s="1"/>
      </tp>
      <tp>
        <v>0</v>
        <stp/>
        <stp>bse_cm|MFLTDVI25</stp>
        <stp>LTP</stp>
        <tr r="H1686" s="1"/>
      </tp>
      <tp>
        <v>0</v>
        <stp/>
        <stp>bse_cm|MFLTDII27</stp>
        <stp>LTP</stp>
        <tr r="H297" s="1"/>
      </tp>
      <tp t="s">
        <v>00:00:00</v>
        <stp/>
        <stp>bse_cm|MFLTDVI25</stp>
        <stp>LTT</stp>
        <tr r="I1686" s="1"/>
      </tp>
      <tp t="s">
        <v>00:00:00</v>
        <stp/>
        <stp>bse_cm|MFLTDII27</stp>
        <stp>LTT</stp>
        <tr r="I297" s="1"/>
      </tp>
      <tp>
        <v>20</v>
        <stp/>
        <stp>bse_cm|743REC35</stp>
        <stp>Bid Qty</stp>
        <tr r="D513" s="1"/>
      </tp>
      <tp>
        <v>22</v>
        <stp/>
        <stp>bse_cm|922ONE25</stp>
        <stp>Bid Qty</stp>
        <tr r="D1111" s="1"/>
      </tp>
      <tp t="s">
        <v>11IML27</v>
        <stp/>
        <stp>bse_cm|11IML27</stp>
        <stp>Trading Symbol</stp>
        <tr r="B177" s="1"/>
      </tp>
      <tp t="s">
        <v>11IML26</v>
        <stp/>
        <stp>bse_cm|11IML26</stp>
        <stp>Trading Symbol</stp>
        <tr r="B1132" s="1"/>
      </tp>
      <tp t="s">
        <v>11MML28</v>
        <stp/>
        <stp>bse_cm|11MML28</stp>
        <stp>Trading Symbol</stp>
        <tr r="B1131" s="1"/>
      </tp>
      <tp t="s">
        <v>12IML26</v>
        <stp/>
        <stp>bse_cm|12IML26</stp>
        <stp>Trading Symbol</stp>
        <tr r="B1494" s="1"/>
      </tp>
      <tp>
        <v>25</v>
        <stp/>
        <stp>bse_cm|916ONE27</stp>
        <stp>Ask Qty</stp>
        <tr r="G267" s="1"/>
      </tp>
      <tp>
        <v>0</v>
        <stp/>
        <stp>bse_cm|916ONE25</stp>
        <stp>Ask Qty</stp>
        <tr r="G965" s="1"/>
      </tp>
      <tp>
        <v>0</v>
        <stp/>
        <stp>bse_cm|927MFL26A</stp>
        <stp>LTP</stp>
        <tr r="H617" s="1"/>
      </tp>
      <tp t="s">
        <v>00:00:00</v>
        <stp/>
        <stp>bse_cm|927MFL26A</stp>
        <stp>LTT</stp>
        <tr r="I617" s="1"/>
      </tp>
      <tp>
        <v>0</v>
        <stp/>
        <stp>nse_cm|971SCL28C-BU</stp>
        <stp>Bid Rate</stp>
        <tr r="E826" s="1"/>
      </tp>
      <tp>
        <v>0</v>
        <stp/>
        <stp>bse_cm|975JMFCS28</stp>
        <stp>Open</stp>
        <tr r="M275" s="1"/>
      </tp>
      <tp>
        <v>10</v>
        <stp/>
        <stp>bse_cm|885SCL26</stp>
        <stp>Ask Qty</stp>
        <tr r="G57" s="1"/>
      </tp>
      <tp>
        <v>214</v>
        <stp/>
        <stp>bse_cm|985ECL28</stp>
        <stp>Ask Qty</stp>
        <tr r="G56" s="1"/>
      </tp>
      <tp>
        <v>25</v>
        <stp/>
        <stp>bse_cm|785MFL28</stp>
        <stp>Ask Qty</stp>
        <tr r="G439" s="1"/>
      </tp>
      <tp>
        <v>951</v>
        <stp/>
        <stp>bse_cm|1004EFSL29</stp>
        <stp>Open</stp>
        <tr r="M1586" s="1"/>
      </tp>
      <tp>
        <v>0</v>
        <stp/>
        <stp>bse_cm|1010EFSL29</stp>
        <stp>Open</stp>
        <tr r="M1459" s="1"/>
      </tp>
      <tp>
        <v>0</v>
        <stp/>
        <stp>bse_cm|1050EFSL29</stp>
        <stp>Open</stp>
        <tr r="M1484" s="1"/>
      </tp>
      <tp>
        <v>0</v>
        <stp/>
        <stp>nse_cm|734IRFC28-N4</stp>
        <stp>Open</stp>
        <tr r="M455" s="1"/>
      </tp>
      <tp>
        <v>1000</v>
        <stp/>
        <stp>bse_cm|79IGT28</stp>
        <stp xml:space="preserve">Low </stp>
        <tr r="O1183" s="1"/>
      </tp>
      <tp>
        <v>950</v>
        <stp/>
        <stp>nse_cm|84CIFCL28-NA</stp>
        <stp>Bid Rate</stp>
        <tr r="E388" s="1"/>
      </tp>
      <tp>
        <v>995.87</v>
        <stp/>
        <stp>bse_cm|11ICLFL25</stp>
        <stp>Prev Close</stp>
        <tr r="P452" s="1"/>
      </tp>
      <tp>
        <v>0</v>
        <stp/>
        <stp>bse_cm|1010EFSL28</stp>
        <stp>Open</stp>
        <tr r="M663" s="1"/>
      </tp>
      <tp>
        <v>0</v>
        <stp/>
        <stp>bse_cm|880MFL28</stp>
        <stp>Ask Qty</stp>
        <tr r="G1338" s="1"/>
      </tp>
      <tp>
        <v>0</v>
        <stp/>
        <stp>bse_cm|934JMFCS28</stp>
        <stp>Open</stp>
        <tr r="M325" s="1"/>
      </tp>
      <tp>
        <v>0</v>
        <stp/>
        <stp>bse_cm|980SCL34</stp>
        <stp>Ask Qty</stp>
        <tr r="G829" s="1"/>
      </tp>
      <tp>
        <v>0</v>
        <stp/>
        <stp>bse_cm|980SCL33</stp>
        <stp>Ask Qty</stp>
        <tr r="G998" s="1"/>
      </tp>
      <tp>
        <v>0</v>
        <stp/>
        <stp>bse_cm|935MMFSL29</stp>
        <stp>Open</stp>
        <tr r="M1174" s="1"/>
      </tp>
      <tp>
        <v>1005</v>
        <stp/>
        <stp>bse_cm|994SMCGS29</stp>
        <stp>Open</stp>
        <tr r="M221" s="1"/>
      </tp>
      <tp>
        <v>0</v>
        <stp/>
        <stp>nse_cm|1003SCL31-ZQ</stp>
        <stp xml:space="preserve">Low </stp>
        <tr r="O688" s="1"/>
      </tp>
      <tp t="s">
        <v>15:13:27</v>
        <stp/>
        <stp>bse_cm|11ICLFL25</stp>
        <stp>LTT</stp>
        <tr r="I452" s="1"/>
      </tp>
      <tp t="s">
        <v>00:00:00</v>
        <stp/>
        <stp>bse_cm|12ICLFL26</stp>
        <stp>LTT</stp>
        <tr r="I547" s="1"/>
      </tp>
      <tp>
        <v>995</v>
        <stp/>
        <stp>bse_cm|11ICLFL25</stp>
        <stp>LTP</stp>
        <tr r="H452" s="1"/>
      </tp>
      <tp>
        <v>0</v>
        <stp/>
        <stp>bse_cm|12ICLFL26</stp>
        <stp>LTP</stp>
        <tr r="H547" s="1"/>
      </tp>
      <tp>
        <v>0</v>
        <stp/>
        <stp>nse_cm|1025SCFL34-Z5</stp>
        <stp>Ask Qty</stp>
        <tr r="G880" s="1"/>
      </tp>
      <tp>
        <v>1014</v>
        <stp/>
        <stp>bse_cm|99AEL29</stp>
        <stp xml:space="preserve">Low </stp>
        <tr r="O243" s="1"/>
      </tp>
      <tp>
        <v>-100</v>
        <stp/>
        <stp>bse_cm|SFL27A</stp>
        <stp>% Change</stp>
        <tr r="J804" s="1"/>
      </tp>
      <tp>
        <v>0</v>
        <stp/>
        <stp>bse_cm|981JMFCS28</stp>
        <stp>Open</stp>
        <tr r="M295" s="1"/>
      </tp>
      <tp>
        <v>525</v>
        <stp/>
        <stp>nse_cm|902SCL26I-AW</stp>
        <stp>Bid Rate</stp>
        <tr r="E1383" s="1"/>
      </tp>
      <tp>
        <v>0</v>
        <stp/>
        <stp>bse_cm|888SCL26</stp>
        <stp>Ask Qty</stp>
        <tr r="G915" s="1"/>
      </tp>
      <tp>
        <v>0</v>
        <stp/>
        <stp>bse_cm|888SCL25</stp>
        <stp>Ask Qty</stp>
        <tr r="G1134" s="1"/>
      </tp>
      <tp>
        <v>0</v>
        <stp/>
        <stp>bse_cm|830JMFPL30</stp>
        <stp>Open</stp>
        <tr r="M251" s="1"/>
      </tp>
      <tp>
        <v>0</v>
        <stp/>
        <stp>bse_cm|889SCL28</stp>
        <stp>Ask Qty</stp>
        <tr r="G1069" s="1"/>
      </tp>
      <tp>
        <v>14</v>
        <stp/>
        <stp>bse_cm|889SCL26</stp>
        <stp>Ask Qty</stp>
        <tr r="G237" s="1"/>
      </tp>
      <tp>
        <v>25</v>
        <stp/>
        <stp>bse_cm|889SCL27</stp>
        <stp>Ask Qty</stp>
        <tr r="G121" s="1"/>
      </tp>
      <tp>
        <v>10</v>
        <stp/>
        <stp>bse_cm|829LTF24</stp>
        <stp>Ask Qty</stp>
        <tr r="G4" s="1"/>
      </tp>
      <tp>
        <v>990</v>
        <stp/>
        <stp>bse_cm|89MFL26</stp>
        <stp xml:space="preserve">Low </stp>
        <tr r="O250" s="1"/>
      </tp>
      <tp>
        <v>1036.9000000000001</v>
        <stp/>
        <stp>nse_cm|9MMFSML-N2</stp>
        <stp>Ask Rate</stp>
        <tr r="F339" s="1"/>
      </tp>
      <tp>
        <v>990</v>
        <stp/>
        <stp>bse_cm|84CIFCL28</stp>
        <stp>Prev Close</stp>
        <tr r="P387" s="1"/>
      </tp>
      <tp>
        <v>0</v>
        <stp/>
        <stp>bse_cm|805MMFSL32</stp>
        <stp>Open</stp>
        <tr r="M401" s="1"/>
      </tp>
      <tp t="s">
        <v>BSE</v>
        <stp/>
        <stp>bse_cm|975AHFL28</stp>
        <stp>Exchange</stp>
        <tr r="C324" s="1"/>
      </tp>
      <tp t="s">
        <v>BSE</v>
        <stp/>
        <stp>bse_cm|935AHFL28</stp>
        <stp>Exchange</stp>
        <tr r="C456" s="1"/>
      </tp>
      <tp>
        <v>975</v>
        <stp/>
        <stp>bse_cm|888ERFL28</stp>
        <stp>Ask Rate</stp>
        <tr r="F216" s="1"/>
      </tp>
      <tp>
        <v>994.95</v>
        <stp/>
        <stp>bse_cm|925ERFL28</stp>
        <stp>Ask Rate</stp>
        <tr r="F147" s="1"/>
      </tp>
      <tp>
        <v>20</v>
        <stp/>
        <stp>bse_cm|MFCL160924</stp>
        <stp>Ask Qty</stp>
        <tr r="G572" s="1"/>
      </tp>
      <tp t="s">
        <v>IIFLZC28C</v>
        <stp/>
        <stp>nse_cm|IIFLZC28C-N6</stp>
        <stp>Symbol</stp>
        <tr r="A1656" s="1"/>
      </tp>
      <tp t="s">
        <v>IIFLZC25C</v>
        <stp/>
        <stp>nse_cm|IIFLZC25C-N8</stp>
        <stp>Symbol</stp>
        <tr r="A1748" s="1"/>
      </tp>
      <tp>
        <v>1000</v>
        <stp/>
        <stp>nse_cm|850SCL25-YL</stp>
        <stp>Face Value</stp>
        <tr r="Q922" s="1"/>
      </tp>
      <tp>
        <v>1000</v>
        <stp/>
        <stp>nse_cm|847SCL25-Z2</stp>
        <stp>Face Value</stp>
        <tr r="Q212" s="1"/>
      </tp>
      <tp>
        <v>1000</v>
        <stp/>
        <stp>nse_cm|866SCL25-YP</stp>
        <stp>Face Value</stp>
        <tr r="Q933" s="1"/>
      </tp>
      <tp>
        <v>1000</v>
        <stp/>
        <stp>nse_cm|820SCL25-YO</stp>
        <stp>Face Value</stp>
        <tr r="Q932" s="1"/>
      </tp>
      <tp>
        <v>1000</v>
        <stp/>
        <stp>nse_cm|894SCL25-Z3</stp>
        <stp>Face Value</stp>
        <tr r="Q1698" s="1"/>
      </tp>
      <tp>
        <v>1000</v>
        <stp/>
        <stp>nse_cm|888SCL25-NG</stp>
        <stp>Face Value</stp>
        <tr r="Q912" s="1"/>
      </tp>
      <tp>
        <v>667</v>
        <stp/>
        <stp>nse_cm|955SCL25-ZU</stp>
        <stp>Face Value</stp>
        <tr r="Q1391" s="1"/>
      </tp>
      <tp>
        <v>667</v>
        <stp/>
        <stp>nse_cm|905SCL25-ZT</stp>
        <stp>Face Value</stp>
        <tr r="Q977" s="1"/>
      </tp>
      <tp>
        <v>667</v>
        <stp/>
        <stp>nse_cm|916SCL25-ZW</stp>
        <stp>Face Value</stp>
        <tr r="Q1576" s="1"/>
      </tp>
      <tp t="s">
        <v>BSE</v>
        <stp/>
        <stp>bse_cm|805ABFL28</stp>
        <stp>Exchange</stp>
        <tr r="C1371" s="1"/>
      </tp>
      <tp>
        <v>1000</v>
        <stp/>
        <stp>nse_cm|925SCL25-N5</stp>
        <stp>Face Value</stp>
        <tr r="Q1474" s="1"/>
      </tp>
      <tp>
        <v>1000</v>
        <stp/>
        <stp>nse_cm|965SCL25-AG</stp>
        <stp>Face Value</stp>
        <tr r="Q1577" s="1"/>
      </tp>
      <tp>
        <v>1000</v>
        <stp/>
        <stp>nse_cm|886REC34-NG</stp>
        <stp>Face Value</stp>
        <tr r="Q536" s="1"/>
      </tp>
      <tp>
        <v>1000</v>
        <stp/>
        <stp>nse_cm|861REC34-ND</stp>
        <stp>Face Value</stp>
        <tr r="Q583" s="1"/>
      </tp>
      <tp>
        <v>10</v>
        <stp/>
        <stp>bse_cm|1049DLSL25</stp>
        <stp>Ask Qty</stp>
        <tr r="G84" s="1"/>
      </tp>
      <tp>
        <v>25</v>
        <stp/>
        <stp>bse_cm|1049EFSL34</stp>
        <stp>Ask Qty</stp>
        <tr r="G1584" s="1"/>
      </tp>
      <tp>
        <v>1000</v>
        <stp/>
        <stp>nse_cm|905PEL26-N1</stp>
        <stp>Face Value</stp>
        <tr r="Q500" s="1"/>
      </tp>
      <tp t="s">
        <v>0SMCGSL27</v>
        <stp/>
        <stp>bse_cm|0SMCGSL27</stp>
        <stp>Symbol</stp>
        <tr r="A1532" s="1"/>
      </tp>
      <tp t="s">
        <v>0SMCGSL26</v>
        <stp/>
        <stp>bse_cm|0SMCGSL26</stp>
        <stp>Symbol</stp>
        <tr r="A589" s="1"/>
      </tp>
      <tp>
        <v>1000</v>
        <stp/>
        <stp>nse_cm|866SFL25-ZE</stp>
        <stp>Face Value</stp>
        <tr r="Q1389" s="1"/>
      </tp>
      <tp>
        <v>1000</v>
        <stp/>
        <stp>nse_cm|82TCHF25-N5</stp>
        <stp>Prev Close</stp>
        <tr r="P1014" s="1"/>
      </tp>
      <tp>
        <v>1058</v>
        <stp/>
        <stp>nse_cm|83TCHF25-N6</stp>
        <stp>Prev Close</stp>
        <tr r="P472" s="1"/>
      </tp>
      <tp t="s">
        <v>BSE</v>
        <stp/>
        <stp>bse_cm|965ARKA26</stp>
        <stp>Exchange</stp>
        <tr r="C869" s="1"/>
      </tp>
      <tp>
        <v>945</v>
        <stp/>
        <stp>bse_cm|967EFSL29</stp>
        <stp>Ask Rate</stp>
        <tr r="F102" s="1"/>
      </tp>
      <tp>
        <v>990</v>
        <stp/>
        <stp>bse_cm|967EFSL28</stp>
        <stp>Ask Rate</stp>
        <tr r="F205" s="1"/>
      </tp>
      <tp>
        <v>1010</v>
        <stp/>
        <stp>nse_cm|10CAGL27-N5</stp>
        <stp>Prev Close</stp>
        <tr r="P273" s="1"/>
      </tp>
      <tp t="s">
        <v>RFLNIFT25</v>
        <stp/>
        <stp>bse_cm|RFLNIFT25</stp>
        <stp>Symbol</stp>
        <tr r="A1242" s="1"/>
      </tp>
      <tp t="s">
        <v>775MFLTD28</v>
        <stp/>
        <stp>bse_cm|775MFLTD28</stp>
        <stp>Trading Symbol</stp>
        <tr r="B1192" s="1"/>
      </tp>
      <tp t="s">
        <v>775MFLTD26</v>
        <stp/>
        <stp>bse_cm|775MFLTD26</stp>
        <stp>Trading Symbol</stp>
        <tr r="B652" s="1"/>
      </tp>
      <tp t="s">
        <v>775MFLTD25</v>
        <stp/>
        <stp>bse_cm|775MFLTD25</stp>
        <stp>Trading Symbol</stp>
        <tr r="B649" s="1"/>
      </tp>
      <tp>
        <v>0</v>
        <stp/>
        <stp>bse_cm|925EFSL25</stp>
        <stp>Ask Rate</stp>
        <tr r="F632" s="1"/>
      </tp>
      <tp t="s">
        <v>791JMFPL26</v>
        <stp/>
        <stp>bse_cm|791JMFPL26</stp>
        <stp>Trading Symbol</stp>
        <tr r="B276" s="1"/>
      </tp>
      <tp>
        <v>0</v>
        <stp/>
        <stp>bse_cm|895EFSL25</stp>
        <stp>Ask Rate</stp>
        <tr r="F700" s="1"/>
      </tp>
      <tp t="s">
        <v>BSE</v>
        <stp/>
        <stp>bse_cm|965ARKA28</stp>
        <stp>Exchange</stp>
        <tr r="C1349" s="1"/>
      </tp>
      <tp>
        <v>975</v>
        <stp/>
        <stp>bse_cm|920EFSL27</stp>
        <stp>Ask Rate</stp>
        <tr r="F55" s="1"/>
      </tp>
      <tp>
        <v>970</v>
        <stp/>
        <stp>bse_cm|935EFSL27</stp>
        <stp>Ask Rate</stp>
        <tr r="F157" s="1"/>
      </tp>
      <tp>
        <v>970</v>
        <stp/>
        <stp>bse_cm|957EFSL27</stp>
        <stp>Ask Rate</stp>
        <tr r="F576" s="1"/>
      </tp>
      <tp>
        <v>1005</v>
        <stp/>
        <stp>bse_cm|960EFSL27</stp>
        <stp>Ask Rate</stp>
        <tr r="F70" s="1"/>
      </tp>
      <tp>
        <v>924.2</v>
        <stp/>
        <stp>bse_cm|975EFSL27</stp>
        <stp>Ask Rate</stp>
        <tr r="F45" s="1"/>
      </tp>
      <tp>
        <v>1025.8</v>
        <stp/>
        <stp>bse_cm|895EFSL26</stp>
        <stp>Ask Rate</stp>
        <tr r="F109" s="1"/>
      </tp>
      <tp>
        <v>958.8</v>
        <stp/>
        <stp>bse_cm|915EFSL26</stp>
        <stp>Ask Rate</stp>
        <tr r="F93" s="1"/>
      </tp>
      <tp>
        <v>962.99</v>
        <stp/>
        <stp>bse_cm|916EFSL26</stp>
        <stp>Ask Rate</stp>
        <tr r="F69" s="1"/>
      </tp>
      <tp>
        <v>993.3</v>
        <stp/>
        <stp>bse_cm|920EFSL26</stp>
        <stp>Ask Rate</stp>
        <tr r="F223" s="1"/>
      </tp>
      <tp>
        <v>990</v>
        <stp/>
        <stp>bse_cm|939EFSL26</stp>
        <stp>Ask Rate</stp>
        <tr r="F188" s="1"/>
      </tp>
      <tp>
        <v>1104.8900000000001</v>
        <stp/>
        <stp>bse_cm|955EFSL26</stp>
        <stp>Ask Rate</stp>
        <tr r="F503" s="1"/>
      </tp>
      <tp>
        <v>1000</v>
        <stp/>
        <stp>bse_cm|950EFSL26</stp>
        <stp>Ask Rate</stp>
        <tr r="F1493" s="1"/>
      </tp>
      <tp>
        <v>0</v>
        <stp/>
        <stp>bse_cm|960EFSL26</stp>
        <stp>Ask Rate</stp>
        <tr r="F690" s="1"/>
      </tp>
      <tp>
        <v>0</v>
        <stp/>
        <stp>bse_cm|105EFSL29</stp>
        <stp>Ask Rate</stp>
        <tr r="F1358" s="1"/>
      </tp>
      <tp>
        <v>1008.73</v>
        <stp/>
        <stp>nse_cm|965AEL27-N4</stp>
        <stp>Prev Close</stp>
        <tr r="P254" s="1"/>
      </tp>
      <tp>
        <v>1003.25</v>
        <stp/>
        <stp>nse_cm|932AEL27-N3</stp>
        <stp>Prev Close</stp>
        <tr r="P471" s="1"/>
      </tp>
      <tp>
        <v>1033.8</v>
        <stp/>
        <stp>bse_cm|101EFSL28</stp>
        <stp>Ask Rate</stp>
        <tr r="F211" s="1"/>
      </tp>
      <tp>
        <v>0</v>
        <stp/>
        <stp>nse_cm|93SCFL25-Z1</stp>
        <stp>Prev Close</stp>
        <tr r="P946" s="1"/>
      </tp>
      <tp t="s">
        <v>872MMFSL26</v>
        <stp/>
        <stp>bse_cm|872MMFSL26</stp>
        <stp>Trading Symbol</stp>
        <tr r="B406" s="1"/>
      </tp>
      <tp t="s">
        <v>MMFSL26A</v>
        <stp/>
        <stp>bse_cm|MMFSL26A</stp>
        <stp>Trading Symbol</stp>
        <tr r="B1722" s="1"/>
      </tp>
      <tp t="s">
        <v>BSE</v>
        <stp/>
        <stp>bse_cm|91EFSL24A</stp>
        <stp>Exchange</stp>
        <tr r="C46" s="1"/>
      </tp>
      <tp t="s">
        <v>1030IFSL26</v>
        <stp/>
        <stp>bse_cm|1030IFSL26</stp>
        <stp>Trading Symbol</stp>
        <tr r="B1654" s="1"/>
      </tp>
      <tp t="s">
        <v>INE027E07AX6</v>
        <stp/>
        <stp>nse_cm|845LTF24-NI</stp>
        <stp>Isin code</stp>
        <tr r="R942" s="1"/>
      </tp>
      <tp t="s">
        <v>INE741K07538</v>
        <stp/>
        <stp>nse_cm|CAGL26-NA</stp>
        <stp>Isin code</stp>
        <tr r="R735" s="1"/>
      </tp>
      <tp t="s">
        <v>BSE</v>
        <stp/>
        <stp>bse_cm|11EFSL34A</stp>
        <stp>Exchange</stp>
        <tr r="C1408" s="1"/>
      </tp>
      <tp t="s">
        <v>BSE</v>
        <stp/>
        <stp>bse_cm|10EFSL34A</stp>
        <stp>Exchange</stp>
        <tr r="C131" s="1"/>
      </tp>
      <tp t="s">
        <v>INE338I07099</v>
        <stp/>
        <stp>nse_cm|0MOFSL27-N3</stp>
        <stp>Isin code</stp>
        <tr r="R1038" s="1"/>
      </tp>
      <tp t="s">
        <v>INE477L08154</v>
        <stp/>
        <stp>nse_cm|96IIFL28-N5</stp>
        <stp>Isin code</stp>
        <tr r="R106" s="1"/>
      </tp>
      <tp t="s">
        <v>1025SCL33</v>
        <stp/>
        <stp>nse_cm|1025SCL33-YJ</stp>
        <stp>Symbol</stp>
        <tr r="A836" s="1"/>
      </tp>
      <tp t="s">
        <v>1075SCL33</v>
        <stp/>
        <stp>nse_cm|1075SCL33-YK</stp>
        <stp>Symbol</stp>
        <tr r="A707" s="1"/>
      </tp>
      <tp t="s">
        <v>1040UCL25</v>
        <stp/>
        <stp>nse_cm|1040UCL25-N4</stp>
        <stp>Symbol</stp>
        <tr r="A669" s="1"/>
      </tp>
      <tp t="s">
        <v>1050UCL25</v>
        <stp/>
        <stp>nse_cm|1050UCL25-N7</stp>
        <stp>Symbol</stp>
        <tr r="A201" s="1"/>
      </tp>
      <tp t="s">
        <v>1075UCL25</v>
        <stp/>
        <stp>nse_cm|1075UCL25-N9</stp>
        <stp>Symbol</stp>
        <tr r="A498" s="1"/>
      </tp>
      <tp t="s">
        <v>1025UCL25</v>
        <stp/>
        <stp>nse_cm|1025UCL25-N8</stp>
        <stp>Symbol</stp>
        <tr r="A217" s="1"/>
      </tp>
      <tp>
        <v>1010</v>
        <stp/>
        <stp>bse_cm|1119NFL27</stp>
        <stp xml:space="preserve">Low </stp>
        <tr r="O1140" s="1"/>
      </tp>
      <tp t="s">
        <v>INE148I07LM1</v>
        <stp/>
        <stp>nse_cm|850SCL25-YL</stp>
        <stp>Isin code</stp>
        <tr r="R922" s="1"/>
      </tp>
      <tp t="s">
        <v>MML26</v>
        <stp/>
        <stp>bse_cm|MML26</stp>
        <stp>Trading Symbol</stp>
        <tr r="B1410" s="1"/>
      </tp>
      <tp t="s">
        <v>MML25</v>
        <stp/>
        <stp>bse_cm|MML25</stp>
        <stp>Trading Symbol</stp>
        <tr r="B1253" s="1"/>
      </tp>
      <tp t="s">
        <v>MML24</v>
        <stp/>
        <stp>bse_cm|MML24</stp>
        <stp>Trading Symbol</stp>
        <tr r="B1740" s="1"/>
      </tp>
      <tp t="s">
        <v>IML27</v>
        <stp/>
        <stp>bse_cm|IML27</stp>
        <stp>Trading Symbol</stp>
        <tr r="B1325" s="1"/>
      </tp>
      <tp t="s">
        <v>IML25</v>
        <stp/>
        <stp>bse_cm|IML25</stp>
        <stp>Trading Symbol</stp>
        <tr r="B1326" s="1"/>
      </tp>
      <tp t="e">
        <v>#N/A</v>
        <stp/>
        <stp>bse_cm|IML24</stp>
        <stp>Trading Symbol</stp>
        <tr r="B34" s="1"/>
      </tp>
      <tp t="s">
        <v>IML29</v>
        <stp/>
        <stp>bse_cm|IML29</stp>
        <stp>Trading Symbol</stp>
        <tr r="B1528" s="1"/>
      </tp>
      <tp t="s">
        <v>IML28</v>
        <stp/>
        <stp>bse_cm|IML28</stp>
        <stp>Trading Symbol</stp>
        <tr r="B1458" s="1"/>
      </tp>
      <tp t="s">
        <v>MML28</v>
        <stp/>
        <stp>bse_cm|MML28</stp>
        <stp>Trading Symbol</stp>
        <tr r="B584" s="1"/>
      </tp>
      <tp t="s">
        <v>MML30</v>
        <stp/>
        <stp>bse_cm|MML30</stp>
        <stp>Trading Symbol</stp>
        <tr r="B1525" s="1"/>
      </tp>
      <tp>
        <v>0</v>
        <stp/>
        <stp>nse_cm|865IRFC29-NA</stp>
        <stp>Open</stp>
        <tr r="M491" s="1"/>
      </tp>
      <tp>
        <v>-100</v>
        <stp/>
        <stp>bse_cm|985ONE34</stp>
        <stp>% Change</stp>
        <tr r="J1101" s="1"/>
      </tp>
      <tp>
        <v>941.2</v>
        <stp/>
        <stp>nse_cm|CAGL25A-N4</stp>
        <stp>Bid Rate</stp>
        <tr r="E709" s="1"/>
      </tp>
      <tp>
        <v>918.4</v>
        <stp/>
        <stp>nse_cm|CAGL27A-N6</stp>
        <stp>Bid Rate</stp>
        <tr r="E758" s="1"/>
      </tp>
      <tp>
        <v>3.53</v>
        <stp/>
        <stp>nse_cm|925SCL27-YR</stp>
        <stp>% Change</stp>
        <tr r="J1415" s="1"/>
      </tp>
      <tp>
        <v>190</v>
        <stp/>
        <stp>bse_cm|89EFSL25</stp>
        <stp>Ask Qty</stp>
        <tr r="G87" s="1"/>
      </tp>
      <tp t="s">
        <v>BSE</v>
        <stp/>
        <stp>bse_cm|8ABFL26</stp>
        <stp>Exchange</stp>
        <tr r="C539" s="1"/>
      </tp>
      <tp>
        <v>-100</v>
        <stp/>
        <stp>bse_cm|795IGT31</stp>
        <stp>% Change</stp>
        <tr r="J1186" s="1"/>
      </tp>
      <tp>
        <v>1031.03</v>
        <stp/>
        <stp>nse_cm|CIFC26A-N9</stp>
        <stp>Bid Rate</stp>
        <tr r="E739" s="1"/>
      </tp>
      <tp>
        <v>0</v>
        <stp/>
        <stp>nse_cm|916SCL25-ZW</stp>
        <stp>% Change</stp>
        <tr r="J1576" s="1"/>
      </tp>
      <tp>
        <v>945.01</v>
        <stp/>
        <stp>bse_cm|KFL070824</stp>
        <stp>Prev Close</stp>
        <tr r="P551" s="1"/>
      </tp>
      <tp>
        <v>1000</v>
        <stp/>
        <stp>bse_cm|658PFCL31</stp>
        <stp>Prev Close</stp>
        <tr r="P1209" s="1"/>
      </tp>
      <tp>
        <v>1005</v>
        <stp/>
        <stp>bse_cm|707IRFC25</stp>
        <stp>Prev Close</stp>
        <tr r="P1653" s="1"/>
      </tp>
      <tp>
        <v>0</v>
        <stp/>
        <stp>bse_cm|0SMCGSL27</stp>
        <stp>Volume Traded Today</stp>
        <tr r="L1532" s="1"/>
      </tp>
      <tp>
        <v>0</v>
        <stp/>
        <stp>bse_cm|0SMCGSL26</stp>
        <stp>Volume Traded Today</stp>
        <tr r="L589" s="1"/>
      </tp>
      <tp>
        <v>0</v>
        <stp/>
        <stp>bse_cm|86CIFC29</stp>
        <stp>Ask Qty</stp>
        <tr r="G1341" s="1"/>
      </tp>
      <tp>
        <v>1045.8399999999999</v>
        <stp/>
        <stp>bse_cm|1090NFL26</stp>
        <stp>Prev Close</stp>
        <tr r="P364" s="1"/>
      </tp>
      <tp>
        <v>1890.55</v>
        <stp/>
        <stp>nse_cm|SCLZC26-NB</stp>
        <stp>High</stp>
        <tr r="N1717" s="1"/>
      </tp>
      <tp>
        <v>-100</v>
        <stp/>
        <stp>bse_cm|104ECL29</stp>
        <stp>% Change</stp>
        <tr r="J149" s="1"/>
      </tp>
      <tp>
        <v>1060.0999999999999</v>
        <stp/>
        <stp>bse_cm|704IRFC26</stp>
        <stp>Prev Close</stp>
        <tr r="P557" s="1"/>
      </tp>
      <tp>
        <v>1020</v>
        <stp/>
        <stp>bse_cm|MFCL30424</stp>
        <stp>Prev Close</stp>
        <tr r="P1606" s="1"/>
      </tp>
      <tp>
        <v>1010</v>
        <stp/>
        <stp>bse_cm|IFL190424</stp>
        <stp>Prev Close</stp>
        <tr r="P1663" s="1"/>
      </tp>
      <tp>
        <v>1545</v>
        <stp/>
        <stp>bse_cm|1041KFL26</stp>
        <stp>Prev Close</stp>
        <tr r="P1031" s="1"/>
      </tp>
      <tp>
        <v>950</v>
        <stp/>
        <stp>bse_cm|1040NFL26</stp>
        <stp>Prev Close</stp>
        <tr r="P1453" s="1"/>
      </tp>
      <tp>
        <v>0</v>
        <stp/>
        <stp>bse_cm|91MOFSL27</stp>
        <stp>Volume Traded Today</stp>
        <tr r="L1558" s="1"/>
      </tp>
      <tp>
        <v>1015</v>
        <stp/>
        <stp>bse_cm|1050NFL26</stp>
        <stp>Prev Close</stp>
        <tr r="P260" s="1"/>
      </tp>
      <tp>
        <v>1020</v>
        <stp/>
        <stp>bse_cm|1050SFL26</stp>
        <stp>Prev Close</stp>
        <tr r="P890" s="1"/>
      </tp>
      <tp>
        <v>1029.7</v>
        <stp/>
        <stp>bse_cm|755PFCL38</stp>
        <stp>Prev Close</stp>
        <tr r="P434" s="1"/>
      </tp>
      <tp>
        <v>1398</v>
        <stp/>
        <stp>bse_cm|105IIFL29</stp>
        <stp>Prev Close</stp>
        <tr r="P338" s="1"/>
      </tp>
      <tp>
        <v>995</v>
        <stp/>
        <stp>bse_cm|105MMFL25</stp>
        <stp>Prev Close</stp>
        <tr r="P1171" s="1"/>
      </tp>
      <tp>
        <v>989</v>
        <stp/>
        <stp>bse_cm|955MFCL30</stp>
        <stp>Prev Close</stp>
        <tr r="P1130" s="1"/>
      </tp>
      <tp>
        <v>1070</v>
        <stp/>
        <stp>bse_cm|805ABFL28</stp>
        <stp>Prev Close</stp>
        <tr r="P1371" s="1"/>
      </tp>
      <tp>
        <v>0</v>
        <stp/>
        <stp>bse_cm|97MOFSL34</stp>
        <stp>Volume Traded Today</stp>
        <tr r="L1600" s="1"/>
      </tp>
      <tp>
        <v>0</v>
        <stp/>
        <stp>bse_cm|93MOFSL34</stp>
        <stp>Volume Traded Today</stp>
        <tr r="L312" s="1"/>
      </tp>
      <tp>
        <v>2640</v>
        <stp/>
        <stp>bse_cm|MFLVI31F</stp>
        <stp>Ask Qty</stp>
        <tr r="G354" s="1"/>
      </tp>
      <tp>
        <v>-100</v>
        <stp/>
        <stp>nse_cm|925SCL29-YZ</stp>
        <stp>% Change</stp>
        <tr r="J851" s="1"/>
      </tp>
      <tp>
        <v>1002</v>
        <stp/>
        <stp>bse_cm|1065NFL27</stp>
        <stp>Prev Close</stp>
        <tr r="P182" s="1"/>
      </tp>
      <tp>
        <v>0</v>
        <stp/>
        <stp>bse_cm|975MFCL28E</stp>
        <stp>Open</stp>
        <tr r="M303" s="1"/>
      </tp>
      <tp>
        <v>0.63</v>
        <stp/>
        <stp>bse_cm|104ECL24</stp>
        <stp>% Change</stp>
        <tr r="J38" s="1"/>
      </tp>
      <tp>
        <v>0</v>
        <stp/>
        <stp>bse_cm|93MMFSL27</stp>
        <stp>Volume Traded Today</stp>
        <tr r="L333" s="1"/>
      </tp>
      <tp>
        <v>0</v>
        <stp/>
        <stp>bse_cm|92MMFSL27</stp>
        <stp>Volume Traded Today</stp>
        <tr r="L384" s="1"/>
      </tp>
      <tp>
        <v>0</v>
        <stp/>
        <stp>bse_cm|88MMFSL26</stp>
        <stp>Volume Traded Today</stp>
        <tr r="L988" s="1"/>
      </tp>
      <tp>
        <v>0</v>
        <stp/>
        <stp>bse_cm|95MMFSL29</stp>
        <stp>Volume Traded Today</stp>
        <tr r="L353" s="1"/>
      </tp>
      <tp>
        <v>0</v>
        <stp/>
        <stp>bse_cm|MFLVI32F</stp>
        <stp>Ask Qty</stp>
        <tr r="G704" s="1"/>
      </tp>
      <tp>
        <v>1400</v>
        <stp/>
        <stp>bse_cm|1071KFL25</stp>
        <stp>Prev Close</stp>
        <tr r="P1122" s="1"/>
      </tp>
      <tp>
        <v>1019</v>
        <stp/>
        <stp>bse_cm|1075NFL25</stp>
        <stp>Prev Close</stp>
        <tr r="P643" s="1"/>
      </tp>
      <tp>
        <v>0</v>
        <stp/>
        <stp>bse_cm|875IIFL26A</stp>
        <stp>Open</stp>
        <tr r="M232" s="1"/>
      </tp>
      <tp>
        <v>1095.8</v>
        <stp/>
        <stp>bse_cm|957ICCL28</stp>
        <stp>Prev Close</stp>
        <tr r="P1572" s="1"/>
      </tp>
      <tp>
        <v>1025</v>
        <stp/>
        <stp>bse_cm|957ICCL25</stp>
        <stp>Prev Close</stp>
        <tr r="P432" s="1"/>
      </tp>
      <tp t="s">
        <v>NSE</v>
        <stp/>
        <stp>nse_cm|965SCL25B-Y1</stp>
        <stp>Exchange</stp>
        <tr r="C1502" s="1"/>
      </tp>
      <tp>
        <v>100</v>
        <stp/>
        <stp>bse_cm|99JFPL25</stp>
        <stp>Ask Qty</stp>
        <tr r="G1670" s="1"/>
      </tp>
      <tp>
        <v>975</v>
        <stp/>
        <stp>bse_cm|750PFCL38</stp>
        <stp>Prev Close</stp>
        <tr r="P1196" s="1"/>
      </tp>
      <tp>
        <v>1001.09</v>
        <stp/>
        <stp>bse_cm|750PFCL26</stp>
        <stp>Prev Close</stp>
        <tr r="P448" s="1"/>
      </tp>
      <tp>
        <v>0</v>
        <stp/>
        <stp>bse_cm|AEL120924B</stp>
        <stp>Open</stp>
        <tr r="M1641" s="1"/>
      </tp>
      <tp>
        <v>960</v>
        <stp/>
        <stp>bse_cm|950MFCL27</stp>
        <stp>Prev Close</stp>
        <tr r="P1148" s="1"/>
      </tp>
      <tp>
        <v>1199.95</v>
        <stp/>
        <stp>bse_cm|875NHAI29</stp>
        <stp>Prev Close</stp>
        <tr r="P496" s="1"/>
      </tp>
      <tp>
        <v>976</v>
        <stp/>
        <stp>bse_cm|910CAGL25</stp>
        <stp>Prev Close</stp>
        <tr r="P351" s="1"/>
      </tp>
      <tp>
        <v>0</v>
        <stp/>
        <stp>bse_cm|1045EFS33A</stp>
        <stp>Open</stp>
        <tr r="M95" s="1"/>
      </tp>
      <tp t="s">
        <v>NSE</v>
        <stp/>
        <stp>nse_cm|925SCL25H-Y0</stp>
        <stp>Exchange</stp>
        <tr r="C791" s="1"/>
      </tp>
      <tp t="s">
        <v>NSE</v>
        <stp/>
        <stp>nse_cm|925SCL25B-Y3</stp>
        <stp>Exchange</stp>
        <tr r="C600" s="1"/>
      </tp>
      <tp>
        <v>1000</v>
        <stp/>
        <stp>bse_cm|SFL270224</stp>
        <stp>Prev Close</stp>
        <tr r="P808" s="1"/>
      </tp>
      <tp>
        <v>1000</v>
        <stp/>
        <stp>bse_cm|1025KFL28</stp>
        <stp>Prev Close</stp>
        <tr r="P626" s="1"/>
      </tp>
      <tp>
        <v>1000</v>
        <stp/>
        <stp>bse_cm|1025KFL29</stp>
        <stp>Prev Close</stp>
        <tr r="P196" s="1"/>
      </tp>
      <tp>
        <v>960</v>
        <stp/>
        <stp>bse_cm|1025KFL26</stp>
        <stp>Prev Close</stp>
        <tr r="P768" s="1"/>
      </tp>
      <tp>
        <v>965</v>
        <stp/>
        <stp>bse_cm|1025KFL27</stp>
        <stp>Prev Close</stp>
        <tr r="P767" s="1"/>
      </tp>
      <tp>
        <v>990</v>
        <stp/>
        <stp>bse_cm|1025KFL25</stp>
        <stp>Prev Close</stp>
        <tr r="P638" s="1"/>
      </tp>
      <tp>
        <v>996.72</v>
        <stp/>
        <stp>bse_cm|1025NFL25</stp>
        <stp>Prev Close</stp>
        <tr r="P624" s="1"/>
      </tp>
      <tp>
        <v>1000</v>
        <stp/>
        <stp>bse_cm|1025SFL25</stp>
        <stp>Prev Close</stp>
        <tr r="P1071" s="1"/>
      </tp>
      <tp>
        <v>963.96</v>
        <stp/>
        <stp>bse_cm|1025SFL28</stp>
        <stp>Prev Close</stp>
        <tr r="P100" s="1"/>
      </tp>
      <tp>
        <v>929.18</v>
        <stp/>
        <stp>bse_cm|1025SFL29</stp>
        <stp>Prev Close</stp>
        <tr r="P1446" s="1"/>
      </tp>
      <tp>
        <v>-100</v>
        <stp/>
        <stp>bse_cm|944MFL28</stp>
        <stp>% Change</stp>
        <tr r="J677" s="1"/>
      </tp>
      <tp>
        <v>-100</v>
        <stp/>
        <stp>bse_cm|884LTF29</stp>
        <stp>% Change</stp>
        <tr r="J1337" s="1"/>
      </tp>
      <tp>
        <v>1000</v>
        <stp/>
        <stp>bse_cm|753PFCL33</stp>
        <stp>Prev Close</stp>
        <tr r="P426" s="1"/>
      </tp>
      <tp>
        <v>0</v>
        <stp/>
        <stp>bse_cm|AEL120924A</stp>
        <stp>Open</stp>
        <tr r="M1524" s="1"/>
      </tp>
      <tp>
        <v>983</v>
        <stp/>
        <stp>bse_cm|920NIDO26</stp>
        <stp>Prev Close</stp>
        <tr r="P166" s="1"/>
      </tp>
      <tp>
        <v>0</v>
        <stp/>
        <stp>bse_cm|1045EFS33B</stp>
        <stp>Open</stp>
        <tr r="M117" s="1"/>
      </tp>
      <tp t="s">
        <v>0MML29A</v>
        <stp/>
        <stp>bse_cm|0MML29A</stp>
        <stp>Trading Symbol</stp>
        <tr r="B1040" s="1"/>
      </tp>
      <tp t="s">
        <v>0SFL27A</v>
        <stp/>
        <stp>bse_cm|0SFL27A</stp>
        <stp>Trading Symbol</stp>
        <tr r="B1034" s="1"/>
      </tp>
      <tp t="s">
        <v>0SFL29A</v>
        <stp/>
        <stp>bse_cm|0SFL29A</stp>
        <stp>Trading Symbol</stp>
        <tr r="B1033" s="1"/>
      </tp>
      <tp t="s">
        <v>BSE</v>
        <stp/>
        <stp>bse_cm|9ARKA25</stp>
        <stp>Exchange</stp>
        <tr r="C1365" s="1"/>
      </tp>
      <tp>
        <v>1000</v>
        <stp/>
        <stp>nse_cm|10IIFL28A-NE</stp>
        <stp>Face Value</stp>
        <tr r="Q108" s="1"/>
      </tp>
      <tp>
        <v>49</v>
        <stp/>
        <stp>nse_cm|876HUDCO28-ND</stp>
        <stp>Ask Qty</stp>
        <tr r="G509" s="1"/>
      </tp>
      <tp>
        <v>0</v>
        <stp/>
        <stp>bse_cm|10MVAFL25</stp>
        <stp>Volume Traded Today</stp>
        <tr r="L1675" s="1"/>
      </tp>
      <tp>
        <v>0</v>
        <stp/>
        <stp>bse_cm|83TCHF28</stp>
        <stp>Ask Qty</stp>
        <tr r="G832" s="1"/>
      </tp>
      <tp>
        <v>10</v>
        <stp/>
        <stp>bse_cm|83TCHF25</stp>
        <stp>Ask Qty</stp>
        <tr r="G489" s="1"/>
      </tp>
      <tp>
        <v>984</v>
        <stp/>
        <stp>bse_cm|1010EFS28</stp>
        <stp>Prev Close</stp>
        <tr r="P116" s="1"/>
      </tp>
      <tp>
        <v>920</v>
        <stp/>
        <stp>bse_cm|1010EFS29</stp>
        <stp>Prev Close</stp>
        <tr r="P726" s="1"/>
      </tp>
      <tp>
        <v>0</v>
        <stp/>
        <stp>nse_cm|810TCHFL27-ND</stp>
        <stp>Bid Qty</stp>
        <tr r="D1016" s="1"/>
      </tp>
      <tp>
        <v>100</v>
        <stp/>
        <stp>nse_cm|AEL120924B-N8</stp>
        <stp>Ask Qty</stp>
        <tr r="G1640" s="1"/>
      </tp>
      <tp>
        <v>0</v>
        <stp/>
        <stp>nse_cm|AEL120924A-N5</stp>
        <stp>Ask Qty</stp>
        <tr r="G1555" s="1"/>
      </tp>
      <tp>
        <v>1900</v>
        <stp/>
        <stp>bse_cm|805MMFS32</stp>
        <stp>Prev Close</stp>
        <tr r="P1763" s="1"/>
      </tp>
      <tp>
        <v>963.51</v>
        <stp/>
        <stp>bse_cm|EFS290424</stp>
        <stp>Prev Close</stp>
        <tr r="P570" s="1"/>
      </tp>
      <tp>
        <v>940</v>
        <stp/>
        <stp>bse_cm|1045EFS33</stp>
        <stp>Prev Close</stp>
        <tr r="P1030" s="1"/>
      </tp>
      <tp>
        <v>993</v>
        <stp/>
        <stp>bse_cm|1045EFS34</stp>
        <stp>Prev Close</stp>
        <tr r="P1450" s="1"/>
      </tp>
      <tp t="s">
        <v>9MFL30A</v>
        <stp/>
        <stp>bse_cm|9MFL30A</stp>
        <stp>Trading Symbol</stp>
        <tr r="B289" s="1"/>
      </tp>
      <tp t="s">
        <v>8MFL24A</v>
        <stp/>
        <stp>bse_cm|8MFL24A</stp>
        <stp>Trading Symbol</stp>
        <tr r="B1549" s="1"/>
      </tp>
      <tp>
        <v>0</v>
        <stp/>
        <stp>nse_cm|925SFCL25-AC</stp>
        <stp>Open</stp>
        <tr r="M604" s="1"/>
      </tp>
      <tp>
        <v>-100</v>
        <stp/>
        <stp>bse_cm|935PEL33</stp>
        <stp>% Change</stp>
        <tr r="J368" s="1"/>
      </tp>
      <tp t="s">
        <v>9KFL26B</v>
        <stp/>
        <stp>bse_cm|9KFL26B</stp>
        <stp>Trading Symbol</stp>
        <tr r="B667" s="1"/>
      </tp>
      <tp t="s">
        <v>9KFL26A</v>
        <stp/>
        <stp>bse_cm|9KFL26A</stp>
        <stp>Trading Symbol</stp>
        <tr r="B1083" s="1"/>
      </tp>
      <tp>
        <v>0</v>
        <stp/>
        <stp>nse_cm|965SCFL25-AB</stp>
        <stp>Open</stp>
        <tr r="M664" s="1"/>
      </tp>
      <tp t="s">
        <v>9MFL27A</v>
        <stp/>
        <stp>bse_cm|9MFL27A</stp>
        <stp>Trading Symbol</stp>
        <tr r="B257" s="1"/>
      </tp>
      <tp t="s">
        <v>9MFL25A</v>
        <stp/>
        <stp>bse_cm|9MFL25A</stp>
        <stp>Trading Symbol</stp>
        <tr r="B702" s="1"/>
      </tp>
      <tp t="s">
        <v>9SFL25A</v>
        <stp/>
        <stp>bse_cm|9SFL25A</stp>
        <stp>Trading Symbol</stp>
        <tr r="B441" s="1"/>
      </tp>
      <tp t="s">
        <v>9SCL26B</v>
        <stp/>
        <stp>bse_cm|9SCL26B</stp>
        <stp>Trading Symbol</stp>
        <tr r="B1135" s="1"/>
      </tp>
      <tp t="s">
        <v>9SFL26A</v>
        <stp/>
        <stp>bse_cm|9SFL26A</stp>
        <stp>Trading Symbol</stp>
        <tr r="B1065" s="1"/>
      </tp>
      <tp>
        <v>625</v>
        <stp/>
        <stp>bse_cm|955IFSL25</stp>
        <stp>Face Value</stp>
        <tr r="Q1470" s="1"/>
      </tp>
      <tp>
        <v>1000</v>
        <stp/>
        <stp>bse_cm|955EFSL26</stp>
        <stp>Face Value</stp>
        <tr r="Q503" s="1"/>
      </tp>
      <tp>
        <v>-100</v>
        <stp/>
        <stp>nse_cm|820SCL25-YO</stp>
        <stp>% Change</stp>
        <tr r="J932" s="1"/>
      </tp>
      <tp>
        <v>0</v>
        <stp/>
        <stp>bse_cm|967EFSL28D</stp>
        <stp>Open</stp>
        <tr r="M168" s="1"/>
      </tp>
      <tp>
        <v>1035.02</v>
        <stp/>
        <stp>nse_cm|ABFL28-N3</stp>
        <stp>Prev Close</stp>
        <tr r="P1063" s="1"/>
      </tp>
      <tp>
        <v>1000</v>
        <stp/>
        <stp>bse_cm|957EFSL27</stp>
        <stp>Face Value</stp>
        <tr r="Q576" s="1"/>
      </tp>
      <tp>
        <v>1.98</v>
        <stp/>
        <stp>bse_cm|714REC25</stp>
        <stp>% Change</stp>
        <tr r="J518" s="1"/>
      </tp>
      <tp>
        <v>-100</v>
        <stp/>
        <stp>bse_cm|894SCL24</stp>
        <stp>% Change</stp>
        <tr r="J645" s="1"/>
      </tp>
      <tp>
        <v>1000</v>
        <stp/>
        <stp>bse_cm|950EFSL26</stp>
        <stp>Face Value</stp>
        <tr r="Q1493" s="1"/>
      </tp>
      <tp>
        <v>992.8</v>
        <stp/>
        <stp>bse_cm|9EFSL26</stp>
        <stp>Ask Rate</stp>
        <tr r="F581" s="1"/>
      </tp>
      <tp>
        <v>-100</v>
        <stp/>
        <stp>bse_cm|894SCL25</stp>
        <stp>% Change</stp>
        <tr r="J1517" s="1"/>
      </tp>
      <tp>
        <v>0</v>
        <stp/>
        <stp>nse_cm|925SCFL25-AD</stp>
        <stp>Open</stp>
        <tr r="M773" s="1"/>
      </tp>
      <tp>
        <v>12</v>
        <stp/>
        <stp>bse_cm|85CIFC27</stp>
        <stp>Bid Qty</stp>
        <tr r="D974" s="1"/>
      </tp>
      <tp>
        <v>1000</v>
        <stp/>
        <stp>bse_cm|967EFSL28A</stp>
        <stp>Open</stp>
        <tr r="M172" s="1"/>
      </tp>
      <tp>
        <v>-100</v>
        <stp/>
        <stp>bse_cm|894SCL27</stp>
        <stp>% Change</stp>
        <tr r="J962" s="1"/>
      </tp>
      <tp>
        <v>1000</v>
        <stp/>
        <stp>bse_cm|953EFSL31</stp>
        <stp>Face Value</stp>
        <tr r="Q191" s="1"/>
      </tp>
      <tp>
        <v>0</v>
        <stp/>
        <stp>bse_cm|9EFSL25</stp>
        <stp>Ask Rate</stp>
        <tr r="F606" s="1"/>
      </tp>
      <tp t="s">
        <v>INE523L07660</v>
        <stp/>
        <stp>bse_cm|88NWIL25</stp>
        <stp>Isin code</stp>
        <tr r="R219" s="1"/>
      </tp>
      <tp>
        <v>1096.6400000000001</v>
        <stp/>
        <stp>bse_cm|98SCL27</stp>
        <stp xml:space="preserve">Low </stp>
        <tr r="O1545" s="1"/>
      </tp>
      <tp>
        <v>40</v>
        <stp/>
        <stp>nse_cm|SCFL310524-ZE</stp>
        <stp>Bid Qty</stp>
        <tr r="D1240" s="1"/>
      </tp>
      <tp>
        <v>1000</v>
        <stp/>
        <stp>bse_cm|95MMFSL29</stp>
        <stp>Face Value</stp>
        <tr r="Q353" s="1"/>
      </tp>
      <tp>
        <v>1000</v>
        <stp/>
        <stp>bse_cm|88SCL25</stp>
        <stp xml:space="preserve">Low </stp>
        <tr r="O987" s="1"/>
      </tp>
      <tp t="s">
        <v>CAGL27A</v>
        <stp/>
        <stp>bse_cm|CAGL27A</stp>
        <stp>Trading Symbol</stp>
        <tr r="B1379" s="1"/>
      </tp>
      <tp t="s">
        <v>INE020B07JR0</v>
        <stp/>
        <stp>bse_cm|709REC30</stp>
        <stp>Isin code</stp>
        <tr r="R564" s="1"/>
      </tp>
      <tp t="s">
        <v>INE020B07JS8</v>
        <stp/>
        <stp>bse_cm|734REC30</stp>
        <stp>Isin code</stp>
        <tr r="R524" s="1"/>
      </tp>
      <tp t="s">
        <v>CAGL25A</v>
        <stp/>
        <stp>bse_cm|CAGL25A</stp>
        <stp>Trading Symbol</stp>
        <tr r="B1701" s="1"/>
      </tp>
      <tp>
        <v>0</v>
        <stp/>
        <stp>nse_cm|1015SCL29-ZL</stp>
        <stp xml:space="preserve">Low </stp>
        <tr r="O1176" s="1"/>
      </tp>
      <tp t="s">
        <v>DLSL25A</v>
        <stp/>
        <stp>bse_cm|DLSL25A</stp>
        <stp>Trading Symbol</stp>
        <tr r="B1734" s="1"/>
      </tp>
      <tp>
        <v>0</v>
        <stp/>
        <stp>nse_cm|1025SCL33-YJ</stp>
        <stp xml:space="preserve">Low </stp>
        <tr r="O836" s="1"/>
      </tp>
      <tp t="s">
        <v>EFSL25B</v>
        <stp/>
        <stp>bse_cm|EFSL25B</stp>
        <stp>Trading Symbol</stp>
        <tr r="B1682" s="1"/>
      </tp>
      <tp t="s">
        <v>EFSL25A</v>
        <stp/>
        <stp>bse_cm|EFSL25A</stp>
        <stp>Trading Symbol</stp>
        <tr r="B1706" s="1"/>
      </tp>
      <tp t="s">
        <v>EFSL24C</v>
        <stp/>
        <stp>bse_cm|EFSL24C</stp>
        <stp>Trading Symbol</stp>
        <tr r="B1755" s="1"/>
      </tp>
      <tp t="s">
        <v>EFSL27A</v>
        <stp/>
        <stp>bse_cm|EFSL27A</stp>
        <stp>Trading Symbol</stp>
        <tr r="B1649" s="1"/>
      </tp>
      <tp t="s">
        <v>EFSL26C</v>
        <stp/>
        <stp>bse_cm|EFSL26C</stp>
        <stp>Trading Symbol</stp>
        <tr r="B1650" s="1"/>
      </tp>
      <tp t="s">
        <v>EFSL26B</v>
        <stp/>
        <stp>bse_cm|EFSL26B</stp>
        <stp>Trading Symbol</stp>
        <tr r="B1564" s="1"/>
      </tp>
      <tp t="s">
        <v>EFSL26A</v>
        <stp/>
        <stp>bse_cm|EFSL26A</stp>
        <stp>Trading Symbol</stp>
        <tr r="B1567" s="1"/>
      </tp>
      <tp t="s">
        <v>EFSL26D</v>
        <stp/>
        <stp>bse_cm|EFSL26D</stp>
        <stp>Trading Symbol</stp>
        <tr r="B1617" s="1"/>
      </tp>
      <tp t="s">
        <v>EFSL28A</v>
        <stp/>
        <stp>bse_cm|EFSL28A</stp>
        <stp>Trading Symbol</stp>
        <tr r="B1335" s="1"/>
      </tp>
      <tp t="s">
        <v>BSE</v>
        <stp/>
        <stp>bse_cm|EFSL25A</stp>
        <stp>Exchange</stp>
        <tr r="C1706" s="1"/>
      </tp>
      <tp t="s">
        <v>BSE</v>
        <stp/>
        <stp>bse_cm|EFSL25B</stp>
        <stp>Exchange</stp>
        <tr r="C1682" s="1"/>
      </tp>
      <tp t="s">
        <v>95KLM25</v>
        <stp/>
        <stp>bse_cm|95KLM25</stp>
        <stp>Trading Symbol</stp>
        <tr r="B73" s="1"/>
      </tp>
      <tp>
        <v>0</v>
        <stp/>
        <stp>nse_cm|915SCL27-Z7</stp>
        <stp>% Change</stp>
        <tr r="J1475" s="1"/>
      </tp>
      <tp>
        <v>8</v>
        <stp/>
        <stp>nse_cm|1003SCFL31-Z4</stp>
        <stp>Bid Qty</stp>
        <tr r="D878" s="1"/>
      </tp>
      <tp>
        <v>0</v>
        <stp/>
        <stp>nse_cm|980SCL33D-YG</stp>
        <stp>Ask Rate</stp>
        <tr r="F830" s="1"/>
      </tp>
      <tp>
        <v>10</v>
        <stp/>
        <stp>bse_cm|905LTF27</stp>
        <stp>Bid Qty</stp>
        <tr r="D394" s="1"/>
      </tp>
      <tp>
        <v>1</v>
        <stp/>
        <stp>bse_cm|935ONE26</stp>
        <stp>Bid Qty</stp>
        <tr r="D1173" s="1"/>
      </tp>
      <tp t="s">
        <v>INE148I07ST1</v>
        <stp/>
        <stp>bse_cm|957SCL31</stp>
        <stp>Isin code</stp>
        <tr r="R1108" s="1"/>
      </tp>
      <tp t="s">
        <v>KAFL28A</v>
        <stp/>
        <stp>bse_cm|KAFL28A</stp>
        <stp>Trading Symbol</stp>
        <tr r="B1319" s="1"/>
      </tp>
      <tp>
        <v>975</v>
        <stp/>
        <stp>nse_cm|1075SCL34-ZR</stp>
        <stp>High</stp>
        <tr r="N1366" s="1"/>
      </tp>
      <tp>
        <v>28</v>
        <stp/>
        <stp>nse_cm|866IIFC34B-N3</stp>
        <stp>Ask Qty</stp>
        <tr r="G25" s="1"/>
      </tp>
      <tp>
        <v>0</v>
        <stp/>
        <stp>nse_cm|980SCL33B-YL</stp>
        <stp>Ask Rate</stp>
        <tr r="F837" s="1"/>
      </tp>
      <tp>
        <v>0</v>
        <stp/>
        <stp>bse_cm|9TCAP28</stp>
        <stp>ATP</stp>
        <tr r="K545" s="1"/>
      </tp>
      <tp>
        <v>0</v>
        <stp/>
        <stp>nse_cm|902SCL27A-ZI</stp>
        <stp>Ask Rate</stp>
        <tr r="F1353" s="1"/>
      </tp>
      <tp>
        <v>5</v>
        <stp/>
        <stp>bse_cm|1025SF29</stp>
        <stp>Bid Qty</stp>
        <tr r="D1409" s="1"/>
      </tp>
      <tp t="s">
        <v>12KLM25</v>
        <stp/>
        <stp>bse_cm|12KLM25</stp>
        <stp>Trading Symbol</stp>
        <tr r="B1211" s="1"/>
      </tp>
      <tp t="s">
        <v>NSE</v>
        <stp/>
        <stp>nse_cm|925SCL26B-YQ</stp>
        <stp>Exchange</stp>
        <tr r="C90" s="1"/>
      </tp>
      <tp>
        <v>0</v>
        <stp/>
        <stp>nse_cm|971SCL28B-YD</stp>
        <stp>Ask Rate</stp>
        <tr r="F828" s="1"/>
      </tp>
      <tp t="s">
        <v>NSE</v>
        <stp/>
        <stp>nse_cm|925SCL26A-YN</stp>
        <stp>Exchange</stp>
        <tr r="C838" s="1"/>
      </tp>
      <tp>
        <v>0</v>
        <stp/>
        <stp>nse_cm|1050ICCL28-NV</stp>
        <stp>Bid Qty</stp>
        <tr r="D764" s="1"/>
      </tp>
      <tp>
        <v>974.99</v>
        <stp/>
        <stp>bse_cm|88MFL28</stp>
        <stp xml:space="preserve">Low </stp>
        <tr r="O233" s="1"/>
      </tp>
      <tp>
        <v>0</v>
        <stp/>
        <stp>bse_cm|925KLMAF25</stp>
        <stp>Open</stp>
        <tr r="M612" s="1"/>
      </tp>
      <tp>
        <v>1038</v>
        <stp/>
        <stp>bse_cm|10MVAFL25</stp>
        <stp>Prev Close</stp>
        <tr r="P1675" s="1"/>
      </tp>
      <tp>
        <v>0</v>
        <stp/>
        <stp>bse_cm|894SCL27</stp>
        <stp>Ask Qty</stp>
        <tr r="G962" s="1"/>
      </tp>
      <tp>
        <v>0</v>
        <stp/>
        <stp>bse_cm|894SCL24</stp>
        <stp>Ask Qty</stp>
        <tr r="G645" s="1"/>
      </tp>
      <tp>
        <v>0</v>
        <stp/>
        <stp>bse_cm|894SCL25</stp>
        <stp>Ask Qty</stp>
        <tr r="G1517" s="1"/>
      </tp>
      <tp t="s">
        <v>NSE</v>
        <stp/>
        <stp>nse_cm|875SCL23A-YI</stp>
        <stp>Exchange</stp>
        <tr r="C1477" s="1"/>
      </tp>
      <tp t="s">
        <v>NSE</v>
        <stp/>
        <stp>nse_cm|965SCL28B-YB</stp>
        <stp>Exchange</stp>
        <tr r="C819" s="1"/>
      </tp>
      <tp>
        <v>0</v>
        <stp/>
        <stp>bse_cm|1049DLSL25</stp>
        <stp>Open</stp>
        <tr r="M84" s="1"/>
      </tp>
      <tp t="s">
        <v>NSE</v>
        <stp/>
        <stp>nse_cm|835SCL23A-YH</stp>
        <stp>Exchange</stp>
        <tr r="C833" s="1"/>
      </tp>
      <tp>
        <v>30</v>
        <stp/>
        <stp>bse_cm|995ECL29</stp>
        <stp>Ask Qty</stp>
        <tr r="G198" s="1"/>
      </tp>
      <tp t="s">
        <v>NSE</v>
        <stp/>
        <stp>nse_cm|925SCL28B-YC</stp>
        <stp>Exchange</stp>
        <tr r="C825" s="1"/>
      </tp>
      <tp>
        <v>10</v>
        <stp/>
        <stp>bse_cm|935LTF29</stp>
        <stp>Ask Qty</stp>
        <tr r="G396" s="1"/>
      </tp>
      <tp>
        <v>400</v>
        <stp/>
        <stp>bse_cm|995ECL24</stp>
        <stp>Ask Qty</stp>
        <tr r="G427" s="1"/>
      </tp>
      <tp>
        <v>100</v>
        <stp/>
        <stp>nse_cm|1003IIFL29-NC</stp>
        <stp>Bid Qty</stp>
        <tr r="D1077" s="1"/>
      </tp>
      <tp>
        <v>20</v>
        <stp/>
        <stp>nse_cm|1003ISFL28-N4</stp>
        <stp>Bid Qty</stp>
        <tr r="D197" s="1"/>
      </tp>
      <tp>
        <v>0</v>
        <stp/>
        <stp>bse_cm|10MMLTD24</stp>
        <stp>ATP</stp>
        <tr r="K1615" s="1"/>
      </tp>
      <tp>
        <v>0</v>
        <stp/>
        <stp>bse_cm|903ONE26</stp>
        <stp>Ask Qty</stp>
        <tr r="G843" s="1"/>
      </tp>
      <tp>
        <v>25</v>
        <stp/>
        <stp>bse_cm|990SCL26</stp>
        <stp>Ask Qty</stp>
        <tr r="G421" s="1"/>
      </tp>
      <tp>
        <v>0</v>
        <stp/>
        <stp>bse_cm|990SCL27</stp>
        <stp>Ask Qty</stp>
        <tr r="G796" s="1"/>
      </tp>
      <tp t="s">
        <v>NSE</v>
        <stp/>
        <stp>nse_cm|835SCL23B-YM</stp>
        <stp>Exchange</stp>
        <tr r="C179" s="1"/>
      </tp>
      <tp>
        <v>0</v>
        <stp/>
        <stp>bse_cm|890MFL26</stp>
        <stp>Ask Qty</stp>
        <tr r="G1478" s="1"/>
      </tp>
      <tp>
        <v>0</v>
        <stp/>
        <stp>bse_cm|950KLMAF25</stp>
        <stp>Open</stp>
        <tr r="M1149" s="1"/>
      </tp>
      <tp>
        <v>0</v>
        <stp/>
        <stp>bse_cm|975KLMAF26</stp>
        <stp>Open</stp>
        <tr r="M857" s="1"/>
      </tp>
      <tp>
        <v>0</v>
        <stp/>
        <stp>bse_cm|820JMFPL26</stp>
        <stp>Open</stp>
        <tr r="M349" s="1"/>
      </tp>
      <tp>
        <v>995</v>
        <stp/>
        <stp>bse_cm|1049EFSL34</stp>
        <stp>Open</stp>
        <tr r="M1584" s="1"/>
      </tp>
      <tp>
        <v>0</v>
        <stp/>
        <stp>bse_cm|1045EFSL34</stp>
        <stp>Open</stp>
        <tr r="M1413" s="1"/>
      </tp>
      <tp t="s">
        <v>BSE</v>
        <stp/>
        <stp>bse_cm|MFLI25A</stp>
        <stp>Exchange</stp>
        <tr r="C362" s="1"/>
      </tp>
      <tp>
        <v>0</v>
        <stp/>
        <stp>bse_cm|800MMFSL27</stp>
        <stp>Open</stp>
        <tr r="M436" s="1"/>
      </tp>
      <tp>
        <v>0</v>
        <stp/>
        <stp>bse_cm|872MMFSL26</stp>
        <stp>Open</stp>
        <tr r="M406" s="1"/>
      </tp>
      <tp>
        <v>-100</v>
        <stp/>
        <stp>bse_cm|SFL26A</stp>
        <stp>% Change</stp>
        <tr r="J810" s="1"/>
      </tp>
      <tp>
        <v>5</v>
        <stp/>
        <stp>nse_cm|875CIFC23B-NJ</stp>
        <stp>Bid Qty</stp>
        <tr r="D346" s="1"/>
      </tp>
      <tp>
        <v>0</v>
        <stp/>
        <stp>bse_cm|853MMFSL26</stp>
        <stp>Open</stp>
        <tr r="M1005" s="1"/>
      </tp>
      <tp>
        <v>0</v>
        <stp/>
        <stp>bse_cm|1045EFSL33</stp>
        <stp>Open</stp>
        <tr r="M1382" s="1"/>
      </tp>
      <tp>
        <v>0</v>
        <stp/>
        <stp>bse_cm|1010EFSL32</stp>
        <stp>Open</stp>
        <tr r="M631" s="1"/>
      </tp>
      <tp>
        <v>0</v>
        <stp/>
        <stp>bse_cm|KAFL080824</stp>
        <stp>Ask Qty</stp>
        <tr r="G1417" s="1"/>
      </tp>
      <tp>
        <v>0</v>
        <stp/>
        <stp>bse_cm|1075KLMA28</stp>
        <stp>Ask Qty</stp>
        <tr r="G1116" s="1"/>
      </tp>
      <tp t="s">
        <v>IIFLZC28B</v>
        <stp/>
        <stp>nse_cm|IIFLZC28B-Y1</stp>
        <stp>Symbol</stp>
        <tr r="A1491" s="1"/>
      </tp>
      <tp t="s">
        <v>IIFLZC26B</v>
        <stp/>
        <stp>nse_cm|IIFLZC26B-NY</stp>
        <stp>Symbol</stp>
        <tr r="A1629" s="1"/>
      </tp>
      <tp t="s">
        <v>IIFLZC25B</v>
        <stp/>
        <stp>nse_cm|IIFLZC25B-NW</stp>
        <stp>Symbol</stp>
        <tr r="A1684" s="1"/>
      </tp>
      <tp>
        <v>1000</v>
        <stp/>
        <stp>nse_cm|865SCL24-ZA</stp>
        <stp>Face Value</stp>
        <tr r="Q954" s="1"/>
      </tp>
      <tp>
        <v>1000</v>
        <stp/>
        <stp>nse_cm|857SCL24-ZQ</stp>
        <stp>Face Value</stp>
        <tr r="Q975" s="1"/>
      </tp>
      <tp>
        <v>1000</v>
        <stp/>
        <stp>nse_cm|833SCL24-ZE</stp>
        <stp>Face Value</stp>
        <tr r="Q957" s="1"/>
      </tp>
      <tp>
        <v>1000</v>
        <stp/>
        <stp>nse_cm|894SCL24-ZR</stp>
        <stp>Face Value</stp>
        <tr r="Q661" s="1"/>
      </tp>
      <tp>
        <v>1149.8</v>
        <stp/>
        <stp>bse_cm|CIFCZC25A</stp>
        <stp>Ask Rate</stp>
        <tr r="F1728" s="1"/>
      </tp>
      <tp>
        <v>1000</v>
        <stp/>
        <stp>nse_cm|980SCL34-Z7</stp>
        <stp>Face Value</stp>
        <tr r="Q884" s="1"/>
      </tp>
      <tp>
        <v>5</v>
        <stp/>
        <stp>nse_cm|SCLZC26-NB</stp>
        <stp>Bid Qty</stp>
        <tr r="D1717" s="1"/>
      </tp>
      <tp t="s">
        <v>IIFLHF29</v>
        <stp/>
        <stp>bse_cm|IIFLHF29</stp>
        <stp>Trading Symbol</stp>
        <tr r="B1631" s="1"/>
      </tp>
      <tp>
        <v>1018</v>
        <stp/>
        <stp>nse_cm|CIFC26-NK</stp>
        <stp>High</stp>
        <tr r="N741" s="1"/>
      </tp>
      <tp>
        <v>5747.01</v>
        <stp/>
        <stp>nse_cm|888NHB29-N5</stp>
        <stp>Prev Close</stp>
        <tr r="P504" s="1"/>
      </tp>
      <tp>
        <v>5950</v>
        <stp/>
        <stp>nse_cm|893NHB29-N6</stp>
        <stp>Prev Close</stp>
        <tr r="P529" s="1"/>
      </tp>
      <tp>
        <v>5885</v>
        <stp/>
        <stp>nse_cm|868NHB29-N3</stp>
        <stp>Prev Close</stp>
        <tr r="P1342" s="1"/>
      </tp>
      <tp>
        <v>9</v>
        <stp/>
        <stp>bse_cm|967EFSL28D</stp>
        <stp>Bid Qty</stp>
        <tr r="D168" s="1"/>
      </tp>
      <tp>
        <v>50</v>
        <stp/>
        <stp>bse_cm|967EFSL28A</stp>
        <stp>Bid Qty</stp>
        <tr r="D172" s="1"/>
      </tp>
      <tp>
        <v>20</v>
        <stp/>
        <stp>bse_cm|967EFSL29A</stp>
        <stp>Bid Qty</stp>
        <tr r="D180" s="1"/>
      </tp>
      <tp>
        <v>9</v>
        <stp/>
        <stp>bse_cm|920EFSL26B</stp>
        <stp>Bid Qty</stp>
        <tr r="D247" s="1"/>
      </tp>
      <tp>
        <v>10</v>
        <stp/>
        <stp>bse_cm|915EFSL26A</stp>
        <stp>Bid Qty</stp>
        <tr r="D187" s="1"/>
      </tp>
      <tp>
        <v>25</v>
        <stp/>
        <stp>bse_cm|920EFSL26A</stp>
        <stp>Bid Qty</stp>
        <tr r="D61" s="1"/>
      </tp>
      <tp>
        <v>160</v>
        <stp/>
        <stp>bse_cm|955EFSL26A</stp>
        <stp>Bid Qty</stp>
        <tr r="D214" s="1"/>
      </tp>
      <tp>
        <v>190</v>
        <stp/>
        <stp>bse_cm|960EFSL26C</stp>
        <stp>Bid Qty</stp>
        <tr r="D137" s="1"/>
      </tp>
      <tp>
        <v>180</v>
        <stp/>
        <stp>bse_cm|955EFSL26B</stp>
        <stp>Bid Qty</stp>
        <tr r="D666" s="1"/>
      </tp>
      <tp>
        <v>10</v>
        <stp/>
        <stp>nse_cm|SCLZC25-YN</stp>
        <stp>Bid Qty</stp>
        <tr r="D1727" s="1"/>
      </tp>
      <tp t="s">
        <v>820JMFPL26</v>
        <stp/>
        <stp>bse_cm|820JMFPL26</stp>
        <stp>Trading Symbol</stp>
        <tr r="B349" s="1"/>
      </tp>
      <tp t="s">
        <v>830JMFPL30</v>
        <stp/>
        <stp>bse_cm|830JMFPL30</stp>
        <stp>Trading Symbol</stp>
        <tr r="B251" s="1"/>
      </tp>
      <tp>
        <v>25</v>
        <stp/>
        <stp>bse_cm|920EFSL27A</stp>
        <stp>Bid Qty</stp>
        <tr r="D685" s="1"/>
      </tp>
      <tp>
        <v>1083</v>
        <stp/>
        <stp>nse_cm|CIFC28-NB</stp>
        <stp>High</stp>
        <tr r="N1618" s="1"/>
      </tp>
      <tp>
        <v>9</v>
        <stp/>
        <stp>bse_cm|895EFSL25A</stp>
        <stp>Bid Qty</stp>
        <tr r="D594" s="1"/>
      </tp>
      <tp>
        <v>54</v>
        <stp/>
        <stp>bse_cm|875EFSL24A</stp>
        <stp>Bid Qty</stp>
        <tr r="D229" s="1"/>
      </tp>
      <tp>
        <v>895.5</v>
        <stp/>
        <stp>bse_cm|930EFSL31</stp>
        <stp>Ask Rate</stp>
        <tr r="F65" s="1"/>
      </tp>
      <tp>
        <v>970.9</v>
        <stp/>
        <stp>bse_cm|953EFSL31</stp>
        <stp>Ask Rate</stp>
        <tr r="F191" s="1"/>
      </tp>
      <tp>
        <v>1015</v>
        <stp/>
        <stp>bse_cm|970EFSL31</stp>
        <stp>Ask Rate</stp>
        <tr r="F220" s="1"/>
      </tp>
      <tp>
        <v>1029.8</v>
        <stp/>
        <stp>bse_cm|995EFSL31</stp>
        <stp>Ask Rate</stp>
        <tr r="F192" s="1"/>
      </tp>
      <tp>
        <v>1001.24</v>
        <stp/>
        <stp>nse_cm|925AEL26-N1</stp>
        <stp>Prev Close</stp>
        <tr r="P330" s="1"/>
      </tp>
      <tp>
        <v>949.5</v>
        <stp/>
        <stp>bse_cm|965EFSL32</stp>
        <stp>Ask Rate</stp>
        <tr r="F141" s="1"/>
      </tp>
      <tp t="s">
        <v>853MMFSL26</v>
        <stp/>
        <stp>bse_cm|853MMFSL26</stp>
        <stp>Trading Symbol</stp>
        <tr r="B1005" s="1"/>
      </tp>
      <tp t="s">
        <v>960IIFLS26-N9</v>
        <stp/>
        <stp>nse_cm|960IIFLS26-N9</stp>
        <stp>Trading Symbol</stp>
        <tr r="B1489" s="1"/>
      </tp>
      <tp t="s">
        <v>INE0H7R07033</v>
        <stp/>
        <stp>nse_cm|79NHIT47-N3</stp>
        <stp>Isin code</stp>
        <tr r="R1585" s="1"/>
      </tp>
      <tp>
        <v>642.20000000000005</v>
        <stp/>
        <stp>bse_cm|971SCL28C</stp>
        <stp>Bid Rate</stp>
        <tr r="E827" s="1"/>
      </tp>
      <tp>
        <v>642.20000000000005</v>
        <stp/>
        <stp>bse_cm|965SCL28C</stp>
        <stp>Bid Rate</stp>
        <tr r="E818" s="1"/>
      </tp>
      <tp>
        <v>800.4</v>
        <stp/>
        <stp>bse_cm|925SCL28C</stp>
        <stp>Bid Rate</stp>
        <tr r="E824" s="1"/>
      </tp>
      <tp>
        <v>977.2</v>
        <stp/>
        <stp>bse_cm|10IIFL28A</stp>
        <stp>Ask Rate</stp>
        <tr r="F101" s="1"/>
      </tp>
      <tp>
        <v>815.5</v>
        <stp/>
        <stp>bse_cm|971SCL28B</stp>
        <stp>Bid Rate</stp>
        <tr r="E714" s="1"/>
      </tp>
      <tp>
        <v>812.4</v>
        <stp/>
        <stp>bse_cm|965SCL28B</stp>
        <stp>Bid Rate</stp>
        <tr r="E896" s="1"/>
      </tp>
      <tp>
        <v>815.45</v>
        <stp/>
        <stp>bse_cm|925SCL28B</stp>
        <stp>Bid Rate</stp>
        <tr r="E894" s="1"/>
      </tp>
      <tp>
        <v>930.2</v>
        <stp/>
        <stp>bse_cm|971SCL28A</stp>
        <stp>Bid Rate</stp>
        <tr r="E1027" s="1"/>
      </tp>
      <tp>
        <v>826.1</v>
        <stp/>
        <stp>bse_cm|965SCL28A</stp>
        <stp>Bid Rate</stp>
        <tr r="E1136" s="1"/>
      </tp>
      <tp>
        <v>822.4</v>
        <stp/>
        <stp>bse_cm|925SCL28A</stp>
        <stp>Bid Rate</stp>
        <tr r="E938" s="1"/>
      </tp>
      <tp t="s">
        <v>INE027E07BC8</v>
        <stp/>
        <stp>nse_cm|865LTF26-NN</stp>
        <stp>Isin code</stp>
        <tr r="R392" s="1"/>
      </tp>
      <tp t="s">
        <v>1045EFSL33</v>
        <stp/>
        <stp>bse_cm|1045EFSL33</stp>
        <stp>Trading Symbol</stp>
        <tr r="B1382" s="1"/>
      </tp>
      <tp t="s">
        <v>1045EFSL34</v>
        <stp/>
        <stp>bse_cm|1045EFSL34</stp>
        <stp>Trading Symbol</stp>
        <tr r="B1413" s="1"/>
      </tp>
      <tp t="s">
        <v>BSE</v>
        <stp/>
        <stp>bse_cm|10EFSL33B</stp>
        <stp>Exchange</stp>
        <tr r="C136" s="1"/>
      </tp>
      <tp t="s">
        <v>SCFL310524-ZE</v>
        <stp/>
        <stp>nse_cm|SCFL310524-ZE</stp>
        <stp>Trading Symbol</stp>
        <tr r="B1240" s="1"/>
      </tp>
      <tp t="s">
        <v>BSE</v>
        <stp/>
        <stp>bse_cm|10EFSL33A</stp>
        <stp>Exchange</stp>
        <tr r="C140" s="1"/>
      </tp>
      <tp t="s">
        <v>1049EFSL34</v>
        <stp/>
        <stp>bse_cm|1049EFSL34</stp>
        <stp>Trading Symbol</stp>
        <tr r="B1584" s="1"/>
      </tp>
      <tp t="s">
        <v>1049DLSL25</v>
        <stp/>
        <stp>bse_cm|1049DLSL25</stp>
        <stp>Trading Symbol</stp>
        <tr r="B84" s="1"/>
      </tp>
      <tp>
        <v>944</v>
        <stp/>
        <stp>bse_cm|96IIFL28A</stp>
        <stp>Ask Rate</stp>
        <tr r="F88" s="1"/>
      </tp>
      <tp t="s">
        <v>ECLZC24B</v>
        <stp/>
        <stp>bse_cm|ECLZC24B</stp>
        <stp>Trading Symbol</stp>
        <tr r="B1767" s="1"/>
      </tp>
      <tp>
        <v>810.3</v>
        <stp/>
        <stp>bse_cm|971SCL28I</stp>
        <stp>Bid Rate</stp>
        <tr r="E1471" s="1"/>
      </tp>
      <tp>
        <v>0</v>
        <stp/>
        <stp>bse_cm|925SCL28I</stp>
        <stp>Bid Rate</stp>
        <tr r="E822" s="1"/>
      </tp>
      <tp t="s">
        <v>98SCL34-ZS</v>
        <stp/>
        <stp>nse_cm|98SCL34-ZS</stp>
        <stp>Trading Symbol</stp>
        <tr r="B1052" s="1"/>
      </tp>
      <tp t="s">
        <v>93SCL24-ZP</v>
        <stp/>
        <stp>nse_cm|93SCL24-ZP</stp>
        <stp>Trading Symbol</stp>
        <tr r="B1506" s="1"/>
      </tp>
      <tp t="s">
        <v>89SCL24-ZO</v>
        <stp/>
        <stp>nse_cm|89SCL24-ZO</stp>
        <stp>Trading Symbol</stp>
        <tr r="B972" s="1"/>
      </tp>
      <tp t="s">
        <v>1025SCL34</v>
        <stp/>
        <stp>nse_cm|1025SCL34-Z8</stp>
        <stp>Symbol</stp>
        <tr r="A128" s="1"/>
      </tp>
      <tp t="s">
        <v>SCL310524</v>
        <stp/>
        <stp>nse_cm|SCL310524-ZF</stp>
        <stp>Symbol</stp>
        <tr r="A593" s="1"/>
      </tp>
      <tp t="s">
        <v>1075SCL34</v>
        <stp/>
        <stp>nse_cm|1075SCL34-ZR</stp>
        <stp>Symbol</stp>
        <tr r="A1366" s="1"/>
      </tp>
      <tp t="s">
        <v>INE148I07SK0</v>
        <stp/>
        <stp>bse_cm|0SCL27</stp>
        <stp>Isin code</stp>
        <tr r="R721" s="1"/>
      </tp>
      <tp t="s">
        <v>BSE</v>
        <stp/>
        <stp>bse_cm|944MFL28A</stp>
        <stp>Exchange</stp>
        <tr r="C1073" s="1"/>
      </tp>
      <tp t="s">
        <v>BSE</v>
        <stp/>
        <stp>bse_cm|905MFL28A</stp>
        <stp>Exchange</stp>
        <tr r="C224" s="1"/>
      </tp>
      <tp t="s">
        <v>INE774D08MG3</v>
        <stp/>
        <stp>nse_cm|M&amp;MFIN-N3</stp>
        <stp>Isin code</stp>
        <tr r="R1723" s="1"/>
      </tp>
      <tp t="s">
        <v>INE020B07GH7</v>
        <stp/>
        <stp>nse_cm|812REC27-NI</stp>
        <stp>Isin code</stp>
        <tr r="R462" s="1"/>
      </tp>
      <tp t="s">
        <v>897MOFSL29-N4</v>
        <stp/>
        <stp>nse_cm|897MOFSL29-N4</stp>
        <stp>Trading Symbol</stp>
        <tr r="B296" s="1"/>
      </tp>
      <tp>
        <v>0</v>
        <stp/>
        <stp>bse_cm|944MFL28A</stp>
        <stp>Volume Traded Today</stp>
        <tr r="L1073" s="1"/>
      </tp>
      <tp>
        <v>0</v>
        <stp/>
        <stp>bse_cm|79IGT28</stp>
        <stp>LTP</stp>
        <tr r="H1183" s="1"/>
      </tp>
      <tp t="s">
        <v>00:00:00</v>
        <stp/>
        <stp>bse_cm|79IGT28</stp>
        <stp>LTT</stp>
        <tr r="I1183" s="1"/>
      </tp>
      <tp t="s">
        <v>INE523H07AV1</v>
        <stp/>
        <stp>bse_cm|JMFPZC25</stp>
        <stp>Isin code</stp>
        <tr r="R1324" s="1"/>
      </tp>
      <tp t="s">
        <v>BSE</v>
        <stp/>
        <stp>bse_cm|KFLZC29</stp>
        <stp>Exchange</stp>
        <tr r="C1639" s="1"/>
      </tp>
      <tp>
        <v>-100</v>
        <stp/>
        <stp>bse_cm|903ONE26</stp>
        <stp>% Change</stp>
        <tr r="J843" s="1"/>
      </tp>
      <tp t="s">
        <v>BSE</v>
        <stp/>
        <stp>bse_cm|KFLZC28</stp>
        <stp>Exchange</stp>
        <tr r="C1290" s="1"/>
      </tp>
      <tp>
        <v>-100</v>
        <stp/>
        <stp>bse_cm|772IGT31</stp>
        <stp>% Change</stp>
        <tr r="J1194" s="1"/>
      </tp>
      <tp>
        <v>100</v>
        <stp/>
        <stp>nse_cm|855IREDA34-N3</stp>
        <stp>Bid Qty</stp>
        <tr r="D558" s="1"/>
      </tp>
      <tp>
        <v>100</v>
        <stp/>
        <stp>nse_cm|855IREDA29-N2</stp>
        <stp>Bid Qty</stp>
        <tr r="D505" s="1"/>
      </tp>
      <tp>
        <v>1000</v>
        <stp/>
        <stp>bse_cm|MFLI25</stp>
        <stp>Face Value</stp>
        <tr r="Q447" s="1"/>
      </tp>
      <tp>
        <v>-100</v>
        <stp/>
        <stp>bse_cm|943ECL28</stp>
        <stp>% Change</stp>
        <tr r="J124" s="1"/>
      </tp>
      <tp>
        <v>0</v>
        <stp/>
        <stp>bse_cm|1049DLS25A</stp>
        <stp>Open</stp>
        <tr r="M119" s="1"/>
      </tp>
      <tp>
        <v>1039</v>
        <stp/>
        <stp>nse_cm|82IGT31-NJ</stp>
        <stp>Ask Rate</stp>
        <tr r="F375" s="1"/>
      </tp>
      <tp>
        <v>0</v>
        <stp/>
        <stp>bse_cm|93ARKA26</stp>
        <stp>Ask Qty</stp>
        <tr r="G981" s="1"/>
      </tp>
      <tp>
        <v>0</v>
        <stp/>
        <stp>bse_cm|93ARKA25</stp>
        <stp>Ask Qty</stp>
        <tr r="G1395" s="1"/>
      </tp>
      <tp>
        <v>948</v>
        <stp/>
        <stp>bse_cm|958NIDO27</stp>
        <stp>Prev Close</stp>
        <tr r="P1402" s="1"/>
      </tp>
      <tp>
        <v>985</v>
        <stp/>
        <stp>nse_cm|925SCFL27-YA</stp>
        <stp xml:space="preserve">Low </stp>
        <tr r="O113" s="1"/>
      </tp>
      <tp>
        <v>936.85</v>
        <stp/>
        <stp>bse_cm|957NIDO26</stp>
        <stp>Prev Close</stp>
        <tr r="P329" s="1"/>
      </tp>
      <tp>
        <v>0</v>
        <stp/>
        <stp>bse_cm|104ECL29A</stp>
        <stp>Volume Traded Today</stp>
        <tr r="L79" s="1"/>
      </tp>
      <tp>
        <v>1000</v>
        <stp/>
        <stp>bse_cm|875SCFL27</stp>
        <stp>Prev Close</stp>
        <tr r="P1011" s="1"/>
      </tp>
      <tp>
        <v>961.06</v>
        <stp/>
        <stp>bse_cm|925SFCL25</stp>
        <stp>Prev Close</stp>
        <tr r="P1482" s="1"/>
      </tp>
      <tp>
        <v>964.8</v>
        <stp/>
        <stp>bse_cm|875IIFL26</stp>
        <stp>Prev Close</stp>
        <tr r="P642" s="1"/>
      </tp>
      <tp>
        <v>943.8</v>
        <stp/>
        <stp>bse_cm|875IHFL29</stp>
        <stp>Prev Close</stp>
        <tr r="P1230" s="1"/>
      </tp>
      <tp>
        <v>1000</v>
        <stp/>
        <stp>bse_cm|975KAFL25</stp>
        <stp>Prev Close</stp>
        <tr r="P860" s="1"/>
      </tp>
      <tp>
        <v>970</v>
        <stp/>
        <stp>bse_cm|975KAFL26</stp>
        <stp>Prev Close</stp>
        <tr r="P859" s="1"/>
      </tp>
      <tp>
        <v>990</v>
        <stp/>
        <stp>bse_cm|975MMFL24</stp>
        <stp>Prev Close</stp>
        <tr r="P853" s="1"/>
      </tp>
      <tp>
        <v>1010</v>
        <stp/>
        <stp>bse_cm|975MMFL26</stp>
        <stp>Prev Close</stp>
        <tr r="P215" s="1"/>
      </tp>
      <tp>
        <v>979.9</v>
        <stp/>
        <stp>bse_cm|925MFCL27</stp>
        <stp>Prev Close</stp>
        <tr r="P262" s="1"/>
      </tp>
      <tp>
        <v>1000</v>
        <stp/>
        <stp>bse_cm|925MFCL26</stp>
        <stp>Prev Close</stp>
        <tr r="P1610" s="1"/>
      </tp>
      <tp>
        <v>1190</v>
        <stp/>
        <stp>bse_cm|975AHFL28</stp>
        <stp>Prev Close</stp>
        <tr r="P324" s="1"/>
      </tp>
      <tp>
        <v>950</v>
        <stp/>
        <stp>bse_cm|955NIDO27</stp>
        <stp>Prev Close</stp>
        <tr r="P51" s="1"/>
      </tp>
      <tp>
        <v>0</v>
        <stp/>
        <stp>bse_cm|IFL19424</stp>
        <stp>Ask Qty</stp>
        <tr r="G1344" s="1"/>
      </tp>
      <tp t="s">
        <v>BSE</v>
        <stp/>
        <stp>bse_cm|MFLZC27</stp>
        <stp>Exchange</stp>
        <tr r="C1271" s="1"/>
      </tp>
      <tp t="s">
        <v>BSE</v>
        <stp/>
        <stp>bse_cm|KFLZC27</stp>
        <stp>Exchange</stp>
        <tr r="C1292" s="1"/>
      </tp>
      <tp t="s">
        <v>BSE</v>
        <stp/>
        <stp>bse_cm|MFLII27</stp>
        <stp>Exchange</stp>
        <tr r="C648" s="1"/>
      </tp>
      <tp>
        <v>999.21</v>
        <stp/>
        <stp>bse_cm|960CAGL25</stp>
        <stp>Prev Close</stp>
        <tr r="P347" s="1"/>
      </tp>
      <tp>
        <v>0</v>
        <stp/>
        <stp>bse_cm|1045EFS34A</stp>
        <stp>Open</stp>
        <tr r="M1029" s="1"/>
      </tp>
      <tp t="s">
        <v>BSE</v>
        <stp/>
        <stp>bse_cm|SFLZC26</stp>
        <stp>Exchange</stp>
        <tr r="C801" s="1"/>
      </tp>
      <tp t="s">
        <v>BSE</v>
        <stp/>
        <stp>bse_cm|MFLZC26</stp>
        <stp>Exchange</stp>
        <tr r="C1720" s="1"/>
      </tp>
      <tp t="s">
        <v>BSE</v>
        <stp/>
        <stp>bse_cm|KFLZC26</stp>
        <stp>Exchange</stp>
        <tr r="C1709" s="1"/>
      </tp>
      <tp t="s">
        <v>BSE</v>
        <stp/>
        <stp>bse_cm|MFLVI26</stp>
        <stp>Exchange</stp>
        <tr r="C1719" s="1"/>
      </tp>
      <tp t="s">
        <v>BSE</v>
        <stp/>
        <stp>bse_cm|MFLIV26</stp>
        <stp>Exchange</stp>
        <tr r="C1500" s="1"/>
      </tp>
      <tp t="s">
        <v>BSE</v>
        <stp/>
        <stp>bse_cm|MFLII26</stp>
        <stp>Exchange</stp>
        <tr r="C390" s="1"/>
      </tp>
      <tp>
        <v>1619.98</v>
        <stp/>
        <stp>bse_cm|704NHAI26</stp>
        <stp>Prev Close</stp>
        <tr r="P1204" s="1"/>
      </tp>
      <tp t="s">
        <v>BSE</v>
        <stp/>
        <stp>bse_cm|SFLZC25</stp>
        <stp>Exchange</stp>
        <tr r="C802" s="1"/>
      </tp>
      <tp t="s">
        <v>BSE</v>
        <stp/>
        <stp>bse_cm|MFLZC25</stp>
        <stp>Exchange</stp>
        <tr r="C1683" s="1"/>
      </tp>
      <tp t="s">
        <v>BSE</v>
        <stp/>
        <stp>bse_cm|KFLZC25</stp>
        <stp>Exchange</stp>
        <tr r="C1754" s="1"/>
      </tp>
      <tp>
        <v>1000</v>
        <stp/>
        <stp>bse_cm|KAF080824</stp>
        <stp>Prev Close</stp>
        <tr r="P1322" s="1"/>
      </tp>
      <tp t="s">
        <v>BSE</v>
        <stp/>
        <stp>bse_cm|MFLVI25</stp>
        <stp>Exchange</stp>
        <tr r="C1707" s="1"/>
      </tp>
      <tp t="s">
        <v>BSE</v>
        <stp/>
        <stp>bse_cm|MFLIV25</stp>
        <stp>Exchange</stp>
        <tr r="C280" s="1"/>
      </tp>
      <tp t="s">
        <v>00:00:00</v>
        <stp/>
        <stp>bse_cm|76IGT26</stp>
        <stp>LTT</stp>
        <tr r="I1608" s="1"/>
      </tp>
      <tp>
        <v>0</v>
        <stp/>
        <stp>bse_cm|76IGT26</stp>
        <stp>LTP</stp>
        <tr r="H1608" s="1"/>
      </tp>
      <tp t="e">
        <v>#N/A</v>
        <stp/>
        <stp>bse_cm|SFLZC24</stp>
        <stp>Exchange</stp>
        <tr r="C30" s="1"/>
      </tp>
      <tp t="s">
        <v>BSE</v>
        <stp/>
        <stp>bse_cm|KFLZC24</stp>
        <stp>Exchange</stp>
        <tr r="C1766" s="1"/>
      </tp>
      <tp>
        <v>0</v>
        <stp/>
        <stp>bse_cm|77IGT28</stp>
        <stp>LTP</stp>
        <tr r="H1191" s="1"/>
      </tp>
      <tp t="s">
        <v>00:00:00</v>
        <stp/>
        <stp>bse_cm|77IGT28</stp>
        <stp>LTT</stp>
        <tr r="I1191" s="1"/>
      </tp>
      <tp>
        <v>-100</v>
        <stp/>
        <stp>bse_cm|903SFL28</stp>
        <stp>% Change</stp>
        <tr r="J397" s="1"/>
      </tp>
      <tp>
        <v>-100</v>
        <stp/>
        <stp>nse_cm|865SCL24-ZA</stp>
        <stp>% Change</stp>
        <tr r="J954" s="1"/>
      </tp>
      <tp>
        <v>5</v>
        <stp/>
        <stp>nse_cm|901HUDCO34-NE</stp>
        <stp>Ask Qty</stp>
        <tr r="G517" s="1"/>
      </tp>
      <tp>
        <v>486</v>
        <stp/>
        <stp>nse_cm|851HUDCO28-NB</stp>
        <stp>Ask Qty</stp>
        <tr r="G502" s="1"/>
      </tp>
      <tp>
        <v>100</v>
        <stp/>
        <stp>nse_cm|751HUDCO28-N5</stp>
        <stp>Ask Qty</stp>
        <tr r="G492" s="1"/>
      </tp>
      <tp>
        <v>2</v>
        <stp/>
        <stp>bse_cm|84TCHF28</stp>
        <stp>Ask Qty</stp>
        <tr r="G403" s="1"/>
      </tp>
      <tp>
        <v>0</v>
        <stp/>
        <stp>bse_cm|894SCL25A</stp>
        <stp>Volume Traded Today</stp>
        <tr r="L1235" s="1"/>
      </tp>
      <tp>
        <v>4</v>
        <stp/>
        <stp>nse_cm|891IIFCL34-N4</stp>
        <stp>Ask Qty</stp>
        <tr r="G516" s="1"/>
      </tp>
      <tp>
        <v>20</v>
        <stp/>
        <stp>bse_cm|SCLZC26H</stp>
        <stp>Bid Qty</stp>
        <tr r="D814" s="1"/>
      </tp>
      <tp>
        <v>27</v>
        <stp/>
        <stp>bse_cm|SCLZC26A</stp>
        <stp>Bid Qty</stp>
        <tr r="D1343" s="1"/>
      </tp>
      <tp>
        <v>7</v>
        <stp/>
        <stp>bse_cm|SCLZC26B</stp>
        <stp>Bid Qty</stp>
        <tr r="D992" s="1"/>
      </tp>
      <tp>
        <v>20</v>
        <stp/>
        <stp>bse_cm|SCLZC26C</stp>
        <stp>Bid Qty</stp>
        <tr r="D1399" s="1"/>
      </tp>
      <tp>
        <v>20</v>
        <stp/>
        <stp>bse_cm|SCLZC26D</stp>
        <stp>Bid Qty</stp>
        <tr r="D705" s="1"/>
      </tp>
      <tp>
        <v>20</v>
        <stp/>
        <stp>bse_cm|SCLZC26E</stp>
        <stp>Bid Qty</stp>
        <tr r="D900" s="1"/>
      </tp>
      <tp>
        <v>20</v>
        <stp/>
        <stp>bse_cm|SCLZC26F</stp>
        <stp>Bid Qty</stp>
        <tr r="D898" s="1"/>
      </tp>
      <tp>
        <v>9</v>
        <stp/>
        <stp>bse_cm|SCLZC26G</stp>
        <stp>Bid Qty</stp>
        <tr r="D799" s="1"/>
      </tp>
      <tp>
        <v>0</v>
        <stp/>
        <stp>nse_cm|866SFL25-ZE</stp>
        <stp>% Change</stp>
        <tr r="J1389" s="1"/>
      </tp>
      <tp>
        <v>59</v>
        <stp/>
        <stp>bse_cm|ECLZC24B</stp>
        <stp>Bid Qty</stp>
        <tr r="D1767" s="1"/>
      </tp>
      <tp>
        <v>0</v>
        <stp/>
        <stp>bse_cm|MFOPTVI24</stp>
        <stp>Volume Traded Today</stp>
        <tr r="L1547" s="1"/>
      </tp>
      <tp>
        <v>18</v>
        <stp/>
        <stp>bse_cm|SCLZC25A</stp>
        <stp>Bid Qty</stp>
        <tr r="D1233" s="1"/>
      </tp>
      <tp>
        <v>12</v>
        <stp/>
        <stp>bse_cm|SCLZC25B</stp>
        <stp>Bid Qty</stp>
        <tr r="D1540" s="1"/>
      </tp>
      <tp>
        <v>10</v>
        <stp/>
        <stp>bse_cm|SCLZC25C</stp>
        <stp>Bid Qty</stp>
        <tr r="D1231" s="1"/>
      </tp>
      <tp>
        <v>15</v>
        <stp/>
        <stp>bse_cm|SCLZC25D</stp>
        <stp>Bid Qty</stp>
        <tr r="D1573" s="1"/>
      </tp>
      <tp>
        <v>20</v>
        <stp/>
        <stp>bse_cm|SCLZC25E</stp>
        <stp>Bid Qty</stp>
        <tr r="D907" s="1"/>
      </tp>
      <tp>
        <v>14</v>
        <stp/>
        <stp>bse_cm|SCLZC25F</stp>
        <stp>Bid Qty</stp>
        <tr r="D1542" s="1"/>
      </tp>
      <tp>
        <v>-100</v>
        <stp/>
        <stp>nse_cm|850SCL25-YL</stp>
        <stp>% Change</stp>
        <tr r="J922" s="1"/>
      </tp>
      <tp>
        <v>1000</v>
        <stp/>
        <stp>bse_cm|925EFSL25</stp>
        <stp>Face Value</stp>
        <tr r="Q632" s="1"/>
      </tp>
      <tp>
        <v>1000</v>
        <stp/>
        <stp>bse_cm|MFLV29</stp>
        <stp>Face Value</stp>
        <tr r="Q361" s="1"/>
      </tp>
      <tp>
        <v>1000</v>
        <stp/>
        <stp>bse_cm|MFLV27</stp>
        <stp>Face Value</stp>
        <tr r="Q1508" s="1"/>
      </tp>
      <tp>
        <v>0</v>
        <stp/>
        <stp>nse_cm|843SCFL27-YB</stp>
        <stp>High</stp>
        <tr r="N929" s="1"/>
      </tp>
      <tp>
        <v>-100</v>
        <stp/>
        <stp>bse_cm|833SCL24</stp>
        <stp>% Change</stp>
        <tr r="J1180" s="1"/>
      </tp>
      <tp>
        <v>1000</v>
        <stp/>
        <stp>bse_cm|920EFSL26</stp>
        <stp>Face Value</stp>
        <tr r="Q223" s="1"/>
      </tp>
      <tp>
        <v>1000</v>
        <stp/>
        <stp>bse_cm|920EFSL27</stp>
        <stp>Face Value</stp>
        <tr r="Q55" s="1"/>
      </tp>
      <tp>
        <v>100</v>
        <stp/>
        <stp>bse_cm|10ARKA28</stp>
        <stp>Bid Qty</stp>
        <tr r="D1400" s="1"/>
      </tp>
      <tp>
        <v>-100</v>
        <stp/>
        <stp>bse_cm|843SCL27</stp>
        <stp>% Change</stp>
        <tr r="J928" s="1"/>
      </tp>
      <tp>
        <v>0</v>
        <stp/>
        <stp>nse_cm|865SCL24B-Z8</stp>
        <stp>Ask Rate</stp>
        <tr r="F952" s="1"/>
      </tp>
      <tp t="s">
        <v>00:00:00</v>
        <stp/>
        <stp>bse_cm|971SCL28C</stp>
        <stp>LTT</stp>
        <tr r="I827" s="1"/>
      </tp>
      <tp t="s">
        <v>00:00:00</v>
        <stp/>
        <stp>bse_cm|971SCL28B</stp>
        <stp>LTT</stp>
        <tr r="I714" s="1"/>
      </tp>
      <tp t="s">
        <v>00:00:00</v>
        <stp/>
        <stp>bse_cm|971SCL28A</stp>
        <stp>LTT</stp>
        <tr r="I1027" s="1"/>
      </tp>
      <tp>
        <v>0</v>
        <stp/>
        <stp>bse_cm|971SCL28C</stp>
        <stp>LTP</stp>
        <tr r="H827" s="1"/>
      </tp>
      <tp>
        <v>0</v>
        <stp/>
        <stp>bse_cm|971SCL28B</stp>
        <stp>LTP</stp>
        <tr r="H714" s="1"/>
      </tp>
      <tp>
        <v>0</v>
        <stp/>
        <stp>bse_cm|971SCL28A</stp>
        <stp>LTP</stp>
        <tr r="H1027" s="1"/>
      </tp>
      <tp t="s">
        <v>00:00:00</v>
        <stp/>
        <stp>bse_cm|971SCL28I</stp>
        <stp>LTT</stp>
        <tr r="I1471" s="1"/>
      </tp>
      <tp>
        <v>0</v>
        <stp/>
        <stp>bse_cm|971SCL28I</stp>
        <stp>LTP</stp>
        <tr r="H1471" s="1"/>
      </tp>
      <tp t="s">
        <v>00:00:00</v>
        <stp/>
        <stp>bse_cm|971SCL29A</stp>
        <stp>LTT</stp>
        <tr r="I862" s="1"/>
      </tp>
      <tp>
        <v>0</v>
        <stp/>
        <stp>bse_cm|971SCL29A</stp>
        <stp>LTP</stp>
        <tr r="H862" s="1"/>
      </tp>
      <tp>
        <v>1000</v>
        <stp/>
        <stp>bse_cm|92MMFSL27</stp>
        <stp>Face Value</stp>
        <tr r="Q384" s="1"/>
      </tp>
      <tp>
        <v>20</v>
        <stp/>
        <stp>nse_cm|1075SCFL34-Z6</stp>
        <stp>Bid Qty</stp>
        <tr r="D882" s="1"/>
      </tp>
      <tp>
        <v>0</v>
        <stp/>
        <stp>nse_cm|925SCL26D-ZD</stp>
        <stp>Ask Rate</stp>
        <tr r="F1448" s="1"/>
      </tp>
      <tp>
        <v>0</v>
        <stp/>
        <stp>nse_cm|1048IIFL27-N6</stp>
        <stp>Ask Qty</stp>
        <tr r="G997" s="1"/>
      </tp>
      <tp>
        <v>0</v>
        <stp/>
        <stp>nse_cm|CIFCZC28A-N5</stp>
        <stp>Volume Traded Today</stp>
        <tr r="L1559" s="1"/>
      </tp>
      <tp>
        <v>50</v>
        <stp/>
        <stp>nse_cm|IIFLZC28C-N6</stp>
        <stp>Volume Traded Today</stp>
        <tr r="L1656" s="1"/>
      </tp>
      <tp>
        <v>0</v>
        <stp/>
        <stp>nse_cm|IIFLZC25C-N8</stp>
        <stp>Volume Traded Today</stp>
        <tr r="L1748" s="1"/>
      </tp>
      <tp>
        <v>0</v>
        <stp/>
        <stp>nse_cm|CIFCZC26A-N3</stp>
        <stp>Volume Traded Today</stp>
        <tr r="L1565" s="1"/>
      </tp>
      <tp>
        <v>0</v>
        <stp/>
        <stp>nse_cm|CIFCZC25A-N1</stp>
        <stp>Volume Traded Today</stp>
        <tr r="L1730" s="1"/>
      </tp>
      <tp>
        <v>1258</v>
        <stp/>
        <stp>nse_cm|IIFLZC26A-NR</stp>
        <stp>Volume Traded Today</stp>
        <tr r="L1680" s="1"/>
      </tp>
      <tp>
        <v>0</v>
        <stp/>
        <stp>nse_cm|IIFLZC25A-NP</stp>
        <stp>Volume Traded Today</stp>
        <tr r="L1578" s="1"/>
      </tp>
      <tp>
        <v>0</v>
        <stp/>
        <stp>nse_cm|IIFLZC25B-NW</stp>
        <stp>Volume Traded Today</stp>
        <tr r="L1684" s="1"/>
      </tp>
      <tp>
        <v>0</v>
        <stp/>
        <stp>nse_cm|IIFLZC26B-NY</stp>
        <stp>Volume Traded Today</stp>
        <tr r="L1629" s="1"/>
      </tp>
      <tp>
        <v>0</v>
        <stp/>
        <stp>nse_cm|IIFLZC28A-NU</stp>
        <stp>Volume Traded Today</stp>
        <tr r="L1624" s="1"/>
      </tp>
      <tp>
        <v>0</v>
        <stp/>
        <stp>nse_cm|925SCL26C-ZA</stp>
        <stp>Ask Rate</stp>
        <tr r="F724" s="1"/>
      </tp>
      <tp>
        <v>846.2</v>
        <stp/>
        <stp>bse_cm|0SFL29A</stp>
        <stp>Bid Rate</stp>
        <tr r="E1033" s="1"/>
      </tp>
      <tp>
        <v>1000</v>
        <stp/>
        <stp>bse_cm|79IGT28</stp>
        <stp>High</stp>
        <tr r="N1183" s="1"/>
      </tp>
      <tp>
        <v>1025.8</v>
        <stp/>
        <stp>bse_cm|MFLV26E</stp>
        <stp>Ask Rate</stp>
        <tr r="F352" s="1"/>
      </tp>
      <tp t="s">
        <v>INE413U07277</v>
        <stp/>
        <stp>bse_cm|10ISFL26</stp>
        <stp>Isin code</stp>
        <tr r="R1509" s="1"/>
      </tp>
      <tp>
        <v>0</v>
        <stp/>
        <stp>nse_cm|925SCL29A-ZM</stp>
        <stp>Ask Rate</stp>
        <tr r="F1352" s="1"/>
      </tp>
      <tp>
        <v>1010</v>
        <stp/>
        <stp>nse_cm|965SCL26A-ZB</stp>
        <stp>Ask Rate</stp>
        <tr r="F135" s="1"/>
      </tp>
      <tp>
        <v>0</v>
        <stp/>
        <stp>nse_cm|915SCL27A-ZL</stp>
        <stp>Ask Rate</stp>
        <tr r="F966" s="1"/>
      </tp>
      <tp>
        <v>0</v>
        <stp/>
        <stp>nse_cm|1003SCL31-ZQ</stp>
        <stp>High</stp>
        <tr r="N688" s="1"/>
      </tp>
      <tp>
        <v>50</v>
        <stp/>
        <stp>bse_cm|944ONE34</stp>
        <stp>Bid Qty</stp>
        <tr r="D269" s="1"/>
      </tp>
      <tp t="s">
        <v>9ARKA25</v>
        <stp/>
        <stp>bse_cm|9ARKA25</stp>
        <stp>Trading Symbol</stp>
        <tr r="B1365" s="1"/>
      </tp>
      <tp t="s">
        <v>INE148I07GK5</v>
        <stp/>
        <stp>bse_cm|885SCL26</stp>
        <stp>Isin code</stp>
        <tr r="R57" s="1"/>
      </tp>
      <tp t="s">
        <v>INE148I07KN1</v>
        <stp/>
        <stp>bse_cm|889SCL26</stp>
        <stp>Isin code</stp>
        <tr r="R237" s="1"/>
      </tp>
      <tp t="s">
        <v>INE148I07SB9</v>
        <stp/>
        <stp>bse_cm|888SCL26</stp>
        <stp>Isin code</stp>
        <tr r="R915" s="1"/>
      </tp>
      <tp t="s">
        <v>INE148I07GJ7</v>
        <stp/>
        <stp>bse_cm|865SCL26</stp>
        <stp>Isin code</stp>
        <tr r="R627" s="1"/>
      </tp>
      <tp t="s">
        <v>INE148I08231</v>
        <stp/>
        <stp>bse_cm|879SCL26</stp>
        <stp>Isin code</stp>
        <tr r="R1351" s="1"/>
      </tp>
      <tp t="s">
        <v>85PFL26A</v>
        <stp/>
        <stp>nse_cm|85PFL26A-N7</stp>
        <stp>Symbol</stp>
        <tr r="A1519" s="1"/>
      </tp>
      <tp>
        <v>-100</v>
        <stp/>
        <stp>bse_cm|905SC24B</stp>
        <stp>% Change</stp>
        <tr r="J684" s="1"/>
      </tp>
      <tp t="s">
        <v>INE148I07PY7</v>
        <stp/>
        <stp>bse_cm|990SCL26</stp>
        <stp>Isin code</stp>
        <tr r="R421" s="1"/>
      </tp>
      <tp t="s">
        <v>INE148I07SD5</v>
        <stp/>
        <stp>bse_cm|965SCL26</stp>
        <stp>Isin code</stp>
        <tr r="R665" s="1"/>
      </tp>
      <tp t="s">
        <v>INE148I07PX9</v>
        <stp/>
        <stp>bse_cm|940SCL26</stp>
        <stp>Isin code</stp>
        <tr r="R778" s="1"/>
      </tp>
      <tp t="s">
        <v>INE148I07PZ4</v>
        <stp/>
        <stp>bse_cm|948SCL26</stp>
        <stp>Isin code</stp>
        <tr r="R1647" s="1"/>
      </tp>
      <tp t="s">
        <v>INE148I07KM3</v>
        <stp/>
        <stp>bse_cm|925SCL26</stp>
        <stp>Isin code</stp>
        <tr r="R913" s="1"/>
      </tp>
      <tp t="s">
        <v>INE148I07QE7</v>
        <stp/>
        <stp>bse_cm|902SCL26</stp>
        <stp>Isin code</stp>
        <tr r="R969" s="1"/>
      </tp>
      <tp t="s">
        <v>INE148I08256</v>
        <stp/>
        <stp>bse_cm|915SCL26</stp>
        <stp>Isin code</stp>
        <tr r="R148" s="1"/>
      </tp>
      <tp t="s">
        <v>97SFL26A</v>
        <stp/>
        <stp>nse_cm|97SFL26A-NC</stp>
        <stp>Symbol</stp>
        <tr r="A784" s="1"/>
      </tp>
      <tp t="s">
        <v>96SFL24A</v>
        <stp/>
        <stp>nse_cm|96SFL24A-NB</stp>
        <stp>Symbol</stp>
        <tr r="A162" s="1"/>
      </tp>
      <tp t="s">
        <v>00:00:00</v>
        <stp/>
        <stp>bse_cm|980SCL33C</stp>
        <stp>LTT</stp>
        <tr r="I1384" s="1"/>
      </tp>
      <tp t="s">
        <v>00:00:00</v>
        <stp/>
        <stp>bse_cm|980SCL33B</stp>
        <stp>LTT</stp>
        <tr r="I1054" s="1"/>
      </tp>
      <tp t="s">
        <v>00:00:00</v>
        <stp/>
        <stp>bse_cm|980SCL33A</stp>
        <stp>LTT</stp>
        <tr r="I1056" s="1"/>
      </tp>
      <tp>
        <v>0</v>
        <stp/>
        <stp>bse_cm|980SCL33D</stp>
        <stp>LTP</stp>
        <tr r="H1022" s="1"/>
      </tp>
      <tp>
        <v>0</v>
        <stp/>
        <stp>bse_cm|980SCL33C</stp>
        <stp>LTP</stp>
        <tr r="H1384" s="1"/>
      </tp>
      <tp>
        <v>0</v>
        <stp/>
        <stp>bse_cm|980SCL33B</stp>
        <stp>LTP</stp>
        <tr r="H1054" s="1"/>
      </tp>
      <tp>
        <v>0</v>
        <stp/>
        <stp>bse_cm|980SCL33A</stp>
        <stp>LTP</stp>
        <tr r="H1056" s="1"/>
      </tp>
      <tp t="s">
        <v>00:00:00</v>
        <stp/>
        <stp>bse_cm|980SCL33D</stp>
        <stp>LTT</stp>
        <tr r="I1022" s="1"/>
      </tp>
      <tp t="s">
        <v>9IIFL28A</v>
        <stp/>
        <stp>nse_cm|9IIFL28A-NT</stp>
        <stp>Symbol</stp>
        <tr r="A80" s="1"/>
      </tp>
      <tp>
        <v>1014.25</v>
        <stp/>
        <stp>bse_cm|99AEL29</stp>
        <stp>High</stp>
        <tr r="N243" s="1"/>
      </tp>
      <tp>
        <v>600</v>
        <stp/>
        <stp>bse_cm|941ONE26</stp>
        <stp>Bid Qty</stp>
        <tr r="D263" s="1"/>
      </tp>
      <tp>
        <v>20</v>
        <stp/>
        <stp>bse_cm|792TCH25</stp>
        <stp>Bid Qty</stp>
        <tr r="D1188" s="1"/>
      </tp>
      <tp t="s">
        <v>INE302E07540</v>
        <stp/>
        <stp>bse_cm|925SFL26</stp>
        <stp>Isin code</stp>
        <tr r="R850" s="1"/>
      </tp>
      <tp t="s">
        <v>INE721A07PA8</v>
        <stp/>
        <stp>bse_cm|931SFL26</stp>
        <stp>Isin code</stp>
        <tr r="R1492" s="1"/>
      </tp>
      <tp>
        <v>0</v>
        <stp/>
        <stp>bse_cm|931SFL26A</stp>
        <stp>LTP</stp>
        <tr r="H1086" s="1"/>
      </tp>
      <tp t="s">
        <v>00:00:00</v>
        <stp/>
        <stp>bse_cm|931SFL26A</stp>
        <stp>LTT</stp>
        <tr r="I1086" s="1"/>
      </tp>
      <tp>
        <v>0</v>
        <stp/>
        <stp>nse_cm|955SCL27A-ZJ</stp>
        <stp>Ask Rate</stp>
        <tr r="F1437" s="1"/>
      </tp>
      <tp>
        <v>990</v>
        <stp/>
        <stp>bse_cm|89MFL26</stp>
        <stp>High</stp>
        <tr r="N250" s="1"/>
      </tp>
      <tp>
        <v>0</v>
        <stp/>
        <stp>bse_cm|1150CCIL29</stp>
        <stp>Open</stp>
        <tr r="M424" s="1"/>
      </tp>
      <tp>
        <v>0</v>
        <stp/>
        <stp>nse_cm|875SCFL27-Y9</stp>
        <stp xml:space="preserve">Low </stp>
        <tr r="O927" s="1"/>
      </tp>
      <tp>
        <v>987.76</v>
        <stp/>
        <stp>bse_cm|99SCL27</stp>
        <stp>High</stp>
        <tr r="N1169" s="1"/>
      </tp>
      <tp>
        <v>0</v>
        <stp/>
        <stp>nse_cm|892NHPC33-N6</stp>
        <stp>Open</stp>
        <tr r="M534" s="1"/>
      </tp>
      <tp t="s">
        <v>BSE</v>
        <stp/>
        <stp>bse_cm|CAGL25A</stp>
        <stp>Exchange</stp>
        <tr r="C1701" s="1"/>
      </tp>
      <tp>
        <v>0</v>
        <stp/>
        <stp>bse_cm|105UCL2026</stp>
        <stp>Open</stp>
        <tr r="M319" s="1"/>
      </tp>
      <tp>
        <v>0</v>
        <stp/>
        <stp>bse_cm|1150CCIL28</stp>
        <stp>Open</stp>
        <tr r="M460" s="1"/>
      </tp>
      <tp>
        <v>65</v>
        <stp/>
        <stp>bse_cm|714REC25</stp>
        <stp>Ask Qty</stp>
        <tr r="G518" s="1"/>
      </tp>
      <tp>
        <v>0</v>
        <stp/>
        <stp>bse_cm|845LTF24</stp>
        <stp>Ask Qty</stp>
        <tr r="G943" s="1"/>
      </tp>
      <tp>
        <v>0</v>
        <stp/>
        <stp>bse_cm|115ICLFL25</stp>
        <stp>Open</stp>
        <tr r="M1223" s="1"/>
      </tp>
      <tp>
        <v>0</v>
        <stp/>
        <stp>bse_cm|98SCL34</stp>
        <stp>High</stp>
        <tr r="N1053" s="1"/>
      </tp>
      <tp>
        <v>0</v>
        <stp/>
        <stp>bse_cm|89SCL24</stp>
        <stp>High</stp>
        <tr r="N1153" s="1"/>
      </tp>
      <tp>
        <v>98</v>
        <stp/>
        <stp>nse_cm|IIFLZC28B-Y1</stp>
        <stp>Volume Traded Today</stp>
        <tr r="L1491" s="1"/>
      </tp>
      <tp>
        <v>0</v>
        <stp/>
        <stp>nse_cm|1025ICCL26-NT</stp>
        <stp>Bid Qty</stp>
        <tr r="D771" s="1"/>
      </tp>
      <tp>
        <v>0.11</v>
        <stp/>
        <stp>bse_cm|9SCL26BA</stp>
        <stp>% Change</stp>
        <tr r="J160" s="1"/>
      </tp>
      <tp>
        <v>0</v>
        <stp/>
        <stp>nse_cm|1077IIFL30-N7</stp>
        <stp>Bid Qty</stp>
        <tr r="D996" s="1"/>
      </tp>
      <tp t="s">
        <v>BSE</v>
        <stp/>
        <stp>bse_cm|KFLZC2A</stp>
        <stp>Exchange</stp>
        <tr r="C1760" s="1"/>
      </tp>
      <tp>
        <v>0</v>
        <stp/>
        <stp>bse_cm|10SMCGSL26</stp>
        <stp>Open</stp>
        <tr r="M138" s="1"/>
      </tp>
      <tp t="s">
        <v>BSE</v>
        <stp/>
        <stp>bse_cm|0MML29A</stp>
        <stp>Exchange</stp>
        <tr r="C1040" s="1"/>
      </tp>
      <tp>
        <v>1026.45</v>
        <stp/>
        <stp>bse_cm|EFSL26D</stp>
        <stp>Ask Rate</stp>
        <tr r="F1617" s="1"/>
      </tp>
      <tp>
        <v>1076.55</v>
        <stp/>
        <stp>bse_cm|EFSL26C</stp>
        <stp>Ask Rate</stp>
        <tr r="F1650" s="1"/>
      </tp>
      <tp>
        <v>0</v>
        <stp/>
        <stp>bse_cm|CCIL110324</stp>
        <stp>Open</stp>
        <tr r="M754" s="1"/>
      </tp>
      <tp>
        <v>0</v>
        <stp/>
        <stp>bse_cm|1050CCIL25</stp>
        <stp>Open</stp>
        <tr r="M2" s="1"/>
      </tp>
      <tp>
        <v>0</v>
        <stp/>
        <stp>bse_cm|1075CCIL25</stp>
        <stp>Open</stp>
        <tr r="M1121" s="1"/>
      </tp>
      <tp>
        <v>0</v>
        <stp/>
        <stp>bse_cm|125ICLFL28</stp>
        <stp>Open</stp>
        <tr r="M264" s="1"/>
      </tp>
      <tp>
        <v>0</v>
        <stp/>
        <stp>bse_cm|EFSL26B</stp>
        <stp>Ask Rate</stp>
        <tr r="F1564" s="1"/>
      </tp>
      <tp>
        <v>1000</v>
        <stp/>
        <stp>bse_cm|SFL25B</stp>
        <stp>Face Value</stp>
        <tr r="Q1433" s="1"/>
      </tp>
      <tp>
        <v>1000</v>
        <stp/>
        <stp>bse_cm|SFL25A</stp>
        <stp>Face Value</stp>
        <tr r="Q812" s="1"/>
      </tp>
      <tp>
        <v>1000</v>
        <stp/>
        <stp>bse_cm|SCL25B</stp>
        <stp>Face Value</stp>
        <tr r="Q1544" s="1"/>
      </tp>
      <tp>
        <v>1000</v>
        <stp/>
        <stp>bse_cm|SCL25A</stp>
        <stp>Face Value</stp>
        <tr r="Q1238" s="1"/>
      </tp>
      <tp>
        <v>1000</v>
        <stp/>
        <stp>bse_cm|SCL24A</stp>
        <stp>Face Value</stp>
        <tr r="Q1749" s="1"/>
      </tp>
      <tp>
        <v>1000</v>
        <stp/>
        <stp>bse_cm|SFL27A</stp>
        <stp>Face Value</stp>
        <tr r="Q804" s="1"/>
      </tp>
      <tp>
        <v>1000</v>
        <stp/>
        <stp>bse_cm|SFL26A</stp>
        <stp>Face Value</stp>
        <tr r="Q810" s="1"/>
      </tp>
      <tp>
        <v>1000</v>
        <stp/>
        <stp>bse_cm|KFL28D</stp>
        <stp>Face Value</stp>
        <tr r="Q1299" s="1"/>
      </tp>
      <tp>
        <v>1000</v>
        <stp/>
        <stp>bse_cm|IML28C</stp>
        <stp>Face Value</stp>
        <tr r="Q1648" s="1"/>
      </tp>
      <tp>
        <v>1000</v>
        <stp/>
        <stp>bse_cm|MFL29A</stp>
        <stp>Face Value</stp>
        <tr r="Q1380" s="1"/>
      </tp>
      <tp>
        <v>1000</v>
        <stp/>
        <stp>bse_cm|MML28A</stp>
        <stp>Face Value</stp>
        <tr r="Q1249" s="1"/>
      </tp>
      <tp>
        <v>1000</v>
        <stp/>
        <stp>bse_cm|MFL28B</stp>
        <stp>Face Value</stp>
        <tr r="Q1277" s="1"/>
      </tp>
      <tp>
        <v>1000</v>
        <stp/>
        <stp>bse_cm|MFL28A</stp>
        <stp>Face Value</stp>
        <tr r="Q1620" s="1"/>
      </tp>
      <tp>
        <v>1000</v>
        <stp/>
        <stp>bse_cm|MFL28D</stp>
        <stp>Face Value</stp>
        <tr r="Q1276" s="1"/>
      </tp>
      <tp>
        <v>1000</v>
        <stp/>
        <stp>bse_cm|MFL26Z</stp>
        <stp>Face Value</stp>
        <tr r="Q1655" s="1"/>
      </tp>
      <tp>
        <v>1000</v>
        <stp/>
        <stp>bse_cm|MML26A</stp>
        <stp>Face Value</stp>
        <tr r="Q1642" s="1"/>
      </tp>
      <tp>
        <v>1000</v>
        <stp/>
        <stp>bse_cm|MFL26B</stp>
        <stp>Face Value</stp>
        <tr r="Q1280" s="1"/>
      </tp>
      <tp>
        <v>1000</v>
        <stp/>
        <stp>bse_cm|MFL26C</stp>
        <stp>Face Value</stp>
        <tr r="Q1669" s="1"/>
      </tp>
      <tp>
        <v>1000</v>
        <stp/>
        <stp>bse_cm|MFL26A</stp>
        <stp>Face Value</stp>
        <tr r="Q1557" s="1"/>
      </tp>
      <tp>
        <v>1000</v>
        <stp/>
        <stp>bse_cm|MFL26F</stp>
        <stp>Face Value</stp>
        <tr r="Q1278" s="1"/>
      </tp>
      <tp>
        <v>1000</v>
        <stp/>
        <stp>bse_cm|MFL26D</stp>
        <stp>Face Value</stp>
        <tr r="Q1279" s="1"/>
      </tp>
      <tp>
        <v>1000</v>
        <stp/>
        <stp>bse_cm|MFL26E</stp>
        <stp>Face Value</stp>
        <tr r="Q1533" s="1"/>
      </tp>
      <tp>
        <v>1000</v>
        <stp/>
        <stp>bse_cm|MML25A</stp>
        <stp>Face Value</stp>
        <tr r="Q1252" s="1"/>
      </tp>
      <tp>
        <v>1000</v>
        <stp/>
        <stp>bse_cm|MML25C</stp>
        <stp>Face Value</stp>
        <tr r="Q1251" s="1"/>
      </tp>
      <tp>
        <v>1000</v>
        <stp/>
        <stp>bse_cm|MML25B</stp>
        <stp>Face Value</stp>
        <tr r="Q1498" s="1"/>
      </tp>
      <tp>
        <v>1000</v>
        <stp/>
        <stp>bse_cm|MFL25B</stp>
        <stp>Face Value</stp>
        <tr r="Q1667" s="1"/>
      </tp>
      <tp>
        <v>1000</v>
        <stp/>
        <stp>bse_cm|MFL25C</stp>
        <stp>Face Value</stp>
        <tr r="Q1571" s="1"/>
      </tp>
      <tp>
        <v>1000</v>
        <stp/>
        <stp>bse_cm|MFL25A</stp>
        <stp>Face Value</stp>
        <tr r="Q1692" s="1"/>
      </tp>
      <tp>
        <v>1000</v>
        <stp/>
        <stp>bse_cm|MFL25D</stp>
        <stp>Face Value</stp>
        <tr r="Q1705" s="1"/>
      </tp>
      <tp>
        <v>1000</v>
        <stp/>
        <stp>bse_cm|MFL25E</stp>
        <stp>Face Value</stp>
        <tr r="Q1664" s="1"/>
      </tp>
      <tp>
        <v>1000</v>
        <stp/>
        <stp>bse_cm|MML24A</stp>
        <stp>Face Value</stp>
        <tr r="Q1254" s="1"/>
      </tp>
      <tp>
        <v>1000</v>
        <stp/>
        <stp>bse_cm|MFL24B</stp>
        <stp>Face Value</stp>
        <tr r="Q1756" s="1"/>
      </tp>
      <tp>
        <v>1000</v>
        <stp/>
        <stp>bse_cm|MFL24A</stp>
        <stp>Face Value</stp>
        <tr r="Q1759" s="1"/>
      </tp>
      <tp>
        <v>1000</v>
        <stp/>
        <stp>bse_cm|KFL25B</stp>
        <stp>Face Value</stp>
        <tr r="Q1308" s="1"/>
      </tp>
      <tp>
        <v>1000</v>
        <stp/>
        <stp>bse_cm|KFL25C</stp>
        <stp>Face Value</stp>
        <tr r="Q1307" s="1"/>
      </tp>
      <tp>
        <v>1000</v>
        <stp/>
        <stp>bse_cm|KFL25A</stp>
        <stp>Face Value</stp>
        <tr r="Q1703" s="1"/>
      </tp>
      <tp>
        <v>1000</v>
        <stp/>
        <stp>bse_cm|MFL23A</stp>
        <stp>Face Value</stp>
        <tr r="Q1560" s="1"/>
      </tp>
      <tp>
        <v>1000</v>
        <stp/>
        <stp>bse_cm|KFL25D</stp>
        <stp>Face Value</stp>
        <tr r="Q1688" s="1"/>
      </tp>
      <tp>
        <v>1000</v>
        <stp/>
        <stp>bse_cm|KFL27B</stp>
        <stp>Face Value</stp>
        <tr r="Q1301" s="1"/>
      </tp>
      <tp>
        <v>1000</v>
        <stp/>
        <stp>bse_cm|KFL27C</stp>
        <stp>Face Value</stp>
        <tr r="Q1300" s="1"/>
      </tp>
      <tp>
        <v>1000</v>
        <stp/>
        <stp>bse_cm|KFL27A</stp>
        <stp>Face Value</stp>
        <tr r="Q1302" s="1"/>
      </tp>
      <tp>
        <v>1000</v>
        <stp/>
        <stp>bse_cm|KFL26B</stp>
        <stp>Face Value</stp>
        <tr r="Q1305" s="1"/>
      </tp>
      <tp>
        <v>1000</v>
        <stp/>
        <stp>bse_cm|KFL26C</stp>
        <stp>Face Value</stp>
        <tr r="Q1304" s="1"/>
      </tp>
      <tp>
        <v>1000</v>
        <stp/>
        <stp>bse_cm|KFL26A</stp>
        <stp>Face Value</stp>
        <tr r="Q1372" s="1"/>
      </tp>
      <tp>
        <v>0</v>
        <stp/>
        <stp>bse_cm|1075CCIL26</stp>
        <stp>Open</stp>
        <tr r="M1120" s="1"/>
      </tp>
      <tp>
        <v>0</v>
        <stp/>
        <stp>bse_cm|EFSL26A</stp>
        <stp>Ask Rate</stp>
        <tr r="F1567" s="1"/>
      </tp>
      <tp>
        <v>500</v>
        <stp/>
        <stp>bse_cm|718REC35</stp>
        <stp>Ask Qty</stp>
        <tr r="G549" s="1"/>
      </tp>
      <tp t="s">
        <v>NSE</v>
        <stp/>
        <stp>nse_cm|971SCL29A-ZN</stp>
        <stp>Exchange</stp>
        <tr r="C861" s="1"/>
      </tp>
      <tp>
        <v>1000</v>
        <stp/>
        <stp>bse_cm|KFL30A</stp>
        <stp>Face Value</stp>
        <tr r="Q1592" s="1"/>
      </tp>
      <tp>
        <v>1000</v>
        <stp/>
        <stp>bse_cm|MFL31A</stp>
        <stp>Face Value</stp>
        <tr r="Q1275" s="1"/>
      </tp>
      <tp>
        <v>1000</v>
        <stp/>
        <stp>bse_cm|MFL30A</stp>
        <stp>Face Value</stp>
        <tr r="Q1370" s="1"/>
      </tp>
      <tp>
        <v>0</v>
        <stp/>
        <stp>bse_cm|1225ICLF26</stp>
        <stp>Ask Qty</stp>
        <tr r="G1217" s="1"/>
      </tp>
      <tp>
        <v>0</v>
        <stp/>
        <stp>bse_cm|1175ICLF25</stp>
        <stp>Ask Qty</stp>
        <tr r="G1222" s="1"/>
      </tp>
      <tp>
        <v>1000</v>
        <stp/>
        <stp>nse_cm|0MOFSL26-N1</stp>
        <stp>Prev Close</stp>
        <tr r="P1644" s="1"/>
      </tp>
      <tp>
        <v>1040</v>
        <stp/>
        <stp>nse_cm|10IFSL26-N7</stp>
        <stp>Prev Close</stp>
        <tr r="P293" s="1"/>
      </tp>
      <tp>
        <v>1000</v>
        <stp/>
        <stp>nse_cm|980SCL33-NX</stp>
        <stp>Face Value</stp>
        <tr r="Q360" s="1"/>
      </tp>
      <tp t="s">
        <v>BSE</v>
        <stp/>
        <stp>bse_cm|CIFCZC26A</stp>
        <stp>Exchange</stp>
        <tr r="C737" s="1"/>
      </tp>
      <tp>
        <v>0</v>
        <stp/>
        <stp>bse_cm|0SMCGSL27</stp>
        <stp>Ask Rate</stp>
        <tr r="F1532" s="1"/>
      </tp>
      <tp>
        <v>1020</v>
        <stp/>
        <stp>bse_cm|970CAGL28</stp>
        <stp>Ask Rate</stp>
        <tr r="F292" s="1"/>
      </tp>
      <tp>
        <v>999.8</v>
        <stp/>
        <stp>bse_cm|0SMCGSL26</stp>
        <stp>Ask Rate</stp>
        <tr r="F589" s="1"/>
      </tp>
      <tp>
        <v>0</v>
        <stp/>
        <stp>bse_cm|85PCHFL26</stp>
        <stp>Ask Rate</stp>
        <tr r="F713" s="1"/>
      </tp>
      <tp>
        <v>0</v>
        <stp/>
        <stp>bse_cm|830CIFC26</stp>
        <stp>Ask Rate</stp>
        <tr r="F1013" s="1"/>
      </tp>
      <tp t="s">
        <v>1049DLS25A</v>
        <stp/>
        <stp>bse_cm|1049DLS25A</stp>
        <stp>Trading Symbol</stp>
        <tr r="B119" s="1"/>
      </tp>
      <tp>
        <v>987.5</v>
        <stp/>
        <stp>nse_cm|10IIFL29-N6</stp>
        <stp>Prev Close</stp>
        <tr r="P193" s="1"/>
      </tp>
      <tp>
        <v>1100</v>
        <stp/>
        <stp>bse_cm|115CCIL28</stp>
        <stp>Ask Rate</stp>
        <tr r="F382" s="1"/>
      </tp>
      <tp t="s">
        <v>1045EFS33B</v>
        <stp/>
        <stp>bse_cm|1045EFS33B</stp>
        <stp>Trading Symbol</stp>
        <tr r="B117" s="1"/>
      </tp>
      <tp t="s">
        <v>1045EFS33A</v>
        <stp/>
        <stp>bse_cm|1045EFS33A</stp>
        <stp>Trading Symbol</stp>
        <tr r="B95" s="1"/>
      </tp>
      <tp t="s">
        <v>1045EFS34A</v>
        <stp/>
        <stp>bse_cm|1045EFS34A</stp>
        <stp>Trading Symbol</stp>
        <tr r="B1029" s="1"/>
      </tp>
      <tp>
        <v>1175</v>
        <stp/>
        <stp>bse_cm|12ICLFL26</stp>
        <stp>Ask Rate</stp>
        <tr r="F547" s="1"/>
      </tp>
      <tp>
        <v>1012</v>
        <stp/>
        <stp>bse_cm|11ICLFL25</stp>
        <stp>Ask Rate</stp>
        <tr r="F452" s="1"/>
      </tp>
      <tp>
        <v>1005.2</v>
        <stp/>
        <stp>bse_cm|925CAGL26</stp>
        <stp>Ask Rate</stp>
        <tr r="F294" s="1"/>
      </tp>
      <tp>
        <v>1000</v>
        <stp/>
        <stp>bse_cm|940CAGL27</stp>
        <stp>Ask Rate</stp>
        <tr r="F261" s="1"/>
      </tp>
      <tp>
        <v>983</v>
        <stp/>
        <stp>bse_cm|950CCIL25</stp>
        <stp>Ask Rate</stp>
        <tr r="F99" s="1"/>
      </tp>
      <tp>
        <v>1006</v>
        <stp/>
        <stp>bse_cm|945CAGL24</stp>
        <stp>Ask Rate</stp>
        <tr r="F566" s="1"/>
      </tp>
      <tp t="s">
        <v>EFS290424A</v>
        <stp/>
        <stp>bse_cm|EFS290424A</stp>
        <stp>Trading Symbol</stp>
        <tr r="B571" s="1"/>
      </tp>
      <tp>
        <v>1014</v>
        <stp/>
        <stp>nse_cm|86CIFC29-NN</stp>
        <stp>Prev Close</stp>
        <tr r="P1340" s="1"/>
      </tp>
      <tp>
        <v>1012</v>
        <stp/>
        <stp>bse_cm|960CAGL25</stp>
        <stp>Ask Rate</stp>
        <tr r="F347" s="1"/>
      </tp>
      <tp>
        <v>1009.8</v>
        <stp/>
        <stp>bse_cm|910CAGL25</stp>
        <stp>Ask Rate</stp>
        <tr r="F351" s="1"/>
      </tp>
      <tp t="s">
        <v>INE530B08094</v>
        <stp/>
        <stp>bse_cm|10IIFL28A</stp>
        <stp>Isin code</stp>
        <tr r="R101" s="1"/>
      </tp>
      <tp t="s">
        <v>INE01I507968</v>
        <stp/>
        <stp>bse_cm|10KAFL26A</stp>
        <stp>Isin code</stp>
        <tr r="R1095" s="1"/>
      </tp>
      <tp t="s">
        <v>1050EFSL29</v>
        <stp/>
        <stp>bse_cm|1050EFSL29</stp>
        <stp>Trading Symbol</stp>
        <tr r="B1484" s="1"/>
      </tp>
      <tp>
        <v>1010</v>
        <stp/>
        <stp>bse_cm|1119NFL27</stp>
        <stp>High</stp>
        <tr r="N1140" s="1"/>
      </tp>
      <tp t="s">
        <v>INE0H7R07025</v>
        <stp/>
        <stp>nse_cm|79NHIT40-N2</stp>
        <stp>Isin code</stp>
        <tr r="R1587" s="1"/>
      </tp>
      <tp t="s">
        <v>INE219X07280</v>
        <stp/>
        <stp>nse_cm|797IGT31-NL</stp>
        <stp>Isin code</stp>
        <tr r="R374" s="1"/>
      </tp>
      <tp>
        <v>905</v>
        <stp/>
        <stp>bse_cm|971SCL29A</stp>
        <stp>Bid Rate</stp>
        <tr r="E862" s="1"/>
      </tp>
      <tp>
        <v>765</v>
        <stp/>
        <stp>bse_cm|925SCL29A</stp>
        <stp>Bid Rate</stp>
        <tr r="E268" s="1"/>
      </tp>
      <tp t="s">
        <v>INE05F407CG3</v>
        <stp/>
        <stp>bse_cm|0MML27524</stp>
        <stp>Isin code</stp>
        <tr r="R1042" s="1"/>
      </tp>
      <tp t="s">
        <v>INE498L07012</v>
        <stp/>
        <stp>nse_cm|815LTF27-NO</stp>
        <stp>Isin code</stp>
        <tr r="R1001" s="1"/>
      </tp>
      <tp t="s">
        <v>1025SCFL34-Z5</v>
        <stp/>
        <stp>nse_cm|1025SCFL34-Z5</stp>
        <stp>Trading Symbol</stp>
        <tr r="B880" s="1"/>
      </tp>
      <tp t="s">
        <v>1075SCFL34-Z6</v>
        <stp/>
        <stp>nse_cm|1075SCFL34-Z6</stp>
        <stp>Trading Symbol</stp>
        <tr r="B882" s="1"/>
      </tp>
      <tp t="s">
        <v>93SCL25-ZH</v>
        <stp/>
        <stp>nse_cm|93SCL25-ZH</stp>
        <stp>Trading Symbol</stp>
        <tr r="B961" s="1"/>
      </tp>
      <tp t="s">
        <v>87SCL25-ZV</v>
        <stp/>
        <stp>nse_cm|87SCL25-ZV</stp>
        <stp>Trading Symbol</stp>
        <tr r="B979" s="1"/>
      </tp>
      <tp t="s">
        <v>88SCL25-ZG</v>
        <stp/>
        <stp>nse_cm|88SCL25-ZG</stp>
        <stp>Trading Symbol</stp>
        <tr r="B960" s="1"/>
      </tp>
      <tp t="s">
        <v>96SCL25-AA</v>
        <stp/>
        <stp>nse_cm|96SCL25-AA</stp>
        <stp>Trading Symbol</stp>
        <tr r="B1067" s="1"/>
      </tp>
      <tp t="s">
        <v>INE148I07SF0</v>
        <stp/>
        <stp>bse_cm|0SCL26</stp>
        <stp>Isin code</stp>
        <tr r="R1359" s="1"/>
      </tp>
      <tp t="s">
        <v>INE140A07757</v>
        <stp/>
        <stp>bse_cm|9PEL25</stp>
        <stp>Isin code</stp>
        <tr r="R315" s="1"/>
      </tp>
      <tp t="s">
        <v>BSE</v>
        <stp/>
        <stp>bse_cm|ICLFLZC29</stp>
        <stp>Exchange</stp>
        <tr r="C1613" s="1"/>
      </tp>
      <tp t="s">
        <v>INE302E07763</v>
        <stp/>
        <stp>bse_cm|0SFL26</stp>
        <stp>Isin code</stp>
        <tr r="R703" s="1"/>
      </tp>
      <tp t="s">
        <v>INE302E07441</v>
        <stp/>
        <stp>bse_cm|9SFL26</stp>
        <stp>Isin code</stp>
        <tr r="R1066" s="1"/>
      </tp>
      <tp t="s">
        <v>BSE</v>
        <stp/>
        <stp>bse_cm|975MFL29A</stp>
        <stp>Exchange</stp>
        <tr r="C854" s="1"/>
      </tp>
      <tp t="s">
        <v>INE721A07NU1</v>
        <stp/>
        <stp>nse_cm|903SFL28-YI</stp>
        <stp>Isin code</stp>
        <tr r="R372" s="1"/>
      </tp>
      <tp t="s">
        <v>INE148I07SD5</v>
        <stp/>
        <stp>nse_cm|965SCL26-YO</stp>
        <stp>Isin code</stp>
        <tr r="R146" s="1"/>
      </tp>
      <tp t="s">
        <v>INE148I08231</v>
        <stp/>
        <stp>nse_cm|879SCL26-NC</stp>
        <stp>Isin code</stp>
        <tr r="R720" s="1"/>
      </tp>
      <tp t="s">
        <v>INE413U07277</v>
        <stp/>
        <stp>nse_cm|10ISFL26-N3</stp>
        <stp>Isin code</stp>
        <tr r="R1527" s="1"/>
      </tp>
      <tp>
        <v>0</v>
        <stp/>
        <stp>nse_cm|SCL25A-BH</stp>
        <stp>Ask Rate</stp>
        <tr r="F1237" s="1"/>
      </tp>
      <tp>
        <v>0</v>
        <stp/>
        <stp>nse_cm|SCL25B-BI</stp>
        <stp>Ask Rate</stp>
        <tr r="F1403" s="1"/>
      </tp>
      <tp t="s">
        <v>872MMFSL26-N1</v>
        <stp/>
        <stp>nse_cm|872MMFSL26-N1</stp>
        <stp>Trading Symbol</stp>
        <tr r="B404" s="1"/>
      </tp>
      <tp>
        <v>0</v>
        <stp/>
        <stp>bse_cm|905MFL28A</stp>
        <stp>Volume Traded Today</stp>
        <tr r="L224" s="1"/>
      </tp>
      <tp>
        <v>-100</v>
        <stp/>
        <stp>bse_cm|852LTF27</stp>
        <stp>% Change</stp>
        <tr r="J983" s="1"/>
      </tp>
      <tp>
        <v>1000</v>
        <stp/>
        <stp>bse_cm|0MML27</stp>
        <stp>Face Value</stp>
        <tr r="Q1043" s="1"/>
      </tp>
      <tp>
        <v>1000</v>
        <stp/>
        <stp>bse_cm|0MML29</stp>
        <stp>Face Value</stp>
        <tr r="Q1041" s="1"/>
      </tp>
      <tp>
        <v>1000</v>
        <stp/>
        <stp>bse_cm|9IML25</stp>
        <stp>Face Value</stp>
        <tr r="Q588" s="1"/>
      </tp>
      <tp>
        <v>0</v>
        <stp/>
        <stp>bse_cm|975MFL29A</stp>
        <stp>Volume Traded Today</stp>
        <tr r="L854" s="1"/>
      </tp>
      <tp>
        <v>-100</v>
        <stp/>
        <stp>bse_cm|922ONE25</stp>
        <stp>% Change</stp>
        <tr r="J1111" s="1"/>
      </tp>
      <tp>
        <v>1111</v>
        <stp/>
        <stp>nse_cm|769NHAI31-NE</stp>
        <stp>Open</stp>
        <tr r="M461" s="1"/>
      </tp>
      <tp>
        <v>0</v>
        <stp/>
        <stp>nse_cm|863IRFC29-NC</stp>
        <stp>Open</stp>
        <tr r="M554" s="1"/>
      </tp>
      <tp>
        <v>1000</v>
        <stp/>
        <stp>nse_cm|925SCL25Z-NE</stp>
        <stp>Prev Close</stp>
        <tr r="P914" s="1"/>
      </tp>
      <tp>
        <v>1009</v>
        <stp/>
        <stp>nse_cm|9PCHFL31A-NA</stp>
        <stp>Open</stp>
        <tr r="M435" s="1"/>
      </tp>
      <tp>
        <v>10</v>
        <stp/>
        <stp>nse_cm|774IREDA31-N7</stp>
        <stp>Bid Qty</stp>
        <tr r="D18" s="1"/>
      </tp>
      <tp>
        <v>-100</v>
        <stp/>
        <stp>nse_cm|843SCL27-YS</stp>
        <stp>% Change</stp>
        <tr r="J944" s="1"/>
      </tp>
      <tp>
        <v>0</v>
        <stp/>
        <stp>nse_cm|940SCL27-YS</stp>
        <stp>% Change</stp>
        <tr r="J842" s="1"/>
      </tp>
      <tp>
        <v>1155.05</v>
        <stp/>
        <stp>bse_cm|865IRFC29</stp>
        <stp>Prev Close</stp>
        <tr r="P501" s="1"/>
      </tp>
      <tp>
        <v>1098.67</v>
        <stp/>
        <stp>bse_cm|764IRFC31</stp>
        <stp>Prev Close</stp>
        <tr r="P466" s="1"/>
      </tp>
      <tp>
        <v>0</v>
        <stp/>
        <stp>bse_cm|925KFL26A</stp>
        <stp>Volume Traded Today</stp>
        <tr r="L1479" s="1"/>
      </tp>
      <tp>
        <v>0</v>
        <stp/>
        <stp>bse_cm|875KFL26A</stp>
        <stp>Volume Traded Today</stp>
        <tr r="L1155" s="1"/>
      </tp>
      <tp>
        <v>1</v>
        <stp/>
        <stp>bse_cm|995ECL29A</stp>
        <stp>Volume Traded Today</stp>
        <tr r="L152" s="1"/>
      </tp>
      <tp t="s">
        <v>BSE</v>
        <stp/>
        <stp>bse_cm|MFLZC32</stp>
        <stp>Exchange</stp>
        <tr r="C1266" s="1"/>
      </tp>
      <tp t="s">
        <v>NSE</v>
        <stp/>
        <stp>nse_cm|9TCAP28-N9</stp>
        <stp>Exchange</stp>
        <tr r="C544" s="1"/>
      </tp>
      <tp>
        <v>1010.2</v>
        <stp/>
        <stp>bse_cm|965SCFL25</stp>
        <stp>Prev Close</stp>
        <tr r="P1106" s="1"/>
      </tp>
      <tp>
        <v>924</v>
        <stp/>
        <stp>bse_cm|865IIFL28</stp>
        <stp>Prev Close</stp>
        <tr r="P75" s="1"/>
      </tp>
      <tp>
        <v>995</v>
        <stp/>
        <stp>bse_cm|935MFCL29</stp>
        <stp>Prev Close</stp>
        <tr r="P239" s="1"/>
      </tp>
      <tp>
        <v>940</v>
        <stp/>
        <stp>bse_cm|995NWIL32</stp>
        <stp>Prev Close</stp>
        <tr r="P1023" s="1"/>
      </tp>
      <tp t="s">
        <v>09:38:08</v>
        <stp/>
        <stp>bse_cm|10EFS33</stp>
        <stp>LTT</stp>
        <tr r="I112" s="1"/>
      </tp>
      <tp>
        <v>921</v>
        <stp/>
        <stp>bse_cm|10EFS33</stp>
        <stp>LTP</stp>
        <tr r="H112" s="1"/>
      </tp>
      <tp t="s">
        <v>BSE</v>
        <stp/>
        <stp>bse_cm|KFLZC31</stp>
        <stp>Exchange</stp>
        <tr r="C1286" s="1"/>
      </tp>
      <tp>
        <v>0</v>
        <stp/>
        <stp>nse_cm|875PCHFL31-N9</stp>
        <stp>Ask Qty</stp>
        <tr r="G1012" s="1"/>
      </tp>
      <tp>
        <v>10</v>
        <stp/>
        <stp>nse_cm|875PCHFL26-N8</stp>
        <stp>Ask Qty</stp>
        <tr r="G271" s="1"/>
      </tp>
      <tp>
        <v>981.45</v>
        <stp/>
        <stp>bse_cm|866SCFL25</stp>
        <stp>Prev Close</stp>
        <tr r="P342" s="1"/>
      </tp>
      <tp>
        <v>980</v>
        <stp/>
        <stp>bse_cm|MFCL16924</stp>
        <stp>Prev Close</stp>
        <tr r="P579" s="1"/>
      </tp>
      <tp>
        <v>0</v>
        <stp/>
        <stp>bse_cm|875KFL25A</stp>
        <stp>Volume Traded Today</stp>
        <tr r="L1157" s="1"/>
      </tp>
      <tp>
        <v>0</v>
        <stp/>
        <stp>nse_cm|948SCL27-YV</stp>
        <stp>% Change</stp>
        <tr r="J127" s="1"/>
      </tp>
      <tp t="s">
        <v>BSE</v>
        <stp/>
        <stp>bse_cm|MFLZC30</stp>
        <stp>Exchange</stp>
        <tr r="C1267" s="1"/>
      </tp>
      <tp>
        <v>0</v>
        <stp/>
        <stp>bse_cm|975MFL24B</stp>
        <stp>Volume Traded Today</stp>
        <tr r="L415" s="1"/>
      </tp>
      <tp>
        <v>1029.1199999999999</v>
        <stp/>
        <stp>bse_cm|960ISFL25</stp>
        <stp>Prev Close</stp>
        <tr r="P871" s="1"/>
      </tp>
      <tp>
        <v>1015</v>
        <stp/>
        <stp>bse_cm|970CAGL28</stp>
        <stp>Prev Close</stp>
        <tr r="P292" s="1"/>
      </tp>
      <tp>
        <v>0</v>
        <stp/>
        <stp>bse_cm|825MFL25A</stp>
        <stp>Volume Traded Today</stp>
        <tr r="L931" s="1"/>
      </tp>
      <tp>
        <v>0</v>
        <stp/>
        <stp>bse_cm|865MFL25A</stp>
        <stp>Volume Traded Today</stp>
        <tr r="L153" s="1"/>
      </tp>
      <tp>
        <v>-100</v>
        <stp/>
        <stp>bse_cm|932AEL27</stp>
        <stp>% Change</stp>
        <tr r="J317" s="1"/>
      </tp>
      <tp>
        <v>1030</v>
        <stp/>
        <stp>bse_cm|714NHAI26</stp>
        <stp>Prev Close</stp>
        <tr r="P1662" s="1"/>
      </tp>
      <tp>
        <v>0</v>
        <stp/>
        <stp>bse_cm|865MFL26A</stp>
        <stp>Volume Traded Today</stp>
        <tr r="L242" s="1"/>
      </tp>
      <tp>
        <v>0</v>
        <stp/>
        <stp>bse_cm|875MFL26A</stp>
        <stp>Volume Traded Today</stp>
        <tr r="L286" s="1"/>
      </tp>
      <tp>
        <v>0</v>
        <stp/>
        <stp>bse_cm|925SCL26B</stp>
        <stp>Volume Traded Today</stp>
        <tr r="L1360" s="1"/>
      </tp>
      <tp>
        <v>0</v>
        <stp/>
        <stp>bse_cm|925SCL26C</stp>
        <stp>Volume Traded Today</stp>
        <tr r="L725" s="1"/>
      </tp>
      <tp>
        <v>0</v>
        <stp/>
        <stp>bse_cm|925SCL26A</stp>
        <stp>Volume Traded Today</stp>
        <tr r="L990" s="1"/>
      </tp>
      <tp>
        <v>0</v>
        <stp/>
        <stp>bse_cm|965SCL26A</stp>
        <stp>Volume Traded Today</stp>
        <tr r="L1481" s="1"/>
      </tp>
      <tp>
        <v>0</v>
        <stp/>
        <stp>bse_cm|925SCL26D</stp>
        <stp>Volume Traded Today</stp>
        <tr r="L619" s="1"/>
      </tp>
      <tp>
        <v>1054</v>
        <stp/>
        <stp>bse_cm|910TCAP28</stp>
        <stp>Prev Close</stp>
        <tr r="P409" s="1"/>
      </tp>
      <tp>
        <v>0</v>
        <stp/>
        <stp>bse_cm|915SCL27A</stp>
        <stp>Volume Traded Today</stp>
        <tr r="L951" s="1"/>
      </tp>
      <tp>
        <v>0</v>
        <stp/>
        <stp>bse_cm|955SCL27A</stp>
        <stp>Volume Traded Today</stp>
        <tr r="L948" s="1"/>
      </tp>
      <tp>
        <v>0</v>
        <stp/>
        <stp>bse_cm|925SFL27A</stp>
        <stp>Volume Traded Today</stp>
        <tr r="L848" s="1"/>
      </tp>
      <tp>
        <v>0</v>
        <stp/>
        <stp>bse_cm|865SCL24B</stp>
        <stp>Volume Traded Today</stp>
        <tr r="L953" s="1"/>
      </tp>
      <tp>
        <v>0</v>
        <stp/>
        <stp>bse_cm|925SCL25Z</stp>
        <stp>Volume Traded Today</stp>
        <tr r="L790" s="1"/>
      </tp>
      <tp>
        <v>0</v>
        <stp/>
        <stp>bse_cm|925SCL25B</stp>
        <stp>Volume Traded Today</stp>
        <tr r="L1490" s="1"/>
      </tp>
      <tp>
        <v>0</v>
        <stp/>
        <stp>bse_cm|965SCL25B</stp>
        <stp>Volume Traded Today</stp>
        <tr r="L1507" s="1"/>
      </tp>
      <tp>
        <v>0</v>
        <stp/>
        <stp>bse_cm|925SCL25C</stp>
        <stp>Volume Traded Today</stp>
        <tr r="L676" s="1"/>
      </tp>
      <tp>
        <v>0</v>
        <stp/>
        <stp>bse_cm|965SCL25C</stp>
        <stp>Volume Traded Today</stp>
        <tr r="L506" s="1"/>
      </tp>
      <tp>
        <v>0</v>
        <stp/>
        <stp>bse_cm|925SCL25A</stp>
        <stp>Volume Traded Today</stp>
        <tr r="L1515" s="1"/>
      </tp>
      <tp>
        <v>0</v>
        <stp/>
        <stp>bse_cm|965SCL25A</stp>
        <stp>Volume Traded Today</stp>
        <tr r="L234" s="1"/>
      </tp>
      <tp>
        <v>0</v>
        <stp/>
        <stp>bse_cm|925SCL25F</stp>
        <stp>Volume Traded Today</stp>
        <tr r="L719" s="1"/>
      </tp>
      <tp>
        <v>0</v>
        <stp/>
        <stp>bse_cm|965SCL25F</stp>
        <stp>Volume Traded Today</stp>
        <tr r="L673" s="1"/>
      </tp>
      <tp>
        <v>0</v>
        <stp/>
        <stp>bse_cm|925SCL25G</stp>
        <stp>Volume Traded Today</stp>
        <tr r="L717" s="1"/>
      </tp>
      <tp>
        <v>0</v>
        <stp/>
        <stp>bse_cm|965SCL25E</stp>
        <stp>Volume Traded Today</stp>
        <tr r="L414" s="1"/>
      </tp>
      <tp>
        <v>0</v>
        <stp/>
        <stp>bse_cm|925SCL25H</stp>
        <stp>Volume Traded Today</stp>
        <tr r="L886" s="1"/>
      </tp>
      <tp>
        <v>920</v>
        <stp/>
        <stp>bse_cm|EFSL26724</stp>
        <stp>Prev Close</stp>
        <tr r="P1336" s="1"/>
      </tp>
      <tp>
        <v>10</v>
        <stp/>
        <stp>bse_cm|99IFCI24</stp>
        <stp>Bid Qty</stp>
        <tr r="D41" s="1"/>
      </tp>
      <tp>
        <v>0</v>
        <stp/>
        <stp>bse_cm|835SCL23B</stp>
        <stp>Volume Traded Today</stp>
        <tr r="L167" s="1"/>
      </tp>
      <tp>
        <v>0</v>
        <stp/>
        <stp>bse_cm|835SCL23A</stp>
        <stp>Volume Traded Today</stp>
        <tr r="L1104" s="1"/>
      </tp>
      <tp>
        <v>0</v>
        <stp/>
        <stp>bse_cm|875SCL23A</stp>
        <stp>Volume Traded Today</stp>
        <tr r="L194" s="1"/>
      </tp>
      <tp>
        <v>1000</v>
        <stp/>
        <stp>bse_cm|939EFSL26</stp>
        <stp>Face Value</stp>
        <tr r="Q188" s="1"/>
      </tp>
      <tp>
        <v>0</v>
        <stp/>
        <stp>bse_cm|SCLZC25</stp>
        <stp>Ask Rate</stp>
        <tr r="F917" s="1"/>
      </tp>
      <tp>
        <v>1890.55</v>
        <stp/>
        <stp>nse_cm|SCLZC26-NB</stp>
        <stp xml:space="preserve">Low </stp>
        <tr r="O1717" s="1"/>
      </tp>
      <tp>
        <v>0</v>
        <stp/>
        <stp>nse_cm|875SFL27-ZF</stp>
        <stp>% Change</stp>
        <tr r="J379" s="1"/>
      </tp>
      <tp>
        <v>0</v>
        <stp/>
        <stp>bse_cm|SCLZC26</stp>
        <stp>Ask Rate</stp>
        <tr r="F1464" s="1"/>
      </tp>
      <tp>
        <v>40</v>
        <stp/>
        <stp>nse_cm|850CIFCL26-NE</stp>
        <stp>Ask Qty</stp>
        <tr r="G450" s="1"/>
      </tp>
      <tp>
        <v>0</v>
        <stp/>
        <stp>nse_cm|860CIFCL28-NG</stp>
        <stp>Ask Qty</stp>
        <tr r="G647" s="1"/>
      </tp>
      <tp>
        <v>50</v>
        <stp/>
        <stp>nse_cm|840CIFCL28-N4</stp>
        <stp>Ask Qty</stp>
        <tr r="G556" s="1"/>
      </tp>
      <tp>
        <v>1000</v>
        <stp/>
        <stp>bse_cm|935EFSL27</stp>
        <stp>Face Value</stp>
        <tr r="Q157" s="1"/>
      </tp>
      <tp>
        <v>-100</v>
        <stp/>
        <stp>bse_cm|792TCH25</stp>
        <stp>% Change</stp>
        <tr r="J1188" s="1"/>
      </tp>
      <tp>
        <v>-100</v>
        <stp/>
        <stp>bse_cm|743REC35</stp>
        <stp>% Change</stp>
        <tr r="J513" s="1"/>
      </tp>
      <tp>
        <v>1000</v>
        <stp/>
        <stp>bse_cm|930EFSL31</stp>
        <stp>Face Value</stp>
        <tr r="Q65" s="1"/>
      </tp>
      <tp>
        <v>0</v>
        <stp/>
        <stp>bse_cm|925SCL28B</stp>
        <stp>Volume Traded Today</stp>
        <tr r="L894" s="1"/>
      </tp>
      <tp>
        <v>0</v>
        <stp/>
        <stp>bse_cm|965SCL28B</stp>
        <stp>Volume Traded Today</stp>
        <tr r="L896" s="1"/>
      </tp>
      <tp>
        <v>0</v>
        <stp/>
        <stp>bse_cm|925SCL28C</stp>
        <stp>Volume Traded Today</stp>
        <tr r="L824" s="1"/>
      </tp>
      <tp>
        <v>0</v>
        <stp/>
        <stp>bse_cm|965SCL28C</stp>
        <stp>Volume Traded Today</stp>
        <tr r="L818" s="1"/>
      </tp>
      <tp>
        <v>0</v>
        <stp/>
        <stp>bse_cm|925SCL28A</stp>
        <stp>Volume Traded Today</stp>
        <tr r="L938" s="1"/>
      </tp>
      <tp>
        <v>0</v>
        <stp/>
        <stp>bse_cm|965SCL28A</stp>
        <stp>Volume Traded Today</stp>
        <tr r="L1136" s="1"/>
      </tp>
      <tp>
        <v>0</v>
        <stp/>
        <stp>bse_cm|925SCL28I</stp>
        <stp>Volume Traded Today</stp>
        <tr r="L822" s="1"/>
      </tp>
      <tp>
        <v>-100</v>
        <stp/>
        <stp>bse_cm|902SCL26</stp>
        <stp>% Change</stp>
        <tr r="J969" s="1"/>
      </tp>
      <tp>
        <v>0</v>
        <stp/>
        <stp>bse_cm|925SCL29A</stp>
        <stp>Volume Traded Today</stp>
        <tr r="L268" s="1"/>
      </tp>
      <tp>
        <v>-100</v>
        <stp/>
        <stp>bse_cm|902SCL27</stp>
        <stp>% Change</stp>
        <tr r="J902" s="1"/>
      </tp>
      <tp>
        <v>1000</v>
        <stp/>
        <stp>bse_cm|93MOFSL34</stp>
        <stp>Face Value</stp>
        <tr r="Q312" s="1"/>
      </tp>
      <tp>
        <v>1000</v>
        <stp/>
        <stp>bse_cm|93MMFSL27</stp>
        <stp>Face Value</stp>
        <tr r="Q333" s="1"/>
      </tp>
      <tp>
        <v>974.99</v>
        <stp/>
        <stp>bse_cm|88MFL28</stp>
        <stp>High</stp>
        <tr r="N233" s="1"/>
      </tp>
      <tp t="s">
        <v>INE03W107231</v>
        <stp/>
        <stp>bse_cm|93ARKA26</stp>
        <stp>Isin code</stp>
        <tr r="R981" s="1"/>
      </tp>
      <tp>
        <v>0</v>
        <stp/>
        <stp>nse_cm|971SCL29-Z0</stp>
        <stp>% Change</stp>
        <tr r="J681" s="1"/>
      </tp>
      <tp t="s">
        <v>NSE</v>
        <stp/>
        <stp>nse_cm|10SCL31-Z1</stp>
        <stp>Exchange</stp>
        <tr r="C866" s="1"/>
      </tp>
      <tp>
        <v>50</v>
        <stp/>
        <stp>bse_cm|734REC30</stp>
        <stp>Bid Qty</stp>
        <tr r="D524" s="1"/>
      </tp>
      <tp>
        <v>10</v>
        <stp/>
        <stp>bse_cm|865LTF26</stp>
        <stp>Bid Qty</stp>
        <tr r="D391" s="1"/>
      </tp>
      <tp>
        <v>50</v>
        <stp/>
        <stp>bse_cm|955ONE27</stp>
        <stp>Bid Qty</stp>
        <tr r="D1129" s="1"/>
      </tp>
      <tp>
        <v>0</v>
        <stp/>
        <stp>nse_cm|975SCL27-Z9</stp>
        <stp>% Change</stp>
        <tr r="J885" s="1"/>
      </tp>
      <tp>
        <v>10</v>
        <stp/>
        <stp>nse_cm|1003ICCL28-NX</stp>
        <stp>Ask Qty</stp>
        <tr r="G553" s="1"/>
      </tp>
      <tp t="s">
        <v>INE148I07LV2</v>
        <stp/>
        <stp>bse_cm|889SCL27</stp>
        <stp>Isin code</stp>
        <tr r="R121" s="1"/>
      </tp>
      <tp t="s">
        <v>INE148I07NG9</v>
        <stp/>
        <stp>bse_cm|894SCL27</stp>
        <stp>Isin code</stp>
        <tr r="R962" s="1"/>
      </tp>
      <tp t="s">
        <v>INE148I07LS8</v>
        <stp/>
        <stp>bse_cm|875SCL27</stp>
        <stp>Isin code</stp>
        <tr r="R722" s="1"/>
      </tp>
      <tp t="s">
        <v>INE148I07LU4</v>
        <stp/>
        <stp>bse_cm|843SCL27</stp>
        <stp>Isin code</stp>
        <tr r="R928" s="1"/>
      </tp>
      <tp>
        <v>25</v>
        <stp/>
        <stp>nse_cm|1050IIFL29-ND</stp>
        <stp>Ask Qty</stp>
        <tr r="G585" s="1"/>
      </tp>
      <tp>
        <v>10</v>
        <stp/>
        <stp>nse_cm|1050ISFL28-N5</stp>
        <stp>Ask Qty</stp>
        <tr r="G1591" s="1"/>
      </tp>
      <tp t="s">
        <v>INE148I07SG8</v>
        <stp/>
        <stp>bse_cm|990SCL27</stp>
        <stp>Isin code</stp>
        <tr r="R796" s="1"/>
      </tp>
      <tp t="s">
        <v>INE148I07SH6</v>
        <stp/>
        <stp>bse_cm|940SCL27</stp>
        <stp>Isin code</stp>
        <tr r="R792" s="1"/>
      </tp>
      <tp t="s">
        <v>INE148I07SI4</v>
        <stp/>
        <stp>bse_cm|948SCL27</stp>
        <stp>Isin code</stp>
        <tr r="R1079" s="1"/>
      </tp>
      <tp t="s">
        <v>INE148I07MJ5</v>
        <stp/>
        <stp>bse_cm|955SCL27</stp>
        <stp>Isin code</stp>
        <tr r="R621" s="1"/>
      </tp>
      <tp t="s">
        <v>INE148I07LT6</v>
        <stp/>
        <stp>bse_cm|925SCL27</stp>
        <stp>Isin code</stp>
        <tr r="R1414" s="1"/>
      </tp>
      <tp t="s">
        <v>INE148I07NN5</v>
        <stp/>
        <stp>bse_cm|939SCL27</stp>
        <stp>Isin code</stp>
        <tr r="R985" s="1"/>
      </tp>
      <tp t="s">
        <v>INE148I07SJ2</v>
        <stp/>
        <stp>bse_cm|902SCL27</stp>
        <stp>Isin code</stp>
        <tr r="R902" s="1"/>
      </tp>
      <tp t="s">
        <v>INE148I07MI7</v>
        <stp/>
        <stp>bse_cm|905SCL27</stp>
        <stp>Isin code</stp>
        <tr r="R976" s="1"/>
      </tp>
      <tp t="s">
        <v>INE148I07ME6</v>
        <stp/>
        <stp>bse_cm|915SCL27</stp>
        <stp>Isin code</stp>
        <tr r="R1127" s="1"/>
      </tp>
      <tp t="s">
        <v>00:00:00</v>
        <stp/>
        <stp>bse_cm|920SCL23A</stp>
        <stp>LTT</stp>
        <tr r="I1114" s="1"/>
      </tp>
      <tp t="s">
        <v>00:00:00</v>
        <stp/>
        <stp>bse_cm|950SCL23A</stp>
        <stp>LTT</stp>
        <tr r="I1146" s="1"/>
      </tp>
      <tp>
        <v>0</v>
        <stp/>
        <stp>bse_cm|920SCL23A</stp>
        <stp>LTP</stp>
        <tr r="H1114" s="1"/>
      </tp>
      <tp>
        <v>0</v>
        <stp/>
        <stp>bse_cm|950SCL23A</stp>
        <stp>LTP</stp>
        <tr r="H1146" s="1"/>
      </tp>
      <tp>
        <v>0</v>
        <stp/>
        <stp>nse_cm|1003SCL30-BW</stp>
        <stp>Open</stp>
        <tr r="M876" s="1"/>
      </tp>
      <tp t="s">
        <v>00:00:00</v>
        <stp/>
        <stp>bse_cm|850SCL25A</stp>
        <stp>LTT</stp>
        <tr r="I1387" s="1"/>
      </tp>
      <tp>
        <v>0</v>
        <stp/>
        <stp>bse_cm|850SCL25A</stp>
        <stp>LTP</stp>
        <tr r="H1387" s="1"/>
      </tp>
      <tp t="s">
        <v>INE302E07557</v>
        <stp/>
        <stp>bse_cm|950SFL27</stp>
        <stp>Isin code</stp>
        <tr r="R1144" s="1"/>
      </tp>
      <tp t="s">
        <v>INE302E07656</v>
        <stp/>
        <stp>bse_cm|925SFL27</stp>
        <stp>Isin code</stp>
        <tr r="R849" s="1"/>
      </tp>
      <tp t="s">
        <v>00:00:00</v>
        <stp/>
        <stp>bse_cm|940SCL26C</stp>
        <stp>LTT</stp>
        <tr r="I794" s="1"/>
      </tp>
      <tp t="s">
        <v>00:00:00</v>
        <stp/>
        <stp>bse_cm|940SCL26B</stp>
        <stp>LTT</stp>
        <tr r="I905" s="1"/>
      </tp>
      <tp t="s">
        <v>00:00:00</v>
        <stp/>
        <stp>bse_cm|990SCL26B</stp>
        <stp>LTT</stp>
        <tr r="I1048" s="1"/>
      </tp>
      <tp t="s">
        <v>00:00:00</v>
        <stp/>
        <stp>bse_cm|940SCL26A</stp>
        <stp>LTT</stp>
        <tr r="I920" s="1"/>
      </tp>
      <tp t="s">
        <v>00:00:00</v>
        <stp/>
        <stp>bse_cm|990SCL26A</stp>
        <stp>LTT</stp>
        <tr r="I1057" s="1"/>
      </tp>
      <tp>
        <v>0</v>
        <stp/>
        <stp>bse_cm|990SCL26D</stp>
        <stp>LTP</stp>
        <tr r="H1534" s="1"/>
      </tp>
      <tp>
        <v>0</v>
        <stp/>
        <stp>bse_cm|940SCL26C</stp>
        <stp>LTP</stp>
        <tr r="H794" s="1"/>
      </tp>
      <tp>
        <v>0</v>
        <stp/>
        <stp>bse_cm|940SCL26B</stp>
        <stp>LTP</stp>
        <tr r="H905" s="1"/>
      </tp>
      <tp>
        <v>0</v>
        <stp/>
        <stp>bse_cm|990SCL26B</stp>
        <stp>LTP</stp>
        <tr r="H1048" s="1"/>
      </tp>
      <tp>
        <v>0</v>
        <stp/>
        <stp>bse_cm|940SCL26A</stp>
        <stp>LTP</stp>
        <tr r="H920" s="1"/>
      </tp>
      <tp>
        <v>0</v>
        <stp/>
        <stp>bse_cm|990SCL26A</stp>
        <stp>LTP</stp>
        <tr r="H1057" s="1"/>
      </tp>
      <tp t="s">
        <v>00:00:00</v>
        <stp/>
        <stp>bse_cm|990SCL26D</stp>
        <stp>LTT</stp>
        <tr r="I1534" s="1"/>
      </tp>
      <tp t="s">
        <v>00:00:00</v>
        <stp/>
        <stp>bse_cm|990SCL26I</stp>
        <stp>LTT</stp>
        <tr r="I797" s="1"/>
      </tp>
      <tp>
        <v>0</v>
        <stp/>
        <stp>bse_cm|990SCL26I</stp>
        <stp>LTP</stp>
        <tr r="H797" s="1"/>
      </tp>
      <tp t="s">
        <v>INE721A07PK7</v>
        <stp/>
        <stp>bse_cm|875SFL27</stp>
        <stp>Isin code</stp>
        <tr r="R578" s="1"/>
      </tp>
      <tp>
        <v>0</v>
        <stp/>
        <stp>nse_cm|894SCL25A-ZI</stp>
        <stp>Ask Rate</stp>
        <tr r="F963" s="1"/>
      </tp>
      <tp>
        <v>1500</v>
        <stp/>
        <stp>bse_cm|966ONE29</stp>
        <stp>Ask Qty</stp>
        <tr r="G281" s="1"/>
      </tp>
      <tp>
        <v>12</v>
        <stp/>
        <stp>nse_cm|1030ICCL28-NM</stp>
        <stp>Bid Qty</stp>
        <tr r="D1596" s="1"/>
      </tp>
      <tp>
        <v>0</v>
        <stp/>
        <stp>bse_cm|84CIFCL28</stp>
        <stp>ATP</stp>
        <tr r="K387" s="1"/>
      </tp>
      <tp>
        <v>0</v>
        <stp/>
        <stp>bse_cm|890MFL26A</stp>
        <stp>LTP</stp>
        <tr r="H698" s="1"/>
      </tp>
      <tp t="s">
        <v>00:00:00</v>
        <stp/>
        <stp>bse_cm|890MFL26A</stp>
        <stp>LTT</stp>
        <tr r="I698" s="1"/>
      </tp>
      <tp>
        <v>1096.6400000000001</v>
        <stp/>
        <stp>bse_cm|98SCL27</stp>
        <stp>High</stp>
        <tr r="N1545" s="1"/>
      </tp>
      <tp>
        <v>0</v>
        <stp/>
        <stp>bse_cm|850MFL27A</stp>
        <stp>LTP</stp>
        <tr r="H355" s="1"/>
      </tp>
      <tp>
        <v>0</v>
        <stp/>
        <stp>bse_cm|950MFL27A</stp>
        <stp>LTP</stp>
        <tr r="H241" s="1"/>
      </tp>
      <tp t="s">
        <v>00:00:00</v>
        <stp/>
        <stp>bse_cm|850MFL27A</stp>
        <stp>LTT</stp>
        <tr r="I355" s="1"/>
      </tp>
      <tp t="s">
        <v>00:00:00</v>
        <stp/>
        <stp>bse_cm|950MFL27A</stp>
        <stp>LTT</stp>
        <tr r="I241" s="1"/>
      </tp>
      <tp>
        <v>0</v>
        <stp/>
        <stp>nse_cm|1030ICC26-NJ</stp>
        <stp>Open</stp>
        <tr r="M1514" s="1"/>
      </tp>
      <tp>
        <v>1000</v>
        <stp/>
        <stp>bse_cm|88SCL25</stp>
        <stp>High</stp>
        <tr r="N987" s="1"/>
      </tp>
      <tp>
        <v>0</v>
        <stp/>
        <stp>nse_cm|873NTPC28-N5</stp>
        <stp>Open</stp>
        <tr r="M541" s="1"/>
      </tp>
      <tp>
        <v>0</v>
        <stp/>
        <stp>nse_cm|1015SCL29-ZL</stp>
        <stp>High</stp>
        <tr r="N1176" s="1"/>
      </tp>
      <tp>
        <v>0</v>
        <stp/>
        <stp>nse_cm|1025SCL33-YJ</stp>
        <stp>High</stp>
        <tr r="N836" s="1"/>
      </tp>
      <tp>
        <v>0</v>
        <stp/>
        <stp>bse_cm|852LTF27</stp>
        <stp>Ask Qty</stp>
        <tr r="G983" s="1"/>
      </tp>
      <tp>
        <v>0</v>
        <stp/>
        <stp>bse_cm|961ONE27</stp>
        <stp>Ask Qty</stp>
        <tr r="G628" s="1"/>
      </tp>
      <tp>
        <v>-100</v>
        <stp/>
        <stp>bse_cm|1025SF29</stp>
        <stp>% Change</stp>
        <tr r="J1409" s="1"/>
      </tp>
      <tp>
        <v>963</v>
        <stp/>
        <stp>nse_cm|925SCL25C-AR</stp>
        <stp>Bid Rate</stp>
        <tr r="E249" s="1"/>
      </tp>
      <tp>
        <v>975</v>
        <stp/>
        <stp>nse_cm|1075SCL34-ZR</stp>
        <stp xml:space="preserve">Low </stp>
        <tr r="O1366" s="1"/>
      </tp>
      <tp>
        <v>50</v>
        <stp/>
        <stp>bse_cm|709REC30</stp>
        <stp>Ask Qty</stp>
        <tr r="G564" s="1"/>
      </tp>
      <tp>
        <v>0</v>
        <stp/>
        <stp>nse_cm|1050SCFL31-Z2</stp>
        <stp>Ask Qty</stp>
        <tr r="G868" s="1"/>
      </tp>
      <tp>
        <v>1100</v>
        <stp/>
        <stp>bse_cm|EFSL27A</stp>
        <stp>Ask Rate</stp>
        <tr r="F1649" s="1"/>
      </tp>
      <tp>
        <v>0</v>
        <stp/>
        <stp>bse_cm|ICLFLZC29</stp>
        <stp>ATP</stp>
        <tr r="K1613" s="1"/>
      </tp>
      <tp>
        <v>1018</v>
        <stp/>
        <stp>nse_cm|CIFC26-NK</stp>
        <stp xml:space="preserve">Low </stp>
        <tr r="O741" s="1"/>
      </tp>
      <tp>
        <v>1000</v>
        <stp/>
        <stp>nse_cm|0MOFSL27-N3</stp>
        <stp>Prev Close</stp>
        <tr r="P1038" s="1"/>
      </tp>
      <tp>
        <v>1000</v>
        <stp/>
        <stp>nse_cm|792TCH25-N3</stp>
        <stp>Face Value</stp>
        <tr r="Q1187" s="1"/>
      </tp>
      <tp>
        <v>1083</v>
        <stp/>
        <stp>nse_cm|CIFC28-NB</stp>
        <stp xml:space="preserve">Low </stp>
        <tr r="O1618" s="1"/>
      </tp>
      <tp>
        <v>1000</v>
        <stp/>
        <stp>nse_cm|801TCH25-N4</stp>
        <stp>Face Value</stp>
        <tr r="Q493" s="1"/>
      </tp>
      <tp>
        <v>1000</v>
        <stp/>
        <stp>nse_cm|862REC33-NA</stp>
        <stp>Face Value</stp>
        <tr r="Q563" s="1"/>
      </tp>
      <tp>
        <v>988.5</v>
        <stp/>
        <stp>nse_cm|78ABFL33-N4</stp>
        <stp>Prev Close</stp>
        <tr r="P371" s="1"/>
      </tp>
      <tp>
        <v>1000</v>
        <stp/>
        <stp>nse_cm|749IGT28-NG</stp>
        <stp>Prev Close</stp>
        <tr r="P1197" s="1"/>
      </tp>
      <tp>
        <v>970</v>
        <stp/>
        <stp>nse_cm|769IGT28-NH</stp>
        <stp>Prev Close</stp>
        <tr r="P1487" s="1"/>
      </tp>
      <tp>
        <v>9</v>
        <stp/>
        <stp>bse_cm|875CIFC23B</stp>
        <stp>Bid Qty</stp>
        <tr r="D1394" s="1"/>
      </tp>
      <tp t="s">
        <v>BSE</v>
        <stp/>
        <stp>bse_cm|EFSLZC28C</stp>
        <stp>Exchange</stp>
        <tr r="C1331" s="1"/>
      </tp>
      <tp>
        <v>957</v>
        <stp/>
        <stp>nse_cm|10IIFL28-N4</stp>
        <stp>Prev Close</stp>
        <tr r="P42" s="1"/>
      </tp>
      <tp t="s">
        <v>BSE</v>
        <stp/>
        <stp>bse_cm|IIFLZC28B</stp>
        <stp>Exchange</stp>
        <tr r="C1595" s="1"/>
      </tp>
      <tp>
        <v>35</v>
        <stp/>
        <stp>bse_cm|1050KLMA28</stp>
        <stp>Bid Qty</stp>
        <tr r="D611" s="1"/>
      </tp>
      <tp t="s">
        <v>BSE</v>
        <stp/>
        <stp>bse_cm|IIFLZC28C</stp>
        <stp>Exchange</stp>
        <tr r="C1404" s="1"/>
      </tp>
      <tp t="s">
        <v>BSE</v>
        <stp/>
        <stp>bse_cm|IIFLZC28A</stp>
        <stp>Exchange</stp>
        <tr r="C1628" s="1"/>
      </tp>
      <tp t="s">
        <v>BSE</v>
        <stp/>
        <stp>bse_cm|MMFLZC28B</stp>
        <stp>Exchange</stp>
        <tr r="C1535" s="1"/>
      </tp>
      <tp>
        <v>946.5</v>
        <stp/>
        <stp>nse_cm|96IIFL28-N5</stp>
        <stp>Prev Close</stp>
        <tr r="P106" s="1"/>
      </tp>
      <tp>
        <v>915</v>
        <stp/>
        <stp>nse_cm|865IFL28-NZ</stp>
        <stp>Prev Close</stp>
        <tr r="P103" s="1"/>
      </tp>
      <tp>
        <v>990</v>
        <stp/>
        <stp>nse_cm|81ABFL33-N5</stp>
        <stp>Prev Close</stp>
        <tr r="P1588" s="1"/>
      </tp>
      <tp t="s">
        <v>885MOFSL26</v>
        <stp/>
        <stp>bse_cm|885MOFSL26</stp>
        <stp>Trading Symbol</stp>
        <tr r="B1643" s="1"/>
      </tp>
      <tp t="s">
        <v>935MOFSL29</v>
        <stp/>
        <stp>bse_cm|935MOFSL29</stp>
        <stp>Trading Symbol</stp>
        <tr r="B1602" s="1"/>
      </tp>
      <tp t="s">
        <v>805MMFSL32</v>
        <stp/>
        <stp>bse_cm|805MMFSL32</stp>
        <stp>Trading Symbol</stp>
        <tr r="B401" s="1"/>
      </tp>
      <tp t="s">
        <v>935MMFSL29</v>
        <stp/>
        <stp>bse_cm|935MMFSL29</stp>
        <stp>Trading Symbol</stp>
        <tr r="B1174" s="1"/>
      </tp>
      <tp t="s">
        <v>795MMFSL32</v>
        <stp/>
        <stp>bse_cm|795MMFSL32</stp>
        <stp>Trading Symbol</stp>
        <tr r="B1184" s="1"/>
      </tp>
      <tp t="s">
        <v>BSE</v>
        <stp/>
        <stp>bse_cm|MMFLZC28A</stp>
        <stp>Exchange</stp>
        <tr r="C1348" s="1"/>
      </tp>
      <tp t="s">
        <v>INE01I507950</v>
        <stp/>
        <stp>bse_cm|10KAFL26B</stp>
        <stp>Isin code</stp>
        <tr r="R1094" s="1"/>
      </tp>
      <tp t="s">
        <v>INE804I078Y8</v>
        <stp/>
        <stp>nse_cm|943ECL28-NJ</stp>
        <stp>Isin code</stp>
        <tr r="R94" s="1"/>
      </tp>
      <tp t="s">
        <v>BSE</v>
        <stp/>
        <stp>bse_cm|97EFSL31A</stp>
        <stp>Exchange</stp>
        <tr r="C598" s="1"/>
      </tp>
      <tp t="s">
        <v>BSE</v>
        <stp/>
        <stp>bse_cm|93EFSL31A</stp>
        <stp>Exchange</stp>
        <tr r="C85" s="1"/>
      </tp>
      <tp t="s">
        <v>957IIFLS27-NA</v>
        <stp/>
        <stp>nse_cm|957IIFLS27-NA</stp>
        <stp>Trading Symbol</stp>
        <tr r="B1495" s="1"/>
      </tp>
      <tp t="s">
        <v>873NTPC28</v>
        <stp/>
        <stp>nse_cm|873NTPC28-N5</stp>
        <stp>Symbol</stp>
        <tr r="A541" s="1"/>
      </tp>
      <tp t="s">
        <v>848NTPC28</v>
        <stp/>
        <stp>nse_cm|848NTPC28-N2</stp>
        <stp>Symbol</stp>
        <tr r="A1405" s="1"/>
      </tp>
      <tp t="s">
        <v>MFLVI32F</v>
        <stp/>
        <stp>bse_cm|MFLVI32F</stp>
        <stp>Trading Symbol</stp>
        <tr r="B704" s="1"/>
      </tp>
      <tp t="s">
        <v>MFLVI31F</v>
        <stp/>
        <stp>bse_cm|MFLVI31F</stp>
        <stp>Trading Symbol</stp>
        <tr r="B354" s="1"/>
      </tp>
      <tp t="s">
        <v>MFLII26B</v>
        <stp/>
        <stp>bse_cm|MFLII26B</stp>
        <stp>Trading Symbol</stp>
        <tr r="B1454" s="1"/>
      </tp>
      <tp t="s">
        <v>MFLII27B</v>
        <stp/>
        <stp>bse_cm|MFLII27B</stp>
        <stp>Trading Symbol</stp>
        <tr r="B359" s="1"/>
      </tp>
      <tp t="s">
        <v>880IREDA29-N5</v>
        <stp/>
        <stp>nse_cm|880IREDA29-N5</stp>
        <stp>Trading Symbol</stp>
        <tr r="B510" s="1"/>
      </tp>
      <tp t="s">
        <v>855IREDA34-N3</v>
        <stp/>
        <stp>nse_cm|855IREDA34-N3</stp>
        <stp>Trading Symbol</stp>
        <tr r="B558" s="1"/>
      </tp>
      <tp t="s">
        <v>INE148I07LN9</v>
        <stp/>
        <stp>bse_cm|9SCL25</stp>
        <stp>Isin code</stp>
        <tr r="R653" s="1"/>
      </tp>
      <tp t="s">
        <v>764IRFC31</v>
        <stp/>
        <stp>nse_cm|764IRFC31-NO</stp>
        <stp>Symbol</stp>
        <tr r="A468" s="1"/>
      </tp>
      <tp t="s">
        <v>97SFL26-Z9</v>
        <stp/>
        <stp>nse_cm|97SFL26-Z9</stp>
        <stp>Trading Symbol</stp>
        <tr r="B438" s="1"/>
      </tp>
      <tp t="s">
        <v>INE302E07573</v>
        <stp/>
        <stp>bse_cm|9SFL25</stp>
        <stp>Isin code</stp>
        <tr r="R340" s="1"/>
      </tp>
      <tp t="s">
        <v>BSE</v>
        <stp/>
        <stp>bse_cm|95CCIL24A</stp>
        <stp>Exchange</stp>
        <tr r="C873" s="1"/>
      </tp>
      <tp t="s">
        <v>BSE</v>
        <stp/>
        <stp>bse_cm|10KAFL26B</stp>
        <stp>Exchange</stp>
        <tr r="C1094" s="1"/>
      </tp>
      <tp t="s">
        <v>BSE</v>
        <stp/>
        <stp>bse_cm|10KAFL26A</stp>
        <stp>Exchange</stp>
        <tr r="C1095" s="1"/>
      </tp>
      <tp>
        <v>1134</v>
        <stp/>
        <stp>bse_cm|1030ICC26</stp>
        <stp>Prev Close</stp>
        <tr r="P1538" s="1"/>
      </tp>
      <tp>
        <v>1100</v>
        <stp/>
        <stp>bse_cm|753IRFC30</stp>
        <stp>Prev Close</stp>
        <tr r="P454" s="1"/>
      </tp>
      <tp>
        <v>1026</v>
        <stp/>
        <stp>bse_cm|729NHAI26</stp>
        <stp>Prev Close</stp>
        <tr r="P348" s="1"/>
      </tp>
      <tp>
        <v>0</v>
        <stp/>
        <stp>nse_cm|875SCL27-YQ</stp>
        <stp>% Change</stp>
        <tr r="J937" s="1"/>
      </tp>
      <tp>
        <v>1000</v>
        <stp/>
        <stp>nse_cm|11DLSL25A-Y3</stp>
        <stp>Prev Close</stp>
        <tr r="P64" s="1"/>
      </tp>
      <tp>
        <v>-100</v>
        <stp/>
        <stp>bse_cm|891ONE25</stp>
        <stp>% Change</stp>
        <tr r="J1339" s="1"/>
      </tp>
      <tp>
        <v>985.1</v>
        <stp/>
        <stp>nse_cm|8ABFL26-N0</stp>
        <stp>Bid Rate</stp>
        <tr r="E358" s="1"/>
      </tp>
      <tp>
        <v>-100</v>
        <stp/>
        <stp>bse_cm|941ONE26</stp>
        <stp>% Change</stp>
        <tr r="J263" s="1"/>
      </tp>
      <tp>
        <v>1500</v>
        <stp/>
        <stp>nse_cm|860CIFCL28-NG</stp>
        <stp>Bid Qty</stp>
        <tr r="D647" s="1"/>
      </tp>
      <tp>
        <v>1500</v>
        <stp/>
        <stp>nse_cm|850CIFCL26-NE</stp>
        <stp>Bid Qty</stp>
        <tr r="D450" s="1"/>
      </tp>
      <tp>
        <v>-100</v>
        <stp/>
        <stp>bse_cm|961ONE27</stp>
        <stp>% Change</stp>
        <tr r="J628" s="1"/>
      </tp>
      <tp>
        <v>-100</v>
        <stp/>
        <stp>bse_cm|921ONE27</stp>
        <stp>% Change</stp>
        <tr r="J1428" s="1"/>
      </tp>
      <tp>
        <v>50</v>
        <stp/>
        <stp>nse_cm|840CIFCL28-N4</stp>
        <stp>Bid Qty</stp>
        <tr r="D556" s="1"/>
      </tp>
      <tp>
        <v>1180</v>
        <stp/>
        <stp>bse_cm|750IRFC35</stp>
        <stp>Prev Close</stp>
        <tr r="P488" s="1"/>
      </tp>
      <tp>
        <v>1030</v>
        <stp/>
        <stp>nse_cm|957ICCL25-YW</stp>
        <stp xml:space="preserve">Low </stp>
        <tr r="O386" s="1"/>
      </tp>
      <tp>
        <v>998.99</v>
        <stp/>
        <stp>bse_cm|958NHFL27</stp>
        <stp>Prev Close</stp>
        <tr r="P616" s="1"/>
      </tp>
      <tp>
        <v>960</v>
        <stp/>
        <stp>nse_cm|1025SCL34-Z8</stp>
        <stp>High</stp>
        <tr r="N128" s="1"/>
      </tp>
      <tp t="s">
        <v>NSE</v>
        <stp/>
        <stp>nse_cm|940SCL26B-Y6</stp>
        <stp>Exchange</stp>
        <tr r="C795" s="1"/>
      </tp>
      <tp>
        <v>990.01</v>
        <stp/>
        <stp>bse_cm|1040UCL25</stp>
        <stp>Prev Close</stp>
        <tr r="P1612" s="1"/>
      </tp>
      <tp>
        <v>0</v>
        <stp/>
        <stp>bse_cm|875CIFC23B</stp>
        <stp>Open</stp>
        <tr r="M1394" s="1"/>
      </tp>
      <tp t="s">
        <v>MFLIV25</v>
        <stp/>
        <stp>bse_cm|MFLIV25</stp>
        <stp>Trading Symbol</stp>
        <tr r="B280" s="1"/>
      </tp>
      <tp t="s">
        <v>MFLIV26</v>
        <stp/>
        <stp>bse_cm|MFLIV26</stp>
        <stp>Trading Symbol</stp>
        <tr r="B1500" s="1"/>
      </tp>
      <tp t="s">
        <v>NSE</v>
        <stp/>
        <stp>nse_cm|990SCL26B-Y7</stp>
        <stp>Exchange</stp>
        <tr r="C798" s="1"/>
      </tp>
      <tp>
        <v>1000</v>
        <stp/>
        <stp>bse_cm|1050SCL30</stp>
        <stp>Prev Close</stp>
        <tr r="P867" s="1"/>
      </tp>
      <tp>
        <v>1000</v>
        <stp/>
        <stp>bse_cm|1050SCL31</stp>
        <stp>Prev Close</stp>
        <tr r="P892" s="1"/>
      </tp>
      <tp>
        <v>999.9</v>
        <stp/>
        <stp>bse_cm|1050UCL25</stp>
        <stp>Prev Close</stp>
        <tr r="P417" s="1"/>
      </tp>
      <tp>
        <v>991</v>
        <stp/>
        <stp>bse_cm|1050VCL25</stp>
        <stp>Prev Close</stp>
        <tr r="P656" s="1"/>
      </tp>
      <tp>
        <v>970</v>
        <stp/>
        <stp>bse_cm|SCL310524</stp>
        <stp>Prev Close</stp>
        <tr r="P1345" s="1"/>
      </tp>
      <tp>
        <v>991.63</v>
        <stp/>
        <stp>bse_cm|945CAGL24</stp>
        <stp>Prev Close</stp>
        <tr r="P566" s="1"/>
      </tp>
      <tp>
        <v>960</v>
        <stp/>
        <stp>bse_cm|CCI110324</stp>
        <stp>Prev Close</stp>
        <tr r="P755" s="1"/>
      </tp>
      <tp>
        <v>1198</v>
        <stp/>
        <stp>bse_cm|1060ECL29</stp>
        <stp>Prev Close</stp>
        <tr r="P272" s="1"/>
      </tp>
      <tp>
        <v>1170</v>
        <stp/>
        <stp>nse_cm|750IRFC35-NK</stp>
        <stp>Open</stp>
        <tr r="M485" s="1"/>
      </tp>
      <tp>
        <v>990</v>
        <stp/>
        <stp>bse_cm|1075CCL25</stp>
        <stp>Prev Close</stp>
        <tr r="P1119" s="1"/>
      </tp>
      <tp>
        <v>1034.5</v>
        <stp/>
        <stp>bse_cm|1075UCL25</stp>
        <stp>Prev Close</stp>
        <tr r="P515" s="1"/>
      </tp>
      <tp>
        <v>975</v>
        <stp/>
        <stp>bse_cm|1075SCL34</stp>
        <stp>Prev Close</stp>
        <tr r="P888" s="1"/>
      </tp>
      <tp>
        <v>900</v>
        <stp/>
        <stp>bse_cm|1075SCL33</stp>
        <stp>Prev Close</stp>
        <tr r="P881" s="1"/>
      </tp>
      <tp>
        <v>947.01</v>
        <stp/>
        <stp>bse_cm|957ISFL26</stp>
        <stp>Prev Close</stp>
        <tr r="P761" s="1"/>
      </tp>
      <tp>
        <v>0</v>
        <stp/>
        <stp>bse_cm|82IGT31</stp>
        <stp>ATP</stp>
        <tr r="K383" s="1"/>
      </tp>
      <tp>
        <v>975</v>
        <stp/>
        <stp>bse_cm|1050CCI25</stp>
        <stp>Prev Close</stp>
        <tr r="P173" s="1"/>
      </tp>
      <tp>
        <v>996</v>
        <stp/>
        <stp>bse_cm|1003VCL25</stp>
        <stp>Prev Close</stp>
        <tr r="P151" s="1"/>
      </tp>
      <tp>
        <v>857.14</v>
        <stp/>
        <stp>bse_cm|1003SCL30</stp>
        <stp>Prev Close</stp>
        <tr r="P877" s="1"/>
      </tp>
      <tp>
        <v>1000</v>
        <stp/>
        <stp>bse_cm|1003SCL31</stp>
        <stp>Prev Close</stp>
        <tr r="P727" s="1"/>
      </tp>
      <tp>
        <v>1000</v>
        <stp/>
        <stp>bse_cm|850SCFL25</stp>
        <stp>Prev Close</stp>
        <tr r="P1099" s="1"/>
      </tp>
      <tp>
        <v>980.19</v>
        <stp/>
        <stp>bse_cm|850IIFL27</stp>
        <stp>Prev Close</stp>
        <tr r="P1407" s="1"/>
      </tp>
      <tp>
        <v>1010</v>
        <stp/>
        <stp>bse_cm|950MMFL25</stp>
        <stp>Prev Close</stp>
        <tr r="P1526" s="1"/>
      </tp>
      <tp>
        <v>1005</v>
        <stp/>
        <stp>bse_cm|950MMFL26</stp>
        <stp>Prev Close</stp>
        <tr r="P291" s="1"/>
      </tp>
      <tp>
        <v>974</v>
        <stp/>
        <stp>bse_cm|950NHFL26</stp>
        <stp>Prev Close</stp>
        <tr r="P582" s="1"/>
      </tp>
      <tp>
        <v>993</v>
        <stp/>
        <stp>bse_cm|940CAGL27</stp>
        <stp>Prev Close</stp>
        <tr r="P261" s="1"/>
      </tp>
      <tp>
        <v>0</v>
        <stp/>
        <stp>nse_cm|905SC24-ZB</stp>
        <stp>Ask Rate</stp>
        <tr r="F1374" s="1"/>
      </tp>
      <tp>
        <v>987.08</v>
        <stp/>
        <stp>bse_cm|1015ECL29</stp>
        <stp>Prev Close</stp>
        <tr r="P210" s="1"/>
      </tp>
      <tp>
        <v>1015</v>
        <stp/>
        <stp>bse_cm|1015SCL28</stp>
        <stp>Prev Close</stp>
        <tr r="P327" s="1"/>
      </tp>
      <tp>
        <v>1000</v>
        <stp/>
        <stp>bse_cm|1015SCL29</stp>
        <stp>Prev Close</stp>
        <tr r="P1177" s="1"/>
      </tp>
      <tp>
        <v>-100</v>
        <stp/>
        <stp>bse_cm|921ONE29</stp>
        <stp>% Change</stp>
        <tr r="J1112" s="1"/>
      </tp>
      <tp>
        <v>945</v>
        <stp/>
        <stp>bse_cm|1075CCI26</stp>
        <stp>Prev Close</stp>
        <tr r="P1425" s="1"/>
      </tp>
      <tp>
        <v>970.01</v>
        <stp/>
        <stp>bse_cm|1025UCL25</stp>
        <stp>Prev Close</stp>
        <tr r="P326" s="1"/>
      </tp>
      <tp>
        <v>100000</v>
        <stp/>
        <stp>bse_cm|1025UCL27</stp>
        <stp>Prev Close</stp>
        <tr r="P1019" s="1"/>
      </tp>
      <tp>
        <v>960</v>
        <stp/>
        <stp>bse_cm|1025SCL34</stp>
        <stp>Prev Close</stp>
        <tr r="P129" s="1"/>
      </tp>
      <tp>
        <v>1000</v>
        <stp/>
        <stp>bse_cm|1025SCL33</stp>
        <stp>Prev Close</stp>
        <tr r="P879" s="1"/>
      </tp>
      <tp>
        <v>1948</v>
        <stp/>
        <stp>bse_cm|99IFCI24</stp>
        <stp>Ask Qty</stp>
        <tr r="G41" s="1"/>
      </tp>
      <tp>
        <v>987.03</v>
        <stp/>
        <stp>bse_cm|1035UCL24</stp>
        <stp>Prev Close</stp>
        <tr r="P1580" s="1"/>
      </tp>
      <tp>
        <v>900</v>
        <stp/>
        <stp>bse_cm|1035UCL26</stp>
        <stp>Prev Close</stp>
        <tr r="P1626" s="1"/>
      </tp>
      <tp>
        <v>915</v>
        <stp/>
        <stp>bse_cm|970NIDO32</stp>
        <stp>Prev Close</stp>
        <tr r="P67" s="1"/>
      </tp>
      <tp>
        <v>972.5</v>
        <stp/>
        <stp>bse_cm|870NIDO25</stp>
        <stp>Prev Close</stp>
        <tr r="P86" s="1"/>
      </tp>
      <tp>
        <v>667</v>
        <stp/>
        <stp>nse_cm|902SCL26I-AW</stp>
        <stp>Face Value</stp>
        <tr r="Q1383" s="1"/>
      </tp>
      <tp>
        <v>12</v>
        <stp/>
        <stp>nse_cm|875PCHFL31-N9</stp>
        <stp>Bid Qty</stp>
        <tr r="D1012" s="1"/>
      </tp>
      <tp>
        <v>20</v>
        <stp/>
        <stp>nse_cm|875PCHFL26-N8</stp>
        <stp>Bid Qty</stp>
        <tr r="D271" s="1"/>
      </tp>
      <tp>
        <v>-100</v>
        <stp/>
        <stp>bse_cm|971SCL28</stp>
        <stp>% Change</stp>
        <tr r="J1028" s="1"/>
      </tp>
      <tp>
        <v>0</v>
        <stp/>
        <stp>nse_cm|990SCFL26-AJ</stp>
        <stp>Open</stp>
        <tr r="M1523" s="1"/>
      </tp>
      <tp>
        <v>-100</v>
        <stp/>
        <stp>bse_cm|971SCL29</stp>
        <stp>% Change</stp>
        <tr r="J521" s="1"/>
      </tp>
      <tp>
        <v>800</v>
        <stp/>
        <stp>nse_cm|925SCL28I-BA</stp>
        <stp>Face Value</stp>
        <tr r="Q821" s="1"/>
      </tp>
      <tp>
        <v>667</v>
        <stp/>
        <stp>nse_cm|948SCL26I-AX</stp>
        <stp>Face Value</stp>
        <tr r="Q1708" s="1"/>
      </tp>
      <tp t="s">
        <v>MFLII26</v>
        <stp/>
        <stp>bse_cm|MFLII26</stp>
        <stp>Trading Symbol</stp>
        <tr r="B390" s="1"/>
      </tp>
      <tp t="s">
        <v>MFLII27</v>
        <stp/>
        <stp>bse_cm|MFLII27</stp>
        <stp>Trading Symbol</stp>
        <tr r="B648" s="1"/>
      </tp>
      <tp>
        <v>800</v>
        <stp/>
        <stp>nse_cm|971SCL28I-BC</stp>
        <stp>Face Value</stp>
        <tr r="Q531" s="1"/>
      </tp>
      <tp>
        <v>-100</v>
        <stp/>
        <stp>bse_cm|801TCH28</stp>
        <stp>% Change</stp>
        <tr r="J1182" s="1"/>
      </tp>
      <tp>
        <v>667</v>
        <stp/>
        <stp>nse_cm|990SCL26I-AV</stp>
        <stp>Face Value</stp>
        <tr r="Q1368" s="1"/>
      </tp>
      <tp>
        <v>1000</v>
        <stp/>
        <stp>bse_cm|105EFSL29</stp>
        <stp>Face Value</stp>
        <tr r="Q1358" s="1"/>
      </tp>
      <tp>
        <v>-100</v>
        <stp/>
        <stp>bse_cm|801TCH25</stp>
        <stp>% Change</stp>
        <tr r="J562" s="1"/>
      </tp>
      <tp>
        <v>1018</v>
        <stp/>
        <stp>nse_cm|CIFC26-NK</stp>
        <stp>Prev Close</stp>
        <tr r="P741" s="1"/>
      </tp>
      <tp>
        <v>-100</v>
        <stp/>
        <stp>bse_cm|980SCL33</stp>
        <stp>% Change</stp>
        <tr r="J998" s="1"/>
      </tp>
      <tp>
        <v>-100</v>
        <stp/>
        <stp>bse_cm|980SCL34</stp>
        <stp>% Change</stp>
        <tr r="J829" s="1"/>
      </tp>
      <tp>
        <v>1000</v>
        <stp/>
        <stp>bse_cm|101EFSL28</stp>
        <stp>Face Value</stp>
        <tr r="Q211" s="1"/>
      </tp>
      <tp>
        <v>936.3</v>
        <stp/>
        <stp>nse_cm|85IFL26-NX</stp>
        <stp>Bid Rate</stp>
        <tr r="E1388" s="1"/>
      </tp>
      <tp>
        <v>-100</v>
        <stp/>
        <stp>bse_cm|931SFL26</stp>
        <stp>% Change</stp>
        <tr r="J1492" s="1"/>
      </tp>
      <tp>
        <v>15</v>
        <stp/>
        <stp>nse_cm|774IREDA31-N7</stp>
        <stp>Ask Qty</stp>
        <tr r="G18" s="1"/>
      </tp>
      <tp>
        <v>0</v>
        <stp/>
        <stp>nse_cm|847SCL25-Z2</stp>
        <stp>% Change</stp>
        <tr r="J212" s="1"/>
      </tp>
      <tp t="s">
        <v>INE03W107215</v>
        <stp/>
        <stp>bse_cm|93ARKA25</stp>
        <stp>Isin code</stp>
        <tr r="R1395" s="1"/>
      </tp>
      <tp t="s">
        <v>INE020B07JQ2</v>
        <stp/>
        <stp>bse_cm|714REC25</stp>
        <stp>Isin code</stp>
        <tr r="R518" s="1"/>
      </tp>
      <tp t="s">
        <v>INE020B07JT6</v>
        <stp/>
        <stp>bse_cm|718REC35</stp>
        <stp>Isin code</stp>
        <tr r="R549" s="1"/>
      </tp>
      <tp t="s">
        <v>INE020B07JU4</v>
        <stp/>
        <stp>bse_cm|743REC35</stp>
        <stp>Isin code</stp>
        <tr r="R513" s="1"/>
      </tp>
      <tp>
        <v>100</v>
        <stp/>
        <stp>bse_cm|709REC30</stp>
        <stp>Bid Qty</stp>
        <tr r="D564" s="1"/>
      </tp>
      <tp>
        <v>0</v>
        <stp/>
        <stp>nse_cm|1050SCFL31-Z2</stp>
        <stp>Bid Qty</stp>
        <tr r="D868" s="1"/>
      </tp>
      <tp t="s">
        <v>NSE</v>
        <stp/>
        <stp>nse_cm|9MMFSML-N2</stp>
        <stp>Exchange</stp>
        <tr r="C339" s="1"/>
      </tp>
      <tp>
        <v>650</v>
        <stp/>
        <stp>nse_cm|925SCL28I-BA</stp>
        <stp>Bid Rate</stp>
        <tr r="E821" s="1"/>
      </tp>
      <tp>
        <v>815.95</v>
        <stp/>
        <stp>nse_cm|1075SCL33-YK</stp>
        <stp xml:space="preserve">Low </stp>
        <tr r="O707" s="1"/>
      </tp>
      <tp>
        <v>950</v>
        <stp/>
        <stp>bse_cm|975MVAFL25</stp>
        <stp xml:space="preserve">Low </stp>
        <tr r="O458" s="1"/>
      </tp>
      <tp t="s">
        <v>INE148I07NQ8</v>
        <stp/>
        <stp>bse_cm|894SCL24</stp>
        <stp>Isin code</stp>
        <tr r="R645" s="1"/>
      </tp>
      <tp t="s">
        <v>INE148I07MM9</v>
        <stp/>
        <stp>bse_cm|865SCL24</stp>
        <stp>Isin code</stp>
        <tr r="R1165" s="1"/>
      </tp>
      <tp t="s">
        <v>INE148I07NR6</v>
        <stp/>
        <stp>bse_cm|857SCL24</stp>
        <stp>Isin code</stp>
        <tr r="R1002" s="1"/>
      </tp>
      <tp t="s">
        <v>INE148I07MW8</v>
        <stp/>
        <stp>bse_cm|833SCL24</stp>
        <stp>Isin code</stp>
        <tr r="R1180" s="1"/>
      </tp>
      <tp>
        <v>150</v>
        <stp/>
        <stp>bse_cm|966ONE29</stp>
        <stp>Bid Qty</stp>
        <tr r="D281" s="1"/>
      </tp>
      <tp>
        <v>50</v>
        <stp/>
        <stp>nse_cm|1030ICCL28-NM</stp>
        <stp>Ask Qty</stp>
        <tr r="G1596" s="1"/>
      </tp>
      <tp t="s">
        <v>INE148I07SW5</v>
        <stp/>
        <stp>bse_cm|980SCL34</stp>
        <stp>Isin code</stp>
        <tr r="R829" s="1"/>
      </tp>
      <tp>
        <v>1000</v>
        <stp/>
        <stp>bse_cm|85PCHFL26</stp>
        <stp>Prev Close</stp>
        <tr r="P713" s="1"/>
      </tp>
      <tp t="s">
        <v>MFLI25A</v>
        <stp/>
        <stp>bse_cm|MFLI25A</stp>
        <stp>Trading Symbol</stp>
        <tr r="B362" s="1"/>
      </tp>
      <tp>
        <v>10</v>
        <stp/>
        <stp>bse_cm|961ONE27</stp>
        <stp>Bid Qty</stp>
        <tr r="D628" s="1"/>
      </tp>
      <tp>
        <v>820.2</v>
        <stp/>
        <stp>nse_cm|925SCL25F-BD</stp>
        <stp>Bid Rate</stp>
        <tr r="E718" s="1"/>
      </tp>
      <tp t="s">
        <v>INE918K07FU8</v>
        <stp/>
        <stp>bse_cm|98NWFL30</stp>
        <stp>Isin code</stp>
        <tr r="R231" s="1"/>
      </tp>
      <tp>
        <v>25</v>
        <stp/>
        <stp>bse_cm|852LTF27</stp>
        <stp>Bid Qty</stp>
        <tr r="D983" s="1"/>
      </tp>
      <tp>
        <v>0</v>
        <stp/>
        <stp>bse_cm|10MVAFL25</stp>
        <stp>LTP</stp>
        <tr r="H1675" s="1"/>
      </tp>
      <tp t="s">
        <v>00:00:00</v>
        <stp/>
        <stp>bse_cm|10MVAFL25</stp>
        <stp>LTT</stp>
        <tr r="I1675" s="1"/>
      </tp>
      <tp>
        <v>967</v>
        <stp/>
        <stp>nse_cm|965SCL25E-BF</stp>
        <stp>Bid Rate</stp>
        <tr r="E413" s="1"/>
      </tp>
      <tp>
        <v>100</v>
        <stp/>
        <stp>nse_cm|1050IIFL29-ND</stp>
        <stp>Bid Qty</stp>
        <tr r="D585" s="1"/>
      </tp>
      <tp>
        <v>50</v>
        <stp/>
        <stp>nse_cm|1050ISFL28-N5</stp>
        <stp>Bid Qty</stp>
        <tr r="D1591" s="1"/>
      </tp>
      <tp t="s">
        <v>BSE</v>
        <stp/>
        <stp>bse_cm|CAGL27A</stp>
        <stp>Exchange</stp>
        <tr r="C1379" s="1"/>
      </tp>
      <tp>
        <v>20</v>
        <stp/>
        <stp>bse_cm|734REC30</stp>
        <stp>Ask Qty</stp>
        <tr r="G524" s="1"/>
      </tp>
      <tp>
        <v>0</v>
        <stp/>
        <stp>bse_cm|955ONE27</stp>
        <stp>Ask Qty</stp>
        <tr r="G1129" s="1"/>
      </tp>
      <tp>
        <v>10</v>
        <stp/>
        <stp>bse_cm|865LTF26</stp>
        <stp>Ask Qty</stp>
        <tr r="G391" s="1"/>
      </tp>
      <tp>
        <v>2</v>
        <stp/>
        <stp>nse_cm|1003ICCL28-NX</stp>
        <stp>Bid Qty</stp>
        <tr r="D553" s="1"/>
      </tp>
      <tp t="s">
        <v>00:00:00</v>
        <stp/>
        <stp>bse_cm|88MMFSL26</stp>
        <stp>LTT</stp>
        <tr r="I988" s="1"/>
      </tp>
      <tp t="s">
        <v>00:00:00</v>
        <stp/>
        <stp>bse_cm|92MMFSL27</stp>
        <stp>LTT</stp>
        <tr r="I384" s="1"/>
      </tp>
      <tp t="s">
        <v>00:00:00</v>
        <stp/>
        <stp>bse_cm|93MMFSL27</stp>
        <stp>LTT</stp>
        <tr r="I333" s="1"/>
      </tp>
      <tp>
        <v>0</v>
        <stp/>
        <stp>bse_cm|88MMFSL26</stp>
        <stp>LTP</stp>
        <tr r="H988" s="1"/>
      </tp>
      <tp>
        <v>0</v>
        <stp/>
        <stp>bse_cm|92MMFSL27</stp>
        <stp>LTP</stp>
        <tr r="H384" s="1"/>
      </tp>
      <tp>
        <v>1070.01</v>
        <stp/>
        <stp>bse_cm|93MMFSL27</stp>
        <stp>LTP</stp>
        <tr r="H333" s="1"/>
      </tp>
      <tp>
        <v>0</v>
        <stp/>
        <stp>bse_cm|95MMFSL29</stp>
        <stp>LTP</stp>
        <tr r="H353" s="1"/>
      </tp>
      <tp t="s">
        <v>00:00:00</v>
        <stp/>
        <stp>bse_cm|95MMFSL29</stp>
        <stp>LTT</stp>
        <tr r="I353" s="1"/>
      </tp>
      <tp t="s">
        <v>00:00:00</v>
        <stp/>
        <stp>bse_cm|91MOFSL27</stp>
        <stp>LTT</stp>
        <tr r="I1558" s="1"/>
      </tp>
      <tp>
        <v>0</v>
        <stp/>
        <stp>bse_cm|91MOFSL27</stp>
        <stp>LTP</stp>
        <tr r="H1558" s="1"/>
      </tp>
      <tp>
        <v>650.20000000000005</v>
        <stp/>
        <stp>nse_cm|965SCL28C-BR</stp>
        <stp>Bid Rate</stp>
        <tr r="E817" s="1"/>
      </tp>
      <tp t="s">
        <v>00:00:00</v>
        <stp/>
        <stp>bse_cm|97MOFSL34</stp>
        <stp>LTT</stp>
        <tr r="I1600" s="1"/>
      </tp>
      <tp t="s">
        <v>00:00:00</v>
        <stp/>
        <stp>bse_cm|93MOFSL34</stp>
        <stp>LTT</stp>
        <tr r="I312" s="1"/>
      </tp>
      <tp>
        <v>0</v>
        <stp/>
        <stp>bse_cm|97MOFSL34</stp>
        <stp>LTP</stp>
        <tr r="H1600" s="1"/>
      </tp>
      <tp>
        <v>0</v>
        <stp/>
        <stp>bse_cm|93MOFSL34</stp>
        <stp>LTP</stp>
        <tr r="H312" s="1"/>
      </tp>
      <tp>
        <v>807.9</v>
        <stp/>
        <stp>nse_cm|925SCL28C-BS</stp>
        <stp>Bid Rate</stp>
        <tr r="E823" s="1"/>
      </tp>
      <tp>
        <v>0</v>
        <stp/>
        <stp>nse_cm|830CIFC26-N2</stp>
        <stp>Open</stp>
        <tr r="M1625" s="1"/>
      </tp>
      <tp>
        <v>0</v>
        <stp/>
        <stp>nse_cm|840IRFC29-N8</stp>
        <stp>Open</stp>
        <tr r="M528" s="1"/>
      </tp>
      <tp>
        <v>0</v>
        <stp/>
        <stp>bse_cm|920IIFLS26</stp>
        <stp>Open</stp>
        <tr r="M613" s="1"/>
      </tp>
      <tp t="s">
        <v>00:00:00</v>
        <stp/>
        <stp>bse_cm|0SMCGSL26</stp>
        <stp>LTT</stp>
        <tr r="I589" s="1"/>
      </tp>
      <tp t="s">
        <v>00:00:00</v>
        <stp/>
        <stp>bse_cm|0SMCGSL27</stp>
        <stp>LTT</stp>
        <tr r="I1532" s="1"/>
      </tp>
      <tp>
        <v>0</v>
        <stp/>
        <stp>bse_cm|0SMCGSL26</stp>
        <stp>LTP</stp>
        <tr r="H589" s="1"/>
      </tp>
      <tp>
        <v>0</v>
        <stp/>
        <stp>bse_cm|0SMCGSL27</stp>
        <stp>LTP</stp>
        <tr r="H1532" s="1"/>
      </tp>
      <tp>
        <v>1267.8</v>
        <stp/>
        <stp>bse_cm|EFSL24C</stp>
        <stp>Ask Rate</stp>
        <tr r="F1755" s="1"/>
      </tp>
      <tp>
        <v>0</v>
        <stp/>
        <stp>bse_cm|960IIFLS26</stp>
        <stp>Open</stp>
        <tr r="M872" s="1"/>
      </tp>
      <tp>
        <v>0</v>
        <stp/>
        <stp>bse_cm|IFL1942024</stp>
        <stp>Open</stp>
        <tr r="M1594" s="1"/>
      </tp>
      <tp>
        <v>0</v>
        <stp/>
        <stp>bse_cm|957IIFLS27</stp>
        <stp>Open</stp>
        <tr r="M687" s="1"/>
      </tp>
      <tp t="s">
        <v>BSE</v>
        <stp/>
        <stp>bse_cm|916EFSL26</stp>
        <stp>Exchange</stp>
        <tr r="C69" s="1"/>
      </tp>
      <tp t="s">
        <v>BSE</v>
        <stp/>
        <stp>bse_cm|915EFSL26</stp>
        <stp>Exchange</stp>
        <tr r="C93" s="1"/>
      </tp>
      <tp t="s">
        <v>BSE</v>
        <stp/>
        <stp>bse_cm|920EFSL26</stp>
        <stp>Exchange</stp>
        <tr r="C223" s="1"/>
      </tp>
      <tp t="s">
        <v>BSE</v>
        <stp/>
        <stp>bse_cm|939EFSL26</stp>
        <stp>Exchange</stp>
        <tr r="C188" s="1"/>
      </tp>
      <tp t="s">
        <v>BSE</v>
        <stp/>
        <stp>bse_cm|950EFSL26</stp>
        <stp>Exchange</stp>
        <tr r="C1493" s="1"/>
      </tp>
      <tp t="s">
        <v>BSE</v>
        <stp/>
        <stp>bse_cm|955EFSL26</stp>
        <stp>Exchange</stp>
        <tr r="C503" s="1"/>
      </tp>
      <tp t="s">
        <v>BSE</v>
        <stp/>
        <stp>bse_cm|960EFSL26</stp>
        <stp>Exchange</stp>
        <tr r="C690" s="1"/>
      </tp>
      <tp t="s">
        <v>BSE</v>
        <stp/>
        <stp>bse_cm|895EFSL26</stp>
        <stp>Exchange</stp>
        <tr r="C109" s="1"/>
      </tp>
      <tp t="s">
        <v>BSE</v>
        <stp/>
        <stp>bse_cm|920EFSL27</stp>
        <stp>Exchange</stp>
        <tr r="C55" s="1"/>
      </tp>
      <tp t="s">
        <v>BSE</v>
        <stp/>
        <stp>bse_cm|935EFSL27</stp>
        <stp>Exchange</stp>
        <tr r="C157" s="1"/>
      </tp>
      <tp t="s">
        <v>BSE</v>
        <stp/>
        <stp>bse_cm|957EFSL27</stp>
        <stp>Exchange</stp>
        <tr r="C576" s="1"/>
      </tp>
      <tp t="s">
        <v>BSE</v>
        <stp/>
        <stp>bse_cm|960EFSL27</stp>
        <stp>Exchange</stp>
        <tr r="C70" s="1"/>
      </tp>
      <tp t="s">
        <v>BSE</v>
        <stp/>
        <stp>bse_cm|975EFSL27</stp>
        <stp>Exchange</stp>
        <tr r="C45" s="1"/>
      </tp>
      <tp>
        <v>0</v>
        <stp/>
        <stp>bse_cm|965ARKA28</stp>
        <stp>Ask Rate</stp>
        <tr r="F1349" s="1"/>
      </tp>
      <tp t="s">
        <v>BSE</v>
        <stp/>
        <stp>bse_cm|895EFSL25</stp>
        <stp>Exchange</stp>
        <tr r="C700" s="1"/>
      </tp>
      <tp t="s">
        <v>BSE</v>
        <stp/>
        <stp>bse_cm|925EFSL25</stp>
        <stp>Exchange</stp>
        <tr r="C632" s="1"/>
      </tp>
      <tp>
        <v>0</v>
        <stp/>
        <stp>bse_cm|1050KLMA28</stp>
        <stp>Ask Qty</stp>
        <tr r="G611" s="1"/>
      </tp>
      <tp t="s">
        <v>BSE</v>
        <stp/>
        <stp>bse_cm|101EFSL28</stp>
        <stp>Exchange</stp>
        <tr r="C211" s="1"/>
      </tp>
      <tp t="s">
        <v>BSE</v>
        <stp/>
        <stp>bse_cm|105EFSL29</stp>
        <stp>Exchange</stp>
        <tr r="C1358" s="1"/>
      </tp>
      <tp>
        <v>0</v>
        <stp/>
        <stp>bse_cm|875CIFC23B</stp>
        <stp>Ask Qty</stp>
        <tr r="G1394" s="1"/>
      </tp>
      <tp>
        <v>1000</v>
        <stp/>
        <stp>nse_cm|957SCL31-Z3</stp>
        <stp>Face Value</stp>
        <tr r="Q874" s="1"/>
      </tp>
      <tp t="s">
        <v>BSE</v>
        <stp/>
        <stp>bse_cm|967EFSL28</stp>
        <stp>Exchange</stp>
        <tr r="C205" s="1"/>
      </tp>
      <tp t="s">
        <v>BSE</v>
        <stp/>
        <stp>bse_cm|967EFSL29</stp>
        <stp>Exchange</stp>
        <tr r="C102" s="1"/>
      </tp>
      <tp>
        <v>0</v>
        <stp/>
        <stp>bse_cm|965ARKA26</stp>
        <stp>Ask Rate</stp>
        <tr r="F869" s="1"/>
      </tp>
      <tp>
        <v>1090</v>
        <stp/>
        <stp>nse_cm|TCHF30-NB</stp>
        <stp>High</stp>
        <tr r="N408" s="1"/>
      </tp>
      <tp t="s">
        <v>MFLIII25</v>
        <stp/>
        <stp>bse_cm|MFLIII25</stp>
        <stp>Trading Symbol</stp>
        <tr r="B1501" s="1"/>
      </tp>
      <tp t="s">
        <v>MFLVII27</v>
        <stp/>
        <stp>bse_cm|MFLVII27</stp>
        <stp>Trading Symbol</stp>
        <tr r="B1397" s="1"/>
      </tp>
      <tp>
        <v>0</v>
        <stp/>
        <stp>bse_cm|805ABFL28</stp>
        <stp>Ask Rate</stp>
        <tr r="F1371" s="1"/>
      </tp>
      <tp t="s">
        <v>865TCAPS27</v>
        <stp/>
        <stp>bse_cm|865TCAPS27</stp>
        <stp>Trading Symbol</stp>
        <tr r="B377" s="1"/>
      </tp>
      <tp t="s">
        <v>885TCAPS29</v>
        <stp/>
        <stp>bse_cm|885TCAPS29</stp>
        <stp>Trading Symbol</stp>
        <tr r="B12" s="1"/>
      </tp>
      <tp t="s">
        <v>855TCAPS27</v>
        <stp/>
        <stp>bse_cm|855TCAPS27</stp>
        <stp>Trading Symbol</stp>
        <tr r="B1004" s="1"/>
      </tp>
      <tp t="s">
        <v>875TCAPS29</v>
        <stp/>
        <stp>bse_cm|875TCAPS29</stp>
        <stp>Trading Symbol</stp>
        <tr r="B935" s="1"/>
      </tp>
      <tp t="s">
        <v>BSE</v>
        <stp/>
        <stp>bse_cm|925ERFL28</stp>
        <stp>Exchange</stp>
        <tr r="C147" s="1"/>
      </tp>
      <tp t="s">
        <v>BSE</v>
        <stp/>
        <stp>bse_cm|888ERFL28</stp>
        <stp>Exchange</stp>
        <tr r="C216" s="1"/>
      </tp>
      <tp>
        <v>1078</v>
        <stp/>
        <stp>nse_cm|99IFCI24-NH</stp>
        <stp>Prev Close</stp>
        <tr r="P39" s="1"/>
      </tp>
      <tp>
        <v>1034</v>
        <stp/>
        <stp>bse_cm|975AHFL28</stp>
        <stp>Ask Rate</stp>
        <tr r="F324" s="1"/>
      </tp>
      <tp>
        <v>1103</v>
        <stp/>
        <stp>bse_cm|935AHFL28</stp>
        <stp>Ask Rate</stp>
        <tr r="F456" s="1"/>
      </tp>
      <tp>
        <v>2076</v>
        <stp/>
        <stp>nse_cm|M&amp;MFIN-N3</stp>
        <stp>High</stp>
        <tr r="N1723" s="1"/>
      </tp>
      <tp t="s">
        <v>EFSL26724A</v>
        <stp/>
        <stp>bse_cm|EFSL26724A</stp>
        <stp>Trading Symbol</stp>
        <tr r="B1468" s="1"/>
      </tp>
      <tp t="s">
        <v>INE530L07228</v>
        <stp/>
        <stp>nse_cm|10NIDO26-N6</stp>
        <stp>Isin code</stp>
        <tr r="R66" s="1"/>
      </tp>
      <tp t="s">
        <v>INE219X07272</v>
        <stp/>
        <stp>nse_cm|772IGT31-NK</stp>
        <stp>Isin code</stp>
        <tr r="R1193" s="1"/>
      </tp>
      <tp t="s">
        <v>INE741K07546</v>
        <stp/>
        <stp>nse_cm|CAGL28-NE</stp>
        <stp>Isin code</stp>
        <tr r="R756" s="1"/>
      </tp>
      <tp>
        <v>1155</v>
        <stp/>
        <stp>nse_cm|SCL24A-ZS</stp>
        <stp>Bid Rate</stp>
        <tr r="E1751" s="1"/>
      </tp>
      <tp t="s">
        <v>850CIFCL26-NE</v>
        <stp/>
        <stp>nse_cm|850CIFCL26-NE</stp>
        <stp>Trading Symbol</stp>
        <tr r="B450" s="1"/>
      </tp>
      <tp t="s">
        <v>EFSLZC26C</v>
        <stp/>
        <stp>bse_cm|EFSLZC26C</stp>
        <stp>Symbol</stp>
        <tr r="A1332" s="1"/>
      </tp>
      <tp t="s">
        <v>EFSLZC26B</v>
        <stp/>
        <stp>bse_cm|EFSLZC26B</stp>
        <stp>Symbol</stp>
        <tr r="A1678" s="1"/>
      </tp>
      <tp t="s">
        <v>EFSLZC26A</v>
        <stp/>
        <stp>bse_cm|EFSLZC26A</stp>
        <stp>Symbol</stp>
        <tr r="A1574" s="1"/>
      </tp>
      <tp t="s">
        <v>EFSLZC25A</v>
        <stp/>
        <stp>bse_cm|EFSLZC25A</stp>
        <stp>Symbol</stp>
        <tr r="A1333" s="1"/>
      </tp>
      <tp t="s">
        <v>EFSLZC28C</v>
        <stp/>
        <stp>bse_cm|EFSLZC28C</stp>
        <stp>Symbol</stp>
        <tr r="A1331" s="1"/>
      </tp>
      <tp t="s">
        <v>1025ICCL26-NT</v>
        <stp/>
        <stp>nse_cm|1025ICCL26-NT</stp>
        <stp>Trading Symbol</stp>
        <tr r="B771" s="1"/>
      </tp>
      <tp t="s">
        <v>98SCL27-ZX</v>
        <stp/>
        <stp>nse_cm|98SCL27-ZX</stp>
        <stp>Trading Symbol</stp>
        <tr r="B1378" s="1"/>
      </tp>
      <tp t="s">
        <v>94SCL27-ZG</v>
        <stp/>
        <stp>nse_cm|94SCL27-ZG</stp>
        <stp>Trading Symbol</stp>
        <tr r="B1151" s="1"/>
      </tp>
      <tp t="s">
        <v>99SCL27-ZH</v>
        <stp/>
        <stp>nse_cm|99SCL27-ZH</stp>
        <stp>Trading Symbol</stp>
        <tr r="B1168" s="1"/>
      </tp>
      <tp t="s">
        <v>87SCL27-Z6</v>
        <stp/>
        <stp>nse_cm|87SCL27-Z6</stp>
        <stp>Trading Symbol</stp>
        <tr r="B950" s="1"/>
      </tp>
      <tp>
        <v>0</v>
        <stp/>
        <stp>bse_cm|11EFSL34A</stp>
        <stp>Ask Rate</stp>
        <tr r="F1408" s="1"/>
      </tp>
      <tp>
        <v>950</v>
        <stp/>
        <stp>bse_cm|10EFSL34A</stp>
        <stp>Ask Rate</stp>
        <tr r="F131" s="1"/>
      </tp>
      <tp t="s">
        <v>CIF29</v>
        <stp/>
        <stp>bse_cm|CIF29</stp>
        <stp>Trading Symbol</stp>
        <tr r="B744" s="1"/>
      </tp>
      <tp t="s">
        <v>CIF27</v>
        <stp/>
        <stp>bse_cm|CIF27</stp>
        <stp>Trading Symbol</stp>
        <tr r="B745" s="1"/>
      </tp>
      <tp t="s">
        <v>91SFL27-ZI</v>
        <stp/>
        <stp>nse_cm|91SFL27-ZI</stp>
        <stp>Trading Symbol</stp>
        <tr r="B533" s="1"/>
      </tp>
      <tp t="s">
        <v>INE148I07NX4</v>
        <stp/>
        <stp>nse_cm|925SCL28-AM</stp>
        <stp>Isin code</stp>
        <tr r="R939" s="1"/>
      </tp>
      <tp>
        <v>1063</v>
        <stp/>
        <stp>bse_cm|91EFSL24A</stp>
        <stp>Ask Rate</stp>
        <tr r="F46" s="1"/>
      </tp>
      <tp>
        <v>-100</v>
        <stp/>
        <stp>bse_cm|910MFL26</stp>
        <stp>% Change</stp>
        <tr r="J277" s="1"/>
      </tp>
      <tp>
        <v>-100</v>
        <stp/>
        <stp>bse_cm|890MFL26</stp>
        <stp>% Change</stp>
        <tr r="J1478" s="1"/>
      </tp>
      <tp>
        <v>1059</v>
        <stp/>
        <stp>bse_cm|739NHAI26</stp>
        <stp>Prev Close</stp>
        <tr r="P442" s="1"/>
      </tp>
      <tp>
        <v>-100</v>
        <stp/>
        <stp>bse_cm|750MFL27</stp>
        <stp>% Change</stp>
        <tr r="J274" s="1"/>
      </tp>
      <tp>
        <v>-100</v>
        <stp/>
        <stp>bse_cm|950MFL27</stp>
        <stp>% Change</stp>
        <tr r="J1147" s="1"/>
      </tp>
      <tp>
        <v>-100</v>
        <stp/>
        <stp>bse_cm|870MFL27</stp>
        <stp>% Change</stp>
        <tr r="J399" s="1"/>
      </tp>
      <tp>
        <v>-100</v>
        <stp/>
        <stp>bse_cm|840MFL27</stp>
        <stp>% Change</stp>
        <tr r="J133" s="1"/>
      </tp>
      <tp>
        <v>-100</v>
        <stp/>
        <stp>bse_cm|850MFL27</stp>
        <stp>% Change</stp>
        <tr r="J265" s="1"/>
      </tp>
      <tp t="s">
        <v>INE523H07AQ1</v>
        <stp/>
        <stp>bse_cm|JMFPZC26</stp>
        <stp>Isin code</stp>
        <tr r="R1323" s="1"/>
      </tp>
      <tp>
        <v>-100</v>
        <stp/>
        <stp>bse_cm|950MML24</stp>
        <stp>% Change</stp>
        <tr r="J304" s="1"/>
      </tp>
      <tp>
        <v>-100</v>
        <stp/>
        <stp>bse_cm|850MFL24</stp>
        <stp>% Change</stp>
        <tr r="J1100" s="1"/>
      </tp>
      <tp>
        <v>0</v>
        <stp/>
        <stp>nse_cm|866SCL25-YP</stp>
        <stp>% Change</stp>
        <tr r="J933" s="1"/>
      </tp>
      <tp>
        <v>0</v>
        <stp/>
        <stp>nse_cm|857SCL24-ZQ</stp>
        <stp>% Change</stp>
        <tr r="J975" s="1"/>
      </tp>
      <tp>
        <v>-100</v>
        <stp/>
        <stp>bse_cm|760MFL25</stp>
        <stp>% Change</stp>
        <tr r="J482" s="1"/>
      </tp>
      <tp>
        <v>-100</v>
        <stp/>
        <stp>bse_cm|810MFL25</stp>
        <stp>% Change</stp>
        <tr r="J429" s="1"/>
      </tp>
      <tp>
        <v>1360</v>
        <stp/>
        <stp>bse_cm|840IRFC29</stp>
        <stp>Prev Close</stp>
        <tr r="P1634" s="1"/>
      </tp>
      <tp t="s">
        <v>BSE</v>
        <stp/>
        <stp>bse_cm|9EFSL25</stp>
        <stp>Exchange</stp>
        <tr r="C606" s="1"/>
      </tp>
      <tp>
        <v>20</v>
        <stp/>
        <stp>bse_cm|11ICLFL25</stp>
        <stp>Volume Traded Today</stp>
        <tr r="L452" s="1"/>
      </tp>
      <tp>
        <v>0</v>
        <stp/>
        <stp>bse_cm|12ICLFL26</stp>
        <stp>Volume Traded Today</stp>
        <tr r="L547" s="1"/>
      </tp>
      <tp>
        <v>0</v>
        <stp/>
        <stp>nse_cm|955SCL25-ZU</stp>
        <stp>% Change</stp>
        <tr r="J1391" s="1"/>
      </tp>
      <tp>
        <v>-100</v>
        <stp/>
        <stp>bse_cm|950KLM25</stp>
        <stp>% Change</stp>
        <tr r="J1150" s="1"/>
      </tp>
      <tp>
        <v>0</v>
        <stp/>
        <stp>bse_cm|10ARKA28</stp>
        <stp>Ask Qty</stp>
        <tr r="G1400" s="1"/>
      </tp>
      <tp t="s">
        <v>BSE</v>
        <stp/>
        <stp>bse_cm|9EFSL26</stp>
        <stp>Exchange</stp>
        <tr r="C581" s="1"/>
      </tp>
      <tp>
        <v>-100</v>
        <stp/>
        <stp>bse_cm|950KFL27</stp>
        <stp>% Change</stp>
        <tr r="J143" s="1"/>
      </tp>
      <tp>
        <v>-100</v>
        <stp/>
        <stp>nse_cm|965SCL29-YX</stp>
        <stp>% Change</stp>
        <tr r="J847" s="1"/>
      </tp>
      <tp>
        <v>1</v>
        <stp/>
        <stp>bse_cm|84TCHF28</stp>
        <stp>Bid Qty</stp>
        <tr r="D403" s="1"/>
      </tp>
      <tp>
        <v>814</v>
        <stp/>
        <stp>bse_cm|1015SCL28B</stp>
        <stp>High</stp>
        <tr r="N1178" s="1"/>
      </tp>
      <tp>
        <v>-100</v>
        <stp/>
        <stp>nse_cm|SCL26-NA</stp>
        <stp>% Change</stp>
        <tr r="J919" s="1"/>
      </tp>
      <tp>
        <v>941</v>
        <stp/>
        <stp>bse_cm|967NIDO28</stp>
        <stp>Prev Close</stp>
        <tr r="P227" s="1"/>
      </tp>
      <tp>
        <v>20</v>
        <stp/>
        <stp>nse_cm|891IIFCL34-N4</stp>
        <stp>Bid Qty</stp>
        <tr r="D516" s="1"/>
      </tp>
      <tp>
        <v>1035</v>
        <stp/>
        <stp>bse_cm|715PFCL36</stp>
        <stp>Prev Close</stp>
        <tr r="P437" s="1"/>
      </tp>
      <tp>
        <v>978</v>
        <stp/>
        <stp>bse_cm|915MFCL27</stp>
        <stp>Prev Close</stp>
        <tr r="P1472" s="1"/>
      </tp>
      <tp>
        <v>0</v>
        <stp/>
        <stp>bse_cm|EFSL26724A</stp>
        <stp>Open</stp>
        <tr r="M1468" s="1"/>
      </tp>
      <tp>
        <v>500</v>
        <stp/>
        <stp>nse_cm|851HUDCO28-NB</stp>
        <stp>Bid Qty</stp>
        <tr r="D502" s="1"/>
      </tp>
      <tp>
        <v>1000</v>
        <stp/>
        <stp>bse_cm|1125CCI27</stp>
        <stp>Prev Close</stp>
        <tr r="P1229" s="1"/>
      </tp>
      <tp>
        <v>40</v>
        <stp/>
        <stp>nse_cm|901HUDCO34-NE</stp>
        <stp>Bid Qty</stp>
        <tr r="D517" s="1"/>
      </tp>
      <tp>
        <v>820</v>
        <stp/>
        <stp>bse_cm|1015SCL28A</stp>
        <stp>High</stp>
        <tr r="N1386" s="1"/>
      </tp>
      <tp>
        <v>100</v>
        <stp/>
        <stp>nse_cm|751HUDCO28-N5</stp>
        <stp>Bid Qty</stp>
        <tr r="D492" s="1"/>
      </tp>
      <tp>
        <v>0</v>
        <stp/>
        <stp>bse_cm|9ARKA25</stp>
        <stp>Ask Rate</stp>
        <tr r="F1365" s="1"/>
      </tp>
      <tp>
        <v>1124.0999999999999</v>
        <stp/>
        <stp>bse_cm|735NHAI31</stp>
        <stp>Prev Close</stp>
        <tr r="P565" s="1"/>
      </tp>
      <tp>
        <v>20</v>
        <stp/>
        <stp>bse_cm|ECLZC24B</stp>
        <stp>Ask Qty</stp>
        <tr r="G1767" s="1"/>
      </tp>
      <tp>
        <v>0</v>
        <stp/>
        <stp>bse_cm|SCLZC25F</stp>
        <stp>Ask Qty</stp>
        <tr r="G1542" s="1"/>
      </tp>
      <tp>
        <v>0</v>
        <stp/>
        <stp>bse_cm|SCLZC25E</stp>
        <stp>Ask Qty</stp>
        <tr r="G907" s="1"/>
      </tp>
      <tp>
        <v>0</v>
        <stp/>
        <stp>bse_cm|SCLZC25D</stp>
        <stp>Ask Qty</stp>
        <tr r="G1573" s="1"/>
      </tp>
      <tp>
        <v>0</v>
        <stp/>
        <stp>bse_cm|SCLZC25C</stp>
        <stp>Ask Qty</stp>
        <tr r="G1231" s="1"/>
      </tp>
      <tp>
        <v>0</v>
        <stp/>
        <stp>bse_cm|SCLZC25B</stp>
        <stp>Ask Qty</stp>
        <tr r="G1540" s="1"/>
      </tp>
      <tp>
        <v>0</v>
        <stp/>
        <stp>bse_cm|SCLZC25A</stp>
        <stp>Ask Qty</stp>
        <tr r="G1233" s="1"/>
      </tp>
      <tp>
        <v>0</v>
        <stp/>
        <stp>bse_cm|927MFL26A</stp>
        <stp>Volume Traded Today</stp>
        <tr r="L617" s="1"/>
      </tp>
      <tp>
        <v>1000</v>
        <stp/>
        <stp>bse_cm|IFL19424A</stp>
        <stp>Prev Close</stp>
        <tr r="P1419" s="1"/>
      </tp>
      <tp>
        <v>-100</v>
        <stp/>
        <stp>bse_cm|850MFL28</stp>
        <stp>% Change</stp>
        <tr r="J236" s="1"/>
      </tp>
      <tp>
        <v>-100</v>
        <stp/>
        <stp>bse_cm|880MFL28</stp>
        <stp>% Change</stp>
        <tr r="J1338" s="1"/>
      </tp>
      <tp>
        <v>949.9</v>
        <stp/>
        <stp>bse_cm|842IIFL26</stp>
        <stp>Prev Close</stp>
        <tr r="P181" s="1"/>
      </tp>
      <tp>
        <v>0</v>
        <stp/>
        <stp>bse_cm|SCLZC26G</stp>
        <stp>Ask Qty</stp>
        <tr r="G799" s="1"/>
      </tp>
      <tp>
        <v>0</v>
        <stp/>
        <stp>bse_cm|SCLZC26F</stp>
        <stp>Ask Qty</stp>
        <tr r="G898" s="1"/>
      </tp>
      <tp>
        <v>0</v>
        <stp/>
        <stp>bse_cm|SCLZC26E</stp>
        <stp>Ask Qty</stp>
        <tr r="G900" s="1"/>
      </tp>
      <tp>
        <v>0</v>
        <stp/>
        <stp>bse_cm|SCLZC26D</stp>
        <stp>Ask Qty</stp>
        <tr r="G705" s="1"/>
      </tp>
      <tp>
        <v>0</v>
        <stp/>
        <stp>bse_cm|SCLZC26C</stp>
        <stp>Ask Qty</stp>
        <tr r="G1399" s="1"/>
      </tp>
      <tp>
        <v>0</v>
        <stp/>
        <stp>bse_cm|SCLZC26B</stp>
        <stp>Ask Qty</stp>
        <tr r="G992" s="1"/>
      </tp>
      <tp>
        <v>0</v>
        <stp/>
        <stp>bse_cm|SCLZC26A</stp>
        <stp>Ask Qty</stp>
        <tr r="G1343" s="1"/>
      </tp>
      <tp>
        <v>0</v>
        <stp/>
        <stp>bse_cm|SCLZC26H</stp>
        <stp>Ask Qty</stp>
        <tr r="G814" s="1"/>
      </tp>
      <tp>
        <v>-100</v>
        <stp/>
        <stp>bse_cm|850MFL29</stp>
        <stp>% Change</stp>
        <tr r="J356" s="1"/>
      </tp>
      <tp>
        <v>834.2</v>
        <stp/>
        <stp>bse_cm|843SCFL27</stp>
        <stp>Prev Close</stp>
        <tr r="P1074" s="1"/>
      </tp>
      <tp>
        <v>919.44</v>
        <stp/>
        <stp>bse_cm|843IHFL29</stp>
        <stp>Prev Close</stp>
        <tr r="P139" s="1"/>
      </tp>
      <tp>
        <v>1000</v>
        <stp/>
        <stp>bse_cm|960NIDO26</stp>
        <stp>Prev Close</stp>
        <tr r="P870" s="1"/>
      </tp>
      <tp>
        <v>-100</v>
        <stp/>
        <stp>bse_cm|930SFL28</stp>
        <stp>% Change</stp>
        <tr r="J10" s="1"/>
      </tp>
      <tp>
        <v>14</v>
        <stp/>
        <stp>bse_cm|IFL19424</stp>
        <stp>Bid Qty</stp>
        <tr r="D1344" s="1"/>
      </tp>
      <tp>
        <v>1000</v>
        <stp/>
        <stp>nse_cm|925SCL25H-Y0</stp>
        <stp>Face Value</stp>
        <tr r="Q791" s="1"/>
      </tp>
      <tp>
        <v>0</v>
        <stp/>
        <stp>bse_cm|MFLTDVI25</stp>
        <stp>Volume Traded Today</stp>
        <tr r="L1686" s="1"/>
      </tp>
      <tp>
        <v>0</v>
        <stp/>
        <stp>bse_cm|MFLTDII27</stp>
        <stp>Volume Traded Today</stp>
        <tr r="L297" s="1"/>
      </tp>
      <tp>
        <v>-100</v>
        <stp/>
        <stp>bse_cm|920PEL28</stp>
        <stp>% Change</stp>
        <tr r="J440" s="1"/>
      </tp>
      <tp t="e">
        <v>#N/A</v>
        <stp/>
        <stp>bse_cm|975SFL024</stp>
        <stp>Volume Traded Today</stp>
        <tr r="L31" s="1"/>
      </tp>
      <tp>
        <v>0</v>
        <stp/>
        <stp>nse_cm|925SCL25B-Y3</stp>
        <stp>Ask Rate</stp>
        <tr r="F600" s="1"/>
      </tp>
      <tp>
        <v>0</v>
        <stp/>
        <stp>nse_cm|925SCL25H-Y0</stp>
        <stp>Ask Rate</stp>
        <tr r="F791" s="1"/>
      </tp>
      <tp>
        <v>0</v>
        <stp/>
        <stp>nse_cm|965SCL25B-Y1</stp>
        <stp>Ask Rate</stp>
        <tr r="F1502" s="1"/>
      </tp>
      <tp>
        <v>-100</v>
        <stp/>
        <stp>nse_cm|795IGT31-NI</stp>
        <stp>% Change</stp>
        <tr r="J1185" s="1"/>
      </tp>
      <tp>
        <v>1080</v>
        <stp/>
        <stp>bse_cm|8ABFL26</stp>
        <stp>Ask Rate</stp>
        <tr r="F539" s="1"/>
      </tp>
      <tp>
        <v>1000</v>
        <stp/>
        <stp>bse_cm|915EFSL26</stp>
        <stp>Face Value</stp>
        <tr r="Q93" s="1"/>
      </tp>
      <tp>
        <v>1000</v>
        <stp/>
        <stp>bse_cm|916EFSL26</stp>
        <stp>Face Value</stp>
        <tr r="Q69" s="1"/>
      </tp>
      <tp>
        <v>0.33</v>
        <stp/>
        <stp>nse_cm|79NHIT35-N1</stp>
        <stp>% Change</stp>
        <tr r="J1589" s="1"/>
      </tp>
      <tp>
        <v>72</v>
        <stp/>
        <stp>bse_cm|93ARKA25</stp>
        <stp>Bid Qty</stp>
        <tr r="D1395" s="1"/>
      </tp>
      <tp>
        <v>27</v>
        <stp/>
        <stp>bse_cm|93ARKA26</stp>
        <stp>Bid Qty</stp>
        <tr r="D981" s="1"/>
      </tp>
      <tp>
        <v>-100</v>
        <stp/>
        <stp>bse_cm|850SCL25</stp>
        <stp>% Change</stp>
        <tr r="J923" s="1"/>
      </tp>
      <tp>
        <v>-100</v>
        <stp/>
        <stp>bse_cm|820SCL25</stp>
        <stp>% Change</stp>
        <tr r="J925" s="1"/>
      </tp>
      <tp>
        <v>867</v>
        <stp/>
        <stp>nse_cm|888SCL25E-N4</stp>
        <stp>Bid Rate</stp>
        <tr r="E1444" s="1"/>
      </tp>
      <tp>
        <v>0.97</v>
        <stp/>
        <stp>nse_cm|79NHIT47-N3</stp>
        <stp>% Change</stp>
        <tr r="J1585" s="1"/>
      </tp>
      <tp>
        <v>-100</v>
        <stp/>
        <stp>bse_cm|940SCL26</stp>
        <stp>% Change</stp>
        <tr r="J778" s="1"/>
      </tp>
      <tp>
        <v>-4.93</v>
        <stp/>
        <stp>bse_cm|990SCL26</stp>
        <stp>% Change</stp>
        <tr r="J421" s="1"/>
      </tp>
      <tp>
        <v>9</v>
        <stp/>
        <stp>nse_cm|855IREDA34-N3</stp>
        <stp>Ask Qty</stp>
        <tr r="G558" s="1"/>
      </tp>
      <tp>
        <v>110</v>
        <stp/>
        <stp>nse_cm|855IREDA29-N2</stp>
        <stp>Ask Qty</stp>
        <tr r="G505" s="1"/>
      </tp>
      <tp>
        <v>0</v>
        <stp/>
        <stp>nse_cm|797IGT31-NL</stp>
        <stp>% Change</stp>
        <tr r="J374" s="1"/>
      </tp>
      <tp>
        <v>1.75</v>
        <stp/>
        <stp>nse_cm|79NHIT40-N2</stp>
        <stp>% Change</stp>
        <tr r="J1587" s="1"/>
      </tp>
      <tp>
        <v>0</v>
        <stp/>
        <stp>nse_cm|965SCL26-YO</stp>
        <stp>% Change</stp>
        <tr r="J146" s="1"/>
      </tp>
      <tp>
        <v>-100</v>
        <stp/>
        <stp>bse_cm|950SFL27</stp>
        <stp>% Change</stp>
        <tr r="J1144" s="1"/>
      </tp>
      <tp>
        <v>-100</v>
        <stp/>
        <stp>bse_cm|940SCL27</stp>
        <stp>% Change</stp>
        <tr r="J792" s="1"/>
      </tp>
      <tp>
        <v>-100</v>
        <stp/>
        <stp>bse_cm|990SCL27</stp>
        <stp>% Change</stp>
        <tr r="J796" s="1"/>
      </tp>
      <tp>
        <v>0</v>
        <stp/>
        <stp>nse_cm|957SCL31-Z3</stp>
        <stp>% Change</stp>
        <tr r="J874" s="1"/>
      </tp>
      <tp>
        <v>1000</v>
        <stp/>
        <stp>bse_cm|91MOFSL27</stp>
        <stp>Face Value</stp>
        <tr r="Q1558" s="1"/>
      </tp>
      <tp>
        <v>994.2</v>
        <stp/>
        <stp>bse_cm|MFLI25A</stp>
        <stp>Ask Rate</stp>
        <tr r="F362" s="1"/>
      </tp>
      <tp>
        <v>980.05</v>
        <stp/>
        <stp>nse_cm|948SCL26A-NN</stp>
        <stp>Bid Rate</stp>
        <tr r="E526" s="1"/>
      </tp>
      <tp>
        <v>100</v>
        <stp/>
        <stp>bse_cm|718REC35</stp>
        <stp>Bid Qty</stp>
        <tr r="D549" s="1"/>
      </tp>
      <tp>
        <v>0</v>
        <stp/>
        <stp>nse_cm|955SCL27-Z5</stp>
        <stp>% Change</stp>
        <tr r="J949" s="1"/>
      </tp>
      <tp t="s">
        <v>INE403Q07CG4</v>
        <stp/>
        <stp>bse_cm|10KSFL25</stp>
        <stp>Isin code</stp>
        <tr r="R107" s="1"/>
      </tp>
      <tp>
        <v>15</v>
        <stp/>
        <stp>bse_cm|714REC25</stp>
        <stp>Bid Qty</stp>
        <tr r="D518" s="1"/>
      </tp>
      <tp>
        <v>0</v>
        <stp/>
        <stp>nse_cm|835SCL23A-YH</stp>
        <stp>Ask Rate</stp>
        <tr r="F833" s="1"/>
      </tp>
      <tp>
        <v>0</v>
        <stp/>
        <stp>nse_cm|925SCL28B-YC</stp>
        <stp>Ask Rate</stp>
        <tr r="F825" s="1"/>
      </tp>
      <tp>
        <v>20</v>
        <stp/>
        <stp>bse_cm|845LTF24</stp>
        <stp>Bid Qty</stp>
        <tr r="D943" s="1"/>
      </tp>
      <tp>
        <v>1074</v>
        <stp/>
        <stp>bse_cm|MFLTDVII27</stp>
        <stp>Bid Rate</stp>
        <tr r="E1562" s="1"/>
      </tp>
      <tp>
        <v>0</v>
        <stp/>
        <stp>nse_cm|875SCL23A-YI</stp>
        <stp>Ask Rate</stp>
        <tr r="F1477" s="1"/>
      </tp>
      <tp>
        <v>0</v>
        <stp/>
        <stp>nse_cm|965SCL28B-YB</stp>
        <stp>Ask Rate</stp>
        <tr r="F819" s="1"/>
      </tp>
      <tp t="s">
        <v>INE148I07QF4</v>
        <stp/>
        <stp>bse_cm|888SCL25</stp>
        <stp>Isin code</stp>
        <tr r="R1134" s="1"/>
      </tp>
      <tp t="s">
        <v>INE148I07MF3</v>
        <stp/>
        <stp>bse_cm|894SCL25</stp>
        <stp>Isin code</stp>
        <tr r="R1517" s="1"/>
      </tp>
      <tp t="s">
        <v>INE148I07LR0</v>
        <stp/>
        <stp>bse_cm|866SCL25</stp>
        <stp>Isin code</stp>
        <tr r="R603" s="1"/>
      </tp>
      <tp t="s">
        <v>INE148I07MB2</v>
        <stp/>
        <stp>bse_cm|847SCL25</stp>
        <stp>Isin code</stp>
        <tr r="R941" s="1"/>
      </tp>
      <tp t="s">
        <v>INE148I07LM1</v>
        <stp/>
        <stp>bse_cm|850SCL25</stp>
        <stp>Isin code</stp>
        <tr r="R923" s="1"/>
      </tp>
      <tp t="s">
        <v>INE148I07LQ2</v>
        <stp/>
        <stp>bse_cm|820SCL25</stp>
        <stp>Isin code</stp>
        <tr r="R925" s="1"/>
      </tp>
      <tp>
        <v>0</v>
        <stp/>
        <stp>nse_cm|888SCL25D-NC</stp>
        <stp>Bid Rate</stp>
        <tr r="E916" s="1"/>
      </tp>
      <tp t="s">
        <v>INE148I07OD4</v>
        <stp/>
        <stp>bse_cm|965SCL25</stp>
        <stp>Isin code</stp>
        <tr r="R1105" s="1"/>
      </tp>
      <tp t="s">
        <v>INE148I07NH7</v>
        <stp/>
        <stp>bse_cm|955SCL25</stp>
        <stp>Isin code</stp>
        <tr r="R1128" s="1"/>
      </tp>
      <tp t="s">
        <v>INE148I07PA7</v>
        <stp/>
        <stp>bse_cm|925SCL25</stp>
        <stp>Isin code</stp>
        <tr r="R104" s="1"/>
      </tp>
      <tp t="s">
        <v>INE148I07NI5</v>
        <stp/>
        <stp>bse_cm|905SCL25</stp>
        <stp>Isin code</stp>
        <tr r="R1060" s="1"/>
      </tp>
      <tp t="s">
        <v>INE148I07NM7</v>
        <stp/>
        <stp>bse_cm|916SCL25</stp>
        <stp>Isin code</stp>
        <tr r="R964" s="1"/>
      </tp>
      <tp>
        <v>0</v>
        <stp/>
        <stp>nse_cm|925SCL26A-YN</stp>
        <stp>Ask Rate</stp>
        <tr r="F838" s="1"/>
      </tp>
      <tp>
        <v>0</v>
        <stp/>
        <stp>nse_cm|850SCFL25-Y4</stp>
        <stp>High</stp>
        <tr r="N924" s="1"/>
      </tp>
      <tp t="s">
        <v>INE140A07740</v>
        <stp/>
        <stp>bse_cm|905PEL26</stp>
        <stp>Isin code</stp>
        <tr r="R1518" s="1"/>
      </tp>
      <tp>
        <v>0</v>
        <stp/>
        <stp>nse_cm|1077IIFL30-N7</stp>
        <stp>Ask Qty</stp>
        <tr r="G996" s="1"/>
      </tp>
      <tp>
        <v>950</v>
        <stp/>
        <stp>nse_cm|835SCL23B-YM</stp>
        <stp>Ask Rate</stp>
        <tr r="F179" s="1"/>
      </tp>
      <tp>
        <v>0</v>
        <stp/>
        <stp>nse_cm|820SCFL25-Y7</stp>
        <stp>High</stp>
        <tr r="N926" s="1"/>
      </tp>
      <tp t="s">
        <v>00:00:00</v>
        <stp/>
        <stp>bse_cm|902SCL26A</stp>
        <stp>LTT</stp>
        <tr r="I967" s="1"/>
      </tp>
      <tp>
        <v>0</v>
        <stp/>
        <stp>bse_cm|902SCL26A</stp>
        <stp>LTP</stp>
        <tr r="H967" s="1"/>
      </tp>
      <tp t="s">
        <v>00:00:00</v>
        <stp/>
        <stp>bse_cm|902SCL26I</stp>
        <stp>LTT</stp>
        <tr r="I903" s="1"/>
      </tp>
      <tp>
        <v>0</v>
        <stp/>
        <stp>bse_cm|902SCL26I</stp>
        <stp>LTP</stp>
        <tr r="H903" s="1"/>
      </tp>
      <tp t="s">
        <v>INE721A07PJ9</v>
        <stp/>
        <stp>bse_cm|866SFL25</stp>
        <stp>Isin code</stp>
        <tr r="R1652" s="1"/>
      </tp>
      <tp t="s">
        <v>INE302E07425</v>
        <stp/>
        <stp>bse_cm|875SFL25</stp>
        <stp>Isin code</stp>
        <tr r="R936" s="1"/>
      </tp>
      <tp>
        <v>0</v>
        <stp/>
        <stp>nse_cm|1025ICCL26-NT</stp>
        <stp>Ask Qty</stp>
        <tr r="G771" s="1"/>
      </tp>
      <tp t="s">
        <v>00:00:00</v>
        <stp/>
        <stp>bse_cm|902SCL27A</stp>
        <stp>LTT</stp>
        <tr r="I1354" s="1"/>
      </tp>
      <tp>
        <v>0</v>
        <stp/>
        <stp>bse_cm|902SCL27A</stp>
        <stp>LTP</stp>
        <tr r="H1354" s="1"/>
      </tp>
      <tp>
        <v>985.79</v>
        <stp/>
        <stp>nse_cm|SCL310524-ZF</stp>
        <stp xml:space="preserve">Low </stp>
        <tr r="O593" s="1"/>
      </tp>
      <tp>
        <v>0</v>
        <stp/>
        <stp>nse_cm|950IIFL27-Y2</stp>
        <stp>High</stp>
        <tr r="N995" s="1"/>
      </tp>
      <tp>
        <v>1369.9</v>
        <stp/>
        <stp>nse_cm|891NTPC33-N6</stp>
        <stp>Open</stp>
        <tr r="M535" s="1"/>
      </tp>
      <tp>
        <v>997.45</v>
        <stp/>
        <stp>nse_cm|866SCFL25-Y8</stp>
        <stp xml:space="preserve">Low </stp>
        <tr r="O158" s="1"/>
      </tp>
      <tp>
        <v>0</v>
        <stp/>
        <stp>bse_cm|840CIFCL28</stp>
        <stp>Open</stp>
        <tr r="M419" s="1"/>
      </tp>
      <tp>
        <v>300</v>
        <stp/>
        <stp>bse_cm|944ONE34</stp>
        <stp>Ask Qty</stp>
        <tr r="G269" s="1"/>
      </tp>
      <tp>
        <v>0</v>
        <stp/>
        <stp>bse_cm|860CIFCL28</stp>
        <stp>Open</stp>
        <tr r="M1431" s="1"/>
      </tp>
      <tp>
        <v>0</v>
        <stp/>
        <stp>bse_cm|792TCH25</stp>
        <stp>Ask Qty</stp>
        <tr r="G1188" s="1"/>
      </tp>
      <tp t="s">
        <v>NSE</v>
        <stp/>
        <stp>nse_cm|971SCL28B-YD</stp>
        <stp>Exchange</stp>
        <tr r="C828" s="1"/>
      </tp>
      <tp>
        <v>972</v>
        <stp/>
        <stp>nse_cm|925SCL26B-YQ</stp>
        <stp>Ask Rate</stp>
        <tr r="F90" s="1"/>
      </tp>
      <tp>
        <v>1052.5</v>
        <stp/>
        <stp>bse_cm|MFLTDIII24</stp>
        <stp>Bid Rate</stp>
        <tr r="E1721" s="1"/>
      </tp>
      <tp>
        <v>0</v>
        <stp/>
        <stp>bse_cm|775MFL2025</stp>
        <stp>Open</stp>
        <tr r="M336" s="1"/>
      </tp>
      <tp>
        <v>0</v>
        <stp/>
        <stp>bse_cm|775MFLTD25</stp>
        <stp>Open</stp>
        <tr r="M649" s="1"/>
      </tp>
      <tp t="s">
        <v>NSE</v>
        <stp/>
        <stp>nse_cm|902SCL27A-ZI</stp>
        <stp>Exchange</stp>
        <tr r="C1353" s="1"/>
      </tp>
      <tp>
        <v>975</v>
        <stp/>
        <stp>bse_cm|775MFL2026</stp>
        <stp>Open</stp>
        <tr r="M240" s="1"/>
      </tp>
      <tp>
        <v>0</v>
        <stp/>
        <stp>bse_cm|775MFLTD26</stp>
        <stp>Open</stp>
        <tr r="M652" s="1"/>
      </tp>
      <tp t="s">
        <v>NSE</v>
        <stp/>
        <stp>nse_cm|980SCL33B-YL</stp>
        <stp>Exchange</stp>
        <tr r="C837" s="1"/>
      </tp>
      <tp>
        <v>585</v>
        <stp/>
        <stp>bse_cm|941ONE26</stp>
        <stp>Ask Qty</stp>
        <tr r="G263" s="1"/>
      </tp>
      <tp>
        <v>0</v>
        <stp/>
        <stp>bse_cm|785MFL2028</stp>
        <stp>Open</stp>
        <tr r="M357" s="1"/>
      </tp>
      <tp>
        <v>0</v>
        <stp/>
        <stp>nse_cm|1048IIFL27-N6</stp>
        <stp>Bid Qty</stp>
        <tr r="D997" s="1"/>
      </tp>
      <tp>
        <v>0</v>
        <stp/>
        <stp>bse_cm|775MFLTD28</stp>
        <stp>Open</stp>
        <tr r="M1192" s="1"/>
      </tp>
      <tp>
        <v>0</v>
        <stp/>
        <stp>nse_cm|1050SCL31-ZP</stp>
        <stp xml:space="preserve">Low </stp>
        <tr r="O891" s="1"/>
      </tp>
      <tp>
        <v>0</v>
        <stp/>
        <stp>nse_cm|1075SCFL34-Z6</stp>
        <stp>Ask Qty</stp>
        <tr r="G882" s="1"/>
      </tp>
      <tp t="s">
        <v>NSE</v>
        <stp/>
        <stp>nse_cm|980SCL33D-YG</stp>
        <stp>Exchange</stp>
        <tr r="C830" s="1"/>
      </tp>
      <tp>
        <v>1088.45</v>
        <stp/>
        <stp>bse_cm|EFSL25B</stp>
        <stp>Ask Rate</stp>
        <tr r="F1682" s="1"/>
      </tp>
      <tp>
        <v>0</v>
        <stp/>
        <stp>bse_cm|850CIFCL26</stp>
        <stp>Open</stp>
        <tr r="M1164" s="1"/>
      </tp>
      <tp>
        <v>1012.01</v>
        <stp/>
        <stp>nse_cm|99AEL29-N7</stp>
        <stp>Bid Rate</stp>
        <tr r="E246" s="1"/>
      </tp>
      <tp>
        <v>1110.8</v>
        <stp/>
        <stp>bse_cm|EFSL25A</stp>
        <stp>Ask Rate</stp>
        <tr r="F1706" s="1"/>
      </tp>
      <tp t="s">
        <v>BSE</v>
        <stp/>
        <stp>bse_cm|965EFSL32</stp>
        <stp>Exchange</stp>
        <tr r="C141" s="1"/>
      </tp>
      <tp t="s">
        <v>BSE</v>
        <stp/>
        <stp>bse_cm|995EFSL31</stp>
        <stp>Exchange</stp>
        <tr r="C192" s="1"/>
      </tp>
      <tp t="s">
        <v>BSE</v>
        <stp/>
        <stp>bse_cm|930EFSL31</stp>
        <stp>Exchange</stp>
        <tr r="C65" s="1"/>
      </tp>
      <tp t="s">
        <v>BSE</v>
        <stp/>
        <stp>bse_cm|953EFSL31</stp>
        <stp>Exchange</stp>
        <tr r="C191" s="1"/>
      </tp>
      <tp t="s">
        <v>BSE</v>
        <stp/>
        <stp>bse_cm|970EFSL31</stp>
        <stp>Exchange</stp>
        <tr r="C220" s="1"/>
      </tp>
      <tp>
        <v>857.14</v>
        <stp/>
        <stp>nse_cm|957SCL30-BX</stp>
        <stp>Face Value</stp>
        <tr r="Q1109" s="1"/>
      </tp>
      <tp>
        <v>1000</v>
        <stp/>
        <stp>nse_cm|935PEL33-N3</stp>
        <stp>Face Value</stp>
        <tr r="Q1375" s="1"/>
      </tp>
      <tp t="s">
        <v>BSE</v>
        <stp/>
        <stp>bse_cm|CIFCZC25A</stp>
        <stp>Exchange</stp>
        <tr r="C1728" s="1"/>
      </tp>
      <tp t="s">
        <v>INE148I07NK1</v>
        <stp/>
        <stp>nse_cm|SCL24A-ZS</stp>
        <stp>Isin code</stp>
        <tr r="R1751" s="1"/>
      </tp>
      <tp>
        <v>1047.8</v>
        <stp/>
        <stp>nse_cm|94IFCI25-NL</stp>
        <stp>Prev Close</stp>
        <tr r="P235" s="1"/>
      </tp>
      <tp>
        <v>1</v>
        <stp/>
        <stp>bse_cm|1225ICLF26</stp>
        <stp>Bid Qty</stp>
        <tr r="D1217" s="1"/>
      </tp>
      <tp>
        <v>10</v>
        <stp/>
        <stp>bse_cm|1175ICLF25</stp>
        <stp>Bid Qty</stp>
        <tr r="D1222" s="1"/>
      </tp>
      <tp t="s">
        <v>897MOFSL29</v>
        <stp/>
        <stp>bse_cm|897MOFSL29</stp>
        <stp>Trading Symbol</stp>
        <tr r="B332" s="1"/>
      </tp>
      <tp>
        <v>1010.1</v>
        <stp/>
        <stp>bse_cm|1030IFSL26</stp>
        <stp>Prev Close</stp>
        <tr r="P1654" s="1"/>
      </tp>
      <tp>
        <v>0</v>
        <stp/>
        <stp>nse_cm|847SCL25-Z2</stp>
        <stp>Open</stp>
        <tr r="M212" s="1"/>
      </tp>
      <tp>
        <v>819</v>
        <stp/>
        <stp>nse_cm|990SCL26-N7</stp>
        <stp>High</stp>
        <tr r="N422" s="1"/>
      </tp>
      <tp>
        <v>1850</v>
        <stp/>
        <stp>bse_cm|MMFSL26A</stp>
        <stp>Prev Close</stp>
        <tr r="P1722" s="1"/>
      </tp>
      <tp>
        <v>0</v>
        <stp/>
        <stp>bse_cm|0SFL26</stp>
        <stp>Ask Rate</stp>
        <tr r="F703" s="1"/>
      </tp>
      <tp>
        <v>0</v>
        <stp/>
        <stp>bse_cm|0SCL26</stp>
        <stp>Ask Rate</stp>
        <tr r="F1359" s="1"/>
      </tp>
      <tp>
        <v>10</v>
        <stp/>
        <stp>bse_cm|910TCAP28</stp>
        <stp>Bid Qty</stp>
        <tr r="D409" s="1"/>
      </tp>
      <tp>
        <v>1000</v>
        <stp/>
        <stp>bse_cm|0SCL27</stp>
        <stp>Ask Rate</stp>
        <tr r="F721" s="1"/>
      </tp>
      <tp>
        <v>1090.01</v>
        <stp/>
        <stp>nse_cm|935LTF29-N5</stp>
        <stp>High</stp>
        <tr r="N395" s="1"/>
      </tp>
      <tp>
        <v>1016.3</v>
        <stp/>
        <stp>bse_cm|10ISFL26</stp>
        <stp>Bid Rate</stp>
        <tr r="E1509" s="1"/>
      </tp>
      <tp>
        <v>1014</v>
        <stp/>
        <stp>nse_cm|86CIFC29-NN</stp>
        <stp>High</stp>
        <tr r="N1340" s="1"/>
      </tp>
      <tp>
        <v>800</v>
        <stp/>
        <stp>bse_cm|1030ICCL28</stp>
        <stp>Face Value</stp>
        <tr r="Q1521" s="1"/>
      </tp>
      <tp>
        <v>1000</v>
        <stp/>
        <stp>bse_cm|739NHAI31A</stp>
        <stp>Face Value</stp>
        <tr r="Q546" s="1"/>
      </tp>
      <tp>
        <v>0</v>
        <stp/>
        <stp>bse_cm|0KFL28</stp>
        <stp>Ask Rate</stp>
        <tr r="F1045" s="1"/>
      </tp>
      <tp>
        <v>1038.2</v>
        <stp/>
        <stp>bse_cm|85IIFL25</stp>
        <stp>Bid Rate</stp>
        <tr r="E134" s="1"/>
      </tp>
      <tp>
        <v>850.55</v>
        <stp/>
        <stp>bse_cm|92ICCL28</stp>
        <stp>Bid Rate</stp>
        <tr r="E202" s="1"/>
      </tp>
      <tp>
        <v>1116.55</v>
        <stp/>
        <stp>bse_cm|EFSLZC28</stp>
        <stp>Ask Rate</stp>
        <tr r="F1637" s="1"/>
      </tp>
      <tp t="e">
        <v>#N/A</v>
        <stp/>
        <stp>bse_cm|1065MHFL24</stp>
        <stp>Face Value</stp>
        <tr r="Q36" s="1"/>
      </tp>
      <tp>
        <v>0</v>
        <stp/>
        <stp>bse_cm|0MML29</stp>
        <stp>Ask Rate</stp>
        <tr r="F1041" s="1"/>
      </tp>
      <tp>
        <v>962.8</v>
        <stp/>
        <stp>bse_cm|CCILZC26</stp>
        <stp>Bid Rate</stp>
        <tr r="E748" s="1"/>
      </tp>
      <tp>
        <v>0</v>
        <stp/>
        <stp>bse_cm|MML24A</stp>
        <stp>High</stp>
        <tr r="N1254" s="1"/>
      </tp>
      <tp>
        <v>0</v>
        <stp/>
        <stp>bse_cm|93SCFL25</stp>
        <stp>Ask Rate</stp>
        <tr r="F980" s="1"/>
      </tp>
      <tp t="s">
        <v>NSE</v>
        <stp/>
        <stp>nse_cm|NIDOZC26-N7</stp>
        <stp>Exchange</stp>
        <tr r="C28" s="1"/>
      </tp>
      <tp>
        <v>1000</v>
        <stp/>
        <stp>bse_cm|1045NIDO33</stp>
        <stp>Face Value</stp>
        <tr r="Q71" s="1"/>
      </tp>
      <tp>
        <v>1151.0999999999999</v>
        <stp/>
        <stp>bse_cm|CCILZC25</stp>
        <stp>Bid Rate</stp>
        <tr r="E1376" s="1"/>
      </tp>
      <tp>
        <v>922.2</v>
        <stp/>
        <stp>bse_cm|CCILZC24</stp>
        <stp>Bid Rate</stp>
        <tr r="E750" s="1"/>
      </tp>
      <tp>
        <v>-100</v>
        <stp/>
        <stp>bse_cm|920IIFLS26</stp>
        <stp>% Change</stp>
        <tr r="J613" s="1"/>
      </tp>
      <tp>
        <v>0</v>
        <stp/>
        <stp>nse_cm|830CIFC26-N2</stp>
        <stp>% Change</stp>
        <tr r="J1625" s="1"/>
      </tp>
      <tp>
        <v>0</v>
        <stp/>
        <stp>nse_cm|840IRFC29-N8</stp>
        <stp>% Change</stp>
        <tr r="J528" s="1"/>
      </tp>
      <tp>
        <v>905.2</v>
        <stp/>
        <stp>bse_cm|12ICFL25</stp>
        <stp>Bid Rate</stp>
        <tr r="E1213" s="1"/>
      </tp>
      <tp>
        <v>1180.55</v>
        <stp/>
        <stp>bse_cm|EFSLZC25</stp>
        <stp>Ask Rate</stp>
        <tr r="F1741" s="1"/>
      </tp>
      <tp>
        <v>0</v>
        <stp/>
        <stp>bse_cm|98ICCL26</stp>
        <stp>Bid Rate</stp>
        <tr r="E1412" s="1"/>
      </tp>
      <tp>
        <v>1380</v>
        <stp/>
        <stp>bse_cm|EFSLZC26</stp>
        <stp>Ask Rate</stp>
        <tr r="F1712" s="1"/>
      </tp>
      <tp>
        <v>959.8</v>
        <stp/>
        <stp>bse_cm|CCILZC29</stp>
        <stp>Bid Rate</stp>
        <tr r="E747" s="1"/>
      </tp>
      <tp>
        <v>0</v>
        <stp/>
        <stp>bse_cm|0MML27</stp>
        <stp>Ask Rate</stp>
        <tr r="F1043" s="1"/>
      </tp>
      <tp>
        <v>1049.05</v>
        <stp/>
        <stp>bse_cm|94IFCI25</stp>
        <stp>Bid Rate</stp>
        <tr r="E228" s="1"/>
      </tp>
      <tp>
        <v>990</v>
        <stp/>
        <stp>bse_cm|MML30</stp>
        <stp>Prev Close</stp>
        <tr r="P1525" s="1"/>
      </tp>
      <tp>
        <v>1000</v>
        <stp/>
        <stp>bse_cm|MML25</stp>
        <stp>Prev Close</stp>
        <tr r="P1253" s="1"/>
      </tp>
      <tp>
        <v>1067.6099999999999</v>
        <stp/>
        <stp>bse_cm|MML24</stp>
        <stp>Prev Close</stp>
        <tr r="P1740" s="1"/>
      </tp>
      <tp>
        <v>1015</v>
        <stp/>
        <stp>bse_cm|MML26</stp>
        <stp>Prev Close</stp>
        <tr r="P1410" s="1"/>
      </tp>
      <tp>
        <v>1000</v>
        <stp/>
        <stp>bse_cm|IML25</stp>
        <stp>Prev Close</stp>
        <tr r="P1326" s="1"/>
      </tp>
      <tp t="e">
        <v>#N/A</v>
        <stp/>
        <stp>bse_cm|IML24</stp>
        <stp>Prev Close</stp>
        <tr r="P34" s="1"/>
      </tp>
      <tp>
        <v>1347.54</v>
        <stp/>
        <stp>bse_cm|IML27</stp>
        <stp>Prev Close</stp>
        <tr r="P1325" s="1"/>
      </tp>
      <tp>
        <v>1071</v>
        <stp/>
        <stp>bse_cm|IML29</stp>
        <stp>Prev Close</stp>
        <tr r="P1528" s="1"/>
      </tp>
      <tp>
        <v>895.2</v>
        <stp/>
        <stp>bse_cm|IML28</stp>
        <stp>Prev Close</stp>
        <tr r="P1458" s="1"/>
      </tp>
      <tp>
        <v>826.45</v>
        <stp/>
        <stp>bse_cm|MML28</stp>
        <stp>Prev Close</stp>
        <tr r="P584" s="1"/>
      </tp>
      <tp>
        <v>-100</v>
        <stp/>
        <stp>bse_cm|IFL1942024</stp>
        <stp>% Change</stp>
        <tr r="J1594" s="1"/>
      </tp>
      <tp>
        <v>-100</v>
        <stp/>
        <stp>bse_cm|960IIFLS26</stp>
        <stp>% Change</stp>
        <tr r="J872" s="1"/>
      </tp>
      <tp>
        <v>0</v>
        <stp/>
        <stp>bse_cm|0KFL26</stp>
        <stp>Ask Rate</stp>
        <tr r="F1047" s="1"/>
      </tp>
      <tp>
        <v>1070.5</v>
        <stp/>
        <stp>bse_cm|99IFCI24</stp>
        <stp>Bid Rate</stp>
        <tr r="E41" s="1"/>
      </tp>
      <tp>
        <v>0</v>
        <stp/>
        <stp>bse_cm|0KFL27</stp>
        <stp>Ask Rate</stp>
        <tr r="F1046" s="1"/>
      </tp>
      <tp>
        <v>1173</v>
        <stp/>
        <stp>bse_cm|MFL24B</stp>
        <stp>High</stp>
        <tr r="N1756" s="1"/>
      </tp>
      <tp>
        <v>938.1</v>
        <stp/>
        <stp>bse_cm|96IIFL28</stp>
        <stp>Bid Rate</stp>
        <tr r="E118" s="1"/>
      </tp>
      <tp>
        <v>920</v>
        <stp/>
        <stp>bse_cm|10IIFL28</stp>
        <stp>Bid Rate</stp>
        <tr r="E68" s="1"/>
      </tp>
      <tp>
        <v>-100</v>
        <stp/>
        <stp>bse_cm|957IIFLS27</stp>
        <stp>% Change</stp>
        <tr r="J687" s="1"/>
      </tp>
      <tp>
        <v>1256</v>
        <stp/>
        <stp>bse_cm|MFL24A</stp>
        <stp>High</stp>
        <tr r="N1759" s="1"/>
      </tp>
      <tp>
        <v>953</v>
        <stp/>
        <stp>bse_cm|10IIFL29</stp>
        <stp>Bid Rate</stp>
        <tr r="E307" s="1"/>
      </tp>
      <tp>
        <v>1030</v>
        <stp/>
        <stp>bse_cm|10IFSL26</stp>
        <stp>Bid Rate</stp>
        <tr r="E428" s="1"/>
      </tp>
      <tp>
        <v>1010</v>
        <stp/>
        <stp>bse_cm|0KFL25</stp>
        <stp>Ask Rate</stp>
        <tr r="F1604" s="1"/>
      </tp>
      <tp t="s">
        <v>MFCL30424</v>
        <stp/>
        <stp>bse_cm|MFCL30424</stp>
        <stp>Trading Symbol</stp>
        <tr r="B1606" s="1"/>
      </tp>
      <tp t="s">
        <v>704IRFC26</v>
        <stp/>
        <stp>bse_cm|704IRFC26</stp>
        <stp>Trading Symbol</stp>
        <tr r="B557" s="1"/>
      </tp>
      <tp>
        <v>54</v>
        <stp/>
        <stp>bse_cm|9SFL25</stp>
        <stp>Bid Qty</stp>
        <tr r="D340" s="1"/>
      </tp>
      <tp>
        <v>5</v>
        <stp/>
        <stp>bse_cm|9SCL25</stp>
        <stp>Bid Qty</stp>
        <tr r="D653" s="1"/>
      </tp>
      <tp>
        <v>23</v>
        <stp/>
        <stp>bse_cm|9PEL25</stp>
        <stp>Bid Qty</stp>
        <tr r="D315" s="1"/>
      </tp>
      <tp>
        <v>17</v>
        <stp/>
        <stp>bse_cm|9SFL26</stp>
        <stp>Bid Qty</stp>
        <tr r="D1066" s="1"/>
      </tp>
      <tp t="s">
        <v>707IRFC25</v>
        <stp/>
        <stp>bse_cm|707IRFC25</stp>
        <stp>Trading Symbol</stp>
        <tr r="B1653" s="1"/>
      </tp>
      <tp t="s">
        <v>658PFCL31</v>
        <stp/>
        <stp>bse_cm|658PFCL31</stp>
        <stp>Trading Symbol</stp>
        <tr r="B1209" s="1"/>
      </tp>
      <tp t="s">
        <v>INE148I07KX0</v>
        <stp/>
        <stp>nse_cm|9SCFL25-Y5</stp>
        <stp>Isin code</stp>
        <tr r="R389" s="1"/>
      </tp>
      <tp>
        <v>130</v>
        <stp/>
        <stp>bse_cm|9MFL27</stp>
        <stp>Bid Qty</stp>
        <tr r="D195" s="1"/>
      </tp>
      <tp>
        <v>26</v>
        <stp/>
        <stp>bse_cm|9MFL25</stp>
        <stp>Bid Qty</stp>
        <tr r="D1082" s="1"/>
      </tp>
      <tp>
        <v>20</v>
        <stp/>
        <stp>bse_cm|9KFL26</stp>
        <stp>Bid Qty</stp>
        <tr r="D1084" s="1"/>
      </tp>
      <tp>
        <v>50</v>
        <stp/>
        <stp>bse_cm|9IML25</stp>
        <stp>Bid Qty</stp>
        <tr r="D588" s="1"/>
      </tp>
      <tp t="s">
        <v>INE403Q07CP5</v>
        <stp/>
        <stp>bse_cm|KFLZC29</stp>
        <stp>Isin code</stp>
        <tr r="R1639" s="1"/>
      </tp>
      <tp t="s">
        <v>NSE</v>
        <stp/>
        <stp>nse_cm|875TCAPS29-NB</stp>
        <stp>Exchange</stp>
        <tr r="C934" s="1"/>
      </tp>
      <tp t="s">
        <v>KFL070824</v>
        <stp/>
        <stp>bse_cm|KFL070824</stp>
        <stp>Trading Symbol</stp>
        <tr r="B551" s="1"/>
      </tp>
      <tp>
        <v>180</v>
        <stp/>
        <stp>bse_cm|8MFL26</stp>
        <stp>Bid Qty</stp>
        <tr r="D654" s="1"/>
      </tp>
      <tp>
        <v>20</v>
        <stp/>
        <stp>bse_cm|9MFL30</stp>
        <stp>Bid Qty</stp>
        <tr r="D244" s="1"/>
      </tp>
      <tp t="s">
        <v>NSE</v>
        <stp/>
        <stp>nse_cm|885TCAPS29-NC</stp>
        <stp>Exchange</stp>
        <tr r="C13" s="1"/>
      </tp>
      <tp t="s">
        <v>1090NFL26</v>
        <stp/>
        <stp>bse_cm|1090NFL26</stp>
        <stp>Trading Symbol</stp>
        <tr r="B364" s="1"/>
      </tp>
      <tp t="s">
        <v>INE027E07964</v>
        <stp/>
        <stp>bse_cm|92LTF29</stp>
        <stp>Isin code</stp>
        <tr r="R1088" s="1"/>
      </tp>
      <tp t="s">
        <v>1065NFL27</v>
        <stp/>
        <stp>bse_cm|1065NFL27</stp>
        <stp>Trading Symbol</stp>
        <tr r="B182" s="1"/>
      </tp>
      <tp t="s">
        <v>957ICCL28</v>
        <stp/>
        <stp>bse_cm|957ICCL28</stp>
        <stp>Trading Symbol</stp>
        <tr r="B1572" s="1"/>
      </tp>
      <tp t="s">
        <v>957ICCL25</v>
        <stp/>
        <stp>bse_cm|957ICCL25</stp>
        <stp>Trading Symbol</stp>
        <tr r="B432" s="1"/>
      </tp>
      <tp t="s">
        <v>1075NFL25</v>
        <stp/>
        <stp>bse_cm|1075NFL25</stp>
        <stp>Trading Symbol</stp>
        <tr r="B643" s="1"/>
      </tp>
      <tp t="s">
        <v>1071KFL25</v>
        <stp/>
        <stp>bse_cm|1071KFL25</stp>
        <stp>Trading Symbol</stp>
        <tr r="B1122" s="1"/>
      </tp>
      <tp t="s">
        <v>1040NFL26</v>
        <stp/>
        <stp>bse_cm|1040NFL26</stp>
        <stp>Trading Symbol</stp>
        <tr r="B1453" s="1"/>
      </tp>
      <tp t="s">
        <v>IFL190424</v>
        <stp/>
        <stp>bse_cm|IFL190424</stp>
        <stp>Trading Symbol</stp>
        <tr r="B1663" s="1"/>
      </tp>
      <tp t="s">
        <v>1041KFL26</v>
        <stp/>
        <stp>bse_cm|1041KFL26</stp>
        <stp>Trading Symbol</stp>
        <tr r="B1031" s="1"/>
      </tp>
      <tp t="s">
        <v>805ABFL28</v>
        <stp/>
        <stp>bse_cm|805ABFL28</stp>
        <stp>Trading Symbol</stp>
        <tr r="B1371" s="1"/>
      </tp>
      <tp t="s">
        <v>955MFCL30</v>
        <stp/>
        <stp>bse_cm|955MFCL30</stp>
        <stp>Trading Symbol</stp>
        <tr r="B1130" s="1"/>
      </tp>
      <tp t="s">
        <v>105MMFL25</v>
        <stp/>
        <stp>bse_cm|105MMFL25</stp>
        <stp>Trading Symbol</stp>
        <tr r="B1171" s="1"/>
      </tp>
      <tp t="s">
        <v>105IIFL29</v>
        <stp/>
        <stp>bse_cm|105IIFL29</stp>
        <stp>Trading Symbol</stp>
        <tr r="B338" s="1"/>
      </tp>
      <tp t="s">
        <v>755PFCL38</v>
        <stp/>
        <stp>bse_cm|755PFCL38</stp>
        <stp>Trading Symbol</stp>
        <tr r="B434" s="1"/>
      </tp>
      <tp t="s">
        <v>1050NFL26</v>
        <stp/>
        <stp>bse_cm|1050NFL26</stp>
        <stp>Trading Symbol</stp>
        <tr r="B260" s="1"/>
      </tp>
      <tp t="s">
        <v>1050SFL26</v>
        <stp/>
        <stp>bse_cm|1050SFL26</stp>
        <stp>Trading Symbol</stp>
        <tr r="B890" s="1"/>
      </tp>
      <tp t="s">
        <v>1025KFL28</v>
        <stp/>
        <stp>bse_cm|1025KFL28</stp>
        <stp>Trading Symbol</stp>
        <tr r="B626" s="1"/>
      </tp>
      <tp t="s">
        <v>1025KFL29</v>
        <stp/>
        <stp>bse_cm|1025KFL29</stp>
        <stp>Trading Symbol</stp>
        <tr r="B196" s="1"/>
      </tp>
      <tp t="s">
        <v>1025KFL25</v>
        <stp/>
        <stp>bse_cm|1025KFL25</stp>
        <stp>Trading Symbol</stp>
        <tr r="B638" s="1"/>
      </tp>
      <tp t="s">
        <v>1025KFL26</v>
        <stp/>
        <stp>bse_cm|1025KFL26</stp>
        <stp>Trading Symbol</stp>
        <tr r="B768" s="1"/>
      </tp>
      <tp t="s">
        <v>1025KFL27</v>
        <stp/>
        <stp>bse_cm|1025KFL27</stp>
        <stp>Trading Symbol</stp>
        <tr r="B767" s="1"/>
      </tp>
      <tp t="s">
        <v>1025NFL25</v>
        <stp/>
        <stp>bse_cm|1025NFL25</stp>
        <stp>Trading Symbol</stp>
        <tr r="B624" s="1"/>
      </tp>
      <tp t="s">
        <v>1025SFL25</v>
        <stp/>
        <stp>bse_cm|1025SFL25</stp>
        <stp>Trading Symbol</stp>
        <tr r="B1071" s="1"/>
      </tp>
      <tp t="s">
        <v>1025SFL28</v>
        <stp/>
        <stp>bse_cm|1025SFL28</stp>
        <stp>Trading Symbol</stp>
        <tr r="B100" s="1"/>
      </tp>
      <tp t="s">
        <v>1025SFL29</v>
        <stp/>
        <stp>bse_cm|1025SFL29</stp>
        <stp>Trading Symbol</stp>
        <tr r="B1446" s="1"/>
      </tp>
      <tp t="s">
        <v>SFL270224</v>
        <stp/>
        <stp>bse_cm|SFL270224</stp>
        <stp>Trading Symbol</stp>
        <tr r="B808" s="1"/>
      </tp>
      <tp t="s">
        <v>920NIDO26</v>
        <stp/>
        <stp>bse_cm|920NIDO26</stp>
        <stp>Trading Symbol</stp>
        <tr r="B166" s="1"/>
      </tp>
      <tp t="s">
        <v>753PFCL33</v>
        <stp/>
        <stp>bse_cm|753PFCL33</stp>
        <stp>Trading Symbol</stp>
        <tr r="B426" s="1"/>
      </tp>
      <tp>
        <v>27</v>
        <stp/>
        <stp>bse_cm|0SFL31</stp>
        <stp>Bid Qty</stp>
        <tr r="D1032" s="1"/>
      </tp>
      <tp t="s">
        <v>910CAGL25</v>
        <stp/>
        <stp>bse_cm|910CAGL25</stp>
        <stp>Trading Symbol</stp>
        <tr r="B351" s="1"/>
      </tp>
      <tp t="s">
        <v>950MFCL27</v>
        <stp/>
        <stp>bse_cm|950MFCL27</stp>
        <stp>Trading Symbol</stp>
        <tr r="B1148" s="1"/>
      </tp>
      <tp t="s">
        <v>875NHAI29</v>
        <stp/>
        <stp>bse_cm|875NHAI29</stp>
        <stp>Trading Symbol</stp>
        <tr r="B496" s="1"/>
      </tp>
      <tp t="s">
        <v>750PFCL26</v>
        <stp/>
        <stp>bse_cm|750PFCL26</stp>
        <stp>Trading Symbol</stp>
        <tr r="B448" s="1"/>
      </tp>
      <tp t="s">
        <v>750PFCL38</v>
        <stp/>
        <stp>bse_cm|750PFCL38</stp>
        <stp>Trading Symbol</stp>
        <tr r="B1196" s="1"/>
      </tp>
      <tp>
        <v>14</v>
        <stp/>
        <stp>bse_cm|0KFL31</stp>
        <stp>Bid Qty</stp>
        <tr r="D1044" s="1"/>
      </tp>
      <tp>
        <v>16</v>
        <stp/>
        <stp>bse_cm|0SFL26</stp>
        <stp>Bid Qty</stp>
        <tr r="D703" s="1"/>
      </tp>
      <tp>
        <v>12</v>
        <stp/>
        <stp>bse_cm|0SCL26</stp>
        <stp>Bid Qty</stp>
        <tr r="D1359" s="1"/>
      </tp>
      <tp>
        <v>10</v>
        <stp/>
        <stp>bse_cm|0SCL27</stp>
        <stp>Bid Qty</stp>
        <tr r="D721" s="1"/>
      </tp>
      <tp>
        <v>13</v>
        <stp/>
        <stp>bse_cm|0KFL28</stp>
        <stp>Bid Qty</stp>
        <tr r="D1045" s="1"/>
      </tp>
      <tp>
        <v>20</v>
        <stp/>
        <stp>bse_cm|0MML29</stp>
        <stp>Bid Qty</stp>
        <tr r="D1041" s="1"/>
      </tp>
      <tp>
        <v>26</v>
        <stp/>
        <stp>bse_cm|0MML27</stp>
        <stp>Bid Qty</stp>
        <tr r="D1043" s="1"/>
      </tp>
      <tp>
        <v>7</v>
        <stp/>
        <stp>bse_cm|0KFL25</stp>
        <stp>Bid Qty</stp>
        <tr r="D1604" s="1"/>
      </tp>
      <tp>
        <v>20</v>
        <stp/>
        <stp>bse_cm|0KFL26</stp>
        <stp>Bid Qty</stp>
        <tr r="D1047" s="1"/>
      </tp>
      <tp>
        <v>12</v>
        <stp/>
        <stp>bse_cm|0KFL27</stp>
        <stp>Bid Qty</stp>
        <tr r="D1046" s="1"/>
      </tp>
      <tp t="s">
        <v>NSE</v>
        <stp/>
        <stp>nse_cm|851HUDCO28-NB</stp>
        <stp>Exchange</stp>
        <tr r="C502" s="1"/>
      </tp>
      <tp t="s">
        <v>1010EFS28</v>
        <stp/>
        <stp>bse_cm|1010EFS28</stp>
        <stp>Trading Symbol</stp>
        <tr r="B116" s="1"/>
      </tp>
      <tp t="s">
        <v>1010EFS29</v>
        <stp/>
        <stp>bse_cm|1010EFS29</stp>
        <stp>Trading Symbol</stp>
        <tr r="B726" s="1"/>
      </tp>
      <tp t="s">
        <v>NSE</v>
        <stp/>
        <stp>nse_cm|858HUDCO29-NC</stp>
        <stp>Exchange</stp>
        <tr r="C1636" s="1"/>
      </tp>
      <tp t="s">
        <v>INE05F407BL5</v>
        <stp/>
        <stp>bse_cm|11MML28</stp>
        <stp>Isin code</stp>
        <tr r="R1131" s="1"/>
      </tp>
      <tp>
        <v>1000</v>
        <stp/>
        <stp>bse_cm|0SFL29A</stp>
        <stp>Prev Close</stp>
        <tr r="P1033" s="1"/>
      </tp>
      <tp>
        <v>1000</v>
        <stp/>
        <stp>bse_cm|0SFL27A</stp>
        <stp>Prev Close</stp>
        <tr r="P1034" s="1"/>
      </tp>
      <tp>
        <v>1000</v>
        <stp/>
        <stp>bse_cm|0MML29A</stp>
        <stp>Prev Close</stp>
        <tr r="P1040" s="1"/>
      </tp>
      <tp t="s">
        <v>805MMFS32</v>
        <stp/>
        <stp>bse_cm|805MMFS32</stp>
        <stp>Trading Symbol</stp>
        <tr r="B1763" s="1"/>
      </tp>
      <tp t="s">
        <v>1045EFS33</v>
        <stp/>
        <stp>bse_cm|1045EFS33</stp>
        <stp>Trading Symbol</stp>
        <tr r="B1030" s="1"/>
      </tp>
      <tp t="s">
        <v>1045EFS34</v>
        <stp/>
        <stp>bse_cm|1045EFS34</stp>
        <stp>Trading Symbol</stp>
        <tr r="B1450" s="1"/>
      </tp>
      <tp t="s">
        <v>EFS290424</v>
        <stp/>
        <stp>bse_cm|EFS290424</stp>
        <stp>Trading Symbol</stp>
        <tr r="B570" s="1"/>
      </tp>
      <tp t="s">
        <v>58PFCL26</v>
        <stp/>
        <stp>bse_cm|58PFCL26</stp>
        <stp>Symbol</stp>
        <tr r="A369" s="1"/>
      </tp>
      <tp t="s">
        <v>NSE</v>
        <stp/>
        <stp>nse_cm|876HUDCO28-ND</stp>
        <stp>Exchange</stp>
        <tr r="C509" s="1"/>
      </tp>
      <tp t="s">
        <v>948ICCL25A</v>
        <stp/>
        <stp>nse_cm|948ICCL25A-NG</stp>
        <stp>Symbol</stp>
        <tr r="A1736" s="1"/>
      </tp>
      <tp t="s">
        <v>NSE</v>
        <stp/>
        <stp>nse_cm|901HUDCO34-NE</stp>
        <stp>Exchange</stp>
        <tr r="C517" s="1"/>
      </tp>
      <tp t="s">
        <v>ABFL28-N3</v>
        <stp/>
        <stp>nse_cm|ABFL28-N3</stp>
        <stp>Trading Symbol</stp>
        <tr r="B1063" s="1"/>
      </tp>
      <tp t="s">
        <v>INE549K07CD4</v>
        <stp/>
        <stp>bse_cm|88MFL28</stp>
        <stp>Isin code</stp>
        <tr r="R233" s="1"/>
      </tp>
      <tp t="s">
        <v>INE414G07HQ0</v>
        <stp/>
        <stp>bse_cm|81MFL28</stp>
        <stp>Isin code</stp>
        <tr r="R314" s="1"/>
      </tp>
      <tp>
        <v>990</v>
        <stp/>
        <stp>bse_cm|8MFL24A</stp>
        <stp>Prev Close</stp>
        <tr r="P1549" s="1"/>
      </tp>
      <tp>
        <v>980</v>
        <stp/>
        <stp>bse_cm|9MFL30A</stp>
        <stp>Prev Close</stp>
        <tr r="P289" s="1"/>
      </tp>
      <tp>
        <v>1050.1099999999999</v>
        <stp/>
        <stp>bse_cm|9SFL25A</stp>
        <stp>Prev Close</stp>
        <tr r="P441" s="1"/>
      </tp>
      <tp>
        <v>1038</v>
        <stp/>
        <stp>bse_cm|9SCL26B</stp>
        <stp>Prev Close</stp>
        <tr r="P1135" s="1"/>
      </tp>
      <tp>
        <v>1000</v>
        <stp/>
        <stp>bse_cm|9SFL26A</stp>
        <stp>Prev Close</stp>
        <tr r="P1065" s="1"/>
      </tp>
      <tp>
        <v>964</v>
        <stp/>
        <stp>bse_cm|9MFL27A</stp>
        <stp>Prev Close</stp>
        <tr r="P257" s="1"/>
      </tp>
      <tp>
        <v>990</v>
        <stp/>
        <stp>bse_cm|9MFL25A</stp>
        <stp>Prev Close</stp>
        <tr r="P702" s="1"/>
      </tp>
      <tp>
        <v>965</v>
        <stp/>
        <stp>bse_cm|9KFL26A</stp>
        <stp>Prev Close</stp>
        <tr r="P1083" s="1"/>
      </tp>
      <tp>
        <v>960</v>
        <stp/>
        <stp>bse_cm|9KFL26B</stp>
        <stp>Prev Close</stp>
        <tr r="P667" s="1"/>
      </tp>
      <tp t="s">
        <v>76NHAI31</v>
        <stp/>
        <stp>bse_cm|76NHAI31</stp>
        <stp>Symbol</stp>
        <tr r="A478" s="1"/>
      </tp>
      <tp t="s">
        <v>10CAGL27</v>
        <stp/>
        <stp>bse_cm|10CAGL27</stp>
        <stp>Symbol</stp>
        <tr r="A282" s="1"/>
      </tp>
      <tp t="s">
        <v>891ONE25</v>
        <stp/>
        <stp>bse_cm|891ONE25</stp>
        <stp>Symbol</stp>
        <tr r="A1339" s="1"/>
      </tp>
      <tp t="s">
        <v>898ONE26</v>
        <stp/>
        <stp>bse_cm|898ONE26</stp>
        <stp>Symbol</stp>
        <tr r="A1154" s="1"/>
      </tp>
      <tp t="s">
        <v>886ONE25</v>
        <stp/>
        <stp>bse_cm|886ONE25</stp>
        <stp>Symbol</stp>
        <tr r="A723" s="1"/>
      </tp>
      <tp t="s">
        <v>INE051307AJ1</v>
        <stp/>
        <stp>bse_cm|11CCL26</stp>
        <stp>Isin code</stp>
        <tr r="R1219" s="1"/>
      </tp>
      <tp t="s">
        <v>INE051307BA8</v>
        <stp/>
        <stp>bse_cm|11CCI26</stp>
        <stp>Isin code</stp>
        <tr r="R1220" s="1"/>
      </tp>
      <tp>
        <v>1125</v>
        <stp/>
        <stp>bse_cm|CAGL27A</stp>
        <stp>Prev Close</stp>
        <tr r="P1379" s="1"/>
      </tp>
      <tp>
        <v>1307.27</v>
        <stp/>
        <stp>bse_cm|CAGL25A</stp>
        <stp>Prev Close</stp>
        <tr r="P1701" s="1"/>
      </tp>
      <tp>
        <v>0</v>
        <stp/>
        <stp>nse_cm|AEL120924A-N5</stp>
        <stp>Ask Rate</stp>
        <tr r="F1555" s="1"/>
      </tp>
      <tp>
        <v>976.43</v>
        <stp/>
        <stp>bse_cm|95KLM25</stp>
        <stp>Prev Close</stp>
        <tr r="P73" s="1"/>
      </tp>
      <tp>
        <v>1199.99</v>
        <stp/>
        <stp>bse_cm|DLSL25A</stp>
        <stp>Prev Close</stp>
        <tr r="P1734" s="1"/>
      </tp>
      <tp>
        <v>990</v>
        <stp/>
        <stp>bse_cm|EFSL28A</stp>
        <stp>Prev Close</stp>
        <tr r="P1335" s="1"/>
      </tp>
      <tp>
        <v>1257</v>
        <stp/>
        <stp>bse_cm|EFSL24C</stp>
        <stp>Prev Close</stp>
        <tr r="P1755" s="1"/>
      </tp>
      <tp>
        <v>1121</v>
        <stp/>
        <stp>bse_cm|EFSL25A</stp>
        <stp>Prev Close</stp>
        <tr r="P1706" s="1"/>
      </tp>
      <tp>
        <v>1114</v>
        <stp/>
        <stp>bse_cm|EFSL25B</stp>
        <stp>Prev Close</stp>
        <tr r="P1682" s="1"/>
      </tp>
      <tp>
        <v>1200</v>
        <stp/>
        <stp>bse_cm|EFSL26A</stp>
        <stp>Prev Close</stp>
        <tr r="P1567" s="1"/>
      </tp>
      <tp>
        <v>1048.23</v>
        <stp/>
        <stp>bse_cm|EFSL26C</stp>
        <stp>Prev Close</stp>
        <tr r="P1650" s="1"/>
      </tp>
      <tp>
        <v>1105.25</v>
        <stp/>
        <stp>bse_cm|EFSL26B</stp>
        <stp>Prev Close</stp>
        <tr r="P1564" s="1"/>
      </tp>
      <tp>
        <v>998.15</v>
        <stp/>
        <stp>bse_cm|EFSL26D</stp>
        <stp>Prev Close</stp>
        <tr r="P1617" s="1"/>
      </tp>
      <tp>
        <v>977</v>
        <stp/>
        <stp>bse_cm|EFSL27A</stp>
        <stp>Prev Close</stp>
        <tr r="P1649" s="1"/>
      </tp>
      <tp t="s">
        <v>NSE</v>
        <stp/>
        <stp>nse_cm|751HUDCO28-N5</stp>
        <stp>Exchange</stp>
        <tr r="C492" s="1"/>
      </tp>
      <tp t="s">
        <v>738REC27TF</v>
        <stp/>
        <stp>nse_cm|738REC27TF-N2</stp>
        <stp>Symbol</stp>
        <tr r="A514" s="1"/>
      </tp>
      <tp>
        <v>1195</v>
        <stp/>
        <stp>nse_cm|AEL120924B-N8</stp>
        <stp>Ask Rate</stp>
        <tr r="F1640" s="1"/>
      </tp>
      <tp>
        <v>1000</v>
        <stp/>
        <stp>bse_cm|KAFL28A</stp>
        <stp>Prev Close</stp>
        <tr r="P1319" s="1"/>
      </tp>
      <tp>
        <v>5</v>
        <stp/>
        <stp>bse_cm|NIDO25</stp>
        <stp>Ask Qty</stp>
        <tr r="G1726" s="1"/>
      </tp>
      <tp>
        <v>5</v>
        <stp/>
        <stp>bse_cm|NIDO27</stp>
        <stp>Ask Qty</stp>
        <tr r="G1661" s="1"/>
      </tp>
      <tp>
        <v>0</v>
        <stp/>
        <stp>bse_cm|NIDO26</stp>
        <stp>Ask Qty</stp>
        <tr r="G1244" s="1"/>
      </tp>
      <tp>
        <v>0</v>
        <stp/>
        <stp>bse_cm|NIDO28</stp>
        <stp>Ask Qty</stp>
        <tr r="G1243" s="1"/>
      </tp>
      <tp>
        <v>950</v>
        <stp/>
        <stp>bse_cm|12KLM25</stp>
        <stp>Prev Close</stp>
        <tr r="P1211" s="1"/>
      </tp>
      <tp>
        <v>5</v>
        <stp/>
        <stp>bse_cm|NWIL25</stp>
        <stp>Bid Qty</stp>
        <tr r="D1546" s="1"/>
      </tp>
      <tp>
        <v>5</v>
        <stp/>
        <stp>bse_cm|NWIL27</stp>
        <stp>Bid Qty</stp>
        <tr r="D1439" s="1"/>
      </tp>
      <tp>
        <v>22</v>
        <stp/>
        <stp>bse_cm|MMFL27</stp>
        <stp>Bid Qty</stp>
        <tr r="D1513" s="1"/>
      </tp>
      <tp>
        <v>27</v>
        <stp/>
        <stp>bse_cm|MMFL25</stp>
        <stp>Bid Qty</stp>
        <tr r="D1725" s="1"/>
      </tp>
      <tp t="s">
        <v>10MVAFL25</v>
        <stp/>
        <stp>bse_cm|10MVAFL25</stp>
        <stp>Trading Symbol</stp>
        <tr r="B1675" s="1"/>
      </tp>
      <tp t="s">
        <v>NSE</v>
        <stp/>
        <stp>nse_cm|855TCAPS27-N7</stp>
        <stp>Exchange</stp>
        <tr r="C1003" s="1"/>
      </tp>
      <tp>
        <v>25</v>
        <stp/>
        <stp>bse_cm|KAFL25</stp>
        <stp>Bid Qty</stp>
        <tr r="D1321" s="1"/>
      </tp>
      <tp>
        <v>25</v>
        <stp/>
        <stp>bse_cm|KAFL28</stp>
        <stp>Bid Qty</stp>
        <tr r="D1320" s="1"/>
      </tp>
      <tp>
        <v>25</v>
        <stp/>
        <stp>bse_cm|KAFL29</stp>
        <stp>Bid Qty</stp>
        <tr r="D1318" s="1"/>
      </tp>
      <tp>
        <v>20</v>
        <stp/>
        <stp>bse_cm|KAFL30</stp>
        <stp>Bid Qty</stp>
        <tr r="D1317" s="1"/>
      </tp>
      <tp>
        <v>170</v>
        <stp/>
        <stp>bse_cm|ICCL25</stp>
        <stp>Bid Qty</stp>
        <tr r="D1330" s="1"/>
      </tp>
      <tp>
        <v>100</v>
        <stp/>
        <stp>bse_cm|EFSL25</stp>
        <stp>Bid Qty</stp>
        <tr r="D1694" s="1"/>
      </tp>
      <tp>
        <v>5</v>
        <stp/>
        <stp>bse_cm|EFSL27</stp>
        <stp>Bid Qty</stp>
        <tr r="D1531" s="1"/>
      </tp>
      <tp>
        <v>179</v>
        <stp/>
        <stp>bse_cm|EFSL26</stp>
        <stp>Bid Qty</stp>
        <tr r="D1687" s="1"/>
      </tp>
      <tp>
        <v>10</v>
        <stp/>
        <stp>bse_cm|EFSL29</stp>
        <stp>Bid Qty</stp>
        <tr r="D659" s="1"/>
      </tp>
      <tp>
        <v>30</v>
        <stp/>
        <stp>bse_cm|EFSL28</stp>
        <stp>Bid Qty</stp>
        <tr r="D1609" s="1"/>
      </tp>
      <tp>
        <v>5</v>
        <stp/>
        <stp>bse_cm|DLSL25</stp>
        <stp>Bid Qty</stp>
        <tr r="D1747" s="1"/>
      </tp>
      <tp>
        <v>20</v>
        <stp/>
        <stp>bse_cm|CAGL26</stp>
        <stp>Bid Qty</stp>
        <tr r="D708" s="1"/>
      </tp>
      <tp>
        <v>20</v>
        <stp/>
        <stp>bse_cm|CAGL27</stp>
        <stp>Bid Qty</stp>
        <tr r="D734" s="1"/>
      </tp>
      <tp>
        <v>25</v>
        <stp/>
        <stp>bse_cm|CAGL24</stp>
        <stp>Bid Qty</stp>
        <tr r="D1761" s="1"/>
      </tp>
      <tp>
        <v>25</v>
        <stp/>
        <stp>bse_cm|CAGL25</stp>
        <stp>Bid Qty</stp>
        <tr r="D1061" s="1"/>
      </tp>
      <tp>
        <v>25</v>
        <stp/>
        <stp>bse_cm|CAGL28</stp>
        <stp>Bid Qty</stp>
        <tr r="D757" s="1"/>
      </tp>
      <tp t="s">
        <v>NSE</v>
        <stp/>
        <stp>nse_cm|865TCAPS27-N8</stp>
        <stp>Exchange</stp>
        <tr r="C376" s="1"/>
      </tp>
      <tp>
        <v>70</v>
        <stp/>
        <stp>bse_cm|ABFL26</stp>
        <stp>Bid Qty</stp>
        <tr r="D1064" s="1"/>
      </tp>
      <tp>
        <v>28</v>
        <stp/>
        <stp>bse_cm|ABFL28</stp>
        <stp>Bid Qty</stp>
        <tr r="D1373" s="1"/>
      </tp>
      <tp>
        <v>0</v>
        <stp/>
        <stp>bse_cm|891ONE25</stp>
        <stp>Open</stp>
        <tr r="M1339" s="1"/>
      </tp>
      <tp>
        <v>0</v>
        <stp/>
        <stp>nse_cm|875SCL27-YQ</stp>
        <stp>Open</stp>
        <tr r="M937" s="1"/>
      </tp>
      <tp>
        <v>0</v>
        <stp/>
        <stp>bse_cm|KAFL28</stp>
        <stp>High</stp>
        <tr r="N1320" s="1"/>
      </tp>
      <tp>
        <v>990</v>
        <stp/>
        <stp>bse_cm|KAFL29</stp>
        <stp>High</stp>
        <tr r="N1318" s="1"/>
      </tp>
      <tp>
        <v>0</v>
        <stp/>
        <stp>bse_cm|961ONE27</stp>
        <stp>Open</stp>
        <tr r="M628" s="1"/>
      </tp>
      <tp>
        <v>0</v>
        <stp/>
        <stp>bse_cm|921ONE27</stp>
        <stp>Open</stp>
        <tr r="M1428" s="1"/>
      </tp>
      <tp>
        <v>950.2</v>
        <stp/>
        <stp>bse_cm|MFLIV27D</stp>
        <stp>Bid Rate</stp>
        <tr r="E1452" s="1"/>
      </tp>
      <tp>
        <v>0</v>
        <stp/>
        <stp>nse_cm|852LTF27-NG</stp>
        <stp xml:space="preserve">Low </stp>
        <tr r="O1006" s="1"/>
      </tp>
      <tp t="s">
        <v>INE148I07LA6</v>
        <stp/>
        <stp>nse_cm|866SCFL25-Y8</stp>
        <stp>Isin code</stp>
        <tr r="R158" s="1"/>
      </tp>
      <tp>
        <v>0</v>
        <stp/>
        <stp>bse_cm|941ONE26</stp>
        <stp>Open</stp>
        <tr r="M263" s="1"/>
      </tp>
      <tp t="s">
        <v>NSE</v>
        <stp/>
        <stp>nse_cm|IIFLZC28-NG</stp>
        <stp>Exchange</stp>
        <tr r="C1659" s="1"/>
      </tp>
      <tp>
        <v>1000</v>
        <stp/>
        <stp>bse_cm|774IREDA31</stp>
        <stp>Face Value</stp>
        <tr r="Q17" s="1"/>
      </tp>
      <tp>
        <v>1060</v>
        <stp/>
        <stp>nse_cm|83TCHF25-N6</stp>
        <stp>High</stp>
        <tr r="N472" s="1"/>
      </tp>
      <tp>
        <v>930.8</v>
        <stp/>
        <stp>bse_cm|MFLII27B</stp>
        <stp>Bid Rate</stp>
        <tr r="E359" s="1"/>
      </tp>
      <tp t="s">
        <v>NSE</v>
        <stp/>
        <stp>nse_cm|CIFCZC26-NF</stp>
        <stp>Exchange</stp>
        <tr r="C1561" s="1"/>
      </tp>
      <tp t="s">
        <v>NSE</v>
        <stp/>
        <stp>nse_cm|IIFLZC25-ND</stp>
        <stp>Exchange</stp>
        <tr r="C1742" s="1"/>
      </tp>
      <tp t="s">
        <v>NSE</v>
        <stp/>
        <stp>nse_cm|CIFCZC25-ND</stp>
        <stp>Exchange</stp>
        <tr r="C1435" s="1"/>
      </tp>
      <tp>
        <v>1490</v>
        <stp/>
        <stp>bse_cm|MVAF27</stp>
        <stp xml:space="preserve">Low </stp>
        <tr r="O1689" s="1"/>
      </tp>
      <tp>
        <v>1024.4000000000001</v>
        <stp/>
        <stp>nse_cm|957SCL30-BX</stp>
        <stp>High</stp>
        <tr r="N1109" s="1"/>
      </tp>
      <tp>
        <v>-100</v>
        <stp/>
        <stp>bse_cm|875CIFC23B</stp>
        <stp>% Change</stp>
        <tr r="J1394" s="1"/>
      </tp>
      <tp>
        <v>0</v>
        <stp/>
        <stp>nse_cm|0MOFSL27-N3</stp>
        <stp>ATP</stp>
        <tr r="K1038" s="1"/>
      </tp>
      <tp>
        <v>0</v>
        <stp/>
        <stp>nse_cm|0MOFSL26-N1</stp>
        <stp>ATP</stp>
        <tr r="K1644" s="1"/>
      </tp>
      <tp>
        <v>20</v>
        <stp/>
        <stp>nse_cm|M&amp;MFIN-N3</stp>
        <stp>Bid Qty</stp>
        <tr r="D1723" s="1"/>
      </tp>
      <tp>
        <v>-0.84</v>
        <stp/>
        <stp>nse_cm|750IRFC35-NK</stp>
        <stp>% Change</stp>
        <tr r="J485" s="1"/>
      </tp>
      <tp t="s">
        <v>NSE</v>
        <stp/>
        <stp>nse_cm|CIFCZC28-NH</stp>
        <stp>Exchange</stp>
        <tr r="C1607" s="1"/>
      </tp>
      <tp>
        <v>0</v>
        <stp/>
        <stp>nse_cm|83TCHF28-N9</stp>
        <stp>High</stp>
        <tr r="N831" s="1"/>
      </tp>
      <tp>
        <v>0</v>
        <stp/>
        <stp>bse_cm|921ONE29</stp>
        <stp>Open</stp>
        <tr r="M1112" s="1"/>
      </tp>
      <tp t="s">
        <v>NSE</v>
        <stp/>
        <stp>nse_cm|IIFLZC26-NN</stp>
        <stp>Exchange</stp>
        <tr r="C1696" s="1"/>
      </tp>
      <tp>
        <v>1025</v>
        <stp/>
        <stp>bse_cm|KAFL25</stp>
        <stp>High</stp>
        <tr r="N1321" s="1"/>
      </tp>
      <tp>
        <v>1000</v>
        <stp/>
        <stp>bse_cm|KAFLZC30</stp>
        <stp>Face Value</stp>
        <tr r="Q1314" s="1"/>
      </tp>
      <tp>
        <v>1000</v>
        <stp/>
        <stp>bse_cm|KAFLZC26</stp>
        <stp>Face Value</stp>
        <tr r="Q1316" s="1"/>
      </tp>
      <tp>
        <v>1000</v>
        <stp/>
        <stp>bse_cm|KAFLZC28</stp>
        <stp>Face Value</stp>
        <tr r="Q1315" s="1"/>
      </tp>
      <tp>
        <v>0</v>
        <stp/>
        <stp>bse_cm|971SCL29</stp>
        <stp>Open</stp>
        <tr r="M521" s="1"/>
      </tp>
      <tp>
        <v>0</v>
        <stp/>
        <stp>nse_cm|990SCFL26-AJ</stp>
        <stp>% Change</stp>
        <tr r="J1523" s="1"/>
      </tp>
      <tp>
        <v>1263.42</v>
        <stp/>
        <stp>bse_cm|MFLZC27E</stp>
        <stp>Bid Rate</stp>
        <tr r="E1677" s="1"/>
      </tp>
      <tp>
        <v>0</v>
        <stp/>
        <stp>bse_cm|971SCL28</stp>
        <stp>Open</stp>
        <tr r="M1028" s="1"/>
      </tp>
      <tp>
        <v>1248</v>
        <stp/>
        <stp>bse_cm|MMFL25</stp>
        <stp xml:space="preserve">Low </stp>
        <tr r="O1725" s="1"/>
      </tp>
      <tp>
        <v>1580</v>
        <stp/>
        <stp>bse_cm|MFLZC27D</stp>
        <stp>Bid Rate</stp>
        <tr r="E1700" s="1"/>
      </tp>
      <tp>
        <v>1026</v>
        <stp/>
        <stp>bse_cm|IIFLHF29</stp>
        <stp>Prev Close</stp>
        <tr r="P1631" s="1"/>
      </tp>
      <tp>
        <v>1500</v>
        <stp/>
        <stp>nse_cm|861REC34-ND</stp>
        <stp>High</stp>
        <tr r="N583" s="1"/>
      </tp>
      <tp>
        <v>1132.98</v>
        <stp/>
        <stp>bse_cm|MMFL27</stp>
        <stp xml:space="preserve">Low </stp>
        <tr r="O1513" s="1"/>
      </tp>
      <tp t="s">
        <v>868NHB29-N3</v>
        <stp/>
        <stp>nse_cm|868NHB29-N3</stp>
        <stp>Trading Symbol</stp>
        <tr r="B1342" s="1"/>
      </tp>
      <tp t="s">
        <v>893NHB29-N6</v>
        <stp/>
        <stp>nse_cm|893NHB29-N6</stp>
        <stp>Trading Symbol</stp>
        <tr r="B529" s="1"/>
      </tp>
      <tp t="s">
        <v>888NHB29-N5</v>
        <stp/>
        <stp>nse_cm|888NHB29-N5</stp>
        <stp>Trading Symbol</stp>
        <tr r="B504" s="1"/>
      </tp>
      <tp>
        <v>865.9</v>
        <stp/>
        <stp>bse_cm|MFLZC27F</stp>
        <stp>Bid Rate</stp>
        <tr r="E1566" s="1"/>
      </tp>
      <tp>
        <v>1125.22</v>
        <stp/>
        <stp>bse_cm|MFLZC27A</stp>
        <stp>Bid Rate</stp>
        <tr r="E1270" s="1"/>
      </tp>
      <tp>
        <v>1242</v>
        <stp/>
        <stp>nse_cm|862REC33-NA</stp>
        <stp>High</stp>
        <tr r="N563" s="1"/>
      </tp>
      <tp>
        <v>1134</v>
        <stp/>
        <stp>nse_cm|965SCL25-AG</stp>
        <stp>High</stp>
        <tr r="N1577" s="1"/>
      </tp>
      <tp>
        <v>825.1</v>
        <stp/>
        <stp>bse_cm|KFLZC27A</stp>
        <stp>Bid Rate</stp>
        <tr r="E1291" s="1"/>
      </tp>
      <tp>
        <v>0</v>
        <stp/>
        <stp>bse_cm|801TCH28</stp>
        <stp>Open</stp>
        <tr r="M1182" s="1"/>
      </tp>
      <tp>
        <v>999.95</v>
        <stp/>
        <stp>bse_cm|MFLV29</stp>
        <stp xml:space="preserve">Low </stp>
        <tr r="O361" s="1"/>
      </tp>
      <tp>
        <v>1270.02</v>
        <stp/>
        <stp>bse_cm|MFLZC27C</stp>
        <stp>Bid Rate</stp>
        <tr r="E1411" s="1"/>
      </tp>
      <tp>
        <v>1368</v>
        <stp/>
        <stp>nse_cm|863REC29-NC</stp>
        <stp>High</stp>
        <tr r="N1633" s="1"/>
      </tp>
      <tp>
        <v>1550</v>
        <stp/>
        <stp>bse_cm|MFLZC27B</stp>
        <stp>Bid Rate</stp>
        <tr r="E1697" s="1"/>
      </tp>
      <tp>
        <v>1005</v>
        <stp/>
        <stp>bse_cm|MFLV27</stp>
        <stp xml:space="preserve">Low </stp>
        <tr r="O1508" s="1"/>
      </tp>
      <tp>
        <v>0</v>
        <stp/>
        <stp>nse_cm|965SCL28-AK</stp>
        <stp>High</stp>
        <tr r="N1137" s="1"/>
      </tp>
      <tp>
        <v>0</v>
        <stp/>
        <stp>bse_cm|980SCL33</stp>
        <stp>Open</stp>
        <tr r="M998" s="1"/>
      </tp>
      <tp>
        <v>970</v>
        <stp/>
        <stp>bse_cm|MFLI25</stp>
        <stp xml:space="preserve">Low </stp>
        <tr r="O447" s="1"/>
      </tp>
      <tp>
        <v>945.33</v>
        <stp/>
        <stp>bse_cm|830JMFPL30</stp>
        <stp>Prev Close</stp>
        <tr r="P251" s="1"/>
      </tp>
      <tp>
        <v>980</v>
        <stp/>
        <stp>bse_cm|820JMFPL26</stp>
        <stp>Prev Close</stp>
        <tr r="P349" s="1"/>
      </tp>
      <tp>
        <v>0</v>
        <stp/>
        <stp>bse_cm|801TCH25</stp>
        <stp>Open</stp>
        <tr r="M562" s="1"/>
      </tp>
      <tp t="s">
        <v>BSE</v>
        <stp/>
        <stp>bse_cm|97SFL26A</stp>
        <stp>Exchange</stp>
        <tr r="C1089" s="1"/>
      </tp>
      <tp>
        <v>0</v>
        <stp/>
        <stp>bse_cm|980SCL34</stp>
        <stp>Open</stp>
        <tr r="M829" s="1"/>
      </tp>
      <tp>
        <v>1000</v>
        <stp/>
        <stp>bse_cm|853MMFSL26</stp>
        <stp>Prev Close</stp>
        <tr r="P1005" s="1"/>
      </tp>
      <tp>
        <v>0</v>
        <stp/>
        <stp>bse_cm|931SFL26</stp>
        <stp>Open</stp>
        <tr r="M1492" s="1"/>
      </tp>
      <tp t="s">
        <v>925AEL26-N1</v>
        <stp/>
        <stp>nse_cm|925AEL26-N1</stp>
        <stp>Trading Symbol</stp>
        <tr r="B330" s="1"/>
      </tp>
      <tp>
        <v>0</v>
        <stp/>
        <stp>nse_cm|957SCL31-Z3</stp>
        <stp>Open</stp>
        <tr r="M874" s="1"/>
      </tp>
      <tp>
        <v>1070.1199999999999</v>
        <stp/>
        <stp>nse_cm|84TCHF28-NA</stp>
        <stp xml:space="preserve">Low </stp>
        <tr r="O402" s="1"/>
      </tp>
      <tp>
        <v>0</v>
        <stp/>
        <stp>bse_cm|0SFL31</stp>
        <stp>Ask Rate</stp>
        <tr r="F1032" s="1"/>
      </tp>
      <tp>
        <v>0</v>
        <stp/>
        <stp>nse_cm|955SCL27-Z5</stp>
        <stp>Open</stp>
        <tr r="M949" s="1"/>
      </tp>
      <tp>
        <v>1000</v>
        <stp/>
        <stp>nse_cm|77IGT28-NE</stp>
        <stp>Face Value</stp>
        <tr r="Q1190" s="1"/>
      </tp>
      <tp>
        <v>1000</v>
        <stp/>
        <stp>nse_cm|79IGT28-NF</stp>
        <stp>Face Value</stp>
        <tr r="Q692" s="1"/>
      </tp>
      <tp>
        <v>6570</v>
        <stp/>
        <stp>nse_cm|865NHB34-N4</stp>
        <stp>High</stp>
        <tr r="N1166" s="1"/>
      </tp>
      <tp>
        <v>1000</v>
        <stp/>
        <stp>nse_cm|9IIFL28-Y0</stp>
        <stp>Face Value</stp>
        <tr r="Q175" s="1"/>
      </tp>
      <tp>
        <v>10</v>
        <stp/>
        <stp>nse_cm|SCL24A-ZS</stp>
        <stp>Bid Qty</stp>
        <tr r="D1751" s="1"/>
      </tp>
      <tp>
        <v>1000</v>
        <stp/>
        <stp>bse_cm|1025JFCS28</stp>
        <stp>Face Value</stp>
        <tr r="Q363" s="1"/>
      </tp>
      <tp>
        <v>1000</v>
        <stp/>
        <stp>nse_cm|885SCL26-N9</stp>
        <stp>High</stp>
        <tr r="N686" s="1"/>
      </tp>
      <tp>
        <v>950</v>
        <stp/>
        <stp>nse_cm|1003IIFL29-NC</stp>
        <stp>Prev Close</stp>
        <tr r="P1077" s="1"/>
      </tp>
      <tp>
        <v>990</v>
        <stp/>
        <stp>bse_cm|KFL25D</stp>
        <stp xml:space="preserve">Low </stp>
        <tr r="O1688" s="1"/>
      </tp>
      <tp>
        <v>1103</v>
        <stp/>
        <stp>bse_cm|KFL25C</stp>
        <stp xml:space="preserve">Low </stp>
        <tr r="O1307" s="1"/>
      </tp>
      <tp>
        <v>1127</v>
        <stp/>
        <stp>bse_cm|KFL25B</stp>
        <stp xml:space="preserve">Low </stp>
        <tr r="O1308" s="1"/>
      </tp>
      <tp>
        <v>0</v>
        <stp/>
        <stp>bse_cm|0MML29A</stp>
        <stp>Ask Qty</stp>
        <tr r="G1040" s="1"/>
      </tp>
      <tp>
        <v>5885</v>
        <stp/>
        <stp>nse_cm|868NHB29-N3</stp>
        <stp>High</stp>
        <tr r="N1342" s="1"/>
      </tp>
      <tp>
        <v>980</v>
        <stp/>
        <stp>nse_cm|1050IIFL29-ND</stp>
        <stp>Prev Close</stp>
        <tr r="P585" s="1"/>
      </tp>
      <tp>
        <v>1148</v>
        <stp/>
        <stp>bse_cm|KFL25A</stp>
        <stp xml:space="preserve">Low </stp>
        <tr r="O1703" s="1"/>
      </tp>
      <tp>
        <v>1050.2</v>
        <stp/>
        <stp>bse_cm|MFL23A</stp>
        <stp xml:space="preserve">Low </stp>
        <tr r="O1560" s="1"/>
      </tp>
      <tp>
        <v>1179</v>
        <stp/>
        <stp>nse_cm|871REC28-N9</stp>
        <stp>High</stp>
        <tr r="N542" s="1"/>
      </tp>
      <tp>
        <v>1327</v>
        <stp/>
        <stp>nse_cm|901HUDCO34-NE</stp>
        <stp>Prev Close</stp>
        <tr r="P517" s="1"/>
      </tp>
      <tp>
        <v>6279</v>
        <stp/>
        <stp>nse_cm|901NHB34-N6</stp>
        <stp xml:space="preserve">Low </stp>
        <tr r="O520" s="1"/>
      </tp>
      <tp>
        <v>-100</v>
        <stp/>
        <stp>bse_cm|840CIFCL28</stp>
        <stp>% Change</stp>
        <tr r="J419" s="1"/>
      </tp>
      <tp>
        <v>100000</v>
        <stp/>
        <stp>nse_cm|850NIRMA27-N7</stp>
        <stp>Face Value</stp>
        <tr r="Q1010" s="1"/>
      </tp>
      <tp>
        <v>0.31</v>
        <stp/>
        <stp>nse_cm|891NTPC33-N6</stp>
        <stp>% Change</stp>
        <tr r="J535" s="1"/>
      </tp>
      <tp>
        <v>9</v>
        <stp/>
        <stp>nse_cm|SCL25A-BH</stp>
        <stp>Bid Qty</stp>
        <tr r="D1237" s="1"/>
      </tp>
      <tp>
        <v>9</v>
        <stp/>
        <stp>nse_cm|SCL25B-BI</stp>
        <stp>Bid Qty</stp>
        <tr r="D1403" s="1"/>
      </tp>
      <tp>
        <v>-100</v>
        <stp/>
        <stp>bse_cm|860CIFCL28</stp>
        <stp>% Change</stp>
        <tr r="J1431" s="1"/>
      </tp>
      <tp>
        <v>1000</v>
        <stp/>
        <stp>bse_cm|CCIL14824C</stp>
        <stp>Face Value</stp>
        <tr r="Q751" s="1"/>
      </tp>
      <tp>
        <v>1000</v>
        <stp/>
        <stp>bse_cm|CCIL14824B</stp>
        <stp>Face Value</stp>
        <tr r="Q752" s="1"/>
      </tp>
      <tp>
        <v>1000</v>
        <stp/>
        <stp>bse_cm|CCIL14824A</stp>
        <stp>Face Value</stp>
        <tr r="Q590" s="1"/>
      </tp>
      <tp>
        <v>1000</v>
        <stp/>
        <stp>bse_cm|1050NIDO29</stp>
        <stp>Face Value</stp>
        <tr r="Q1124" s="1"/>
      </tp>
      <tp>
        <v>0</v>
        <stp/>
        <stp>bse_cm|0SFL29A</stp>
        <stp>Ask Qty</stp>
        <tr r="G1033" s="1"/>
      </tp>
      <tp>
        <v>875.2</v>
        <stp/>
        <stp>bse_cm|CCILZC30</stp>
        <stp>Bid Rate</stp>
        <tr r="E746" s="1"/>
      </tp>
      <tp>
        <v>-100</v>
        <stp/>
        <stp>bse_cm|775MFLTD25</stp>
        <stp>% Change</stp>
        <tr r="J649" s="1"/>
      </tp>
      <tp>
        <v>0</v>
        <stp/>
        <stp>nse_cm|10IFSL26-N7</stp>
        <stp>ATP</stp>
        <tr r="K293" s="1"/>
      </tp>
      <tp>
        <v>-100</v>
        <stp/>
        <stp>bse_cm|775MFL2025</stp>
        <stp>% Change</stp>
        <tr r="J336" s="1"/>
      </tp>
      <tp>
        <v>0</v>
        <stp/>
        <stp>nse_cm|11DLSL25-NV</stp>
        <stp>ATP</stp>
        <tr r="K48" s="1"/>
      </tp>
      <tp>
        <v>1000</v>
        <stp/>
        <stp>bse_cm|1075SCFL34</stp>
        <stp>Face Value</stp>
        <tr r="Q1020" s="1"/>
      </tp>
      <tp>
        <v>1000</v>
        <stp/>
        <stp>bse_cm|1075NHFL34</stp>
        <stp>Face Value</stp>
        <tr r="Q1553" s="1"/>
      </tp>
      <tp>
        <v>667</v>
        <stp/>
        <stp>bse_cm|1025ICCL26</stp>
        <stp>Face Value</stp>
        <tr r="Q1175" s="1"/>
      </tp>
      <tp>
        <v>1000</v>
        <stp/>
        <stp>bse_cm|1075KAFL29</stp>
        <stp>Face Value</stp>
        <tr r="Q125" s="1"/>
      </tp>
      <tp>
        <v>1000</v>
        <stp/>
        <stp>bse_cm|1075KAFL28</stp>
        <stp>Face Value</stp>
        <tr r="Q1118" s="1"/>
      </tp>
      <tp>
        <v>0</v>
        <stp/>
        <stp>bse_cm|MML25A</stp>
        <stp>High</stp>
        <tr r="N1252" s="1"/>
      </tp>
      <tp>
        <v>-100</v>
        <stp/>
        <stp>bse_cm|785MFL2028</stp>
        <stp>% Change</stp>
        <tr r="J357" s="1"/>
      </tp>
      <tp>
        <v>14</v>
        <stp/>
        <stp>bse_cm|EFSLZC28C</stp>
        <stp>Bid Qty</stp>
        <tr r="D1331" s="1"/>
      </tp>
      <tp>
        <v>1033</v>
        <stp/>
        <stp>bse_cm|MML25B</stp>
        <stp>High</stp>
        <tr r="N1498" s="1"/>
      </tp>
      <tp>
        <v>-100</v>
        <stp/>
        <stp>bse_cm|775MFLTD26</stp>
        <stp>% Change</stp>
        <tr r="J652" s="1"/>
      </tp>
      <tp>
        <v>0</v>
        <stp/>
        <stp>bse_cm|775MFL2026</stp>
        <stp>% Change</stp>
        <tr r="J240" s="1"/>
      </tp>
      <tp>
        <v>0</v>
        <stp/>
        <stp>bse_cm|MML25C</stp>
        <stp>High</stp>
        <tr r="N1251" s="1"/>
      </tp>
      <tp>
        <v>1073</v>
        <stp/>
        <stp>nse_cm|885TCAPS29-NC</stp>
        <stp>Prev Close</stp>
        <tr r="P13" s="1"/>
      </tp>
      <tp>
        <v>1028.99</v>
        <stp/>
        <stp>nse_cm|865TCAPS27-N8</stp>
        <stp>Prev Close</stp>
        <tr r="P376" s="1"/>
      </tp>
      <tp>
        <v>170</v>
        <stp/>
        <stp>bse_cm|EFSLZC26C</stp>
        <stp>Bid Qty</stp>
        <tr r="D1332" s="1"/>
      </tp>
      <tp>
        <v>42</v>
        <stp/>
        <stp>bse_cm|EFSLZC26B</stp>
        <stp>Bid Qty</stp>
        <tr r="D1678" s="1"/>
      </tp>
      <tp>
        <v>170</v>
        <stp/>
        <stp>bse_cm|EFSLZC26A</stp>
        <stp>Bid Qty</stp>
        <tr r="D1574" s="1"/>
      </tp>
      <tp>
        <v>-100</v>
        <stp/>
        <stp>bse_cm|775MFLTD28</stp>
        <stp>% Change</stp>
        <tr r="J1192" s="1"/>
      </tp>
      <tp>
        <v>1000</v>
        <stp/>
        <stp>bse_cm|SFLZC25A</stp>
        <stp>Face Value</stp>
        <tr r="Q1583" s="1"/>
      </tp>
      <tp>
        <v>1000</v>
        <stp/>
        <stp>bse_cm|SFLZC26A</stp>
        <stp>Face Value</stp>
        <tr r="Q1713" s="1"/>
      </tp>
      <tp t="s">
        <v>CIFCZC25-ND</v>
        <stp/>
        <stp>nse_cm|CIFCZC25-ND</stp>
        <stp>Trading Symbol</stp>
        <tr r="B1435" s="1"/>
      </tp>
      <tp>
        <v>905</v>
        <stp/>
        <stp>nse_cm|98ICCL26-NU</stp>
        <stp>High</stp>
        <tr r="N1569" s="1"/>
      </tp>
      <tp>
        <v>1074.9000000000001</v>
        <stp/>
        <stp>bse_cm|MFL25E</stp>
        <stp>High</stp>
        <tr r="N1664" s="1"/>
      </tp>
      <tp>
        <v>0</v>
        <stp/>
        <stp>bse_cm|0KFL31</stp>
        <stp>Ask Rate</stp>
        <tr r="F1044" s="1"/>
      </tp>
      <tp>
        <v>9</v>
        <stp/>
        <stp>bse_cm|EFSLZC25A</stp>
        <stp>Bid Qty</stp>
        <tr r="D1333" s="1"/>
      </tp>
      <tp>
        <v>1117</v>
        <stp/>
        <stp>bse_cm|MFL25D</stp>
        <stp>High</stp>
        <tr r="N1705" s="1"/>
      </tp>
      <tp>
        <v>200</v>
        <stp/>
        <stp>bse_cm|MMFSL26</stp>
        <stp>Bid Qty</stp>
        <tr r="D1258" s="1"/>
      </tp>
      <tp>
        <v>1150</v>
        <stp/>
        <stp>bse_cm|MFL25C</stp>
        <stp>High</stp>
        <tr r="N1571" s="1"/>
      </tp>
      <tp>
        <v>1000</v>
        <stp/>
        <stp>bse_cm|SCLZC25F</stp>
        <stp>Face Value</stp>
        <tr r="Q1542" s="1"/>
      </tp>
      <tp>
        <v>1000</v>
        <stp/>
        <stp>bse_cm|SCLZC25E</stp>
        <stp>Face Value</stp>
        <tr r="Q907" s="1"/>
      </tp>
      <tp>
        <v>1000</v>
        <stp/>
        <stp>bse_cm|SCLZC25D</stp>
        <stp>Face Value</stp>
        <tr r="Q1573" s="1"/>
      </tp>
      <tp>
        <v>1000</v>
        <stp/>
        <stp>bse_cm|SCLZC25C</stp>
        <stp>Face Value</stp>
        <tr r="Q1231" s="1"/>
      </tp>
      <tp>
        <v>1000</v>
        <stp/>
        <stp>bse_cm|SCLZC25B</stp>
        <stp>Face Value</stp>
        <tr r="Q1540" s="1"/>
      </tp>
      <tp>
        <v>1000</v>
        <stp/>
        <stp>bse_cm|SCLZC25A</stp>
        <stp>Face Value</stp>
        <tr r="Q1233" s="1"/>
      </tp>
      <tp>
        <v>1000</v>
        <stp/>
        <stp>bse_cm|SCLZC26G</stp>
        <stp>Face Value</stp>
        <tr r="Q799" s="1"/>
      </tp>
      <tp>
        <v>1000</v>
        <stp/>
        <stp>bse_cm|SCLZC26F</stp>
        <stp>Face Value</stp>
        <tr r="Q898" s="1"/>
      </tp>
      <tp>
        <v>1000</v>
        <stp/>
        <stp>bse_cm|SCLZC26E</stp>
        <stp>Face Value</stp>
        <tr r="Q900" s="1"/>
      </tp>
      <tp>
        <v>1000</v>
        <stp/>
        <stp>bse_cm|SCLZC26D</stp>
        <stp>Face Value</stp>
        <tr r="Q705" s="1"/>
      </tp>
      <tp>
        <v>1000</v>
        <stp/>
        <stp>bse_cm|SCLZC26C</stp>
        <stp>Face Value</stp>
        <tr r="Q1399" s="1"/>
      </tp>
      <tp>
        <v>1000</v>
        <stp/>
        <stp>bse_cm|SCLZC26B</stp>
        <stp>Face Value</stp>
        <tr r="Q992" s="1"/>
      </tp>
      <tp>
        <v>1000</v>
        <stp/>
        <stp>bse_cm|SCLZC26A</stp>
        <stp>Face Value</stp>
        <tr r="Q1343" s="1"/>
      </tp>
      <tp>
        <v>1000</v>
        <stp/>
        <stp>bse_cm|SCLZC26H</stp>
        <stp>Face Value</stp>
        <tr r="Q814" s="1"/>
      </tp>
      <tp>
        <v>0</v>
        <stp/>
        <stp>bse_cm|0SFL27A</stp>
        <stp>Ask Qty</stp>
        <tr r="G1034" s="1"/>
      </tp>
      <tp>
        <v>1055</v>
        <stp/>
        <stp>bse_cm|MFL25B</stp>
        <stp>High</stp>
        <tr r="N1667" s="1"/>
      </tp>
      <tp>
        <v>1115</v>
        <stp/>
        <stp>bse_cm|MFL25A</stp>
        <stp>High</stp>
        <tr r="N1692" s="1"/>
      </tp>
      <tp>
        <v>-100</v>
        <stp/>
        <stp>bse_cm|850CIFCL26</stp>
        <stp>% Change</stp>
        <tr r="J1164" s="1"/>
      </tp>
      <tp>
        <v>992.99</v>
        <stp/>
        <stp>nse_cm|1003ISFL28-N4</stp>
        <stp xml:space="preserve">Low </stp>
        <tr r="O197" s="1"/>
      </tp>
      <tp t="s">
        <v>769NHAI31</v>
        <stp/>
        <stp>bse_cm|769NHAI31</stp>
        <stp>Trading Symbol</stp>
        <tr r="B465" s="1"/>
      </tp>
      <tp t="s">
        <v>CCIL14824</v>
        <stp/>
        <stp>bse_cm|CCIL14824</stp>
        <stp>Trading Symbol</stp>
        <tr r="B753" s="1"/>
      </tp>
      <tp t="s">
        <v>INE403Q08225</v>
        <stp/>
        <stp>bse_cm|KFLZC28</stp>
        <stp>Isin code</stp>
        <tr r="R1290" s="1"/>
      </tp>
      <tp t="s">
        <v>739HUDC31</v>
        <stp/>
        <stp>bse_cm|739HUDC31</stp>
        <stp>Trading Symbol</stp>
        <tr r="B1347" s="1"/>
      </tp>
      <tp t="s">
        <v>747PFCL33</v>
        <stp/>
        <stp>bse_cm|747PFCL33</stp>
        <stp>Trading Symbol</stp>
        <tr r="B1199" s="1"/>
      </tp>
      <tp t="s">
        <v>1175IFL26</v>
        <stp/>
        <stp>bse_cm|1175IFL26</stp>
        <stp>Trading Symbol</stp>
        <tr r="B1221" s="1"/>
      </tp>
      <tp t="s">
        <v>945MFCL29</v>
        <stp/>
        <stp>bse_cm|945MFCL29</stp>
        <stp>Trading Symbol</stp>
        <tr r="B682" s="1"/>
      </tp>
      <tp t="s">
        <v>115ICFL25</v>
        <stp/>
        <stp>bse_cm|115ICFL25</stp>
        <stp>Trading Symbol</stp>
        <tr r="B1548" s="1"/>
      </tp>
      <tp t="s">
        <v>745PFCL26</v>
        <stp/>
        <stp>bse_cm|745PFCL26</stp>
        <stp>Trading Symbol</stp>
        <tr r="B1200" s="1"/>
      </tp>
      <tp t="s">
        <v>NSE</v>
        <stp/>
        <stp>nse_cm|1075SCL33B-NW</stp>
        <stp>Exchange</stp>
        <tr r="C889" s="1"/>
      </tp>
      <tp t="s">
        <v>1150IFL26</v>
        <stp/>
        <stp>bse_cm|1150IFL26</stp>
        <stp>Trading Symbol</stp>
        <tr r="B1225" s="1"/>
      </tp>
      <tp t="s">
        <v>930NIDO32</v>
        <stp/>
        <stp>bse_cm|930NIDO32</stp>
        <stp>Trading Symbol</stp>
        <tr r="B76" s="1"/>
      </tp>
      <tp t="s">
        <v>940MFCL26</v>
        <stp/>
        <stp>bse_cm|940MFCL26</stp>
        <stp>Trading Symbol</stp>
        <tr r="B200" s="1"/>
      </tp>
      <tp t="s">
        <v>940ICCL28</v>
        <stp/>
        <stp>bse_cm|940ICCL28</stp>
        <stp>Trading Symbol</stp>
        <tr r="B1126" s="1"/>
      </tp>
      <tp t="s">
        <v>1102NFL26</v>
        <stp/>
        <stp>bse_cm|1102NFL26</stp>
        <stp>Trading Symbol</stp>
        <tr r="B567" s="1"/>
      </tp>
      <tp t="s">
        <v>1119NFL27</v>
        <stp/>
        <stp>bse_cm|1119NFL27</stp>
        <stp>Trading Symbol</stp>
        <tr r="B1140" s="1"/>
      </tp>
      <tp t="s">
        <v>INE413U07319</v>
        <stp/>
        <stp>nse_cm|1050IIFL29-ND</stp>
        <stp>Isin code</stp>
        <tr r="R585" s="1"/>
      </tp>
      <tp t="s">
        <v>966ONE29</v>
        <stp/>
        <stp>bse_cm|966ONE29</stp>
        <stp>Symbol</stp>
        <tr r="A281" s="1"/>
      </tp>
      <tp t="s">
        <v>961ONE27</v>
        <stp/>
        <stp>bse_cm|961ONE27</stp>
        <stp>Symbol</stp>
        <tr r="A628" s="1"/>
      </tp>
      <tp t="s">
        <v>955ONE27</v>
        <stp/>
        <stp>bse_cm|955ONE27</stp>
        <stp>Symbol</stp>
        <tr r="A1129" s="1"/>
      </tp>
      <tp t="s">
        <v>944ONE34</v>
        <stp/>
        <stp>bse_cm|944ONE34</stp>
        <stp>Symbol</stp>
        <tr r="A269" s="1"/>
      </tp>
      <tp t="s">
        <v>941ONE26</v>
        <stp/>
        <stp>bse_cm|941ONE26</stp>
        <stp>Symbol</stp>
        <tr r="A263" s="1"/>
      </tp>
      <tp t="s">
        <v>915MMFS24</v>
        <stp/>
        <stp>bse_cm|915MMFS24</stp>
        <stp>Trading Symbol</stp>
        <tr r="B1752" s="1"/>
      </tp>
      <tp t="s">
        <v>935ONE26</v>
        <stp/>
        <stp>bse_cm|935ONE26</stp>
        <stp>Symbol</stp>
        <tr r="A1173" s="1"/>
      </tp>
      <tp>
        <v>0</v>
        <stp/>
        <stp>nse_cm|810TCHFL27-ND</stp>
        <stp>Bid Rate</stp>
        <tr r="E1016" s="1"/>
      </tp>
      <tp t="s">
        <v>926ONE29</v>
        <stp/>
        <stp>bse_cm|926ONE29</stp>
        <stp>Symbol</stp>
        <tr r="A1467" s="1"/>
      </tp>
      <tp t="s">
        <v>921ONE29</v>
        <stp/>
        <stp>bse_cm|921ONE29</stp>
        <stp>Symbol</stp>
        <tr r="A1112" s="1"/>
      </tp>
      <tp t="s">
        <v>921ONE27</v>
        <stp/>
        <stp>bse_cm|921ONE27</stp>
        <stp>Symbol</stp>
        <tr r="A1428" s="1"/>
      </tp>
      <tp t="s">
        <v>922ONE25</v>
        <stp/>
        <stp>bse_cm|922ONE25</stp>
        <stp>Symbol</stp>
        <tr r="A1111" s="1"/>
      </tp>
      <tp t="s">
        <v>916ONE25</v>
        <stp/>
        <stp>bse_cm|916ONE25</stp>
        <stp>Symbol</stp>
        <tr r="A965" s="1"/>
      </tp>
      <tp t="s">
        <v>916ONE27</v>
        <stp/>
        <stp>bse_cm|916ONE27</stp>
        <stp>Symbol</stp>
        <tr r="A267" s="1"/>
      </tp>
      <tp t="s">
        <v>AEL120924B</v>
        <stp/>
        <stp>nse_cm|AEL120924B-N8</stp>
        <stp>Symbol</stp>
        <tr r="A1640" s="1"/>
      </tp>
      <tp t="s">
        <v>903ONE26</v>
        <stp/>
        <stp>bse_cm|903ONE26</stp>
        <stp>Symbol</stp>
        <tr r="A843" s="1"/>
      </tp>
      <tp t="s">
        <v>INE860H07IQ0</v>
        <stp/>
        <stp>bse_cm|8ABFL26</stp>
        <stp>Isin code</stp>
        <tr r="R539" s="1"/>
      </tp>
      <tp t="s">
        <v>955ICCL25A</v>
        <stp/>
        <stp>nse_cm|955ICCL25A-NH</stp>
        <stp>Symbol</stp>
        <tr r="A486" s="1"/>
      </tp>
      <tp t="s">
        <v>12ICFL25</v>
        <stp/>
        <stp>bse_cm|12ICFL25</stp>
        <stp>Symbol</stp>
        <tr r="A1213" s="1"/>
      </tp>
      <tp t="s">
        <v>10MMFL27</v>
        <stp/>
        <stp>bse_cm|10MMFL27</stp>
        <stp>Symbol</stp>
        <tr r="A1090" s="1"/>
      </tp>
      <tp t="s">
        <v>10NHFL27</v>
        <stp/>
        <stp>bse_cm|10NHFL27</stp>
        <stp>Symbol</stp>
        <tr r="A658" s="1"/>
      </tp>
      <tp t="s">
        <v>10IIFL29</v>
        <stp/>
        <stp>bse_cm|10IIFL29</stp>
        <stp>Symbol</stp>
        <tr r="A307" s="1"/>
      </tp>
      <tp t="s">
        <v>10IIFL28</v>
        <stp/>
        <stp>bse_cm|10IIFL28</stp>
        <stp>Symbol</stp>
        <tr r="A68" s="1"/>
      </tp>
      <tp t="s">
        <v>10ISFL26</v>
        <stp/>
        <stp>bse_cm|10ISFL26</stp>
        <stp>Symbol</stp>
        <tr r="A1509" s="1"/>
      </tp>
      <tp t="s">
        <v>10KAFL26</v>
        <stp/>
        <stp>bse_cm|10KAFL26</stp>
        <stp>Symbol</stp>
        <tr r="A1096" s="1"/>
      </tp>
      <tp t="s">
        <v>10KSFL25</v>
        <stp/>
        <stp>bse_cm|10KSFL25</stp>
        <stp>Symbol</stp>
        <tr r="A107" s="1"/>
      </tp>
      <tp t="s">
        <v>11KAFL27</v>
        <stp/>
        <stp>bse_cm|11KAFL27</stp>
        <stp>Symbol</stp>
        <tr r="A184" s="1"/>
      </tp>
      <tp t="s">
        <v>11KAFL26</v>
        <stp/>
        <stp>bse_cm|11KAFL26</stp>
        <stp>Symbol</stp>
        <tr r="A671" s="1"/>
      </tp>
      <tp t="s">
        <v>11KAFL29</v>
        <stp/>
        <stp>bse_cm|11KAFL29</stp>
        <stp>Symbol</stp>
        <tr r="A662" s="1"/>
      </tp>
      <tp t="s">
        <v>985ONE34</v>
        <stp/>
        <stp>bse_cm|985ONE34</stp>
        <stp>Symbol</stp>
        <tr r="A1101" s="1"/>
      </tp>
      <tp>
        <v>970</v>
        <stp/>
        <stp>nse_cm|1003ICCL28-NX</stp>
        <stp xml:space="preserve">Low </stp>
        <tr r="O553" s="1"/>
      </tp>
      <tp>
        <v>980</v>
        <stp/>
        <stp>bse_cm|11IML27</stp>
        <stp>Prev Close</stp>
        <tr r="P177" s="1"/>
      </tp>
      <tp>
        <v>875</v>
        <stp/>
        <stp>bse_cm|11IML26</stp>
        <stp>Prev Close</stp>
        <tr r="P1132" s="1"/>
      </tp>
      <tp>
        <v>866</v>
        <stp/>
        <stp>bse_cm|11MML28</stp>
        <stp>Prev Close</stp>
        <tr r="P1131" s="1"/>
      </tp>
      <tp>
        <v>1000.7</v>
        <stp/>
        <stp>bse_cm|12IML26</stp>
        <stp>Prev Close</stp>
        <tr r="P1494" s="1"/>
      </tp>
      <tp t="s">
        <v>NSE</v>
        <stp/>
        <stp>nse_cm|1025SCL33A-N1</stp>
        <stp>Exchange</stp>
        <tr r="C834" s="1"/>
      </tp>
      <tp>
        <v>973</v>
        <stp/>
        <stp>bse_cm|865MF25</stp>
        <stp>Prev Close</stp>
        <tr r="P111" s="1"/>
      </tp>
      <tp t="s">
        <v>NSE</v>
        <stp/>
        <stp>nse_cm|1075SCL33A-N2</stp>
        <stp>Exchange</stp>
        <tr r="C630" s="1"/>
      </tp>
      <tp>
        <v>940</v>
        <stp/>
        <stp>nse_cm|1025ICCL26-NT</stp>
        <stp>High</stp>
        <tr r="N771" s="1"/>
      </tp>
      <tp t="s">
        <v>11ICLFL25</v>
        <stp/>
        <stp>bse_cm|11ICLFL25</stp>
        <stp>Trading Symbol</stp>
        <tr r="B452" s="1"/>
      </tp>
      <tp>
        <v>950</v>
        <stp/>
        <stp>nse_cm|1003IIFL29-NC</stp>
        <stp xml:space="preserve">Low </stp>
        <tr r="O1077" s="1"/>
      </tp>
      <tp t="s">
        <v>84CIFCL28</v>
        <stp/>
        <stp>bse_cm|84CIFCL28</stp>
        <stp>Trading Symbol</stp>
        <tr r="B387" s="1"/>
      </tp>
      <tp>
        <v>0</v>
        <stp/>
        <stp>bse_cm|850MFL27</stp>
        <stp>Open</stp>
        <tr r="M265" s="1"/>
      </tp>
      <tp>
        <v>0</v>
        <stp/>
        <stp>bse_cm|840MFL27</stp>
        <stp>Open</stp>
        <tr r="M133" s="1"/>
      </tp>
      <tp>
        <v>0</v>
        <stp/>
        <stp>bse_cm|870MFL27</stp>
        <stp>Open</stp>
        <tr r="M399" s="1"/>
      </tp>
      <tp>
        <v>0</v>
        <stp/>
        <stp>bse_cm|950MFL27</stp>
        <stp>Open</stp>
        <tr r="M1147" s="1"/>
      </tp>
      <tp>
        <v>0</v>
        <stp/>
        <stp>bse_cm|750MFL27</stp>
        <stp>Open</stp>
        <tr r="M274" s="1"/>
      </tp>
      <tp t="s">
        <v>INE148I07LB4</v>
        <stp/>
        <stp>nse_cm|875SCFL27-Y9</stp>
        <stp>Isin code</stp>
        <tr r="R927" s="1"/>
      </tp>
      <tp>
        <v>0</v>
        <stp/>
        <stp>bse_cm|890MFL26</stp>
        <stp>Open</stp>
        <tr r="M1478" s="1"/>
      </tp>
      <tp>
        <v>0</v>
        <stp/>
        <stp>bse_cm|910MFL26</stp>
        <stp>Open</stp>
        <tr r="M277" s="1"/>
      </tp>
      <tp>
        <v>1000</v>
        <stp/>
        <stp>bse_cm|950KLMAF25</stp>
        <stp>Face Value</stp>
        <tr r="Q1149" s="1"/>
      </tp>
      <tp>
        <v>0</v>
        <stp/>
        <stp>bse_cm|810MFL25</stp>
        <stp>Open</stp>
        <tr r="M429" s="1"/>
      </tp>
      <tp>
        <v>0</v>
        <stp/>
        <stp>bse_cm|760MFL25</stp>
        <stp>Open</stp>
        <tr r="M482" s="1"/>
      </tp>
      <tp>
        <v>0</v>
        <stp/>
        <stp>nse_cm|857SCL24-ZQ</stp>
        <stp>Open</stp>
        <tr r="M975" s="1"/>
      </tp>
      <tp>
        <v>0</v>
        <stp/>
        <stp>nse_cm|866SCL25-YP</stp>
        <stp>Open</stp>
        <tr r="M933" s="1"/>
      </tp>
      <tp>
        <v>0</v>
        <stp/>
        <stp>bse_cm|850MFL24</stp>
        <stp>Open</stp>
        <tr r="M1100" s="1"/>
      </tp>
      <tp>
        <v>0</v>
        <stp/>
        <stp>bse_cm|950MML24</stp>
        <stp>Open</stp>
        <tr r="M304" s="1"/>
      </tp>
      <tp>
        <v>0</v>
        <stp/>
        <stp>nse_cm|824LTF27-NQ</stp>
        <stp>High</stp>
        <tr r="N999" s="1"/>
      </tp>
      <tp>
        <v>1000</v>
        <stp/>
        <stp>bse_cm|JMFPZC25</stp>
        <stp>Face Value</stp>
        <tr r="Q1324" s="1"/>
      </tp>
      <tp>
        <v>1000</v>
        <stp/>
        <stp>bse_cm|JMFPZC26</stp>
        <stp>Face Value</stp>
        <tr r="Q1323" s="1"/>
      </tp>
      <tp>
        <v>0</v>
        <stp/>
        <stp>bse_cm|950KLM25</stp>
        <stp>Open</stp>
        <tr r="M1150" s="1"/>
      </tp>
      <tp>
        <v>0</v>
        <stp/>
        <stp>nse_cm|955SCL25-ZU</stp>
        <stp>Open</stp>
        <tr r="M1391" s="1"/>
      </tp>
      <tp>
        <v>961.25</v>
        <stp/>
        <stp>bse_cm|MFLII26B</stp>
        <stp>Bid Rate</stp>
        <tr r="E1454" s="1"/>
      </tp>
      <tp>
        <v>0</v>
        <stp/>
        <stp>bse_cm|950KFL27</stp>
        <stp>Open</stp>
        <tr r="M143" s="1"/>
      </tp>
      <tp>
        <v>0</v>
        <stp/>
        <stp>nse_cm|82TCHF25-N5</stp>
        <stp>High</stp>
        <tr r="N1014" s="1"/>
      </tp>
      <tp>
        <v>970.22</v>
        <stp/>
        <stp>bse_cm|94MFL27A</stp>
        <stp>Bid Rate</stp>
        <tr r="E420" s="1"/>
      </tp>
      <tp>
        <v>0</v>
        <stp/>
        <stp>bse_cm|KAFL30</stp>
        <stp>High</stp>
        <tr r="N1317" s="1"/>
      </tp>
      <tp>
        <v>0</v>
        <stp/>
        <stp>nse_cm|SCL26-NA</stp>
        <stp>Open</stp>
        <tr r="M919" s="1"/>
      </tp>
      <tp>
        <v>0</v>
        <stp/>
        <stp>nse_cm|965SCL29-YX</stp>
        <stp>Open</stp>
        <tr r="M847" s="1"/>
      </tp>
      <tp>
        <v>0</v>
        <stp/>
        <stp>nse_cm|845LTF24-NI</stp>
        <stp xml:space="preserve">Low </stp>
        <tr r="O942" s="1"/>
      </tp>
      <tp>
        <v>900.3</v>
        <stp/>
        <stp>nse_cm|93SCL24A-ZN</stp>
        <stp>Bid Rate</stp>
        <tr r="E695" s="1"/>
      </tp>
      <tp>
        <v>921</v>
        <stp/>
        <stp>nse_cm|889SCL28-NU</stp>
        <stp>High</stp>
        <tr r="N989" s="1"/>
      </tp>
      <tp>
        <v>1000</v>
        <stp/>
        <stp>bse_cm|702HUDCO26</stp>
        <stp>Face Value</stp>
        <tr r="Q1718" s="1"/>
      </tp>
      <tp>
        <v>-100</v>
        <stp/>
        <stp>bse_cm|EFSL26724A</stp>
        <stp>% Change</stp>
        <tr r="J1468" s="1"/>
      </tp>
      <tp>
        <v>939.33</v>
        <stp/>
        <stp>nse_cm|889SCL26-NS</stp>
        <stp>High</stp>
        <tr r="N222" s="1"/>
      </tp>
      <tp>
        <v>1074.0999999999999</v>
        <stp/>
        <stp>nse_cm|812REC27-NI</stp>
        <stp xml:space="preserve">Low </stp>
        <tr r="O462" s="1"/>
      </tp>
      <tp>
        <v>0</v>
        <stp/>
        <stp>bse_cm|850MFL29</stp>
        <stp>Open</stp>
        <tr r="M356" s="1"/>
      </tp>
      <tp>
        <v>0</v>
        <stp/>
        <stp>bse_cm|880MFL28</stp>
        <stp>Open</stp>
        <tr r="M1338" s="1"/>
      </tp>
      <tp>
        <v>0</v>
        <stp/>
        <stp>bse_cm|850MFL28</stp>
        <stp>Open</stp>
        <tr r="M236" s="1"/>
      </tp>
      <tp>
        <v>1002</v>
        <stp/>
        <stp>nse_cm|980SCL33-NX</stp>
        <stp>High</stp>
        <tr r="N360" s="1"/>
      </tp>
      <tp>
        <v>840.1</v>
        <stp/>
        <stp>bse_cm|SCLZC26E</stp>
        <stp>Bid Rate</stp>
        <tr r="E900" s="1"/>
      </tp>
      <tp>
        <v>1005.1</v>
        <stp/>
        <stp>bse_cm|MFLZC26E</stp>
        <stp>Bid Rate</stp>
        <tr r="E1651" s="1"/>
      </tp>
      <tp>
        <v>825.3</v>
        <stp/>
        <stp>bse_cm|KFLZC26E</stp>
        <stp>Bid Rate</stp>
        <tr r="E1293" s="1"/>
      </tp>
      <tp>
        <v>0</v>
        <stp/>
        <stp>bse_cm|930SFL28</stp>
        <stp>Open</stp>
        <tr r="M10" s="1"/>
      </tp>
      <tp>
        <v>840.2</v>
        <stp/>
        <stp>bse_cm|SCLZC26D</stp>
        <stp>Bid Rate</stp>
        <tr r="E705" s="1"/>
      </tp>
      <tp>
        <v>1254.32</v>
        <stp/>
        <stp>bse_cm|MFLZC26D</stp>
        <stp>Bid Rate</stp>
        <tr r="E1440" s="1"/>
      </tp>
      <tp>
        <v>937.2</v>
        <stp/>
        <stp>bse_cm|KFLZC26D</stp>
        <stp>Bid Rate</stp>
        <tr r="E1294" s="1"/>
      </tp>
      <tp>
        <v>0</v>
        <stp/>
        <stp>bse_cm|920PEL28</stp>
        <stp>Open</stp>
        <tr r="M440" s="1"/>
      </tp>
      <tp>
        <v>988.5</v>
        <stp/>
        <stp>nse_cm|78ABFL33-N4</stp>
        <stp>High</stp>
        <tr r="N371" s="1"/>
      </tp>
      <tp>
        <v>920.1</v>
        <stp/>
        <stp>bse_cm|SCLZC26G</stp>
        <stp>Bid Rate</stp>
        <tr r="E799" s="1"/>
      </tp>
      <tp t="s">
        <v>83TCHF25-N6</v>
        <stp/>
        <stp>nse_cm|83TCHF25-N6</stp>
        <stp>Trading Symbol</stp>
        <tr r="B472" s="1"/>
      </tp>
      <tp t="s">
        <v>82TCHF25-N5</v>
        <stp/>
        <stp>nse_cm|82TCHF25-N5</stp>
        <stp>Trading Symbol</stp>
        <tr r="B1014" s="1"/>
      </tp>
      <tp>
        <v>1000.55</v>
        <stp/>
        <stp>nse_cm|829LTF24-NL</stp>
        <stp>High</stp>
        <tr r="N3" s="1"/>
      </tp>
      <tp>
        <v>850.2</v>
        <stp/>
        <stp>bse_cm|SCLZC26F</stp>
        <stp>Bid Rate</stp>
        <tr r="E898" s="1"/>
      </tp>
      <tp>
        <v>1581</v>
        <stp/>
        <stp>bse_cm|SFLZC26A</stp>
        <stp>Bid Rate</stp>
        <tr r="E1713" s="1"/>
      </tp>
      <tp>
        <v>1485.2</v>
        <stp/>
        <stp>bse_cm|SCLZC26A</stp>
        <stp>Bid Rate</stp>
        <tr r="E1343" s="1"/>
      </tp>
      <tp>
        <v>1630</v>
        <stp/>
        <stp>bse_cm|MFLZC26A</stp>
        <stp>Bid Rate</stp>
        <tr r="E1715" s="1"/>
      </tp>
      <tp>
        <v>1435.81</v>
        <stp/>
        <stp>bse_cm|KFLZC26A</stp>
        <stp>Bid Rate</stp>
        <tr r="E1442" s="1"/>
      </tp>
      <tp>
        <v>985.85</v>
        <stp/>
        <stp>bse_cm|775MFLTD28</stp>
        <stp>Prev Close</stp>
        <tr r="P1192" s="1"/>
      </tp>
      <tp>
        <v>1057.8599999999999</v>
        <stp/>
        <stp>bse_cm|775MFLTD25</stp>
        <stp>Prev Close</stp>
        <tr r="P649" s="1"/>
      </tp>
      <tp>
        <v>999.95</v>
        <stp/>
        <stp>bse_cm|775MFLTD26</stp>
        <stp>Prev Close</stp>
        <tr r="P652" s="1"/>
      </tp>
      <tp t="s">
        <v>10CAGL27-N5</v>
        <stp/>
        <stp>nse_cm|10CAGL27-N5</stp>
        <stp>Trading Symbol</stp>
        <tr r="B273" s="1"/>
      </tp>
      <tp>
        <v>865.2</v>
        <stp/>
        <stp>bse_cm|SCLZC26C</stp>
        <stp>Bid Rate</stp>
        <tr r="E1399" s="1"/>
      </tp>
      <tp>
        <v>1270.22</v>
        <stp/>
        <stp>bse_cm|MFLZC26C</stp>
        <stp>Bid Rate</stp>
        <tr r="E1350" s="1"/>
      </tp>
      <tp>
        <v>1275.8599999999999</v>
        <stp/>
        <stp>bse_cm|KFLZC26C</stp>
        <stp>Bid Rate</stp>
        <tr r="E1744" s="1"/>
      </tp>
      <tp>
        <v>952</v>
        <stp/>
        <stp>bse_cm|SCLZC26B</stp>
        <stp>Bid Rate</stp>
        <tr r="E992" s="1"/>
      </tp>
      <tp>
        <v>1287.22</v>
        <stp/>
        <stp>bse_cm|MFLZC26B</stp>
        <stp>Bid Rate</stp>
        <tr r="E1272" s="1"/>
      </tp>
      <tp>
        <v>1383.9</v>
        <stp/>
        <stp>bse_cm|KFLZC26B</stp>
        <stp>Bid Rate</stp>
        <tr r="E1711" s="1"/>
      </tp>
      <tp>
        <v>935.5</v>
        <stp/>
        <stp>nse_cm|985ECL28-NK</stp>
        <stp>High</stp>
        <tr r="N52" s="1"/>
      </tp>
      <tp>
        <v>880</v>
        <stp/>
        <stp>nse_cm|10SCL30A-BV</stp>
        <stp>Ask Rate</stp>
        <tr r="F445" s="1"/>
      </tp>
      <tp t="s">
        <v>BSE</v>
        <stp/>
        <stp>bse_cm|87SCL27A</stp>
        <stp>Exchange</stp>
        <tr r="C644" s="1"/>
      </tp>
      <tp>
        <v>0</v>
        <stp/>
        <stp>nse_cm|795IGT31-NI</stp>
        <stp>Open</stp>
        <tr r="M1185" s="1"/>
      </tp>
      <tp>
        <v>0</v>
        <stp/>
        <stp>nse_cm|888SCL25-NG</stp>
        <stp>High</stp>
        <tr r="N912" s="1"/>
      </tp>
      <tp>
        <v>900</v>
        <stp/>
        <stp>nse_cm|971SCL28-AN</stp>
        <stp>High</stp>
        <tr r="N538" s="1"/>
      </tp>
      <tp>
        <v>970</v>
        <stp/>
        <stp>bse_cm|791JMFPL26</stp>
        <stp>Prev Close</stp>
        <tr r="P276" s="1"/>
      </tp>
      <tp>
        <v>301.3</v>
        <stp/>
        <stp>nse_cm|79NHIT35-N1</stp>
        <stp>Open</stp>
        <tr r="M1589" s="1"/>
      </tp>
      <tp>
        <v>0</v>
        <stp/>
        <stp>bse_cm|1010EFS29</stp>
        <stp>Ask Qty</stp>
        <tr r="G726" s="1"/>
      </tp>
      <tp>
        <v>1</v>
        <stp/>
        <stp>bse_cm|1010EFS28</stp>
        <stp>Ask Qty</stp>
        <tr r="G116" s="1"/>
      </tp>
      <tp>
        <v>0</v>
        <stp/>
        <stp>bse_cm|850SCL25</stp>
        <stp>Open</stp>
        <tr r="M923" s="1"/>
      </tp>
      <tp>
        <v>0</v>
        <stp/>
        <stp>bse_cm|820SCL25</stp>
        <stp>Open</stp>
        <tr r="M925" s="1"/>
      </tp>
      <tp t="s">
        <v>93SCFL25-Z1</v>
        <stp/>
        <stp>nse_cm|93SCFL25-Z1</stp>
        <stp>Trading Symbol</stp>
        <tr r="B946" s="1"/>
      </tp>
      <tp>
        <v>1029.7</v>
        <stp/>
        <stp>bse_cm|872MMFSL26</stp>
        <stp>Prev Close</stp>
        <tr r="P406" s="1"/>
      </tp>
      <tp>
        <v>1135.1500000000001</v>
        <stp/>
        <stp>nse_cm|IIFLHF29-NE</stp>
        <stp>Ask Rate</stp>
        <tr r="F1630" s="1"/>
      </tp>
      <tp>
        <v>848.45</v>
        <stp/>
        <stp>bse_cm|SCLZC26H</stp>
        <stp>Bid Rate</stp>
        <tr r="E814" s="1"/>
      </tp>
      <tp>
        <v>0</v>
        <stp/>
        <stp>bse_cm|990SCL27</stp>
        <stp>Open</stp>
        <tr r="M796" s="1"/>
      </tp>
      <tp>
        <v>0</v>
        <stp/>
        <stp>bse_cm|940SCL27</stp>
        <stp>Open</stp>
        <tr r="M792" s="1"/>
      </tp>
      <tp>
        <v>0</v>
        <stp/>
        <stp>bse_cm|950SFL27</stp>
        <stp>Open</stp>
        <tr r="M1144" s="1"/>
      </tp>
      <tp>
        <v>300.24</v>
        <stp/>
        <stp>nse_cm|79NHIT40-N2</stp>
        <stp>Open</stp>
        <tr r="M1587" s="1"/>
      </tp>
      <tp>
        <v>0</v>
        <stp/>
        <stp>nse_cm|797IGT31-NL</stp>
        <stp>Open</stp>
        <tr r="M374" s="1"/>
      </tp>
      <tp>
        <v>0</v>
        <stp/>
        <stp>nse_cm|965SCL26-YO</stp>
        <stp>Open</stp>
        <tr r="M146" s="1"/>
      </tp>
      <tp>
        <v>819</v>
        <stp/>
        <stp>bse_cm|990SCL26</stp>
        <stp>Open</stp>
        <tr r="M421" s="1"/>
      </tp>
      <tp>
        <v>0</v>
        <stp/>
        <stp>bse_cm|940SCL26</stp>
        <stp>Open</stp>
        <tr r="M778" s="1"/>
      </tp>
      <tp t="s">
        <v>932AEL27-N3</v>
        <stp/>
        <stp>nse_cm|932AEL27-N3</stp>
        <stp>Trading Symbol</stp>
        <tr r="B471" s="1"/>
      </tp>
      <tp t="s">
        <v>965AEL27-N4</v>
        <stp/>
        <stp>nse_cm|965AEL27-N4</stp>
        <stp>Trading Symbol</stp>
        <tr r="B254" s="1"/>
      </tp>
      <tp>
        <v>400.38</v>
        <stp/>
        <stp>nse_cm|79NHIT47-N3</stp>
        <stp>Open</stp>
        <tr r="M1585" s="1"/>
      </tp>
      <tp>
        <v>979</v>
        <stp/>
        <stp>bse_cm|1010EFSL29</stp>
        <stp>Prev Close</stp>
        <tr r="P1459" s="1"/>
      </tp>
      <tp>
        <v>940.2</v>
        <stp/>
        <stp>bse_cm|1010EFSL28</stp>
        <stp>Prev Close</stp>
        <tr r="P663" s="1"/>
      </tp>
      <tp>
        <v>888</v>
        <stp/>
        <stp>bse_cm|1010EFSL32</stp>
        <stp>Prev Close</stp>
        <tr r="P631" s="1"/>
      </tp>
      <tp>
        <v>0</v>
        <stp/>
        <stp>bse_cm|EFSLZC25A</stp>
        <stp>Ask Qty</stp>
        <tr r="G1333" s="1"/>
      </tp>
      <tp t="s">
        <v>IIFLHF29-NE</v>
        <stp/>
        <stp>nse_cm|IIFLHF29-NE</stp>
        <stp>Trading Symbol</stp>
        <tr r="B1630" s="1"/>
      </tp>
      <tp>
        <v>0</v>
        <stp/>
        <stp>bse_cm|EFSLZC26A</stp>
        <stp>Ask Qty</stp>
        <tr r="G1574" s="1"/>
      </tp>
      <tp>
        <v>12</v>
        <stp/>
        <stp>bse_cm|EFSLZC26B</stp>
        <stp>Ask Qty</stp>
        <tr r="G1678" s="1"/>
      </tp>
      <tp>
        <v>0</v>
        <stp/>
        <stp>bse_cm|EFSLZC26C</stp>
        <stp>Ask Qty</stp>
        <tr r="G1332" s="1"/>
      </tp>
      <tp>
        <v>1099.8</v>
        <stp/>
        <stp>bse_cm|MFL26Z</stp>
        <stp>High</stp>
        <tr r="N1655" s="1"/>
      </tp>
      <tp>
        <v>0</v>
        <stp/>
        <stp>bse_cm|MMFSL26</stp>
        <stp>Ask Qty</stp>
        <tr r="G1258" s="1"/>
      </tp>
      <tp>
        <v>1183.9000000000001</v>
        <stp/>
        <stp>nse_cm|846REC28-N6</stp>
        <stp>High</stp>
        <tr r="N548" s="1"/>
      </tp>
      <tp>
        <v>18</v>
        <stp/>
        <stp>bse_cm|0SFL27A</stp>
        <stp>Bid Qty</stp>
        <tr r="D1034" s="1"/>
      </tp>
      <tp>
        <v>0</v>
        <stp/>
        <stp>nse_cm|SCL25B-BI</stp>
        <stp>Ask Qty</stp>
        <tr r="G1403" s="1"/>
      </tp>
      <tp>
        <v>0</v>
        <stp/>
        <stp>nse_cm|SCL25A-BH</stp>
        <stp>Ask Qty</stp>
        <tr r="G1237" s="1"/>
      </tp>
      <tp>
        <v>982.5</v>
        <stp/>
        <stp>bse_cm|10KSFL25</stp>
        <stp>Bid Rate</stp>
        <tr r="E107" s="1"/>
      </tp>
      <tp>
        <v>20</v>
        <stp/>
        <stp>bse_cm|0SFL29A</stp>
        <stp>Bid Qty</stp>
        <tr r="D1033" s="1"/>
      </tp>
      <tp>
        <v>0</v>
        <stp/>
        <stp>bse_cm|MVAFZC25</stp>
        <stp>Volume Traded Today</stp>
        <tr r="L1746" s="1"/>
      </tp>
      <tp>
        <v>0</v>
        <stp/>
        <stp>bse_cm|905SC24B</stp>
        <stp>Open</stp>
        <tr r="M684" s="1"/>
      </tp>
      <tp>
        <v>0</v>
        <stp/>
        <stp>bse_cm|KFL26C</stp>
        <stp xml:space="preserve">Low </stp>
        <tr r="O1304" s="1"/>
      </tp>
      <tp>
        <v>0</v>
        <stp/>
        <stp>bse_cm|EFSLZC28C</stp>
        <stp>Ask Qty</stp>
        <tr r="G1331" s="1"/>
      </tp>
      <tp>
        <v>1038</v>
        <stp/>
        <stp>bse_cm|KFL26B</stp>
        <stp xml:space="preserve">Low </stp>
        <tr r="O1305" s="1"/>
      </tp>
      <tp>
        <v>1168</v>
        <stp/>
        <stp>nse_cm|774IREDA31-N7</stp>
        <stp>Prev Close</stp>
        <tr r="P18" s="1"/>
      </tp>
      <tp>
        <v>1047.02</v>
        <stp/>
        <stp>bse_cm|MFL30A</stp>
        <stp xml:space="preserve">Low </stp>
        <tr r="O1370" s="1"/>
      </tp>
      <tp>
        <v>1080</v>
        <stp/>
        <stp>bse_cm|KFL26A</stp>
        <stp xml:space="preserve">Low </stp>
        <tr r="O1372" s="1"/>
      </tp>
      <tp>
        <v>980</v>
        <stp/>
        <stp>nse_cm|SCLZC26E-NP</stp>
        <stp xml:space="preserve">Low </stp>
        <tr r="O899" s="1"/>
      </tp>
      <tp>
        <v>9</v>
        <stp/>
        <stp>nse_cm|SCL24A-ZS</stp>
        <stp>Ask Qty</stp>
        <tr r="G1751" s="1"/>
      </tp>
      <tp>
        <v>-100</v>
        <stp/>
        <stp>bse_cm|1150CCIL28</stp>
        <stp>% Change</stp>
        <tr r="J460" s="1"/>
      </tp>
      <tp>
        <v>1000</v>
        <stp/>
        <stp>bse_cm|1010MFCL30</stp>
        <stp>Face Value</stp>
        <tr r="Q285" s="1"/>
      </tp>
      <tp>
        <v>-100</v>
        <stp/>
        <stp>bse_cm|105UCL2026</stp>
        <stp>% Change</stp>
        <tr r="J319" s="1"/>
      </tp>
      <tp>
        <v>0</v>
        <stp/>
        <stp>nse_cm|892NHPC33-N6</stp>
        <stp>% Change</stp>
        <tr r="J534" s="1"/>
      </tp>
      <tp>
        <v>-100</v>
        <stp/>
        <stp>bse_cm|1150CCIL29</stp>
        <stp>% Change</stp>
        <tr r="J424" s="1"/>
      </tp>
      <tp>
        <v>0</v>
        <stp/>
        <stp>nse_cm|SCLZC26D-NO</stp>
        <stp xml:space="preserve">Low </stp>
        <tr r="O901" s="1"/>
      </tp>
      <tp>
        <v>-100</v>
        <stp/>
        <stp>bse_cm|115ICLFL25</stp>
        <stp>% Change</stp>
        <tr r="J1223" s="1"/>
      </tp>
      <tp>
        <v>1000</v>
        <stp/>
        <stp>nse_cm|10SCL31-Z1</stp>
        <stp>Prev Close</stp>
        <tr r="P866" s="1"/>
      </tp>
      <tp>
        <v>0</v>
        <stp/>
        <stp>nse_cm|SCLZC25C-NI</stp>
        <stp xml:space="preserve">Low </stp>
        <tr r="O908" s="1"/>
      </tp>
      <tp>
        <v>998.75</v>
        <stp/>
        <stp>bse_cm|MML26A</stp>
        <stp>High</stp>
        <tr r="N1642" s="1"/>
      </tp>
      <tp>
        <v>0</v>
        <stp/>
        <stp>nse_cm|884LTF29-N6</stp>
        <stp>LTP</stp>
        <tr r="H1009" s="1"/>
      </tp>
      <tp t="s">
        <v/>
        <stp/>
        <stp>nse_cm|884LTF29-N6</stp>
        <stp>LTT</stp>
        <tr r="I1009" s="1"/>
      </tp>
      <tp>
        <v>0</v>
        <stp/>
        <stp>nse_cm|885LTF27-NE</stp>
        <stp>LTP</stp>
        <tr r="H1007" s="1"/>
      </tp>
      <tp t="s">
        <v/>
        <stp/>
        <stp>nse_cm|885LTF27-NE</stp>
        <stp>LTT</stp>
        <tr r="I1007" s="1"/>
      </tp>
      <tp>
        <v>825.55</v>
        <stp/>
        <stp>bse_cm|11KAFL29</stp>
        <stp>Bid Rate</stp>
        <tr r="E662" s="1"/>
      </tp>
      <tp>
        <v>0</v>
        <stp/>
        <stp>bse_cm|68PFCL31</stp>
        <stp>Ask Rate</stp>
        <tr r="F1205" s="1"/>
      </tp>
      <tp t="s">
        <v>09:18:17</v>
        <stp/>
        <stp>nse_cm|898LTF29-N7</stp>
        <stp>LTT</stp>
        <tr r="I385" s="1"/>
      </tp>
      <tp>
        <v>0</v>
        <stp/>
        <stp>nse_cm|792TCH25-N3</stp>
        <stp xml:space="preserve">Low </stp>
        <tr r="O1187" s="1"/>
      </tp>
      <tp>
        <v>1050.9000000000001</v>
        <stp/>
        <stp>nse_cm|898LTF29-N7</stp>
        <stp>LTP</stp>
        <tr r="H385" s="1"/>
      </tp>
      <tp>
        <v>22</v>
        <stp/>
        <stp>bse_cm|0MML29A</stp>
        <stp>Bid Qty</stp>
        <tr r="D1040" s="1"/>
      </tp>
      <tp>
        <v>1035.92</v>
        <stp/>
        <stp>nse_cm|SCLZC25D-NJ</stp>
        <stp xml:space="preserve">Low </stp>
        <tr r="O1699" s="1"/>
      </tp>
      <tp>
        <v>0</v>
        <stp/>
        <stp>bse_cm|9SCL26BA</stp>
        <stp>Open</stp>
        <tr r="M160" s="1"/>
      </tp>
      <tp>
        <v>820.4</v>
        <stp/>
        <stp>bse_cm|10KAFL26</stp>
        <stp>Bid Rate</stp>
        <tr r="E1096" s="1"/>
      </tp>
      <tp>
        <v>841.8</v>
        <stp/>
        <stp>bse_cm|11KAFL26</stp>
        <stp>Bid Rate</stp>
        <tr r="E671" s="1"/>
      </tp>
      <tp>
        <v>1375.2</v>
        <stp/>
        <stp>nse_cm|SCLZC26A-NF</stp>
        <stp xml:space="preserve">Low </stp>
        <tr r="O993" s="1"/>
      </tp>
      <tp>
        <v>1072.8499999999999</v>
        <stp/>
        <stp>nse_cm|865LTF26-NN</stp>
        <stp>LTP</stp>
        <tr r="H392" s="1"/>
      </tp>
      <tp t="s">
        <v/>
        <stp/>
        <stp>nse_cm|865LTF26-NN</stp>
        <stp>LTT</stp>
        <tr r="I392" s="1"/>
      </tp>
      <tp>
        <v>1000</v>
        <stp/>
        <stp>nse_cm|855TCAPS27-N7</stp>
        <stp>Prev Close</stp>
        <tr r="P1003" s="1"/>
      </tp>
      <tp>
        <v>970</v>
        <stp/>
        <stp>bse_cm|11KAFL27</stp>
        <stp>Bid Rate</stp>
        <tr r="E184" s="1"/>
      </tp>
      <tp>
        <v>855.8</v>
        <stp/>
        <stp>bse_cm|10JFPL30</stp>
        <stp>Bid Rate</stp>
        <tr r="E1097" s="1"/>
      </tp>
      <tp>
        <v>1031</v>
        <stp/>
        <stp>bse_cm|MFL26F</stp>
        <stp>High</stp>
        <tr r="N1278" s="1"/>
      </tp>
      <tp t="s">
        <v>CIFCZC26-NF</v>
        <stp/>
        <stp>nse_cm|CIFCZC26-NF</stp>
        <stp>Trading Symbol</stp>
        <tr r="B1561" s="1"/>
      </tp>
      <tp t="s">
        <v/>
        <stp/>
        <stp>nse_cm|845LTF24-NI</stp>
        <stp>LTT</stp>
        <tr r="I942" s="1"/>
      </tp>
      <tp>
        <v>0</v>
        <stp/>
        <stp>nse_cm|845LTF24-NI</stp>
        <stp>LTP</stp>
        <tr r="H942" s="1"/>
      </tp>
      <tp>
        <v>1134</v>
        <stp/>
        <stp>bse_cm|MFL26E</stp>
        <stp>High</stp>
        <tr r="N1533" s="1"/>
      </tp>
      <tp>
        <v>950</v>
        <stp/>
        <stp>bse_cm|95KAFL25</stp>
        <stp>Bid Rate</stp>
        <tr r="E40" s="1"/>
      </tp>
      <tp t="s">
        <v/>
        <stp/>
        <stp>nse_cm|852LTF27-NG</stp>
        <stp>LTT</stp>
        <tr r="I1006" s="1"/>
      </tp>
      <tp>
        <v>0</v>
        <stp/>
        <stp>nse_cm|852LTF27-NG</stp>
        <stp>LTP</stp>
        <tr r="H1006" s="1"/>
      </tp>
      <tp>
        <v>-100</v>
        <stp/>
        <stp>bse_cm|10SMCGSL26</stp>
        <stp>% Change</stp>
        <tr r="J138" s="1"/>
      </tp>
      <tp>
        <v>1012</v>
        <stp/>
        <stp>bse_cm|MFL26D</stp>
        <stp>High</stp>
        <tr r="N1279" s="1"/>
      </tp>
      <tp>
        <v>-100</v>
        <stp/>
        <stp>bse_cm|125ICLFL28</stp>
        <stp>% Change</stp>
        <tr r="J264" s="1"/>
      </tp>
      <tp>
        <v>-100</v>
        <stp/>
        <stp>bse_cm|1075CCIL25</stp>
        <stp>% Change</stp>
        <tr r="J1121" s="1"/>
      </tp>
      <tp>
        <v>-100</v>
        <stp/>
        <stp>bse_cm|1050CCIL25</stp>
        <stp>% Change</stp>
        <tr r="J2" s="1"/>
      </tp>
      <tp>
        <v>-100</v>
        <stp/>
        <stp>bse_cm|CCIL110324</stp>
        <stp>% Change</stp>
        <tr r="J754" s="1"/>
      </tp>
      <tp t="s">
        <v>15:06:29</v>
        <stp/>
        <stp>nse_cm|829LTF24-NL</stp>
        <stp>LTT</stp>
        <tr r="I3" s="1"/>
      </tp>
      <tp>
        <v>1010</v>
        <stp/>
        <stp>nse_cm|SCLZC26C-NB</stp>
        <stp xml:space="preserve">Low </stp>
        <tr r="O1537" s="1"/>
      </tp>
      <tp>
        <v>999</v>
        <stp/>
        <stp>nse_cm|829LTF24-NL</stp>
        <stp>LTP</stp>
        <tr r="H3" s="1"/>
      </tp>
      <tp t="s">
        <v/>
        <stp/>
        <stp>nse_cm|824LTF27-NQ</stp>
        <stp>LTT</stp>
        <tr r="I999" s="1"/>
      </tp>
      <tp>
        <v>0</v>
        <stp/>
        <stp>nse_cm|824LTF27-NQ</stp>
        <stp>LTP</stp>
        <tr r="H999" s="1"/>
      </tp>
      <tp>
        <v>1116</v>
        <stp/>
        <stp>bse_cm|MFL26C</stp>
        <stp>High</stp>
        <tr r="N1669" s="1"/>
      </tp>
      <tp>
        <v>1200</v>
        <stp/>
        <stp>bse_cm|MFL26B</stp>
        <stp>High</stp>
        <tr r="N1280" s="1"/>
      </tp>
      <tp>
        <v>970</v>
        <stp/>
        <stp>bse_cm|10KFIL27</stp>
        <stp>Bid Rate</stp>
        <tr r="E183" s="1"/>
      </tp>
      <tp>
        <v>1015</v>
        <stp/>
        <stp>bse_cm|KFL30A</stp>
        <stp>High</stp>
        <tr r="N1592" s="1"/>
      </tp>
      <tp>
        <v>1075</v>
        <stp/>
        <stp>bse_cm|MFL26A</stp>
        <stp>High</stp>
        <tr r="N1557" s="1"/>
      </tp>
      <tp>
        <v>-100</v>
        <stp/>
        <stp>bse_cm|1075CCIL26</stp>
        <stp>% Change</stp>
        <tr r="J1120" s="1"/>
      </tp>
      <tp t="s">
        <v/>
        <stp/>
        <stp>nse_cm|815LTF24-NK</stp>
        <stp>LTT</stp>
        <tr r="I1693" s="1"/>
      </tp>
      <tp>
        <v>0</v>
        <stp/>
        <stp>nse_cm|815LTF27-NO</stp>
        <stp>LTP</stp>
        <tr r="H1001" s="1"/>
      </tp>
      <tp>
        <v>0</v>
        <stp/>
        <stp>nse_cm|815LTF24-NK</stp>
        <stp>LTP</stp>
        <tr r="H1693" s="1"/>
      </tp>
      <tp t="s">
        <v/>
        <stp/>
        <stp>nse_cm|815LTF27-NO</stp>
        <stp>LTT</stp>
        <tr r="I1001" s="1"/>
      </tp>
      <tp>
        <v>0</v>
        <stp/>
        <stp>nse_cm|813LTF29-NP</stp>
        <stp>LTP</stp>
        <tr r="H1000" s="1"/>
      </tp>
      <tp t="s">
        <v/>
        <stp/>
        <stp>nse_cm|813LTF29-NP</stp>
        <stp>LTT</stp>
        <tr r="I1000" s="1"/>
      </tp>
      <tp>
        <v>1170.25</v>
        <stp/>
        <stp>bse_cm|SCL25</stp>
        <stp xml:space="preserve">Low </stp>
        <tr r="O1234" s="1"/>
      </tp>
      <tp>
        <v>1343.4</v>
        <stp/>
        <stp>bse_cm|SFL25</stp>
        <stp xml:space="preserve">Low </stp>
        <tr r="O813" s="1"/>
      </tp>
      <tp>
        <v>1011</v>
        <stp/>
        <stp>nse_cm|1050ISFL28-N5</stp>
        <stp xml:space="preserve">Low </stp>
        <tr r="O1591" s="1"/>
      </tp>
      <tp>
        <v>1087.8</v>
        <stp/>
        <stp>bse_cm|SCL24</stp>
        <stp xml:space="preserve">Low </stp>
        <tr r="O1377" s="1"/>
      </tp>
      <tp>
        <v>1000</v>
        <stp/>
        <stp>bse_cm|SFL27</stp>
        <stp xml:space="preserve">Low </stp>
        <tr r="O809" s="1"/>
      </tp>
      <tp>
        <v>1025</v>
        <stp/>
        <stp>bse_cm|SFL26</stp>
        <stp xml:space="preserve">Low </stp>
        <tr r="O811" s="1"/>
      </tp>
      <tp t="s">
        <v>725IRFC35</v>
        <stp/>
        <stp>bse_cm|725IRFC35</stp>
        <stp>Trading Symbol</stp>
        <tr r="B560" s="1"/>
      </tp>
      <tp t="s">
        <v>678PFCL36</v>
        <stp/>
        <stp>bse_cm|678PFCL36</stp>
        <stp>Trading Symbol</stp>
        <tr r="B1207" s="1"/>
      </tp>
      <tp>
        <v>0</v>
        <stp/>
        <stp>bse_cm|SCL22</stp>
        <stp xml:space="preserve">Low </stp>
        <tr r="O1239" s="1"/>
      </tp>
      <tp t="s">
        <v>905NIDO25</v>
        <stp/>
        <stp>bse_cm|905NIDO25</stp>
        <stp>Trading Symbol</stp>
        <tr r="B60" s="1"/>
      </tp>
      <tp t="s">
        <v>729IRFC26</v>
        <stp/>
        <stp>bse_cm|729IRFC26</stp>
        <stp>Trading Symbol</stp>
        <tr r="B367" s="1"/>
      </tp>
      <tp t="s">
        <v>728IRFC30</v>
        <stp/>
        <stp>bse_cm|728IRFC30</stp>
        <stp>Trading Symbol</stp>
        <tr r="B469" s="1"/>
      </tp>
      <tp t="s">
        <v>CIF27</v>
        <stp/>
        <stp>nse_cm|CIF27-NM</stp>
        <stp>Symbol</stp>
        <tr r="A1665" s="1"/>
      </tp>
      <tp t="s">
        <v>925ERFL28</v>
        <stp/>
        <stp>bse_cm|925ERFL28</stp>
        <stp>Trading Symbol</stp>
        <tr r="B147" s="1"/>
      </tp>
      <tp t="s">
        <v>975MFCL29</v>
        <stp/>
        <stp>bse_cm|975MFCL29</stp>
        <stp>Trading Symbol</stp>
        <tr r="B856" s="1"/>
      </tp>
      <tp t="s">
        <v>850NHAI29</v>
        <stp/>
        <stp>bse_cm|850NHAI29</stp>
        <stp>Trading Symbol</stp>
        <tr r="B580" s="1"/>
      </tp>
      <tp t="s">
        <v>125ICFL26</v>
        <stp/>
        <stp>bse_cm|125ICFL26</stp>
        <stp>Trading Symbol</stp>
        <tr r="B1214" s="1"/>
      </tp>
      <tp t="s">
        <v>825IIFL25</v>
        <stp/>
        <stp>bse_cm|825IIFL25</stp>
        <stp>Trading Symbol</stp>
        <tr r="B47" s="1"/>
      </tp>
      <tp t="s">
        <v>925SCFL25</v>
        <stp/>
        <stp>bse_cm|925SCFL25</stp>
        <stp>Trading Symbol</stp>
        <tr r="B774" s="1"/>
      </tp>
      <tp t="s">
        <v>925SCFL27</v>
        <stp/>
        <stp>bse_cm|925SCFL27</stp>
        <stp>Trading Symbol</stp>
        <tr r="B772" s="1"/>
      </tp>
      <tp t="s">
        <v>1250IFL29</v>
        <stp/>
        <stp>bse_cm|1250IFL29</stp>
        <stp>Trading Symbol</stp>
        <tr r="B1215" s="1"/>
      </tp>
      <tp t="s">
        <v>1225IFL27</v>
        <stp/>
        <stp>bse_cm|1225IFL27</stp>
        <stp>Trading Symbol</stp>
        <tr r="B1216" s="1"/>
      </tp>
      <tp t="s">
        <v>MML11924B</v>
        <stp/>
        <stp>bse_cm|MML11924B</stp>
        <stp>Trading Symbol</stp>
        <tr r="B1255" s="1"/>
      </tp>
      <tp t="s">
        <v>MML11924C</v>
        <stp/>
        <stp>bse_cm|MML11924C</stp>
        <stp>Trading Symbol</stp>
        <tr r="B1623" s="1"/>
      </tp>
      <tp t="s">
        <v>MML11924A</v>
        <stp/>
        <stp>bse_cm|MML11924A</stp>
        <stp>Trading Symbol</stp>
        <tr r="B1256" s="1"/>
      </tp>
      <tp>
        <v>0</v>
        <stp/>
        <stp>bse_cm|SFL28</stp>
        <stp xml:space="preserve">Low </stp>
        <tr r="O803" s="1"/>
      </tp>
      <tp t="s">
        <v>820IIFL27</v>
        <stp/>
        <stp>bse_cm|820IIFL27</stp>
        <stp>Trading Symbol</stp>
        <tr r="B176" s="1"/>
      </tp>
      <tp t="s">
        <v>820SCFL25</v>
        <stp/>
        <stp>bse_cm|820SCFL25</stp>
        <stp>Trading Symbol</stp>
        <tr r="B1059" s="1"/>
      </tp>
      <tp t="s">
        <v>921ISFL25</v>
        <stp/>
        <stp>bse_cm|921ISFL25</stp>
        <stp>Trading Symbol</stp>
        <tr r="B350" s="1"/>
      </tp>
      <tp>
        <v>0</v>
        <stp/>
        <stp>bse_cm|875PCHFL31</stp>
        <stp>ATP</stp>
        <tr r="K1172" s="1"/>
      </tp>
      <tp>
        <v>0</v>
        <stp/>
        <stp>bse_cm|875PCHFL26</stp>
        <stp>ATP</stp>
        <tr r="K331" s="1"/>
      </tp>
      <tp>
        <v>0</v>
        <stp/>
        <stp>bse_cm|CIF27</stp>
        <stp xml:space="preserve">Low </stp>
        <tr r="O745" s="1"/>
      </tp>
      <tp>
        <v>1029</v>
        <stp/>
        <stp>bse_cm|MFL29</stp>
        <stp xml:space="preserve">Low </stp>
        <tr r="O1598" s="1"/>
      </tp>
      <tp>
        <v>826.45</v>
        <stp/>
        <stp>bse_cm|MML28</stp>
        <stp xml:space="preserve">Low </stp>
        <tr r="O584" s="1"/>
      </tp>
      <tp>
        <v>1060</v>
        <stp/>
        <stp>bse_cm|MFL28</stp>
        <stp xml:space="preserve">Low </stp>
        <tr r="O1638" s="1"/>
      </tp>
      <tp t="s">
        <v>792TCH25</v>
        <stp/>
        <stp>bse_cm|792TCH25</stp>
        <stp>Symbol</stp>
        <tr r="A1188" s="1"/>
      </tp>
      <tp t="s">
        <v>825MMFS27</v>
        <stp/>
        <stp>bse_cm|825MMFS27</stp>
        <stp>Trading Symbol</stp>
        <tr r="B1381" s="1"/>
      </tp>
      <tp>
        <v>964.4</v>
        <stp/>
        <stp>bse_cm|KFL29</stp>
        <stp xml:space="preserve">Low </stp>
        <tr r="O1619" s="1"/>
      </tp>
      <tp>
        <v>1070</v>
        <stp/>
        <stp>bse_cm|IML29</stp>
        <stp xml:space="preserve">Low </stp>
        <tr r="O1528" s="1"/>
      </tp>
      <tp>
        <v>895.2</v>
        <stp/>
        <stp>bse_cm|IML28</stp>
        <stp xml:space="preserve">Low </stp>
        <tr r="O1458" s="1"/>
      </tp>
      <tp t="s">
        <v>AEL120924A</v>
        <stp/>
        <stp>nse_cm|AEL120924A-N5</stp>
        <stp>Symbol</stp>
        <tr r="A1555" s="1"/>
      </tp>
      <tp>
        <v>1341</v>
        <stp/>
        <stp>bse_cm|IML27</stp>
        <stp xml:space="preserve">Low </stp>
        <tr r="O1325" s="1"/>
      </tp>
      <tp>
        <v>1202.21</v>
        <stp/>
        <stp>bse_cm|KFL25</stp>
        <stp xml:space="preserve">Low </stp>
        <tr r="O1309" s="1"/>
      </tp>
      <tp>
        <v>1090</v>
        <stp/>
        <stp>bse_cm|MFL23</stp>
        <stp xml:space="preserve">Low </stp>
        <tr r="O1668" s="1"/>
      </tp>
      <tp>
        <v>1283</v>
        <stp/>
        <stp>nse_cm|866IIFC34B-N3</stp>
        <stp>High</stp>
        <tr r="N25" s="1"/>
      </tp>
      <tp t="s">
        <v>965MML25</v>
        <stp/>
        <stp>bse_cm|965MML25</stp>
        <stp>Symbol</stp>
        <tr r="A1107" s="1"/>
      </tp>
      <tp t="s">
        <v>966ICCL25A</v>
        <stp/>
        <stp>nse_cm|966ICCL25A-NI</stp>
        <stp>Symbol</stp>
        <tr r="A1461" s="1"/>
      </tp>
      <tp t="s">
        <v>866ICCL23A</v>
        <stp/>
        <stp>nse_cm|866ICCL23A-NY</stp>
        <stp>Symbol</stp>
        <tr r="A759" s="1"/>
      </tp>
      <tp t="s">
        <v>975MML25</v>
        <stp/>
        <stp>bse_cm|975MML25</stp>
        <stp>Symbol</stp>
        <tr r="A852" s="1"/>
      </tp>
      <tp t="s">
        <v>975IML26</v>
        <stp/>
        <stp>bse_cm|975IML26</stp>
        <stp>Symbol</stp>
        <tr r="A646" s="1"/>
      </tp>
      <tp>
        <v>1000</v>
        <stp/>
        <stp>bse_cm|IML25</stp>
        <stp xml:space="preserve">Low </stp>
        <tr r="O1326" s="1"/>
      </tp>
      <tp>
        <v>1225</v>
        <stp/>
        <stp>bse_cm|KFL27</stp>
        <stp xml:space="preserve">Low </stp>
        <tr r="O1303" s="1"/>
      </tp>
      <tp t="e">
        <v>#N/A</v>
        <stp/>
        <stp>bse_cm|IML24</stp>
        <stp xml:space="preserve">Low </stp>
        <tr r="O34" s="1"/>
      </tp>
      <tp t="s">
        <v>INE721A07OF0</v>
        <stp/>
        <stp>nse_cm|97SFL28-YS</stp>
        <stp>Isin code</stp>
        <tr r="R19" s="1"/>
      </tp>
      <tp>
        <v>1115</v>
        <stp/>
        <stp>bse_cm|KFL26</stp>
        <stp xml:space="preserve">Low </stp>
        <tr r="O1306" s="1"/>
      </tp>
      <tp t="s">
        <v>950MML24</v>
        <stp/>
        <stp>bse_cm|950MML24</stp>
        <stp>Symbol</stp>
        <tr r="A304" s="1"/>
      </tp>
      <tp t="s">
        <v>965IHFL25D</v>
        <stp/>
        <stp>nse_cm|965IHFL25D-N7</stp>
        <stp>Symbol</stp>
        <tr r="A1469" s="1"/>
      </tp>
      <tp>
        <v>1000</v>
        <stp/>
        <stp>bse_cm|CIF29</stp>
        <stp xml:space="preserve">Low </stp>
        <tr r="O744" s="1"/>
      </tp>
      <tp>
        <v>1040</v>
        <stp/>
        <stp>bse_cm|MFL27</stp>
        <stp xml:space="preserve">Low </stp>
        <tr r="O1563" s="1"/>
      </tp>
      <tp>
        <v>0</v>
        <stp/>
        <stp>bse_cm|729NABAR26</stp>
        <stp>ATP</stp>
        <tr r="K540" s="1"/>
      </tp>
      <tp>
        <v>0</v>
        <stp/>
        <stp>bse_cm|704NABAR26</stp>
        <stp>ATP</stp>
        <tr r="K1702" s="1"/>
      </tp>
      <tp>
        <v>1015</v>
        <stp/>
        <stp>bse_cm|MML26</stp>
        <stp xml:space="preserve">Low </stp>
        <tr r="O1410" s="1"/>
      </tp>
      <tp>
        <v>1088</v>
        <stp/>
        <stp>bse_cm|MFL26</stp>
        <stp xml:space="preserve">Low </stp>
        <tr r="O1666" s="1"/>
      </tp>
      <tp>
        <v>0</v>
        <stp/>
        <stp>bse_cm|764NABAR31</stp>
        <stp>ATP</stp>
        <tr r="K497" s="1"/>
      </tp>
      <tp>
        <v>0</v>
        <stp/>
        <stp>bse_cm|735NABAR31</stp>
        <stp>ATP</stp>
        <tr r="K14" s="1"/>
      </tp>
      <tp>
        <v>0</v>
        <stp/>
        <stp>bse_cm|MML25</stp>
        <stp xml:space="preserve">Low </stp>
        <tr r="O1253" s="1"/>
      </tp>
      <tp>
        <v>1800</v>
        <stp/>
        <stp>bse_cm|MFL25</stp>
        <stp xml:space="preserve">Low </stp>
        <tr r="O1733" s="1"/>
      </tp>
      <tp t="s">
        <v>INE033L07IE2</v>
        <stp/>
        <stp>nse_cm|810TCHFL27-ND</stp>
        <stp>Isin code</stp>
        <tr r="R1016" s="1"/>
      </tp>
      <tp>
        <v>1067.6099999999999</v>
        <stp/>
        <stp>bse_cm|MML24</stp>
        <stp xml:space="preserve">Low </stp>
        <tr r="O1740" s="1"/>
      </tp>
      <tp t="s">
        <v>INE134E07AN1</v>
        <stp/>
        <stp>bse_cm|7PFCL31</stp>
        <stp>Isin code</stp>
        <tr r="R425" s="1"/>
      </tp>
      <tp>
        <v>1026.6300000000001</v>
        <stp/>
        <stp>nse_cm|872MMFSL26-N1</stp>
        <stp>Ask Rate</stp>
        <tr r="F404" s="1"/>
      </tp>
      <tp>
        <v>0</v>
        <stp/>
        <stp>nse_cm|1050ICCL28-NV</stp>
        <stp xml:space="preserve">Low </stp>
        <tr r="O764" s="1"/>
      </tp>
      <tp>
        <v>1049.1099999999999</v>
        <stp/>
        <stp>nse_cm|885MOFSL26-N0</stp>
        <stp>Ask Rate</stp>
        <tr r="F1635" s="1"/>
      </tp>
      <tp t="s">
        <v>85PFL26A</v>
        <stp/>
        <stp>bse_cm|85PFL26A</stp>
        <stp>Symbol</stp>
        <tr r="A711" s="1"/>
      </tp>
      <tp t="s">
        <v>87SCL24A</v>
        <stp/>
        <stp>bse_cm|87SCL24A</stp>
        <stp>Symbol</stp>
        <tr r="A1141" s="1"/>
      </tp>
      <tp t="s">
        <v>87SCL27A</v>
        <stp/>
        <stp>bse_cm|87SCL27A</stp>
        <stp>Symbol</stp>
        <tr r="A644" s="1"/>
      </tp>
      <tp>
        <v>1044</v>
        <stp/>
        <stp>nse_cm|935MOFSL29-N5</stp>
        <stp>Ask Rate</stp>
        <tr r="F1601" s="1"/>
      </tp>
      <tp>
        <v>1005</v>
        <stp/>
        <stp>nse_cm|897MOFSL29-N4</stp>
        <stp>Ask Rate</stp>
        <tr r="F296" s="1"/>
      </tp>
      <tp t="s">
        <v>89SCL24A</v>
        <stp/>
        <stp>bse_cm|89SCL24A</stp>
        <stp>Symbol</stp>
        <tr r="A971" s="1"/>
      </tp>
      <tp>
        <v>1000</v>
        <stp/>
        <stp>bse_cm|96ONE29</stp>
        <stp>Prev Close</stp>
        <tr r="P1621" s="1"/>
      </tp>
      <tp>
        <v>909</v>
        <stp/>
        <stp>nse_cm|1050IIFL29-ND</stp>
        <stp xml:space="preserve">Low </stp>
        <tr r="O585" s="1"/>
      </tp>
      <tp t="s">
        <v>980SCL33D</v>
        <stp/>
        <stp>bse_cm|980SCL33D</stp>
        <stp>Trading Symbol</stp>
        <tr r="B1022" s="1"/>
      </tp>
      <tp t="s">
        <v>980SCL33A</v>
        <stp/>
        <stp>bse_cm|980SCL33A</stp>
        <stp>Trading Symbol</stp>
        <tr r="B1056" s="1"/>
      </tp>
      <tp t="s">
        <v>980SCL33B</v>
        <stp/>
        <stp>bse_cm|980SCL33B</stp>
        <stp>Trading Symbol</stp>
        <tr r="B1054" s="1"/>
      </tp>
      <tp t="s">
        <v>980SCL33C</v>
        <stp/>
        <stp>bse_cm|980SCL33C</stp>
        <stp>Trading Symbol</stp>
        <tr r="B1384" s="1"/>
      </tp>
      <tp>
        <v>0</v>
        <stp/>
        <stp>bse_cm|JMFPTBIL25</stp>
        <stp>ATP</stp>
        <tr r="K9" s="1"/>
      </tp>
      <tp t="s">
        <v>12ICLFL26</v>
        <stp/>
        <stp>bse_cm|12ICLFL26</stp>
        <stp>Trading Symbol</stp>
        <tr r="B547" s="1"/>
      </tp>
      <tp t="s">
        <v>888SCL25E</v>
        <stp/>
        <stp>bse_cm|888SCL25E</stp>
        <stp>Trading Symbol</stp>
        <tr r="B1356" s="1"/>
      </tp>
      <tp t="s">
        <v>888SCL25D</v>
        <stp/>
        <stp>bse_cm|888SCL25D</stp>
        <stp>Trading Symbol</stp>
        <tr r="B788" s="1"/>
      </tp>
      <tp t="s">
        <v>888SCL25A</v>
        <stp/>
        <stp>bse_cm|888SCL25A</stp>
        <stp>Trading Symbol</stp>
        <tr r="B911" s="1"/>
      </tp>
      <tp t="s">
        <v>888SCL25B</v>
        <stp/>
        <stp>bse_cm|888SCL25B</stp>
        <stp>Trading Symbol</stp>
        <tr r="B909" s="1"/>
      </tp>
      <tp t="s">
        <v>888SCL26A</v>
        <stp/>
        <stp>bse_cm|888SCL26A</stp>
        <stp>Trading Symbol</stp>
        <tr r="B840" s="1"/>
      </tp>
      <tp>
        <v>975.85</v>
        <stp/>
        <stp>nse_cm|1030ICCL28-NM</stp>
        <stp xml:space="preserve">Low </stp>
        <tr r="O1596" s="1"/>
      </tp>
      <tp t="s">
        <v>NSE</v>
        <stp/>
        <stp>nse_cm|891IIFCL34-N4</stp>
        <stp>Exchange</stp>
        <tr r="C516" s="1"/>
      </tp>
      <tp t="s">
        <v>INE134E07463</v>
        <stp/>
        <stp>nse_cm|892PFCL33-N8</stp>
        <stp>Isin code</stp>
        <tr r="R530" s="1"/>
      </tp>
      <tp>
        <v>22</v>
        <stp/>
        <stp>bse_cm|1010EFS28</stp>
        <stp>Bid Qty</stp>
        <tr r="D116" s="1"/>
      </tp>
      <tp>
        <v>25</v>
        <stp/>
        <stp>bse_cm|1010EFS29</stp>
        <stp>Bid Qty</stp>
        <tr r="D726" s="1"/>
      </tp>
      <tp>
        <v>880</v>
        <stp/>
        <stp>bse_cm|10SCL30A</stp>
        <stp>Ask Rate</stp>
        <tr r="F444" s="1"/>
      </tp>
      <tp>
        <v>0</v>
        <stp/>
        <stp>bse_cm|772IGT31</stp>
        <stp>Open</stp>
        <tr r="M1194" s="1"/>
      </tp>
      <tp>
        <v>0</v>
        <stp/>
        <stp>bse_cm|903ONE26</stp>
        <stp>Open</stp>
        <tr r="M843" s="1"/>
      </tp>
      <tp>
        <v>0</v>
        <stp/>
        <stp>nse_cm|813LTF29-NP</stp>
        <stp>High</stp>
        <tr r="N1000" s="1"/>
      </tp>
      <tp>
        <v>0</v>
        <stp/>
        <stp>bse_cm|943ECL28</stp>
        <stp>Open</stp>
        <tr r="M124" s="1"/>
      </tp>
      <tp>
        <v>-100</v>
        <stp/>
        <stp>bse_cm|1049DLS25A</stp>
        <stp>% Change</stp>
        <tr r="J119" s="1"/>
      </tp>
      <tp>
        <v>1000</v>
        <stp/>
        <stp>bse_cm|IIFLZC25</stp>
        <stp>Face Value</stp>
        <tr r="Q1743" s="1"/>
      </tp>
      <tp>
        <v>1000</v>
        <stp/>
        <stp>bse_cm|IIFLZC26</stp>
        <stp>Face Value</stp>
        <tr r="Q1236" s="1"/>
      </tp>
      <tp>
        <v>1000</v>
        <stp/>
        <stp>bse_cm|IIFLZC28</stp>
        <stp>Face Value</stp>
        <tr r="Q1660" s="1"/>
      </tp>
      <tp>
        <v>1000</v>
        <stp/>
        <stp>bse_cm|IFCIZC24</stp>
        <stp>Face Value</stp>
        <tr r="Q1769" s="1"/>
      </tp>
      <tp>
        <v>1000</v>
        <stp/>
        <stp>bse_cm|IFCIZC25</stp>
        <stp>Face Value</stp>
        <tr r="Q1764" s="1"/>
      </tp>
      <tp>
        <v>1022</v>
        <stp/>
        <stp>nse_cm|81TCHF28-N8</stp>
        <stp>High</stp>
        <tr r="N467" s="1"/>
      </tp>
      <tp>
        <v>1081.24</v>
        <stp/>
        <stp>bse_cm|10MFL24B</stp>
        <stp>Bid Rate</stp>
        <tr r="E185" s="1"/>
      </tp>
      <tp>
        <v>-100</v>
        <stp/>
        <stp>bse_cm|1045EFS34A</stp>
        <stp>% Change</stp>
        <tr r="J1029" s="1"/>
      </tp>
      <tp>
        <v>0</v>
        <stp/>
        <stp>nse_cm|925SCL28-AM</stp>
        <stp xml:space="preserve">Low </stp>
        <tr r="O939" s="1"/>
      </tp>
      <tp t="s">
        <v>935LTF29-N5</v>
        <stp/>
        <stp>nse_cm|935LTF29-N5</stp>
        <stp>Trading Symbol</stp>
        <tr r="B395" s="1"/>
      </tp>
      <tp t="s">
        <v>813LTF29-NP</v>
        <stp/>
        <stp>nse_cm|813LTF29-NP</stp>
        <stp>Trading Symbol</stp>
        <tr r="B1000" s="1"/>
      </tp>
      <tp t="s">
        <v>898LTF29-N7</v>
        <stp/>
        <stp>nse_cm|898LTF29-N7</stp>
        <stp>Trading Symbol</stp>
        <tr r="B385" s="1"/>
      </tp>
      <tp t="s">
        <v>884LTF29-N6</v>
        <stp/>
        <stp>nse_cm|884LTF29-N6</stp>
        <stp>Trading Symbol</stp>
        <tr r="B1009" s="1"/>
      </tp>
      <tp>
        <v>1141.8399999999999</v>
        <stp/>
        <stp>bse_cm|ICCL25</stp>
        <stp>High</stp>
        <tr r="N1330" s="1"/>
      </tp>
      <tp>
        <v>862.2</v>
        <stp/>
        <stp>bse_cm|SCLZC25E</stp>
        <stp>Bid Rate</stp>
        <tr r="E907" s="1"/>
      </tp>
      <tp>
        <v>0</v>
        <stp/>
        <stp>nse_cm|865SCL24-ZA</stp>
        <stp>Open</stp>
        <tr r="M954" s="1"/>
      </tp>
      <tp>
        <v>926</v>
        <stp/>
        <stp>bse_cm|KFLZC25E</stp>
        <stp>Bid Rate</stp>
        <tr r="E1530" s="1"/>
      </tp>
      <tp>
        <v>0</v>
        <stp/>
        <stp>bse_cm|903SFL28</stp>
        <stp>Open</stp>
        <tr r="M397" s="1"/>
      </tp>
      <tp>
        <v>872.8</v>
        <stp/>
        <stp>bse_cm|SCLZC25D</stp>
        <stp>Bid Rate</stp>
        <tr r="E1573" s="1"/>
      </tp>
      <tp>
        <v>1365.22</v>
        <stp/>
        <stp>bse_cm|MFLZC25D</stp>
        <stp>Bid Rate</stp>
        <tr r="E1520" s="1"/>
      </tp>
      <tp>
        <v>1117.1099999999999</v>
        <stp/>
        <stp>bse_cm|KFLZC25D</stp>
        <stp>Bid Rate</stp>
        <tr r="E1735" s="1"/>
      </tp>
      <tp>
        <v>860.25</v>
        <stp/>
        <stp>bse_cm|SCLZC25F</stp>
        <stp>Bid Rate</stp>
        <tr r="E1542" s="1"/>
      </tp>
      <tp>
        <v>1472.3</v>
        <stp/>
        <stp>bse_cm|SFLZC25A</stp>
        <stp>Bid Rate</stp>
        <tr r="E1583" s="1"/>
      </tp>
      <tp>
        <v>890.2</v>
        <stp/>
        <stp>bse_cm|SCLZC25A</stp>
        <stp>Bid Rate</stp>
        <tr r="E1233" s="1"/>
      </tp>
      <tp>
        <v>1426.02</v>
        <stp/>
        <stp>bse_cm|MFLZC25A</stp>
        <stp>Bid Rate</stp>
        <tr r="E1757" s="1"/>
      </tp>
      <tp>
        <v>1655.46</v>
        <stp/>
        <stp>bse_cm|KFLZC25A</stp>
        <stp>Bid Rate</stp>
        <tr r="E1738" s="1"/>
      </tp>
      <tp>
        <v>1000</v>
        <stp/>
        <stp>bse_cm|981JMFCS28</stp>
        <stp>Face Value</stp>
        <tr r="Q295" s="1"/>
      </tp>
      <tp>
        <v>865.2</v>
        <stp/>
        <stp>bse_cm|SCLZC25C</stp>
        <stp>Bid Rate</stp>
        <tr r="E1231" s="1"/>
      </tp>
      <tp>
        <v>1206.2</v>
        <stp/>
        <stp>bse_cm|MFLZC25C</stp>
        <stp>Bid Rate</stp>
        <tr r="E1579" s="1"/>
      </tp>
      <tp>
        <v>1170.8</v>
        <stp/>
        <stp>bse_cm|KFLZC25C</stp>
        <stp>Bid Rate</stp>
        <tr r="E1295" s="1"/>
      </tp>
      <tp>
        <v>1040.2</v>
        <stp/>
        <stp>bse_cm|SCLZC25B</stp>
        <stp>Bid Rate</stp>
        <tr r="E1540" s="1"/>
      </tp>
      <tp>
        <v>1440.2</v>
        <stp/>
        <stp>bse_cm|MFLZC25B</stp>
        <stp>Bid Rate</stp>
        <tr r="E1273" s="1"/>
      </tp>
      <tp>
        <v>0</v>
        <stp/>
        <stp>nse_cm|866SFL25-ZE</stp>
        <stp>Open</stp>
        <tr r="M1389" s="1"/>
      </tp>
      <tp>
        <v>1685.51</v>
        <stp/>
        <stp>bse_cm|KFLZC25B</stp>
        <stp>Bid Rate</stp>
        <tr r="E1739" s="1"/>
      </tp>
      <tp>
        <v>0</v>
        <stp/>
        <stp>nse_cm|815LTF24-NK</stp>
        <stp>High</stp>
        <tr r="N1693" s="1"/>
      </tp>
      <tp>
        <v>0</v>
        <stp/>
        <stp>nse_cm|850SCL25-YL</stp>
        <stp>Open</stp>
        <tr r="M922" s="1"/>
      </tp>
      <tp t="s">
        <v>98ICCL26-NU</v>
        <stp/>
        <stp>nse_cm|98ICCL26-NU</stp>
        <stp>Trading Symbol</stp>
        <tr r="B1569" s="1"/>
      </tp>
      <tp t="s">
        <v>BSE</v>
        <stp/>
        <stp>bse_cm|93SCL24A</stp>
        <stp>Exchange</stp>
        <tr r="C1361" s="1"/>
      </tp>
      <tp t="s">
        <v>BSE</v>
        <stp/>
        <stp>bse_cm|89SCL24A</stp>
        <stp>Exchange</stp>
        <tr r="C971" s="1"/>
      </tp>
      <tp t="s">
        <v>BSE</v>
        <stp/>
        <stp>bse_cm|87SCL24A</stp>
        <stp>Exchange</stp>
        <tr r="C1141" s="1"/>
      </tp>
      <tp>
        <v>900.3</v>
        <stp/>
        <stp>nse_cm|905SC24B-Z9</stp>
        <stp>Bid Rate</stp>
        <tr r="E637" s="1"/>
      </tp>
      <tp t="s">
        <v>BSE</v>
        <stp/>
        <stp>bse_cm|96SFL24A</stp>
        <stp>Exchange</stp>
        <tr r="C633" s="1"/>
      </tp>
      <tp>
        <v>0</v>
        <stp/>
        <stp>nse_cm|815LTF27-NO</stp>
        <stp>High</stp>
        <tr r="N1001" s="1"/>
      </tp>
      <tp>
        <v>0</v>
        <stp/>
        <stp>bse_cm|833SCL24</stp>
        <stp>Open</stp>
        <tr r="M1180" s="1"/>
      </tp>
      <tp>
        <v>0</v>
        <stp/>
        <stp>bse_cm|843SCL27</stp>
        <stp>Open</stp>
        <tr r="M928" s="1"/>
      </tp>
      <tp>
        <v>990</v>
        <stp/>
        <stp>bse_cm|1010EFS28A</stp>
        <stp>Prev Close</stp>
        <tr r="P78" s="1"/>
      </tp>
      <tp>
        <v>1000</v>
        <stp/>
        <stp>bse_cm|1010EFS29A</stp>
        <stp>Prev Close</stp>
        <tr r="P1593" s="1"/>
      </tp>
      <tp t="s">
        <v>BSE</v>
        <stp/>
        <stp>bse_cm|84TCHF28</stp>
        <stp>Exchange</stp>
        <tr r="C403" s="1"/>
      </tp>
      <tp t="s">
        <v>BSE</v>
        <stp/>
        <stp>bse_cm|81TCHF28</stp>
        <stp>Exchange</stp>
        <tr r="C479" s="1"/>
      </tp>
      <tp t="s">
        <v>BSE</v>
        <stp/>
        <stp>bse_cm|83TCHF28</stp>
        <stp>Exchange</stp>
        <tr r="C832" s="1"/>
      </tp>
      <tp>
        <v>826</v>
        <stp/>
        <stp>nse_cm|920IIFLS26-N8</stp>
        <stp>Prev Close</stp>
        <tr r="P208" s="1"/>
      </tp>
      <tp>
        <v>822</v>
        <stp/>
        <stp>bse_cm|EFSL290424</stp>
        <stp>Prev Close</stp>
        <tr r="P1334" s="1"/>
      </tp>
      <tp>
        <v>999</v>
        <stp/>
        <stp>bse_cm|1004EFSL29</stp>
        <stp>Prev Close</stp>
        <tr r="P1586" s="1"/>
      </tp>
      <tp>
        <v>0</v>
        <stp/>
        <stp>nse_cm|971SCL29-Z0</stp>
        <stp>Open</stp>
        <tr r="M681" s="1"/>
      </tp>
      <tp>
        <v>900.01</v>
        <stp/>
        <stp>bse_cm|EFSL260724</stp>
        <stp>Prev Close</stp>
        <tr r="P586" s="1"/>
      </tp>
      <tp>
        <v>0</v>
        <stp/>
        <stp>nse_cm|975SCL27-Z9</stp>
        <stp>Open</stp>
        <tr r="M885" s="1"/>
      </tp>
      <tp>
        <v>1010</v>
        <stp/>
        <stp>nse_cm|85CIFC27-NL</stp>
        <stp>High</stp>
        <tr r="N973" s="1"/>
      </tp>
      <tp>
        <v>1000</v>
        <stp/>
        <stp>nse_cm|1003SCFL31-Z4</stp>
        <stp>Prev Close</stp>
        <tr r="P878" s="1"/>
      </tp>
      <tp>
        <v>875.3</v>
        <stp/>
        <stp>bse_cm|KFL27C</stp>
        <stp xml:space="preserve">Low </stp>
        <tr r="O1300" s="1"/>
      </tp>
      <tp>
        <v>0</v>
        <stp/>
        <stp>nse_cm|1003SCL30-BW</stp>
        <stp>% Change</stp>
        <tr r="J876" s="1"/>
      </tp>
      <tp>
        <v>0</v>
        <stp/>
        <stp>bse_cm|NWFLZC25</stp>
        <stp>Volume Traded Today</stp>
        <tr r="L1758" s="1"/>
      </tp>
      <tp>
        <v>0</v>
        <stp/>
        <stp>bse_cm|KFL27B</stp>
        <stp xml:space="preserve">Low </stp>
        <tr r="O1301" s="1"/>
      </tp>
      <tp t="s">
        <v>BSE</v>
        <stp/>
        <stp>bse_cm|82TCHF25</stp>
        <stp>Exchange</stp>
        <tr r="C1015" s="1"/>
      </tp>
      <tp t="s">
        <v>BSE</v>
        <stp/>
        <stp>bse_cm|83TCHF25</stp>
        <stp>Exchange</stp>
        <tr r="C489" s="1"/>
      </tp>
      <tp>
        <v>939</v>
        <stp/>
        <stp>nse_cm|1050SCFL31-Z2</stp>
        <stp>Prev Close</stp>
        <tr r="P868" s="1"/>
      </tp>
      <tp>
        <v>1081</v>
        <stp/>
        <stp>bse_cm|MFL31A</stp>
        <stp xml:space="preserve">Low </stp>
        <tr r="O1275" s="1"/>
      </tp>
      <tp>
        <v>1124</v>
        <stp/>
        <stp>bse_cm|KFL27A</stp>
        <stp xml:space="preserve">Low </stp>
        <tr r="O1302" s="1"/>
      </tp>
      <tp>
        <v>1014.8</v>
        <stp/>
        <stp>bse_cm|58PFCL26</stp>
        <stp>Ask Rate</stp>
        <tr r="F369" s="1"/>
      </tp>
      <tp>
        <v>1000</v>
        <stp/>
        <stp>bse_cm|1050SCFL31</stp>
        <stp>Face Value</stp>
        <tr r="Q1123" s="1"/>
      </tp>
      <tp>
        <v>1000</v>
        <stp/>
        <stp>bse_cm|1050NHFL29</stp>
        <stp>Face Value</stp>
        <tr r="Q1125" s="1"/>
      </tp>
      <tp>
        <v>1000</v>
        <stp/>
        <stp>bse_cm|1050ISFL28</stp>
        <stp>Face Value</stp>
        <tr r="Q1497" s="1"/>
      </tp>
      <tp>
        <v>1000</v>
        <stp/>
        <stp>bse_cm|1050IIFL29</stp>
        <stp>Face Value</stp>
        <tr r="Q763" s="1"/>
      </tp>
      <tp>
        <v>1000</v>
        <stp/>
        <stp>bse_cm|1050KAFL28</stp>
        <stp>Face Value</stp>
        <tr r="Q610" s="1"/>
      </tp>
      <tp>
        <v>1000</v>
        <stp/>
        <stp>bse_cm|1050KAFL25</stp>
        <stp>Face Value</stp>
        <tr r="Q1161" s="1"/>
      </tp>
      <tp>
        <v>1000</v>
        <stp/>
        <stp>bse_cm|1050KAFL27</stp>
        <stp>Face Value</stp>
        <tr r="Q1160" s="1"/>
      </tp>
      <tp t="s">
        <v>IIFLZC28-NG</v>
        <stp/>
        <stp>nse_cm|IIFLZC28-NG</stp>
        <stp>Trading Symbol</stp>
        <tr r="B1659" s="1"/>
      </tp>
      <tp>
        <v>1061</v>
        <stp/>
        <stp>nse_cm|11UCL26-NC</stp>
        <stp>Prev Close</stp>
        <tr r="P322" s="1"/>
      </tp>
      <tp>
        <v>0</v>
        <stp/>
        <stp>nse_cm|873NTPC28-N5</stp>
        <stp>% Change</stp>
        <tr r="J541" s="1"/>
      </tp>
      <tp>
        <v>800</v>
        <stp/>
        <stp>bse_cm|1003ICCL28</stp>
        <stp>Face Value</stp>
        <tr r="Q655" s="1"/>
      </tp>
      <tp>
        <v>0</v>
        <stp/>
        <stp>nse_cm|1030ICC26-NJ</stp>
        <stp>% Change</stp>
        <tr r="J1514" s="1"/>
      </tp>
      <tp>
        <v>1000</v>
        <stp/>
        <stp>bse_cm|1075NIDO34</stp>
        <stp>Face Value</stp>
        <tr r="Q1021" s="1"/>
      </tp>
      <tp>
        <v>0</v>
        <stp/>
        <stp>bse_cm|1025SF29</stp>
        <stp>Open</stp>
        <tr r="M1409" s="1"/>
      </tp>
      <tp>
        <v>1077.1099999999999</v>
        <stp/>
        <stp>nse_cm|99IFCI24-NH</stp>
        <stp xml:space="preserve">Low </stp>
        <tr r="O39" s="1"/>
      </tp>
      <tp>
        <v>1000</v>
        <stp/>
        <stp>bse_cm|MFCL160924</stp>
        <stp>Face Value</stp>
        <tr r="Q572" s="1"/>
      </tp>
      <tp>
        <v>1035.25</v>
        <stp/>
        <stp>bse_cm|99JFPL25</stp>
        <stp>Bid Rate</stp>
        <tr r="E1670" s="1"/>
      </tp>
      <tp>
        <v>1090.01</v>
        <stp/>
        <stp>nse_cm|935LTF29-N5</stp>
        <stp>LTP</stp>
        <tr r="H395" s="1"/>
      </tp>
      <tp t="s">
        <v/>
        <stp/>
        <stp>nse_cm|935LTF29-N5</stp>
        <stp>LTT</stp>
        <tr r="I395" s="1"/>
      </tp>
      <tp>
        <v>1056</v>
        <stp/>
        <stp>nse_cm|905LTF27-NF</stp>
        <stp>LTP</stp>
        <tr r="H393" s="1"/>
      </tp>
      <tp t="s">
        <v>09:33:59</v>
        <stp/>
        <stp>nse_cm|905LTF27-NF</stp>
        <stp>LTT</stp>
        <tr r="I393" s="1"/>
      </tp>
      <tp>
        <v>10</v>
        <stp/>
        <stp>bse_cm|910TCAP28</stp>
        <stp>Ask Qty</stp>
        <tr r="G409" s="1"/>
      </tp>
      <tp t="s">
        <v>830CIFC26</v>
        <stp/>
        <stp>bse_cm|830CIFC26</stp>
        <stp>Trading Symbol</stp>
        <tr r="B1013" s="1"/>
      </tp>
      <tp t="s">
        <v>732IRFC25</v>
        <stp/>
        <stp>bse_cm|732IRFC25</stp>
        <stp>Trading Symbol</stp>
        <tr r="B174" s="1"/>
      </tp>
      <tp t="s">
        <v>INE413U07251</v>
        <stp/>
        <stp>bse_cm|1050ISFL28</stp>
        <stp>Isin code</stp>
        <tr r="R1497" s="1"/>
      </tp>
      <tp t="s">
        <v>735IRFC31</v>
        <stp/>
        <stp>bse_cm|735IRFC31</stp>
        <stp>Trading Symbol</stp>
        <tr r="B1427" s="1"/>
      </tp>
      <tp>
        <v>1044.5</v>
        <stp/>
        <stp>bse_cm|SFL30</stp>
        <stp xml:space="preserve">Low </stp>
        <tr r="O1597" s="1"/>
      </tp>
      <tp t="s">
        <v>INE413U07269</v>
        <stp/>
        <stp>bse_cm|1003ISFL28</stp>
        <stp>Isin code</stp>
        <tr r="R1456" s="1"/>
      </tp>
      <tp t="s">
        <v>AEL120924</v>
        <stp/>
        <stp>bse_cm|AEL120924</stp>
        <stp>Trading Symbol</stp>
        <tr r="B1062" s="1"/>
      </tp>
      <tp t="s">
        <v>915NIDO27</v>
        <stp/>
        <stp>bse_cm|915NIDO27</stp>
        <stp>Trading Symbol</stp>
        <tr r="B59" s="1"/>
      </tp>
      <tp t="s">
        <v>935AHFL28</v>
        <stp/>
        <stp>bse_cm|935AHFL28</stp>
        <stp>Trading Symbol</stp>
        <tr r="B456" s="1"/>
      </tp>
      <tp t="s">
        <v>925CAGL26</v>
        <stp/>
        <stp>bse_cm|925CAGL26</stp>
        <stp>Trading Symbol</stp>
        <tr r="B294" s="1"/>
      </tp>
      <tp t="s">
        <v>965MFCL30</v>
        <stp/>
        <stp>bse_cm|965MFCL30</stp>
        <stp>Trading Symbol</stp>
        <tr r="B225" s="1"/>
      </tp>
      <tp t="s">
        <v>965MFCL27</v>
        <stp/>
        <stp>bse_cm|965MFCL27</stp>
        <stp>Trading Symbol</stp>
        <tr r="B618" s="1"/>
      </tp>
      <tp t="s">
        <v>935KAFL25</v>
        <stp/>
        <stp>bse_cm|935KAFL25</stp>
        <stp>Trading Symbol</stp>
        <tr r="B785" s="1"/>
      </tp>
      <tp t="s">
        <v>565PFCL26</v>
        <stp/>
        <stp>bse_cm|565PFCL26</stp>
        <stp>Trading Symbol</stp>
        <tr r="B1210" s="1"/>
      </tp>
      <tp t="s">
        <v>DLSL25-NW</v>
        <stp/>
        <stp>nse_cm|DLSL25-NW</stp>
        <stp>Trading Symbol</stp>
        <tr r="B1745" s="1"/>
      </tp>
      <tp t="s">
        <v>663PFCL31</v>
        <stp/>
        <stp>bse_cm|663PFCL31</stp>
        <stp>Trading Symbol</stp>
        <tr r="B1208" s="1"/>
      </tp>
      <tp>
        <v>0</v>
        <stp/>
        <stp>nse_cm|1003SCL30A-NV</stp>
        <stp>Ask Rate</stp>
        <tr r="F728" s="1"/>
      </tp>
      <tp>
        <v>966</v>
        <stp/>
        <stp>nse_cm|925IHFL25E-N8</stp>
        <stp>High</stp>
        <tr r="N561" s="1"/>
      </tp>
      <tp t="s">
        <v>INE248U07FE3</v>
        <stp/>
        <stp>bse_cm|96ONE29</stp>
        <stp>Isin code</stp>
        <tr r="R1621" s="1"/>
      </tp>
      <tp>
        <v>0</v>
        <stp/>
        <stp>nse_cm|1077IIFL30-N7</stp>
        <stp>High</stp>
        <tr r="N996" s="1"/>
      </tp>
      <tp>
        <v>0</v>
        <stp/>
        <stp>bse_cm|0SFL31</stp>
        <stp>Ask Qty</stp>
        <tr r="G1032" s="1"/>
      </tp>
      <tp>
        <v>0</v>
        <stp/>
        <stp>bse_cm|0KFL31</stp>
        <stp>Ask Qty</stp>
        <tr r="G1044" s="1"/>
      </tp>
      <tp>
        <v>10</v>
        <stp/>
        <stp>bse_cm|0SCL27</stp>
        <stp>Ask Qty</stp>
        <tr r="G721" s="1"/>
      </tp>
      <tp>
        <v>0</v>
        <stp/>
        <stp>bse_cm|0SFL26</stp>
        <stp>Ask Qty</stp>
        <tr r="G703" s="1"/>
      </tp>
      <tp>
        <v>0</v>
        <stp/>
        <stp>bse_cm|0SCL26</stp>
        <stp>Ask Qty</stp>
        <tr r="G1359" s="1"/>
      </tp>
      <tp>
        <v>0</v>
        <stp/>
        <stp>bse_cm|0KFL27</stp>
        <stp>Ask Qty</stp>
        <tr r="G1046" s="1"/>
      </tp>
      <tp>
        <v>0</v>
        <stp/>
        <stp>bse_cm|0KFL26</stp>
        <stp>Ask Qty</stp>
        <tr r="G1047" s="1"/>
      </tp>
      <tp>
        <v>10</v>
        <stp/>
        <stp>bse_cm|0KFL25</stp>
        <stp>Ask Qty</stp>
        <tr r="G1604" s="1"/>
      </tp>
      <tp>
        <v>0</v>
        <stp/>
        <stp>bse_cm|0MML27</stp>
        <stp>Ask Qty</stp>
        <tr r="G1043" s="1"/>
      </tp>
      <tp>
        <v>0</v>
        <stp/>
        <stp>bse_cm|0MML29</stp>
        <stp>Ask Qty</stp>
        <tr r="G1041" s="1"/>
      </tp>
      <tp>
        <v>0</v>
        <stp/>
        <stp>bse_cm|0KFL28</stp>
        <stp>Ask Qty</stp>
        <tr r="G1045" s="1"/>
      </tp>
      <tp t="s">
        <v>68PFCL31</v>
        <stp/>
        <stp>bse_cm|68PFCL31</stp>
        <stp>Symbol</stp>
        <tr r="A1205" s="1"/>
      </tp>
      <tp t="s">
        <v>975KLM25</v>
        <stp/>
        <stp>bse_cm|975KLM25</stp>
        <stp>Symbol</stp>
        <tr r="A858" s="1"/>
      </tp>
      <tp t="s">
        <v>CAGL28-NE</v>
        <stp/>
        <stp>nse_cm|CAGL28-NE</stp>
        <stp>Trading Symbol</stp>
        <tr r="B756" s="1"/>
      </tp>
      <tp t="s">
        <v>9ICCL23A</v>
        <stp/>
        <stp>bse_cm|9ICCL23A</stp>
        <stp>Symbol</stp>
        <tr r="A1434" s="1"/>
      </tp>
      <tp t="s">
        <v>9IIFL28A</v>
        <stp/>
        <stp>bse_cm|9IIFL28A</stp>
        <stp>Symbol</stp>
        <tr r="A218" s="1"/>
      </tp>
      <tp>
        <v>1040</v>
        <stp/>
        <stp>bse_cm|MFL31</stp>
        <stp xml:space="preserve">Low </stp>
        <tr r="O701" s="1"/>
      </tp>
      <tp t="s">
        <v>950KLM25</v>
        <stp/>
        <stp>bse_cm|950KLM25</stp>
        <stp>Symbol</stp>
        <tr r="A1150" s="1"/>
      </tp>
      <tp t="s">
        <v>INE148I07KX0</v>
        <stp/>
        <stp>bse_cm|9SCFL25</stp>
        <stp>Isin code</stp>
        <tr r="R1505" s="1"/>
      </tp>
      <tp t="s">
        <v>INE532F07EI5</v>
        <stp/>
        <stp>bse_cm|10EFS33</stp>
        <stp>Isin code</stp>
        <tr r="R112" s="1"/>
      </tp>
      <tp>
        <v>835.2</v>
        <stp/>
        <stp>nse_cm|957IIFLS27-NA</stp>
        <stp>Bid Rate</stp>
        <tr r="E1495" s="1"/>
      </tp>
      <tp>
        <v>990</v>
        <stp/>
        <stp>bse_cm|MML30</stp>
        <stp xml:space="preserve">Low </stp>
        <tr r="O1525" s="1"/>
      </tp>
      <tp>
        <v>1120</v>
        <stp/>
        <stp>bse_cm|MFL30</stp>
        <stp xml:space="preserve">Low </stp>
        <tr r="O1460" s="1"/>
      </tp>
      <tp>
        <v>1</v>
        <stp/>
        <stp>bse_cm|9PEL25</stp>
        <stp>Ask Qty</stp>
        <tr r="G315" s="1"/>
      </tp>
      <tp>
        <v>0</v>
        <stp/>
        <stp>bse_cm|9SFL26</stp>
        <stp>Ask Qty</stp>
        <tr r="G1066" s="1"/>
      </tp>
      <tp>
        <v>45</v>
        <stp/>
        <stp>bse_cm|9SFL25</stp>
        <stp>Ask Qty</stp>
        <tr r="G340" s="1"/>
      </tp>
      <tp>
        <v>0</v>
        <stp/>
        <stp>bse_cm|9SCL25</stp>
        <stp>Ask Qty</stp>
        <tr r="G653" s="1"/>
      </tp>
      <tp>
        <v>0</v>
        <stp/>
        <stp>bse_cm|9IML25</stp>
        <stp>Ask Qty</stp>
        <tr r="G588" s="1"/>
      </tp>
      <tp>
        <v>0</v>
        <stp/>
        <stp>bse_cm|9KFL26</stp>
        <stp>Ask Qty</stp>
        <tr r="G1084" s="1"/>
      </tp>
      <tp>
        <v>0</v>
        <stp/>
        <stp>bse_cm|9MFL25</stp>
        <stp>Ask Qty</stp>
        <tr r="G1082" s="1"/>
      </tp>
      <tp>
        <v>20</v>
        <stp/>
        <stp>bse_cm|9MFL27</stp>
        <stp>Ask Qty</stp>
        <tr r="G195" s="1"/>
      </tp>
      <tp>
        <v>0</v>
        <stp/>
        <stp>bse_cm|KFL31</stp>
        <stp xml:space="preserve">Low </stp>
        <tr r="O1297" s="1"/>
      </tp>
      <tp>
        <v>995</v>
        <stp/>
        <stp>nse_cm|925IHFL25D-N6</stp>
        <stp>High</stp>
        <tr r="N575" s="1"/>
      </tp>
      <tp>
        <v>25</v>
        <stp/>
        <stp>bse_cm|9MFL30</stp>
        <stp>Ask Qty</stp>
        <tr r="G244" s="1"/>
      </tp>
      <tp>
        <v>0</v>
        <stp/>
        <stp>bse_cm|8MFL26</stp>
        <stp>Ask Qty</stp>
        <tr r="G654" s="1"/>
      </tp>
      <tp>
        <v>960</v>
        <stp/>
        <stp>bse_cm|KFL30</stp>
        <stp xml:space="preserve">Low </stp>
        <tr r="O1298" s="1"/>
      </tp>
      <tp>
        <v>1088</v>
        <stp/>
        <stp>nse_cm|965IHFL25D-N7</stp>
        <stp>High</stp>
        <tr r="N1469" s="1"/>
      </tp>
      <tp t="s">
        <v>10NIDO27</v>
        <stp/>
        <stp>bse_cm|10NIDO27</stp>
        <stp>Symbol</stp>
        <tr r="A597" s="1"/>
      </tp>
      <tp t="s">
        <v>10NIDO26</v>
        <stp/>
        <stp>bse_cm|10NIDO26</stp>
        <stp>Symbol</stp>
        <tr r="A62" s="1"/>
      </tp>
      <tp t="s">
        <v>10NIDO33</v>
        <stp/>
        <stp>bse_cm|10NIDO33</stp>
        <stp>Symbol</stp>
        <tr r="A1447" s="1"/>
      </tp>
      <tp>
        <v>9</v>
        <stp/>
        <stp>bse_cm|EFSL28</stp>
        <stp>Ask Qty</stp>
        <tr r="G1609" s="1"/>
      </tp>
      <tp>
        <v>0</v>
        <stp/>
        <stp>bse_cm|EFSL29</stp>
        <stp>Ask Qty</stp>
        <tr r="G659" s="1"/>
      </tp>
      <tp>
        <v>41</v>
        <stp/>
        <stp>bse_cm|EFSL26</stp>
        <stp>Ask Qty</stp>
        <tr r="G1687" s="1"/>
      </tp>
      <tp>
        <v>0</v>
        <stp/>
        <stp>bse_cm|EFSL27</stp>
        <stp>Ask Qty</stp>
        <tr r="G1531" s="1"/>
      </tp>
      <tp>
        <v>11</v>
        <stp/>
        <stp>bse_cm|EFSL25</stp>
        <stp>Ask Qty</stp>
        <tr r="G1694" s="1"/>
      </tp>
      <tp>
        <v>5</v>
        <stp/>
        <stp>bse_cm|DLSL25</stp>
        <stp>Ask Qty</stp>
        <tr r="G1747" s="1"/>
      </tp>
      <tp>
        <v>901</v>
        <stp/>
        <stp>nse_cm|960IIFLS26-N9</stp>
        <stp>Bid Rate</stp>
        <tr r="E1489" s="1"/>
      </tp>
      <tp>
        <v>0</v>
        <stp/>
        <stp>bse_cm|MFLTDVII27</stp>
        <stp>ATP</stp>
        <tr r="K1562" s="1"/>
      </tp>
      <tp>
        <v>0</v>
        <stp/>
        <stp>bse_cm|MFLTDIII24</stp>
        <stp>ATP</stp>
        <tr r="K1721" s="1"/>
      </tp>
      <tp t="s">
        <v>93SCL24A</v>
        <stp/>
        <stp>bse_cm|93SCL24A</stp>
        <stp>Symbol</stp>
        <tr r="A1361" s="1"/>
      </tp>
      <tp>
        <v>950</v>
        <stp/>
        <stp>nse_cm|920IIFLS26-N8</stp>
        <stp>Bid Rate</stp>
        <tr r="E208" s="1"/>
      </tp>
      <tp>
        <v>0</v>
        <stp/>
        <stp>bse_cm|ABFL28</stp>
        <stp>Ask Qty</stp>
        <tr r="G1373" s="1"/>
      </tp>
      <tp>
        <v>0</v>
        <stp/>
        <stp>bse_cm|ABFL26</stp>
        <stp>Ask Qty</stp>
        <tr r="G1064" s="1"/>
      </tp>
      <tp t="s">
        <v>94MFL27A</v>
        <stp/>
        <stp>bse_cm|94MFL27A</stp>
        <stp>Symbol</stp>
        <tr r="A420" s="1"/>
      </tp>
      <tp>
        <v>1018.2</v>
        <stp/>
        <stp>nse_cm|925ICCL24A-NE</stp>
        <stp>High</stp>
        <tr r="N1393" s="1"/>
      </tp>
      <tp t="s">
        <v>95KFL27A</v>
        <stp/>
        <stp>bse_cm|95KFL27A</stp>
        <stp>Symbol</stp>
        <tr r="A132" s="1"/>
      </tp>
      <tp>
        <v>0</v>
        <stp/>
        <stp>bse_cm|CAGL28</stp>
        <stp>Ask Qty</stp>
        <tr r="G757" s="1"/>
      </tp>
      <tp>
        <v>0</v>
        <stp/>
        <stp>bse_cm|CAGL25</stp>
        <stp>Ask Qty</stp>
        <tr r="G1061" s="1"/>
      </tp>
      <tp>
        <v>8</v>
        <stp/>
        <stp>bse_cm|CAGL24</stp>
        <stp>Ask Qty</stp>
        <tr r="G1761" s="1"/>
      </tp>
      <tp>
        <v>0</v>
        <stp/>
        <stp>bse_cm|CAGL27</stp>
        <stp>Ask Qty</stp>
        <tr r="G734" s="1"/>
      </tp>
      <tp>
        <v>0</v>
        <stp/>
        <stp>bse_cm|CAGL26</stp>
        <stp>Ask Qty</stp>
        <tr r="G708" s="1"/>
      </tp>
      <tp t="s">
        <v>96SFL24A</v>
        <stp/>
        <stp>bse_cm|96SFL24A</stp>
        <stp>Symbol</stp>
        <tr r="A633" s="1"/>
      </tp>
      <tp>
        <v>1138</v>
        <stp/>
        <stp>nse_cm|948ICCL25A-NG</stp>
        <stp>High</stp>
        <tr r="N1736" s="1"/>
      </tp>
      <tp>
        <v>0</v>
        <stp/>
        <stp>nse_cm|913ICCL24A-NF</stp>
        <stp>High</stp>
        <tr r="N781" s="1"/>
      </tp>
      <tp t="s">
        <v>97SFL26A</v>
        <stp/>
        <stp>bse_cm|97SFL26A</stp>
        <stp>Symbol</stp>
        <tr r="A1089" s="1"/>
      </tp>
      <tp>
        <v>48</v>
        <stp/>
        <stp>bse_cm|MMFL25</stp>
        <stp>Ask Qty</stp>
        <tr r="G1725" s="1"/>
      </tp>
      <tp>
        <v>0</v>
        <stp/>
        <stp>bse_cm|MMFL27</stp>
        <stp>Ask Qty</stp>
        <tr r="G1513" s="1"/>
      </tp>
      <tp>
        <v>1040</v>
        <stp/>
        <stp>nse_cm|888IHFL25F-NC</stp>
        <stp>High</stp>
        <tr r="N343" s="1"/>
      </tp>
      <tp>
        <v>1019.83</v>
        <stp/>
        <stp>nse_cm|966ICCL25A-NI</stp>
        <stp>High</stp>
        <tr r="N1461" s="1"/>
      </tp>
      <tp>
        <v>1000</v>
        <stp/>
        <stp>nse_cm|984ICCL26A-NK</stp>
        <stp>High</stp>
        <tr r="N716" s="1"/>
      </tp>
      <tp>
        <v>991.04</v>
        <stp/>
        <stp>nse_cm|955ICCL25A-NH</stp>
        <stp>High</stp>
        <tr r="N486" s="1"/>
      </tp>
      <tp>
        <v>0</v>
        <stp/>
        <stp>bse_cm|NWIL27</stp>
        <stp>Ask Qty</stp>
        <tr r="G1439" s="1"/>
      </tp>
      <tp>
        <v>0</v>
        <stp/>
        <stp>bse_cm|NWIL25</stp>
        <stp>Ask Qty</stp>
        <tr r="G1546" s="1"/>
      </tp>
      <tp>
        <v>0</v>
        <stp/>
        <stp>bse_cm|ICCL25</stp>
        <stp>Ask Qty</stp>
        <tr r="G1330" s="1"/>
      </tp>
      <tp>
        <v>991</v>
        <stp/>
        <stp>bse_cm|NIDO25A</stp>
        <stp>Prev Close</stp>
        <tr r="P1245" s="1"/>
      </tp>
      <tp>
        <v>0</v>
        <stp/>
        <stp>bse_cm|KAFL29</stp>
        <stp>Ask Qty</stp>
        <tr r="G1318" s="1"/>
      </tp>
      <tp>
        <v>0</v>
        <stp/>
        <stp>bse_cm|KAFL28</stp>
        <stp>Ask Qty</stp>
        <tr r="G1320" s="1"/>
      </tp>
      <tp>
        <v>0</v>
        <stp/>
        <stp>bse_cm|KAFL25</stp>
        <stp>Ask Qty</stp>
        <tr r="G1321" s="1"/>
      </tp>
      <tp>
        <v>0</v>
        <stp/>
        <stp>bse_cm|KAFL30</stp>
        <stp>Ask Qty</stp>
        <tr r="G1317" s="1"/>
      </tp>
      <tp t="s">
        <v>890MFL26A</v>
        <stp/>
        <stp>bse_cm|890MFL26A</stp>
        <stp>Trading Symbol</stp>
        <tr r="B698" s="1"/>
      </tp>
      <tp t="s">
        <v>990SCL26I</v>
        <stp/>
        <stp>bse_cm|990SCL26I</stp>
        <stp>Trading Symbol</stp>
        <tr r="B797" s="1"/>
      </tp>
      <tp t="s">
        <v>990SCL26D</v>
        <stp/>
        <stp>bse_cm|990SCL26D</stp>
        <stp>Trading Symbol</stp>
        <tr r="B1534" s="1"/>
      </tp>
      <tp t="s">
        <v>990SCL26A</v>
        <stp/>
        <stp>bse_cm|990SCL26A</stp>
        <stp>Trading Symbol</stp>
        <tr r="B1057" s="1"/>
      </tp>
      <tp t="s">
        <v>990SCL26B</v>
        <stp/>
        <stp>bse_cm|990SCL26B</stp>
        <stp>Trading Symbol</stp>
        <tr r="B1048" s="1"/>
      </tp>
      <tp>
        <v>1068</v>
        <stp/>
        <stp>nse_cm|965ICCL25I-NQ</stp>
        <stp>High</stp>
        <tr r="N696" s="1"/>
      </tp>
      <tp>
        <v>100</v>
        <stp/>
        <stp>bse_cm|NIDO28</stp>
        <stp>Bid Qty</stp>
        <tr r="D1243" s="1"/>
      </tp>
      <tp>
        <v>10</v>
        <stp/>
        <stp>bse_cm|NIDO26</stp>
        <stp>Bid Qty</stp>
        <tr r="D1244" s="1"/>
      </tp>
      <tp>
        <v>10</v>
        <stp/>
        <stp>bse_cm|NIDO27</stp>
        <stp>Bid Qty</stp>
        <tr r="D1661" s="1"/>
      </tp>
      <tp>
        <v>180</v>
        <stp/>
        <stp>bse_cm|NIDO25</stp>
        <stp>Bid Qty</stp>
        <tr r="D1726" s="1"/>
      </tp>
      <tp>
        <v>0</v>
        <stp/>
        <stp>nse_cm|925ICCL25I-NP</stp>
        <stp>High</stp>
        <tr r="N777" s="1"/>
      </tp>
      <tp t="s">
        <v>894SCL25A</v>
        <stp/>
        <stp>bse_cm|894SCL25A</stp>
        <stp>Trading Symbol</stp>
        <tr r="B1235" s="1"/>
      </tp>
      <tp t="s">
        <v>995ECL29A</v>
        <stp/>
        <stp>bse_cm|995ECL29A</stp>
        <stp>Trading Symbol</stp>
        <tr r="B152" s="1"/>
      </tp>
      <tp>
        <v>1055</v>
        <stp/>
        <stp>nse_cm|875IIFL26A-NQ</stp>
        <stp>High</stp>
        <tr r="N634" s="1"/>
      </tp>
      <tp>
        <v>963</v>
        <stp/>
        <stp>nse_cm|888IHFL25C-NR</stp>
        <stp>High</stp>
        <tr r="N1426" s="1"/>
      </tp>
      <tp>
        <v>902</v>
        <stp/>
        <stp>nse_cm|890ICCL23A-NZ</stp>
        <stp>High</stp>
        <tr r="N1363" s="1"/>
      </tp>
      <tp>
        <v>0</v>
        <stp/>
        <stp>nse_cm|866ICCL23A-NY</stp>
        <stp>High</stp>
        <tr r="N759" s="1"/>
      </tp>
      <tp>
        <v>0</v>
        <stp/>
        <stp>bse_cm|922ONE25</stp>
        <stp>Open</stp>
        <tr r="M1111" s="1"/>
      </tp>
      <tp>
        <v>0</v>
        <stp/>
        <stp>bse_cm|852LTF27</stp>
        <stp>Open</stp>
        <tr r="M983" s="1"/>
      </tp>
      <tp>
        <v>0</v>
        <stp/>
        <stp>bse_cm|10SCL31A</stp>
        <stp>Ask Rate</stp>
        <tr r="F865" s="1"/>
      </tp>
      <tp>
        <v>0.19</v>
        <stp/>
        <stp>nse_cm|9PCHFL31A-NA</stp>
        <stp>% Change</stp>
        <tr r="J435" s="1"/>
      </tp>
      <tp>
        <v>1000</v>
        <stp/>
        <stp>bse_cm|860CIFCL28</stp>
        <stp>Face Value</stp>
        <tr r="Q1431" s="1"/>
      </tp>
      <tp>
        <v>1000</v>
        <stp/>
        <stp>bse_cm|840CIFCL28</stp>
        <stp>Face Value</stp>
        <tr r="Q419" s="1"/>
      </tp>
      <tp>
        <v>1000</v>
        <stp/>
        <stp>bse_cm|850CIFCL26</stp>
        <stp>Face Value</stp>
        <tr r="Q1164" s="1"/>
      </tp>
      <tp>
        <v>0.36</v>
        <stp/>
        <stp>nse_cm|769NHAI31-NE</stp>
        <stp>% Change</stp>
        <tr r="J461" s="1"/>
      </tp>
      <tp>
        <v>0</v>
        <stp/>
        <stp>nse_cm|863IRFC29-NC</stp>
        <stp>% Change</stp>
        <tr r="J554" s="1"/>
      </tp>
      <tp>
        <v>0</v>
        <stp/>
        <stp>nse_cm|843SCL27-YS</stp>
        <stp>Open</stp>
        <tr r="M944" s="1"/>
      </tp>
      <tp>
        <v>0</v>
        <stp/>
        <stp>nse_cm|940SCL27-YS</stp>
        <stp>Open</stp>
        <tr r="M842" s="1"/>
      </tp>
      <tp>
        <v>1000</v>
        <stp/>
        <stp>bse_cm|115ICLFL25</stp>
        <stp>Face Value</stp>
        <tr r="Q1223" s="1"/>
      </tp>
      <tp>
        <v>1000</v>
        <stp/>
        <stp>bse_cm|125ICLFL28</stp>
        <stp>Face Value</stp>
        <tr r="Q264" s="1"/>
      </tp>
      <tp>
        <v>1140</v>
        <stp/>
        <stp>bse_cm|NWIL27</stp>
        <stp xml:space="preserve">Low </stp>
        <tr r="O1439" s="1"/>
      </tp>
      <tp>
        <v>0</v>
        <stp/>
        <stp>nse_cm|IIFLHFZC27-NB</stp>
        <stp>ATP</stp>
        <tr r="K1672" s="1"/>
      </tp>
      <tp>
        <v>0</v>
        <stp/>
        <stp>nse_cm|948SCL27-YV</stp>
        <stp>Open</stp>
        <tr r="M127" s="1"/>
      </tp>
      <tp>
        <v>1190</v>
        <stp/>
        <stp>bse_cm|NWIL25</stp>
        <stp xml:space="preserve">Low </stp>
        <tr r="O1546" s="1"/>
      </tp>
      <tp>
        <v>0</v>
        <stp/>
        <stp>bse_cm|932AEL27</stp>
        <stp>Open</stp>
        <tr r="M317" s="1"/>
      </tp>
      <tp>
        <v>1000</v>
        <stp/>
        <stp>bse_cm|104SMCGS29</stp>
        <stp>Face Value</stp>
        <tr r="Q206" s="1"/>
      </tp>
      <tp>
        <v>1000</v>
        <stp/>
        <stp>bse_cm|994SMCGS29</stp>
        <stp>Face Value</stp>
        <tr r="Q221" s="1"/>
      </tp>
      <tp>
        <v>1072.5</v>
        <stp/>
        <stp>nse_cm|865LTF26-NN</stp>
        <stp xml:space="preserve">Low </stp>
        <tr r="O392" s="1"/>
      </tp>
      <tp>
        <v>1000</v>
        <stp/>
        <stp>bse_cm|975MVAFL25</stp>
        <stp>Face Value</stp>
        <tr r="Q458" s="1"/>
      </tp>
      <tp>
        <v>816</v>
        <stp/>
        <stp>nse_cm|10SCL31A-ZO</stp>
        <stp>Bid Rate</stp>
        <tr r="E864" s="1"/>
      </tp>
      <tp>
        <v>130</v>
        <stp/>
        <stp>nse_cm|M&amp;MFIN-N3</stp>
        <stp>Ask Qty</stp>
        <tr r="G1723" s="1"/>
      </tp>
      <tp>
        <v>1000</v>
        <stp/>
        <stp>bse_cm|875PCHFL31</stp>
        <stp>Face Value</stp>
        <tr r="Q1172" s="1"/>
      </tp>
      <tp>
        <v>1000</v>
        <stp/>
        <stp>bse_cm|875PCHFL26</stp>
        <stp>Face Value</stp>
        <tr r="Q331" s="1"/>
      </tp>
      <tp>
        <v>1535</v>
        <stp/>
        <stp>bse_cm|MFLZC24D</stp>
        <stp>Bid Rate</stp>
        <tr r="E1550" s="1"/>
      </tp>
      <tp>
        <v>1317.81</v>
        <stp/>
        <stp>bse_cm|KFLZC24D</stp>
        <stp>Bid Rate</stp>
        <tr r="E1296" s="1"/>
      </tp>
      <tp>
        <v>1196.7</v>
        <stp/>
        <stp>bse_cm|NIDO25</stp>
        <stp xml:space="preserve">Low </stp>
        <tr r="O1726" s="1"/>
      </tp>
      <tp>
        <v>1056</v>
        <stp/>
        <stp>nse_cm|905LTF27-NF</stp>
        <stp>High</stp>
        <tr r="N393" s="1"/>
      </tp>
      <tp>
        <v>1032.8</v>
        <stp/>
        <stp>bse_cm|NIDO26</stp>
        <stp xml:space="preserve">Low </stp>
        <tr r="O1244" s="1"/>
      </tp>
      <tp>
        <v>1475.27</v>
        <stp/>
        <stp>bse_cm|MFLZC24C</stp>
        <stp>Bid Rate</stp>
        <tr r="E1551" s="1"/>
      </tp>
      <tp>
        <v>1127.0999999999999</v>
        <stp/>
        <stp>bse_cm|NIDO27</stp>
        <stp xml:space="preserve">Low </stp>
        <tr r="O1661" s="1"/>
      </tp>
      <tp>
        <v>0</v>
        <stp/>
        <stp>nse_cm|875SFL27-ZF</stp>
        <stp>Open</stp>
        <tr r="M379" s="1"/>
      </tp>
      <tp>
        <v>1593.88</v>
        <stp/>
        <stp>bse_cm|ECLZC24B</stp>
        <stp>Bid Rate</stp>
        <tr r="E1767" s="1"/>
      </tp>
      <tp>
        <v>0</v>
        <stp/>
        <stp>bse_cm|NIDO28</stp>
        <stp xml:space="preserve">Low </stp>
        <tr r="O1243" s="1"/>
      </tp>
      <tp>
        <v>0</v>
        <stp/>
        <stp>bse_cm|792TCH25</stp>
        <stp>Open</stp>
        <tr r="M1188" s="1"/>
      </tp>
      <tp t="s">
        <v>BSE</v>
        <stp/>
        <stp>bse_cm|85PFL26A</stp>
        <stp>Exchange</stp>
        <tr r="C711" s="1"/>
      </tp>
      <tp>
        <v>0</v>
        <stp/>
        <stp>bse_cm|743REC35</stp>
        <stp>Open</stp>
        <tr r="M513" s="1"/>
      </tp>
      <tp>
        <v>892.4</v>
        <stp/>
        <stp>bse_cm|790MMFSL27</stp>
        <stp>Prev Close</stp>
        <tr r="P1189" s="1"/>
      </tp>
      <tp>
        <v>1002.1</v>
        <stp/>
        <stp>bse_cm|800MMFSL27</stp>
        <stp>Prev Close</stp>
        <tr r="P436" s="1"/>
      </tp>
      <tp>
        <v>0</v>
        <stp/>
        <stp>bse_cm|902SCL27</stp>
        <stp>Open</stp>
        <tr r="M902" s="1"/>
      </tp>
      <tp>
        <v>0</v>
        <stp/>
        <stp>bse_cm|902SCL26</stp>
        <stp>Open</stp>
        <tr r="M969" s="1"/>
      </tp>
      <tp t="s">
        <v>BSE</v>
        <stp/>
        <stp>bse_cm|0MML27</stp>
        <stp>Exchange</stp>
        <tr r="C1043" s="1"/>
      </tp>
      <tp>
        <v>0</v>
        <stp/>
        <stp>nse_cm|SCLZC26D-NO</stp>
        <stp>High</stp>
        <tr r="N901" s="1"/>
      </tp>
      <tp t="s">
        <v>BSE</v>
        <stp/>
        <stp>bse_cm|EFSLZC26</stp>
        <stp>Exchange</stp>
        <tr r="C1712" s="1"/>
      </tp>
      <tp t="s">
        <v>BSE</v>
        <stp/>
        <stp>bse_cm|EFSLZC25</stp>
        <stp>Exchange</stp>
        <tr r="C1741" s="1"/>
      </tp>
      <tp>
        <v>950</v>
        <stp/>
        <stp>bse_cm|EFSL26724A</stp>
        <stp>Prev Close</stp>
        <tr r="P1468" s="1"/>
      </tp>
      <tp>
        <v>0</v>
        <stp/>
        <stp>nse_cm|SCLZC25C-NI</stp>
        <stp>High</stp>
        <tr r="N908" s="1"/>
      </tp>
      <tp t="s">
        <v>BSE</v>
        <stp/>
        <stp>bse_cm|0KFL25</stp>
        <stp>Exchange</stp>
        <tr r="C1604" s="1"/>
      </tp>
      <tp>
        <v>962.36</v>
        <stp/>
        <stp>bse_cm|MML26A</stp>
        <stp xml:space="preserve">Low </stp>
        <tr r="O1642" s="1"/>
      </tp>
      <tp>
        <v>0</v>
        <stp/>
        <stp>nse_cm|905SCL27-Z4</stp>
        <stp>Open</stp>
        <tr r="M947" s="1"/>
      </tp>
      <tp t="s">
        <v>BSE</v>
        <stp/>
        <stp>bse_cm|0KFL27</stp>
        <stp>Exchange</stp>
        <tr r="C1046" s="1"/>
      </tp>
      <tp>
        <v>1044.3800000000001</v>
        <stp/>
        <stp>nse_cm|SCLZC25D-NJ</stp>
        <stp>High</stp>
        <tr r="N1699" s="1"/>
      </tp>
      <tp t="s">
        <v>BSE</v>
        <stp/>
        <stp>bse_cm|0KFL26</stp>
        <stp>Exchange</stp>
        <tr r="C1047" s="1"/>
      </tp>
      <tp>
        <v>1000</v>
        <stp/>
        <stp>nse_cm|8ABFL26-N0</stp>
        <stp>Face Value</stp>
        <tr r="Q358" s="1"/>
      </tp>
      <tp>
        <v>0</v>
        <stp/>
        <stp>nse_cm|792TCH25-N3</stp>
        <stp>High</stp>
        <tr r="N1187" s="1"/>
      </tp>
      <tp>
        <v>1791.55</v>
        <stp/>
        <stp>nse_cm|SCLZC26A-NF</stp>
        <stp>High</stp>
        <tr r="N993" s="1"/>
      </tp>
      <tp t="s">
        <v>BSE</v>
        <stp/>
        <stp>bse_cm|0KFL28</stp>
        <stp>Exchange</stp>
        <tr r="C1045" s="1"/>
      </tp>
      <tp>
        <v>1031</v>
        <stp/>
        <stp>bse_cm|MFL26F</stp>
        <stp xml:space="preserve">Low </stp>
        <tr r="O1278" s="1"/>
      </tp>
      <tp>
        <v>1134</v>
        <stp/>
        <stp>bse_cm|MFL26E</stp>
        <stp xml:space="preserve">Low </stp>
        <tr r="O1533" s="1"/>
      </tp>
      <tp>
        <v>1012</v>
        <stp/>
        <stp>bse_cm|MFL26D</stp>
        <stp xml:space="preserve">Low </stp>
        <tr r="O1279" s="1"/>
      </tp>
      <tp>
        <v>1010</v>
        <stp/>
        <stp>nse_cm|SCLZC26C-NB</stp>
        <stp>High</stp>
        <tr r="N1537" s="1"/>
      </tp>
      <tp>
        <v>940</v>
        <stp/>
        <stp>nse_cm|1025ICCL26-NT</stp>
        <stp>Prev Close</stp>
        <tr r="P771" s="1"/>
      </tp>
      <tp>
        <v>1067.2</v>
        <stp/>
        <stp>bse_cm|MFL26C</stp>
        <stp xml:space="preserve">Low </stp>
        <tr r="O1669" s="1"/>
      </tp>
      <tp>
        <v>1200</v>
        <stp/>
        <stp>bse_cm|MFL26B</stp>
        <stp xml:space="preserve">Low </stp>
        <tr r="O1280" s="1"/>
      </tp>
      <tp t="s">
        <v>BSE</v>
        <stp/>
        <stp>bse_cm|93SCFL25</stp>
        <stp>Exchange</stp>
        <tr r="C980" s="1"/>
      </tp>
      <tp>
        <v>2398.9899999999998</v>
        <stp/>
        <stp>nse_cm|NIDOZC26-N7</stp>
        <stp>Ask Rate</stp>
        <tr r="F28" s="1"/>
      </tp>
      <tp t="s">
        <v>BSE</v>
        <stp/>
        <stp>bse_cm|0MML29</stp>
        <stp>Exchange</stp>
        <tr r="C1041" s="1"/>
      </tp>
      <tp>
        <v>1015</v>
        <stp/>
        <stp>bse_cm|KFL30A</stp>
        <stp xml:space="preserve">Low </stp>
        <tr r="O1592" s="1"/>
      </tp>
      <tp>
        <v>1075</v>
        <stp/>
        <stp>bse_cm|MFL26A</stp>
        <stp xml:space="preserve">Low </stp>
        <tr r="O1557" s="1"/>
      </tp>
      <tp>
        <v>1041.0999999999999</v>
        <stp/>
        <stp>nse_cm|850CIFCL26-NE</stp>
        <stp>Prev Close</stp>
        <tr r="P450" s="1"/>
      </tp>
      <tp t="s">
        <v>BSE</v>
        <stp/>
        <stp>bse_cm|EFSLZC28</stp>
        <stp>Exchange</stp>
        <tr r="C1637" s="1"/>
      </tp>
      <tp>
        <v>1000</v>
        <stp/>
        <stp>bse_cm|NIDO010326</stp>
        <stp>Face Value</stp>
        <tr r="Q1248" s="1"/>
      </tp>
      <tp>
        <v>1000</v>
        <stp/>
        <stp>bse_cm|NIDO010327</stp>
        <stp>Face Value</stp>
        <tr r="Q1247" s="1"/>
      </tp>
      <tp>
        <v>1000</v>
        <stp/>
        <stp>bse_cm|NIDO010329</stp>
        <stp>Face Value</stp>
        <tr r="Q1246" s="1"/>
      </tp>
      <tp>
        <v>1000</v>
        <stp/>
        <stp>bse_cm|1003NIDO29</stp>
        <stp>Face Value</stp>
        <tr r="Q679" s="1"/>
      </tp>
      <tp>
        <v>830</v>
        <stp/>
        <stp>nse_cm|87SCL27-Z6</stp>
        <stp>Prev Close</stp>
        <tr r="P950" s="1"/>
      </tp>
      <tp>
        <v>1113.3599999999999</v>
        <stp/>
        <stp>nse_cm|98SCL27-ZX</stp>
        <stp>Prev Close</stp>
        <tr r="P1378" s="1"/>
      </tp>
      <tp>
        <v>973.6</v>
        <stp/>
        <stp>nse_cm|99SCL27-ZH</stp>
        <stp>Prev Close</stp>
        <tr r="P1168" s="1"/>
      </tp>
      <tp>
        <v>1000</v>
        <stp/>
        <stp>nse_cm|94SCL27-ZG</stp>
        <stp>Prev Close</stp>
        <tr r="P1151" s="1"/>
      </tp>
      <tp>
        <v>-100</v>
        <stp/>
        <stp>bse_cm|975JMFCS28</stp>
        <stp>% Change</stp>
        <tr r="J275" s="1"/>
      </tp>
      <tp>
        <v>-100</v>
        <stp/>
        <stp>bse_cm|1010EFSL28</stp>
        <stp>% Change</stp>
        <tr r="J663" s="1"/>
      </tp>
      <tp>
        <v>0</v>
        <stp/>
        <stp>nse_cm|734IRFC28-N4</stp>
        <stp>% Change</stp>
        <tr r="J455" s="1"/>
      </tp>
      <tp>
        <v>900.01</v>
        <stp/>
        <stp>bse_cm|10MMFL27</stp>
        <stp>Bid Rate</stp>
        <tr r="E1090" s="1"/>
      </tp>
      <tp t="s">
        <v>INE148I07RJ4</v>
        <stp/>
        <stp>nse_cm|948SCL26B-Y8</stp>
        <stp>Isin code</stp>
        <tr r="R159" s="1"/>
      </tp>
      <tp>
        <v>1000</v>
        <stp/>
        <stp>bse_cm|1025SCFL34</stp>
        <stp>Face Value</stp>
        <tr r="Q1025" s="1"/>
      </tp>
      <tp t="e">
        <v>#N/A</v>
        <stp/>
        <stp>bse_cm|1025MHFL24</stp>
        <stp>Face Value</stp>
        <tr r="Q29" s="1"/>
      </tp>
      <tp>
        <v>1000</v>
        <stp/>
        <stp>bse_cm|1025MMFL26</stp>
        <stp>Face Value</stp>
        <tr r="Q320" s="1"/>
      </tp>
      <tp>
        <v>-100</v>
        <stp/>
        <stp>bse_cm|1050EFSL29</stp>
        <stp>% Change</stp>
        <tr r="J1484" s="1"/>
      </tp>
      <tp>
        <v>1000</v>
        <stp/>
        <stp>bse_cm|1025NWFL30</stp>
        <stp>Face Value</stp>
        <tr r="Q1026" s="1"/>
      </tp>
      <tp>
        <v>1000</v>
        <stp/>
        <stp>bse_cm|1025NWFL25</stp>
        <stp>Face Value</stp>
        <tr r="Q154" s="1"/>
      </tp>
      <tp>
        <v>-100</v>
        <stp/>
        <stp>bse_cm|1010EFSL29</stp>
        <stp>% Change</stp>
        <tr r="J1459" s="1"/>
      </tp>
      <tp>
        <v>-4.8</v>
        <stp/>
        <stp>bse_cm|1004EFSL29</stp>
        <stp>% Change</stp>
        <tr r="J1586" s="1"/>
      </tp>
      <tp>
        <v>1000</v>
        <stp/>
        <stp>bse_cm|1025KAFL25</stp>
        <stp>Face Value</stp>
        <tr r="Q770" s="1"/>
      </tp>
      <tp>
        <v>1000</v>
        <stp/>
        <stp>bse_cm|1025KAFL27</stp>
        <stp>Face Value</stp>
        <tr r="Q769" s="1"/>
      </tp>
      <tp>
        <v>1000</v>
        <stp/>
        <stp>bse_cm|1125KAFL27</stp>
        <stp>Face Value</stp>
        <tr r="Q1228" s="1"/>
      </tp>
      <tp>
        <v>1089</v>
        <stp/>
        <stp>bse_cm|MFL26Z</stp>
        <stp xml:space="preserve">Low </stp>
        <tr r="O1655" s="1"/>
      </tp>
      <tp>
        <v>1000</v>
        <stp/>
        <stp>bse_cm|CIF29</stp>
        <stp>Prev Close</stp>
        <tr r="P744" s="1"/>
      </tp>
      <tp>
        <v>1000</v>
        <stp/>
        <stp>bse_cm|CIF27</stp>
        <stp>Prev Close</stp>
        <tr r="P745" s="1"/>
      </tp>
      <tp>
        <v>-100</v>
        <stp/>
        <stp>bse_cm|935MMFSL29</stp>
        <stp>% Change</stp>
        <tr r="J1174" s="1"/>
      </tp>
      <tp>
        <v>1175</v>
        <stp/>
        <stp>nse_cm|846REC28-N6</stp>
        <stp xml:space="preserve">Low </stp>
        <tr r="O548" s="1"/>
      </tp>
      <tp>
        <v>1000</v>
        <stp/>
        <stp>bse_cm|1026NHFL34</stp>
        <stp>Face Value</stp>
        <tr r="Q155" s="1"/>
      </tp>
      <tp>
        <v>-100</v>
        <stp/>
        <stp>bse_cm|934JMFCS28</stp>
        <stp>% Change</stp>
        <tr r="J325" s="1"/>
      </tp>
      <tp>
        <v>1000</v>
        <stp/>
        <stp>bse_cm|948ICCL25A</stp>
        <stp>Face Value</stp>
        <tr r="Q1398" s="1"/>
      </tp>
      <tp>
        <v>180</v>
        <stp/>
        <stp>bse_cm|MFLVI26</stp>
        <stp>Bid Qty</stp>
        <tr r="D1719" s="1"/>
      </tp>
      <tp>
        <v>180</v>
        <stp/>
        <stp>bse_cm|MFLII26</stp>
        <stp>Bid Qty</stp>
        <tr r="D390" s="1"/>
      </tp>
      <tp>
        <v>1000</v>
        <stp/>
        <stp>bse_cm|948IFSL25B</stp>
        <stp>Face Value</stp>
        <tr r="Q599" s="1"/>
      </tp>
      <tp>
        <v>180</v>
        <stp/>
        <stp>bse_cm|MFLII27</stp>
        <stp>Bid Qty</stp>
        <tr r="D648" s="1"/>
      </tp>
      <tp>
        <v>180</v>
        <stp/>
        <stp>bse_cm|MFLVI25</stp>
        <stp>Bid Qty</stp>
        <tr r="D1707" s="1"/>
      </tp>
      <tp>
        <v>1000</v>
        <stp/>
        <stp>bse_cm|888IHFL25C</stp>
        <stp>Face Value</stp>
        <tr r="Q1058" s="1"/>
      </tp>
      <tp>
        <v>1000</v>
        <stp/>
        <stp>bse_cm|888IHFL25F</stp>
        <stp>Face Value</stp>
        <tr r="Q693" s="1"/>
      </tp>
      <tp>
        <v>971</v>
        <stp/>
        <stp>nse_cm|91SFL27-ZI</stp>
        <stp>Prev Close</stp>
        <tr r="P533" s="1"/>
      </tp>
      <tp>
        <v>0</v>
        <stp/>
        <stp>bse_cm|994SMCGS29</stp>
        <stp>% Change</stp>
        <tr r="J221" s="1"/>
      </tp>
      <tp>
        <v>-100</v>
        <stp/>
        <stp>bse_cm|981JMFCS28</stp>
        <stp>% Change</stp>
        <tr r="J295" s="1"/>
      </tp>
      <tp>
        <v>0</v>
        <stp/>
        <stp>bse_cm|KFL26C</stp>
        <stp>High</stp>
        <tr r="N1304" s="1"/>
      </tp>
      <tp>
        <v>5</v>
        <stp/>
        <stp>bse_cm|EFSL26724</stp>
        <stp>Bid Qty</stp>
        <tr r="D1336" s="1"/>
      </tp>
      <tp>
        <v>0</v>
        <stp/>
        <stp>bse_cm|SFL27A</stp>
        <stp>Open</stp>
        <tr r="M804" s="1"/>
      </tp>
      <tp>
        <v>1038</v>
        <stp/>
        <stp>bse_cm|KFL26B</stp>
        <stp>High</stp>
        <tr r="N1305" s="1"/>
      </tp>
      <tp>
        <v>980</v>
        <stp/>
        <stp>nse_cm|SCLZC26E-NP</stp>
        <stp>High</stp>
        <tr r="N899" s="1"/>
      </tp>
      <tp t="s">
        <v>BSE</v>
        <stp/>
        <stp>bse_cm|0SCL27</stp>
        <stp>Exchange</stp>
        <tr r="C721" s="1"/>
      </tp>
      <tp>
        <v>-100</v>
        <stp/>
        <stp>bse_cm|805MMFSL32</stp>
        <stp>% Change</stp>
        <tr r="J401" s="1"/>
      </tp>
      <tp>
        <v>1050</v>
        <stp/>
        <stp>bse_cm|MFL30A</stp>
        <stp>High</stp>
        <tr r="N1370" s="1"/>
      </tp>
      <tp>
        <v>1080</v>
        <stp/>
        <stp>bse_cm|KFL26A</stp>
        <stp>High</stp>
        <tr r="N1372" s="1"/>
      </tp>
      <tp t="s">
        <v>BSE</v>
        <stp/>
        <stp>bse_cm|0SFL26</stp>
        <stp>Exchange</stp>
        <tr r="C703" s="1"/>
      </tp>
      <tp t="s">
        <v>BSE</v>
        <stp/>
        <stp>bse_cm|0SCL26</stp>
        <stp>Exchange</stp>
        <tr r="C1359" s="1"/>
      </tp>
      <tp>
        <v>1034.55</v>
        <stp/>
        <stp>bse_cm|9MMFSL26</stp>
        <stp>Bid Rate</stp>
        <tr r="E334" s="1"/>
      </tp>
      <tp>
        <v>-100</v>
        <stp/>
        <stp>bse_cm|830JMFPL30</stp>
        <stp>% Change</stp>
        <tr r="J251" s="1"/>
      </tp>
      <tp t="s">
        <v>840IRFC29</v>
        <stp/>
        <stp>bse_cm|840IRFC29</stp>
        <stp>Trading Symbol</stp>
        <tr r="B1634" s="1"/>
      </tp>
      <tp t="s">
        <v>739NHAI26</v>
        <stp/>
        <stp>bse_cm|739NHAI26</stp>
        <stp>Trading Symbol</stp>
        <tr r="B442" s="1"/>
      </tp>
      <tp>
        <v>1029</v>
        <stp/>
        <stp>bse_cm|MFL29</stp>
        <stp>High</stp>
        <tr r="N1598" s="1"/>
      </tp>
      <tp>
        <v>0</v>
        <stp/>
        <stp>bse_cm|CIF27</stp>
        <stp>High</stp>
        <tr r="N745" s="1"/>
      </tp>
      <tp>
        <v>1060</v>
        <stp/>
        <stp>bse_cm|MFL28</stp>
        <stp>High</stp>
        <tr r="N1638" s="1"/>
      </tp>
      <tp>
        <v>826.45</v>
        <stp/>
        <stp>bse_cm|MML28</stp>
        <stp>High</stp>
        <tr r="N584" s="1"/>
      </tp>
      <tp>
        <v>1065</v>
        <stp/>
        <stp>bse_cm|KFL29</stp>
        <stp>High</stp>
        <tr r="N1619" s="1"/>
      </tp>
      <tp>
        <v>1071</v>
        <stp/>
        <stp>bse_cm|IML29</stp>
        <stp>High</stp>
        <tr r="N1528" s="1"/>
      </tp>
      <tp>
        <v>895.2</v>
        <stp/>
        <stp>bse_cm|IML28</stp>
        <stp>High</stp>
        <tr r="N1458" s="1"/>
      </tp>
      <tp>
        <v>1424</v>
        <stp/>
        <stp>bse_cm|KFL25</stp>
        <stp>High</stp>
        <tr r="N1309" s="1"/>
      </tp>
      <tp>
        <v>1090</v>
        <stp/>
        <stp>bse_cm|MFL23</stp>
        <stp>High</stp>
        <tr r="N1668" s="1"/>
      </tp>
      <tp>
        <v>1347.54</v>
        <stp/>
        <stp>bse_cm|IML27</stp>
        <stp>High</stp>
        <tr r="N1325" s="1"/>
      </tp>
      <tp>
        <v>1283</v>
        <stp/>
        <stp>nse_cm|866IIFC34B-N3</stp>
        <stp xml:space="preserve">Low </stp>
        <tr r="O25" s="1"/>
      </tp>
      <tp t="s">
        <v>1125CCI27</v>
        <stp/>
        <stp>bse_cm|1125CCI27</stp>
        <stp>Trading Symbol</stp>
        <tr r="B1229" s="1"/>
      </tp>
      <tp t="s">
        <v>967NIDO28</v>
        <stp/>
        <stp>bse_cm|967NIDO28</stp>
        <stp>Trading Symbol</stp>
        <tr r="B227" s="1"/>
      </tp>
      <tp>
        <v>1225</v>
        <stp/>
        <stp>bse_cm|KFL27</stp>
        <stp>High</stp>
        <tr r="N1303" s="1"/>
      </tp>
      <tp>
        <v>1000</v>
        <stp/>
        <stp>bse_cm|IML25</stp>
        <stp>High</stp>
        <tr r="N1326" s="1"/>
      </tp>
      <tp>
        <v>1639.9</v>
        <stp/>
        <stp>nse_cm|858HUDCO29-NC</stp>
        <stp>Ask Rate</stp>
        <tr r="F1636" s="1"/>
      </tp>
      <tp t="s">
        <v>915MFCL27</v>
        <stp/>
        <stp>bse_cm|915MFCL27</stp>
        <stp>Trading Symbol</stp>
        <tr r="B1472" s="1"/>
      </tp>
      <tp t="s">
        <v>715PFCL36</v>
        <stp/>
        <stp>bse_cm|715PFCL36</stp>
        <stp>Trading Symbol</stp>
        <tr r="B437" s="1"/>
      </tp>
      <tp>
        <v>1115</v>
        <stp/>
        <stp>bse_cm|KFL26</stp>
        <stp>High</stp>
        <tr r="N1306" s="1"/>
      </tp>
      <tp t="e">
        <v>#N/A</v>
        <stp/>
        <stp>bse_cm|IML24</stp>
        <stp>High</stp>
        <tr r="N34" s="1"/>
      </tp>
      <tp>
        <v>1110</v>
        <stp/>
        <stp>nse_cm|851HUDCO28-NB</stp>
        <stp>Ask Rate</stp>
        <tr r="F502" s="1"/>
      </tp>
      <tp t="s">
        <v>842IIFL26</v>
        <stp/>
        <stp>bse_cm|842IIFL26</stp>
        <stp>Trading Symbol</stp>
        <tr r="B181" s="1"/>
      </tp>
      <tp>
        <v>1040</v>
        <stp/>
        <stp>bse_cm|MFL27</stp>
        <stp>High</stp>
        <tr r="N1563" s="1"/>
      </tp>
      <tp>
        <v>1000</v>
        <stp/>
        <stp>bse_cm|CIF29</stp>
        <stp>High</stp>
        <tr r="N744" s="1"/>
      </tp>
      <tp t="s">
        <v>IFL19424A</v>
        <stp/>
        <stp>bse_cm|IFL19424A</stp>
        <stp>Trading Symbol</stp>
        <tr r="B1419" s="1"/>
      </tp>
      <tp>
        <v>1337</v>
        <stp/>
        <stp>nse_cm|901HUDCO34-NE</stp>
        <stp>Ask Rate</stp>
        <tr r="F517" s="1"/>
      </tp>
      <tp t="s">
        <v>960NIDO26</v>
        <stp/>
        <stp>bse_cm|960NIDO26</stp>
        <stp>Trading Symbol</stp>
        <tr r="B870" s="1"/>
      </tp>
      <tp t="s">
        <v>843IHFL29</v>
        <stp/>
        <stp>bse_cm|843IHFL29</stp>
        <stp>Trading Symbol</stp>
        <tr r="B139" s="1"/>
      </tp>
      <tp t="s">
        <v>843SCFL27</v>
        <stp/>
        <stp>bse_cm|843SCFL27</stp>
        <stp>Trading Symbol</stp>
        <tr r="B1074" s="1"/>
      </tp>
      <tp>
        <v>1100.69</v>
        <stp/>
        <stp>bse_cm|MFL26</stp>
        <stp>High</stp>
        <tr r="N1666" s="1"/>
      </tp>
      <tp>
        <v>1015</v>
        <stp/>
        <stp>bse_cm|MML26</stp>
        <stp>High</stp>
        <tr r="N1410" s="1"/>
      </tp>
      <tp>
        <v>1124.5</v>
        <stp/>
        <stp>nse_cm|876HUDCO28-ND</stp>
        <stp>Ask Rate</stp>
        <tr r="F509" s="1"/>
      </tp>
      <tp t="s">
        <v>735NHAI31</v>
        <stp/>
        <stp>bse_cm|735NHAI31</stp>
        <stp>Trading Symbol</stp>
        <tr r="B565" s="1"/>
      </tp>
      <tp>
        <v>1800</v>
        <stp/>
        <stp>bse_cm|MFL25</stp>
        <stp>High</stp>
        <tr r="N1733" s="1"/>
      </tp>
      <tp>
        <v>0</v>
        <stp/>
        <stp>bse_cm|MML25</stp>
        <stp>High</stp>
        <tr r="N1253" s="1"/>
      </tp>
      <tp>
        <v>1070.73</v>
        <stp/>
        <stp>bse_cm|MML24</stp>
        <stp>High</stp>
        <tr r="N1740" s="1"/>
      </tp>
      <tp t="s">
        <v>93ARKA25</v>
        <stp/>
        <stp>bse_cm|93ARKA25</stp>
        <stp>Symbol</stp>
        <tr r="A1395" s="1"/>
      </tp>
      <tp t="s">
        <v>93ARKA26</v>
        <stp/>
        <stp>bse_cm|93ARKA26</stp>
        <stp>Symbol</stp>
        <tr r="A981" s="1"/>
      </tp>
      <tp t="s">
        <v>714REC25</v>
        <stp/>
        <stp>bse_cm|714REC25</stp>
        <stp>Symbol</stp>
        <tr r="A518" s="1"/>
      </tp>
      <tp t="s">
        <v>718REC35</v>
        <stp/>
        <stp>bse_cm|718REC35</stp>
        <stp>Symbol</stp>
        <tr r="A549" s="1"/>
      </tp>
      <tp>
        <v>1170.25</v>
        <stp/>
        <stp>bse_cm|SCL25</stp>
        <stp>High</stp>
        <tr r="N1234" s="1"/>
      </tp>
      <tp>
        <v>1467.13</v>
        <stp/>
        <stp>bse_cm|SFL25</stp>
        <stp>High</stp>
        <tr r="N813" s="1"/>
      </tp>
      <tp>
        <v>1017</v>
        <stp/>
        <stp>nse_cm|1050ISFL28-N5</stp>
        <stp>High</stp>
        <tr r="N1591" s="1"/>
      </tp>
      <tp t="s">
        <v>709REC30</v>
        <stp/>
        <stp>bse_cm|709REC30</stp>
        <stp>Symbol</stp>
        <tr r="A564" s="1"/>
      </tp>
      <tp>
        <v>1087.8</v>
        <stp/>
        <stp>bse_cm|SCL24</stp>
        <stp>High</stp>
        <tr r="N1377" s="1"/>
      </tp>
      <tp t="s">
        <v>734REC30</v>
        <stp/>
        <stp>bse_cm|734REC30</stp>
        <stp>Symbol</stp>
        <tr r="A524" s="1"/>
      </tp>
      <tp>
        <v>1000</v>
        <stp/>
        <stp>bse_cm|SFL27</stp>
        <stp>High</stp>
        <tr r="N809" s="1"/>
      </tp>
      <tp>
        <v>1025</v>
        <stp/>
        <stp>bse_cm|SFL26</stp>
        <stp>High</stp>
        <tr r="N811" s="1"/>
      </tp>
      <tp t="s">
        <v>743REC35</v>
        <stp/>
        <stp>bse_cm|743REC35</stp>
        <stp>Symbol</stp>
        <tr r="A513" s="1"/>
      </tp>
      <tp>
        <v>0</v>
        <stp/>
        <stp>bse_cm|SCL22</stp>
        <stp>High</stp>
        <tr r="N1239" s="1"/>
      </tp>
      <tp t="s">
        <v>866IIFC34B</v>
        <stp/>
        <stp>nse_cm|866IIFC34B-N3</stp>
        <stp>Symbol</stp>
        <tr r="A25" s="1"/>
      </tp>
      <tp t="s">
        <v>1075SCL33A</v>
        <stp/>
        <stp>nse_cm|1075SCL33A-N2</stp>
        <stp>Symbol</stp>
        <tr r="A630" s="1"/>
      </tp>
      <tp t="s">
        <v>INE530L07830</v>
        <stp/>
        <stp>bse_cm|0NHFL29</stp>
        <stp>Isin code</stp>
        <tr r="R1035" s="1"/>
      </tp>
      <tp t="s">
        <v>INE530B07377</v>
        <stp/>
        <stp>bse_cm|9IIFL28</stp>
        <stp>Isin code</stp>
        <tr r="R126" s="1"/>
      </tp>
      <tp>
        <v>0</v>
        <stp/>
        <stp>bse_cm|960IIFLS26</stp>
        <stp>ATP</stp>
        <tr r="K872" s="1"/>
      </tp>
      <tp>
        <v>0</v>
        <stp/>
        <stp>bse_cm|957IIFLS27</stp>
        <stp>ATP</stp>
        <tr r="K687" s="1"/>
      </tp>
      <tp>
        <v>0</v>
        <stp/>
        <stp>bse_cm|920IIFLS26</stp>
        <stp>ATP</stp>
        <tr r="K613" s="1"/>
      </tp>
      <tp t="s">
        <v>SCL310524A</v>
        <stp/>
        <stp>nse_cm|SCL310524A-ZK</stp>
        <stp>Symbol</stp>
        <tr r="A1445" s="1"/>
      </tp>
      <tp t="s">
        <v>INE219X07223</v>
        <stp/>
        <stp>bse_cm|79IGT28</stp>
        <stp>Isin code</stp>
        <tr r="R1183" s="1"/>
      </tp>
      <tp t="s">
        <v>INE219X07215</v>
        <stp/>
        <stp>bse_cm|77IGT28</stp>
        <stp>Isin code</stp>
        <tr r="R1191" s="1"/>
      </tp>
      <tp t="s">
        <v>1025SCL33A</v>
        <stp/>
        <stp>nse_cm|1025SCL33A-N1</stp>
        <stp>Symbol</stp>
        <tr r="A834" s="1"/>
      </tp>
      <tp t="s">
        <v>1025SCL34A</v>
        <stp/>
        <stp>nse_cm|1025SCL34A-ZT</stp>
        <stp>Symbol</stp>
        <tr r="A171" s="1"/>
      </tp>
      <tp>
        <v>1068.49</v>
        <stp/>
        <stp>nse_cm|885TCAPS29-NC</stp>
        <stp>Ask Rate</stp>
        <tr r="F13" s="1"/>
      </tp>
      <tp>
        <v>0</v>
        <stp/>
        <stp>bse_cm|SFL28</stp>
        <stp>High</stp>
        <tr r="N803" s="1"/>
      </tp>
      <tp>
        <v>0</v>
        <stp/>
        <stp>nse_cm|875TCAPS29-NB</stp>
        <stp>Ask Rate</stp>
        <tr r="F934" s="1"/>
      </tp>
      <tp t="s">
        <v>INE306N08334</v>
        <stp/>
        <stp>nse_cm|875TCAPS29-NB</stp>
        <stp>Isin code</stp>
        <tr r="R934" s="1"/>
      </tp>
      <tp t="s">
        <v>1003SCL30A</v>
        <stp/>
        <stp>nse_cm|1003SCL30A-NV</stp>
        <stp>Symbol</stp>
        <tr r="A728" s="1"/>
      </tp>
      <tp t="s">
        <v>10MFCL30</v>
        <stp/>
        <stp>bse_cm|10MFCL30</stp>
        <stp>Symbol</stp>
        <tr r="A1091" s="1"/>
      </tp>
      <tp t="s">
        <v>104ECL24</v>
        <stp/>
        <stp>bse_cm|104ECL24</stp>
        <stp>Symbol</stp>
        <tr r="A38" s="1"/>
      </tp>
      <tp t="s">
        <v>104ECL29</v>
        <stp/>
        <stp>bse_cm|104ECL29</stp>
        <stp>Symbol</stp>
        <tr r="A149" s="1"/>
      </tp>
      <tp t="s">
        <v>1015SCL28A</v>
        <stp/>
        <stp>nse_cm|1015SCL28A-AL</stp>
        <stp>Symbol</stp>
        <tr r="A1443" s="1"/>
      </tp>
      <tp>
        <v>980</v>
        <stp/>
        <stp>nse_cm|1050IIFL29-ND</stp>
        <stp>High</stp>
        <tr r="N585" s="1"/>
      </tp>
      <tp t="s">
        <v>INE244L07275</v>
        <stp/>
        <stp>nse_cm|925ICCL24A-NE</stp>
        <stp>Isin code</stp>
        <tr r="R1393" s="1"/>
      </tp>
      <tp>
        <v>1029.8699999999999</v>
        <stp/>
        <stp>nse_cm|865TCAPS27-N8</stp>
        <stp>Ask Rate</stp>
        <tr r="F376" s="1"/>
      </tp>
      <tp>
        <v>0</v>
        <stp/>
        <stp>nse_cm|855TCAPS27-N7</stp>
        <stp>Ask Rate</stp>
        <tr r="F1003" s="1"/>
      </tp>
      <tp>
        <v>999.32</v>
        <stp/>
        <stp>nse_cm|1030ICCL28-NM</stp>
        <stp>High</stp>
        <tr r="N1596" s="1"/>
      </tp>
      <tp>
        <v>965</v>
        <stp/>
        <stp>nse_cm|105UCL2026-NB</stp>
        <stp>Open</stp>
        <tr r="M130" s="1"/>
      </tp>
      <tp>
        <v>0</v>
        <stp/>
        <stp>nse_cm|9SCL25-YM</stp>
        <stp>% Change</stp>
        <tr r="J97" s="1"/>
      </tp>
      <tp t="s">
        <v>NSE</v>
        <stp/>
        <stp>nse_cm|AEL120924B-N8</stp>
        <stp>Exchange</stp>
        <tr r="C1640" s="1"/>
      </tp>
      <tp>
        <v>0</v>
        <stp/>
        <stp>nse_cm|1050ICCL28-NV</stp>
        <stp>High</stp>
        <tr r="N764" s="1"/>
      </tp>
      <tp>
        <v>1104.99</v>
        <stp/>
        <stp>nse_cm|751HUDCO28-N5</stp>
        <stp>Ask Rate</stp>
        <tr r="F492" s="1"/>
      </tp>
      <tp>
        <v>0</v>
        <stp/>
        <stp>nse_cm|738REC27TF-N2</stp>
        <stp>Open</stp>
        <tr r="M514" s="1"/>
      </tp>
      <tp>
        <v>0</v>
        <stp/>
        <stp>nse_cm|0SCL26-YR</stp>
        <stp>% Change</stp>
        <tr r="J1622" s="1"/>
      </tp>
      <tp>
        <v>0</v>
        <stp/>
        <stp>nse_cm|0SCL27-YW</stp>
        <stp>% Change</stp>
        <tr r="J1616" s="1"/>
      </tp>
      <tp t="s">
        <v>NSE</v>
        <stp/>
        <stp>nse_cm|AEL120924A-N5</stp>
        <stp>Exchange</stp>
        <tr r="C1555" s="1"/>
      </tp>
      <tp>
        <v>0</v>
        <stp/>
        <stp>bse_cm|825MFL27</stp>
        <stp>Open</stp>
        <tr r="M344" s="1"/>
      </tp>
      <tp>
        <v>0</v>
        <stp/>
        <stp>bse_cm|915MFL27</stp>
        <stp>Open</stp>
        <tr r="M614" s="1"/>
      </tp>
      <tp>
        <v>0</v>
        <stp/>
        <stp>bse_cm|775MFL27</stp>
        <stp>Open</stp>
        <tr r="M694" s="1"/>
      </tp>
      <tp>
        <v>0</v>
        <stp/>
        <stp>bse_cm|865LTF26</stp>
        <stp>Open</stp>
        <tr r="M391" s="1"/>
      </tp>
      <tp>
        <v>0</v>
        <stp/>
        <stp>bse_cm|875MFL26</stp>
        <stp>Open</stp>
        <tr r="M161" s="1"/>
      </tp>
      <tp>
        <v>0</v>
        <stp/>
        <stp>bse_cm|835MFL26</stp>
        <stp>Open</stp>
        <tr r="M169" s="1"/>
      </tp>
      <tp>
        <v>0</v>
        <stp/>
        <stp>bse_cm|825MFL26</stp>
        <stp>Open</stp>
        <tr r="M418" s="1"/>
      </tp>
      <tp>
        <v>0</v>
        <stp/>
        <stp>bse_cm|975NFL25</stp>
        <stp>Open</stp>
        <tr r="M623" s="1"/>
      </tp>
      <tp>
        <v>0</v>
        <stp/>
        <stp>bse_cm|925MFL26</stp>
        <stp>Open</stp>
        <tr r="M230" s="1"/>
      </tp>
      <tp>
        <v>975.2</v>
        <stp/>
        <stp>bse_cm|775MFL26</stp>
        <stp>Open</stp>
        <tr r="M328" s="1"/>
      </tp>
      <tp>
        <v>0</v>
        <stp/>
        <stp>bse_cm|944ONE34</stp>
        <stp>Open</stp>
        <tr r="M269" s="1"/>
      </tp>
      <tp>
        <v>0</v>
        <stp/>
        <stp>bse_cm|885LTF27</stp>
        <stp>Open</stp>
        <tr r="M1008" s="1"/>
      </tp>
      <tp>
        <v>0</v>
        <stp/>
        <stp>bse_cm|905LTF27</stp>
        <stp>Open</stp>
        <tr r="M394" s="1"/>
      </tp>
      <tp>
        <v>1000</v>
        <stp/>
        <stp>bse_cm|975KLMAF26</stp>
        <stp>Face Value</stp>
        <tr r="Q857" s="1"/>
      </tp>
      <tp>
        <v>1000</v>
        <stp/>
        <stp>bse_cm|925KLMAF25</stp>
        <stp>Face Value</stp>
        <tr r="Q612" s="1"/>
      </tp>
      <tp>
        <v>0</v>
        <stp/>
        <stp>bse_cm|105MML25</stp>
        <stp>Open</stp>
        <tr r="M1170" s="1"/>
      </tp>
      <tp>
        <v>0</v>
        <stp/>
        <stp>bse_cm|825MFL25</stp>
        <stp>Open</stp>
        <tr r="M596" s="1"/>
      </tp>
      <tp>
        <v>0</v>
        <stp/>
        <stp>bse_cm|975MFL25</stp>
        <stp>Open</stp>
        <tr r="M855" s="1"/>
      </tp>
      <tp>
        <v>971.8</v>
        <stp/>
        <stp>bse_cm|915MFL25</stp>
        <stp>Open</stp>
        <tr r="M105" s="1"/>
      </tp>
      <tp>
        <v>0</v>
        <stp/>
        <stp>bse_cm|925MFL25</stp>
        <stp>Open</stp>
        <tr r="M1466" s="1"/>
      </tp>
      <tp>
        <v>0</v>
        <stp/>
        <stp>bse_cm|775MFL25</stp>
        <stp>Open</stp>
        <tr r="M1369" s="1"/>
      </tp>
      <tp>
        <v>0</v>
        <stp/>
        <stp>bse_cm|735MFL25</stp>
        <stp>Open</stp>
        <tr r="M308" s="1"/>
      </tp>
      <tp>
        <v>0</v>
        <stp/>
        <stp>bse_cm|975MML25</stp>
        <stp>Open</stp>
        <tr r="M852" s="1"/>
      </tp>
      <tp>
        <v>0</v>
        <stp/>
        <stp>bse_cm|965MML25</stp>
        <stp>Open</stp>
        <tr r="M1107" s="1"/>
      </tp>
      <tp>
        <v>0</v>
        <stp/>
        <stp>bse_cm|955ONE27</stp>
        <stp>Open</stp>
        <tr r="M1129" s="1"/>
      </tp>
      <tp>
        <v>0</v>
        <stp/>
        <stp>bse_cm|845LTF24</stp>
        <stp>Open</stp>
        <tr r="M943" s="1"/>
      </tp>
      <tp>
        <v>0</v>
        <stp/>
        <stp>bse_cm|815LTF24</stp>
        <stp>Open</stp>
        <tr r="M1167" s="1"/>
      </tp>
      <tp>
        <v>901.7</v>
        <stp/>
        <stp>bse_cm|12IML26A</stp>
        <stp>Bid Rate</stp>
        <tr r="E1212" s="1"/>
      </tp>
      <tp>
        <v>0</v>
        <stp/>
        <stp>bse_cm|725MFL24</stp>
        <stp>Open</stp>
        <tr r="M446" s="1"/>
      </tp>
      <tp>
        <v>0</v>
        <stp/>
        <stp>bse_cm|935ONE26</stp>
        <stp>Open</stp>
        <tr r="M1173" s="1"/>
      </tp>
      <tp>
        <v>0</v>
        <stp/>
        <stp>bse_cm|875KFL25</stp>
        <stp>Open</stp>
        <tr r="M50" s="1"/>
      </tp>
      <tp>
        <v>0</v>
        <stp/>
        <stp>bse_cm|825KFL25</stp>
        <stp>Open</stp>
        <tr r="M252" s="1"/>
      </tp>
      <tp>
        <v>0</v>
        <stp/>
        <stp>bse_cm|975KLM25</stp>
        <stp>Open</stp>
        <tr r="M858" s="1"/>
      </tp>
      <tp>
        <v>1040</v>
        <stp/>
        <stp>nse_cm|930SFL28-YP</stp>
        <stp>Open</stp>
        <tr r="M6" s="1"/>
      </tp>
      <tp>
        <v>0</v>
        <stp/>
        <stp>bse_cm|745IGT26</stp>
        <stp>Open</stp>
        <tr r="M1202" s="1"/>
      </tp>
      <tp>
        <v>0</v>
        <stp/>
        <stp>bse_cm|975IML26</stp>
        <stp>Open</stp>
        <tr r="M646" s="1"/>
      </tp>
      <tp>
        <v>0</v>
        <stp/>
        <stp>nse_cm|905SCL25-ZT</stp>
        <stp>Open</stp>
        <tr r="M977" s="1"/>
      </tp>
      <tp>
        <v>890</v>
        <stp/>
        <stp>bse_cm|995ECL29</stp>
        <stp>Open</stp>
        <tr r="M198" s="1"/>
      </tp>
      <tp>
        <v>35</v>
        <stp/>
        <stp>nse_cm|980IFSL25-N5</stp>
        <stp>Ask Qty</stp>
        <tr r="G476" s="1"/>
      </tp>
      <tp>
        <v>0</v>
        <stp/>
        <stp>bse_cm|835IFL25</stp>
        <stp>Open</stp>
        <tr r="M668" s="1"/>
      </tp>
      <tp>
        <v>0</v>
        <stp/>
        <stp>bse_cm|925KFL27</stp>
        <stp>Open</stp>
        <tr r="M313" s="1"/>
      </tp>
      <tp>
        <v>0</v>
        <stp/>
        <stp>bse_cm|97SFL26A</stp>
        <stp>Ask Rate</stp>
        <tr r="F1089" s="1"/>
      </tp>
      <tp>
        <v>0</v>
        <stp/>
        <stp>bse_cm|985ECL28</stp>
        <stp>Open</stp>
        <tr r="M56" s="1"/>
      </tp>
      <tp>
        <v>0</v>
        <stp/>
        <stp>bse_cm|875KFL26</stp>
        <stp>Open</stp>
        <tr r="M1156" s="1"/>
      </tp>
      <tp>
        <v>0</v>
        <stp/>
        <stp>bse_cm|925KFL26</stp>
        <stp>Open</stp>
        <tr r="M775" s="1"/>
      </tp>
      <tp>
        <v>0</v>
        <stp/>
        <stp>nse_cm|815LTF24-NK</stp>
        <stp xml:space="preserve">Low </stp>
        <tr r="O1693" s="1"/>
      </tp>
      <tp>
        <v>-100</v>
        <stp/>
        <stp>bse_cm|CCI110324A</stp>
        <stp>% Change</stp>
        <tr r="J1590" s="1"/>
      </tp>
      <tp>
        <v>0</v>
        <stp/>
        <stp>bse_cm|895EFS25</stp>
        <stp>Open</stp>
        <tr r="M730" s="1"/>
      </tp>
      <tp>
        <v>998</v>
        <stp/>
        <stp>bse_cm|995ECL24</stp>
        <stp>Open</stp>
        <tr r="M427" s="1"/>
      </tp>
      <tp>
        <v>0</v>
        <stp/>
        <stp>bse_cm|865IFL28</stp>
        <stp>Open</stp>
        <tr r="M115" s="1"/>
      </tp>
      <tp>
        <v>1000</v>
        <stp/>
        <stp>bse_cm|727HUDCO26</stp>
        <stp>Face Value</stp>
        <tr r="Q481" s="1"/>
      </tp>
      <tp>
        <v>1000</v>
        <stp/>
        <stp>bse_cm|1025MMF26A</stp>
        <stp>Face Value</stp>
        <tr r="Q290" s="1"/>
      </tp>
      <tp>
        <v>0</v>
        <stp/>
        <stp>nse_cm|815LTF27-NO</stp>
        <stp xml:space="preserve">Low </stp>
        <tr r="O1001" s="1"/>
      </tp>
      <tp>
        <v>0</v>
        <stp/>
        <stp>bse_cm|965AEL27</stp>
        <stp>Open</stp>
        <tr r="M370" s="1"/>
      </tp>
      <tp>
        <v>-100</v>
        <stp/>
        <stp>bse_cm|CCIL14824A</stp>
        <stp>% Change</stp>
        <tr r="J590" s="1"/>
      </tp>
      <tp>
        <v>965.5</v>
        <stp/>
        <stp>bse_cm|10KFL24D</stp>
        <stp>Bid Rate</stp>
        <tr r="E1424" s="1"/>
      </tp>
      <tp>
        <v>1000.5</v>
        <stp/>
        <stp>bse_cm|925AEL26</stp>
        <stp>Open</stp>
        <tr r="M335" s="1"/>
      </tp>
      <tp>
        <v>836</v>
        <stp/>
        <stp>bse_cm|825MFL29</stp>
        <stp>Open</stp>
        <tr r="M473" s="1"/>
      </tp>
      <tp>
        <v>-100</v>
        <stp/>
        <stp>bse_cm|CCIL14824C</stp>
        <stp>% Change</stp>
        <tr r="J751" s="1"/>
      </tp>
      <tp>
        <v>0</v>
        <stp/>
        <stp>bse_cm|975MFL29</stp>
        <stp>Open</stp>
        <tr r="M683" s="1"/>
      </tp>
      <tp>
        <v>0</v>
        <stp/>
        <stp>bse_cm|935MFL29</stp>
        <stp>Open</stp>
        <tr r="M238" s="1"/>
      </tp>
      <tp>
        <v>1000</v>
        <stp/>
        <stp>bse_cm|KFL070824B</stp>
        <stp>Face Value</stp>
        <tr r="Q1312" s="1"/>
      </tp>
      <tp>
        <v>1000</v>
        <stp/>
        <stp>bse_cm|KFL070824C</stp>
        <stp>Face Value</stp>
        <tr r="Q1311" s="1"/>
      </tp>
      <tp>
        <v>1000</v>
        <stp/>
        <stp>bse_cm|KFL070824A</stp>
        <stp>Face Value</stp>
        <tr r="Q1313" s="1"/>
      </tp>
      <tp>
        <v>1000</v>
        <stp/>
        <stp>bse_cm|KFL070824D</stp>
        <stp>Face Value</stp>
        <tr r="Q1310" s="1"/>
      </tp>
      <tp>
        <v>-0.23</v>
        <stp/>
        <stp>nse_cm|764IRFC31-NO</stp>
        <stp>% Change</stp>
        <tr r="J468" s="1"/>
      </tp>
      <tp>
        <v>0</v>
        <stp/>
        <stp>bse_cm|875MFL28</stp>
        <stp>Open</stp>
        <tr r="M689" s="1"/>
      </tp>
      <tp>
        <v>-100</v>
        <stp/>
        <stp>bse_cm|CCIL14824B</stp>
        <stp>% Change</stp>
        <tr r="J752" s="1"/>
      </tp>
      <tp>
        <v>0</v>
        <stp/>
        <stp>bse_cm|915MFL28</stp>
        <stp>Open</stp>
        <tr r="M283" s="1"/>
      </tp>
      <tp>
        <v>0</v>
        <stp/>
        <stp>bse_cm|905MFL28</stp>
        <stp>Open</stp>
        <tr r="M207" s="1"/>
      </tp>
      <tp>
        <v>0</v>
        <stp/>
        <stp>bse_cm|785MFL28</stp>
        <stp>Open</stp>
        <tr r="M439" s="1"/>
      </tp>
      <tp>
        <v>0</v>
        <stp/>
        <stp>bse_cm|935LTF29</stp>
        <stp>Open</stp>
        <tr r="M396" s="1"/>
      </tp>
      <tp>
        <v>0</v>
        <stp/>
        <stp>bse_cm|965SCL29</stp>
        <stp>Open</stp>
        <tr r="M816" s="1"/>
      </tp>
      <tp>
        <v>0</v>
        <stp/>
        <stp>bse_cm|925SCL29</stp>
        <stp>Open</stp>
        <tr r="M820" s="1"/>
      </tp>
      <tp>
        <v>1000</v>
        <stp/>
        <stp>bse_cm|735NABAR31</stp>
        <stp>Face Value</stp>
        <tr r="Q14" s="1"/>
      </tp>
      <tp>
        <v>1054</v>
        <stp/>
        <stp>nse_cm|CIFCZC28-NH</stp>
        <stp>Ask Rate</stp>
        <tr r="F1607" s="1"/>
      </tp>
      <tp>
        <v>0</v>
        <stp/>
        <stp>bse_cm|975SCL28</stp>
        <stp>Open</stp>
        <tr r="M1485" s="1"/>
      </tp>
      <tp>
        <v>0</v>
        <stp/>
        <stp>bse_cm|965SCL28</stp>
        <stp>Open</stp>
        <tr r="M1138" s="1"/>
      </tp>
      <tp>
        <v>0</v>
        <stp/>
        <stp>bse_cm|935SCL28</stp>
        <stp>Open</stp>
        <tr r="M284" s="1"/>
      </tp>
      <tp>
        <v>0</v>
        <stp/>
        <stp>bse_cm|925SCL28</stp>
        <stp>Open</stp>
        <tr r="M940" s="1"/>
      </tp>
      <tp>
        <v>0</v>
        <stp/>
        <stp>nse_cm|813LTF29-NP</stp>
        <stp xml:space="preserve">Low </stp>
        <tr r="O1000" s="1"/>
      </tp>
      <tp>
        <v>1398</v>
        <stp/>
        <stp>nse_cm|IIFLZC26-NN</stp>
        <stp>Ask Rate</stp>
        <tr r="F1696" s="1"/>
      </tp>
      <tp>
        <v>0</v>
        <stp/>
        <stp>bse_cm|734REC30</stp>
        <stp>Open</stp>
        <tr r="M524" s="1"/>
      </tp>
      <tp>
        <v>1</v>
        <stp/>
        <stp>bse_cm|EFS290424</stp>
        <stp>Ask Qty</stp>
        <tr r="G570" s="1"/>
      </tp>
      <tp>
        <v>0</v>
        <stp/>
        <stp>bse_cm|965VCL25</stp>
        <stp>Open</stp>
        <tr r="M1543" s="1"/>
      </tp>
      <tp t="s">
        <v>94IFCI25-NL</v>
        <stp/>
        <stp>nse_cm|94IFCI25-NL</stp>
        <stp>Trading Symbol</stp>
        <tr r="B235" s="1"/>
      </tp>
      <tp>
        <v>1019.99</v>
        <stp/>
        <stp>nse_cm|81TCHF28-N8</stp>
        <stp xml:space="preserve">Low </stp>
        <tr r="O467" s="1"/>
      </tp>
      <tp>
        <v>0</v>
        <stp/>
        <stp>bse_cm|955SCL25</stp>
        <stp>Open</stp>
        <tr r="M1128" s="1"/>
      </tp>
      <tp>
        <v>0</v>
        <stp/>
        <stp>bse_cm|965SCL25</stp>
        <stp>Open</stp>
        <tr r="M1105" s="1"/>
      </tp>
      <tp>
        <v>0</v>
        <stp/>
        <stp>bse_cm|905SCL25</stp>
        <stp>Open</stp>
        <tr r="M1060" s="1"/>
      </tp>
      <tp>
        <v>0</v>
        <stp/>
        <stp>bse_cm|925SCL25</stp>
        <stp>Open</stp>
        <tr r="M104" s="1"/>
      </tp>
      <tp>
        <v>0</v>
        <stp/>
        <stp>bse_cm|905PEL26</stp>
        <stp>Open</stp>
        <tr r="M1518" s="1"/>
      </tp>
      <tp>
        <v>0</v>
        <stp/>
        <stp>bse_cm|875SFL25</stp>
        <stp>Open</stp>
        <tr r="M936" s="1"/>
      </tp>
      <tp>
        <v>0</v>
        <stp/>
        <stp>nse_cm|CIFCZC25-ND</stp>
        <stp>Ask Rate</stp>
        <tr r="F1435" s="1"/>
      </tp>
      <tp>
        <v>1650</v>
        <stp/>
        <stp>nse_cm|IIFLZC25-ND</stp>
        <stp>Ask Rate</stp>
        <tr r="F1742" s="1"/>
      </tp>
      <tp>
        <v>0</v>
        <stp/>
        <stp>bse_cm|865SCL24</stp>
        <stp>Open</stp>
        <tr r="M1165" s="1"/>
      </tp>
      <tp>
        <v>1000</v>
        <stp/>
        <stp>bse_cm|897MOFSL29</stp>
        <stp>Prev Close</stp>
        <tr r="P332" s="1"/>
      </tp>
      <tp>
        <v>0</v>
        <stp/>
        <stp>bse_cm|955SCL27</stp>
        <stp>Open</stp>
        <tr r="M621" s="1"/>
      </tp>
      <tp>
        <v>0</v>
        <stp/>
        <stp>bse_cm|915SCL27</stp>
        <stp>Open</stp>
        <tr r="M1127" s="1"/>
      </tp>
      <tp>
        <v>0</v>
        <stp/>
        <stp>bse_cm|905SCL27</stp>
        <stp>Open</stp>
        <tr r="M976" s="1"/>
      </tp>
      <tp>
        <v>0</v>
        <stp/>
        <stp>bse_cm|925SCL27</stp>
        <stp>Open</stp>
        <tr r="M1414" s="1"/>
      </tp>
      <tp>
        <v>0</v>
        <stp/>
        <stp>bse_cm|875SCL27</stp>
        <stp>Open</stp>
        <tr r="M722" s="1"/>
      </tp>
      <tp>
        <v>0</v>
        <stp/>
        <stp>bse_cm|875SFL27</stp>
        <stp>Open</stp>
        <tr r="M578" s="1"/>
      </tp>
      <tp>
        <v>0</v>
        <stp/>
        <stp>bse_cm|925SFL27</stp>
        <stp>Open</stp>
        <tr r="M849" s="1"/>
      </tp>
      <tp>
        <v>0</v>
        <stp/>
        <stp>bse_cm|967EFSL29A</stp>
        <stp>% Change</stp>
        <tr r="J180" s="1"/>
      </tp>
      <tp>
        <v>0</v>
        <stp/>
        <stp>nse_cm|CIFCZC26-NF</stp>
        <stp>Ask Rate</stp>
        <tr r="F1561" s="1"/>
      </tp>
      <tp>
        <v>0</v>
        <stp/>
        <stp>bse_cm|1045EFS33</stp>
        <stp>Ask Qty</stp>
        <tr r="G1030" s="1"/>
      </tp>
      <tp>
        <v>0</v>
        <stp/>
        <stp>nse_cm|925SCL28-AM</stp>
        <stp>High</stp>
        <tr r="N939" s="1"/>
      </tp>
      <tp>
        <v>0</v>
        <stp/>
        <stp>bse_cm|1045EFS34</stp>
        <stp>Ask Qty</stp>
        <tr r="G1450" s="1"/>
      </tp>
      <tp>
        <v>0</v>
        <stp/>
        <stp>bse_cm|965SCL26</stp>
        <stp>Open</stp>
        <tr r="M665" s="1"/>
      </tp>
      <tp>
        <v>0</v>
        <stp/>
        <stp>bse_cm|915SCL26</stp>
        <stp>Open</stp>
        <tr r="M148" s="1"/>
      </tp>
      <tp>
        <v>0</v>
        <stp/>
        <stp>bse_cm|925SCL26</stp>
        <stp>Open</stp>
        <tr r="M913" s="1"/>
      </tp>
      <tp>
        <v>944.2</v>
        <stp/>
        <stp>bse_cm|885SCL26</stp>
        <stp>Open</stp>
        <tr r="M57" s="1"/>
      </tp>
      <tp>
        <v>0</v>
        <stp/>
        <stp>bse_cm|865SCL26</stp>
        <stp>Open</stp>
        <tr r="M627" s="1"/>
      </tp>
      <tp>
        <v>0</v>
        <stp/>
        <stp>bse_cm|925SFL26</stp>
        <stp>Open</stp>
        <tr r="M850" s="1"/>
      </tp>
      <tp>
        <v>1141.8399999999999</v>
        <stp/>
        <stp>bse_cm|ICCL25</stp>
        <stp xml:space="preserve">Low </stp>
        <tr r="O1330" s="1"/>
      </tp>
      <tp>
        <v>1246</v>
        <stp/>
        <stp>nse_cm|IIFLZC28-NG</stp>
        <stp>Ask Rate</stp>
        <tr r="F1659" s="1"/>
      </tp>
      <tp t="s">
        <v>BSE</v>
        <stp/>
        <stp>bse_cm|0KFL31</stp>
        <stp>Exchange</stp>
        <tr r="C1044" s="1"/>
      </tp>
      <tp>
        <v>0</v>
        <stp/>
        <stp>nse_cm|915SCL27-Z7</stp>
        <stp>Open</stp>
        <tr r="M1475" s="1"/>
      </tp>
      <tp>
        <v>79</v>
        <stp/>
        <stp>bse_cm|805MMFS32</stp>
        <stp>Ask Qty</stp>
        <tr r="G1763" s="1"/>
      </tp>
      <tp>
        <v>939</v>
        <stp/>
        <stp>nse_cm|957IIFLS27-NA</stp>
        <stp>Prev Close</stp>
        <tr r="P1495" s="1"/>
      </tp>
      <tp>
        <v>1077.1099999999999</v>
        <stp/>
        <stp>nse_cm|99IFCI24-NH</stp>
        <stp>High</stp>
        <tr r="N39" s="1"/>
      </tp>
      <tp>
        <v>0</v>
        <stp/>
        <stp>bse_cm|825MMFS27</stp>
        <stp>Ask Qty</stp>
        <tr r="G1381" s="1"/>
      </tp>
      <tp>
        <v>100</v>
        <stp/>
        <stp>bse_cm|915MMFS24</stp>
        <stp>Ask Qty</stp>
        <tr r="G1752" s="1"/>
      </tp>
      <tp>
        <v>951</v>
        <stp/>
        <stp>bse_cm|MFLVI32F</stp>
        <stp>Prev Close</stp>
        <tr r="P704" s="1"/>
      </tp>
      <tp>
        <v>1025</v>
        <stp/>
        <stp>bse_cm|MFLVI31F</stp>
        <stp>Prev Close</stp>
        <tr r="P354" s="1"/>
      </tp>
      <tp>
        <v>1152</v>
        <stp/>
        <stp>nse_cm|880IREDA29-N5</stp>
        <stp>Prev Close</stp>
        <tr r="P510" s="1"/>
      </tp>
      <tp>
        <v>975</v>
        <stp/>
        <stp>bse_cm|MFLII27B</stp>
        <stp>Prev Close</stp>
        <tr r="P359" s="1"/>
      </tp>
      <tp>
        <v>990</v>
        <stp/>
        <stp>bse_cm|MFLII26B</stp>
        <stp>Prev Close</stp>
        <tr r="P1454" s="1"/>
      </tp>
      <tp>
        <v>1245.72</v>
        <stp/>
        <stp>nse_cm|855IREDA34-N3</stp>
        <stp>Prev Close</stp>
        <tr r="P558" s="1"/>
      </tp>
      <tp>
        <v>952.8</v>
        <stp/>
        <stp>bse_cm|MFLTDI25</stp>
        <stp>Bid Rate</stp>
        <tr r="E1476" s="1"/>
      </tp>
      <tp>
        <v>1090.02</v>
        <stp/>
        <stp>bse_cm|MFLVII27</stp>
        <stp>Bid Rate</stp>
        <tr r="E1397" s="1"/>
      </tp>
      <tp>
        <v>-100</v>
        <stp/>
        <stp>bse_cm|925KLMAF25</stp>
        <stp>% Change</stp>
        <tr r="J612" s="1"/>
      </tp>
      <tp>
        <v>-100</v>
        <stp/>
        <stp>bse_cm|1049DLSL25</stp>
        <stp>% Change</stp>
        <tr r="J84" s="1"/>
      </tp>
      <tp>
        <v>1000</v>
        <stp/>
        <stp>bse_cm|1010NIDO28</stp>
        <stp>Face Value</stp>
        <tr r="Q199" s="1"/>
      </tp>
      <tp>
        <v>976.2</v>
        <stp/>
        <stp>bse_cm|MFLIII25</stp>
        <stp>Bid Rate</stp>
        <tr r="E1501" s="1"/>
      </tp>
      <tp>
        <v>1000</v>
        <stp/>
        <stp>nse_cm|92LTF29-N4</stp>
        <stp>Face Value</stp>
        <tr r="Q1087" s="1"/>
      </tp>
      <tp>
        <v>-100</v>
        <stp/>
        <stp>bse_cm|975KLMAF26</stp>
        <stp>% Change</stp>
        <tr r="J857" s="1"/>
      </tp>
      <tp>
        <v>-100</v>
        <stp/>
        <stp>bse_cm|950KLMAF25</stp>
        <stp>% Change</stp>
        <tr r="J1149" s="1"/>
      </tp>
      <tp>
        <v>1011.5</v>
        <stp/>
        <stp>nse_cm|97SFL26-Z9</stp>
        <stp>Prev Close</stp>
        <tr r="P438" s="1"/>
      </tp>
      <tp t="s">
        <v>BSE</v>
        <stp/>
        <stp>bse_cm|0SFL31</stp>
        <stp>Exchange</stp>
        <tr r="C1032" s="1"/>
      </tp>
      <tp>
        <v>-100</v>
        <stp/>
        <stp>bse_cm|1045EFSL34</stp>
        <stp>% Change</stp>
        <tr r="J1413" s="1"/>
      </tp>
      <tp>
        <v>-1</v>
        <stp/>
        <stp>bse_cm|1049EFSL34</stp>
        <stp>% Change</stp>
        <tr r="J1584" s="1"/>
      </tp>
      <tp>
        <v>-100</v>
        <stp/>
        <stp>bse_cm|820JMFPL26</stp>
        <stp>% Change</stp>
        <tr r="J349" s="1"/>
      </tp>
      <tp>
        <v>913.05</v>
        <stp/>
        <stp>bse_cm|10MFCL30</stp>
        <stp>Bid Rate</stp>
        <tr r="E1091" s="1"/>
      </tp>
      <tp>
        <v>1010</v>
        <stp/>
        <stp>nse_cm|85CIFC27-NL</stp>
        <stp xml:space="preserve">Low </stp>
        <tr r="O973" s="1"/>
      </tp>
      <tp>
        <v>-100</v>
        <stp/>
        <stp>bse_cm|800MMFSL27</stp>
        <stp>% Change</stp>
        <tr r="J436" s="1"/>
      </tp>
      <tp>
        <v>875.3</v>
        <stp/>
        <stp>bse_cm|KFL27C</stp>
        <stp>High</stp>
        <tr r="N1300" s="1"/>
      </tp>
      <tp>
        <v>0</v>
        <stp/>
        <stp>bse_cm|SFL26A</stp>
        <stp>Open</stp>
        <tr r="M810" s="1"/>
      </tp>
      <tp>
        <v>-100</v>
        <stp/>
        <stp>bse_cm|872MMFSL26</stp>
        <stp>% Change</stp>
        <tr r="J406" s="1"/>
      </tp>
      <tp>
        <v>0</v>
        <stp/>
        <stp>bse_cm|KFL27B</stp>
        <stp>High</stp>
        <tr r="N1301" s="1"/>
      </tp>
      <tp>
        <v>-100</v>
        <stp/>
        <stp>bse_cm|1010EFSL32</stp>
        <stp>% Change</stp>
        <tr r="J631" s="1"/>
      </tp>
      <tp>
        <v>1081</v>
        <stp/>
        <stp>bse_cm|MFL31A</stp>
        <stp>High</stp>
        <tr r="N1275" s="1"/>
      </tp>
      <tp>
        <v>1124</v>
        <stp/>
        <stp>bse_cm|KFL27A</stp>
        <stp>High</stp>
        <tr r="N1302" s="1"/>
      </tp>
      <tp>
        <v>-100</v>
        <stp/>
        <stp>bse_cm|1045EFSL33</stp>
        <stp>% Change</stp>
        <tr r="J1382" s="1"/>
      </tp>
      <tp>
        <v>-100</v>
        <stp/>
        <stp>bse_cm|853MMFSL26</stp>
        <stp>% Change</stp>
        <tr r="J1005" s="1"/>
      </tp>
      <tp t="s">
        <v>750IRFC35</v>
        <stp/>
        <stp>bse_cm|750IRFC35</stp>
        <stp>Trading Symbol</stp>
        <tr r="B488" s="1"/>
      </tp>
      <tp t="s">
        <v>729NHAI26</v>
        <stp/>
        <stp>bse_cm|729NHAI26</stp>
        <stp>Trading Symbol</stp>
        <tr r="B348" s="1"/>
      </tp>
      <tp t="s">
        <v>753IRFC30</v>
        <stp/>
        <stp>bse_cm|753IRFC30</stp>
        <stp>Trading Symbol</stp>
        <tr r="B454" s="1"/>
      </tp>
      <tp t="s">
        <v>DLSL25A</v>
        <stp/>
        <stp>nse_cm|DLSL25A-Y4</stp>
        <stp>Symbol</stp>
        <tr r="A1732" s="1"/>
      </tp>
      <tp>
        <v>0</v>
        <stp/>
        <stp>nse_cm|1077IIFL30-N7</stp>
        <stp xml:space="preserve">Low </stp>
        <tr r="O996" s="1"/>
      </tp>
      <tp>
        <v>966</v>
        <stp/>
        <stp>nse_cm|925IHFL25E-N8</stp>
        <stp xml:space="preserve">Low </stp>
        <tr r="O561" s="1"/>
      </tp>
      <tp t="s">
        <v>1030ICC26</v>
        <stp/>
        <stp>bse_cm|1030ICC26</stp>
        <stp>Trading Symbol</stp>
        <tr r="B1538" s="1"/>
      </tp>
      <tp t="s">
        <v>11DLSL25A-Y3</v>
        <stp/>
        <stp>nse_cm|11DLSL25A-Y3</stp>
        <stp>Trading Symbol</stp>
        <tr r="B64" s="1"/>
      </tp>
      <tp t="s">
        <v>958NHFL27</v>
        <stp/>
        <stp>bse_cm|958NHFL27</stp>
        <stp>Trading Symbol</stp>
        <tr r="B616" s="1"/>
      </tp>
      <tp t="s">
        <v>1060ECL29</v>
        <stp/>
        <stp>bse_cm|1060ECL29</stp>
        <stp>Trading Symbol</stp>
        <tr r="B272" s="1"/>
      </tp>
      <tp t="s">
        <v>CCI110324</v>
        <stp/>
        <stp>bse_cm|CCI110324</stp>
        <stp>Trading Symbol</stp>
        <tr r="B755" s="1"/>
      </tp>
      <tp t="s">
        <v>957ISFL26</v>
        <stp/>
        <stp>bse_cm|957ISFL26</stp>
        <stp>Trading Symbol</stp>
        <tr r="B761" s="1"/>
      </tp>
      <tp t="s">
        <v>1075SCL34</v>
        <stp/>
        <stp>bse_cm|1075SCL34</stp>
        <stp>Trading Symbol</stp>
        <tr r="B888" s="1"/>
      </tp>
      <tp t="s">
        <v>1075SCL33</v>
        <stp/>
        <stp>bse_cm|1075SCL33</stp>
        <stp>Trading Symbol</stp>
        <tr r="B881" s="1"/>
      </tp>
      <tp t="s">
        <v>1075CCL25</v>
        <stp/>
        <stp>bse_cm|1075CCL25</stp>
        <stp>Trading Symbol</stp>
        <tr r="B1119" s="1"/>
      </tp>
      <tp t="s">
        <v>1075UCL25</v>
        <stp/>
        <stp>bse_cm|1075UCL25</stp>
        <stp>Trading Symbol</stp>
        <tr r="B515" s="1"/>
      </tp>
      <tp>
        <v>1040</v>
        <stp/>
        <stp>bse_cm|MFL31</stp>
        <stp>High</stp>
        <tr r="N701" s="1"/>
      </tp>
      <tp t="s">
        <v>1040UCL25</v>
        <stp/>
        <stp>bse_cm|1040UCL25</stp>
        <stp>Trading Symbol</stp>
        <tr r="B1612" s="1"/>
      </tp>
      <tp t="s">
        <v>945CAGL24</v>
        <stp/>
        <stp>bse_cm|945CAGL24</stp>
        <stp>Trading Symbol</stp>
        <tr r="B566" s="1"/>
      </tp>
      <tp>
        <v>1120</v>
        <stp/>
        <stp>bse_cm|MFL30</stp>
        <stp>High</stp>
        <tr r="N1460" s="1"/>
      </tp>
      <tp>
        <v>1019</v>
        <stp/>
        <stp>bse_cm|MFLIV26</stp>
        <stp>Prev Close</stp>
        <tr r="P1500" s="1"/>
      </tp>
      <tp>
        <v>1007.63</v>
        <stp/>
        <stp>bse_cm|MFLIV25</stp>
        <stp>Prev Close</stp>
        <tr r="P280" s="1"/>
      </tp>
      <tp>
        <v>1010.55</v>
        <stp/>
        <stp>bse_cm|MML30</stp>
        <stp>High</stp>
        <tr r="N1525" s="1"/>
      </tp>
      <tp t="s">
        <v>1050VCL25</v>
        <stp/>
        <stp>bse_cm|1050VCL25</stp>
        <stp>Trading Symbol</stp>
        <tr r="B656" s="1"/>
      </tp>
      <tp t="s">
        <v>1050UCL25</v>
        <stp/>
        <stp>bse_cm|1050UCL25</stp>
        <stp>Trading Symbol</stp>
        <tr r="B417" s="1"/>
      </tp>
      <tp t="s">
        <v>1050SCL30</v>
        <stp/>
        <stp>bse_cm|1050SCL30</stp>
        <stp>Trading Symbol</stp>
        <tr r="B867" s="1"/>
      </tp>
      <tp t="s">
        <v>1050SCL31</v>
        <stp/>
        <stp>bse_cm|1050SCL31</stp>
        <stp>Trading Symbol</stp>
        <tr r="B892" s="1"/>
      </tp>
      <tp t="s">
        <v>SCL310524</v>
        <stp/>
        <stp>bse_cm|SCL310524</stp>
        <stp>Trading Symbol</stp>
        <tr r="B1345" s="1"/>
      </tp>
      <tp>
        <v>0</v>
        <stp/>
        <stp>bse_cm|KFL31</stp>
        <stp>High</stp>
        <tr r="N1297" s="1"/>
      </tp>
      <tp>
        <v>901</v>
        <stp/>
        <stp>nse_cm|925IHFL25D-N6</stp>
        <stp xml:space="preserve">Low </stp>
        <tr r="O575" s="1"/>
      </tp>
      <tp t="s">
        <v>1025SCL34</v>
        <stp/>
        <stp>bse_cm|1025SCL34</stp>
        <stp>Trading Symbol</stp>
        <tr r="B129" s="1"/>
      </tp>
      <tp t="s">
        <v>1025SCL33</v>
        <stp/>
        <stp>bse_cm|1025SCL33</stp>
        <stp>Trading Symbol</stp>
        <tr r="B879" s="1"/>
      </tp>
      <tp t="s">
        <v>1075CCI26</v>
        <stp/>
        <stp>bse_cm|1075CCI26</stp>
        <stp>Trading Symbol</stp>
        <tr r="B1425" s="1"/>
      </tp>
      <tp t="s">
        <v>1025UCL27</v>
        <stp/>
        <stp>bse_cm|1025UCL27</stp>
        <stp>Trading Symbol</stp>
        <tr r="B1019" s="1"/>
      </tp>
      <tp t="s">
        <v>1025UCL25</v>
        <stp/>
        <stp>bse_cm|1025UCL25</stp>
        <stp>Trading Symbol</stp>
        <tr r="B326" s="1"/>
      </tp>
      <tp t="s">
        <v>870NIDO25</v>
        <stp/>
        <stp>bse_cm|870NIDO25</stp>
        <stp>Trading Symbol</stp>
        <tr r="B86" s="1"/>
      </tp>
      <tp t="s">
        <v>970NIDO32</v>
        <stp/>
        <stp>bse_cm|970NIDO32</stp>
        <stp>Trading Symbol</stp>
        <tr r="B67" s="1"/>
      </tp>
      <tp>
        <v>1000</v>
        <stp/>
        <stp>bse_cm|KFL30</stp>
        <stp>High</stp>
        <tr r="N1298" s="1"/>
      </tp>
      <tp>
        <v>1088</v>
        <stp/>
        <stp>nse_cm|965IHFL25D-N7</stp>
        <stp xml:space="preserve">Low </stp>
        <tr r="O1469" s="1"/>
      </tp>
      <tp t="s">
        <v>1035UCL26</v>
        <stp/>
        <stp>bse_cm|1035UCL26</stp>
        <stp>Trading Symbol</stp>
        <tr r="B1626" s="1"/>
      </tp>
      <tp t="s">
        <v>1035UCL24</v>
        <stp/>
        <stp>bse_cm|1035UCL24</stp>
        <stp>Trading Symbol</stp>
        <tr r="B1580" s="1"/>
      </tp>
      <tp t="s">
        <v>940CAGL27</v>
        <stp/>
        <stp>bse_cm|940CAGL27</stp>
        <stp>Trading Symbol</stp>
        <tr r="B261" s="1"/>
      </tp>
      <tp t="s">
        <v>950MMFL26</v>
        <stp/>
        <stp>bse_cm|950MMFL26</stp>
        <stp>Trading Symbol</stp>
        <tr r="B291" s="1"/>
      </tp>
      <tp t="s">
        <v>950MMFL25</v>
        <stp/>
        <stp>bse_cm|950MMFL25</stp>
        <stp>Trading Symbol</stp>
        <tr r="B1526" s="1"/>
      </tp>
      <tp t="s">
        <v>950NHFL26</v>
        <stp/>
        <stp>bse_cm|950NHFL26</stp>
        <stp>Trading Symbol</stp>
        <tr r="B582" s="1"/>
      </tp>
      <tp t="s">
        <v>850IIFL27</v>
        <stp/>
        <stp>bse_cm|850IIFL27</stp>
        <stp>Trading Symbol</stp>
        <tr r="B1407" s="1"/>
      </tp>
      <tp t="s">
        <v>850SCFL25</v>
        <stp/>
        <stp>bse_cm|850SCFL25</stp>
        <stp>Trading Symbol</stp>
        <tr r="B1099" s="1"/>
      </tp>
      <tp t="s">
        <v>1050CCI25</v>
        <stp/>
        <stp>bse_cm|1050CCI25</stp>
        <stp>Trading Symbol</stp>
        <tr r="B173" s="1"/>
      </tp>
      <tp t="s">
        <v>1003SCL30</v>
        <stp/>
        <stp>bse_cm|1003SCL30</stp>
        <stp>Trading Symbol</stp>
        <tr r="B877" s="1"/>
      </tp>
      <tp t="s">
        <v>1003SCL31</v>
        <stp/>
        <stp>bse_cm|1003SCL31</stp>
        <stp>Trading Symbol</stp>
        <tr r="B727" s="1"/>
      </tp>
      <tp t="s">
        <v>1003VCL25</v>
        <stp/>
        <stp>bse_cm|1003VCL25</stp>
        <stp>Trading Symbol</stp>
        <tr r="B151" s="1"/>
      </tp>
      <tp t="s">
        <v>INE774D08MF5</v>
        <stp/>
        <stp>bse_cm|MMFSL26</stp>
        <stp>Isin code</stp>
        <tr r="R1258" s="1"/>
      </tp>
      <tp t="s">
        <v>INE532F07FF8</v>
        <stp/>
        <stp>bse_cm|9EFSL26</stp>
        <stp>Isin code</stp>
        <tr r="R581" s="1"/>
      </tp>
      <tp t="s">
        <v>1015ECL29</v>
        <stp/>
        <stp>bse_cm|1015ECL29</stp>
        <stp>Trading Symbol</stp>
        <tr r="B210" s="1"/>
      </tp>
      <tp t="s">
        <v>1015SCL28</v>
        <stp/>
        <stp>bse_cm|1015SCL28</stp>
        <stp>Trading Symbol</stp>
        <tr r="B327" s="1"/>
      </tp>
      <tp t="s">
        <v>1015SCL29</v>
        <stp/>
        <stp>bse_cm|1015SCL29</stp>
        <stp>Trading Symbol</stp>
        <tr r="B1177" s="1"/>
      </tp>
      <tp>
        <v>0</v>
        <stp/>
        <stp>nse_cm|1075SCL33B-NW</stp>
        <stp>Ask Rate</stp>
        <tr r="F889" s="1"/>
      </tp>
      <tp t="s">
        <v>INE306N08342</v>
        <stp/>
        <stp>nse_cm|885TCAPS29-NC</stp>
        <stp>Isin code</stp>
        <tr r="R13" s="1"/>
      </tp>
      <tp t="s">
        <v>875CIFC23B</v>
        <stp/>
        <stp>nse_cm|875CIFC23B-NJ</stp>
        <stp>Symbol</stp>
        <tr r="A346" s="1"/>
      </tp>
      <tp>
        <v>1062.5</v>
        <stp/>
        <stp>bse_cm|MFLII26</stp>
        <stp>Prev Close</stp>
        <tr r="P390" s="1"/>
      </tp>
      <tp>
        <v>956</v>
        <stp/>
        <stp>bse_cm|MFLII27</stp>
        <stp>Prev Close</stp>
        <tr r="P648" s="1"/>
      </tp>
      <tp>
        <v>1044.5</v>
        <stp/>
        <stp>bse_cm|SFL30</stp>
        <stp>High</stp>
        <tr r="N1597" s="1"/>
      </tp>
      <tp t="s">
        <v>INE148I07NC8</v>
        <stp/>
        <stp>nse_cm|93SCL24-ZP</stp>
        <stp>Isin code</stp>
        <tr r="R1506" s="1"/>
      </tp>
      <tp t="s">
        <v>CIFC26-NK</v>
        <stp/>
        <stp>nse_cm|CIFC26-NK</stp>
        <stp>Trading Symbol</stp>
        <tr r="B741" s="1"/>
      </tp>
      <tp t="s">
        <v>913ICCL24A</v>
        <stp/>
        <stp>nse_cm|913ICCL24A-NF</stp>
        <stp>Symbol</stp>
        <tr r="A781" s="1"/>
      </tp>
      <tp t="s">
        <v>INE549K07DZ5</v>
        <stp/>
        <stp>bse_cm|9MFCL26</stp>
        <stp>Isin code</stp>
        <tr r="R156" s="1"/>
      </tp>
      <tp>
        <v>1068</v>
        <stp/>
        <stp>nse_cm|965ICCL25I-NQ</stp>
        <stp xml:space="preserve">Low </stp>
        <tr r="O696" s="1"/>
      </tp>
      <tp>
        <v>0</v>
        <stp/>
        <stp>nse_cm|925ICCL25I-NP</stp>
        <stp xml:space="preserve">Low </stp>
        <tr r="O777" s="1"/>
      </tp>
      <tp>
        <v>1011.8</v>
        <stp/>
        <stp>nse_cm|875IIFL26A-NQ</stp>
        <stp xml:space="preserve">Low </stp>
        <tr r="O634" s="1"/>
      </tp>
      <tp>
        <v>852.8</v>
        <stp/>
        <stp>nse_cm|875PCHFL31-N9</stp>
        <stp>Bid Rate</stp>
        <tr r="E1012" s="1"/>
      </tp>
      <tp>
        <v>990.05</v>
        <stp/>
        <stp>nse_cm|875PCHFL26-N8</stp>
        <stp>Bid Rate</stp>
        <tr r="E271" s="1"/>
      </tp>
      <tp>
        <v>960</v>
        <stp/>
        <stp>nse_cm|888IHFL25C-NR</stp>
        <stp xml:space="preserve">Low </stp>
        <tr r="O1426" s="1"/>
      </tp>
      <tp>
        <v>981</v>
        <stp/>
        <stp>nse_cm|1049DLS25A-Y5</stp>
        <stp>Bid Rate</stp>
        <tr r="E44" s="1"/>
      </tp>
      <tp>
        <v>901.2</v>
        <stp/>
        <stp>nse_cm|890ICCL23A-NZ</stp>
        <stp xml:space="preserve">Low </stp>
        <tr r="O1363" s="1"/>
      </tp>
      <tp t="s">
        <v>85PCHFL26</v>
        <stp/>
        <stp>bse_cm|85PCHFL26</stp>
        <stp>Trading Symbol</stp>
        <tr r="B713" s="1"/>
      </tp>
      <tp>
        <v>984</v>
        <stp/>
        <stp>bse_cm|MFLI25A</stp>
        <stp>Prev Close</stp>
        <tr r="P362" s="1"/>
      </tp>
      <tp>
        <v>0</v>
        <stp/>
        <stp>nse_cm|866ICCL23A-NY</stp>
        <stp xml:space="preserve">Low </stp>
        <tr r="O759" s="1"/>
      </tp>
      <tp>
        <v>180</v>
        <stp/>
        <stp>bse_cm|MFLI25</stp>
        <stp>Bid Qty</stp>
        <tr r="D447" s="1"/>
      </tp>
      <tp>
        <v>0</v>
        <stp/>
        <stp>nse_cm|1075SCL33A-N2</stp>
        <stp>Ask Rate</stp>
        <tr r="F630" s="1"/>
      </tp>
      <tp>
        <v>1018.2</v>
        <stp/>
        <stp>nse_cm|925ICCL24A-NE</stp>
        <stp xml:space="preserve">Low </stp>
        <tr r="O1393" s="1"/>
      </tp>
      <tp>
        <v>0</v>
        <stp/>
        <stp>nse_cm|1025SCL33A-N1</stp>
        <stp>Ask Rate</stp>
        <tr r="F834" s="1"/>
      </tp>
      <tp>
        <v>1136.7</v>
        <stp/>
        <stp>nse_cm|948ICCL25A-NG</stp>
        <stp xml:space="preserve">Low </stp>
        <tr r="O1736" s="1"/>
      </tp>
      <tp>
        <v>0</v>
        <stp/>
        <stp>nse_cm|913ICCL24A-NF</stp>
        <stp xml:space="preserve">Low </stp>
        <tr r="O781" s="1"/>
      </tp>
      <tp>
        <v>995.62</v>
        <stp/>
        <stp>nse_cm|966ICCL25A-NI</stp>
        <stp xml:space="preserve">Low </stp>
        <tr r="O1461" s="1"/>
      </tp>
      <tp>
        <v>1040</v>
        <stp/>
        <stp>nse_cm|888IHFL25F-NC</stp>
        <stp xml:space="preserve">Low </stp>
        <tr r="O343" s="1"/>
      </tp>
      <tp>
        <v>991</v>
        <stp/>
        <stp>nse_cm|955ICCL25A-NH</stp>
        <stp xml:space="preserve">Low </stp>
        <tr r="O486" s="1"/>
      </tp>
      <tp>
        <v>1000</v>
        <stp/>
        <stp>nse_cm|984ICCL26A-NK</stp>
        <stp xml:space="preserve">Low </stp>
        <tr r="O716" s="1"/>
      </tp>
      <tp>
        <v>0</v>
        <stp/>
        <stp>bse_cm|985ONE34</stp>
        <stp>Open</stp>
        <tr r="M1101" s="1"/>
      </tp>
      <tp>
        <v>-0.94</v>
        <stp/>
        <stp>nse_cm|865IRFC29-NA</stp>
        <stp>% Change</stp>
        <tr r="J491" s="1"/>
      </tp>
      <tp>
        <v>0</v>
        <stp/>
        <stp>bse_cm|87SCL27A</stp>
        <stp>Ask Rate</stp>
        <tr r="F644" s="1"/>
      </tp>
      <tp>
        <v>0</v>
        <stp/>
        <stp>bse_cm|795IGT31</stp>
        <stp>Open</stp>
        <tr r="M1186" s="1"/>
      </tp>
      <tp>
        <v>960.1</v>
        <stp/>
        <stp>nse_cm|87SCL24A-ZF</stp>
        <stp>Bid Rate</stp>
        <tr r="E959" s="1"/>
      </tp>
      <tp t="s">
        <v>NSE</v>
        <stp/>
        <stp>nse_cm|10SCL30A-BV</stp>
        <stp>Exchange</stp>
        <tr r="C445" s="1"/>
      </tp>
      <tp>
        <v>1000</v>
        <stp/>
        <stp>nse_cm|925SCL27-YR</stp>
        <stp>Open</stp>
        <tr r="M1415" s="1"/>
      </tp>
      <tp>
        <v>1056</v>
        <stp/>
        <stp>nse_cm|905LTF27-NF</stp>
        <stp xml:space="preserve">Low </stp>
        <tr r="O393" s="1"/>
      </tp>
      <tp>
        <v>0</v>
        <stp/>
        <stp>nse_cm|916SCL25-ZW</stp>
        <stp>Open</stp>
        <tr r="M1576" s="1"/>
      </tp>
      <tp>
        <v>1196.8</v>
        <stp/>
        <stp>bse_cm|NIDO25</stp>
        <stp>High</stp>
        <tr r="N1726" s="1"/>
      </tp>
      <tp t="s">
        <v>NSE</v>
        <stp/>
        <stp>nse_cm|IIFLHF29-NE</stp>
        <stp>Exchange</stp>
        <tr r="C1630" s="1"/>
      </tp>
      <tp>
        <v>0</v>
        <stp/>
        <stp>bse_cm|104ECL29</stp>
        <stp>Open</stp>
        <tr r="M149" s="1"/>
      </tp>
      <tp>
        <v>1032.8</v>
        <stp/>
        <stp>bse_cm|NIDO26</stp>
        <stp>High</stp>
        <tr r="N1244" s="1"/>
      </tp>
      <tp>
        <v>1000</v>
        <stp/>
        <stp>bse_cm|NIDOZC26</stp>
        <stp>Face Value</stp>
        <tr r="Q27" s="1"/>
      </tp>
      <tp>
        <v>1152.8499999999999</v>
        <stp/>
        <stp>bse_cm|NIDO27</stp>
        <stp>High</stp>
        <tr r="N1661" s="1"/>
      </tp>
      <tp>
        <v>0</v>
        <stp/>
        <stp>bse_cm|NIDO28</stp>
        <stp>High</stp>
        <tr r="N1243" s="1"/>
      </tp>
      <tp>
        <v>901</v>
        <stp/>
        <stp>bse_cm|MML27524</stp>
        <stp>Bid Rate</stp>
        <tr r="E1511" s="1"/>
      </tp>
      <tp>
        <v>844.2</v>
        <stp/>
        <stp>bse_cm|SFL27224</stp>
        <stp>Bid Rate</stp>
        <tr r="E805" s="1"/>
      </tp>
      <tp>
        <v>855.2</v>
        <stp/>
        <stp>bse_cm|IML16224</stp>
        <stp>Bid Rate</stp>
        <tr r="E1499" s="1"/>
      </tp>
      <tp>
        <v>851</v>
        <stp/>
        <stp>bse_cm|MML11924</stp>
        <stp>Bid Rate</stp>
        <tr r="E1536" s="1"/>
      </tp>
      <tp>
        <v>857.55</v>
        <stp/>
        <stp>bse_cm|IFL19424</stp>
        <stp>Bid Rate</stp>
        <tr r="E1344" s="1"/>
      </tp>
      <tp>
        <v>20</v>
        <stp/>
        <stp>nse_cm|TCHF30-NB</stp>
        <stp>Bid Qty</stp>
        <tr r="D408" s="1"/>
      </tp>
      <tp>
        <v>-100</v>
        <stp/>
        <stp>bse_cm|875IIFL26A</stp>
        <stp>% Change</stp>
        <tr r="J232" s="1"/>
      </tp>
      <tp>
        <v>0</v>
        <stp/>
        <stp>nse_cm|10IIFLSF27-NB</stp>
        <stp>ATP</stp>
        <tr r="K1657" s="1"/>
      </tp>
      <tp>
        <v>1084.2</v>
        <stp/>
        <stp>bse_cm|104ECL24</stp>
        <stp>Open</stp>
        <tr r="M38" s="1"/>
      </tp>
      <tp>
        <v>-100</v>
        <stp/>
        <stp>bse_cm|975MFCL28E</stp>
        <stp>% Change</stp>
        <tr r="J303" s="1"/>
      </tp>
      <tp>
        <v>0</v>
        <stp/>
        <stp>nse_cm|925SCL29-YZ</stp>
        <stp>Open</stp>
        <tr r="M851" s="1"/>
      </tp>
      <tp>
        <v>1000</v>
        <stp/>
        <stp>bse_cm|102SMCGS27</stp>
        <stp>Face Value</stp>
        <tr r="Q1017" s="1"/>
      </tp>
      <tp>
        <v>950.2</v>
        <stp/>
        <stp>nse_cm|87SCL27A-ZK</stp>
        <stp>Bid Rate</stp>
        <tr r="E1416" s="1"/>
      </tp>
      <tp>
        <v>-100</v>
        <stp/>
        <stp>bse_cm|AEL120924B</stp>
        <stp>% Change</stp>
        <tr r="J1641" s="1"/>
      </tp>
      <tp>
        <v>-0.72</v>
        <stp/>
        <stp>bse_cm|1045EFS33A</stp>
        <stp>% Change</stp>
        <tr r="J95" s="1"/>
      </tp>
      <tp>
        <v>985.8</v>
        <stp/>
        <stp>bse_cm|IML23623</stp>
        <stp>Bid Rate</stp>
        <tr r="E1327" s="1"/>
      </tp>
      <tp>
        <v>-100</v>
        <stp/>
        <stp>bse_cm|AEL120924A</stp>
        <stp>% Change</stp>
        <tr r="J1524" s="1"/>
      </tp>
      <tp>
        <v>-100</v>
        <stp/>
        <stp>bse_cm|1045EFS33B</stp>
        <stp>% Change</stp>
        <tr r="J117" s="1"/>
      </tp>
      <tp>
        <v>0</v>
        <stp/>
        <stp>bse_cm|944MFL28</stp>
        <stp>Open</stp>
        <tr r="M677" s="1"/>
      </tp>
      <tp>
        <v>0</v>
        <stp/>
        <stp>bse_cm|884LTF29</stp>
        <stp>Open</stp>
        <tr r="M1337" s="1"/>
      </tp>
      <tp>
        <v>1000</v>
        <stp/>
        <stp>bse_cm|AEL120924A</stp>
        <stp>Face Value</stp>
        <tr r="Q1524" s="1"/>
      </tp>
      <tp>
        <v>1000</v>
        <stp/>
        <stp>bse_cm|AEL120924B</stp>
        <stp>Face Value</stp>
        <tr r="Q1641" s="1"/>
      </tp>
      <tp>
        <v>1000</v>
        <stp/>
        <stp>bse_cm|704NABAR26</stp>
        <stp>Face Value</stp>
        <tr r="Q1702" s="1"/>
      </tp>
      <tp>
        <v>1000</v>
        <stp/>
        <stp>bse_cm|764NABAR31</stp>
        <stp>Face Value</stp>
        <tr r="Q497" s="1"/>
      </tp>
      <tp>
        <v>50</v>
        <stp/>
        <stp>nse_cm|892NHPC33-N6</stp>
        <stp>Bid Qty</stp>
        <tr r="D534" s="1"/>
      </tp>
      <tp>
        <v>1</v>
        <stp/>
        <stp>nse_cm|891NTPC33-N6</stp>
        <stp>Bid Qty</stp>
        <tr r="D535" s="1"/>
      </tp>
      <tp>
        <v>976.21</v>
        <stp/>
        <stp>bse_cm|MFLIII25</stp>
        <stp>Prev Close</stp>
        <tr r="P1501" s="1"/>
      </tp>
      <tp>
        <v>1110</v>
        <stp/>
        <stp>bse_cm|MFLVII27</stp>
        <stp>Prev Close</stp>
        <tr r="P1397" s="1"/>
      </tp>
      <tp>
        <v>0</v>
        <stp/>
        <stp>nse_cm|965SCFL25-AB</stp>
        <stp>% Change</stp>
        <tr r="J664" s="1"/>
      </tp>
      <tp>
        <v>0</v>
        <stp/>
        <stp>bse_cm|935PEL33</stp>
        <stp>Open</stp>
        <tr r="M368" s="1"/>
      </tp>
      <tp t="s">
        <v>99IFCI24-NH</v>
        <stp/>
        <stp>nse_cm|99IFCI24-NH</stp>
        <stp>Trading Symbol</stp>
        <tr r="B39" s="1"/>
      </tp>
      <tp>
        <v>0</v>
        <stp/>
        <stp>nse_cm|925SFCL25-AC</stp>
        <stp>% Change</stp>
        <tr r="J604" s="1"/>
      </tp>
      <tp>
        <v>1000</v>
        <stp/>
        <stp>bse_cm|NWFLZC25</stp>
        <stp>Face Value</stp>
        <tr r="Q1758" s="1"/>
      </tp>
      <tp>
        <v>1150</v>
        <stp/>
        <stp>bse_cm|NWIL27</stp>
        <stp>High</stp>
        <tr r="N1439" s="1"/>
      </tp>
      <tp>
        <v>-100</v>
        <stp/>
        <stp>bse_cm|967EFSL28D</stp>
        <stp>% Change</stp>
        <tr r="J168" s="1"/>
      </tp>
      <tp>
        <v>1127</v>
        <stp/>
        <stp>bse_cm|855TCAPS27</stp>
        <stp>Prev Close</stp>
        <tr r="P1004" s="1"/>
      </tp>
      <tp>
        <v>1030</v>
        <stp/>
        <stp>bse_cm|865TCAPS27</stp>
        <stp>Prev Close</stp>
        <tr r="P377" s="1"/>
      </tp>
      <tp>
        <v>1031.0999999999999</v>
        <stp/>
        <stp>bse_cm|885TCAPS29</stp>
        <stp>Prev Close</stp>
        <tr r="P12" s="1"/>
      </tp>
      <tp>
        <v>1005</v>
        <stp/>
        <stp>bse_cm|875TCAPS29</stp>
        <stp>Prev Close</stp>
        <tr r="P935" s="1"/>
      </tp>
      <tp>
        <v>0</v>
        <stp/>
        <stp>nse_cm|820SCL25-YO</stp>
        <stp>Open</stp>
        <tr r="M932" s="1"/>
      </tp>
      <tp>
        <v>1190.6500000000001</v>
        <stp/>
        <stp>bse_cm|NWIL25</stp>
        <stp>High</stp>
        <tr r="N1546" s="1"/>
      </tp>
      <tp>
        <v>0</v>
        <stp/>
        <stp>bse_cm|894SCL25</stp>
        <stp>Open</stp>
        <tr r="M1517" s="1"/>
      </tp>
      <tp>
        <v>0</v>
        <stp/>
        <stp>bse_cm|894SCL24</stp>
        <stp>Open</stp>
        <tr r="M645" s="1"/>
      </tp>
      <tp>
        <v>1067.8</v>
        <stp/>
        <stp>bse_cm|714REC25</stp>
        <stp>Open</stp>
        <tr r="M518" s="1"/>
      </tp>
      <tp>
        <v>1072.8499999999999</v>
        <stp/>
        <stp>nse_cm|865LTF26-NN</stp>
        <stp>High</stp>
        <tr r="N392" s="1"/>
      </tp>
      <tp>
        <v>0</v>
        <stp/>
        <stp>bse_cm|894SCL27</stp>
        <stp>Open</stp>
        <tr r="M962" s="1"/>
      </tp>
      <tp>
        <v>-3.11</v>
        <stp/>
        <stp>bse_cm|967EFSL28A</stp>
        <stp>% Change</stp>
        <tr r="J172" s="1"/>
      </tp>
      <tp>
        <v>-100</v>
        <stp/>
        <stp>nse_cm|925SCFL25-AD</stp>
        <stp>% Change</stp>
        <tr r="J773" s="1"/>
      </tp>
      <tp>
        <v>845.2</v>
        <stp/>
        <stp>bse_cm|MFLVI32F</stp>
        <stp>Bid Rate</stp>
        <tr r="E704" s="1"/>
      </tp>
      <tp>
        <v>950</v>
        <stp/>
        <stp>bse_cm|1050EFSL29</stp>
        <stp>Prev Close</stp>
        <tr r="P1484" s="1"/>
      </tp>
      <tp>
        <v>0</v>
        <stp/>
        <stp>bse_cm|MML24A</stp>
        <stp xml:space="preserve">Low </stp>
        <tr r="O1254" s="1"/>
      </tp>
      <tp>
        <v>1000</v>
        <stp/>
        <stp>nse_cm|9SCFL25-Y5</stp>
        <stp>Face Value</stp>
        <tr r="Q389" s="1"/>
      </tp>
      <tp>
        <v>955.15</v>
        <stp/>
        <stp>bse_cm|98NWFL30</stp>
        <stp>Bid Rate</stp>
        <tr r="E231" s="1"/>
      </tp>
      <tp>
        <v>1000</v>
        <stp/>
        <stp>nse_cm|1025SCFL34-Z5</stp>
        <stp>Prev Close</stp>
        <tr r="P880" s="1"/>
      </tp>
      <tp>
        <v>960</v>
        <stp/>
        <stp>nse_cm|1075SCFL34-Z6</stp>
        <stp>Prev Close</stp>
        <tr r="P882" s="1"/>
      </tp>
      <tp t="s">
        <v>BSE</v>
        <stp/>
        <stp>bse_cm|68PFCL31</stp>
        <stp>Exchange</stp>
        <tr r="C1205" s="1"/>
      </tp>
      <tp>
        <v>1166.5</v>
        <stp/>
        <stp>bse_cm|MFL24B</stp>
        <stp xml:space="preserve">Low </stp>
        <tr r="O1756" s="1"/>
      </tp>
      <tp>
        <v>1256</v>
        <stp/>
        <stp>bse_cm|MFL24A</stp>
        <stp xml:space="preserve">Low </stp>
        <tr r="O1759" s="1"/>
      </tp>
      <tp>
        <v>1000</v>
        <stp/>
        <stp>bse_cm|1050ICCL28</stp>
        <stp>Face Value</stp>
        <tr r="Q1133" s="1"/>
      </tp>
      <tp>
        <v>680</v>
        <stp/>
        <stp>nse_cm|990SCL26-N7</stp>
        <stp xml:space="preserve">Low </stp>
        <tr r="O422" s="1"/>
      </tp>
      <tp>
        <v>1140</v>
        <stp/>
        <stp>nse_cm|96SCL25-AA</stp>
        <stp>Prev Close</stp>
        <tr r="P1067" s="1"/>
      </tp>
      <tp>
        <v>0</v>
        <stp/>
        <stp>nse_cm|87SCL25-ZV</stp>
        <stp>Prev Close</stp>
        <tr r="P979" s="1"/>
      </tp>
      <tp>
        <v>1026</v>
        <stp/>
        <stp>nse_cm|88SCL25-ZG</stp>
        <stp>Prev Close</stp>
        <tr r="P960" s="1"/>
      </tp>
      <tp>
        <v>1035</v>
        <stp/>
        <stp>nse_cm|93SCL25-ZH</stp>
        <stp>Prev Close</stp>
        <tr r="P961" s="1"/>
      </tp>
      <tp>
        <v>1000</v>
        <stp/>
        <stp>bse_cm|1003SCFL31</stp>
        <stp>Face Value</stp>
        <tr r="Q1076" s="1"/>
      </tp>
      <tp>
        <v>1000</v>
        <stp/>
        <stp>bse_cm|1003NHFL29</stp>
        <stp>Face Value</stp>
        <tr r="Q605" s="1"/>
      </tp>
      <tp>
        <v>1000</v>
        <stp/>
        <stp>bse_cm|1003ISFL28</stp>
        <stp>Face Value</stp>
        <tr r="Q1456" s="1"/>
      </tp>
      <tp>
        <v>1000</v>
        <stp/>
        <stp>bse_cm|1003IIFL29</stp>
        <stp>Face Value</stp>
        <tr r="Q1078" s="1"/>
      </tp>
      <tp t="s">
        <v>INE148I07MK3</v>
        <stp/>
        <stp>nse_cm|865SCL24B-Z8</stp>
        <stp>Isin code</stp>
        <tr r="R952" s="1"/>
      </tp>
      <tp>
        <v>910</v>
        <stp/>
        <stp>bse_cm|10NIDO33</stp>
        <stp>Bid Rate</stp>
        <tr r="E1447" s="1"/>
      </tp>
      <tp>
        <v>1000</v>
        <stp/>
        <stp>bse_cm|SCFL310524</stp>
        <stp>Face Value</stp>
        <tr r="Q1241" s="1"/>
      </tp>
      <tp>
        <v>1000</v>
        <stp/>
        <stp>bse_cm|1026NIDO34</stp>
        <stp>Face Value</stp>
        <tr r="Q1018" s="1"/>
      </tp>
      <tp>
        <v>0</v>
        <stp/>
        <stp>nse_cm|866NTPC33-N3</stp>
        <stp>% Change</stp>
        <tr r="J555" s="1"/>
      </tp>
      <tp>
        <v>1134</v>
        <stp/>
        <stp>bse_cm|76NHAI31</stp>
        <stp>Bid Rate</stp>
        <tr r="E478" s="1"/>
      </tp>
      <tp>
        <v>1090</v>
        <stp/>
        <stp>nse_cm|935LTF29-N5</stp>
        <stp xml:space="preserve">Low </stp>
        <tr r="O395" s="1"/>
      </tp>
      <tp>
        <v>-1.66</v>
        <stp/>
        <stp>bse_cm|935MOFSL29</stp>
        <stp>% Change</stp>
        <tr r="J1602" s="1"/>
      </tp>
      <tp>
        <v>1000</v>
        <stp/>
        <stp>bse_cm|KAFL080824</stp>
        <stp>Face Value</stp>
        <tr r="Q1417" s="1"/>
      </tp>
      <tp>
        <v>0</v>
        <stp/>
        <stp>bse_cm|SCL25A</stp>
        <stp>Open</stp>
        <tr r="M1238" s="1"/>
      </tp>
      <tp>
        <v>0</v>
        <stp/>
        <stp>bse_cm|SCL25B</stp>
        <stp>Open</stp>
        <tr r="M1544" s="1"/>
      </tp>
      <tp>
        <v>1014</v>
        <stp/>
        <stp>nse_cm|86CIFC29-NN</stp>
        <stp xml:space="preserve">Low </stp>
        <tr r="O1340" s="1"/>
      </tp>
      <tp>
        <v>0</v>
        <stp/>
        <stp>nse_cm|1090NFL26-NB</stp>
        <stp>% Change</stp>
        <tr r="J636" s="1"/>
      </tp>
      <tp>
        <v>-100</v>
        <stp/>
        <stp>bse_cm|729NABAR26</stp>
        <stp>% Change</stp>
        <tr r="J540" s="1"/>
      </tp>
      <tp>
        <v>1025.9000000000001</v>
        <stp/>
        <stp>nse_cm|872MMFSL26-N1</stp>
        <stp>Prev Close</stp>
        <tr r="P404" s="1"/>
      </tp>
      <tp>
        <v>0</v>
        <stp/>
        <stp>bse_cm|SFL25A</stp>
        <stp>Open</stp>
        <tr r="M812" s="1"/>
      </tp>
      <tp>
        <v>1</v>
        <stp/>
        <stp>bse_cm|805MMFS32</stp>
        <stp>Bid Qty</stp>
        <tr r="D1763" s="1"/>
      </tp>
      <tp>
        <v>1000</v>
        <stp/>
        <stp>bse_cm|875CIFC23B</stp>
        <stp>Face Value</stp>
        <tr r="Q1394" s="1"/>
      </tp>
      <tp>
        <v>50</v>
        <stp/>
        <stp>bse_cm|915MMFS24</stp>
        <stp>Bid Qty</stp>
        <tr r="D1752" s="1"/>
      </tp>
      <tp>
        <v>2</v>
        <stp/>
        <stp>bse_cm|825MMFS27</stp>
        <stp>Bid Qty</stp>
        <tr r="D1381" s="1"/>
      </tp>
      <tp>
        <v>895.2</v>
        <stp/>
        <stp>bse_cm|0MOFSL27</stp>
        <stp>Bid Rate</stp>
        <tr r="E1039" s="1"/>
      </tp>
      <tp>
        <v>-100</v>
        <stp/>
        <stp>bse_cm|704NABAR26</stp>
        <stp>% Change</stp>
        <tr r="J1702" s="1"/>
      </tp>
      <tp>
        <v>1000</v>
        <stp/>
        <stp>bse_cm|0MOFSL26</stp>
        <stp>Bid Rate</stp>
        <tr r="E1645" s="1"/>
      </tp>
      <tp>
        <v>0</v>
        <stp/>
        <stp>bse_cm|SFL25B</stp>
        <stp>Open</stp>
        <tr r="M1433" s="1"/>
      </tp>
      <tp t="s">
        <v>925SCL25Z-NE</v>
        <stp/>
        <stp>nse_cm|925SCL25Z-NE</stp>
        <stp>Trading Symbol</stp>
        <tr r="B914" s="1"/>
      </tp>
      <tp t="s">
        <v>769IGT28</v>
        <stp/>
        <stp>bse_cm|769IGT28</stp>
        <stp>Symbol</stp>
        <tr r="A1195" s="1"/>
      </tp>
      <tp t="s">
        <v>772IGT31</v>
        <stp/>
        <stp>bse_cm|772IGT31</stp>
        <stp>Symbol</stp>
        <tr r="A1194" s="1"/>
      </tp>
      <tp t="s">
        <v>745IGT26</v>
        <stp/>
        <stp>bse_cm|745IGT26</stp>
        <stp>Symbol</stp>
        <tr r="A1202" s="1"/>
      </tp>
      <tp t="s">
        <v>749IGT28</v>
        <stp/>
        <stp>bse_cm|749IGT28</stp>
        <stp>Symbol</stp>
        <tr r="A1198" s="1"/>
      </tp>
      <tp t="s">
        <v>865IRFC29</v>
        <stp/>
        <stp>bse_cm|865IRFC29</stp>
        <stp>Trading Symbol</stp>
        <tr r="B501" s="1"/>
      </tp>
      <tp t="s">
        <v>764IRFC31</v>
        <stp/>
        <stp>bse_cm|764IRFC31</stp>
        <stp>Trading Symbol</stp>
        <tr r="B466" s="1"/>
      </tp>
      <tp t="s">
        <v>MFCL16924</v>
        <stp/>
        <stp>bse_cm|MFCL16924</stp>
        <stp>Trading Symbol</stp>
        <tr r="B579" s="1"/>
      </tp>
      <tp t="s">
        <v>866SCFL25</v>
        <stp/>
        <stp>bse_cm|866SCFL25</stp>
        <stp>Trading Symbol</stp>
        <tr r="B342" s="1"/>
      </tp>
      <tp>
        <v>1000</v>
        <stp/>
        <stp>bse_cm|KFLZC29</stp>
        <stp>Face Value</stp>
        <tr r="Q1639" s="1"/>
      </tp>
      <tp>
        <v>1000</v>
        <stp/>
        <stp>bse_cm|KFLZC28</stp>
        <stp>Face Value</stp>
        <tr r="Q1290" s="1"/>
      </tp>
      <tp>
        <v>1000</v>
        <stp/>
        <stp>bse_cm|KFLZC25</stp>
        <stp>Face Value</stp>
        <tr r="Q1754" s="1"/>
      </tp>
      <tp>
        <v>1000</v>
        <stp/>
        <stp>bse_cm|KFLZC24</stp>
        <stp>Face Value</stp>
        <tr r="Q1766" s="1"/>
      </tp>
      <tp>
        <v>1000</v>
        <stp/>
        <stp>bse_cm|KFLZC27</stp>
        <stp>Face Value</stp>
        <tr r="Q1292" s="1"/>
      </tp>
      <tp>
        <v>1000</v>
        <stp/>
        <stp>bse_cm|KFLZC26</stp>
        <stp>Face Value</stp>
        <tr r="Q1709" s="1"/>
      </tp>
      <tp>
        <v>1000</v>
        <stp/>
        <stp>bse_cm|KFLZC2A</stp>
        <stp>Face Value</stp>
        <tr r="Q1760" s="1"/>
      </tp>
      <tp>
        <v>1000</v>
        <stp/>
        <stp>bse_cm|KFLZC31</stp>
        <stp>Face Value</stp>
        <tr r="Q1286" s="1"/>
      </tp>
      <tp t="s">
        <v>935MFCL29</v>
        <stp/>
        <stp>bse_cm|935MFCL29</stp>
        <stp>Trading Symbol</stp>
        <tr r="B239" s="1"/>
      </tp>
      <tp t="s">
        <v>995NWIL32</v>
        <stp/>
        <stp>bse_cm|995NWIL32</stp>
        <stp>Trading Symbol</stp>
        <tr r="B1023" s="1"/>
      </tp>
      <tp t="s">
        <v>865IIFL28</v>
        <stp/>
        <stp>bse_cm|865IIFL28</stp>
        <stp>Trading Symbol</stp>
        <tr r="B75" s="1"/>
      </tp>
      <tp t="s">
        <v>965SCFL25</v>
        <stp/>
        <stp>bse_cm|965SCFL25</stp>
        <stp>Trading Symbol</stp>
        <tr r="B1106" s="1"/>
      </tp>
      <tp t="s">
        <v>970CAGL28</v>
        <stp/>
        <stp>bse_cm|970CAGL28</stp>
        <stp>Trading Symbol</stp>
        <tr r="B292" s="1"/>
      </tp>
      <tp t="s">
        <v>960ISFL25</v>
        <stp/>
        <stp>bse_cm|960ISFL25</stp>
        <stp>Trading Symbol</stp>
        <tr r="B871" s="1"/>
      </tp>
      <tp>
        <v>1000</v>
        <stp/>
        <stp>bse_cm|MHLZC26</stp>
        <stp>Face Value</stp>
        <tr r="Q1522" s="1"/>
      </tp>
      <tp>
        <v>1000</v>
        <stp/>
        <stp>bse_cm|MFLZC25</stp>
        <stp>Face Value</stp>
        <tr r="Q1683" s="1"/>
      </tp>
      <tp>
        <v>1000</v>
        <stp/>
        <stp>bse_cm|MFLZC27</stp>
        <stp>Face Value</stp>
        <tr r="Q1271" s="1"/>
      </tp>
      <tp>
        <v>1000</v>
        <stp/>
        <stp>bse_cm|MFLZC26</stp>
        <stp>Face Value</stp>
        <tr r="Q1720" s="1"/>
      </tp>
      <tp>
        <v>1000</v>
        <stp/>
        <stp>bse_cm|MFLZC30</stp>
        <stp>Face Value</stp>
        <tr r="Q1267" s="1"/>
      </tp>
      <tp>
        <v>1000</v>
        <stp/>
        <stp>bse_cm|MFLZC32</stp>
        <stp>Face Value</stp>
        <tr r="Q1266" s="1"/>
      </tp>
      <tp t="s">
        <v>714NHAI26</v>
        <stp/>
        <stp>bse_cm|714NHAI26</stp>
        <stp>Trading Symbol</stp>
        <tr r="B1662" s="1"/>
      </tp>
      <tp t="s">
        <v>795IGT31</v>
        <stp/>
        <stp>bse_cm|795IGT31</stp>
        <stp>Symbol</stp>
        <tr r="A1186" s="1"/>
      </tp>
      <tp t="s">
        <v>797IGT31</v>
        <stp/>
        <stp>bse_cm|797IGT31</stp>
        <stp>Symbol</stp>
        <tr r="A381" s="1"/>
      </tp>
      <tp t="s">
        <v>INE532F07DF3</v>
        <stp/>
        <stp>bse_cm|9EFSL25</stp>
        <stp>Isin code</stp>
        <tr r="R606" s="1"/>
      </tp>
      <tp t="s">
        <v>84TCHF28</v>
        <stp/>
        <stp>bse_cm|84TCHF28</stp>
        <stp>Symbol</stp>
        <tr r="A403" s="1"/>
      </tp>
      <tp t="s">
        <v>IFL19424</v>
        <stp/>
        <stp>bse_cm|IFL19424</stp>
        <stp>Symbol</stp>
        <tr r="A1344" s="1"/>
      </tp>
      <tp>
        <v>1000</v>
        <stp/>
        <stp>bse_cm|SFLZC25</stp>
        <stp>Face Value</stp>
        <tr r="Q802" s="1"/>
      </tp>
      <tp t="e">
        <v>#N/A</v>
        <stp/>
        <stp>bse_cm|SFLZC24</stp>
        <stp>Face Value</stp>
        <tr r="Q30" s="1"/>
      </tp>
      <tp>
        <v>1000</v>
        <stp/>
        <stp>bse_cm|SFLZC26</stp>
        <stp>Face Value</stp>
        <tr r="Q801" s="1"/>
      </tp>
      <tp>
        <v>1000</v>
        <stp/>
        <stp>bse_cm|SCLZC25</stp>
        <stp>Face Value</stp>
        <tr r="Q917" s="1"/>
      </tp>
      <tp>
        <v>1000</v>
        <stp/>
        <stp>bse_cm|SCLZC26</stp>
        <stp>Face Value</stp>
        <tr r="Q1464" s="1"/>
      </tp>
      <tp t="s">
        <v>INE413U07301</v>
        <stp/>
        <stp>nse_cm|1003IIFL29-NC</stp>
        <stp>Isin code</stp>
        <tr r="R1077" s="1"/>
      </tp>
      <tp t="s">
        <v>910TCAP28</v>
        <stp/>
        <stp>bse_cm|910TCAP28</stp>
        <stp>Trading Symbol</stp>
        <tr r="B409" s="1"/>
      </tp>
      <tp t="s">
        <v>INE148I07NL9</v>
        <stp/>
        <stp>nse_cm|98SCL27-ZX</stp>
        <stp>Isin code</stp>
        <tr r="R1378" s="1"/>
      </tp>
      <tp t="s">
        <v>81TCHF28</v>
        <stp/>
        <stp>bse_cm|81TCHF28</stp>
        <stp>Symbol</stp>
        <tr r="A479" s="1"/>
      </tp>
      <tp t="s">
        <v>EFSL26724</v>
        <stp/>
        <stp>bse_cm|EFSL26724</stp>
        <stp>Trading Symbol</stp>
        <tr r="B1336" s="1"/>
      </tp>
      <tp t="s">
        <v>82TCHF25</v>
        <stp/>
        <stp>bse_cm|82TCHF25</stp>
        <stp>Symbol</stp>
        <tr r="A1015" s="1"/>
      </tp>
      <tp t="s">
        <v>83TCHF25</v>
        <stp/>
        <stp>bse_cm|83TCHF25</stp>
        <stp>Symbol</stp>
        <tr r="A489" s="1"/>
      </tp>
      <tp t="s">
        <v>83TCHF28</v>
        <stp/>
        <stp>bse_cm|83TCHF28</stp>
        <stp>Symbol</stp>
        <tr r="A832" s="1"/>
      </tp>
      <tp t="s">
        <v>INE403Q07ED7</v>
        <stp/>
        <stp>bse_cm|10KFL28</stp>
        <stp>Isin code</stp>
        <tr r="R674" s="1"/>
      </tp>
      <tp t="s">
        <v>INE148I07SS3</v>
        <stp/>
        <stp>nse_cm|1015SCFL29-YY</stp>
        <stp>Isin code</stp>
        <tr r="R1455" s="1"/>
      </tp>
      <tp t="s">
        <v>95CCIL25</v>
        <stp/>
        <stp>bse_cm|95CCIL25</stp>
        <stp>Symbol</stp>
        <tr r="A37" s="1"/>
      </tp>
      <tp t="s">
        <v>925IHFL25D</v>
        <stp/>
        <stp>nse_cm|925IHFL25D-N6</stp>
        <stp>Symbol</stp>
        <tr r="A575" s="1"/>
      </tp>
      <tp t="s">
        <v>925ICCL24A</v>
        <stp/>
        <stp>nse_cm|925ICCL24A-NE</stp>
        <stp>Symbol</stp>
        <tr r="A1393" s="1"/>
      </tp>
      <tp t="s">
        <v>875IIFL26A</v>
        <stp/>
        <stp>nse_cm|875IIFL26A-NQ</stp>
        <stp>Symbol</stp>
        <tr r="A634" s="1"/>
      </tp>
      <tp>
        <v>1325</v>
        <stp/>
        <stp>nse_cm|891IIFCL34-N4</stp>
        <stp>Ask Rate</stp>
        <tr r="F516" s="1"/>
      </tp>
      <tp>
        <v>1090</v>
        <stp/>
        <stp>bse_cm|MFLI25</stp>
        <stp>Ask Qty</stp>
        <tr r="G447" s="1"/>
      </tp>
      <tp t="s">
        <v>NSE</v>
        <stp/>
        <stp>nse_cm|885MOFSL26-N0</stp>
        <stp>Exchange</stp>
        <tr r="C1635" s="1"/>
      </tp>
      <tp t="s">
        <v>NSE</v>
        <stp/>
        <stp>nse_cm|872MMFSL26-N1</stp>
        <stp>Exchange</stp>
        <tr r="C404" s="1"/>
      </tp>
      <tp t="s">
        <v>NSE</v>
        <stp/>
        <stp>nse_cm|897MOFSL29-N4</stp>
        <stp>Exchange</stp>
        <tr r="C296" s="1"/>
      </tp>
      <tp t="s">
        <v>NSE</v>
        <stp/>
        <stp>nse_cm|935MOFSL29-N5</stp>
        <stp>Exchange</stp>
        <tr r="C1601" s="1"/>
      </tp>
      <tp>
        <v>5</v>
        <stp/>
        <stp>nse_cm|905LTF27-NF</stp>
        <stp>Volume Traded Today</stp>
        <tr r="L393" s="1"/>
      </tp>
      <tp t="s">
        <v>0MOFSL27-N3</v>
        <stp/>
        <stp>nse_cm|0MOFSL27-N3</stp>
        <stp>Trading Symbol</stp>
        <tr r="B1038" s="1"/>
      </tp>
      <tp>
        <v>0</v>
        <stp/>
        <stp>bse_cm|927MFL26</stp>
        <stp>Open</stp>
        <tr r="M1457" s="1"/>
      </tp>
      <tp>
        <v>1350</v>
        <stp/>
        <stp>bse_cm|MMFL25</stp>
        <stp>High</stp>
        <tr r="N1725" s="1"/>
      </tp>
      <tp>
        <v>0</v>
        <stp/>
        <stp>bse_cm|93SCL24A</stp>
        <stp>Ask Rate</stp>
        <tr r="F1361" s="1"/>
      </tp>
      <tp>
        <v>0</v>
        <stp/>
        <stp>bse_cm|89SCL24A</stp>
        <stp>Ask Rate</stp>
        <tr r="F971" s="1"/>
      </tp>
      <tp>
        <v>0</v>
        <stp/>
        <stp>bse_cm|87SCL24A</stp>
        <stp>Ask Rate</stp>
        <tr r="F1141" s="1"/>
      </tp>
      <tp>
        <v>1500</v>
        <stp/>
        <stp>nse_cm|861REC34-ND</stp>
        <stp xml:space="preserve">Low </stp>
        <tr r="O583" s="1"/>
      </tp>
      <tp>
        <v>0</v>
        <stp/>
        <stp>nse_cm|935LTF29-N5</stp>
        <stp>Volume Traded Today</stp>
        <tr r="L395" s="1"/>
      </tp>
      <tp>
        <v>1000</v>
        <stp/>
        <stp>bse_cm|MMFLZC25</stp>
        <stp>Face Value</stp>
        <tr r="Q1731" s="1"/>
      </tp>
      <tp>
        <v>1000</v>
        <stp/>
        <stp>bse_cm|MMFLZC27</stp>
        <stp>Face Value</stp>
        <tr r="Q1462" s="1"/>
      </tp>
      <tp>
        <v>1000</v>
        <stp/>
        <stp>bse_cm|MMFLZC26</stp>
        <stp>Face Value</stp>
        <tr r="Q1261" s="1"/>
      </tp>
      <tp>
        <v>1000</v>
        <stp/>
        <stp>bse_cm|MMFLZC28</stp>
        <stp>Face Value</stp>
        <tr r="Q1259" s="1"/>
      </tp>
      <tp>
        <v>1132.98</v>
        <stp/>
        <stp>bse_cm|MMFL27</stp>
        <stp>High</stp>
        <tr r="N1513" s="1"/>
      </tp>
      <tp>
        <v>1242</v>
        <stp/>
        <stp>nse_cm|862REC33-NA</stp>
        <stp xml:space="preserve">Low </stp>
        <tr r="O563" s="1"/>
      </tp>
      <tp>
        <v>1134</v>
        <stp/>
        <stp>nse_cm|965SCL25-AG</stp>
        <stp xml:space="preserve">Low </stp>
        <tr r="O1577" s="1"/>
      </tp>
      <tp>
        <v>1368</v>
        <stp/>
        <stp>nse_cm|863REC29-NC</stp>
        <stp xml:space="preserve">Low </stp>
        <tr r="O1633" s="1"/>
      </tp>
      <tp>
        <v>999.95</v>
        <stp/>
        <stp>bse_cm|MFLV29</stp>
        <stp>High</stp>
        <tr r="N361" s="1"/>
      </tp>
      <tp t="e">
        <v>#N/A</v>
        <stp/>
        <stp>bse_cm|MHFLZC24</stp>
        <stp>Face Value</stp>
        <tr r="Q35" s="1"/>
      </tp>
      <tp>
        <v>1000</v>
        <stp/>
        <stp>bse_cm|MHFLZC26</stp>
        <stp>Face Value</stp>
        <tr r="Q1714" s="1"/>
      </tp>
      <tp>
        <v>0</v>
        <stp/>
        <stp>bse_cm|96SFL24A</stp>
        <stp>Ask Rate</stp>
        <tr r="F633" s="1"/>
      </tp>
      <tp>
        <v>0</v>
        <stp/>
        <stp>bse_cm|967EFS28</stp>
        <stp>Open</stp>
        <tr r="M190" s="1"/>
      </tp>
      <tp>
        <v>100</v>
        <stp/>
        <stp>nse_cm|891NTPC33-N6</stp>
        <stp>Ask Qty</stp>
        <tr r="G535" s="1"/>
      </tp>
      <tp>
        <v>0</v>
        <stp/>
        <stp>nse_cm|965SCL28-AK</stp>
        <stp xml:space="preserve">Low </stp>
        <tr r="O1137" s="1"/>
      </tp>
      <tp>
        <v>1005</v>
        <stp/>
        <stp>bse_cm|MFLV27</stp>
        <stp>High</stp>
        <tr r="N1508" s="1"/>
      </tp>
      <tp>
        <v>-100</v>
        <stp/>
        <stp>bse_cm|925IHFL25D</stp>
        <stp>% Change</stp>
        <tr r="J1671" s="1"/>
      </tp>
      <tp>
        <v>0</v>
        <stp/>
        <stp>nse_cm|AEL120924-N2</stp>
        <stp>% Change</stp>
        <tr r="J1673" s="1"/>
      </tp>
      <tp>
        <v>990</v>
        <stp/>
        <stp>bse_cm|MFLI25</stp>
        <stp>High</stp>
        <tr r="N447" s="1"/>
      </tp>
      <tp>
        <v>1</v>
        <stp/>
        <stp>nse_cm|892NHPC33-N6</stp>
        <stp>Ask Qty</stp>
        <tr r="G534" s="1"/>
      </tp>
      <tp>
        <v>-100</v>
        <stp/>
        <stp>bse_cm|925IHFL25E</stp>
        <stp>% Change</stp>
        <tr r="J398" s="1"/>
      </tp>
      <tp>
        <v>-100</v>
        <stp/>
        <stp>bse_cm|965IHFL25D</stp>
        <stp>% Change</stp>
        <tr r="J1432" s="1"/>
      </tp>
      <tp>
        <v>10</v>
        <stp/>
        <stp>nse_cm|TCHF30-NB</stp>
        <stp>Ask Qty</stp>
        <tr r="G408" s="1"/>
      </tp>
      <tp>
        <v>0</v>
        <stp/>
        <stp>bse_cm|KAFL28</stp>
        <stp xml:space="preserve">Low </stp>
        <tr r="O1320" s="1"/>
      </tp>
      <tp>
        <v>990</v>
        <stp/>
        <stp>bse_cm|KAFL29</stp>
        <stp xml:space="preserve">Low </stp>
        <tr r="O1318" s="1"/>
      </tp>
      <tp t="s">
        <v>78ABFL33-N4</v>
        <stp/>
        <stp>nse_cm|78ABFL33-N4</stp>
        <stp>Trading Symbol</stp>
        <tr r="B371" s="1"/>
      </tp>
      <tp t="s">
        <v>00:00:00</v>
        <stp/>
        <stp>bse_cm|NWFLZC25</stp>
        <stp>LTT</stp>
        <tr r="I1758" s="1"/>
      </tp>
      <tp t="s">
        <v>749IGT28-NG</v>
        <stp/>
        <stp>nse_cm|749IGT28-NG</stp>
        <stp>Trading Symbol</stp>
        <tr r="B1197" s="1"/>
      </tp>
      <tp>
        <v>0</v>
        <stp/>
        <stp>bse_cm|NWFLZC25</stp>
        <stp>LTP</stp>
        <tr r="H1758" s="1"/>
      </tp>
      <tp t="s">
        <v>769IGT28-NH</v>
        <stp/>
        <stp>nse_cm|769IGT28-NH</stp>
        <stp>Trading Symbol</stp>
        <tr r="B1487" s="1"/>
      </tp>
      <tp>
        <v>0</v>
        <stp/>
        <stp>nse_cm|852LTF27-NG</stp>
        <stp>High</stp>
        <tr r="N1006" s="1"/>
      </tp>
      <tp>
        <v>1058</v>
        <stp/>
        <stp>nse_cm|83TCHF25-N6</stp>
        <stp xml:space="preserve">Low </stp>
        <tr r="O472" s="1"/>
      </tp>
      <tp t="s">
        <v>10IIFL28-N4</v>
        <stp/>
        <stp>nse_cm|10IIFL28-N4</stp>
        <stp>Trading Symbol</stp>
        <tr r="B42" s="1"/>
      </tp>
      <tp>
        <v>1000</v>
        <stp/>
        <stp>bse_cm|975JMFCS28</stp>
        <stp>Face Value</stp>
        <tr r="Q275" s="1"/>
      </tp>
      <tp>
        <v>1024.4000000000001</v>
        <stp/>
        <stp>nse_cm|957SCL30-BX</stp>
        <stp xml:space="preserve">Low </stp>
        <tr r="O1109" s="1"/>
      </tp>
      <tp>
        <v>1000</v>
        <stp/>
        <stp>bse_cm|MVAFZC25</stp>
        <stp>Face Value</stp>
        <tr r="Q1746" s="1"/>
      </tp>
      <tp>
        <v>1490</v>
        <stp/>
        <stp>bse_cm|MVAF27</stp>
        <stp>High</stp>
        <tr r="N1689" s="1"/>
      </tp>
      <tp>
        <v>977</v>
        <stp/>
        <stp>bse_cm|957VCL25</stp>
        <stp>Open</stp>
        <tr r="M53" s="1"/>
      </tp>
      <tp t="s">
        <v>BSE</v>
        <stp/>
        <stp>bse_cm|10SCL30A</stp>
        <stp>Exchange</stp>
        <tr r="C444" s="1"/>
      </tp>
      <tp>
        <v>0</v>
        <stp/>
        <stp>nse_cm|83TCHF28-N9</stp>
        <stp xml:space="preserve">Low </stp>
        <tr r="O831" s="1"/>
      </tp>
      <tp>
        <v>0</v>
        <stp/>
        <stp>bse_cm|847SCL25</stp>
        <stp>Open</stp>
        <tr r="M941" s="1"/>
      </tp>
      <tp t="s">
        <v>96IIFL28-N5</v>
        <stp/>
        <stp>nse_cm|96IIFL28-N5</stp>
        <stp>Trading Symbol</stp>
        <tr r="B106" s="1"/>
      </tp>
      <tp>
        <v>0</v>
        <stp/>
        <stp>bse_cm|857SCL24</stp>
        <stp>Open</stp>
        <tr r="M1002" s="1"/>
      </tp>
      <tp>
        <v>893.2</v>
        <stp/>
        <stp>bse_cm|795MMFSL32</stp>
        <stp>Prev Close</stp>
        <tr r="P1184" s="1"/>
      </tp>
      <tp>
        <v>1025</v>
        <stp/>
        <stp>bse_cm|KAFL25</stp>
        <stp xml:space="preserve">Low </stp>
        <tr r="O1321" s="1"/>
      </tp>
      <tp>
        <v>1045.3900000000001</v>
        <stp/>
        <stp>bse_cm|935MOFSL29</stp>
        <stp>Prev Close</stp>
        <tr r="P1602" s="1"/>
      </tp>
      <tp>
        <v>1039.28</v>
        <stp/>
        <stp>bse_cm|885MOFSL26</stp>
        <stp>Prev Close</stp>
        <tr r="P1643" s="1"/>
      </tp>
      <tp>
        <v>1033</v>
        <stp/>
        <stp>bse_cm|805MMFSL32</stp>
        <stp>Prev Close</stp>
        <tr r="P401" s="1"/>
      </tp>
      <tp>
        <v>840.8</v>
        <stp/>
        <stp>bse_cm|935MMFSL29</stp>
        <stp>Prev Close</stp>
        <tr r="P1174" s="1"/>
      </tp>
      <tp t="s">
        <v>81ABFL33-N5</v>
        <stp/>
        <stp>nse_cm|81ABFL33-N5</stp>
        <stp>Trading Symbol</stp>
        <tr r="B1588" s="1"/>
      </tp>
      <tp t="s">
        <v>865IFL28-NZ</v>
        <stp/>
        <stp>nse_cm|865IFL28-NZ</stp>
        <stp>Trading Symbol</stp>
        <tr r="B103" s="1"/>
      </tp>
      <tp>
        <v>926.2</v>
        <stp/>
        <stp>bse_cm|MFLVI31F</stp>
        <stp>Bid Rate</stp>
        <tr r="E354" s="1"/>
      </tp>
      <tp>
        <v>6720</v>
        <stp/>
        <stp>nse_cm|901NHB34-N6</stp>
        <stp>High</stp>
        <tr r="N520" s="1"/>
      </tp>
      <tp>
        <v>0</v>
        <stp/>
        <stp>nse_cm|931SFL26-Z5</stp>
        <stp>Open</stp>
        <tr r="M519" s="1"/>
      </tp>
      <tp>
        <v>1001</v>
        <stp/>
        <stp>nse_cm|960IIFLS26-N9</stp>
        <stp>Prev Close</stp>
        <tr r="P1489" s="1"/>
      </tp>
      <tp>
        <v>0</v>
        <stp/>
        <stp>bse_cm|MML25A</stp>
        <stp xml:space="preserve">Low </stp>
        <tr r="O1252" s="1"/>
      </tp>
      <tp>
        <v>999</v>
        <stp/>
        <stp>bse_cm|1045EFSL33</stp>
        <stp>Prev Close</stp>
        <tr r="P1382" s="1"/>
      </tp>
      <tp>
        <v>940</v>
        <stp/>
        <stp>bse_cm|1045EFSL34</stp>
        <stp>Prev Close</stp>
        <tr r="P1413" s="1"/>
      </tp>
      <tp>
        <v>1033</v>
        <stp/>
        <stp>bse_cm|MML25B</stp>
        <stp xml:space="preserve">Low </stp>
        <tr r="O1498" s="1"/>
      </tp>
      <tp>
        <v>0</v>
        <stp/>
        <stp>bse_cm|EFSL26724</stp>
        <stp>Ask Qty</stp>
        <tr r="G1336" s="1"/>
      </tp>
      <tp>
        <v>0</v>
        <stp/>
        <stp>bse_cm|MML25C</stp>
        <stp xml:space="preserve">Low </stp>
        <tr r="O1251" s="1"/>
      </tp>
      <tp>
        <v>1005</v>
        <stp/>
        <stp>bse_cm|1049EFSL34</stp>
        <stp>Prev Close</stp>
        <tr r="P1584" s="1"/>
      </tp>
      <tp>
        <v>998.84</v>
        <stp/>
        <stp>bse_cm|1049DLSL25</stp>
        <stp>Prev Close</stp>
        <tr r="P84" s="1"/>
      </tp>
      <tp>
        <v>900</v>
        <stp/>
        <stp>nse_cm|98ICCL26-NU</stp>
        <stp xml:space="preserve">Low </stp>
        <tr r="O1569" s="1"/>
      </tp>
      <tp>
        <v>1040</v>
        <stp/>
        <stp>bse_cm|MFL25E</stp>
        <stp xml:space="preserve">Low </stp>
        <tr r="O1664" s="1"/>
      </tp>
      <tp>
        <v>1000</v>
        <stp/>
        <stp>nse_cm|SCFL310524-ZE</stp>
        <stp>Prev Close</stp>
        <tr r="P1240" s="1"/>
      </tp>
      <tp>
        <v>1117</v>
        <stp/>
        <stp>bse_cm|MFL25D</stp>
        <stp xml:space="preserve">Low </stp>
        <tr r="O1705" s="1"/>
      </tp>
      <tp t="s">
        <v>BSE</v>
        <stp/>
        <stp>bse_cm|58PFCL26</stp>
        <stp>Exchange</stp>
        <tr r="C369" s="1"/>
      </tp>
      <tp>
        <v>1102.2</v>
        <stp/>
        <stp>bse_cm|MFL25C</stp>
        <stp xml:space="preserve">Low </stp>
        <tr r="O1571" s="1"/>
      </tp>
      <tp>
        <v>1595.29</v>
        <stp/>
        <stp>bse_cm|ECLZC24B</stp>
        <stp>Prev Close</stp>
        <tr r="P1767" s="1"/>
      </tp>
      <tp>
        <v>965</v>
        <stp/>
        <stp>bse_cm|88NWIL25</stp>
        <stp>Bid Rate</stp>
        <tr r="E219" s="1"/>
      </tp>
      <tp>
        <v>272</v>
        <stp/>
        <stp>bse_cm|MFLVI25</stp>
        <stp>Ask Qty</stp>
        <tr r="G1707" s="1"/>
      </tp>
      <tp>
        <v>0</v>
        <stp/>
        <stp>bse_cm|MFLII27</stp>
        <stp>Ask Qty</stp>
        <tr r="G648" s="1"/>
      </tp>
      <tp>
        <v>1051.2</v>
        <stp/>
        <stp>bse_cm|MFL25B</stp>
        <stp xml:space="preserve">Low </stp>
        <tr r="O1667" s="1"/>
      </tp>
      <tp>
        <v>50</v>
        <stp/>
        <stp>bse_cm|MFLVI26</stp>
        <stp>Ask Qty</stp>
        <tr r="G1719" s="1"/>
      </tp>
      <tp>
        <v>70</v>
        <stp/>
        <stp>bse_cm|MFLII26</stp>
        <stp>Ask Qty</stp>
        <tr r="G390" s="1"/>
      </tp>
      <tp>
        <v>1105.8</v>
        <stp/>
        <stp>bse_cm|MFL25A</stp>
        <stp xml:space="preserve">Low </stp>
        <tr r="O1692" s="1"/>
      </tp>
      <tp>
        <v>1017</v>
        <stp/>
        <stp>bse_cm|95NIDO26</stp>
        <stp>Bid Rate</stp>
        <tr r="E670" s="1"/>
      </tp>
      <tp>
        <v>963</v>
        <stp/>
        <stp>bse_cm|10NHFL27</stp>
        <stp>Bid Rate</stp>
        <tr r="E658" s="1"/>
      </tp>
      <tp>
        <v>980</v>
        <stp/>
        <stp>bse_cm|10NIDO26</stp>
        <stp>Bid Rate</stp>
        <tr r="E62" s="1"/>
      </tp>
      <tp>
        <v>1003</v>
        <stp/>
        <stp>bse_cm|10NIDO27</stp>
        <stp>Bid Rate</stp>
        <tr r="E597" s="1"/>
      </tp>
      <tp>
        <v>-100</v>
        <stp/>
        <stp>bse_cm|EFSL290424</stp>
        <stp>% Change</stp>
        <tr r="J1334" s="1"/>
      </tp>
      <tp>
        <v>-100</v>
        <stp/>
        <stp>bse_cm|10IIFLSF27</stp>
        <stp>% Change</stp>
        <tr r="J1098" s="1"/>
      </tp>
      <tp>
        <v>-100</v>
        <stp/>
        <stp>bse_cm|885MOFSL26</stp>
        <stp>% Change</stp>
        <tr r="J1643" s="1"/>
      </tp>
      <tp>
        <v>1000</v>
        <stp/>
        <stp>bse_cm|MFCL30424B</stp>
        <stp>Face Value</stp>
        <tr r="Q1282" s="1"/>
      </tp>
      <tp>
        <v>1000</v>
        <stp/>
        <stp>bse_cm|MFCL30424C</stp>
        <stp>Face Value</stp>
        <tr r="Q1552" s="1"/>
      </tp>
      <tp>
        <v>1000</v>
        <stp/>
        <stp>bse_cm|MFCL30424A</stp>
        <stp>Face Value</stp>
        <tr r="Q1283" s="1"/>
      </tp>
      <tp>
        <v>1000</v>
        <stp/>
        <stp>bse_cm|MFCL30424D</stp>
        <stp>Face Value</stp>
        <tr r="Q1281" s="1"/>
      </tp>
      <tp>
        <v>1000</v>
        <stp/>
        <stp>nse_cm|89SCL24-ZO</stp>
        <stp>Prev Close</stp>
        <tr r="P972" s="1"/>
      </tp>
      <tp>
        <v>1000</v>
        <stp/>
        <stp>nse_cm|98SCL34-ZS</stp>
        <stp>Prev Close</stp>
        <tr r="P1052" s="1"/>
      </tp>
      <tp>
        <v>1050.2</v>
        <stp/>
        <stp>nse_cm|93SCL24-ZP</stp>
        <stp>Prev Close</stp>
        <tr r="P1506" s="1"/>
      </tp>
      <tp>
        <v>1070.55</v>
        <stp/>
        <stp>nse_cm|84TCHF28-NA</stp>
        <stp>High</stp>
        <tr r="N402" s="1"/>
      </tp>
      <tp>
        <v>1000</v>
        <stp/>
        <stp>bse_cm|1015SCFL29</stp>
        <stp>Face Value</stp>
        <tr r="Q1355" s="1"/>
      </tp>
      <tp>
        <v>0</v>
        <stp/>
        <stp>nse_cm|CIFCZC28A-N5</stp>
        <stp>% Change</stp>
        <tr r="J1559" s="1"/>
      </tp>
      <tp>
        <v>1069</v>
        <stp/>
        <stp>bse_cm|83TCHF25</stp>
        <stp>Ask Rate</stp>
        <tr r="F489" s="1"/>
      </tp>
      <tp>
        <v>0</v>
        <stp/>
        <stp>bse_cm|82TCHF25</stp>
        <stp>Ask Rate</stp>
        <tr r="F1015" s="1"/>
      </tp>
      <tp>
        <v>6570</v>
        <stp/>
        <stp>nse_cm|865NHB34-N4</stp>
        <stp xml:space="preserve">Low </stp>
        <tr r="O1166" s="1"/>
      </tp>
      <tp>
        <v>1005</v>
        <stp/>
        <stp>nse_cm|897MOFSL29-N4</stp>
        <stp>Prev Close</stp>
        <tr r="P296" s="1"/>
      </tp>
      <tp>
        <v>0</v>
        <stp/>
        <stp>bse_cm|SCL24A</stp>
        <stp>Open</stp>
        <tr r="M1749" s="1"/>
      </tp>
      <tp>
        <v>-2.06</v>
        <stp/>
        <stp>nse_cm|888ERFL28-N5</stp>
        <stp>% Change</stp>
        <tr r="J63" s="1"/>
      </tp>
      <tp>
        <v>1.17</v>
        <stp/>
        <stp>nse_cm|IIFLZC28C-N6</stp>
        <stp>% Change</stp>
        <tr r="J1656" s="1"/>
      </tp>
      <tp>
        <v>-100</v>
        <stp/>
        <stp>bse_cm|735NABAR31</stp>
        <stp>% Change</stp>
        <tr r="J14" s="1"/>
      </tp>
      <tp>
        <v>1000</v>
        <stp/>
        <stp>nse_cm|885SCL26-N9</stp>
        <stp xml:space="preserve">Low </stp>
        <tr r="O686" s="1"/>
      </tp>
      <tp>
        <v>0</v>
        <stp/>
        <stp>nse_cm|IIFLZC25C-N8</stp>
        <stp>% Change</stp>
        <tr r="J1748" s="1"/>
      </tp>
      <tp>
        <v>0</v>
        <stp/>
        <stp>bse_cm|83TCHF28</stp>
        <stp>Ask Rate</stp>
        <tr r="F832" s="1"/>
      </tp>
      <tp>
        <v>1070</v>
        <stp/>
        <stp>bse_cm|81TCHF28</stp>
        <stp>Ask Rate</stp>
        <tr r="F479" s="1"/>
      </tp>
      <tp>
        <v>1075</v>
        <stp/>
        <stp>bse_cm|84TCHF28</stp>
        <stp>Ask Rate</stp>
        <tr r="F403" s="1"/>
      </tp>
      <tp>
        <v>1041</v>
        <stp/>
        <stp>bse_cm|KFL25D</stp>
        <stp>High</stp>
        <tr r="N1688" s="1"/>
      </tp>
      <tp>
        <v>-100</v>
        <stp/>
        <stp>bse_cm|897MOFSL29</stp>
        <stp>% Change</stp>
        <tr r="J332" s="1"/>
      </tp>
      <tp>
        <v>1103</v>
        <stp/>
        <stp>bse_cm|KFL25C</stp>
        <stp>High</stp>
        <tr r="N1307" s="1"/>
      </tp>
      <tp>
        <v>0</v>
        <stp/>
        <stp>nse_cm|CIFCZC25A-N1</stp>
        <stp>% Change</stp>
        <tr r="J1730" s="1"/>
      </tp>
      <tp>
        <v>5500</v>
        <stp/>
        <stp>nse_cm|868NHB29-N3</stp>
        <stp xml:space="preserve">Low </stp>
        <tr r="O1342" s="1"/>
      </tp>
      <tp>
        <v>1127</v>
        <stp/>
        <stp>bse_cm|KFL25B</stp>
        <stp>High</stp>
        <tr r="N1308" s="1"/>
      </tp>
      <tp>
        <v>0</v>
        <stp/>
        <stp>nse_cm|CIFCZC26A-N3</stp>
        <stp>% Change</stp>
        <tr r="J1565" s="1"/>
      </tp>
      <tp>
        <v>1176.07</v>
        <stp/>
        <stp>nse_cm|871REC28-N9</stp>
        <stp xml:space="preserve">Low </stp>
        <tr r="O542" s="1"/>
      </tp>
      <tp>
        <v>-100</v>
        <stp/>
        <stp>bse_cm|EFSL260724</stp>
        <stp>% Change</stp>
        <tr r="J586" s="1"/>
      </tp>
      <tp>
        <v>1148</v>
        <stp/>
        <stp>bse_cm|KFL25A</stp>
        <stp>High</stp>
        <tr r="N1703" s="1"/>
      </tp>
      <tp>
        <v>1076.8</v>
        <stp/>
        <stp>bse_cm|MFL23A</stp>
        <stp>High</stp>
        <tr r="N1560" s="1"/>
      </tp>
      <tp>
        <v>-100</v>
        <stp/>
        <stp>bse_cm|764NABAR31</stp>
        <stp>% Change</stp>
        <tr r="J497" s="1"/>
      </tp>
      <tp t="s">
        <v>958NIDO27</v>
        <stp/>
        <stp>bse_cm|958NIDO27</stp>
        <stp>Trading Symbol</stp>
        <tr r="B1402" s="1"/>
      </tp>
      <tp t="s">
        <v>955NIDO27</v>
        <stp/>
        <stp>bse_cm|955NIDO27</stp>
        <stp>Trading Symbol</stp>
        <tr r="B51" s="1"/>
      </tp>
      <tp t="s">
        <v>NSE</v>
        <stp/>
        <stp>nse_cm|1003SCL30A-NV</stp>
        <stp>Exchange</stp>
        <tr r="C728" s="1"/>
      </tp>
      <tp t="s">
        <v>957NIDO26</v>
        <stp/>
        <stp>bse_cm|957NIDO26</stp>
        <stp>Trading Symbol</stp>
        <tr r="B329" s="1"/>
      </tp>
      <tp t="s">
        <v>975AHFL28</v>
        <stp/>
        <stp>bse_cm|975AHFL28</stp>
        <stp>Trading Symbol</stp>
        <tr r="B324" s="1"/>
      </tp>
      <tp t="s">
        <v>975MMFL26</v>
        <stp/>
        <stp>bse_cm|975MMFL26</stp>
        <stp>Trading Symbol</stp>
        <tr r="B215" s="1"/>
      </tp>
      <tp t="s">
        <v>975MMFL24</v>
        <stp/>
        <stp>bse_cm|975MMFL24</stp>
        <stp>Trading Symbol</stp>
        <tr r="B853" s="1"/>
      </tp>
      <tp t="s">
        <v>925MFCL27</v>
        <stp/>
        <stp>bse_cm|925MFCL27</stp>
        <stp>Trading Symbol</stp>
        <tr r="B262" s="1"/>
      </tp>
      <tp t="s">
        <v>925MFCL26</v>
        <stp/>
        <stp>bse_cm|925MFCL26</stp>
        <stp>Trading Symbol</stp>
        <tr r="B1610" s="1"/>
      </tp>
      <tp t="s">
        <v>875IIFL26</v>
        <stp/>
        <stp>bse_cm|875IIFL26</stp>
        <stp>Trading Symbol</stp>
        <tr r="B642" s="1"/>
      </tp>
      <tp t="s">
        <v>875IHFL29</v>
        <stp/>
        <stp>bse_cm|875IHFL29</stp>
        <stp>Trading Symbol</stp>
        <tr r="B1230" s="1"/>
      </tp>
      <tp t="s">
        <v>975KAFL26</v>
        <stp/>
        <stp>bse_cm|975KAFL26</stp>
        <stp>Trading Symbol</stp>
        <tr r="B859" s="1"/>
      </tp>
      <tp t="s">
        <v>975KAFL25</v>
        <stp/>
        <stp>bse_cm|975KAFL25</stp>
        <stp>Trading Symbol</stp>
        <tr r="B860" s="1"/>
      </tp>
      <tp t="s">
        <v>875SCFL27</v>
        <stp/>
        <stp>bse_cm|875SCFL27</stp>
        <stp>Trading Symbol</stp>
        <tr r="B1011" s="1"/>
      </tp>
      <tp t="s">
        <v>925SFCL25</v>
        <stp/>
        <stp>bse_cm|925SFCL25</stp>
        <stp>Trading Symbol</stp>
        <tr r="B1482" s="1"/>
      </tp>
      <tp t="s">
        <v>KAF080824</v>
        <stp/>
        <stp>bse_cm|KAF080824</stp>
        <stp>Trading Symbol</stp>
        <tr r="B1322" s="1"/>
      </tp>
      <tp t="s">
        <v>960CAGL25</v>
        <stp/>
        <stp>bse_cm|960CAGL25</stp>
        <stp>Trading Symbol</stp>
        <tr r="B347" s="1"/>
      </tp>
      <tp t="s">
        <v>704NHAI26</v>
        <stp/>
        <stp>bse_cm|704NHAI26</stp>
        <stp>Trading Symbol</stp>
        <tr r="B1204" s="1"/>
      </tp>
      <tp>
        <v>993</v>
        <stp/>
        <stp>nse_cm|1003ISFL28-N4</stp>
        <stp>High</stp>
        <tr r="N197" s="1"/>
      </tp>
      <tp t="s">
        <v>INE148I07NP0</v>
        <stp/>
        <stp>nse_cm|87SCL25-ZV</stp>
        <stp>Isin code</stp>
        <tr r="R979" s="1"/>
      </tp>
      <tp t="s">
        <v>78ABFL33</v>
        <stp/>
        <stp>bse_cm|78ABFL33</stp>
        <stp>Symbol</stp>
        <tr r="A378" s="1"/>
      </tp>
      <tp t="s">
        <v>88NWIL25</v>
        <stp/>
        <stp>bse_cm|88NWIL25</stp>
        <stp>Symbol</stp>
        <tr r="A219" s="1"/>
      </tp>
      <tp t="s">
        <v>785MFL28</v>
        <stp/>
        <stp>bse_cm|785MFL28</stp>
        <stp>Symbol</stp>
        <tr r="A439" s="1"/>
      </tp>
      <tp t="s">
        <v>760MFL25</v>
        <stp/>
        <stp>bse_cm|760MFL25</stp>
        <stp>Symbol</stp>
        <tr r="A482" s="1"/>
      </tp>
      <tp t="s">
        <v>1075SCL33B</v>
        <stp/>
        <stp>nse_cm|1075SCL33B-NW</stp>
        <stp>Symbol</stp>
        <tr r="A889" s="1"/>
      </tp>
      <tp t="s">
        <v>775MFL27</v>
        <stp/>
        <stp>bse_cm|775MFL27</stp>
        <stp>Symbol</stp>
        <tr r="A694" s="1"/>
      </tp>
      <tp t="s">
        <v>775MFL26</v>
        <stp/>
        <stp>bse_cm|775MFL26</stp>
        <stp>Symbol</stp>
        <tr r="A328" s="1"/>
      </tp>
      <tp t="s">
        <v>775MFL25</v>
        <stp/>
        <stp>bse_cm|775MFL25</stp>
        <stp>Symbol</stp>
        <tr r="A1369" s="1"/>
      </tp>
      <tp t="s">
        <v>750MFL27</v>
        <stp/>
        <stp>bse_cm|750MFL27</stp>
        <stp>Symbol</stp>
        <tr r="A274" s="1"/>
      </tp>
      <tp t="s">
        <v>925IHFL25E</v>
        <stp/>
        <stp>nse_cm|925IHFL25E-N8</stp>
        <stp>Symbol</stp>
        <tr r="A561" s="1"/>
      </tp>
      <tp t="s">
        <v>725MFL24</v>
        <stp/>
        <stp>bse_cm|725MFL24</stp>
        <stp>Symbol</stp>
        <tr r="A446" s="1"/>
      </tp>
      <tp t="s">
        <v>735MFL25</v>
        <stp/>
        <stp>bse_cm|735MFL25</stp>
        <stp>Symbol</stp>
        <tr r="A308" s="1"/>
      </tp>
      <tp>
        <v>0</v>
        <stp/>
        <stp>bse_cm|934JMFCS28</stp>
        <stp>ATP</stp>
        <tr r="K325" s="1"/>
      </tp>
      <tp>
        <v>0</v>
        <stp/>
        <stp>bse_cm|975JMFCS28</stp>
        <stp>ATP</stp>
        <tr r="K275" s="1"/>
      </tp>
      <tp>
        <v>0</v>
        <stp/>
        <stp>bse_cm|981JMFCS28</stp>
        <stp>ATP</stp>
        <tr r="K295" s="1"/>
      </tp>
      <tp t="s">
        <v>1015SCL28B</v>
        <stp/>
        <stp>nse_cm|1015SCL28B-AZ</stp>
        <stp>Symbol</stp>
        <tr r="A1614" s="1"/>
      </tp>
      <tp>
        <v>940</v>
        <stp/>
        <stp>nse_cm|1025ICCL26-NT</stp>
        <stp xml:space="preserve">Low </stp>
        <tr r="O771" s="1"/>
      </tp>
      <tp t="s">
        <v>INE121A07RQ3</v>
        <stp/>
        <stp>nse_cm|875CIFC23B-NJ</stp>
        <stp>Isin code</stp>
        <tr r="R346" s="1"/>
      </tp>
      <tp t="s">
        <v>INE244L07291</v>
        <stp/>
        <stp>nse_cm|913ICCL24A-NF</stp>
        <stp>Isin code</stp>
        <tr r="R781" s="1"/>
      </tp>
      <tp t="s">
        <v>INE244L07358</v>
        <stp/>
        <stp>nse_cm|948ICCL25A-NG</stp>
        <stp>Isin code</stp>
        <tr r="R1736" s="1"/>
      </tp>
      <tp>
        <v>950</v>
        <stp/>
        <stp>nse_cm|1003IIFL29-NC</stp>
        <stp>High</stp>
        <tr r="N1077" s="1"/>
      </tp>
      <tp>
        <v>975</v>
        <stp/>
        <stp>bse_cm|9ARKA25</stp>
        <stp>Prev Close</stp>
        <tr r="P1365" s="1"/>
      </tp>
      <tp>
        <v>970</v>
        <stp/>
        <stp>nse_cm|1003ICCL28-NX</stp>
        <stp>High</stp>
        <tr r="N553" s="1"/>
      </tp>
      <tp>
        <v>0</v>
        <stp/>
        <stp>bse_cm|886ONE25</stp>
        <stp>Open</stp>
        <tr r="M723" s="1"/>
      </tp>
      <tp>
        <v>0</v>
        <stp/>
        <stp>bse_cm|916ONE25</stp>
        <stp>Open</stp>
        <tr r="M965" s="1"/>
      </tp>
      <tp t="s">
        <v>0MOFSL26-N1</v>
        <stp/>
        <stp>nse_cm|0MOFSL26-N1</stp>
        <stp>Trading Symbol</stp>
        <tr r="B1644" s="1"/>
      </tp>
      <tp>
        <v>0</v>
        <stp/>
        <stp>nse_cm|813LTF29-NP</stp>
        <stp>Volume Traded Today</stp>
        <tr r="L1000" s="1"/>
      </tp>
      <tp>
        <v>0</v>
        <stp/>
        <stp>nse_cm|815LTF24-NK</stp>
        <stp>Volume Traded Today</stp>
        <tr r="L1693" s="1"/>
      </tp>
      <tp>
        <v>0</v>
        <stp/>
        <stp>nse_cm|815LTF27-NO</stp>
        <stp>Volume Traded Today</stp>
        <tr r="L1001" s="1"/>
      </tp>
      <tp t="s">
        <v>10IFSL26-N7</v>
        <stp/>
        <stp>nse_cm|10IFSL26-N7</stp>
        <stp>Trading Symbol</stp>
        <tr r="B293" s="1"/>
      </tp>
      <tp>
        <v>0</v>
        <stp/>
        <stp>nse_cm|824LTF27-NQ</stp>
        <stp>Volume Traded Today</stp>
        <tr r="L999" s="1"/>
      </tp>
      <tp>
        <v>176</v>
        <stp/>
        <stp>nse_cm|829LTF24-NL</stp>
        <stp>Volume Traded Today</stp>
        <tr r="L3" s="1"/>
      </tp>
      <tp>
        <v>-100</v>
        <stp/>
        <stp>bse_cm|888IHFL25F</stp>
        <stp>% Change</stp>
        <tr r="J693" s="1"/>
      </tp>
      <tp>
        <v>0</v>
        <stp/>
        <stp>bse_cm|956AEL29</stp>
        <stp>Open</stp>
        <tr r="M311" s="1"/>
      </tp>
      <tp>
        <v>0</v>
        <stp/>
        <stp>bse_cm|797IGT31</stp>
        <stp>Open</stp>
        <tr r="M381" s="1"/>
      </tp>
      <tp>
        <v>988.5</v>
        <stp/>
        <stp>nse_cm|78ABFL33-N4</stp>
        <stp xml:space="preserve">Low </stp>
        <tr r="O371" s="1"/>
      </tp>
      <tp>
        <v>0</v>
        <stp/>
        <stp>bse_cm|916ONE27</stp>
        <stp>Open</stp>
        <tr r="M267" s="1"/>
      </tp>
      <tp>
        <v>10</v>
        <stp/>
        <stp>bse_cm|EFS290424</stp>
        <stp>Bid Qty</stp>
        <tr r="D570" s="1"/>
      </tp>
      <tp>
        <v>999</v>
        <stp/>
        <stp>nse_cm|829LTF24-NL</stp>
        <stp xml:space="preserve">Low </stp>
        <tr r="O3" s="1"/>
      </tp>
      <tp>
        <v>0</v>
        <stp/>
        <stp>nse_cm|902SCL27-YU</stp>
        <stp>Open</stp>
        <tr r="M844" s="1"/>
      </tp>
      <tp>
        <v>0</v>
        <stp/>
        <stp>nse_cm|845LTF24-NI</stp>
        <stp>Volume Traded Today</stp>
        <tr r="L942" s="1"/>
      </tp>
      <tp>
        <v>1000</v>
        <stp/>
        <stp>bse_cm|743IREDA36</stp>
        <stp>Face Value</stp>
        <tr r="Q1441" s="1"/>
      </tp>
      <tp>
        <v>1000</v>
        <stp/>
        <stp>bse_cm|753IREDA26</stp>
        <stp>Face Value</stp>
        <tr r="Q487" s="1"/>
      </tp>
      <tp>
        <v>10</v>
        <stp/>
        <stp>bse_cm|1045EFS34</stp>
        <stp>Bid Qty</stp>
        <tr r="D1450" s="1"/>
      </tp>
      <tp>
        <v>20</v>
        <stp/>
        <stp>bse_cm|1045EFS33</stp>
        <stp>Bid Qty</stp>
        <tr r="D1030" s="1"/>
      </tp>
      <tp>
        <v>0</v>
        <stp/>
        <stp>nse_cm|852LTF27-NG</stp>
        <stp>Volume Traded Today</stp>
        <tr r="L1006" s="1"/>
      </tp>
      <tp>
        <v>0</v>
        <stp/>
        <stp>nse_cm|865LTF26-NN</stp>
        <stp>Volume Traded Today</stp>
        <tr r="L392" s="1"/>
      </tp>
      <tp>
        <v>0</v>
        <stp/>
        <stp>nse_cm|93SCFL25-Z1</stp>
        <stp>Open</stp>
        <tr r="M946" s="1"/>
      </tp>
      <tp>
        <v>0</v>
        <stp/>
        <stp>bse_cm|85PFL26A</stp>
        <stp>Ask Rate</stp>
        <tr r="F711" s="1"/>
      </tp>
      <tp>
        <v>-100</v>
        <stp/>
        <stp>bse_cm|888IHFL25C</stp>
        <stp>% Change</stp>
        <tr r="J1058" s="1"/>
      </tp>
      <tp>
        <v>0</v>
        <stp/>
        <stp>nse_cm|939SCL27-ZZ</stp>
        <stp>Open</stp>
        <tr r="M982" s="1"/>
      </tp>
      <tp>
        <v>824.2</v>
        <stp/>
        <stp>bse_cm|10KFL27A</stp>
        <stp>Bid Rate</stp>
        <tr r="E1092" s="1"/>
      </tp>
      <tp>
        <v>901.7</v>
        <stp/>
        <stp>bse_cm|95KFL27A</stp>
        <stp>Bid Rate</stp>
        <tr r="E132" s="1"/>
      </tp>
      <tp>
        <v>0</v>
        <stp/>
        <stp>nse_cm|885LTF27-NE</stp>
        <stp>Volume Traded Today</stp>
        <tr r="L1007" s="1"/>
      </tp>
      <tp>
        <v>932.5</v>
        <stp/>
        <stp>nse_cm|985ECL28-NK</stp>
        <stp xml:space="preserve">Low </stp>
        <tr r="O52" s="1"/>
      </tp>
      <tp>
        <v>0</v>
        <stp/>
        <stp>nse_cm|884LTF29-N6</stp>
        <stp>Volume Traded Today</stp>
        <tr r="L1009" s="1"/>
      </tp>
      <tp>
        <v>0</v>
        <stp/>
        <stp>bse_cm|TCHF30</stp>
        <stp>Open</stp>
        <tr r="M423" s="1"/>
      </tp>
      <tp>
        <v>900</v>
        <stp/>
        <stp>nse_cm|971SCL28-AN</stp>
        <stp xml:space="preserve">Low </stp>
        <tr r="O538" s="1"/>
      </tp>
      <tp>
        <v>0</v>
        <stp/>
        <stp>nse_cm|888SCL25-NG</stp>
        <stp xml:space="preserve">Low </stp>
        <tr r="O912" s="1"/>
      </tp>
      <tp>
        <v>300</v>
        <stp/>
        <stp>nse_cm|898LTF29-N7</stp>
        <stp>Volume Traded Today</stp>
        <tr r="L385" s="1"/>
      </tp>
      <tp>
        <v>924</v>
        <stp/>
        <stp>bse_cm|960EFSLA</stp>
        <stp>Bid Rate</stp>
        <tr r="E699" s="1"/>
      </tp>
      <tp>
        <v>1000</v>
        <stp/>
        <stp>bse_cm|704HUDCO26</stp>
        <stp>Face Value</stp>
        <tr r="Q1724" s="1"/>
      </tp>
      <tp>
        <v>1000</v>
        <stp/>
        <stp>bse_cm|764HUDCO31</stp>
        <stp>Face Value</stp>
        <tr r="Q16" s="1"/>
      </tp>
      <tp>
        <v>0</v>
        <stp/>
        <stp>bse_cm|966ONE29</stp>
        <stp>Open</stp>
        <tr r="M281" s="1"/>
      </tp>
      <tp>
        <v>0</v>
        <stp/>
        <stp>bse_cm|926ONE29</stp>
        <stp>Open</stp>
        <tr r="M1467" s="1"/>
      </tp>
      <tp>
        <v>0</v>
        <stp/>
        <stp>nse_cm|833SCL24-ZE</stp>
        <stp>Open</stp>
        <tr r="M957" s="1"/>
      </tp>
      <tp>
        <v>0</v>
        <stp/>
        <stp>nse_cm|IIFLZC25A-NP</stp>
        <stp>% Change</stp>
        <tr r="J1578" s="1"/>
      </tp>
      <tp>
        <v>0</v>
        <stp/>
        <stp>nse_cm|824LTF27-NQ</stp>
        <stp xml:space="preserve">Low </stp>
        <tr r="O999" s="1"/>
      </tp>
      <tp>
        <v>18.66</v>
        <stp/>
        <stp>nse_cm|IIFLZC26A-NR</stp>
        <stp>% Change</stp>
        <tr r="J1680" s="1"/>
      </tp>
      <tp t="s">
        <v>10IIFL29-N6</v>
        <stp/>
        <stp>nse_cm|10IIFL29-N6</stp>
        <stp>Trading Symbol</stp>
        <tr r="B193" s="1"/>
      </tp>
      <tp t="s">
        <v>00:00:00</v>
        <stp/>
        <stp>bse_cm|MVAFZC25</stp>
        <stp>LTT</stp>
        <tr r="I1746" s="1"/>
      </tp>
      <tp>
        <v>0</v>
        <stp/>
        <stp>bse_cm|MVAFZC25</stp>
        <stp>LTP</stp>
        <tr r="H1746" s="1"/>
      </tp>
      <tp>
        <v>1000</v>
        <stp/>
        <stp>bse_cm|934JMFCS28</stp>
        <stp>Face Value</stp>
        <tr r="Q325" s="1"/>
      </tp>
      <tp>
        <v>0</v>
        <stp/>
        <stp>nse_cm|IIFLZC25B-NW</stp>
        <stp>% Change</stp>
        <tr r="J1684" s="1"/>
      </tp>
      <tp>
        <v>0</v>
        <stp/>
        <stp>nse_cm|82TCHF25-N5</stp>
        <stp xml:space="preserve">Low </stp>
        <tr r="O1014" s="1"/>
      </tp>
      <tp>
        <v>990</v>
        <stp/>
        <stp>bse_cm|1049DLS25A</stp>
        <stp>Prev Close</stp>
        <tr r="P119" s="1"/>
      </tp>
      <tp>
        <v>-100</v>
        <stp/>
        <stp>nse_cm|9SCL26B-ND</stp>
        <stp>% Change</stp>
        <tr r="J994" s="1"/>
      </tp>
      <tp>
        <v>0</v>
        <stp/>
        <stp>bse_cm|957SCL31</stp>
        <stp>Open</stp>
        <tr r="M1108" s="1"/>
      </tp>
      <tp>
        <v>0</v>
        <stp/>
        <stp>bse_cm|KAFL30</stp>
        <stp xml:space="preserve">Low </stp>
        <tr r="O1317" s="1"/>
      </tp>
      <tp>
        <v>0</v>
        <stp/>
        <stp>nse_cm|IIFLZC26B-NY</stp>
        <stp>% Change</stp>
        <tr r="J1629" s="1"/>
      </tp>
      <tp>
        <v>0</v>
        <stp/>
        <stp>bse_cm|957SCL30</stp>
        <stp>Open</stp>
        <tr r="M1110" s="1"/>
      </tp>
      <tp t="s">
        <v>BSE</v>
        <stp/>
        <stp>bse_cm|10SCL31A</stp>
        <stp>Exchange</stp>
        <tr r="C865" s="1"/>
      </tp>
      <tp>
        <v>820.2</v>
        <stp/>
        <stp>nse_cm|889SCL28-NU</stp>
        <stp xml:space="preserve">Low </stp>
        <tr r="O989" s="1"/>
      </tp>
      <tp>
        <v>1000</v>
        <stp/>
        <stp>bse_cm|1045EFS34A</stp>
        <stp>Prev Close</stp>
        <tr r="P1029" s="1"/>
      </tp>
      <tp>
        <v>970</v>
        <stp/>
        <stp>bse_cm|1045EFS33A</stp>
        <stp>Prev Close</stp>
        <tr r="P95" s="1"/>
      </tp>
      <tp>
        <v>979.99</v>
        <stp/>
        <stp>bse_cm|1045EFS33B</stp>
        <stp>Prev Close</stp>
        <tr r="P117" s="1"/>
      </tp>
      <tp>
        <v>0</v>
        <stp/>
        <stp>nse_cm|845LTF24-NI</stp>
        <stp>High</stp>
        <tr r="N942" s="1"/>
      </tp>
      <tp>
        <v>0</v>
        <stp/>
        <stp>nse_cm|IIFLZC28A-NU</stp>
        <stp>% Change</stp>
        <tr r="J1624" s="1"/>
      </tp>
      <tp>
        <v>900</v>
        <stp/>
        <stp>bse_cm|916SCL25</stp>
        <stp>Open</stp>
        <tr r="M964" s="1"/>
      </tp>
      <tp>
        <v>984</v>
        <stp/>
        <stp>bse_cm|866SCL25</stp>
        <stp>Open</stp>
        <tr r="M603" s="1"/>
      </tp>
      <tp>
        <v>0</v>
        <stp/>
        <stp>bse_cm|866SFL25</stp>
        <stp>Open</stp>
        <tr r="M1652" s="1"/>
      </tp>
      <tp>
        <v>1</v>
        <stp/>
        <stp>nse_cm|980IFSL25-N5</stp>
        <stp>Bid Qty</stp>
        <tr r="D476" s="1"/>
      </tp>
      <tp>
        <v>936.34</v>
        <stp/>
        <stp>bse_cm|EFS290424A</stp>
        <stp>Prev Close</stp>
        <tr r="P571" s="1"/>
      </tp>
      <tp>
        <v>939.33</v>
        <stp/>
        <stp>nse_cm|889SCL26-NS</stp>
        <stp xml:space="preserve">Low </stp>
        <tr r="O222" s="1"/>
      </tp>
      <tp t="s">
        <v>86CIFC29-NN</v>
        <stp/>
        <stp>nse_cm|86CIFC29-NN</stp>
        <stp>Trading Symbol</stp>
        <tr r="B1340" s="1"/>
      </tp>
      <tp>
        <v>1080</v>
        <stp/>
        <stp>nse_cm|812REC27-NI</stp>
        <stp>High</stp>
        <tr r="N462" s="1"/>
      </tp>
      <tp>
        <v>1030</v>
        <stp/>
        <stp>nse_cm|903SFL28-YI</stp>
        <stp>Open</stp>
        <tr r="M372" s="1"/>
      </tp>
      <tp>
        <v>1002</v>
        <stp/>
        <stp>nse_cm|980SCL33-NX</stp>
        <stp xml:space="preserve">Low </stp>
        <tr r="O360" s="1"/>
      </tp>
      <tp>
        <v>-100</v>
        <stp/>
        <stp>bse_cm|1003ISFL28</stp>
        <stp>% Change</stp>
        <tr r="J1456" s="1"/>
      </tp>
      <tp>
        <v>-100</v>
        <stp/>
        <stp>bse_cm|1050ISFL28</stp>
        <stp>% Change</stp>
        <tr r="J1497" s="1"/>
      </tp>
      <tp>
        <v>100</v>
        <stp/>
        <stp>nse_cm|97MOFSL34-N7</stp>
        <stp>Bid Qty</stp>
        <tr r="D1599" s="1"/>
      </tp>
      <tp>
        <v>0</v>
        <stp/>
        <stp>bse_cm|9MFL25A</stp>
        <stp>Ask Qty</stp>
        <tr r="G702" s="1"/>
      </tp>
      <tp>
        <v>931</v>
        <stp/>
        <stp>nse_cm|9IIFL28A-NT</stp>
        <stp xml:space="preserve">Low </stp>
        <tr r="O80" s="1"/>
      </tp>
      <tp>
        <v>27</v>
        <stp/>
        <stp>bse_cm|9MFL27A</stp>
        <stp>Ask Qty</stp>
        <tr r="G257" s="1"/>
      </tp>
      <tp>
        <v>1047.8</v>
        <stp/>
        <stp>nse_cm|94IFCI25-NL</stp>
        <stp>High</stp>
        <tr r="N235" s="1"/>
      </tp>
      <tp>
        <v>0</v>
        <stp/>
        <stp>bse_cm|9KFL26B</stp>
        <stp>Ask Qty</stp>
        <tr r="G667" s="1"/>
      </tp>
      <tp>
        <v>1000</v>
        <stp/>
        <stp>nse_cm|99AEL29-N7</stp>
        <stp>Face Value</stp>
        <tr r="Q246" s="1"/>
      </tp>
      <tp>
        <v>0</v>
        <stp/>
        <stp>bse_cm|9KFL26A</stp>
        <stp>Ask Qty</stp>
        <tr r="G1083" s="1"/>
      </tp>
      <tp>
        <v>1020.1</v>
        <stp/>
        <stp>bse_cm|10ARKA28</stp>
        <stp>Bid Rate</stp>
        <tr r="E1400" s="1"/>
      </tp>
      <tp>
        <v>1000</v>
        <stp/>
        <stp>nse_cm|82IGT31-NJ</stp>
        <stp>Face Value</stp>
        <tr r="Q375" s="1"/>
      </tp>
      <tp>
        <v>875.25</v>
        <stp/>
        <stp>bse_cm|93ARKA25</stp>
        <stp>Bid Rate</stp>
        <tr r="E1395" s="1"/>
      </tp>
      <tp>
        <v>1292</v>
        <stp/>
        <stp>nse_cm|880IREDA34-N6</stp>
        <stp>Prev Close</stp>
        <tr r="P511" s="1"/>
      </tp>
      <tp>
        <v>875.3</v>
        <stp/>
        <stp>bse_cm|93ARKA26</stp>
        <stp>Bid Rate</stp>
        <tr r="E981" s="1"/>
      </tp>
      <tp>
        <v>0</v>
        <stp/>
        <stp>nse_cm|1077IIFL30-N7</stp>
        <stp>Prev Close</stp>
        <tr r="P996" s="1"/>
      </tp>
      <tp>
        <v>1137.0999999999999</v>
        <stp/>
        <stp>nse_cm|855IREDA29-N2</stp>
        <stp>Prev Close</stp>
        <tr r="P505" s="1"/>
      </tp>
      <tp>
        <v>1001</v>
        <stp/>
        <stp>nse_cm|875PCHFL26-N8</stp>
        <stp>Prev Close</stp>
        <tr r="P271" s="1"/>
      </tp>
      <tp>
        <v>1109.99</v>
        <stp/>
        <stp>nse_cm|851HUDCO28-NB</stp>
        <stp>Prev Close</stp>
        <tr r="P502" s="1"/>
      </tp>
      <tp>
        <v>1108</v>
        <stp/>
        <stp>nse_cm|751HUDCO28-N5</stp>
        <stp>Prev Close</stp>
        <tr r="P492" s="1"/>
      </tp>
      <tp>
        <v>0</v>
        <stp/>
        <stp>nse_cm|867PFCL33-N7</stp>
        <stp>% Change</stp>
        <tr r="J550" s="1"/>
      </tp>
      <tp>
        <v>6000</v>
        <stp/>
        <stp>nse_cm|890NHB34-N7</stp>
        <stp xml:space="preserve">Low </stp>
        <tr r="O537" s="1"/>
      </tp>
      <tp>
        <v>-100</v>
        <stp/>
        <stp>bse_cm|1050ICCL28</stp>
        <stp>% Change</stp>
        <tr r="J1133" s="1"/>
      </tp>
      <tp>
        <v>-100</v>
        <stp/>
        <stp>bse_cm|1003ICCL28</stp>
        <stp>% Change</stp>
        <tr r="J655" s="1"/>
      </tp>
      <tp>
        <v>-100</v>
        <stp/>
        <stp>bse_cm|1030ICCL28</stp>
        <stp>% Change</stp>
        <tr r="J1521" s="1"/>
      </tp>
      <tp>
        <v>0</v>
        <stp/>
        <stp>nse_cm|957ISFL26-N2</stp>
        <stp>% Change</stp>
        <tr r="J245" s="1"/>
      </tp>
      <tp>
        <v>987</v>
        <stp/>
        <stp>nse_cm|975NFL25-N0</stp>
        <stp xml:space="preserve">Low </stp>
        <tr r="O256" s="1"/>
      </tp>
      <tp>
        <v>5950</v>
        <stp/>
        <stp>nse_cm|893NHB29-N6</stp>
        <stp xml:space="preserve">Low </stp>
        <tr r="O529" s="1"/>
      </tp>
      <tp>
        <v>1050.01</v>
        <stp/>
        <stp>nse_cm|11DLSL25-NV</stp>
        <stp>High</stp>
        <tr r="N48" s="1"/>
      </tp>
      <tp>
        <v>1000</v>
        <stp/>
        <stp>nse_cm|86LTF24-NJ</stp>
        <stp>Face Value</stp>
        <tr r="Q7" s="1"/>
      </tp>
      <tp>
        <v>0</v>
        <stp/>
        <stp>nse_cm|848NTPC28-N2</stp>
        <stp>% Change</stp>
        <tr r="J1405" s="1"/>
      </tp>
      <tp>
        <v>25</v>
        <stp/>
        <stp>bse_cm|KFLZC31</stp>
        <stp>Bid Qty</stp>
        <tr r="D1286" s="1"/>
      </tp>
      <tp>
        <v>0</v>
        <stp/>
        <stp>nse_cm|0MOFSL27-N3</stp>
        <stp>Volume Traded Today</stp>
        <tr r="L1038" s="1"/>
      </tp>
      <tp>
        <v>0</v>
        <stp/>
        <stp>nse_cm|0MOFSL26-N1</stp>
        <stp>Volume Traded Today</stp>
        <tr r="L1644" s="1"/>
      </tp>
      <tp>
        <v>677</v>
        <stp/>
        <stp>bse_cm|984ICCL26A</stp>
        <stp>Face Value</stp>
        <tr r="Q883" s="1"/>
      </tp>
      <tp>
        <v>25</v>
        <stp/>
        <stp>bse_cm|KFLZC26</stp>
        <stp>Bid Qty</stp>
        <tr r="D1709" s="1"/>
      </tp>
      <tp>
        <v>27</v>
        <stp/>
        <stp>bse_cm|KFLZC27</stp>
        <stp>Bid Qty</stp>
        <tr r="D1292" s="1"/>
      </tp>
      <tp>
        <v>31</v>
        <stp/>
        <stp>bse_cm|KFLZC24</stp>
        <stp>Bid Qty</stp>
        <tr r="D1766" s="1"/>
      </tp>
      <tp>
        <v>45</v>
        <stp/>
        <stp>bse_cm|KFLZC25</stp>
        <stp>Bid Qty</stp>
        <tr r="D1754" s="1"/>
      </tp>
      <tp>
        <v>28</v>
        <stp/>
        <stp>bse_cm|KFLZC28</stp>
        <stp>Bid Qty</stp>
        <tr r="D1290" s="1"/>
      </tp>
      <tp>
        <v>54</v>
        <stp/>
        <stp>bse_cm|KFLZC29</stp>
        <stp>Bid Qty</stp>
        <tr r="D1639" s="1"/>
      </tp>
      <tp>
        <v>31</v>
        <stp/>
        <stp>bse_cm|KFLZC2A</stp>
        <stp>Bid Qty</stp>
        <tr r="D1760" s="1"/>
      </tp>
      <tp>
        <v>1198.01</v>
        <stp/>
        <stp>bse_cm|IML28C</stp>
        <stp>High</stp>
        <tr r="N1648" s="1"/>
      </tp>
      <tp>
        <v>995</v>
        <stp/>
        <stp>nse_cm|1049DLSL25-NX</stp>
        <stp>Prev Close</stp>
        <tr r="P43" s="1"/>
      </tp>
      <tp>
        <v>-100</v>
        <stp/>
        <stp>bse_cm|1003IIFL29</stp>
        <stp>% Change</stp>
        <tr r="J1078" s="1"/>
      </tp>
      <tp>
        <v>-100</v>
        <stp/>
        <stp>bse_cm|1050IIFL29</stp>
        <stp>% Change</stp>
        <tr r="J763" s="1"/>
      </tp>
      <tp>
        <v>9.59</v>
        <stp/>
        <stp>bse_cm|1030IFSL26</stp>
        <stp>% Change</stp>
        <tr r="J1654" s="1"/>
      </tp>
      <tp>
        <v>0</v>
        <stp/>
        <stp>bse_cm|8MFL26</stp>
        <stp>Ask Rate</stp>
        <tr r="F654" s="1"/>
      </tp>
      <tp>
        <v>0</v>
        <stp/>
        <stp>bse_cm|9SCL26B</stp>
        <stp>Ask Qty</stp>
        <tr r="G1135" s="1"/>
      </tp>
      <tp>
        <v>0</v>
        <stp/>
        <stp>bse_cm|9SFL26A</stp>
        <stp>Ask Qty</stp>
        <tr r="G1065" s="1"/>
      </tp>
      <tp>
        <v>979</v>
        <stp/>
        <stp>bse_cm|9MFL30</stp>
        <stp>Ask Rate</stp>
        <tr r="F244" s="1"/>
      </tp>
      <tp>
        <v>1490</v>
        <stp/>
        <stp>bse_cm|MVAFZC25</stp>
        <stp>Bid Rate</stp>
        <tr r="E1746" s="1"/>
      </tp>
      <tp>
        <v>-100</v>
        <stp/>
        <stp>bse_cm|1225ICLF26</stp>
        <stp>% Change</stp>
        <tr r="J1217" s="1"/>
      </tp>
      <tp>
        <v>-100</v>
        <stp/>
        <stp>bse_cm|1175ICLF25</stp>
        <stp>% Change</stp>
        <tr r="J1222" s="1"/>
      </tp>
      <tp>
        <v>1000</v>
        <stp/>
        <stp>bse_cm|1050KLMA28</stp>
        <stp>Face Value</stp>
        <tr r="Q611" s="1"/>
      </tp>
      <tp>
        <v>-100</v>
        <stp/>
        <stp>bse_cm|1025ICCL26</stp>
        <stp>% Change</stp>
        <tr r="J1175" s="1"/>
      </tp>
      <tp>
        <v>50</v>
        <stp/>
        <stp>bse_cm|9SFL25A</stp>
        <stp>Ask Qty</stp>
        <tr r="G441" s="1"/>
      </tp>
      <tp t="s">
        <v>888ERFL28</v>
        <stp/>
        <stp>bse_cm|888ERFL28</stp>
        <stp>Trading Symbol</stp>
        <tr r="B216" s="1"/>
      </tp>
      <tp t="s">
        <v>INE403Q07EA3</v>
        <stp/>
        <stp>bse_cm|KFLZC31</stp>
        <stp>Isin code</stp>
        <tr r="R1286" s="1"/>
      </tp>
      <tp t="s">
        <v>889SCFL27</v>
        <stp/>
        <stp>bse_cm|889SCFL27</stp>
        <stp>Trading Symbol</stp>
        <tr r="B484" s="1"/>
      </tp>
      <tp t="s">
        <v>895EFS25</v>
        <stp/>
        <stp>bse_cm|895EFS25</stp>
        <stp>Symbol</stp>
        <tr r="A730" s="1"/>
      </tp>
      <tp t="s">
        <v>NSE</v>
        <stp/>
        <stp>nse_cm|860CIFCL28-NG</stp>
        <stp>Exchange</stp>
        <tr r="C647" s="1"/>
      </tp>
      <tp t="s">
        <v>NSE</v>
        <stp/>
        <stp>nse_cm|10IIFLSF27-NB</stp>
        <stp>Exchange</stp>
        <tr r="C1657" s="1"/>
      </tp>
      <tp t="s">
        <v>985IIFL22</v>
        <stp/>
        <stp>bse_cm|985IIFL22</stp>
        <stp>Trading Symbol</stp>
        <tr r="B178" s="1"/>
      </tp>
      <tp t="s">
        <v>985KAFL26</v>
        <stp/>
        <stp>bse_cm|985KAFL26</stp>
        <stp>Trading Symbol</stp>
        <tr r="B1102" s="1"/>
      </tp>
      <tp t="s">
        <v>NSE</v>
        <stp/>
        <stp>nse_cm|850CIFCL26-NE</stp>
        <stp>Exchange</stp>
        <tr r="C450" s="1"/>
      </tp>
      <tp t="s">
        <v>EFSL27</v>
        <stp/>
        <stp>bse_cm|EFSL27</stp>
        <stp>Trading Symbol</stp>
        <tr r="B1531" s="1"/>
      </tp>
      <tp t="s">
        <v>EFSL26</v>
        <stp/>
        <stp>bse_cm|EFSL26</stp>
        <stp>Trading Symbol</stp>
        <tr r="B1687" s="1"/>
      </tp>
      <tp t="s">
        <v>EFSL25</v>
        <stp/>
        <stp>bse_cm|EFSL25</stp>
        <stp>Trading Symbol</stp>
        <tr r="B1694" s="1"/>
      </tp>
      <tp t="s">
        <v>EFSL29</v>
        <stp/>
        <stp>bse_cm|EFSL29</stp>
        <stp>Trading Symbol</stp>
        <tr r="B659" s="1"/>
      </tp>
      <tp t="s">
        <v>EFSL28</v>
        <stp/>
        <stp>bse_cm|EFSL28</stp>
        <stp>Trading Symbol</stp>
        <tr r="B1609" s="1"/>
      </tp>
      <tp t="s">
        <v>DLSL25</v>
        <stp/>
        <stp>bse_cm|DLSL25</stp>
        <stp>Trading Symbol</stp>
        <tr r="B1747" s="1"/>
      </tp>
      <tp t="s">
        <v>85CIFC27</v>
        <stp/>
        <stp>bse_cm|85CIFC27</stp>
        <stp>Symbol</stp>
        <tr r="A974" s="1"/>
      </tp>
      <tp t="s">
        <v>880MFL28</v>
        <stp/>
        <stp>bse_cm|880MFL28</stp>
        <stp>Symbol</stp>
        <tr r="A1338" s="1"/>
      </tp>
      <tp t="s">
        <v>86CIFC29</v>
        <stp/>
        <stp>bse_cm|86CIFC29</stp>
        <stp>Symbol</stp>
        <tr r="A1341" s="1"/>
      </tp>
      <tp t="s">
        <v>890MFL26</v>
        <stp/>
        <stp>bse_cm|890MFL26</stp>
        <stp>Symbol</stp>
        <tr r="A1478" s="1"/>
      </tp>
      <tp t="s">
        <v>865IFL28</v>
        <stp/>
        <stp>bse_cm|865IFL28</stp>
        <stp>Symbol</stp>
        <tr r="A115" s="1"/>
      </tp>
      <tp t="s">
        <v>866SFL25</v>
        <stp/>
        <stp>bse_cm|866SFL25</stp>
        <stp>Symbol</stp>
        <tr r="A1652" s="1"/>
      </tp>
      <tp t="s">
        <v>875MFL28</v>
        <stp/>
        <stp>bse_cm|875MFL28</stp>
        <stp>Symbol</stp>
        <tr r="A689" s="1"/>
      </tp>
      <tp t="s">
        <v>875MFL26</v>
        <stp/>
        <stp>bse_cm|875MFL26</stp>
        <stp>Symbol</stp>
        <tr r="A161" s="1"/>
      </tp>
      <tp t="s">
        <v>875KFL25</v>
        <stp/>
        <stp>bse_cm|875KFL25</stp>
        <stp>Symbol</stp>
        <tr r="A50" s="1"/>
      </tp>
      <tp t="s">
        <v>875KFL26</v>
        <stp/>
        <stp>bse_cm|875KFL26</stp>
        <stp>Symbol</stp>
        <tr r="A1156" s="1"/>
      </tp>
      <tp t="s">
        <v>875SFL25</v>
        <stp/>
        <stp>bse_cm|875SFL25</stp>
        <stp>Symbol</stp>
        <tr r="A936" s="1"/>
      </tp>
      <tp t="s">
        <v>875SFL27</v>
        <stp/>
        <stp>bse_cm|875SFL27</stp>
        <stp>Symbol</stp>
        <tr r="A578" s="1"/>
      </tp>
      <tp t="s">
        <v>870MFL27</v>
        <stp/>
        <stp>bse_cm|870MFL27</stp>
        <stp>Symbol</stp>
        <tr r="A399" s="1"/>
      </tp>
      <tp t="s">
        <v>INE244L07283</v>
        <stp/>
        <stp>nse_cm|1030ICCL28-NM</stp>
        <stp>Isin code</stp>
        <tr r="R1596" s="1"/>
      </tp>
      <tp t="s">
        <v>840MFL27</v>
        <stp/>
        <stp>bse_cm|840MFL27</stp>
        <stp>Symbol</stp>
        <tr r="A133" s="1"/>
      </tp>
      <tp t="s">
        <v>INE403Q07CU5</v>
        <stp/>
        <stp>bse_cm|95KFL26</stp>
        <stp>Isin code</stp>
        <tr r="R253" s="1"/>
      </tp>
      <tp t="s">
        <v>INE413U07293</v>
        <stp/>
        <stp>nse_cm|10IIFLSF27-NB</stp>
        <stp>Isin code</stp>
        <tr r="R1657" s="1"/>
      </tp>
      <tp t="s">
        <v>85IIFL25</v>
        <stp/>
        <stp>bse_cm|85IIFL25</stp>
        <stp>Symbol</stp>
        <tr r="A134" s="1"/>
      </tp>
      <tp t="s">
        <v>850MFL29</v>
        <stp/>
        <stp>bse_cm|850MFL29</stp>
        <stp>Symbol</stp>
        <tr r="A356" s="1"/>
      </tp>
      <tp t="s">
        <v>850MFL28</v>
        <stp/>
        <stp>bse_cm|850MFL28</stp>
        <stp>Symbol</stp>
        <tr r="A236" s="1"/>
      </tp>
      <tp t="s">
        <v>850MFL27</v>
        <stp/>
        <stp>bse_cm|850MFL27</stp>
        <stp>Symbol</stp>
        <tr r="A265" s="1"/>
      </tp>
      <tp t="s">
        <v>850MFL24</v>
        <stp/>
        <stp>bse_cm|850MFL24</stp>
        <stp>Symbol</stp>
        <tr r="A1100" s="1"/>
      </tp>
      <tp t="s">
        <v>825MFL29</v>
        <stp/>
        <stp>bse_cm|825MFL29</stp>
        <stp>Symbol</stp>
        <tr r="A473" s="1"/>
      </tp>
      <tp t="s">
        <v>825MFL27</v>
        <stp/>
        <stp>bse_cm|825MFL27</stp>
        <stp>Symbol</stp>
        <tr r="A344" s="1"/>
      </tp>
      <tp t="s">
        <v>825MFL26</v>
        <stp/>
        <stp>bse_cm|825MFL26</stp>
        <stp>Symbol</stp>
        <tr r="A418" s="1"/>
      </tp>
      <tp t="s">
        <v>825MFL25</v>
        <stp/>
        <stp>bse_cm|825MFL25</stp>
        <stp>Symbol</stp>
        <tr r="A596" s="1"/>
      </tp>
      <tp t="s">
        <v>825KFL25</v>
        <stp/>
        <stp>bse_cm|825KFL25</stp>
        <stp>Symbol</stp>
        <tr r="A252" s="1"/>
      </tp>
      <tp t="s">
        <v>829PFL29</v>
        <stp/>
        <stp>bse_cm|829PFL29</stp>
        <stp>Symbol</stp>
        <tr r="A930" s="1"/>
      </tp>
      <tp t="s">
        <v>835MFL26</v>
        <stp/>
        <stp>bse_cm|835MFL26</stp>
        <stp>Symbol</stp>
        <tr r="A169" s="1"/>
      </tp>
      <tp t="s">
        <v>835IFL25</v>
        <stp/>
        <stp>bse_cm|835IFL25</stp>
        <stp>Symbol</stp>
        <tr r="A668" s="1"/>
      </tp>
      <tp t="s">
        <v>81ABFL33</v>
        <stp/>
        <stp>bse_cm|81ABFL33</stp>
        <stp>Symbol</stp>
        <tr r="A1603" s="1"/>
      </tp>
      <tp t="s">
        <v>810MFL25</v>
        <stp/>
        <stp>bse_cm|810MFL25</stp>
        <stp>Symbol</stp>
        <tr r="A429" s="1"/>
      </tp>
      <tp t="s">
        <v>INE244L07366</v>
        <stp/>
        <stp>nse_cm|955ICCL25A-NH</stp>
        <stp>Isin code</stp>
        <tr r="R486" s="1"/>
      </tp>
      <tp t="s">
        <v>INE244L07390</v>
        <stp/>
        <stp>nse_cm|984ICCL26A-NK</stp>
        <stp>Isin code</stp>
        <tr r="R716" s="1"/>
      </tp>
      <tp t="s">
        <v>920SCL23A</v>
        <stp/>
        <stp>bse_cm|920SCL23A</stp>
        <stp>Trading Symbol</stp>
        <tr r="B1114" s="1"/>
      </tp>
      <tp t="s">
        <v>925KFL26A</v>
        <stp/>
        <stp>bse_cm|925KFL26A</stp>
        <stp>Trading Symbol</stp>
        <tr r="B1479" s="1"/>
      </tp>
      <tp t="s">
        <v>825MFL25A</v>
        <stp/>
        <stp>bse_cm|825MFL25A</stp>
        <stp>Trading Symbol</stp>
        <tr r="B931" s="1"/>
      </tp>
      <tp t="s">
        <v>925SCL25Z</v>
        <stp/>
        <stp>bse_cm|925SCL25Z</stp>
        <stp>Trading Symbol</stp>
        <tr r="B790" s="1"/>
      </tp>
      <tp t="s">
        <v>925SCL25H</v>
        <stp/>
        <stp>bse_cm|925SCL25H</stp>
        <stp>Trading Symbol</stp>
        <tr r="B886" s="1"/>
      </tp>
      <tp t="s">
        <v>925SCL25F</v>
        <stp/>
        <stp>bse_cm|925SCL25F</stp>
        <stp>Trading Symbol</stp>
        <tr r="B719" s="1"/>
      </tp>
      <tp t="s">
        <v>925SCL25G</v>
        <stp/>
        <stp>bse_cm|925SCL25G</stp>
        <stp>Trading Symbol</stp>
        <tr r="B717" s="1"/>
      </tp>
      <tp t="s">
        <v>925SCL25A</v>
        <stp/>
        <stp>bse_cm|925SCL25A</stp>
        <stp>Trading Symbol</stp>
        <tr r="B1515" s="1"/>
      </tp>
      <tp t="s">
        <v>925SCL25B</v>
        <stp/>
        <stp>bse_cm|925SCL25B</stp>
        <stp>Trading Symbol</stp>
        <tr r="B1490" s="1"/>
      </tp>
      <tp t="s">
        <v>925SCL25C</v>
        <stp/>
        <stp>bse_cm|925SCL25C</stp>
        <stp>Trading Symbol</stp>
        <tr r="B676" s="1"/>
      </tp>
      <tp t="s">
        <v>925SFL27A</v>
        <stp/>
        <stp>bse_cm|925SFL27A</stp>
        <stp>Trading Symbol</stp>
        <tr r="B848" s="1"/>
      </tp>
      <tp t="s">
        <v>925SCL26D</v>
        <stp/>
        <stp>bse_cm|925SCL26D</stp>
        <stp>Trading Symbol</stp>
        <tr r="B619" s="1"/>
      </tp>
      <tp t="s">
        <v>925SCL26A</v>
        <stp/>
        <stp>bse_cm|925SCL26A</stp>
        <stp>Trading Symbol</stp>
        <tr r="B990" s="1"/>
      </tp>
      <tp t="s">
        <v>925SCL26B</v>
        <stp/>
        <stp>bse_cm|925SCL26B</stp>
        <stp>Trading Symbol</stp>
        <tr r="B1360" s="1"/>
      </tp>
      <tp t="s">
        <v>925SCL26C</v>
        <stp/>
        <stp>bse_cm|925SCL26C</stp>
        <stp>Trading Symbol</stp>
        <tr r="B725" s="1"/>
      </tp>
      <tp t="s">
        <v>925SCL29A</v>
        <stp/>
        <stp>bse_cm|925SCL29A</stp>
        <stp>Trading Symbol</stp>
        <tr r="B268" s="1"/>
      </tp>
      <tp t="s">
        <v>925SCL28I</v>
        <stp/>
        <stp>bse_cm|925SCL28I</stp>
        <stp>Trading Symbol</stp>
        <tr r="B822" s="1"/>
      </tp>
      <tp t="s">
        <v>925SCL28A</v>
        <stp/>
        <stp>bse_cm|925SCL28A</stp>
        <stp>Trading Symbol</stp>
        <tr r="B938" s="1"/>
      </tp>
      <tp t="s">
        <v>925SCL28B</v>
        <stp/>
        <stp>bse_cm|925SCL28B</stp>
        <stp>Trading Symbol</stp>
        <tr r="B894" s="1"/>
      </tp>
      <tp t="s">
        <v>925SCL28C</v>
        <stp/>
        <stp>bse_cm|925SCL28C</stp>
        <stp>Trading Symbol</stp>
        <tr r="B824" s="1"/>
      </tp>
      <tp t="s">
        <v>927MFL26A</v>
        <stp/>
        <stp>bse_cm|927MFL26A</stp>
        <stp>Trading Symbol</stp>
        <tr r="B617" s="1"/>
      </tp>
      <tp t="s">
        <v>NSE</v>
        <stp/>
        <stp>nse_cm|850NIRMA27-N7</stp>
        <stp>Exchange</stp>
        <tr r="C1010" s="1"/>
      </tp>
      <tp t="s">
        <v>NSE</v>
        <stp/>
        <stp>nse_cm|840CIFCL28-N4</stp>
        <stp>Exchange</stp>
        <tr r="C556" s="1"/>
      </tp>
      <tp t="s">
        <v>NSE</v>
        <stp/>
        <stp>nse_cm|IIFLHFZC27-NB</stp>
        <stp>Exchange</stp>
        <tr r="C1672" s="1"/>
      </tp>
      <tp>
        <v>1000</v>
        <stp/>
        <stp>bse_cm|86LTF24</stp>
        <stp>Face Value</stp>
        <tr r="Q8" s="1"/>
      </tp>
      <tp>
        <v>1000</v>
        <stp/>
        <stp>bse_cm|87LTF27</stp>
        <stp>Face Value</stp>
        <tr r="Q412" s="1"/>
      </tp>
      <tp>
        <v>1000</v>
        <stp/>
        <stp>bse_cm|85LTF26</stp>
        <stp>Face Value</stp>
        <tr r="Q410" s="1"/>
      </tp>
      <tp>
        <v>1000</v>
        <stp/>
        <stp>bse_cm|92LTF29</stp>
        <stp>Face Value</stp>
        <tr r="Q1088" s="1"/>
      </tp>
      <tp>
        <v>50</v>
        <stp/>
        <stp>nse_cm|9PEL25-N0</stp>
        <stp>Bid Qty</stp>
        <tr r="D341" s="1"/>
      </tp>
      <tp t="s">
        <v>INE804IA7022</v>
        <stp/>
        <stp>nse_cm|1060ECL29-NS</stp>
        <stp>Isin code</stp>
        <tr r="R144" s="1"/>
      </tp>
      <tp>
        <v>100</v>
        <stp/>
        <stp>nse_cm|879NHPC28-N5</stp>
        <stp>Ask Qty</stp>
        <tr r="G464" s="1"/>
      </tp>
      <tp>
        <v>821</v>
        <stp/>
        <stp>bse_cm|CAGL28</stp>
        <stp>High</stp>
        <tr r="N757" s="1"/>
      </tp>
      <tp>
        <v>1000.55</v>
        <stp/>
        <stp>bse_cm|829LTF24</stp>
        <stp>Open</stp>
        <tr r="M4" s="1"/>
      </tp>
      <tp>
        <v>20</v>
        <stp/>
        <stp>nse_cm|945IFSL25-N4</stp>
        <stp>Ask Qty</stp>
        <tr r="G453" s="1"/>
      </tp>
      <tp>
        <v>1020</v>
        <stp/>
        <stp>nse_cm|9ICCL23A-N0</stp>
        <stp xml:space="preserve">Low </stp>
        <tr r="O657" s="1"/>
      </tp>
      <tp>
        <v>0</v>
        <stp/>
        <stp>nse_cm|888IRFC29-NE</stp>
        <stp>% Change</stp>
        <tr r="J508" s="1"/>
      </tp>
      <tp>
        <v>0</v>
        <stp/>
        <stp>nse_cm|1075UCL25-N9</stp>
        <stp>% Change</stp>
        <tr r="J498" s="1"/>
      </tp>
      <tp>
        <v>-100</v>
        <stp/>
        <stp>bse_cm|1025MMF26A</stp>
        <stp>% Change</stp>
        <tr r="J290" s="1"/>
      </tp>
      <tp>
        <v>1374</v>
        <stp/>
        <stp>nse_cm|886REC34-NG</stp>
        <stp xml:space="preserve">Low </stp>
        <tr r="O536" s="1"/>
      </tp>
      <tp>
        <v>851</v>
        <stp/>
        <stp>bse_cm|CIFC26</stp>
        <stp>High</stp>
        <tr r="N742" s="1"/>
      </tp>
      <tp>
        <v>1000</v>
        <stp/>
        <stp>bse_cm|CIFCZC28</stp>
        <stp>Face Value</stp>
        <tr r="Q736" s="1"/>
      </tp>
      <tp>
        <v>1000</v>
        <stp/>
        <stp>bse_cm|CIFCZC26</stp>
        <stp>Face Value</stp>
        <tr r="Q738" s="1"/>
      </tp>
      <tp>
        <v>1000</v>
        <stp/>
        <stp>bse_cm|CIFCZC25</stp>
        <stp>Face Value</stp>
        <tr r="Q1436" s="1"/>
      </tp>
      <tp>
        <v>901.7</v>
        <stp/>
        <stp>bse_cm|10KFL28A</stp>
        <stp>Bid Rate</stp>
        <tr r="E1423" s="1"/>
      </tp>
      <tp>
        <v>-100</v>
        <stp/>
        <stp>bse_cm|MFCL30424D</stp>
        <stp>% Change</stp>
        <tr r="J1281" s="1"/>
      </tp>
      <tp>
        <v>1200</v>
        <stp/>
        <stp>nse_cm|888REC29-NF</stp>
        <stp xml:space="preserve">Low </stp>
        <tr r="O522" s="1"/>
      </tp>
      <tp>
        <v>1083</v>
        <stp/>
        <stp>bse_cm|CIFC28</stp>
        <stp>High</stp>
        <tr r="N1529" s="1"/>
      </tp>
      <tp>
        <v>250</v>
        <stp/>
        <stp>nse_cm|873NTPC28-N5</stp>
        <stp>Ask Qty</stp>
        <tr r="G541" s="1"/>
      </tp>
      <tp>
        <v>0</v>
        <stp/>
        <stp>nse_cm|1075NFL25-N6</stp>
        <stp>% Change</stp>
        <tr r="J1438" s="1"/>
      </tp>
      <tp t="s">
        <v/>
        <stp/>
        <stp>nse_cm|10IIFLSF27-NB</stp>
        <stp>LTT</stp>
        <tr r="I1657" s="1"/>
      </tp>
      <tp>
        <v>966.94</v>
        <stp/>
        <stp>nse_cm|10IIFLSF27-NB</stp>
        <stp>LTP</stp>
        <tr r="H1657" s="1"/>
      </tp>
      <tp>
        <v>0</v>
        <stp/>
        <stp>bse_cm|749IGT28</stp>
        <stp>Open</stp>
        <tr r="M1198" s="1"/>
      </tp>
      <tp>
        <v>0</v>
        <stp/>
        <stp>bse_cm|769IGT28</stp>
        <stp>Open</stp>
        <tr r="M1195" s="1"/>
      </tp>
      <tp>
        <v>0</v>
        <stp/>
        <stp>nse_cm|96IIFL28A-NF</stp>
        <stp>% Change</stp>
        <tr r="J81" s="1"/>
      </tp>
      <tp>
        <v>943</v>
        <stp/>
        <stp>nse_cm|879SCL26-NC</stp>
        <stp xml:space="preserve">Low </stp>
        <tr r="O720" s="1"/>
      </tp>
      <tp>
        <v>1190</v>
        <stp/>
        <stp>bse_cm|CAGL24</stp>
        <stp>High</stp>
        <tr r="N1761" s="1"/>
      </tp>
      <tp>
        <v>-100</v>
        <stp/>
        <stp>bse_cm|MFCL30424A</stp>
        <stp>% Change</stp>
        <tr r="J1283" s="1"/>
      </tp>
      <tp>
        <v>950</v>
        <stp/>
        <stp>bse_cm|CAGL25</stp>
        <stp>High</stp>
        <tr r="N1061" s="1"/>
      </tp>
      <tp>
        <v>1000</v>
        <stp/>
        <stp>bse_cm|CCILZC25</stp>
        <stp>Face Value</stp>
        <tr r="Q1376" s="1"/>
      </tp>
      <tp>
        <v>1000</v>
        <stp/>
        <stp>bse_cm|CCILZC24</stp>
        <stp>Face Value</stp>
        <tr r="Q750" s="1"/>
      </tp>
      <tp>
        <v>1000</v>
        <stp/>
        <stp>bse_cm|CCILZC26</stp>
        <stp>Face Value</stp>
        <tr r="Q748" s="1"/>
      </tp>
      <tp>
        <v>1000</v>
        <stp/>
        <stp>bse_cm|CCILZC29</stp>
        <stp>Face Value</stp>
        <tr r="Q747" s="1"/>
      </tp>
      <tp>
        <v>1000</v>
        <stp/>
        <stp>bse_cm|CCILZC30</stp>
        <stp>Face Value</stp>
        <tr r="Q746" s="1"/>
      </tp>
      <tp>
        <v>-100</v>
        <stp/>
        <stp>bse_cm|MFCL30424B</stp>
        <stp>% Change</stp>
        <tr r="J1282" s="1"/>
      </tp>
      <tp>
        <v>1000</v>
        <stp/>
        <stp>bse_cm|CAGL26</stp>
        <stp>High</stp>
        <tr r="N708" s="1"/>
      </tp>
      <tp>
        <v>0.21</v>
        <stp/>
        <stp>nse_cm|10IIFL28A-NE</stp>
        <stp>% Change</stp>
        <tr r="J108" s="1"/>
      </tp>
      <tp>
        <v>-100</v>
        <stp/>
        <stp>bse_cm|MFCL30424C</stp>
        <stp>% Change</stp>
        <tr r="J1552" s="1"/>
      </tp>
      <tp>
        <v>0</v>
        <stp/>
        <stp>bse_cm|CAGL27</stp>
        <stp>High</stp>
        <tr r="N734" s="1"/>
      </tp>
      <tp>
        <v>1000</v>
        <stp/>
        <stp>bse_cm|729NABAR26</stp>
        <stp>Face Value</stp>
        <tr r="Q540" s="1"/>
      </tp>
      <tp>
        <v>0</v>
        <stp/>
        <stp>bse_cm|889SCL28</stp>
        <stp>Open</stp>
        <tr r="M1069" s="1"/>
      </tp>
      <tp>
        <v>952.8</v>
        <stp/>
        <stp>bse_cm|MFLTDI25</stp>
        <stp>Prev Close</stp>
        <tr r="P1476" s="1"/>
      </tp>
      <tp>
        <v>0</v>
        <stp/>
        <stp>bse_cm|829PFL29</stp>
        <stp>Open</stp>
        <tr r="M930" s="1"/>
      </tp>
      <tp t="s">
        <v>745IGT26-NC</v>
        <stp/>
        <stp>nse_cm|745IGT26-NC</stp>
        <stp>Trading Symbol</stp>
        <tr r="B1201" s="1"/>
      </tp>
      <tp>
        <v>1001</v>
        <stp/>
        <stp>nse_cm|81ABFL33-N5</stp>
        <stp>High</stp>
        <tr r="N1588" s="1"/>
      </tp>
      <tp>
        <v>0</v>
        <stp/>
        <stp>nse_cm|CIFC26-NK</stp>
        <stp>Ask Qty</stp>
        <tr r="G741" s="1"/>
      </tp>
      <tp>
        <v>1000</v>
        <stp/>
        <stp>nse_cm|CIFC28-NB</stp>
        <stp>Ask Qty</stp>
        <tr r="G1618" s="1"/>
      </tp>
      <tp>
        <v>925</v>
        <stp/>
        <stp>bse_cm|EFSL29</stp>
        <stp xml:space="preserve">Low </stp>
        <tr r="O659" s="1"/>
      </tp>
      <tp t="s">
        <v>10NIDO26-N6</v>
        <stp/>
        <stp>nse_cm|10NIDO26-N6</stp>
        <stp>Trading Symbol</stp>
        <tr r="B66" s="1"/>
      </tp>
      <tp>
        <v>974</v>
        <stp/>
        <stp>nse_cm|915SCL26-NE</stp>
        <stp>High</stp>
        <tr r="N58" s="1"/>
      </tp>
      <tp>
        <v>1047.55</v>
        <stp/>
        <stp>bse_cm|EFSL28</stp>
        <stp xml:space="preserve">Low </stp>
        <tr r="O1609" s="1"/>
      </tp>
      <tp>
        <v>970</v>
        <stp/>
        <stp>nse_cm|975SCL28-NT</stp>
        <stp xml:space="preserve">Low </stp>
        <tr r="O142" s="1"/>
      </tp>
      <tp>
        <v>0</v>
        <stp/>
        <stp>nse_cm|957ICCL28-NW</stp>
        <stp>% Change</stp>
        <tr r="J762" s="1"/>
      </tp>
      <tp>
        <v>1050.55</v>
        <stp/>
        <stp>bse_cm|EFSL27</stp>
        <stp xml:space="preserve">Low </stp>
        <tr r="O1531" s="1"/>
      </tp>
      <tp>
        <v>1213.2</v>
        <stp/>
        <stp>bse_cm|EFSL26</stp>
        <stp xml:space="preserve">Low </stp>
        <tr r="O1687" s="1"/>
      </tp>
      <tp>
        <v>1117.2</v>
        <stp/>
        <stp>bse_cm|EFSL25</stp>
        <stp xml:space="preserve">Low </stp>
        <tr r="O1694" s="1"/>
      </tp>
      <tp>
        <v>1132</v>
        <stp/>
        <stp>nse_cm|849NTPC25-N7</stp>
        <stp>Bid Qty</stp>
        <tr r="D302" s="1"/>
      </tp>
      <tp>
        <v>50</v>
        <stp/>
        <stp>nse_cm|ABFL26-N1</stp>
        <stp>Ask Qty</stp>
        <tr r="G1679" s="1"/>
      </tp>
      <tp>
        <v>0</v>
        <stp/>
        <stp>nse_cm|ABFL28-N3</stp>
        <stp>Ask Qty</stp>
        <tr r="G1063" s="1"/>
      </tp>
      <tp>
        <v>0</v>
        <stp/>
        <stp>nse_cm|848NTPC28-N2</stp>
        <stp>Bid Qty</stp>
        <tr r="D1405" s="1"/>
      </tp>
      <tp>
        <v>0</v>
        <stp/>
        <stp>bse_cm|718REC35</stp>
        <stp>Open</stp>
        <tr r="M549" s="1"/>
      </tp>
      <tp t="s">
        <v>79NHIT47-N3</v>
        <stp/>
        <stp>nse_cm|79NHIT47-N3</stp>
        <stp>Trading Symbol</stp>
        <tr r="B1585" s="1"/>
      </tp>
      <tp t="s">
        <v>INE148I07TW3</v>
        <stp/>
        <stp>nse_cm|1003SCL31-ZQ</stp>
        <stp>Isin code</stp>
        <tr r="R688" s="1"/>
      </tp>
      <tp>
        <v>0</v>
        <stp/>
        <stp>bse_cm|939SCL27</stp>
        <stp>Open</stp>
        <tr r="M985" s="1"/>
      </tp>
      <tp>
        <v>0</v>
        <stp/>
        <stp>bse_cm|889SCL27</stp>
        <stp>Open</stp>
        <tr r="M121" s="1"/>
      </tp>
      <tp>
        <v>2.0499999999999998</v>
        <stp/>
        <stp>bse_cm|948IFSL25B</stp>
        <stp>% Change</stp>
        <tr r="J599" s="1"/>
      </tp>
      <tp>
        <v>0</v>
        <stp/>
        <stp>bse_cm|889SCL26</stp>
        <stp>Open</stp>
        <tr r="M237" s="1"/>
      </tp>
      <tp>
        <v>0</v>
        <stp/>
        <stp>bse_cm|879SCL26</stp>
        <stp>Open</stp>
        <tr r="M1351" s="1"/>
      </tp>
      <tp>
        <v>0.18</v>
        <stp/>
        <stp>bse_cm|875EFSL24A</stp>
        <stp>% Change</stp>
        <tr r="J229" s="1"/>
      </tp>
      <tp>
        <v>0</v>
        <stp/>
        <stp>bse_cm|8MFL24A</stp>
        <stp>Ask Qty</stp>
        <tr r="G1549" s="1"/>
      </tp>
      <tp>
        <v>1050</v>
        <stp/>
        <stp>nse_cm|905PEL26-N1</stp>
        <stp>High</stp>
        <tr r="N500" s="1"/>
      </tp>
      <tp>
        <v>225</v>
        <stp/>
        <stp>bse_cm|9MFL30A</stp>
        <stp>Ask Qty</stp>
        <tr r="G289" s="1"/>
      </tp>
      <tp>
        <v>0</v>
        <stp/>
        <stp>bse_cm|9SFL26</stp>
        <stp>Ask Rate</stp>
        <tr r="F1066" s="1"/>
      </tp>
      <tp>
        <v>1080</v>
        <stp/>
        <stp>bse_cm|9PEL25</stp>
        <stp>Ask Rate</stp>
        <tr r="F315" s="1"/>
      </tp>
      <tp>
        <v>1367.3</v>
        <stp/>
        <stp>nse_cm|858HUDCO29-NC</stp>
        <stp>Prev Close</stp>
        <tr r="P1636" s="1"/>
      </tp>
      <tp>
        <v>1005.2</v>
        <stp/>
        <stp>bse_cm|9SFL25</stp>
        <stp>Ask Rate</stp>
        <tr r="F340" s="1"/>
      </tp>
      <tp>
        <v>0</v>
        <stp/>
        <stp>bse_cm|9SCL25</stp>
        <stp>Ask Rate</stp>
        <tr r="F653" s="1"/>
      </tp>
      <tp>
        <v>1253.27</v>
        <stp/>
        <stp>bse_cm|KFLZC28A</stp>
        <stp>Prev Close</stp>
        <tr r="P1289" s="1"/>
      </tp>
      <tp>
        <v>1185</v>
        <stp/>
        <stp>bse_cm|KFLZC28B</stp>
        <stp>Prev Close</stp>
        <tr r="P1288" s="1"/>
      </tp>
      <tp>
        <v>985</v>
        <stp/>
        <stp>bse_cm|KFLZC28C</stp>
        <stp>Prev Close</stp>
        <tr r="P1287" s="1"/>
      </tp>
      <tp>
        <v>1005</v>
        <stp/>
        <stp>bse_cm|KFLZC27A</stp>
        <stp>Prev Close</stp>
        <tr r="P1291" s="1"/>
      </tp>
      <tp>
        <v>781</v>
        <stp/>
        <stp>bse_cm|KFLZC26D</stp>
        <stp>Prev Close</stp>
        <tr r="P1294" s="1"/>
      </tp>
      <tp>
        <v>1000</v>
        <stp/>
        <stp>bse_cm|KFLZC26E</stp>
        <stp>Prev Close</stp>
        <tr r="P1293" s="1"/>
      </tp>
      <tp>
        <v>1435.81</v>
        <stp/>
        <stp>bse_cm|KFLZC26A</stp>
        <stp>Prev Close</stp>
        <tr r="P1442" s="1"/>
      </tp>
      <tp>
        <v>1530</v>
        <stp/>
        <stp>bse_cm|KFLZC26B</stp>
        <stp>Prev Close</stp>
        <tr r="P1711" s="1"/>
      </tp>
      <tp>
        <v>1339</v>
        <stp/>
        <stp>bse_cm|KFLZC26C</stp>
        <stp>Prev Close</stp>
        <tr r="P1744" s="1"/>
      </tp>
      <tp>
        <v>1223</v>
        <stp/>
        <stp>bse_cm|KFLZC25D</stp>
        <stp>Prev Close</stp>
        <tr r="P1735" s="1"/>
      </tp>
      <tp>
        <v>1039</v>
        <stp/>
        <stp>bse_cm|KFLZC25E</stp>
        <stp>Prev Close</stp>
        <tr r="P1530" s="1"/>
      </tp>
      <tp>
        <v>1655.45</v>
        <stp/>
        <stp>bse_cm|KFLZC25A</stp>
        <stp>Prev Close</stp>
        <tr r="P1738" s="1"/>
      </tp>
      <tp>
        <v>1762.11</v>
        <stp/>
        <stp>bse_cm|KFLZC25B</stp>
        <stp>Prev Close</stp>
        <tr r="P1739" s="1"/>
      </tp>
      <tp>
        <v>1290</v>
        <stp/>
        <stp>bse_cm|KFLZC25C</stp>
        <stp>Prev Close</stp>
        <tr r="P1295" s="1"/>
      </tp>
      <tp>
        <v>1353</v>
        <stp/>
        <stp>bse_cm|KFLZC24D</stp>
        <stp>Prev Close</stp>
        <tr r="P1296" s="1"/>
      </tp>
      <tp>
        <v>-9.61</v>
        <stp/>
        <stp>nse_cm|1060ECL29-NS</stp>
        <stp>% Change</stp>
        <tr r="J144" s="1"/>
      </tp>
      <tp>
        <v>0.23</v>
        <stp/>
        <stp>nse_cm|736PFCL28-N2</stp>
        <stp>% Change</stp>
        <tr r="J11" s="1"/>
      </tp>
      <tp>
        <v>1259</v>
        <stp/>
        <stp>nse_cm|SCL25-Y6</stp>
        <stp xml:space="preserve">Low </stp>
        <tr r="O1753" s="1"/>
      </tp>
      <tp>
        <v>0</v>
        <stp/>
        <stp>nse_cm|902SCL26-N8</stp>
        <stp>High</stp>
        <tr r="N968" s="1"/>
      </tp>
      <tp>
        <v>1053</v>
        <stp/>
        <stp>nse_cm|860CIFCL28-NG</stp>
        <stp>Prev Close</stp>
        <tr r="P647" s="1"/>
      </tp>
      <tp>
        <v>-0.56999999999999995</v>
        <stp/>
        <stp>nse_cm|849NTPC25-N7</stp>
        <stp>% Change</stp>
        <tr r="J302" s="1"/>
      </tp>
      <tp>
        <v>0.35</v>
        <stp/>
        <stp>nse_cm|879NHPC28-N5</stp>
        <stp>% Change</stp>
        <tr r="J464" s="1"/>
      </tp>
      <tp>
        <v>1000</v>
        <stp/>
        <stp>bse_cm|875MFCL26C</stp>
        <stp>Face Value</stp>
        <tr r="Q309" s="1"/>
      </tp>
      <tp>
        <v>1000</v>
        <stp/>
        <stp>bse_cm|105MMFL25B</stp>
        <stp>Face Value</stp>
        <tr r="Q1390" s="1"/>
      </tp>
      <tp>
        <v>1000</v>
        <stp/>
        <stp>bse_cm|105MMFL25C</stp>
        <stp>Face Value</stp>
        <tr r="Q480" s="1"/>
      </tp>
      <tp>
        <v>1000</v>
        <stp/>
        <stp>bse_cm|105MMFL25A</stp>
        <stp>Face Value</stp>
        <tr r="Q1364" s="1"/>
      </tp>
      <tp>
        <v>1000</v>
        <stp/>
        <stp>bse_cm|975MFCL28E</stp>
        <stp>Face Value</stp>
        <tr r="Q303" s="1"/>
      </tp>
      <tp>
        <v>1000</v>
        <stp/>
        <stp>bse_cm|CCIL110324</stp>
        <stp>Face Value</stp>
        <tr r="Q754" s="1"/>
      </tp>
      <tp>
        <v>1008.73</v>
        <stp/>
        <stp>nse_cm|965AEL27-N4</stp>
        <stp xml:space="preserve">Low </stp>
        <tr r="O254" s="1"/>
      </tp>
      <tp>
        <v>1000</v>
        <stp/>
        <stp>bse_cm|925ICCL24A</stp>
        <stp>Face Value</stp>
        <tr r="Q1072" s="1"/>
      </tp>
      <tp>
        <v>1000</v>
        <stp/>
        <stp>bse_cm|965ICCL25I</stp>
        <stp>Face Value</stp>
        <tr r="Q1430" s="1"/>
      </tp>
      <tp>
        <v>1000</v>
        <stp/>
        <stp>bse_cm|925ICCL25I</stp>
        <stp>Face Value</stp>
        <tr r="Q782" s="1"/>
      </tp>
      <tp>
        <v>1000</v>
        <stp/>
        <stp>bse_cm|955ICCL25A</stp>
        <stp>Face Value</stp>
        <tr r="Q1143" s="1"/>
      </tp>
      <tp>
        <v>1000</v>
        <stp/>
        <stp>bse_cm|875IIFL26A</stp>
        <stp>Face Value</stp>
        <tr r="Q232" s="1"/>
      </tp>
      <tp>
        <v>1000</v>
        <stp/>
        <stp>bse_cm|965IHFL25D</stp>
        <stp>Face Value</stp>
        <tr r="Q1432" s="1"/>
      </tp>
      <tp>
        <v>1000</v>
        <stp/>
        <stp>bse_cm|925IHFL25D</stp>
        <stp>Face Value</stp>
        <tr r="Q1671" s="1"/>
      </tp>
      <tp>
        <v>1000</v>
        <stp/>
        <stp>bse_cm|925IHFL25E</stp>
        <stp>Face Value</stp>
        <tr r="Q398" s="1"/>
      </tp>
      <tp>
        <v>0</v>
        <stp/>
        <stp>bse_cm|9MFL25</stp>
        <stp>Ask Rate</stp>
        <tr r="F1082" s="1"/>
      </tp>
      <tp>
        <v>5747.01</v>
        <stp/>
        <stp>nse_cm|888NHB29-N5</stp>
        <stp xml:space="preserve">Low </stp>
        <tr r="O504" s="1"/>
      </tp>
      <tp>
        <v>1000</v>
        <stp/>
        <stp>bse_cm|875EFSL24A</stp>
        <stp>Face Value</stp>
        <tr r="Q229" s="1"/>
      </tp>
      <tp>
        <v>1000</v>
        <stp/>
        <stp>bse_cm|895EFSL25A</stp>
        <stp>Face Value</stp>
        <tr r="Q594" s="1"/>
      </tp>
      <tp>
        <v>1000</v>
        <stp/>
        <stp>nse_cm|SCLZC25-YN</stp>
        <stp>Face Value</stp>
        <tr r="Q1727" s="1"/>
      </tp>
      <tp>
        <v>1000</v>
        <stp/>
        <stp>bse_cm|955EFSL26B</stp>
        <stp>Face Value</stp>
        <tr r="Q666" s="1"/>
      </tp>
      <tp>
        <v>1000</v>
        <stp/>
        <stp>bse_cm|955EFSL26A</stp>
        <stp>Face Value</stp>
        <tr r="Q214" s="1"/>
      </tp>
      <tp>
        <v>1000</v>
        <stp/>
        <stp>bse_cm|915EFSL26A</stp>
        <stp>Face Value</stp>
        <tr r="Q187" s="1"/>
      </tp>
      <tp>
        <v>950</v>
        <stp/>
        <stp>nse_cm|865SCL26-N8</stp>
        <stp xml:space="preserve">Low </stp>
        <tr r="O310" s="1"/>
      </tp>
      <tp>
        <v>980</v>
        <stp/>
        <stp>bse_cm|9MFL27</stp>
        <stp>Ask Rate</stp>
        <tr r="F195" s="1"/>
      </tp>
      <tp>
        <v>1007.21</v>
        <stp/>
        <stp>nse_cm|885MOFSL26-N0</stp>
        <stp>Prev Close</stp>
        <tr r="P1635" s="1"/>
      </tp>
      <tp>
        <v>0</v>
        <stp/>
        <stp>bse_cm|9KFL26</stp>
        <stp>Ask Rate</stp>
        <tr r="F1084" s="1"/>
      </tp>
      <tp>
        <v>0</v>
        <stp/>
        <stp>nse_cm|85PFL26A-N7</stp>
        <stp>Ask Rate</stp>
        <tr r="F1519" s="1"/>
      </tp>
      <tp>
        <v>0</v>
        <stp/>
        <stp>bse_cm|9IML25</stp>
        <stp>Ask Rate</stp>
        <tr r="F588" s="1"/>
      </tp>
      <tp>
        <v>990</v>
        <stp/>
        <stp>bse_cm|81ABFL33</stp>
        <stp>Bid Rate</stp>
        <tr r="E1603" s="1"/>
      </tp>
      <tp>
        <v>989</v>
        <stp/>
        <stp>bse_cm|78ABFL33</stp>
        <stp>Bid Rate</stp>
        <tr r="E378" s="1"/>
      </tp>
      <tp>
        <v>-0.2</v>
        <stp/>
        <stp>nse_cm|1065NFL27-NC</stp>
        <stp>% Change</stp>
        <tr r="J170" s="1"/>
      </tp>
      <tp t="s">
        <v>93EFSL31A</v>
        <stp/>
        <stp>bse_cm|93EFSL31A</stp>
        <stp>Trading Symbol</stp>
        <tr r="B85" s="1"/>
      </tp>
      <tp t="s">
        <v>INE549K07BI5</v>
        <stp/>
        <stp>bse_cm|MFLZC30</stp>
        <stp>Isin code</stp>
        <tr r="R1267" s="1"/>
      </tp>
      <tp t="s">
        <v>960EFSLA</v>
        <stp/>
        <stp>bse_cm|960EFSLA</stp>
        <stp>Symbol</stp>
        <tr r="A699" s="1"/>
      </tp>
      <tp t="s">
        <v>967EFS28</v>
        <stp/>
        <stp>bse_cm|967EFS28</stp>
        <stp>Symbol</stp>
        <tr r="A190" s="1"/>
      </tp>
      <tp t="s">
        <v>895NHFL25</v>
        <stp/>
        <stp>bse_cm|895NHFL25</stp>
        <stp>Trading Symbol</stp>
        <tr r="B54" s="1"/>
      </tp>
      <tp t="s">
        <v>990SCFL26</v>
        <stp/>
        <stp>bse_cm|990SCFL26</stp>
        <stp>Trading Symbol</stp>
        <tr r="B1676" s="1"/>
      </tp>
      <tp>
        <v>0</v>
        <stp/>
        <stp>nse_cm|1050SCFL31-Z2</stp>
        <stp>Open</stp>
        <tr r="M868" s="1"/>
      </tp>
      <tp t="s">
        <v>INE121A07RO8</v>
        <stp/>
        <stp>nse_cm|850CIFCL26-NE</stp>
        <stp>Isin code</stp>
        <tr r="R450" s="1"/>
      </tp>
      <tp t="s">
        <v>98NWFL30</v>
        <stp/>
        <stp>bse_cm|98NWFL30</stp>
        <stp>Symbol</stp>
        <tr r="A231" s="1"/>
      </tp>
      <tp t="s">
        <v>TCHF30-NB</v>
        <stp/>
        <stp>nse_cm|TCHF30-NB</stp>
        <stp>Trading Symbol</stp>
        <tr r="B408" s="1"/>
      </tp>
      <tp t="s">
        <v>96IIFL28</v>
        <stp/>
        <stp>bse_cm|96IIFL28</stp>
        <stp>Symbol</stp>
        <tr r="A118" s="1"/>
      </tp>
      <tp t="s">
        <v>975MFL29</v>
        <stp/>
        <stp>bse_cm|975MFL29</stp>
        <stp>Symbol</stp>
        <tr r="A683" s="1"/>
      </tp>
      <tp t="s">
        <v>975NFL25</v>
        <stp/>
        <stp>bse_cm|975NFL25</stp>
        <stp>Symbol</stp>
        <tr r="A623" s="1"/>
      </tp>
      <tp t="s">
        <v>975MFL25</v>
        <stp/>
        <stp>bse_cm|975MFL25</stp>
        <stp>Symbol</stp>
        <tr r="A855" s="1"/>
      </tp>
      <tp t="s">
        <v>944MFL28</v>
        <stp/>
        <stp>bse_cm|944MFL28</stp>
        <stp>Symbol</stp>
        <tr r="A677" s="1"/>
      </tp>
      <tp t="s">
        <v>INE403Q07DV1</v>
        <stp/>
        <stp>bse_cm|10KFL27</stp>
        <stp>Isin code</stp>
        <tr r="R675" s="1"/>
      </tp>
      <tp t="s">
        <v>INE01CY077L6</v>
        <stp/>
        <stp>bse_cm|11IFL25</stp>
        <stp>Isin code</stp>
        <tr r="R1421" s="1"/>
      </tp>
      <tp t="s">
        <v>INE403Q07DF4</v>
        <stp/>
        <stp>bse_cm|95KFL27</stp>
        <stp>Isin code</stp>
        <tr r="R607" s="1"/>
      </tp>
      <tp t="s">
        <v>00:00:00</v>
        <stp/>
        <stp>bse_cm|920IIFLS26</stp>
        <stp>LTT</stp>
        <tr r="I613" s="1"/>
      </tp>
      <tp>
        <v>0</v>
        <stp/>
        <stp>bse_cm|960IIFLS26</stp>
        <stp>LTP</stp>
        <tr r="H872" s="1"/>
      </tp>
      <tp>
        <v>0</v>
        <stp/>
        <stp>bse_cm|957IIFLS27</stp>
        <stp>LTP</stp>
        <tr r="H687" s="1"/>
      </tp>
      <tp>
        <v>0</v>
        <stp/>
        <stp>bse_cm|920IIFLS26</stp>
        <stp>LTP</stp>
        <tr r="H613" s="1"/>
      </tp>
      <tp t="s">
        <v>00:00:00</v>
        <stp/>
        <stp>bse_cm|960IIFLS26</stp>
        <stp>LTT</stp>
        <tr r="I872" s="1"/>
      </tp>
      <tp t="s">
        <v>00:00:00</v>
        <stp/>
        <stp>bse_cm|957IIFLS27</stp>
        <stp>LTT</stp>
        <tr r="I687" s="1"/>
      </tp>
      <tp t="s">
        <v>95KAFL25</v>
        <stp/>
        <stp>bse_cm|95KAFL25</stp>
        <stp>Symbol</stp>
        <tr r="A40" s="1"/>
      </tp>
      <tp t="s">
        <v>950MFL27</v>
        <stp/>
        <stp>bse_cm|950MFL27</stp>
        <stp>Symbol</stp>
        <tr r="A1147" s="1"/>
      </tp>
      <tp t="s">
        <v>950KFL27</v>
        <stp/>
        <stp>bse_cm|950KFL27</stp>
        <stp>Symbol</stp>
        <tr r="A143" s="1"/>
      </tp>
      <tp t="s">
        <v>950SFL27</v>
        <stp/>
        <stp>bse_cm|950SFL27</stp>
        <stp>Symbol</stp>
        <tr r="A1144" s="1"/>
      </tp>
      <tp t="s">
        <v>925MFL26</v>
        <stp/>
        <stp>bse_cm|925MFL26</stp>
        <stp>Symbol</stp>
        <tr r="A230" s="1"/>
      </tp>
      <tp t="s">
        <v>925MFL25</v>
        <stp/>
        <stp>bse_cm|925MFL25</stp>
        <stp>Symbol</stp>
        <tr r="A1466" s="1"/>
      </tp>
      <tp t="s">
        <v>925KFL27</v>
        <stp/>
        <stp>bse_cm|925KFL27</stp>
        <stp>Symbol</stp>
        <tr r="A313" s="1"/>
      </tp>
      <tp t="s">
        <v>925KFL26</v>
        <stp/>
        <stp>bse_cm|925KFL26</stp>
        <stp>Symbol</stp>
        <tr r="A775" s="1"/>
      </tp>
      <tp t="s">
        <v>925SFL27</v>
        <stp/>
        <stp>bse_cm|925SFL27</stp>
        <stp>Symbol</stp>
        <tr r="A849" s="1"/>
      </tp>
      <tp t="s">
        <v>925SFL26</v>
        <stp/>
        <stp>bse_cm|925SFL26</stp>
        <stp>Symbol</stp>
        <tr r="A850" s="1"/>
      </tp>
      <tp t="s">
        <v>927MFL26</v>
        <stp/>
        <stp>bse_cm|927MFL26</stp>
        <stp>Symbol</stp>
        <tr r="A1457" s="1"/>
      </tp>
      <tp t="s">
        <v>93SCFL25</v>
        <stp/>
        <stp>bse_cm|93SCFL25</stp>
        <stp>Symbol</stp>
        <tr r="A980" s="1"/>
      </tp>
      <tp t="s">
        <v>IML16224</v>
        <stp/>
        <stp>bse_cm|IML16224</stp>
        <stp>Symbol</stp>
        <tr r="A1499" s="1"/>
      </tp>
      <tp t="s">
        <v>935MFL29</v>
        <stp/>
        <stp>bse_cm|935MFL29</stp>
        <stp>Symbol</stp>
        <tr r="A238" s="1"/>
      </tp>
      <tp t="s">
        <v>930SFL28</v>
        <stp/>
        <stp>bse_cm|930SFL28</stp>
        <stp>Symbol</stp>
        <tr r="A10" s="1"/>
      </tp>
      <tp t="s">
        <v>931SFL26</v>
        <stp/>
        <stp>bse_cm|931SFL26</stp>
        <stp>Symbol</stp>
        <tr r="A1492" s="1"/>
      </tp>
      <tp t="s">
        <v>905MFL28</v>
        <stp/>
        <stp>bse_cm|905MFL28</stp>
        <stp>Symbol</stp>
        <tr r="A207" s="1"/>
      </tp>
      <tp t="s">
        <v>903SFL28</v>
        <stp/>
        <stp>bse_cm|903SFL28</stp>
        <stp>Symbol</stp>
        <tr r="A397" s="1"/>
      </tp>
      <tp t="s">
        <v>915MFL28</v>
        <stp/>
        <stp>bse_cm|915MFL28</stp>
        <stp>Symbol</stp>
        <tr r="A283" s="1"/>
      </tp>
      <tp t="s">
        <v>915MFL27</v>
        <stp/>
        <stp>bse_cm|915MFL27</stp>
        <stp>Symbol</stp>
        <tr r="A614" s="1"/>
      </tp>
      <tp t="s">
        <v>915MFL25</v>
        <stp/>
        <stp>bse_cm|915MFL25</stp>
        <stp>Symbol</stp>
        <tr r="A105" s="1"/>
      </tp>
      <tp t="s">
        <v>910MFL26</v>
        <stp/>
        <stp>bse_cm|910MFL26</stp>
        <stp>Symbol</stp>
        <tr r="A277" s="1"/>
      </tp>
      <tp t="s">
        <v>INE148I07QY5</v>
        <stp/>
        <stp>nse_cm|1075SCL33B-NW</stp>
        <stp>Isin code</stp>
        <tr r="R889" s="1"/>
      </tp>
      <tp t="s">
        <v>INE244L07333</v>
        <stp/>
        <stp>nse_cm|966ICCL25A-NI</stp>
        <stp>Isin code</stp>
        <tr r="R1461" s="1"/>
      </tp>
      <tp>
        <v>1013.75</v>
        <stp/>
        <stp>bse_cm|99AEL29</stp>
        <stp>Prev Close</stp>
        <tr r="P243" s="1"/>
      </tp>
      <tp>
        <v>1055</v>
        <stp/>
        <stp>nse_cm|875CIFC23B-NJ</stp>
        <stp>High</stp>
        <tr r="N346" s="1"/>
      </tp>
      <tp>
        <v>100</v>
        <stp/>
        <stp>bse_cm|MVAF27</stp>
        <stp>Ask Qty</stp>
        <tr r="G1689" s="1"/>
      </tp>
      <tp t="s">
        <v>INE121A07RJ8</v>
        <stp/>
        <stp>nse_cm|888IHFL25F-NC</stp>
        <stp>Isin code</stp>
        <tr r="R343" s="1"/>
      </tp>
      <tp>
        <v>100</v>
        <stp/>
        <stp>bse_cm|TCHF30</stp>
        <stp>Ask Qty</stp>
        <tr r="G423" s="1"/>
      </tp>
      <tp t="s">
        <v>931SFL26A</v>
        <stp/>
        <stp>bse_cm|931SFL26A</stp>
        <stp>Trading Symbol</stp>
        <tr r="B1086" s="1"/>
      </tp>
      <tp t="s">
        <v>835SCL23A</v>
        <stp/>
        <stp>bse_cm|835SCL23A</stp>
        <stp>Trading Symbol</stp>
        <tr r="B1104" s="1"/>
      </tp>
      <tp t="s">
        <v>835SCL23B</v>
        <stp/>
        <stp>bse_cm|835SCL23B</stp>
        <stp>Trading Symbol</stp>
        <tr r="B167" s="1"/>
      </tp>
      <tp>
        <v>0</v>
        <stp/>
        <stp>bse_cm|898ONE26</stp>
        <stp>Open</stp>
        <tr r="M1154" s="1"/>
      </tp>
      <tp t="s">
        <v>INE134E07349</v>
        <stp/>
        <stp>nse_cm|736PFCL28-N2</stp>
        <stp>Isin code</stp>
        <tr r="R11" s="1"/>
      </tp>
      <tp t="s">
        <v>INE134E07588</v>
        <stp/>
        <stp>nse_cm|760PFCL35-N3</stp>
        <stp>Isin code</stp>
        <tr r="R22" s="1"/>
      </tp>
      <tp>
        <v>0</v>
        <stp/>
        <stp>nse_cm|10IFSL26-N7</stp>
        <stp>Volume Traded Today</stp>
        <tr r="L293" s="1"/>
      </tp>
      <tp>
        <v>940</v>
        <stp/>
        <stp>nse_cm|96IIFL28-N5</stp>
        <stp xml:space="preserve">Low </stp>
        <tr r="O106" s="1"/>
      </tp>
      <tp>
        <v>0</v>
        <stp/>
        <stp>nse_cm|816ABFL29-NC</stp>
        <stp>% Change</stp>
        <tr r="J732" s="1"/>
      </tp>
      <tp>
        <v>0</v>
        <stp/>
        <stp>nse_cm|11DLSL25-NV</stp>
        <stp>Volume Traded Today</stp>
        <tr r="L48" s="1"/>
      </tp>
      <tp>
        <v>1000</v>
        <stp/>
        <stp>bse_cm|SCL310524A</stp>
        <stp>Face Value</stp>
        <tr r="Q918" s="1"/>
      </tp>
      <tp>
        <v>10</v>
        <stp/>
        <stp>nse_cm|866NTPC33-N3</stp>
        <stp>Ask Qty</stp>
        <tr r="G555" s="1"/>
      </tp>
      <tp>
        <v>0</v>
        <stp/>
        <stp>bse_cm|898LTF29</stp>
        <stp>Open</stp>
        <tr r="M416" s="1"/>
      </tp>
      <tp>
        <v>1258.25</v>
        <stp/>
        <stp>bse_cm|DLSL25</stp>
        <stp xml:space="preserve">Low </stp>
        <tr r="O1747" s="1"/>
      </tp>
      <tp>
        <v>1007</v>
        <stp/>
        <stp>nse_cm|10CAGL27-N5</stp>
        <stp>High</stp>
        <tr r="N273" s="1"/>
      </tp>
      <tp>
        <v>-100</v>
        <stp/>
        <stp>bse_cm|895EFSL25A</stp>
        <stp>% Change</stp>
        <tr r="J594" s="1"/>
      </tp>
      <tp>
        <v>0</v>
        <stp/>
        <stp>nse_cm|9SCL26BA-NA</stp>
        <stp>Open</stp>
        <tr r="M122" s="1"/>
      </tp>
      <tp>
        <v>0</v>
        <stp/>
        <stp>bse_cm|709REC30</stp>
        <stp>Open</stp>
        <tr r="M564" s="1"/>
      </tp>
      <tp>
        <v>1040</v>
        <stp/>
        <stp>nse_cm|10IFSL26-N7</stp>
        <stp>High</stp>
        <tr r="N293" s="1"/>
      </tp>
      <tp>
        <v>914</v>
        <stp/>
        <stp>nse_cm|865IFL28-NZ</stp>
        <stp xml:space="preserve">Low </stp>
        <tr r="O103" s="1"/>
      </tp>
      <tp>
        <v>1</v>
        <stp/>
        <stp>nse_cm|965IFSL26-N6</stp>
        <stp>Bid Qty</stp>
        <tr r="D1346" s="1"/>
      </tp>
      <tp>
        <v>990</v>
        <stp/>
        <stp>nse_cm|10IIFL29-N6</stp>
        <stp>High</stp>
        <tr r="N193" s="1"/>
      </tp>
      <tp>
        <v>0</v>
        <stp/>
        <stp>nse_cm|CAGL28-NE</stp>
        <stp>Ask Qty</stp>
        <tr r="G756" s="1"/>
      </tp>
      <tp>
        <v>0</v>
        <stp/>
        <stp>nse_cm|CAGL27-NC</stp>
        <stp>Ask Qty</stp>
        <tr r="G733" s="1"/>
      </tp>
      <tp>
        <v>0</v>
        <stp/>
        <stp>nse_cm|CAGL26-NA</stp>
        <stp>Ask Qty</stp>
        <tr r="G735" s="1"/>
      </tp>
      <tp>
        <v>0</v>
        <stp/>
        <stp>nse_cm|CAGL25-N8</stp>
        <stp>Ask Qty</stp>
        <tr r="G710" s="1"/>
      </tp>
      <tp>
        <v>8</v>
        <stp/>
        <stp>nse_cm|CAGL24-N2</stp>
        <stp>Ask Qty</stp>
        <tr r="G1762" s="1"/>
      </tp>
      <tp>
        <v>956.9</v>
        <stp/>
        <stp>nse_cm|10IIFL28-N4</stp>
        <stp>High</stp>
        <tr r="N42" s="1"/>
      </tp>
      <tp>
        <v>0</v>
        <stp/>
        <stp>bse_cm|888SCL25</stp>
        <stp>Open</stp>
        <tr r="M1134" s="1"/>
      </tp>
      <tp>
        <v>1050</v>
        <stp/>
        <stp>nse_cm|10ISFL26-N3</stp>
        <stp>High</stp>
        <tr r="N1527" s="1"/>
      </tp>
      <tp t="s">
        <v>85CIFC27-NL</v>
        <stp/>
        <stp>nse_cm|85CIFC27-NL</stp>
        <stp>Trading Symbol</stp>
        <tr r="B973" s="1"/>
      </tp>
      <tp>
        <v>0</v>
        <stp/>
        <stp>bse_cm|948SCL27</stp>
        <stp>Open</stp>
        <tr r="M1079" s="1"/>
      </tp>
      <tp>
        <v>0</v>
        <stp/>
        <stp>bse_cm|948SCL26</stp>
        <stp>Open</stp>
        <tr r="M1647" s="1"/>
      </tp>
      <tp>
        <v>0</v>
        <stp/>
        <stp>bse_cm|888SCL26</stp>
        <stp>Open</stp>
        <tr r="M915" s="1"/>
      </tp>
      <tp>
        <v>1104</v>
        <stp/>
        <stp>nse_cm|935PEL33-N3</stp>
        <stp>High</stp>
        <tr r="N1375" s="1"/>
      </tp>
      <tp>
        <v>847.85</v>
        <stp/>
        <stp>bse_cm|MML28A</stp>
        <stp xml:space="preserve">Low </stp>
        <tr r="O1249" s="1"/>
      </tp>
      <tp>
        <v>1004</v>
        <stp/>
        <stp>nse_cm|932AEL27-N3</stp>
        <stp>High</stp>
        <tr r="N471" s="1"/>
      </tp>
      <tp>
        <v>1124.24</v>
        <stp/>
        <stp>nse_cm|876HUDCO28-ND</stp>
        <stp>Prev Close</stp>
        <tr r="P509" s="1"/>
      </tp>
      <tp>
        <v>1050.9000000000001</v>
        <stp/>
        <stp>nse_cm|898LTF29-N7</stp>
        <stp>High</stp>
        <tr r="N385" s="1"/>
      </tp>
      <tp>
        <v>0</v>
        <stp/>
        <stp>nse_cm|735PFCL35-N1</stp>
        <stp>% Change</stp>
        <tr r="J26" s="1"/>
      </tp>
      <tp>
        <v>0</v>
        <stp/>
        <stp>nse_cm|1050ICCL28-NV</stp>
        <stp>Prev Close</stp>
        <tr r="P764" s="1"/>
      </tp>
      <tp>
        <v>1059</v>
        <stp/>
        <stp>bse_cm|MFL28D</stp>
        <stp xml:space="preserve">Low </stp>
        <tr r="O1276" s="1"/>
      </tp>
      <tp>
        <v>0</v>
        <stp/>
        <stp>nse_cm|SCLZC26G-YA</stp>
        <stp>Open</stp>
        <tr r="M815" s="1"/>
      </tp>
      <tp>
        <v>999.32</v>
        <stp/>
        <stp>nse_cm|1030ICCL28-NM</stp>
        <stp>Prev Close</stp>
        <tr r="P1596" s="1"/>
      </tp>
      <tp>
        <v>1071</v>
        <stp/>
        <stp>bse_cm|MFL28B</stp>
        <stp xml:space="preserve">Low </stp>
        <tr r="O1277" s="1"/>
      </tp>
      <tp>
        <v>-100</v>
        <stp/>
        <stp>nse_cm|1050SCL30-NU</stp>
        <stp>% Change</stp>
        <tr r="J893" s="1"/>
      </tp>
      <tp>
        <v>970</v>
        <stp/>
        <stp>nse_cm|1003ICCL28-NX</stp>
        <stp>Prev Close</stp>
        <tr r="P553" s="1"/>
      </tp>
      <tp>
        <v>1050</v>
        <stp/>
        <stp>bse_cm|MFL28A</stp>
        <stp xml:space="preserve">Low </stp>
        <tr r="O1620" s="1"/>
      </tp>
      <tp>
        <v>1313.21</v>
        <stp/>
        <stp>nse_cm|891IIFCL34-N4</stp>
        <stp>Prev Close</stp>
        <tr r="P516" s="1"/>
      </tp>
      <tp>
        <v>1051.8</v>
        <stp/>
        <stp>nse_cm|85IIFL25-NO</stp>
        <stp xml:space="preserve">Low </stp>
        <tr r="O110" s="1"/>
      </tp>
      <tp t="s">
        <v>IFCIZC24-NI</v>
        <stp/>
        <stp>nse_cm|IFCIZC24-NI</stp>
        <stp>Trading Symbol</stp>
        <tr r="B1768" s="1"/>
      </tp>
      <tp>
        <v>1000.2</v>
        <stp/>
        <stp>bse_cm|85CIFC27</stp>
        <stp>Bid Rate</stp>
        <tr r="E974" s="1"/>
      </tp>
      <tp>
        <v>-100</v>
        <stp/>
        <stp>bse_cm|1075KAFL29</stp>
        <stp>% Change</stp>
        <tr r="J125" s="1"/>
      </tp>
      <tp>
        <v>-100</v>
        <stp/>
        <stp>bse_cm|790MMFSL27</stp>
        <stp>% Change</stp>
        <tr r="J1189" s="1"/>
      </tp>
      <tp>
        <v>1000</v>
        <stp/>
        <stp>bse_cm|MFCL16924A</stp>
        <stp>Face Value</stp>
        <tr r="Q1285" s="1"/>
      </tp>
      <tp>
        <v>1000</v>
        <stp/>
        <stp>bse_cm|MFCL16924B</stp>
        <stp>Face Value</stp>
        <tr r="Q1284" s="1"/>
      </tp>
      <tp>
        <v>1000</v>
        <stp/>
        <stp>bse_cm|MFCL16924C</stp>
        <stp>Face Value</stp>
        <tr r="Q660" s="1"/>
      </tp>
      <tp>
        <v>0</v>
        <stp/>
        <stp>nse_cm|850NHAI29-N5</stp>
        <stp>% Change</stp>
        <tr r="J512" s="1"/>
      </tp>
      <tp>
        <v>2250</v>
        <stp/>
        <stp>bse_cm|IFCIZC24</stp>
        <stp>Bid Rate</stp>
        <tr r="E1769" s="1"/>
      </tp>
      <tp>
        <v>-100</v>
        <stp/>
        <stp>bse_cm|1050KAFL28</stp>
        <stp>% Change</stp>
        <tr r="J610" s="1"/>
      </tp>
      <tp>
        <v>-100</v>
        <stp/>
        <stp>bse_cm|1075KAFL28</stp>
        <stp>% Change</stp>
        <tr r="J1118" s="1"/>
      </tp>
      <tp>
        <v>-100</v>
        <stp/>
        <stp>bse_cm|791JMFPL26</stp>
        <stp>% Change</stp>
        <tr r="J276" s="1"/>
      </tp>
      <tp>
        <v>0</v>
        <stp/>
        <stp>nse_cm|925CAGL26-N9</stp>
        <stp>% Change</stp>
        <tr r="J639" s="1"/>
      </tp>
      <tp>
        <v>2301</v>
        <stp/>
        <stp>bse_cm|IFCIZC25</stp>
        <stp>Bid Rate</stp>
        <tr r="E1764" s="1"/>
      </tp>
      <tp>
        <v>-100</v>
        <stp/>
        <stp>bse_cm|875PCHFL31</stp>
        <stp>% Change</stp>
        <tr r="J1172" s="1"/>
      </tp>
      <tp>
        <v>0</v>
        <stp/>
        <stp>nse_cm|945IFSL25-N4</stp>
        <stp>% Change</stp>
        <tr r="J453" s="1"/>
      </tp>
      <tp t="s">
        <v>INE148I07RG0</v>
        <stp/>
        <stp>nse_cm|940SCL26B-Y6</stp>
        <stp>Isin code</stp>
        <tr r="R795" s="1"/>
      </tp>
      <tp>
        <v>1000</v>
        <stp/>
        <stp>nse_cm|85LTF26-NM</stp>
        <stp>Face Value</stp>
        <tr r="Q365" s="1"/>
      </tp>
      <tp>
        <v>1020</v>
        <stp/>
        <stp>nse_cm|956AEL29-N6</stp>
        <stp xml:space="preserve">Low </stp>
        <tr r="O298" s="1"/>
      </tp>
      <tp t="s">
        <v>INE148I07PU5</v>
        <stp/>
        <stp>nse_cm|980SCL33A-N3</stp>
        <stp>Isin code</stp>
        <tr r="R1055" s="1"/>
      </tp>
      <tp>
        <v>0</v>
        <stp/>
        <stp>nse_cm|965IFSL26-N6</stp>
        <stp>% Change</stp>
        <tr r="J1346" s="1"/>
      </tp>
      <tp>
        <v>677</v>
        <stp/>
        <stp>bse_cm|966ICCL25A</stp>
        <stp>Face Value</stp>
        <tr r="Q846" s="1"/>
      </tp>
      <tp>
        <v>800</v>
        <stp/>
        <stp>bse_cm|866ICCL23A</stp>
        <stp>Face Value</stp>
        <tr r="Q1075" s="1"/>
      </tp>
      <tp>
        <v>1102</v>
        <stp/>
        <stp>nse_cm|97SFL29-YZ</stp>
        <stp>Prev Close</stp>
        <tr r="P20" s="1"/>
      </tp>
      <tp>
        <v>10.49</v>
        <stp/>
        <stp>nse_cm|105IIFL29-N7</stp>
        <stp>% Change</stp>
        <tr r="J270" s="1"/>
      </tp>
      <tp>
        <v>0</v>
        <stp/>
        <stp>nse_cm|825IIFL25-N7</stp>
        <stp>% Change</stp>
        <tr r="J49" s="1"/>
      </tp>
      <tp>
        <v>948.99</v>
        <stp/>
        <stp>bse_cm|9SCL26BA</stp>
        <stp>Prev Close</stp>
        <tr r="P160" s="1"/>
      </tp>
      <tp>
        <v>1000</v>
        <stp/>
        <stp>bse_cm|1075KLMA28</stp>
        <stp>Face Value</stp>
        <tr r="Q1116" s="1"/>
      </tp>
      <tp>
        <v>1006.2</v>
        <stp/>
        <stp>bse_cm|10CAGL27</stp>
        <stp>Bid Rate</stp>
        <tr r="E282" s="1"/>
      </tp>
      <tp>
        <v>820.2</v>
        <stp/>
        <stp>bse_cm|95CCIL25</stp>
        <stp>Bid Rate</stp>
        <tr r="E37" s="1"/>
      </tp>
      <tp>
        <v>1000</v>
        <stp/>
        <stp>bse_cm|MFLIV27D</stp>
        <stp>Face Value</stp>
        <tr r="Q1452" s="1"/>
      </tp>
      <tp>
        <v>941.8</v>
        <stp/>
        <stp>bse_cm|11CCIL26</stp>
        <stp>Bid Rate</stp>
        <tr r="E625" s="1"/>
      </tp>
      <tp>
        <v>180</v>
        <stp/>
        <stp>bse_cm|8MFL24A</stp>
        <stp>Bid Qty</stp>
        <tr r="D1549" s="1"/>
      </tp>
      <tp>
        <v>0</v>
        <stp/>
        <stp>nse_cm|805ABFL28-N2</stp>
        <stp>% Change</stp>
        <tr r="J477" s="1"/>
      </tp>
      <tp>
        <v>0</v>
        <stp/>
        <stp>nse_cm|925ERFL28-N6</stp>
        <stp>% Change</stp>
        <tr r="J165" s="1"/>
      </tp>
      <tp>
        <v>921.7</v>
        <stp/>
        <stp>bse_cm|11CCIL27</stp>
        <stp>Bid Rate</stp>
        <tr r="E691" s="1"/>
      </tp>
      <tp>
        <v>1000</v>
        <stp/>
        <stp>nse_cm|1003ISFL28-N4</stp>
        <stp>Face Value</stp>
        <tr r="Q197" s="1"/>
      </tp>
      <tp>
        <v>1000</v>
        <stp/>
        <stp>nse_cm|SCLZC26-NB</stp>
        <stp>Face Value</stp>
        <tr r="Q1717" s="1"/>
      </tp>
      <tp>
        <v>0</v>
        <stp/>
        <stp>nse_cm|945CAGL24-N1</stp>
        <stp>% Change</stp>
        <tr r="J1704" s="1"/>
      </tp>
      <tp>
        <v>0</v>
        <stp/>
        <stp>bse_cm|KFL28D</stp>
        <stp>High</stp>
        <tr r="N1299" s="1"/>
      </tp>
      <tp>
        <v>-100</v>
        <stp/>
        <stp>bse_cm|1025KAFL27</stp>
        <stp>% Change</stp>
        <tr r="J769" s="1"/>
      </tp>
      <tp>
        <v>-100</v>
        <stp/>
        <stp>bse_cm|1050KAFL27</stp>
        <stp>% Change</stp>
        <tr r="J1160" s="1"/>
      </tp>
      <tp>
        <v>-100</v>
        <stp/>
        <stp>bse_cm|1125KAFL27</stp>
        <stp>% Change</stp>
        <tr r="J1228" s="1"/>
      </tp>
      <tp>
        <v>1000</v>
        <stp/>
        <stp>nse_cm|1050ISFL28-N5</stp>
        <stp>Face Value</stp>
        <tr r="Q1591" s="1"/>
      </tp>
      <tp>
        <v>-100</v>
        <stp/>
        <stp>bse_cm|1025KAFL25</stp>
        <stp>% Change</stp>
        <tr r="J770" s="1"/>
      </tp>
      <tp>
        <v>-100</v>
        <stp/>
        <stp>bse_cm|1050KAFL25</stp>
        <stp>% Change</stp>
        <tr r="J1161" s="1"/>
      </tp>
      <tp>
        <v>-100</v>
        <stp/>
        <stp>bse_cm|1075KLMA28</stp>
        <stp>% Change</stp>
        <tr r="J1116" s="1"/>
      </tp>
      <tp>
        <v>-100</v>
        <stp/>
        <stp>bse_cm|1050KLMA28</stp>
        <stp>% Change</stp>
        <tr r="J611" s="1"/>
      </tp>
      <tp>
        <v>50</v>
        <stp/>
        <stp>bse_cm|9MFL30A</stp>
        <stp>Bid Qty</stp>
        <tr r="D289" s="1"/>
      </tp>
      <tp>
        <v>971.5</v>
        <stp/>
        <stp>bse_cm|9SFL2026</stp>
        <stp>Prev Close</stp>
        <tr r="P1473" s="1"/>
      </tp>
      <tp>
        <v>860.3</v>
        <stp/>
        <stp>bse_cm|86CIFC29</stp>
        <stp>Bid Rate</stp>
        <tr r="E1341" s="1"/>
      </tp>
      <tp>
        <v>0</v>
        <stp/>
        <stp>nse_cm|1048IIFL27-N6</stp>
        <stp xml:space="preserve">Low </stp>
        <tr r="O997" s="1"/>
      </tp>
      <tp t="s">
        <v>10EFSL33A</v>
        <stp/>
        <stp>bse_cm|10EFSL33A</stp>
        <stp>Trading Symbol</stp>
        <tr r="B140" s="1"/>
      </tp>
      <tp t="s">
        <v>10EFSL33B</v>
        <stp/>
        <stp>bse_cm|10EFSL33B</stp>
        <stp>Trading Symbol</stp>
        <tr r="B136" s="1"/>
      </tp>
      <tp t="s">
        <v>10EFSL34A</v>
        <stp/>
        <stp>bse_cm|10EFSL34A</stp>
        <stp>Trading Symbol</stp>
        <tr r="B131" s="1"/>
      </tp>
      <tp t="s">
        <v>INE918K07FS2</v>
        <stp/>
        <stp>bse_cm|1025NWFL25</stp>
        <stp>Isin code</stp>
        <tr r="R154" s="1"/>
      </tp>
      <tp>
        <v>1000</v>
        <stp/>
        <stp>bse_cm|MFLVI25</stp>
        <stp>Face Value</stp>
        <tr r="Q1707" s="1"/>
      </tp>
      <tp>
        <v>1000</v>
        <stp/>
        <stp>bse_cm|MFLVI26</stp>
        <stp>Face Value</stp>
        <tr r="Q1719" s="1"/>
      </tp>
      <tp t="s">
        <v>1075KLM27</v>
        <stp/>
        <stp>bse_cm|1075KLM27</stp>
        <stp>Trading Symbol</stp>
        <tr r="B1117" s="1"/>
      </tp>
      <tp t="s">
        <v>10IIFL28A</v>
        <stp/>
        <stp>bse_cm|10IIFL28A</stp>
        <stp>Trading Symbol</stp>
        <tr r="B101" s="1"/>
      </tp>
      <tp>
        <v>0</v>
        <stp/>
        <stp>nse_cm|1003SCFL31-Z4</stp>
        <stp>Open</stp>
        <tr r="M878" s="1"/>
      </tp>
      <tp>
        <v>0</v>
        <stp/>
        <stp>bse_cm|JMFPTBIL25</stp>
        <stp>Volume Traded Today</stp>
        <tr r="L9" s="1"/>
      </tp>
      <tp t="s">
        <v>1050KLM27</v>
        <stp/>
        <stp>bse_cm|1050KLM27</stp>
        <stp>Trading Symbol</stp>
        <tr r="B609" s="1"/>
      </tp>
      <tp t="s">
        <v>10KAFL26A</v>
        <stp/>
        <stp>bse_cm|10KAFL26A</stp>
        <stp>Trading Symbol</stp>
        <tr r="B1095" s="1"/>
      </tp>
      <tp t="s">
        <v>10KAFL26B</v>
        <stp/>
        <stp>bse_cm|10KAFL26B</stp>
        <stp>Trading Symbol</stp>
        <tr r="B1094" s="1"/>
      </tp>
      <tp t="s">
        <v>955NWIL27</v>
        <stp/>
        <stp>bse_cm|955NWIL27</stp>
        <stp>Trading Symbol</stp>
        <tr r="B1480" s="1"/>
      </tp>
      <tp t="s">
        <v>1150MML29</v>
        <stp/>
        <stp>bse_cm|1150MML29</stp>
        <stp>Trading Symbol</stp>
        <tr r="B248" s="1"/>
      </tp>
      <tp t="s">
        <v>1150IML28</v>
        <stp/>
        <stp>bse_cm|1150IML28</stp>
        <stp>Trading Symbol</stp>
        <tr r="B92" s="1"/>
      </tp>
      <tp t="s">
        <v>1150IML29</v>
        <stp/>
        <stp>bse_cm|1150IML29</stp>
        <stp>Trading Symbol</stp>
        <tr r="B601" s="1"/>
      </tp>
      <tp t="s">
        <v>1125MML27</v>
        <stp/>
        <stp>bse_cm|1125MML27</stp>
        <stp>Trading Symbol</stp>
        <tr r="B592" s="1"/>
      </tp>
      <tp t="s">
        <v>953NWIL32</v>
        <stp/>
        <stp>bse_cm|953NWIL32</stp>
        <stp>Trading Symbol</stp>
        <tr r="B226" s="1"/>
      </tp>
      <tp t="s">
        <v>950CCIL25</v>
        <stp/>
        <stp>bse_cm|950CCIL25</stp>
        <stp>Trading Symbol</stp>
        <tr r="B99" s="1"/>
      </tp>
      <tp t="s">
        <v>950KFIL26</v>
        <stp/>
        <stp>bse_cm|950KFIL26</stp>
        <stp>Trading Symbol</stp>
        <tr r="B602" s="1"/>
      </tp>
      <tp t="s">
        <v>INE0BUS07098</v>
        <stp/>
        <stp>bse_cm|11IML26</stp>
        <stp>Isin code</stp>
        <tr r="R1132" s="1"/>
      </tp>
      <tp t="s">
        <v>INE0BUS08013</v>
        <stp/>
        <stp>bse_cm|12IML26</stp>
        <stp>Isin code</stp>
        <tr r="R1494" s="1"/>
      </tp>
      <tp t="s">
        <v>MML11924</v>
        <stp/>
        <stp>bse_cm|MML11924</stp>
        <stp>Symbol</stp>
        <tr r="A1536" s="1"/>
      </tp>
      <tp t="s">
        <v>965AEL27</v>
        <stp/>
        <stp>bse_cm|965AEL27</stp>
        <stp>Symbol</stp>
        <tr r="A370" s="1"/>
      </tp>
      <tp t="s">
        <v>INE530L07814</v>
        <stp/>
        <stp>bse_cm|0NHFL27</stp>
        <stp>Isin code</stp>
        <tr r="R1036" s="1"/>
      </tp>
      <tp t="s">
        <v>INE530B07344</v>
        <stp/>
        <stp>bse_cm|85IFL26</stp>
        <stp>Isin code</stp>
        <tr r="R1357" s="1"/>
      </tp>
      <tp t="s">
        <v>956AEL29</v>
        <stp/>
        <stp>bse_cm|956AEL29</stp>
        <stp>Symbol</stp>
        <tr r="A311" s="1"/>
      </tp>
      <tp t="s">
        <v>INE219X07207</v>
        <stp/>
        <stp>bse_cm|76IGT26</stp>
        <stp>Isin code</stp>
        <tr r="R1608" s="1"/>
      </tp>
      <tp t="s">
        <v>965ICCL25I</v>
        <stp/>
        <stp>nse_cm|965ICCL25I-NQ</stp>
        <stp>Symbol</stp>
        <tr r="A696" s="1"/>
      </tp>
      <tp t="s">
        <v>925AEL26</v>
        <stp/>
        <stp>bse_cm|925AEL26</stp>
        <stp>Symbol</stp>
        <tr r="A335" s="1"/>
      </tp>
      <tp t="s">
        <v>920PEL28</v>
        <stp/>
        <stp>bse_cm|920PEL28</stp>
        <stp>Symbol</stp>
        <tr r="A440" s="1"/>
      </tp>
      <tp t="s">
        <v>935PEL33</v>
        <stp/>
        <stp>bse_cm|935PEL33</stp>
        <stp>Symbol</stp>
        <tr r="A368" s="1"/>
      </tp>
      <tp t="s">
        <v>932AEL27</v>
        <stp/>
        <stp>bse_cm|932AEL27</stp>
        <stp>Symbol</stp>
        <tr r="A317" s="1"/>
      </tp>
      <tp t="s">
        <v>105MML25</v>
        <stp/>
        <stp>bse_cm|105MML25</stp>
        <stp>Symbol</stp>
        <tr r="A1170" s="1"/>
      </tp>
      <tp t="s">
        <v>905PEL26</v>
        <stp/>
        <stp>bse_cm|905PEL26</stp>
        <stp>Symbol</stp>
        <tr r="A1518" s="1"/>
      </tp>
      <tp t="s">
        <v>00:00:00</v>
        <stp/>
        <stp>bse_cm|975JMFCS28</stp>
        <stp>LTT</stp>
        <tr r="I275" s="1"/>
      </tp>
      <tp>
        <v>0</v>
        <stp/>
        <stp>bse_cm|934JMFCS28</stp>
        <stp>LTP</stp>
        <tr r="H325" s="1"/>
      </tp>
      <tp>
        <v>0</v>
        <stp/>
        <stp>bse_cm|975JMFCS28</stp>
        <stp>LTP</stp>
        <tr r="H275" s="1"/>
      </tp>
      <tp t="s">
        <v>00:00:00</v>
        <stp/>
        <stp>bse_cm|934JMFCS28</stp>
        <stp>LTT</stp>
        <tr r="I325" s="1"/>
      </tp>
      <tp>
        <v>0</v>
        <stp/>
        <stp>bse_cm|981JMFCS28</stp>
        <stp>LTP</stp>
        <tr r="H295" s="1"/>
      </tp>
      <tp t="s">
        <v>00:00:00</v>
        <stp/>
        <stp>bse_cm|981JMFCS28</stp>
        <stp>LTT</stp>
        <tr r="I295" s="1"/>
      </tp>
      <tp>
        <v>0</v>
        <stp/>
        <stp>bse_cm|729NABAR26</stp>
        <stp>Volume Traded Today</stp>
        <tr r="L540" s="1"/>
      </tp>
      <tp>
        <v>0</v>
        <stp/>
        <stp>bse_cm|704NABAR26</stp>
        <stp>Volume Traded Today</stp>
        <tr r="L1702" s="1"/>
      </tp>
      <tp>
        <v>0</v>
        <stp/>
        <stp>bse_cm|735NABAR31</stp>
        <stp>Volume Traded Today</stp>
        <tr r="L14" s="1"/>
      </tp>
      <tp>
        <v>0</v>
        <stp/>
        <stp>bse_cm|764NABAR31</stp>
        <stp>Volume Traded Today</stp>
        <tr r="L497" s="1"/>
      </tp>
      <tp>
        <v>974.99</v>
        <stp/>
        <stp>bse_cm|88MFL28</stp>
        <stp>Prev Close</stp>
        <tr r="P233" s="1"/>
      </tp>
      <tp>
        <v>990</v>
        <stp/>
        <stp>bse_cm|89MFL26</stp>
        <stp>Prev Close</stp>
        <tr r="P250" s="1"/>
      </tp>
      <tp>
        <v>985</v>
        <stp/>
        <stp>bse_cm|81MFL28</stp>
        <stp>Prev Close</stp>
        <tr r="P314" s="1"/>
      </tp>
      <tp>
        <v>980.5</v>
        <stp/>
        <stp>bse_cm|84MFL25</stp>
        <stp>Prev Close</stp>
        <tr r="P316" s="1"/>
      </tp>
      <tp>
        <v>970</v>
        <stp/>
        <stp>bse_cm|85KFL25</stp>
        <stp>Prev Close</stp>
        <tr r="P641" s="1"/>
      </tp>
      <tp>
        <v>940.58</v>
        <stp/>
        <stp>bse_cm|85IFL26</stp>
        <stp>Prev Close</stp>
        <tr r="P1357" s="1"/>
      </tp>
      <tp>
        <v>900</v>
        <stp/>
        <stp>bse_cm|8ABFL26</stp>
        <stp>Prev Close</stp>
        <tr r="P539" s="1"/>
      </tp>
      <tp>
        <v>1028.2</v>
        <stp/>
        <stp>bse_cm|91SFL27</stp>
        <stp>Prev Close</stp>
        <tr r="P574" s="1"/>
      </tp>
      <tp>
        <v>950</v>
        <stp/>
        <stp>bse_cm|925FL27</stp>
        <stp>Prev Close</stp>
        <tr r="P615" s="1"/>
      </tp>
      <tp>
        <v>1020</v>
        <stp/>
        <stp>bse_cm|94MFL27</stp>
        <stp>Prev Close</stp>
        <tr r="P189" s="1"/>
      </tp>
      <tp>
        <v>1041.01</v>
        <stp/>
        <stp>bse_cm|94SFL28</stp>
        <stp>Prev Close</stp>
        <tr r="P24" s="1"/>
      </tp>
      <tp>
        <v>997.8</v>
        <stp/>
        <stp>bse_cm|95MFL25</stp>
        <stp>Prev Close</stp>
        <tr r="P1420" s="1"/>
      </tp>
      <tp>
        <v>970</v>
        <stp/>
        <stp>bse_cm|95KFL27</stp>
        <stp>Prev Close</stp>
        <tr r="P607" s="1"/>
      </tp>
      <tp>
        <v>970</v>
        <stp/>
        <stp>bse_cm|95KFL26</stp>
        <stp>Prev Close</stp>
        <tr r="P253" s="1"/>
      </tp>
      <tp>
        <v>1060</v>
        <stp/>
        <stp>bse_cm|96MFL25</stp>
        <stp>Prev Close</stp>
        <tr r="P1392" s="1"/>
      </tp>
      <tp>
        <v>1102</v>
        <stp/>
        <stp>bse_cm|97SFL29</stp>
        <stp>Prev Close</stp>
        <tr r="P21" s="1"/>
      </tp>
      <tp>
        <v>1102</v>
        <stp/>
        <stp>bse_cm|97SFL28</stp>
        <stp>Prev Close</stp>
        <tr r="P23" s="1"/>
      </tp>
      <tp>
        <v>1031</v>
        <stp/>
        <stp>bse_cm|97SFL26</stp>
        <stp>Prev Close</stp>
        <tr r="P405" s="1"/>
      </tp>
      <tp>
        <v>1059.8</v>
        <stp/>
        <stp>bse_cm|9SCFL25</stp>
        <stp>Prev Close</stp>
        <tr r="P1505" s="1"/>
      </tp>
      <tp>
        <v>954</v>
        <stp/>
        <stp>bse_cm|9IIFL28</stp>
        <stp>Prev Close</stp>
        <tr r="P126" s="1"/>
      </tp>
      <tp>
        <v>825.8</v>
        <stp/>
        <stp>bse_cm|9KSFL27</stp>
        <stp>Prev Close</stp>
        <tr r="P1418" s="1"/>
      </tp>
      <tp>
        <v>20</v>
        <stp/>
        <stp>bse_cm|TCHF30</stp>
        <stp>Bid Qty</stp>
        <tr r="D423" s="1"/>
      </tp>
      <tp>
        <v>960</v>
        <stp/>
        <stp>bse_cm|0NHFL26</stp>
        <stp>Prev Close</stp>
        <tr r="P1037" s="1"/>
      </tp>
      <tp>
        <v>1000</v>
        <stp/>
        <stp>bse_cm|0NHFL27</stp>
        <stp>Prev Close</stp>
        <tr r="P1036" s="1"/>
      </tp>
      <tp>
        <v>1000</v>
        <stp/>
        <stp>bse_cm|0NHFL29</stp>
        <stp>Prev Close</stp>
        <tr r="P1035" s="1"/>
      </tp>
      <tp>
        <v>993</v>
        <stp/>
        <stp>bse_cm|10NFL25</stp>
        <stp>Prev Close</stp>
        <tr r="P1568" s="1"/>
      </tp>
      <tp>
        <v>1048</v>
        <stp/>
        <stp>bse_cm|10MFL25</stp>
        <stp>Prev Close</stp>
        <tr r="P577" s="1"/>
      </tp>
      <tp>
        <v>990</v>
        <stp/>
        <stp>bse_cm|10KFL25</stp>
        <stp>Prev Close</stp>
        <tr r="P1093" s="1"/>
      </tp>
      <tp>
        <v>993</v>
        <stp/>
        <stp>bse_cm|10KFL27</stp>
        <stp>Prev Close</stp>
        <tr r="P675" s="1"/>
      </tp>
      <tp>
        <v>990</v>
        <stp/>
        <stp>bse_cm|10KFL28</stp>
        <stp>Prev Close</stp>
        <tr r="P674" s="1"/>
      </tp>
      <tp>
        <v>1010</v>
        <stp/>
        <stp>bse_cm|10SFL25</stp>
        <stp>Prev Close</stp>
        <tr r="P1681" s="1"/>
      </tp>
      <tp>
        <v>1010</v>
        <stp/>
        <stp>bse_cm|10SFL27</stp>
        <stp>Prev Close</stp>
        <tr r="P863" s="1"/>
      </tp>
      <tp>
        <v>985</v>
        <stp/>
        <stp>bse_cm|11IFL25</stp>
        <stp>Prev Close</stp>
        <tr r="P1421" s="1"/>
      </tp>
      <tp>
        <v>1004</v>
        <stp/>
        <stp>bse_cm|12IFL27</stp>
        <stp>Prev Close</stp>
        <tr r="P258" s="1"/>
      </tp>
      <tp>
        <v>0</v>
        <stp/>
        <stp>bse_cm|875PCHFL31</stp>
        <stp>Volume Traded Today</stp>
        <tr r="L1172" s="1"/>
      </tp>
      <tp>
        <v>0</v>
        <stp/>
        <stp>bse_cm|875PCHFL26</stp>
        <stp>Volume Traded Today</stp>
        <tr r="L331" s="1"/>
      </tp>
      <tp>
        <v>50</v>
        <stp/>
        <stp>bse_cm|MVAF27</stp>
        <stp>Bid Qty</stp>
        <tr r="D1689" s="1"/>
      </tp>
      <tp t="s">
        <v>902SCL27A</v>
        <stp/>
        <stp>bse_cm|902SCL27A</stp>
        <stp>Trading Symbol</stp>
        <tr r="B1354" s="1"/>
      </tp>
      <tp t="s">
        <v>902SCL26I</v>
        <stp/>
        <stp>bse_cm|902SCL26I</stp>
        <stp>Trading Symbol</stp>
        <tr r="B903" s="1"/>
      </tp>
      <tp t="s">
        <v>902SCL26A</v>
        <stp/>
        <stp>bse_cm|902SCL26A</stp>
        <stp>Trading Symbol</stp>
        <tr r="B967" s="1"/>
      </tp>
      <tp>
        <v>977</v>
        <stp/>
        <stp>bse_cm|10EFS33</stp>
        <stp>Prev Close</stp>
        <tr r="P112" s="1"/>
      </tp>
      <tp t="s">
        <v>104ECL29A</v>
        <stp/>
        <stp>bse_cm|104ECL29A</stp>
        <stp>Trading Symbol</stp>
        <tr r="B79" s="1"/>
      </tp>
      <tp t="s">
        <v>905MFL28A</v>
        <stp/>
        <stp>bse_cm|905MFL28A</stp>
        <stp>Trading Symbol</stp>
        <tr r="B224" s="1"/>
      </tp>
      <tp>
        <v>1000</v>
        <stp/>
        <stp>bse_cm|MFLV29E</stp>
        <stp>Face Value</stp>
        <tr r="Q650" s="1"/>
      </tp>
      <tp>
        <v>1000</v>
        <stp/>
        <stp>bse_cm|MFLV26E</stp>
        <stp>Face Value</stp>
        <tr r="Q352" s="1"/>
      </tp>
      <tp>
        <v>20</v>
        <stp/>
        <stp>nse_cm|CAGL26-NA</stp>
        <stp>Bid Qty</stp>
        <tr r="D735" s="1"/>
      </tp>
      <tp>
        <v>12</v>
        <stp/>
        <stp>nse_cm|CAGL27-NC</stp>
        <stp>Bid Qty</stp>
        <tr r="D733" s="1"/>
      </tp>
      <tp>
        <v>21</v>
        <stp/>
        <stp>nse_cm|CAGL28-NE</stp>
        <stp>Bid Qty</stp>
        <tr r="D756" s="1"/>
      </tp>
      <tp>
        <v>1</v>
        <stp/>
        <stp>nse_cm|CAGL24-N2</stp>
        <stp>Bid Qty</stp>
        <tr r="D1762" s="1"/>
      </tp>
      <tp>
        <v>1</v>
        <stp/>
        <stp>nse_cm|CAGL25-N8</stp>
        <stp>Bid Qty</stp>
        <tr r="D710" s="1"/>
      </tp>
      <tp>
        <v>-100</v>
        <stp/>
        <stp>bse_cm|890ICCL23A</stp>
        <stp>% Change</stp>
        <tr r="J1486" s="1"/>
      </tp>
      <tp>
        <v>0</v>
        <stp/>
        <stp>nse_cm|965IFSL26-N6</stp>
        <stp>Ask Qty</stp>
        <tr r="G1346" s="1"/>
      </tp>
      <tp>
        <v>0</v>
        <stp/>
        <stp>nse_cm|985IIFL22-NC</stp>
        <stp>% Change</stp>
        <tr r="J114" s="1"/>
      </tp>
      <tp>
        <v>1039</v>
        <stp/>
        <stp>bse_cm|ABFL28</stp>
        <stp>High</stp>
        <tr r="N1373" s="1"/>
      </tp>
      <tp>
        <v>0</v>
        <stp/>
        <stp>nse_cm|875IHFL29-ND</stp>
        <stp>% Change</stp>
        <tr r="J77" s="1"/>
      </tp>
      <tp>
        <v>998</v>
        <stp/>
        <stp>nse_cm|835IFL25-NV</stp>
        <stp>High</stp>
        <tr r="N98" s="1"/>
      </tp>
      <tp>
        <v>0</v>
        <stp/>
        <stp>nse_cm|935SCL28-NV</stp>
        <stp>High</stp>
        <tr r="N986" s="1"/>
      </tp>
      <tp>
        <v>966.94</v>
        <stp/>
        <stp>nse_cm|10IIFLSF27-NB</stp>
        <stp>Prev Close</stp>
        <tr r="P1657" s="1"/>
      </tp>
      <tp>
        <v>962.2</v>
        <stp/>
        <stp>bse_cm|9IIFL28A</stp>
        <stp>Bid Rate</stp>
        <tr r="E218" s="1"/>
      </tp>
      <tp>
        <v>-100</v>
        <stp/>
        <stp>bse_cm|KFL070824D</stp>
        <stp>% Change</stp>
        <tr r="J1310" s="1"/>
      </tp>
      <tp>
        <v>-100</v>
        <stp/>
        <stp>bse_cm|950MFCL27D</stp>
        <stp>% Change</stp>
        <tr r="J1496" s="1"/>
      </tp>
      <tp>
        <v>-100</v>
        <stp/>
        <stp>bse_cm|MFCL16924B</stp>
        <stp>% Change</stp>
        <tr r="J1284" s="1"/>
      </tp>
      <tp>
        <v>-100</v>
        <stp/>
        <stp>bse_cm|MFCL16924C</stp>
        <stp>% Change</stp>
        <tr r="J660" s="1"/>
      </tp>
      <tp>
        <v>949</v>
        <stp/>
        <stp>nse_cm|96SFL24A-NB</stp>
        <stp>Ask Rate</stp>
        <tr r="F162" s="1"/>
      </tp>
      <tp>
        <v>-100</v>
        <stp/>
        <stp>bse_cm|MFCL16924A</stp>
        <stp>% Change</stp>
        <tr r="J1285" s="1"/>
      </tp>
      <tp>
        <v>1000</v>
        <stp/>
        <stp>bse_cm|729HUDCO26</stp>
        <stp>Face Value</stp>
        <tr r="Q523" s="1"/>
      </tp>
      <tp>
        <v>1000</v>
        <stp/>
        <stp>bse_cm|739HUDCO31</stp>
        <stp>Face Value</stp>
        <tr r="Q569" s="1"/>
      </tp>
      <tp>
        <v>1000</v>
        <stp/>
        <stp>bse_cm|769HUDCO31</stp>
        <stp>Face Value</stp>
        <tr r="Q15" s="1"/>
      </tp>
      <tp>
        <v>-100</v>
        <stp/>
        <stp>bse_cm|KFL070824A</stp>
        <stp>% Change</stp>
        <tr r="J1313" s="1"/>
      </tp>
      <tp>
        <v>-100</v>
        <stp/>
        <stp>bse_cm|875MFCL26C</stp>
        <stp>% Change</stp>
        <tr r="J309" s="1"/>
      </tp>
      <tp>
        <v>-100</v>
        <stp/>
        <stp>bse_cm|EFS290424A</stp>
        <stp>% Change</stp>
        <tr r="J571" s="1"/>
      </tp>
      <tp>
        <v>0</v>
        <stp/>
        <stp>nse_cm|875IIFL26-NM</stp>
        <stp>% Change</stp>
        <tr r="J640" s="1"/>
      </tp>
      <tp>
        <v>877.2</v>
        <stp/>
        <stp>bse_cm|ABFL26</stp>
        <stp>High</stp>
        <tr r="N1064" s="1"/>
      </tp>
      <tp>
        <v>-100</v>
        <stp/>
        <stp>bse_cm|KFL070824B</stp>
        <stp>% Change</stp>
        <tr r="J1312" s="1"/>
      </tp>
      <tp>
        <v>-100</v>
        <stp/>
        <stp>bse_cm|866ICCL23A</stp>
        <stp>% Change</stp>
        <tr r="J1075" s="1"/>
      </tp>
      <tp>
        <v>0</v>
        <stp/>
        <stp>nse_cm|1050NFL26-N7</stp>
        <stp>% Change</stp>
        <tr r="J259" s="1"/>
      </tp>
      <tp>
        <v>-1.01</v>
        <stp/>
        <stp>nse_cm|1050UCL25-N7</stp>
        <stp>% Change</stp>
        <tr r="J201" s="1"/>
      </tp>
      <tp>
        <v>-100</v>
        <stp/>
        <stp>bse_cm|KFL070824C</stp>
        <stp>% Change</stp>
        <tr r="J1311" s="1"/>
      </tp>
      <tp>
        <v>1000</v>
        <stp/>
        <stp>bse_cm|CCI110324A</stp>
        <stp>Face Value</stp>
        <tr r="Q1590" s="1"/>
      </tp>
      <tp>
        <v>18.82</v>
        <stp/>
        <stp>nse_cm|985ICCL28-NO</stp>
        <stp>% Change</stp>
        <tr r="J1605" s="1"/>
      </tp>
      <tp>
        <v>0.3</v>
        <stp/>
        <stp>nse_cm|865IIFL28-NS</stp>
        <stp>% Change</stp>
        <tr r="J74" s="1"/>
      </tp>
      <tp>
        <v>0</v>
        <stp/>
        <stp>bse_cm|MVAFZC25</stp>
        <stp>ATP</stp>
        <tr r="K1746" s="1"/>
      </tp>
      <tp>
        <v>0</v>
        <stp/>
        <stp>nse_cm|SCLZC26F-Y9</stp>
        <stp>Open</stp>
        <tr r="M800" s="1"/>
      </tp>
      <tp>
        <v>100</v>
        <stp/>
        <stp>nse_cm|866NTPC33-N3</stp>
        <stp>Bid Qty</stp>
        <tr r="D555" s="1"/>
      </tp>
      <tp t="s">
        <v>985ECL28-NK</v>
        <stp/>
        <stp>nse_cm|985ECL28-NK</stp>
        <stp>Trading Symbol</stp>
        <tr r="B52" s="1"/>
      </tp>
      <tp t="s">
        <v>943ECL28-NJ</v>
        <stp/>
        <stp>nse_cm|943ECL28-NJ</stp>
        <stp>Trading Symbol</stp>
        <tr r="B94" s="1"/>
      </tp>
      <tp>
        <v>0</v>
        <stp/>
        <stp>nse_cm|SCL22-ZC</stp>
        <stp xml:space="preserve">Low </stp>
        <tr r="O955" s="1"/>
      </tp>
      <tp>
        <v>0</v>
        <stp/>
        <stp>nse_cm|SCLZC25F-Y5</stp>
        <stp>Open</stp>
        <tr r="M1512" s="1"/>
      </tp>
      <tp>
        <v>-100</v>
        <stp/>
        <stp>bse_cm|920EFSL27A</stp>
        <stp>% Change</stp>
        <tr r="J685" s="1"/>
      </tp>
      <tp>
        <v>0</v>
        <stp/>
        <stp>nse_cm|SCLZC25E-Y4</stp>
        <stp>Open</stp>
        <tr r="M787" s="1"/>
      </tp>
      <tp t="s">
        <v>79NHIT35-N1</v>
        <stp/>
        <stp>nse_cm|79NHIT35-N1</stp>
        <stp>Trading Symbol</stp>
        <tr r="B1589" s="1"/>
      </tp>
      <tp t="s">
        <v>INE148I07TK8</v>
        <stp/>
        <stp>nse_cm|1050SCL31-ZP</stp>
        <stp>Isin code</stp>
        <tr r="R891" s="1"/>
      </tp>
      <tp>
        <v>985</v>
        <stp/>
        <stp>nse_cm|10NIDO26-N6</stp>
        <stp>High</stp>
        <tr r="N66" s="1"/>
      </tp>
      <tp>
        <v>1165</v>
        <stp/>
        <stp>nse_cm|SCL24-ZD</stp>
        <stp xml:space="preserve">Low </stp>
        <tr r="O956" s="1"/>
      </tp>
      <tp>
        <v>1000</v>
        <stp/>
        <stp>nse_cm|9TCAP28-N9</stp>
        <stp>Face Value</stp>
        <tr r="Q544" s="1"/>
      </tp>
      <tp>
        <v>999.8</v>
        <stp/>
        <stp>bse_cm|8MFL2026</stp>
        <stp>Prev Close</stp>
        <tr r="P451" s="1"/>
      </tp>
      <tp>
        <v>1001</v>
        <stp/>
        <stp>nse_cm|925AEL26-N1</stp>
        <stp>High</stp>
        <tr r="N330" s="1"/>
      </tp>
      <tp>
        <v>0</v>
        <stp/>
        <stp>nse_cm|884LTF29-N6</stp>
        <stp>High</stp>
        <tr r="N1009" s="1"/>
      </tp>
      <tp>
        <v>1075</v>
        <stp/>
        <stp>nse_cm|920PEL28-N2</stp>
        <stp>High</stp>
        <tr r="N373" s="1"/>
      </tp>
      <tp>
        <v>11</v>
        <stp/>
        <stp>bse_cm|9SFL25A</stp>
        <stp>Bid Qty</stp>
        <tr r="D441" s="1"/>
      </tp>
      <tp>
        <v>12</v>
        <stp/>
        <stp>bse_cm|9SFL26A</stp>
        <stp>Bid Qty</stp>
        <tr r="D1065" s="1"/>
      </tp>
      <tp>
        <v>12</v>
        <stp/>
        <stp>bse_cm|9SCL26B</stp>
        <stp>Bid Qty</stp>
        <tr r="D1135" s="1"/>
      </tp>
      <tp>
        <v>1001.43</v>
        <stp/>
        <stp>nse_cm|925SCL25-N5</stp>
        <stp>High</stp>
        <tr r="N1474" s="1"/>
      </tp>
      <tp>
        <v>1000</v>
        <stp/>
        <stp>nse_cm|10NFL25-N9</stp>
        <stp>Face Value</stp>
        <tr r="Q345" s="1"/>
      </tp>
      <tp>
        <v>1025</v>
        <stp/>
        <stp>nse_cm|829PFL29-N6</stp>
        <stp>High</stp>
        <tr r="N1451" s="1"/>
      </tp>
      <tp>
        <v>945</v>
        <stp/>
        <stp>nse_cm|1015SCFL29-YY</stp>
        <stp>Prev Close</stp>
        <tr r="P1455" s="1"/>
      </tp>
      <tp>
        <v>945</v>
        <stp/>
        <stp>nse_cm|92ICCL28-ND</stp>
        <stp>High</stp>
        <tr r="N203" s="1"/>
      </tp>
      <tp>
        <v>0</v>
        <stp/>
        <stp>bse_cm|KFLZC31</stp>
        <stp>Ask Qty</stp>
        <tr r="G1286" s="1"/>
      </tp>
      <tp>
        <v>36</v>
        <stp/>
        <stp>bse_cm|KFLZC29</stp>
        <stp>Ask Qty</stp>
        <tr r="G1639" s="1"/>
      </tp>
      <tp>
        <v>0</v>
        <stp/>
        <stp>bse_cm|KFLZC28</stp>
        <stp>Ask Qty</stp>
        <tr r="G1290" s="1"/>
      </tp>
      <tp>
        <v>50</v>
        <stp/>
        <stp>bse_cm|KFLZC25</stp>
        <stp>Ask Qty</stp>
        <tr r="G1754" s="1"/>
      </tp>
      <tp>
        <v>50</v>
        <stp/>
        <stp>bse_cm|KFLZC24</stp>
        <stp>Ask Qty</stp>
        <tr r="G1766" s="1"/>
      </tp>
      <tp>
        <v>0</v>
        <stp/>
        <stp>bse_cm|KFLZC27</stp>
        <stp>Ask Qty</stp>
        <tr r="G1292" s="1"/>
      </tp>
      <tp>
        <v>25</v>
        <stp/>
        <stp>bse_cm|KFLZC26</stp>
        <stp>Ask Qty</stp>
        <tr r="G1709" s="1"/>
      </tp>
      <tp>
        <v>50</v>
        <stp/>
        <stp>bse_cm|KFLZC2A</stp>
        <stp>Ask Qty</stp>
        <tr r="G1760" s="1"/>
      </tp>
      <tp>
        <v>1345</v>
        <stp/>
        <stp>bse_cm|MFL29A</stp>
        <stp xml:space="preserve">Low </stp>
        <tr r="O1380" s="1"/>
      </tp>
      <tp>
        <v>1020.09</v>
        <stp/>
        <stp>nse_cm|840CIFCL28-N4</stp>
        <stp>Prev Close</stp>
        <tr r="P556" s="1"/>
      </tp>
      <tp t="s">
        <v>IFCIZC25-NM</v>
        <stp/>
        <stp>nse_cm|IFCIZC25-NM</stp>
        <stp>Trading Symbol</stp>
        <tr r="B1765" s="1"/>
      </tp>
      <tp>
        <v>0</v>
        <stp/>
        <stp>nse_cm|801TCH28-N7</stp>
        <stp xml:space="preserve">Low </stp>
        <tr r="O1181" s="1"/>
      </tp>
      <tp>
        <v>0</v>
        <stp/>
        <stp>nse_cm|940SCL26-N6</stp>
        <stp xml:space="preserve">Low </stp>
        <tr r="O921" s="1"/>
      </tp>
      <tp>
        <v>0</v>
        <stp/>
        <stp>nse_cm|957NIDO26-N5</stp>
        <stp>% Change</stp>
        <tr r="J255" s="1"/>
      </tp>
      <tp>
        <v>-100</v>
        <stp/>
        <stp>bse_cm|875PCHFL26</stp>
        <stp>% Change</stp>
        <tr r="J331" s="1"/>
      </tp>
      <tp t="s">
        <v>INE148I07PV3</v>
        <stp/>
        <stp>nse_cm|888SCL25E-N4</stp>
        <stp>Isin code</stp>
        <tr r="R1444" s="1"/>
      </tp>
      <tp>
        <v>999.25</v>
        <stp/>
        <stp>nse_cm|801TCH25-N4</stp>
        <stp xml:space="preserve">Low </stp>
        <tr r="O493" s="1"/>
      </tp>
      <tp>
        <v>-100</v>
        <stp/>
        <stp>bse_cm|1025JFCS28</stp>
        <stp>% Change</stp>
        <tr r="J363" s="1"/>
      </tp>
      <tp>
        <v>0</v>
        <stp/>
        <stp>nse_cm|IIFLHFZC27-NB</stp>
        <stp>Volume Traded Today</stp>
        <tr r="L1672" s="1"/>
      </tp>
      <tp t="s">
        <v>INE148I07RN6</v>
        <stp/>
        <stp>nse_cm|990SCL26B-Y7</stp>
        <stp>Isin code</stp>
        <tr r="R798" s="1"/>
      </tp>
      <tp>
        <v>-100</v>
        <stp/>
        <stp>bse_cm|875TCAPS29</stp>
        <stp>% Change</stp>
        <tr r="J935" s="1"/>
      </tp>
      <tp>
        <v>1000</v>
        <stp/>
        <stp>nse_cm|87LTF27-NH</stp>
        <stp>Face Value</stp>
        <tr r="Q407" s="1"/>
      </tp>
      <tp>
        <v>1028</v>
        <stp/>
        <stp>nse_cm|SCLZC26B-AY</stp>
        <stp>High</stp>
        <tr r="N1658" s="1"/>
      </tp>
      <tp>
        <v>-100</v>
        <stp/>
        <stp>bse_cm|KAFL080824</stp>
        <stp>% Change</stp>
        <tr r="J1417" s="1"/>
      </tp>
      <tp>
        <v>-100</v>
        <stp/>
        <stp>bse_cm|795MMFSL32</stp>
        <stp>% Change</stp>
        <tr r="J1184" s="1"/>
      </tp>
      <tp>
        <v>840</v>
        <stp/>
        <stp>nse_cm|948SCL26-N9</stp>
        <stp xml:space="preserve">Low </stp>
        <tr r="O1632" s="1"/>
      </tp>
      <tp>
        <v>1051</v>
        <stp/>
        <stp>nse_cm|97SFL28-YS</stp>
        <stp>Prev Close</stp>
        <tr r="P19" s="1"/>
      </tp>
      <tp>
        <v>1048</v>
        <stp/>
        <stp>nse_cm|94SFL28-YL</stp>
        <stp>Prev Close</stp>
        <tr r="P5" s="1"/>
      </tp>
      <tp>
        <v>0</v>
        <stp/>
        <stp>nse_cm|1040NFL26-NA</stp>
        <stp>% Change</stp>
        <tr r="J678" s="1"/>
      </tp>
      <tp t="s">
        <v>NSE</v>
        <stp/>
        <stp>nse_cm|0MOFSL27-N3</stp>
        <stp>Exchange</stp>
        <tr r="C1038" s="1"/>
      </tp>
      <tp>
        <v>1079</v>
        <stp/>
        <stp>nse_cm|SCLZC25B-AT</stp>
        <stp>High</stp>
        <tr r="N1541" s="1"/>
      </tp>
      <tp>
        <v>-100</v>
        <stp/>
        <stp>bse_cm|855TCAPS27</stp>
        <stp>% Change</stp>
        <tr r="J1004" s="1"/>
      </tp>
      <tp>
        <v>50</v>
        <stp/>
        <stp>bse_cm|9MFL27A</stp>
        <stp>Bid Qty</stp>
        <tr r="D257" s="1"/>
      </tp>
      <tp>
        <v>-100</v>
        <stp/>
        <stp>bse_cm|865TCAPS27</stp>
        <stp>% Change</stp>
        <tr r="J377" s="1"/>
      </tp>
      <tp>
        <v>-100</v>
        <stp/>
        <stp>bse_cm|885TCAPS29</stp>
        <stp>% Change</stp>
        <tr r="J12" s="1"/>
      </tp>
      <tp t="s">
        <v>NSE</v>
        <stp/>
        <stp>nse_cm|0MOFSL26-N1</stp>
        <stp>Exchange</stp>
        <tr r="C1644" s="1"/>
      </tp>
      <tp>
        <v>50</v>
        <stp/>
        <stp>nse_cm|97MOFSL34-N7</stp>
        <stp>Ask Qty</stp>
        <tr r="G1599" s="1"/>
      </tp>
      <tp>
        <v>1000</v>
        <stp/>
        <stp>bse_cm|967EFSL29A</stp>
        <stp>Face Value</stp>
        <tr r="Q180" s="1"/>
      </tp>
      <tp>
        <v>1000</v>
        <stp/>
        <stp>bse_cm|967EFSL28A</stp>
        <stp>Face Value</stp>
        <tr r="Q172" s="1"/>
      </tp>
      <tp>
        <v>1000</v>
        <stp/>
        <stp>bse_cm|967EFSL28D</stp>
        <stp>Face Value</stp>
        <tr r="Q168" s="1"/>
      </tp>
      <tp>
        <v>12</v>
        <stp/>
        <stp>bse_cm|9MFL25A</stp>
        <stp>Bid Qty</stp>
        <tr r="D702" s="1"/>
      </tp>
      <tp>
        <v>1000</v>
        <stp/>
        <stp>bse_cm|KFL31</stp>
        <stp>Prev Close</stp>
        <tr r="P1297" s="1"/>
      </tp>
      <tp>
        <v>1000</v>
        <stp/>
        <stp>bse_cm|KFL30</stp>
        <stp>Prev Close</stp>
        <tr r="P1298" s="1"/>
      </tp>
      <tp>
        <v>1040</v>
        <stp/>
        <stp>bse_cm|MFL31</stp>
        <stp>Prev Close</stp>
        <tr r="P701" s="1"/>
      </tp>
      <tp>
        <v>1120</v>
        <stp/>
        <stp>bse_cm|MFL30</stp>
        <stp>Prev Close</stp>
        <tr r="P1460" s="1"/>
      </tp>
      <tp>
        <v>1044.5</v>
        <stp/>
        <stp>bse_cm|SFL30</stp>
        <stp>Prev Close</stp>
        <tr r="P1597" s="1"/>
      </tp>
      <tp>
        <v>1800</v>
        <stp/>
        <stp>bse_cm|MFL25</stp>
        <stp>Prev Close</stp>
        <tr r="P1733" s="1"/>
      </tp>
      <tp>
        <v>1040</v>
        <stp/>
        <stp>bse_cm|MFL27</stp>
        <stp>Prev Close</stp>
        <tr r="P1563" s="1"/>
      </tp>
      <tp>
        <v>1088</v>
        <stp/>
        <stp>bse_cm|MFL26</stp>
        <stp>Prev Close</stp>
        <tr r="P1666" s="1"/>
      </tp>
      <tp>
        <v>1225</v>
        <stp/>
        <stp>bse_cm|KFL27</stp>
        <stp>Prev Close</stp>
        <tr r="P1303" s="1"/>
      </tp>
      <tp>
        <v>1115</v>
        <stp/>
        <stp>bse_cm|KFL26</stp>
        <stp>Prev Close</stp>
        <tr r="P1306" s="1"/>
      </tp>
      <tp>
        <v>1202.21</v>
        <stp/>
        <stp>bse_cm|KFL25</stp>
        <stp>Prev Close</stp>
        <tr r="P1309" s="1"/>
      </tp>
      <tp>
        <v>1090</v>
        <stp/>
        <stp>bse_cm|MFL23</stp>
        <stp>Prev Close</stp>
        <tr r="P1668" s="1"/>
      </tp>
      <tp>
        <v>1065</v>
        <stp/>
        <stp>bse_cm|KFL29</stp>
        <stp>Prev Close</stp>
        <tr r="P1619" s="1"/>
      </tp>
      <tp>
        <v>1029</v>
        <stp/>
        <stp>bse_cm|MFL29</stp>
        <stp>Prev Close</stp>
        <tr r="P1598" s="1"/>
      </tp>
      <tp>
        <v>1060</v>
        <stp/>
        <stp>bse_cm|MFL28</stp>
        <stp>Prev Close</stp>
        <tr r="P1638" s="1"/>
      </tp>
      <tp>
        <v>1000</v>
        <stp/>
        <stp>bse_cm|SFL28</stp>
        <stp>Prev Close</stp>
        <tr r="P803" s="1"/>
      </tp>
      <tp>
        <v>1000</v>
        <stp/>
        <stp>bse_cm|SFL27</stp>
        <stp>Prev Close</stp>
        <tr r="P809" s="1"/>
      </tp>
      <tp>
        <v>1025</v>
        <stp/>
        <stp>bse_cm|SFL26</stp>
        <stp>Prev Close</stp>
        <tr r="P811" s="1"/>
      </tp>
      <tp>
        <v>1467.13</v>
        <stp/>
        <stp>bse_cm|SFL25</stp>
        <stp>Prev Close</stp>
        <tr r="P813" s="1"/>
      </tp>
      <tp>
        <v>0</v>
        <stp/>
        <stp>nse_cm|SCLZC25A-AS</stp>
        <stp>High</stp>
        <tr r="N1232" s="1"/>
      </tp>
      <tp>
        <v>17</v>
        <stp/>
        <stp>bse_cm|9KFL26A</stp>
        <stp>Bid Qty</stp>
        <tr r="D1083" s="1"/>
      </tp>
      <tp>
        <v>12</v>
        <stp/>
        <stp>bse_cm|9KFL26B</stp>
        <stp>Bid Qty</stp>
        <tr r="D667" s="1"/>
      </tp>
      <tp>
        <v>1000</v>
        <stp/>
        <stp>bse_cm|1175ICLF25</stp>
        <stp>Face Value</stp>
        <tr r="Q1222" s="1"/>
      </tp>
      <tp>
        <v>0</v>
        <stp/>
        <stp>nse_cm|1015SCL28A-AL</stp>
        <stp>Ask Rate</stp>
        <tr r="F1443" s="1"/>
      </tp>
      <tp t="s">
        <v>11EFSL34A</v>
        <stp/>
        <stp>bse_cm|11EFSL34A</stp>
        <stp>Trading Symbol</stp>
        <tr r="B1408" s="1"/>
      </tp>
      <tp t="s">
        <v>11DLSL25A</v>
        <stp/>
        <stp>bse_cm|11DLSL25A</stp>
        <stp>Trading Symbol</stp>
        <tr r="B300" s="1"/>
      </tp>
      <tp t="s">
        <v>91EFSL24A</v>
        <stp/>
        <stp>bse_cm|91EFSL24A</stp>
        <stp>Trading Symbol</stp>
        <tr r="B46" s="1"/>
      </tp>
      <tp t="s">
        <v>1049DLS25A</v>
        <stp/>
        <stp>nse_cm|1049DLS25A-Y5</stp>
        <stp>Symbol</stp>
        <tr r="A44" s="1"/>
      </tp>
      <tp t="s">
        <v>965ARKA28</v>
        <stp/>
        <stp>bse_cm|965ARKA28</stp>
        <stp>Trading Symbol</stp>
        <tr r="B1349" s="1"/>
      </tp>
      <tp t="s">
        <v>965ARKA26</v>
        <stp/>
        <stp>bse_cm|965ARKA26</stp>
        <stp>Trading Symbol</stp>
        <tr r="B869" s="1"/>
      </tp>
      <tp t="s">
        <v>INE549K07DC4</v>
        <stp/>
        <stp>bse_cm|MFLZC32</stp>
        <stp>Isin code</stp>
        <tr r="R1266" s="1"/>
      </tp>
      <tp t="s">
        <v>1080MML29</v>
        <stp/>
        <stp>bse_cm|1080MML29</stp>
        <stp>Trading Symbol</stp>
        <tr r="B72" s="1"/>
      </tp>
      <tp t="s">
        <v>1080MML26</v>
        <stp/>
        <stp>bse_cm|1080MML26</stp>
        <stp>Trading Symbol</stp>
        <tr r="B1163" s="1"/>
      </tp>
      <tp t="s">
        <v>MML110924</v>
        <stp/>
        <stp>bse_cm|MML110924</stp>
        <stp>Trading Symbol</stp>
        <tr r="B1257" s="1"/>
      </tp>
      <tp t="s">
        <v>1175KLM25</v>
        <stp/>
        <stp>bse_cm|1175KLM25</stp>
        <stp>Trading Symbol</stp>
        <tr r="B1691" s="1"/>
      </tp>
      <tp t="s">
        <v>1060MML26</v>
        <stp/>
        <stp>bse_cm|1060MML26</stp>
        <stp>Trading Symbol</stp>
        <tr r="B1218" s="1"/>
      </tp>
      <tp t="s">
        <v>1075IML27</v>
        <stp/>
        <stp>bse_cm|1075IML27</stp>
        <stp>Trading Symbol</stp>
        <tr r="B96" s="1"/>
      </tp>
      <tp t="e">
        <v>#N/A</v>
        <stp/>
        <stp>bse_cm|1075IML24</stp>
        <stp>Trading Symbol</stp>
        <tr r="B33" s="1"/>
      </tp>
      <tp t="s">
        <v>1075MML26</v>
        <stp/>
        <stp>bse_cm|1075MML26</stp>
        <stp>Trading Symbol</stp>
        <tr r="B1115" s="1"/>
      </tp>
      <tp t="s">
        <v>1075MML27</v>
        <stp/>
        <stp>bse_cm|1075MML27</stp>
        <stp>Trading Symbol</stp>
        <tr r="B1510" s="1"/>
      </tp>
      <tp t="s">
        <v>1070MML25</v>
        <stp/>
        <stp>bse_cm|1070MML25</stp>
        <stp>Trading Symbol</stp>
        <tr r="B1504" s="1"/>
      </tp>
      <tp t="s">
        <v>1150KLM26</v>
        <stp/>
        <stp>bse_cm|1150KLM26</stp>
        <stp>Trading Symbol</stp>
        <tr r="B1224" s="1"/>
      </tp>
      <tp t="s">
        <v>INE306N08284</v>
        <stp/>
        <stp>nse_cm|9TCAP28-N9</stp>
        <stp>Isin code</stp>
        <tr r="R544" s="1"/>
      </tp>
      <tp t="s">
        <v>1050MML28</v>
        <stp/>
        <stp>bse_cm|1050MML28</stp>
        <stp>Trading Symbol</stp>
        <tr r="B1159" s="1"/>
      </tp>
      <tp t="s">
        <v>1050IML25</v>
        <stp/>
        <stp>bse_cm|1050IML25</stp>
        <stp>Trading Symbol</stp>
        <tr r="B499" s="1"/>
      </tp>
      <tp t="s">
        <v>1050MML25</v>
        <stp/>
        <stp>bse_cm|1050MML25</stp>
        <stp>Trading Symbol</stp>
        <tr r="B1503" s="1"/>
      </tp>
      <tp t="s">
        <v>1025MML26</v>
        <stp/>
        <stp>bse_cm|1025MML26</stp>
        <stp>Trading Symbol</stp>
        <tr r="B765" s="1"/>
      </tp>
      <tp t="s">
        <v>1025MML25</v>
        <stp/>
        <stp>bse_cm|1025MML25</stp>
        <stp>Trading Symbol</stp>
        <tr r="B766" s="1"/>
      </tp>
      <tp t="s">
        <v>IML160224</v>
        <stp/>
        <stp>bse_cm|IML160224</stp>
        <stp>Trading Symbol</stp>
        <tr r="B1329" s="1"/>
      </tp>
      <tp t="s">
        <v>1125KLM26</v>
        <stp/>
        <stp>bse_cm|1125KLM26</stp>
        <stp>Trading Symbol</stp>
        <tr r="B1227" s="1"/>
      </tp>
      <tp t="s">
        <v>INE530B07344</v>
        <stp/>
        <stp>nse_cm|85IFL26-NX</stp>
        <stp>Isin code</stp>
        <tr r="R1388" s="1"/>
      </tp>
      <tp t="s">
        <v>1015MML25</v>
        <stp/>
        <stp>bse_cm|1015MML25</stp>
        <stp>Trading Symbol</stp>
        <tr r="B1103" s="1"/>
      </tp>
      <tp t="s">
        <v>INE01I507281</v>
        <stp/>
        <stp>bse_cm|12KLM25</stp>
        <stp>Isin code</stp>
        <tr r="R1211" s="1"/>
      </tp>
      <tp t="s">
        <v>INE01I507638</v>
        <stp/>
        <stp>bse_cm|95KLM25</stp>
        <stp>Isin code</stp>
        <tr r="R73" s="1"/>
      </tp>
      <tp t="s">
        <v>INE0BUS07569</v>
        <stp/>
        <stp>bse_cm|11IML27</stp>
        <stp>Isin code</stp>
        <tr r="R177" s="1"/>
      </tp>
      <tp>
        <v>1200</v>
        <stp/>
        <stp>nse_cm|1015SCL28B-AZ</stp>
        <stp>Ask Rate</stp>
        <tr r="F1614" s="1"/>
      </tp>
      <tp t="s">
        <v>888IHFL25C</v>
        <stp/>
        <stp>nse_cm|888IHFL25C-NR</stp>
        <stp>Symbol</stp>
        <tr r="A1426" s="1"/>
      </tp>
      <tp t="s">
        <v>95NIDO26</v>
        <stp/>
        <stp>bse_cm|95NIDO26</stp>
        <stp>Symbol</stp>
        <tr r="A670" s="1"/>
      </tp>
      <tp t="s">
        <v>INE121A07RM2</v>
        <stp/>
        <stp>nse_cm|860CIFCL28-NG</stp>
        <stp>Isin code</stp>
        <tr r="R647" s="1"/>
      </tp>
      <tp t="s">
        <v>CIFC28-NB</v>
        <stp/>
        <stp>nse_cm|CIFC28-NB</stp>
        <stp>Trading Symbol</stp>
        <tr r="B1618" s="1"/>
      </tp>
      <tp t="s">
        <v>INE721A07OQ7</v>
        <stp/>
        <stp>nse_cm|97SFL29-YZ</stp>
        <stp>Isin code</stp>
        <tr r="R20" s="1"/>
      </tp>
      <tp t="s">
        <v>INE403Q08092</v>
        <stp/>
        <stp>bse_cm|10KFL25</stp>
        <stp>Isin code</stp>
        <tr r="R1093" s="1"/>
      </tp>
      <tp t="s">
        <v>INE01CY077R3</v>
        <stp/>
        <stp>bse_cm|12IFL27</stp>
        <stp>Isin code</stp>
        <tr r="R258" s="1"/>
      </tp>
      <tp t="s">
        <v>INE530L07822</v>
        <stp/>
        <stp>bse_cm|0NHFL26</stp>
        <stp>Isin code</stp>
        <tr r="R1037" s="1"/>
      </tp>
      <tp t="s">
        <v>INE403Q07CR1</v>
        <stp/>
        <stp>bse_cm|85KFL25</stp>
        <stp>Isin code</stp>
        <tr r="R641" s="1"/>
      </tp>
      <tp>
        <v>900.3</v>
        <stp/>
        <stp>nse_cm|1025SCL34A-ZT</stp>
        <stp>Bid Rate</stp>
        <tr r="E171" s="1"/>
      </tp>
      <tp>
        <v>0</v>
        <stp/>
        <stp>bse_cm|MFLTDIII24</stp>
        <stp>Volume Traded Today</stp>
        <tr r="L1721" s="1"/>
      </tp>
      <tp>
        <v>0</v>
        <stp/>
        <stp>bse_cm|MFLTDVII27</stp>
        <stp>Volume Traded Today</stp>
        <tr r="L1562" s="1"/>
      </tp>
      <tp t="s">
        <v>10KFL28A</v>
        <stp/>
        <stp>bse_cm|10KFL28A</stp>
        <stp>Symbol</stp>
        <tr r="A1423" s="1"/>
      </tp>
      <tp t="s">
        <v>10KFL24D</v>
        <stp/>
        <stp>bse_cm|10KFL24D</stp>
        <stp>Symbol</stp>
        <tr r="A1424" s="1"/>
      </tp>
      <tp t="s">
        <v>10KFL27A</v>
        <stp/>
        <stp>bse_cm|10KFL27A</stp>
        <stp>Symbol</stp>
        <tr r="A1092" s="1"/>
      </tp>
      <tp t="s">
        <v>10MFL24B</v>
        <stp/>
        <stp>bse_cm|10MFL24B</stp>
        <stp>Symbol</stp>
        <tr r="A185" s="1"/>
      </tp>
      <tp>
        <v>995</v>
        <stp/>
        <stp>nse_cm|1049DLSL25-NX</stp>
        <stp xml:space="preserve">Low </stp>
        <tr r="O43" s="1"/>
      </tp>
      <tp t="s">
        <v>10SCL31A</v>
        <stp/>
        <stp>bse_cm|10SCL31A</stp>
        <stp>Symbol</stp>
        <tr r="A865" s="1"/>
      </tp>
      <tp t="s">
        <v>10SCL30A</v>
        <stp/>
        <stp>bse_cm|10SCL30A</stp>
        <stp>Symbol</stp>
        <tr r="A444" s="1"/>
      </tp>
      <tp t="s">
        <v>12IML26A</v>
        <stp/>
        <stp>bse_cm|12IML26A</stp>
        <stp>Symbol</stp>
        <tr r="A1212" s="1"/>
      </tp>
      <tp t="s">
        <v>INE148I07QX7</v>
        <stp/>
        <stp>nse_cm|1003SCL30A-NV</stp>
        <stp>Isin code</stp>
        <tr r="R728" s="1"/>
      </tp>
      <tp t="s">
        <v>IIFLHFZC27</v>
        <stp/>
        <stp>bse_cm|IIFLHFZC27</stp>
        <stp>Symbol</stp>
        <tr r="A1516" s="1"/>
      </tp>
      <tp>
        <v>1000</v>
        <stp/>
        <stp>bse_cm|79IGT28</stp>
        <stp>Prev Close</stp>
        <tr r="P1183" s="1"/>
      </tp>
      <tp>
        <v>988</v>
        <stp/>
        <stp>bse_cm|76IGT26</stp>
        <stp>Prev Close</stp>
        <tr r="P1608" s="1"/>
      </tp>
      <tp>
        <v>1000</v>
        <stp/>
        <stp>bse_cm|77IGT28</stp>
        <stp>Prev Close</stp>
        <tr r="P1191" s="1"/>
      </tp>
      <tp t="s">
        <v>915SCL27A</v>
        <stp/>
        <stp>bse_cm|915SCL27A</stp>
        <stp>Trading Symbol</stp>
        <tr r="B951" s="1"/>
      </tp>
      <tp>
        <v>1164.96</v>
        <stp/>
        <stp>nse_cm|774IREDA31-N7</stp>
        <stp>Ask Rate</stp>
        <tr r="F18" s="1"/>
      </tp>
      <tp>
        <v>1297</v>
        <stp/>
        <stp>nse_cm|880IREDA34-N6</stp>
        <stp>Ask Rate</stp>
        <tr r="F511" s="1"/>
      </tp>
      <tp>
        <v>1182.77</v>
        <stp/>
        <stp>nse_cm|880IREDA29-N5</stp>
        <stp>Ask Rate</stp>
        <tr r="F510" s="1"/>
      </tp>
      <tp>
        <v>1027</v>
        <stp/>
        <stp>bse_cm|82IGT31</stp>
        <stp>Prev Close</stp>
        <tr r="P383" s="1"/>
      </tp>
      <tp>
        <v>1169</v>
        <stp/>
        <stp>nse_cm|855IREDA29-N2</stp>
        <stp>Ask Rate</stp>
        <tr r="F505" s="1"/>
      </tp>
      <tp>
        <v>1494</v>
        <stp/>
        <stp>nse_cm|855IREDA34-N3</stp>
        <stp>Ask Rate</stp>
        <tr r="F558" s="1"/>
      </tp>
      <tp>
        <v>164</v>
        <stp/>
        <stp>nse_cm|849NTPC25-N7</stp>
        <stp>Ask Qty</stp>
        <tr r="G302" s="1"/>
      </tp>
      <tp>
        <v>59</v>
        <stp/>
        <stp>nse_cm|ABFL28-N3</stp>
        <stp>Bid Qty</stp>
        <tr r="D1063" s="1"/>
      </tp>
      <tp>
        <v>50</v>
        <stp/>
        <stp>nse_cm|ABFL26-N1</stp>
        <stp>Bid Qty</stp>
        <tr r="D1679" s="1"/>
      </tp>
      <tp>
        <v>0</v>
        <stp/>
        <stp>nse_cm|848NTPC28-N2</stp>
        <stp>Ask Qty</stp>
        <tr r="G1405" s="1"/>
      </tp>
      <tp>
        <v>835.05</v>
        <stp/>
        <stp>nse_cm|925SCL26-NR</stp>
        <stp>High</stp>
        <tr r="N991" s="1"/>
      </tp>
      <tp>
        <v>0</v>
        <stp/>
        <stp>nse_cm|CIF27-NM</stp>
        <stp>Open</stp>
        <tr r="M1665" s="1"/>
      </tp>
      <tp>
        <v>0</v>
        <stp/>
        <stp>nse_cm|CIF29-NO</stp>
        <stp>Open</stp>
        <tr r="M743" s="1"/>
      </tp>
      <tp t="s">
        <v>INE134E07570</v>
        <stp/>
        <stp>nse_cm|735PFCL35-N1</stp>
        <stp>Isin code</stp>
        <tr r="R26" s="1"/>
      </tp>
      <tp>
        <v>0</v>
        <stp/>
        <stp>nse_cm|SCLZC25-YN</stp>
        <stp>% Change</stp>
        <tr r="J1727" s="1"/>
      </tp>
      <tp>
        <v>0</v>
        <stp/>
        <stp>nse_cm|89SCL24A-ZM</stp>
        <stp>Bid Rate</stp>
        <tr r="E970" s="1"/>
      </tp>
      <tp>
        <v>1000</v>
        <stp/>
        <stp>bse_cm|1075SCL33B</stp>
        <stp>Face Value</stp>
        <tr r="Q706" s="1"/>
      </tp>
      <tp>
        <v>900</v>
        <stp/>
        <stp>bse_cm|1075SCL33A</stp>
        <stp>Face Value</stp>
        <tr r="Q629" s="1"/>
      </tp>
      <tp>
        <v>0</v>
        <stp/>
        <stp>nse_cm|97SFL26A-NC</stp>
        <stp>Ask Rate</stp>
        <tr r="F784" s="1"/>
      </tp>
      <tp t="e">
        <v>#N/A</v>
        <stp/>
        <stp>bse_cm|1075IML24A</stp>
        <stp>Face Value</stp>
        <tr r="Q32" s="1"/>
      </tp>
      <tp>
        <v>880.8</v>
        <stp/>
        <stp>bse_cm|9ICCL23A</stp>
        <stp>Bid Rate</stp>
        <tr r="E1434" s="1"/>
      </tp>
      <tp>
        <v>-100</v>
        <stp/>
        <stp>bse_cm|105MMFL25A</stp>
        <stp>% Change</stp>
        <tr r="J1364" s="1"/>
      </tp>
      <tp>
        <v>0</v>
        <stp/>
        <stp>nse_cm|1040UCL25-N4</stp>
        <stp>% Change</stp>
        <tr r="J669" s="1"/>
      </tp>
      <tp>
        <v>-100</v>
        <stp/>
        <stp>bse_cm|105MMFL25B</stp>
        <stp>% Change</stp>
        <tr r="J1390" s="1"/>
      </tp>
      <tp>
        <v>2</v>
        <stp/>
        <stp>nse_cm|CIFC28-NB</stp>
        <stp>Bid Qty</stp>
        <tr r="D1618" s="1"/>
      </tp>
      <tp>
        <v>75</v>
        <stp/>
        <stp>nse_cm|CIFC26-NK</stp>
        <stp>Bid Qty</stp>
        <tr r="D741" s="1"/>
      </tp>
      <tp>
        <v>935.1</v>
        <stp/>
        <stp>nse_cm|943ECL28-NJ</stp>
        <stp xml:space="preserve">Low </stp>
        <tr r="O94" s="1"/>
      </tp>
      <tp>
        <v>-100</v>
        <stp/>
        <stp>bse_cm|105MMFL25C</stp>
        <stp>% Change</stp>
        <tr r="J480" s="1"/>
      </tp>
      <tp>
        <v>180</v>
        <stp/>
        <stp>nse_cm|873NTPC28-N5</stp>
        <stp>Bid Qty</stp>
        <tr r="D541" s="1"/>
      </tp>
      <tp>
        <v>2423.9899999999998</v>
        <stp/>
        <stp>nse_cm|IFCIZC25-NM</stp>
        <stp>Ask Rate</stp>
        <tr r="F1765" s="1"/>
      </tp>
      <tp>
        <v>0</v>
        <stp/>
        <stp>bse_cm|NWFLZC25</stp>
        <stp>ATP</stp>
        <tr r="K1758" s="1"/>
      </tp>
      <tp>
        <v>2516</v>
        <stp/>
        <stp>nse_cm|IFCIZC24-NI</stp>
        <stp>Ask Rate</stp>
        <tr r="F1768" s="1"/>
      </tp>
      <tp>
        <v>1000</v>
        <stp/>
        <stp>bse_cm|957IIFLS27</stp>
        <stp>Face Value</stp>
        <tr r="Q687" s="1"/>
      </tp>
      <tp>
        <v>0</v>
        <stp/>
        <stp>nse_cm|885LTF27-NE</stp>
        <stp>High</stp>
        <tr r="N1007" s="1"/>
      </tp>
      <tp>
        <v>-100</v>
        <stp/>
        <stp>bse_cm|920EFSL26B</stp>
        <stp>% Change</stp>
        <tr r="J247" s="1"/>
      </tp>
      <tp>
        <v>58</v>
        <stp/>
        <stp>nse_cm|945IFSL25-N4</stp>
        <stp>Bid Qty</stp>
        <tr r="D453" s="1"/>
      </tp>
      <tp>
        <v>-100</v>
        <stp/>
        <stp>bse_cm|915EFSL26A</stp>
        <stp>% Change</stp>
        <tr r="J187" s="1"/>
      </tp>
      <tp>
        <v>1000</v>
        <stp/>
        <stp>nse_cm|105UCL2026-NB</stp>
        <stp>Prev Close</stp>
        <tr r="P130" s="1"/>
      </tp>
      <tp>
        <v>50</v>
        <stp/>
        <stp>nse_cm|9PEL25-N0</stp>
        <stp>Ask Qty</stp>
        <tr r="G341" s="1"/>
      </tp>
      <tp>
        <v>-1.56</v>
        <stp/>
        <stp>bse_cm|920EFSL26A</stp>
        <stp>% Change</stp>
        <tr r="J61" s="1"/>
      </tp>
      <tp>
        <v>101</v>
        <stp/>
        <stp>nse_cm|879NHPC28-N5</stp>
        <stp>Bid Qty</stp>
        <tr r="D464" s="1"/>
      </tp>
      <tp>
        <v>-100</v>
        <stp/>
        <stp>bse_cm|960EFSL26C</stp>
        <stp>% Change</stp>
        <tr r="J137" s="1"/>
      </tp>
      <tp>
        <v>-100</v>
        <stp/>
        <stp>bse_cm|955EFSL26A</stp>
        <stp>% Change</stp>
        <tr r="J214" s="1"/>
      </tp>
      <tp t="s">
        <v>835IFL25-NV</v>
        <stp/>
        <stp>nse_cm|835IFL25-NV</stp>
        <stp>Trading Symbol</stp>
        <tr r="B98" s="1"/>
      </tp>
      <tp t="s">
        <v>85IIFL25-NO</v>
        <stp/>
        <stp>nse_cm|85IIFL25-NO</stp>
        <stp>Trading Symbol</stp>
        <tr r="B110" s="1"/>
      </tp>
      <tp>
        <v>2022.22</v>
        <stp/>
        <stp>bse_cm|MMFSL26A</stp>
        <stp>Bid Rate</stp>
        <tr r="E1722" s="1"/>
      </tp>
      <tp>
        <v>-100</v>
        <stp/>
        <stp>bse_cm|955EFSL26B</stp>
        <stp>% Change</stp>
        <tr r="J666" s="1"/>
      </tp>
      <tp>
        <v>1051.8</v>
        <stp/>
        <stp>nse_cm|85IIFL25-NO</stp>
        <stp>High</stp>
        <tr r="N110" s="1"/>
      </tp>
      <tp t="s">
        <v>BSE</v>
        <stp/>
        <stp>bse_cm|8MFL26</stp>
        <stp>Exchange</stp>
        <tr r="C654" s="1"/>
      </tp>
      <tp>
        <v>28</v>
        <stp/>
        <stp>nse_cm|93MOFSL34-N6</stp>
        <stp>Bid Qty</stp>
        <tr r="D299" s="1"/>
      </tp>
      <tp>
        <v>0</v>
        <stp/>
        <stp>nse_cm|980SCL34-Z7</stp>
        <stp>Open</stp>
        <tr r="M884" s="1"/>
      </tp>
      <tp>
        <v>0</v>
        <stp/>
        <stp>nse_cm|SFLZC25A-ZK</stp>
        <stp>Open</stp>
        <tr r="M1582" s="1"/>
      </tp>
      <tp>
        <v>1020</v>
        <stp/>
        <stp>nse_cm|956AEL29-N6</stp>
        <stp>High</stp>
        <tr r="N298" s="1"/>
      </tp>
      <tp t="s">
        <v>BSE</v>
        <stp/>
        <stp>bse_cm|9MFL30</stp>
        <stp>Exchange</stp>
        <tr r="C244" s="1"/>
      </tp>
      <tp>
        <v>0</v>
        <stp/>
        <stp>bse_cm|KFL28D</stp>
        <stp xml:space="preserve">Low </stp>
        <tr r="O1299" s="1"/>
      </tp>
      <tp>
        <v>0</v>
        <stp/>
        <stp>nse_cm|SFLZC26A-ZC</stp>
        <stp>Open</stp>
        <tr r="M1716" s="1"/>
      </tp>
      <tp>
        <v>-100</v>
        <stp/>
        <stp>bse_cm|104SMCGS29</stp>
        <stp>% Change</stp>
        <tr r="J206" s="1"/>
      </tp>
      <tp>
        <v>1000</v>
        <stp/>
        <stp>bse_cm|1150CCIL28</stp>
        <stp>Face Value</stp>
        <tr r="Q460" s="1"/>
      </tp>
      <tp>
        <v>1000</v>
        <stp/>
        <stp>bse_cm|1150CCIL29</stp>
        <stp>Face Value</stp>
        <tr r="Q424" s="1"/>
      </tp>
      <tp>
        <v>1000</v>
        <stp/>
        <stp>bse_cm|1050CCIL25</stp>
        <stp>Face Value</stp>
        <tr r="Q2" s="1"/>
      </tp>
      <tp>
        <v>-100</v>
        <stp/>
        <stp>bse_cm|1025MMFL26</stp>
        <stp>% Change</stp>
        <tr r="J320" s="1"/>
      </tp>
      <tp>
        <v>1100</v>
        <stp/>
        <stp>nse_cm|935PEL33-N3</stp>
        <stp xml:space="preserve">Low </stp>
        <tr r="O1375" s="1"/>
      </tp>
      <tp>
        <v>1000</v>
        <stp/>
        <stp>bse_cm|950MFCL27D</stp>
        <stp>Face Value</stp>
        <tr r="Q1496" s="1"/>
      </tp>
      <tp t="s">
        <v/>
        <stp/>
        <stp>nse_cm|10IFSL26-N7</stp>
        <stp>LTT</stp>
        <tr r="I293" s="1"/>
      </tp>
      <tp>
        <v>1040</v>
        <stp/>
        <stp>nse_cm|10IFSL26-N7</stp>
        <stp>LTP</stp>
        <tr r="H293" s="1"/>
      </tp>
      <tp>
        <v>1050.01</v>
        <stp/>
        <stp>nse_cm|11DLSL25-NV</stp>
        <stp>LTP</stp>
        <tr r="H48" s="1"/>
      </tp>
      <tp t="s">
        <v/>
        <stp/>
        <stp>nse_cm|11DLSL25-NV</stp>
        <stp>LTT</stp>
        <tr r="I48" s="1"/>
      </tp>
      <tp t="s">
        <v>INE148I07RI6</v>
        <stp/>
        <stp>nse_cm|925SCL25B-Y3</stp>
        <stp>Isin code</stp>
        <tr r="R600" s="1"/>
      </tp>
      <tp>
        <v>1197.4000000000001</v>
        <stp/>
        <stp>bse_cm|MML28A</stp>
        <stp>High</stp>
        <tr r="N1249" s="1"/>
      </tp>
      <tp t="e">
        <v>#N/A</v>
        <stp/>
        <stp>bse_cm|1025MHFL24</stp>
        <stp>% Change</stp>
        <tr r="J29" s="1"/>
      </tp>
      <tp t="e">
        <v>#N/A</v>
        <stp/>
        <stp>bse_cm|1065MHFL24</stp>
        <stp>% Change</stp>
        <tr r="J36" s="1"/>
      </tp>
      <tp>
        <v>1003.25</v>
        <stp/>
        <stp>nse_cm|932AEL27-N3</stp>
        <stp xml:space="preserve">Low </stp>
        <tr r="O471" s="1"/>
      </tp>
      <tp>
        <v>800</v>
        <stp/>
        <stp>bse_cm|890ICCL23A</stp>
        <stp>Face Value</stp>
        <tr r="Q1486" s="1"/>
      </tp>
      <tp>
        <v>1050.9000000000001</v>
        <stp/>
        <stp>nse_cm|898LTF29-N7</stp>
        <stp xml:space="preserve">Low </stp>
        <tr r="O385" s="1"/>
      </tp>
      <tp t="s">
        <v>CIFCZC28-NH</v>
        <stp/>
        <stp>nse_cm|CIFCZC28-NH</stp>
        <stp>Trading Symbol</stp>
        <tr r="B1607" s="1"/>
      </tp>
      <tp>
        <v>1000</v>
        <stp/>
        <stp>bse_cm|920EFSL27A</stp>
        <stp>Face Value</stp>
        <tr r="Q685" s="1"/>
      </tp>
      <tp>
        <v>1000</v>
        <stp/>
        <stp>bse_cm|960EFSL26C</stp>
        <stp>Face Value</stp>
        <tr r="Q137" s="1"/>
      </tp>
      <tp>
        <v>1000</v>
        <stp/>
        <stp>bse_cm|920EFSL26A</stp>
        <stp>Face Value</stp>
        <tr r="Q61" s="1"/>
      </tp>
      <tp>
        <v>1000</v>
        <stp/>
        <stp>bse_cm|920EFSL26B</stp>
        <stp>Face Value</stp>
        <tr r="Q247" s="1"/>
      </tp>
      <tp>
        <v>1059</v>
        <stp/>
        <stp>bse_cm|MFL28D</stp>
        <stp>High</stp>
        <tr r="N1276" s="1"/>
      </tp>
      <tp>
        <v>959</v>
        <stp/>
        <stp>bse_cm|89EFSL25</stp>
        <stp>Bid Rate</stp>
        <tr r="E87" s="1"/>
      </tp>
      <tp>
        <v>1077</v>
        <stp/>
        <stp>bse_cm|MFL28B</stp>
        <stp>High</stp>
        <tr r="N1277" s="1"/>
      </tp>
      <tp>
        <v>0</v>
        <stp/>
        <stp>nse_cm|1035UCL26-NA</stp>
        <stp>% Change</stp>
        <tr r="J1627" s="1"/>
      </tp>
      <tp>
        <v>974</v>
        <stp/>
        <stp>bse_cm|96EFSL27</stp>
        <stp>Bid Rate</stp>
        <tr r="E1050" s="1"/>
      </tp>
      <tp>
        <v>955</v>
        <stp/>
        <stp>bse_cm|10EFSL27</stp>
        <stp>Bid Rate</stp>
        <tr r="E1139" s="1"/>
      </tp>
      <tp>
        <v>-100</v>
        <stp/>
        <stp>bse_cm|102SMCGS27</stp>
        <stp>% Change</stp>
        <tr r="J1017" s="1"/>
      </tp>
      <tp>
        <v>-0.31</v>
        <stp/>
        <stp>bse_cm|MFCL160924</stp>
        <stp>% Change</stp>
        <tr r="J572" s="1"/>
      </tp>
      <tp>
        <v>1050</v>
        <stp/>
        <stp>bse_cm|MFL28A</stp>
        <stp>High</stp>
        <tr r="N1620" s="1"/>
      </tp>
      <tp>
        <v>945</v>
        <stp/>
        <stp>bse_cm|92EFSL26</stp>
        <stp>Bid Rate</stp>
        <tr r="E186" s="1"/>
      </tp>
      <tp>
        <v>963.07</v>
        <stp/>
        <stp>bse_cm|96EFSL26</stp>
        <stp>Bid Rate</stp>
        <tr r="E1465" s="1"/>
      </tp>
      <tp>
        <v>1030</v>
        <stp/>
        <stp>bse_cm|98EFSL26</stp>
        <stp>Bid Rate</stp>
        <tr r="E82" s="1"/>
      </tp>
      <tp>
        <v>825.8</v>
        <stp/>
        <stp>nse_cm|SCL310524A-ZK</stp>
        <stp>Bid Rate</stp>
        <tr r="E1445" s="1"/>
      </tp>
      <tp t="s">
        <v>INE302E07383</v>
        <stp/>
        <stp>bse_cm|SFLZC25</stp>
        <stp>Isin code</stp>
        <tr r="R802" s="1"/>
      </tp>
      <tp t="s">
        <v>INE148I07LP4</v>
        <stp/>
        <stp>bse_cm|SCLZC25</stp>
        <stp>Isin code</stp>
        <tr r="R917" s="1"/>
      </tp>
      <tp t="s">
        <v>INE414G07HF3</v>
        <stp/>
        <stp>bse_cm|MFLZC25</stp>
        <stp>Isin code</stp>
        <tr r="R1683" s="1"/>
      </tp>
      <tp t="s">
        <v>INE403Q08100</v>
        <stp/>
        <stp>bse_cm|KFLZC25</stp>
        <stp>Isin code</stp>
        <tr r="R1754" s="1"/>
      </tp>
      <tp>
        <v>0</v>
        <stp/>
        <stp>nse_cm|1025SCFL34-Z5</stp>
        <stp>Open</stp>
        <tr r="M880" s="1"/>
      </tp>
      <tp t="s">
        <v>96IIFL28A</v>
        <stp/>
        <stp>bse_cm|96IIFL28A</stp>
        <stp>Trading Symbol</stp>
        <tr r="B88" s="1"/>
      </tp>
      <tp t="s">
        <v>697PFCL36</v>
        <stp/>
        <stp>bse_cm|697PFCL36</stp>
        <stp>Trading Symbol</stp>
        <tr r="B431" s="1"/>
      </tp>
      <tp t="s">
        <v>0MML27524</v>
        <stp/>
        <stp>bse_cm|0MML27524</stp>
        <stp>Trading Symbol</stp>
        <tr r="B1042" s="1"/>
      </tp>
      <tp t="s">
        <v>INE414G07GQ2</v>
        <stp/>
        <stp>bse_cm|MFLVI25</stp>
        <stp>Isin code</stp>
        <tr r="R1707" s="1"/>
      </tp>
      <tp t="s">
        <v>CIF29</v>
        <stp/>
        <stp>nse_cm|CIF29-NO</stp>
        <stp>Symbol</stp>
        <tr r="A743" s="1"/>
      </tp>
      <tp t="s">
        <v>695PFCL36</v>
        <stp/>
        <stp>bse_cm|695PFCL36</stp>
        <stp>Trading Symbol</stp>
        <tr r="B430" s="1"/>
      </tp>
      <tp>
        <v>0</v>
        <stp/>
        <stp>nse_cm|1075SCFL34-Z6</stp>
        <stp>Open</stp>
        <tr r="M882" s="1"/>
      </tp>
      <tp t="s">
        <v>990MFCL29</v>
        <stp/>
        <stp>bse_cm|990MFCL29</stp>
        <stp>Trading Symbol</stp>
        <tr r="B1449" s="1"/>
      </tp>
      <tp t="s">
        <v>890MFCL26</v>
        <stp/>
        <stp>bse_cm|890MFCL26</stp>
        <stp>Trading Symbol</stp>
        <tr r="B279" s="1"/>
      </tp>
      <tp>
        <v>1102.75</v>
        <stp/>
        <stp>nse_cm|850CIFCL26-NE</stp>
        <stp>Ask Rate</stp>
        <tr r="F450" s="1"/>
      </tp>
      <tp>
        <v>1155</v>
        <stp/>
        <stp>nse_cm|10IIFLSF27-NB</stp>
        <stp>Ask Rate</stp>
        <tr r="F1657" s="1"/>
      </tp>
      <tp t="s">
        <v>99IFCI24</v>
        <stp/>
        <stp>bse_cm|99IFCI24</stp>
        <stp>Symbol</stp>
        <tr r="A41" s="1"/>
      </tp>
      <tp>
        <v>0</v>
        <stp/>
        <stp>nse_cm|1048IIFL27-N6</stp>
        <stp>High</stp>
        <tr r="N997" s="1"/>
      </tp>
      <tp>
        <v>0</v>
        <stp/>
        <stp>nse_cm|860CIFCL28-NG</stp>
        <stp>Ask Rate</stp>
        <tr r="F647" s="1"/>
      </tp>
      <tp t="s">
        <v>10ARKA28</v>
        <stp/>
        <stp>bse_cm|10ARKA28</stp>
        <stp>Symbol</stp>
        <tr r="A1400" s="1"/>
      </tp>
      <tp t="s">
        <v>INE413U07327</v>
        <stp/>
        <stp>nse_cm|957IIFLS27-NA</stp>
        <stp>Isin code</stp>
        <tr r="R1495" s="1"/>
      </tp>
      <tp t="s">
        <v>INE414G07GX8</v>
        <stp/>
        <stp>bse_cm|MFLIV25</stp>
        <stp>Isin code</stp>
        <tr r="R280" s="1"/>
      </tp>
      <tp t="s">
        <v>98ICCL26</v>
        <stp/>
        <stp>bse_cm|98ICCL26</stp>
        <stp>Symbol</stp>
        <tr r="A1412" s="1"/>
      </tp>
      <tp t="s">
        <v>985ECL28</v>
        <stp/>
        <stp>bse_cm|985ECL28</stp>
        <stp>Symbol</stp>
        <tr r="A56" s="1"/>
      </tp>
      <tp t="s">
        <v>980SCL33</v>
        <stp/>
        <stp>bse_cm|980SCL33</stp>
        <stp>Symbol</stp>
        <tr r="A998" s="1"/>
      </tp>
      <tp t="s">
        <v>980SCL34</v>
        <stp/>
        <stp>bse_cm|980SCL34</stp>
        <stp>Symbol</stp>
        <tr r="A829" s="1"/>
      </tp>
      <tp t="s">
        <v>INE148I07TU7</v>
        <stp/>
        <stp>nse_cm|98SCL34-ZS</stp>
        <stp>Isin code</stp>
        <tr r="R1052" s="1"/>
      </tp>
      <tp t="s">
        <v>995ECL24</v>
        <stp/>
        <stp>bse_cm|995ECL24</stp>
        <stp>Symbol</stp>
        <tr r="A427" s="1"/>
      </tp>
      <tp t="s">
        <v>995ECL29</v>
        <stp/>
        <stp>bse_cm|995ECL29</stp>
        <stp>Symbol</stp>
        <tr r="A198" s="1"/>
      </tp>
      <tp t="s">
        <v>990SCL27</v>
        <stp/>
        <stp>bse_cm|990SCL27</stp>
        <stp>Symbol</stp>
        <tr r="A796" s="1"/>
      </tp>
      <tp t="s">
        <v>990SCL26</v>
        <stp/>
        <stp>bse_cm|990SCL26</stp>
        <stp>Symbol</stp>
        <tr r="A421" s="1"/>
      </tp>
      <tp t="s">
        <v>965VCL25</v>
        <stp/>
        <stp>bse_cm|965VCL25</stp>
        <stp>Symbol</stp>
        <tr r="A1543" s="1"/>
      </tp>
      <tp t="s">
        <v>965SCL25</v>
        <stp/>
        <stp>bse_cm|965SCL25</stp>
        <stp>Symbol</stp>
        <tr r="A1105" s="1"/>
      </tp>
      <tp t="s">
        <v>965SCL26</v>
        <stp/>
        <stp>bse_cm|965SCL26</stp>
        <stp>Symbol</stp>
        <tr r="A665" s="1"/>
      </tp>
      <tp t="s">
        <v>965SCL29</v>
        <stp/>
        <stp>bse_cm|965SCL29</stp>
        <stp>Symbol</stp>
        <tr r="A816" s="1"/>
      </tp>
      <tp t="s">
        <v>965SCL28</v>
        <stp/>
        <stp>bse_cm|965SCL28</stp>
        <stp>Symbol</stp>
        <tr r="A1138" s="1"/>
      </tp>
      <tp t="s">
        <v>CAGL27-NC</v>
        <stp/>
        <stp>nse_cm|CAGL27-NC</stp>
        <stp>Trading Symbol</stp>
        <tr r="B733" s="1"/>
      </tp>
      <tp t="s">
        <v>IML23623</v>
        <stp/>
        <stp>bse_cm|IML23623</stp>
        <stp>Symbol</stp>
        <tr r="A1327" s="1"/>
      </tp>
      <tp t="s">
        <v>975SCL28</v>
        <stp/>
        <stp>bse_cm|975SCL28</stp>
        <stp>Symbol</stp>
        <tr r="A1485" s="1"/>
      </tp>
      <tp t="s">
        <v>971SCL29</v>
        <stp/>
        <stp>bse_cm|971SCL29</stp>
        <stp>Symbol</stp>
        <tr r="A521" s="1"/>
      </tp>
      <tp t="s">
        <v>971SCL28</v>
        <stp/>
        <stp>bse_cm|971SCL28</stp>
        <stp>Symbol</stp>
        <tr r="A1028" s="1"/>
      </tp>
      <tp t="s">
        <v>MML27524</v>
        <stp/>
        <stp>bse_cm|MML27524</stp>
        <stp>Symbol</stp>
        <tr r="A1511" s="1"/>
      </tp>
      <tp t="s">
        <v>940SCL27</v>
        <stp/>
        <stp>bse_cm|940SCL27</stp>
        <stp>Symbol</stp>
        <tr r="A792" s="1"/>
      </tp>
      <tp t="s">
        <v>940SCL26</v>
        <stp/>
        <stp>bse_cm|940SCL26</stp>
        <stp>Symbol</stp>
        <tr r="A778" s="1"/>
      </tp>
      <tp t="s">
        <v>943ECL28</v>
        <stp/>
        <stp>bse_cm|943ECL28</stp>
        <stp>Symbol</stp>
        <tr r="A124" s="1"/>
      </tp>
      <tp t="s">
        <v>948SCL27</v>
        <stp/>
        <stp>bse_cm|948SCL27</stp>
        <stp>Symbol</stp>
        <tr r="A1079" s="1"/>
      </tp>
      <tp t="s">
        <v>948SCL26</v>
        <stp/>
        <stp>bse_cm|948SCL26</stp>
        <stp>Symbol</stp>
        <tr r="A1647" s="1"/>
      </tp>
      <tp t="s">
        <v>984ICCL26A</v>
        <stp/>
        <stp>nse_cm|984ICCL26A-NK</stp>
        <stp>Symbol</stp>
        <tr r="A716" s="1"/>
      </tp>
      <tp t="s">
        <v>955SCL25</v>
        <stp/>
        <stp>bse_cm|955SCL25</stp>
        <stp>Symbol</stp>
        <tr r="A1128" s="1"/>
      </tp>
      <tp t="s">
        <v>955SCL27</v>
        <stp/>
        <stp>bse_cm|955SCL27</stp>
        <stp>Symbol</stp>
        <tr r="A621" s="1"/>
      </tp>
      <tp t="s">
        <v>957SCL31</v>
        <stp/>
        <stp>bse_cm|957SCL31</stp>
        <stp>Symbol</stp>
        <tr r="A1108" s="1"/>
      </tp>
      <tp t="s">
        <v>957SCL30</v>
        <stp/>
        <stp>bse_cm|957SCL30</stp>
        <stp>Symbol</stp>
        <tr r="A1110" s="1"/>
      </tp>
      <tp t="s">
        <v>957VCL25</v>
        <stp/>
        <stp>bse_cm|957VCL25</stp>
        <stp>Symbol</stp>
        <tr r="A53" s="1"/>
      </tp>
      <tp t="s">
        <v>92ICCL28</v>
        <stp/>
        <stp>bse_cm|92ICCL28</stp>
        <stp>Symbol</stp>
        <tr r="A202" s="1"/>
      </tp>
      <tp t="s">
        <v>925SCL25</v>
        <stp/>
        <stp>bse_cm|925SCL25</stp>
        <stp>Symbol</stp>
        <tr r="A104" s="1"/>
      </tp>
      <tp t="s">
        <v>925SCL27</v>
        <stp/>
        <stp>bse_cm|925SCL27</stp>
        <stp>Symbol</stp>
        <tr r="A1414" s="1"/>
      </tp>
      <tp t="s">
        <v>925SCL26</v>
        <stp/>
        <stp>bse_cm|925SCL26</stp>
        <stp>Symbol</stp>
        <tr r="A913" s="1"/>
      </tp>
      <tp t="s">
        <v>925SCL29</v>
        <stp/>
        <stp>bse_cm|925SCL29</stp>
        <stp>Symbol</stp>
        <tr r="A820" s="1"/>
      </tp>
      <tp t="s">
        <v>925SCL28</v>
        <stp/>
        <stp>bse_cm|925SCL28</stp>
        <stp>Symbol</stp>
        <tr r="A940" s="1"/>
      </tp>
      <tp t="s">
        <v>ICCL25-NS</v>
        <stp/>
        <stp>nse_cm|ICCL25-NS</stp>
        <stp>Trading Symbol</stp>
        <tr r="B1401" s="1"/>
      </tp>
      <tp t="s">
        <v>935SCL28</v>
        <stp/>
        <stp>bse_cm|935SCL28</stp>
        <stp>Symbol</stp>
        <tr r="A284" s="1"/>
      </tp>
      <tp t="s">
        <v>939SCL27</v>
        <stp/>
        <stp>bse_cm|939SCL27</stp>
        <stp>Symbol</stp>
        <tr r="A985" s="1"/>
      </tp>
      <tp t="s">
        <v>905SCL25</v>
        <stp/>
        <stp>bse_cm|905SCL25</stp>
        <stp>Symbol</stp>
        <tr r="A1060" s="1"/>
      </tp>
      <tp t="s">
        <v>905SCL27</v>
        <stp/>
        <stp>bse_cm|905SCL27</stp>
        <stp>Symbol</stp>
        <tr r="A976" s="1"/>
      </tp>
      <tp t="s">
        <v>902SCL27</v>
        <stp/>
        <stp>bse_cm|902SCL27</stp>
        <stp>Symbol</stp>
        <tr r="A902" s="1"/>
      </tp>
      <tp t="s">
        <v>902SCL26</v>
        <stp/>
        <stp>bse_cm|902SCL26</stp>
        <stp>Symbol</stp>
        <tr r="A969" s="1"/>
      </tp>
      <tp t="s">
        <v>94IFCI25</v>
        <stp/>
        <stp>bse_cm|94IFCI25</stp>
        <stp>Symbol</stp>
        <tr r="A228" s="1"/>
      </tp>
      <tp t="s">
        <v>915SCL27</v>
        <stp/>
        <stp>bse_cm|915SCL27</stp>
        <stp>Symbol</stp>
        <tr r="A1127" s="1"/>
      </tp>
      <tp t="s">
        <v>915SCL26</v>
        <stp/>
        <stp>bse_cm|915SCL26</stp>
        <stp>Symbol</stp>
        <tr r="A148" s="1"/>
      </tp>
      <tp t="s">
        <v>916SCL25</v>
        <stp/>
        <stp>bse_cm|916SCL25</stp>
        <stp>Symbol</stp>
        <tr r="A964" s="1"/>
      </tp>
      <tp t="s">
        <v>905SC24B</v>
        <stp/>
        <stp>bse_cm|905SC24B</stp>
        <stp>Symbol</stp>
        <tr r="A684" s="1"/>
      </tp>
      <tp>
        <v>1080</v>
        <stp/>
        <stp>nse_cm|840CIFCL28-N4</stp>
        <stp>Ask Rate</stp>
        <tr r="F556" s="1"/>
      </tp>
      <tp>
        <v>0</v>
        <stp/>
        <stp>nse_cm|850NIRMA27-N7</stp>
        <stp>Ask Rate</stp>
        <tr r="F1010" s="1"/>
      </tp>
      <tp>
        <v>0</v>
        <stp/>
        <stp>bse_cm|920IIFLS26</stp>
        <stp>Volume Traded Today</stp>
        <tr r="L613" s="1"/>
      </tp>
      <tp>
        <v>0</v>
        <stp/>
        <stp>bse_cm|960IIFLS26</stp>
        <stp>Volume Traded Today</stp>
        <tr r="L872" s="1"/>
      </tp>
      <tp>
        <v>0</v>
        <stp/>
        <stp>bse_cm|957IIFLS27</stp>
        <stp>Volume Traded Today</stp>
        <tr r="L687" s="1"/>
      </tp>
      <tp>
        <v>0</v>
        <stp/>
        <stp>bse_cm|CIFC26</stp>
        <stp>Ask Qty</stp>
        <tr r="G742" s="1"/>
      </tp>
      <tp>
        <v>0</v>
        <stp/>
        <stp>bse_cm|CIFC28</stp>
        <stp>Ask Qty</stp>
        <tr r="G1529" s="1"/>
      </tp>
      <tp>
        <v>1210</v>
        <stp/>
        <stp>nse_cm|IIFLHFZC27-NB</stp>
        <stp>Ask Rate</stp>
        <tr r="F1672" s="1"/>
      </tp>
      <tp t="s">
        <v>865MFL26A</v>
        <stp/>
        <stp>bse_cm|865MFL26A</stp>
        <stp>Trading Symbol</stp>
        <tr r="B242" s="1"/>
      </tp>
      <tp t="s">
        <v>865MFL25A</v>
        <stp/>
        <stp>bse_cm|865MFL25A</stp>
        <stp>Trading Symbol</stp>
        <tr r="B153" s="1"/>
      </tp>
      <tp t="s">
        <v>965SCL25E</v>
        <stp/>
        <stp>bse_cm|965SCL25E</stp>
        <stp>Trading Symbol</stp>
        <tr r="B414" s="1"/>
      </tp>
      <tp t="s">
        <v>965SCL25F</v>
        <stp/>
        <stp>bse_cm|965SCL25F</stp>
        <stp>Trading Symbol</stp>
        <tr r="B673" s="1"/>
      </tp>
      <tp t="s">
        <v>965SCL25A</v>
        <stp/>
        <stp>bse_cm|965SCL25A</stp>
        <stp>Trading Symbol</stp>
        <tr r="B234" s="1"/>
      </tp>
      <tp t="s">
        <v>965SCL25B</v>
        <stp/>
        <stp>bse_cm|965SCL25B</stp>
        <stp>Trading Symbol</stp>
        <tr r="B1507" s="1"/>
      </tp>
      <tp t="s">
        <v>965SCL25C</v>
        <stp/>
        <stp>bse_cm|965SCL25C</stp>
        <stp>Trading Symbol</stp>
        <tr r="B506" s="1"/>
      </tp>
      <tp t="s">
        <v>865SCL24B</v>
        <stp/>
        <stp>bse_cm|865SCL24B</stp>
        <stp>Trading Symbol</stp>
        <tr r="B953" s="1"/>
      </tp>
      <tp t="s">
        <v>965SCL26A</v>
        <stp/>
        <stp>bse_cm|965SCL26A</stp>
        <stp>Trading Symbol</stp>
        <tr r="B1481" s="1"/>
      </tp>
      <tp t="s">
        <v>965SCL28A</v>
        <stp/>
        <stp>bse_cm|965SCL28A</stp>
        <stp>Trading Symbol</stp>
        <tr r="B1136" s="1"/>
      </tp>
      <tp t="s">
        <v>965SCL28B</v>
        <stp/>
        <stp>bse_cm|965SCL28B</stp>
        <stp>Trading Symbol</stp>
        <tr r="B896" s="1"/>
      </tp>
      <tp t="s">
        <v>965SCL28C</v>
        <stp/>
        <stp>bse_cm|965SCL28C</stp>
        <stp>Trading Symbol</stp>
        <tr r="B818" s="1"/>
      </tp>
      <tp>
        <v>0</v>
        <stp/>
        <stp>nse_cm|SCFL310524-ZE</stp>
        <stp>Open</stp>
        <tr r="M1240" s="1"/>
      </tp>
      <tp t="s">
        <v>INE804IA7014</v>
        <stp/>
        <stp>nse_cm|1015ECL29-NR</stp>
        <stp>Isin code</stp>
        <tr r="R204" s="1"/>
      </tp>
      <tp t="s">
        <v>INE148I07KW2</v>
        <stp/>
        <stp>nse_cm|850SCFL25-Y4</stp>
        <stp>Isin code</stp>
        <tr r="R924" s="1"/>
      </tp>
      <tp>
        <v>-0.05</v>
        <stp/>
        <stp>nse_cm|843IHFL29-NC</stp>
        <stp>% Change</stp>
        <tr r="J123" s="1"/>
      </tp>
      <tp>
        <v>1000</v>
        <stp/>
        <stp>bse_cm|768IREDA36</stp>
        <stp>Face Value</stp>
        <tr r="Q543" s="1"/>
      </tp>
      <tp>
        <v>1000</v>
        <stp/>
        <stp>bse_cm|728IREDA26</stp>
        <stp>Face Value</stp>
        <tr r="Q1203" s="1"/>
      </tp>
      <tp t="s">
        <v>INE031A07840</v>
        <stp/>
        <stp>nse_cm|82HUDCO27-N2</stp>
        <stp>Isin code</stp>
        <tr r="R532" s="1"/>
      </tp>
      <tp>
        <v>-7.98</v>
        <stp/>
        <stp>bse_cm|739NHAI31A</stp>
        <stp>% Change</stp>
        <tr r="J546" s="1"/>
      </tp>
      <tp>
        <v>-100</v>
        <stp/>
        <stp>bse_cm|913ICCL24A</stp>
        <stp>% Change</stp>
        <tr r="J1162" s="1"/>
      </tp>
      <tp>
        <v>0</v>
        <stp/>
        <stp>nse_cm|SCL22-ZC</stp>
        <stp>High</stp>
        <tr r="N955" s="1"/>
      </tp>
      <tp>
        <v>-100</v>
        <stp/>
        <stp>bse_cm|925ICCL24A</stp>
        <stp>% Change</stp>
        <tr r="J1072" s="1"/>
      </tp>
      <tp>
        <v>0</v>
        <stp/>
        <stp>nse_cm|1035UCL24-N6</stp>
        <stp>% Change</stp>
        <tr r="J591" s="1"/>
      </tp>
      <tp>
        <v>1000</v>
        <stp/>
        <stp>bse_cm|1003SCL30A</stp>
        <stp>Face Value</stp>
        <tr r="Q875" s="1"/>
      </tp>
      <tp>
        <v>985</v>
        <stp/>
        <stp>nse_cm|10NIDO26-N6</stp>
        <stp xml:space="preserve">Low </stp>
        <tr r="O66" s="1"/>
      </tp>
      <tp>
        <v>1165</v>
        <stp/>
        <stp>nse_cm|SCL24-ZD</stp>
        <stp>High</stp>
        <tr r="N956" s="1"/>
      </tp>
      <tp t="s">
        <v>905LTF27-NF</v>
        <stp/>
        <stp>nse_cm|905LTF27-NF</stp>
        <stp>Trading Symbol</stp>
        <tr r="B393" s="1"/>
      </tp>
      <tp t="s">
        <v>824LTF27-NQ</v>
        <stp/>
        <stp>nse_cm|824LTF27-NQ</stp>
        <stp>Trading Symbol</stp>
        <tr r="B999" s="1"/>
      </tp>
      <tp t="s">
        <v>815LTF27-NO</v>
        <stp/>
        <stp>nse_cm|815LTF27-NO</stp>
        <stp>Trading Symbol</stp>
        <tr r="B1001" s="1"/>
      </tp>
      <tp t="s">
        <v>852LTF27-NG</v>
        <stp/>
        <stp>nse_cm|852LTF27-NG</stp>
        <stp>Trading Symbol</stp>
        <tr r="B1006" s="1"/>
      </tp>
      <tp t="s">
        <v>885LTF27-NE</v>
        <stp/>
        <stp>nse_cm|885LTF27-NE</stp>
        <stp>Trading Symbol</stp>
        <tr r="B1007" s="1"/>
      </tp>
      <tp>
        <v>0</v>
        <stp/>
        <stp>nse_cm|745IGT26-NC</stp>
        <stp>Open</stp>
        <tr r="M1201" s="1"/>
      </tp>
      <tp>
        <v>1039</v>
        <stp/>
        <stp>bse_cm|ABFL28</stp>
        <stp xml:space="preserve">Low </stp>
        <tr r="O1373" s="1"/>
      </tp>
      <tp t="s">
        <v>83TCHF28-N9</v>
        <stp/>
        <stp>nse_cm|83TCHF28-N9</stp>
        <stp>Trading Symbol</stp>
        <tr r="B831" s="1"/>
      </tp>
      <tp t="s">
        <v>81TCHF28-N8</v>
        <stp/>
        <stp>nse_cm|81TCHF28-N8</stp>
        <stp>Trading Symbol</stp>
        <tr r="B467" s="1"/>
      </tp>
      <tp t="s">
        <v>84TCHF28-NA</v>
        <stp/>
        <stp>nse_cm|84TCHF28-NA</stp>
        <stp>Trading Symbol</stp>
        <tr r="B402" s="1"/>
      </tp>
      <tp>
        <v>998</v>
        <stp/>
        <stp>nse_cm|835IFL25-NV</stp>
        <stp xml:space="preserve">Low </stp>
        <tr r="O98" s="1"/>
      </tp>
      <tp>
        <v>0</v>
        <stp/>
        <stp>nse_cm|935SCL28-NV</stp>
        <stp xml:space="preserve">Low </stp>
        <tr r="O986" s="1"/>
      </tp>
      <tp>
        <v>1000</v>
        <stp/>
        <stp>bse_cm|960IIFLS26</stp>
        <stp>Face Value</stp>
        <tr r="Q872" s="1"/>
      </tp>
      <tp>
        <v>1000</v>
        <stp/>
        <stp>bse_cm|920IIFLS26</stp>
        <stp>Face Value</stp>
        <tr r="Q613" s="1"/>
      </tp>
      <tp t="s">
        <v>INE148I07QR9</v>
        <stp/>
        <stp>nse_cm|1015SCL28-NR</stp>
        <stp>Isin code</stp>
        <tr r="R288" s="1"/>
      </tp>
      <tp t="s">
        <v>92ICCL28-ND</v>
        <stp/>
        <stp>nse_cm|92ICCL28-ND</stp>
        <stp>Trading Symbol</stp>
        <tr r="B203" s="1"/>
      </tp>
      <tp>
        <v>0</v>
        <stp/>
        <stp>nse_cm|749IGT28-NG</stp>
        <stp>Open</stp>
        <tr r="M1197" s="1"/>
      </tp>
      <tp t="s">
        <v>975NFL25-N0</v>
        <stp/>
        <stp>nse_cm|975NFL25-N0</stp>
        <stp>Trading Symbol</stp>
        <tr r="B256" s="1"/>
      </tp>
      <tp>
        <v>877.2</v>
        <stp/>
        <stp>bse_cm|ABFL26</stp>
        <stp xml:space="preserve">Low </stp>
        <tr r="O1064" s="1"/>
      </tp>
      <tp t="s">
        <v>BSE</v>
        <stp/>
        <stp>bse_cm|9MFL27</stp>
        <stp>Exchange</stp>
        <tr r="C195" s="1"/>
      </tp>
      <tp>
        <v>0</v>
        <stp/>
        <stp>nse_cm|892PFCL33-N8</stp>
        <stp>% Change</stp>
        <tr r="J530" s="1"/>
      </tp>
      <tp>
        <v>0</v>
        <stp/>
        <stp>nse_cm|940SCL26-N6</stp>
        <stp>High</stp>
        <tr r="N921" s="1"/>
      </tp>
      <tp>
        <v>0</v>
        <stp/>
        <stp>nse_cm|801TCH28-N7</stp>
        <stp>High</stp>
        <tr r="N1181" s="1"/>
      </tp>
      <tp t="s">
        <v>BSE</v>
        <stp/>
        <stp>bse_cm|9MFL25</stp>
        <stp>Exchange</stp>
        <tr r="C1082" s="1"/>
      </tp>
      <tp>
        <v>0</v>
        <stp/>
        <stp>bse_cm|MHLZC26</stp>
        <stp>Ask Qty</stp>
        <tr r="G1522" s="1"/>
      </tp>
      <tp>
        <v>1007</v>
        <stp/>
        <stp>nse_cm|801TCH25-N4</stp>
        <stp>High</stp>
        <tr r="N493" s="1"/>
      </tp>
      <tp>
        <v>0</v>
        <stp/>
        <stp>nse_cm|894SCL25-Z3</stp>
        <stp>Open</stp>
        <tr r="M1698" s="1"/>
      </tp>
      <tp t="s">
        <v>BSE</v>
        <stp/>
        <stp>bse_cm|9IML25</stp>
        <stp>Exchange</stp>
        <tr r="C588" s="1"/>
      </tp>
      <tp t="s">
        <v>NSE</v>
        <stp/>
        <stp>nse_cm|85PFL26A-N7</stp>
        <stp>Exchange</stp>
        <tr r="C1519" s="1"/>
      </tp>
      <tp t="s">
        <v>BSE</v>
        <stp/>
        <stp>bse_cm|9KFL26</stp>
        <stp>Exchange</stp>
        <tr r="C1084" s="1"/>
      </tp>
      <tp>
        <v>1028</v>
        <stp/>
        <stp>nse_cm|SCLZC26B-AY</stp>
        <stp xml:space="preserve">Low </stp>
        <tr r="O1658" s="1"/>
      </tp>
      <tp>
        <v>840</v>
        <stp/>
        <stp>nse_cm|948SCL26-N9</stp>
        <stp>High</stp>
        <tr r="N1632" s="1"/>
      </tp>
      <tp>
        <v>1079</v>
        <stp/>
        <stp>nse_cm|SCLZC25B-AT</stp>
        <stp xml:space="preserve">Low </stp>
        <tr r="O1541" s="1"/>
      </tp>
      <tp>
        <v>0</v>
        <stp/>
        <stp>bse_cm|MFLZC30</stp>
        <stp>Ask Qty</stp>
        <tr r="G1267" s="1"/>
      </tp>
      <tp>
        <v>0</v>
        <stp/>
        <stp>bse_cm|MFLZC32</stp>
        <stp>Ask Qty</stp>
        <tr r="G1266" s="1"/>
      </tp>
      <tp>
        <v>100</v>
        <stp/>
        <stp>bse_cm|MFLZC25</stp>
        <stp>Ask Qty</stp>
        <tr r="G1683" s="1"/>
      </tp>
      <tp>
        <v>0</v>
        <stp/>
        <stp>bse_cm|MFLZC27</stp>
        <stp>Ask Qty</stp>
        <tr r="G1271" s="1"/>
      </tp>
      <tp>
        <v>100</v>
        <stp/>
        <stp>bse_cm|MFLZC26</stp>
        <stp>Ask Qty</stp>
        <tr r="G1720" s="1"/>
      </tp>
      <tp>
        <v>0</v>
        <stp/>
        <stp>nse_cm|SCLZC25A-AS</stp>
        <stp xml:space="preserve">Low </stp>
        <tr r="O1232" s="1"/>
      </tp>
      <tp t="s">
        <v>IIFLZC26-NN</v>
        <stp/>
        <stp>nse_cm|IIFLZC26-NN</stp>
        <stp>Trading Symbol</stp>
        <tr r="B1696" s="1"/>
      </tp>
      <tp>
        <v>1001</v>
        <stp/>
        <stp>nse_cm|925AEL26-N1</stp>
        <stp xml:space="preserve">Low </stp>
        <tr r="O330" s="1"/>
      </tp>
      <tp t="s">
        <v>INE148I07RE5</v>
        <stp/>
        <stp>nse_cm|888SCL25B-Y2</stp>
        <stp>Isin code</stp>
        <tr r="R789" s="1"/>
      </tp>
      <tp>
        <v>0</v>
        <stp/>
        <stp>nse_cm|10IIFLSF27-NB</stp>
        <stp>Volume Traded Today</stp>
        <tr r="L1657" s="1"/>
      </tp>
      <tp>
        <v>0</v>
        <stp/>
        <stp>nse_cm|884LTF29-N6</stp>
        <stp xml:space="preserve">Low </stp>
        <tr r="O1009" s="1"/>
      </tp>
      <tp>
        <v>1070</v>
        <stp/>
        <stp>nse_cm|920PEL28-N2</stp>
        <stp xml:space="preserve">Low </stp>
        <tr r="O373" s="1"/>
      </tp>
      <tp>
        <v>1047.55</v>
        <stp/>
        <stp>bse_cm|11DLSL25</stp>
        <stp>Bid Rate</stp>
        <tr r="E1539" s="1"/>
      </tp>
      <tp>
        <v>1001.43</v>
        <stp/>
        <stp>nse_cm|925SCL25-N5</stp>
        <stp xml:space="preserve">Low </stp>
        <tr r="O1474" s="1"/>
      </tp>
      <tp>
        <v>1717.82</v>
        <stp/>
        <stp>bse_cm|NIDOZC26</stp>
        <stp>Bid Rate</stp>
        <tr r="E27" s="1"/>
      </tp>
      <tp>
        <v>885.99</v>
        <stp/>
        <stp>bse_cm|93EFSL31</stp>
        <stp>Bid Rate</stp>
        <tr r="E83" s="1"/>
      </tp>
      <tp>
        <v>835.2</v>
        <stp/>
        <stp>bse_cm|97EFSL31</stp>
        <stp>Bid Rate</stp>
        <tr r="E635" s="1"/>
      </tp>
      <tp>
        <v>1000</v>
        <stp/>
        <stp>nse_cm|829PFL29-N6</stp>
        <stp xml:space="preserve">Low </stp>
        <tr r="O1451" s="1"/>
      </tp>
      <tp>
        <v>951</v>
        <stp/>
        <stp>bse_cm|10EFSL33</stp>
        <stp>Bid Rate</stp>
        <tr r="E150" s="1"/>
      </tp>
      <tp>
        <v>945</v>
        <stp/>
        <stp>nse_cm|92ICCL28-ND</stp>
        <stp xml:space="preserve">Low </stp>
        <tr r="O203" s="1"/>
      </tp>
      <tp>
        <v>25</v>
        <stp/>
        <stp>nse_cm|91MOFSL27-N2</stp>
        <stp>Ask Qty</stp>
        <tr r="G1611" s="1"/>
      </tp>
      <tp>
        <v>1028</v>
        <stp/>
        <stp>nse_cm|935MOFSL29-N5</stp>
        <stp>Prev Close</stp>
        <tr r="P1601" s="1"/>
      </tp>
      <tp t="s">
        <v>BSE</v>
        <stp/>
        <stp>bse_cm|9SFL25</stp>
        <stp>Exchange</stp>
        <tr r="C340" s="1"/>
      </tp>
      <tp t="s">
        <v>BSE</v>
        <stp/>
        <stp>bse_cm|9SCL25</stp>
        <stp>Exchange</stp>
        <tr r="C653" s="1"/>
      </tp>
      <tp>
        <v>-100</v>
        <stp/>
        <stp>bse_cm|1010MFCL30</stp>
        <stp>% Change</stp>
        <tr r="J285" s="1"/>
      </tp>
      <tp>
        <v>925.1</v>
        <stp/>
        <stp>bse_cm|10EFSL34</stp>
        <stp>Bid Rate</stp>
        <tr r="E164" s="1"/>
      </tp>
      <tp>
        <v>905</v>
        <stp/>
        <stp>bse_cm|11EFSL34</stp>
        <stp>Bid Rate</stp>
        <tr r="E1429" s="1"/>
      </tp>
      <tp>
        <v>1345</v>
        <stp/>
        <stp>bse_cm|MFL29A</stp>
        <stp>High</stp>
        <tr r="N1380" s="1"/>
      </tp>
      <tp t="s">
        <v>BSE</v>
        <stp/>
        <stp>bse_cm|9SFL26</stp>
        <stp>Exchange</stp>
        <tr r="C1066" s="1"/>
      </tp>
      <tp t="s">
        <v>BSE</v>
        <stp/>
        <stp>bse_cm|9PEL25</stp>
        <stp>Exchange</stp>
        <tr r="C315" s="1"/>
      </tp>
      <tp t="s">
        <v>97EFSL31A</v>
        <stp/>
        <stp>bse_cm|97EFSL31A</stp>
        <stp>Trading Symbol</stp>
        <tr r="B598" s="1"/>
      </tp>
      <tp t="e">
        <v>#N/A</v>
        <stp/>
        <stp>bse_cm|SFLZC24</stp>
        <stp>Isin code</stp>
        <tr r="R30" s="1"/>
      </tp>
      <tp t="s">
        <v>INE403Q07771</v>
        <stp/>
        <stp>bse_cm|KFLZC24</stp>
        <stp>Isin code</stp>
        <tr r="R1766" s="1"/>
      </tp>
      <tp t="s">
        <v>689RECL24</v>
        <stp/>
        <stp>bse_cm|689RECL24</stp>
        <stp>Trading Symbol</stp>
        <tr r="B1206" s="1"/>
      </tp>
      <tp t="s">
        <v>INE027E07AY4</v>
        <stp/>
        <stp>bse_cm|86LTF24</stp>
        <stp>Isin code</stp>
        <tr r="R8" s="1"/>
      </tp>
      <tp t="s">
        <v>985ICCL28</v>
        <stp/>
        <stp>bse_cm|985ICCL28</stp>
        <stp>Trading Symbol</stp>
        <tr r="B1483" s="1"/>
      </tp>
      <tp t="s">
        <v>925KFIL25</v>
        <stp/>
        <stp>bse_cm|925KFIL25</stp>
        <stp>Trading Symbol</stp>
        <tr r="B776" s="1"/>
      </tp>
      <tp t="s">
        <v>682PFCL31</v>
        <stp/>
        <stp>bse_cm|682PFCL31</stp>
        <stp>Trading Symbol</stp>
        <tr r="B433" s="1"/>
      </tp>
      <tp t="s">
        <v>683PFCL31</v>
        <stp/>
        <stp>bse_cm|683PFCL31</stp>
        <stp>Trading Symbol</stp>
        <tr r="B449" s="1"/>
      </tp>
      <tp t="s">
        <v>980ICCL28</v>
        <stp/>
        <stp>bse_cm|980ICCL28</stp>
        <stp>Trading Symbol</stp>
        <tr r="B783" s="1"/>
      </tp>
      <tp t="s">
        <v>885SCL26</v>
        <stp/>
        <stp>bse_cm|885SCL26</stp>
        <stp>Symbol</stp>
        <tr r="A57" s="1"/>
      </tp>
      <tp t="s">
        <v>888SCL25</v>
        <stp/>
        <stp>bse_cm|888SCL25</stp>
        <stp>Symbol</stp>
        <tr r="A1134" s="1"/>
      </tp>
      <tp t="s">
        <v>888SCL26</v>
        <stp/>
        <stp>bse_cm|888SCL26</stp>
        <stp>Symbol</stp>
        <tr r="A915" s="1"/>
      </tp>
      <tp t="s">
        <v>889SCL27</v>
        <stp/>
        <stp>bse_cm|889SCL27</stp>
        <stp>Symbol</stp>
        <tr r="A121" s="1"/>
      </tp>
      <tp t="s">
        <v>889SCL26</v>
        <stp/>
        <stp>bse_cm|889SCL26</stp>
        <stp>Symbol</stp>
        <tr r="A237" s="1"/>
      </tp>
      <tp t="s">
        <v>889SCL28</v>
        <stp/>
        <stp>bse_cm|889SCL28</stp>
        <stp>Symbol</stp>
        <tr r="A1069" s="1"/>
      </tp>
      <tp t="s">
        <v>894SCL25</v>
        <stp/>
        <stp>bse_cm|894SCL25</stp>
        <stp>Symbol</stp>
        <tr r="A1517" s="1"/>
      </tp>
      <tp t="s">
        <v>894SCL24</v>
        <stp/>
        <stp>bse_cm|894SCL24</stp>
        <stp>Symbol</stp>
        <tr r="A645" s="1"/>
      </tp>
      <tp t="s">
        <v>894SCL27</v>
        <stp/>
        <stp>bse_cm|894SCL27</stp>
        <stp>Symbol</stp>
        <tr r="A962" s="1"/>
      </tp>
      <tp t="s">
        <v>865SCL24</v>
        <stp/>
        <stp>bse_cm|865SCL24</stp>
        <stp>Symbol</stp>
        <tr r="A1165" s="1"/>
      </tp>
      <tp t="s">
        <v>865SCL26</v>
        <stp/>
        <stp>bse_cm|865SCL26</stp>
        <stp>Symbol</stp>
        <tr r="A627" s="1"/>
      </tp>
      <tp t="s">
        <v>866SCL25</v>
        <stp/>
        <stp>bse_cm|866SCL25</stp>
        <stp>Symbol</stp>
        <tr r="A603" s="1"/>
      </tp>
      <tp t="s">
        <v>CAGL26-NA</v>
        <stp/>
        <stp>nse_cm|CAGL26-NA</stp>
        <stp>Trading Symbol</stp>
        <tr r="B735" s="1"/>
      </tp>
      <tp t="s">
        <v>875SCL27</v>
        <stp/>
        <stp>bse_cm|875SCL27</stp>
        <stp>Symbol</stp>
        <tr r="A722" s="1"/>
      </tp>
      <tp t="s">
        <v>INE423A07344</v>
        <stp/>
        <stp>bse_cm|99AEL29</stp>
        <stp>Isin code</stp>
        <tr r="R243" s="1"/>
      </tp>
      <tp t="s">
        <v>879SCL26</v>
        <stp/>
        <stp>bse_cm|879SCL26</stp>
        <stp>Symbol</stp>
        <tr r="A1351" s="1"/>
      </tp>
      <tp t="s">
        <v>INE549K07576</v>
        <stp/>
        <stp>bse_cm|10MFL25</stp>
        <stp>Isin code</stp>
        <tr r="R577" s="1"/>
      </tp>
      <tp t="s">
        <v>847SCL25</v>
        <stp/>
        <stp>bse_cm|847SCL25</stp>
        <stp>Symbol</stp>
        <tr r="A941" s="1"/>
      </tp>
      <tp t="s">
        <v>801TCH25</v>
        <stp/>
        <stp>bse_cm|801TCH25</stp>
        <stp>Symbol</stp>
        <tr r="A562" s="1"/>
      </tp>
      <tp t="s">
        <v>801TCH28</v>
        <stp/>
        <stp>bse_cm|801TCH28</stp>
        <stp>Symbol</stp>
        <tr r="A1182" s="1"/>
      </tp>
      <tp t="s">
        <v>843SCL27</v>
        <stp/>
        <stp>bse_cm|843SCL27</stp>
        <stp>Symbol</stp>
        <tr r="A928" s="1"/>
      </tp>
      <tp t="s">
        <v>INE549K07543</v>
        <stp/>
        <stp>bse_cm|95MFL25</stp>
        <stp>Isin code</stp>
        <tr r="R1420" s="1"/>
      </tp>
      <tp t="s">
        <v>INE549K07857</v>
        <stp/>
        <stp>bse_cm|96MFL25</stp>
        <stp>Isin code</stp>
        <tr r="R1392" s="1"/>
      </tp>
      <tp t="s">
        <v>INE549K07CF9</v>
        <stp/>
        <stp>bse_cm|84MFL25</stp>
        <stp>Isin code</stp>
        <tr r="R316" s="1"/>
      </tp>
      <tp t="s">
        <v>857SCL24</v>
        <stp/>
        <stp>bse_cm|857SCL24</stp>
        <stp>Symbol</stp>
        <tr r="A1002" s="1"/>
      </tp>
      <tp t="s">
        <v>850SCL25</v>
        <stp/>
        <stp>bse_cm|850SCL25</stp>
        <stp>Symbol</stp>
        <tr r="A923" s="1"/>
      </tp>
      <tp t="s">
        <v>INE219X07264</v>
        <stp/>
        <stp>bse_cm|82IGT31</stp>
        <stp>Isin code</stp>
        <tr r="R383" s="1"/>
      </tp>
      <tp t="s">
        <v>INE583D07463</v>
        <stp/>
        <stp>nse_cm|105UCL2026-NB</stp>
        <stp>Isin code</stp>
        <tr r="R130" s="1"/>
      </tp>
      <tp t="s">
        <v>820SCL25</v>
        <stp/>
        <stp>bse_cm|820SCL25</stp>
        <stp>Symbol</stp>
        <tr r="A925" s="1"/>
      </tp>
      <tp t="s">
        <v>833SCL24</v>
        <stp/>
        <stp>bse_cm|833SCL24</stp>
        <stp>Symbol</stp>
        <tr r="A1180" s="1"/>
      </tp>
      <tp t="s">
        <v>890ICCL23A</v>
        <stp/>
        <stp>nse_cm|890ICCL23A-NZ</stp>
        <stp>Symbol</stp>
        <tr r="A1363" s="1"/>
      </tp>
      <tp t="s">
        <v>INE148I07TN2</v>
        <stp/>
        <stp>nse_cm|1025SCL34A-ZT</stp>
        <stp>Isin code</stp>
        <tr r="R171" s="1"/>
      </tp>
      <tp t="s">
        <v>10IIFLSF27</v>
        <stp/>
        <stp>bse_cm|10IIFLSF27</stp>
        <stp>Symbol</stp>
        <tr r="A1098" s="1"/>
      </tp>
      <tp t="s">
        <v>971SCL29A</v>
        <stp/>
        <stp>bse_cm|971SCL29A</stp>
        <stp>Trading Symbol</stp>
        <tr r="B862" s="1"/>
      </tp>
      <tp t="s">
        <v>971SCL28I</v>
        <stp/>
        <stp>bse_cm|971SCL28I</stp>
        <stp>Trading Symbol</stp>
        <tr r="B1471" s="1"/>
      </tp>
      <tp t="s">
        <v>971SCL28A</v>
        <stp/>
        <stp>bse_cm|971SCL28A</stp>
        <stp>Trading Symbol</stp>
        <tr r="B1027" s="1"/>
      </tp>
      <tp t="s">
        <v>971SCL28B</v>
        <stp/>
        <stp>bse_cm|971SCL28B</stp>
        <stp>Trading Symbol</stp>
        <tr r="B714" s="1"/>
      </tp>
      <tp t="s">
        <v>971SCL28C</v>
        <stp/>
        <stp>bse_cm|971SCL28C</stp>
        <stp>Trading Symbol</stp>
        <tr r="B827" s="1"/>
      </tp>
      <tp>
        <v>995</v>
        <stp/>
        <stp>nse_cm|1049DLSL25-NX</stp>
        <stp>High</stp>
        <tr r="N43" s="1"/>
      </tp>
      <tp t="s">
        <v>975MFL29A</v>
        <stp/>
        <stp>bse_cm|975MFL29A</stp>
        <stp>Trading Symbol</stp>
        <tr r="B854" s="1"/>
      </tp>
      <tp t="s">
        <v>875KFL25A</v>
        <stp/>
        <stp>bse_cm|875KFL25A</stp>
        <stp>Trading Symbol</stp>
        <tr r="B1157" s="1"/>
      </tp>
      <tp t="s">
        <v>875KFL26A</v>
        <stp/>
        <stp>bse_cm|875KFL26A</stp>
        <stp>Trading Symbol</stp>
        <tr r="B1155" s="1"/>
      </tp>
      <tp t="s">
        <v>875MFL26A</v>
        <stp/>
        <stp>bse_cm|875MFL26A</stp>
        <stp>Trading Symbol</stp>
        <tr r="B286" s="1"/>
      </tp>
      <tp t="s">
        <v>975MFL24B</v>
        <stp/>
        <stp>bse_cm|975MFL24B</stp>
        <stp>Trading Symbol</stp>
        <tr r="B415" s="1"/>
      </tp>
      <tp t="s">
        <v>875SCL23A</v>
        <stp/>
        <stp>bse_cm|875SCL23A</stp>
        <stp>Trading Symbol</stp>
        <tr r="B194" s="1"/>
      </tp>
      <tp t="e">
        <v>#N/A</v>
        <stp/>
        <stp>bse_cm|975SFL024</stp>
        <stp>Trading Symbol</stp>
        <tr r="B31" s="1"/>
      </tp>
      <tp>
        <v>1200</v>
        <stp/>
        <stp>bse_cm|9TCAP28</stp>
        <stp>Prev Close</stp>
        <tr r="P545" s="1"/>
      </tp>
      <tp t="s">
        <v>INE134E07455</v>
        <stp/>
        <stp>nse_cm|867PFCL33-N7</stp>
        <stp>Isin code</stp>
        <tr r="R550" s="1"/>
      </tp>
      <tp>
        <v>-100</v>
        <stp/>
        <stp>bse_cm|925ICCL25I</stp>
        <stp>% Change</stp>
        <tr r="J782" s="1"/>
      </tp>
      <tp>
        <v>0</v>
        <stp/>
        <stp>nse_cm|894SCL24-ZR</stp>
        <stp>Open</stp>
        <tr r="M661" s="1"/>
      </tp>
      <tp>
        <v>1000</v>
        <stp/>
        <stp>bse_cm|749IREDA31</stp>
        <stp>Face Value</stp>
        <tr r="Q568" s="1"/>
      </tp>
      <tp>
        <v>0</v>
        <stp/>
        <stp>nse_cm|1025UCL25-N8</stp>
        <stp>% Change</stp>
        <tr r="J217" s="1"/>
      </tp>
      <tp>
        <v>0</v>
        <stp/>
        <stp>nse_cm|885LTF27-NE</stp>
        <stp xml:space="preserve">Low </stp>
        <tr r="O1007" s="1"/>
      </tp>
      <tp>
        <v>-100</v>
        <stp/>
        <stp>bse_cm|965ICCL25I</stp>
        <stp>% Change</stp>
        <tr r="J1430" s="1"/>
      </tp>
      <tp t="s">
        <v/>
        <stp/>
        <stp>nse_cm|0MOFSL27-N3</stp>
        <stp>LTT</stp>
        <tr r="I1038" s="1"/>
      </tp>
      <tp t="s">
        <v/>
        <stp/>
        <stp>nse_cm|0MOFSL26-N1</stp>
        <stp>LTT</stp>
        <tr r="I1644" s="1"/>
      </tp>
      <tp>
        <v>1000</v>
        <stp/>
        <stp>nse_cm|0MOFSL27-N3</stp>
        <stp>LTP</stp>
        <tr r="H1038" s="1"/>
      </tp>
      <tp>
        <v>1000</v>
        <stp/>
        <stp>nse_cm|0MOFSL26-N1</stp>
        <stp>LTP</stp>
        <tr r="H1644" s="1"/>
      </tp>
      <tp>
        <v>0</v>
        <stp/>
        <stp>nse_cm|1025NFL25-N5</stp>
        <stp>% Change</stp>
        <tr r="J1488" s="1"/>
      </tp>
      <tp>
        <v>0</v>
        <stp/>
        <stp>nse_cm|894SCL27-ZY</stp>
        <stp>Open</stp>
        <tr r="M731" s="1"/>
      </tp>
      <tp>
        <v>800</v>
        <stp/>
        <stp>bse_cm|1015SCL28B</stp>
        <stp>Face Value</stp>
        <tr r="Q1178" s="1"/>
      </tp>
      <tp>
        <v>800</v>
        <stp/>
        <stp>bse_cm|1015SCL28A</stp>
        <stp>Face Value</stp>
        <tr r="Q1386" s="1"/>
      </tp>
      <tp>
        <v>-100</v>
        <stp/>
        <stp>bse_cm|948ICCL25A</stp>
        <stp>% Change</stp>
        <tr r="J1398" s="1"/>
      </tp>
      <tp>
        <v>-0.77</v>
        <stp/>
        <stp>nse_cm|842IIFL26-NL</stp>
        <stp>% Change</stp>
        <tr r="J145" s="1"/>
      </tp>
      <tp>
        <v>-100</v>
        <stp/>
        <stp>bse_cm|955ICCL25A</stp>
        <stp>% Change</stp>
        <tr r="J1143" s="1"/>
      </tp>
      <tp>
        <v>455</v>
        <stp/>
        <stp>nse_cm|0SCL27-YW</stp>
        <stp>Ask Qty</stp>
        <tr r="G1616" s="1"/>
      </tp>
      <tp>
        <v>41</v>
        <stp/>
        <stp>nse_cm|0SCL26-YR</stp>
        <stp>Ask Qty</stp>
        <tr r="G1622" s="1"/>
      </tp>
      <tp>
        <v>5</v>
        <stp/>
        <stp>nse_cm|9SCL25-YM</stp>
        <stp>Ask Qty</stp>
        <tr r="G97" s="1"/>
      </tp>
      <tp>
        <v>-100</v>
        <stp/>
        <stp>bse_cm|966ICCL25A</stp>
        <stp>% Change</stp>
        <tr r="J846" s="1"/>
      </tp>
      <tp t="s">
        <v>865LTF26-NN</v>
        <stp/>
        <stp>nse_cm|865LTF26-NN</stp>
        <stp>Trading Symbol</stp>
        <tr r="B392" s="1"/>
      </tp>
      <tp>
        <v>800</v>
        <stp/>
        <stp>nse_cm|925SCL26-NR</stp>
        <stp xml:space="preserve">Low </stp>
        <tr r="O991" s="1"/>
      </tp>
      <tp t="s">
        <v>901NHB34-N6</v>
        <stp/>
        <stp>nse_cm|901NHB34-N6</stp>
        <stp>Trading Symbol</stp>
        <tr r="B520" s="1"/>
      </tp>
      <tp t="s">
        <v>865NHB34-N4</v>
        <stp/>
        <stp>nse_cm|865NHB34-N4</stp>
        <stp>Trading Symbol</stp>
        <tr r="B1166" s="1"/>
      </tp>
      <tp t="s">
        <v>890NHB34-N7</v>
        <stp/>
        <stp>nse_cm|890NHB34-N7</stp>
        <stp>Trading Symbol</stp>
        <tr r="B537" s="1"/>
      </tp>
      <tp>
        <v>0</v>
        <stp/>
        <stp>nse_cm|ICCL25-NS</stp>
        <stp>Ask Qty</stp>
        <tr r="G1401" s="1"/>
      </tp>
      <tp t="s">
        <v>INE148I07TP7</v>
        <stp/>
        <stp>nse_cm|1075SCL34-ZR</stp>
        <stp>Isin code</stp>
        <tr r="R1366" s="1"/>
      </tp>
      <tp>
        <v>938</v>
        <stp/>
        <stp>nse_cm|943ECL28-NJ</stp>
        <stp>High</stp>
        <tr r="N94" s="1"/>
      </tp>
      <tp>
        <v>6000</v>
        <stp/>
        <stp>nse_cm|890NHB34-N7</stp>
        <stp>High</stp>
        <tr r="N537" s="1"/>
      </tp>
      <tp>
        <v>25</v>
        <stp/>
        <stp>nse_cm|91MOFSL27-N2</stp>
        <stp>Bid Qty</stp>
        <tr r="D1611" s="1"/>
      </tp>
      <tp>
        <v>5950</v>
        <stp/>
        <stp>nse_cm|893NHB29-N6</stp>
        <stp>High</stp>
        <tr r="N529" s="1"/>
      </tp>
      <tp>
        <v>991</v>
        <stp/>
        <stp>nse_cm|975NFL25-N0</stp>
        <stp>High</stp>
        <tr r="N256" s="1"/>
      </tp>
      <tp>
        <v>1050.01</v>
        <stp/>
        <stp>nse_cm|11DLSL25-NV</stp>
        <stp xml:space="preserve">Low </stp>
        <tr r="O48" s="1"/>
      </tp>
      <tp>
        <v>1169.99</v>
        <stp/>
        <stp>bse_cm|IML28C</stp>
        <stp xml:space="preserve">Low </stp>
        <tr r="O1648" s="1"/>
      </tp>
      <tp>
        <v>-100</v>
        <stp/>
        <stp>bse_cm|1025NWFL30</stp>
        <stp>% Change</stp>
        <tr r="J1026" s="1"/>
      </tp>
      <tp>
        <v>0</v>
        <stp/>
        <stp>nse_cm|1015ECL29-NR</stp>
        <stp>% Change</stp>
        <tr r="J204" s="1"/>
      </tp>
      <tp>
        <v>0</v>
        <stp/>
        <stp>nse_cm|1015SCL28-NR</stp>
        <stp>% Change</stp>
        <tr r="J288" s="1"/>
      </tp>
      <tp>
        <v>-2.5</v>
        <stp/>
        <stp>bse_cm|1045NIDO33</stp>
        <stp>% Change</stp>
        <tr r="J71" s="1"/>
      </tp>
      <tp t="s">
        <v>IIFLZC25-ND</v>
        <stp/>
        <stp>nse_cm|IIFLZC25-ND</stp>
        <stp>Trading Symbol</stp>
        <tr r="B1742" s="1"/>
      </tp>
      <tp>
        <v>0</v>
        <stp/>
        <stp>nse_cm|921ISFL25-N0</stp>
        <stp>% Change</stp>
        <tr r="J287" s="1"/>
      </tp>
      <tp>
        <v>970</v>
        <stp/>
        <stp>nse_cm|9IIFL28A-NT</stp>
        <stp>High</stp>
        <tr r="N80" s="1"/>
      </tp>
      <tp>
        <v>-100</v>
        <stp/>
        <stp>bse_cm|825MFL2026</stp>
        <stp>% Change</stp>
        <tr r="J318" s="1"/>
      </tp>
      <tp>
        <v>1047.8</v>
        <stp/>
        <stp>nse_cm|94IFCI25-NL</stp>
        <stp xml:space="preserve">Low </stp>
        <tr r="O235" s="1"/>
      </tp>
      <tp>
        <v>863.95</v>
        <stp/>
        <stp>bse_cm|KAFLZC30</stp>
        <stp>Bid Rate</stp>
        <tr r="E1314" s="1"/>
      </tp>
      <tp>
        <v>-100</v>
        <stp/>
        <stp>bse_cm|NIDO010326</stp>
        <stp>% Change</stp>
        <tr r="J1248" s="1"/>
      </tp>
      <tp>
        <v>-100</v>
        <stp/>
        <stp>bse_cm|875KFL2025</stp>
        <stp>% Change</stp>
        <tr r="J1158" s="1"/>
      </tp>
      <tp>
        <v>0</v>
        <stp/>
        <stp>nse_cm|1119NFL27-ND</stp>
        <stp>% Change</stp>
        <tr r="J337" s="1"/>
      </tp>
      <tp>
        <v>-100</v>
        <stp/>
        <stp>bse_cm|NIDO010327</stp>
        <stp>% Change</stp>
        <tr r="J1247" s="1"/>
      </tp>
      <tp t="s">
        <v>INE148I07RD7</v>
        <stp/>
        <stp>nse_cm|965SCL25B-Y1</stp>
        <stp>Isin code</stp>
        <tr r="R1502" s="1"/>
      </tp>
      <tp>
        <v>1000</v>
        <stp/>
        <stp>bse_cm|1075CCIL26</stp>
        <stp>Face Value</stp>
        <tr r="Q1120" s="1"/>
      </tp>
      <tp>
        <v>1000</v>
        <stp/>
        <stp>bse_cm|1075CCIL25</stp>
        <stp>Face Value</stp>
        <tr r="Q1121" s="1"/>
      </tp>
      <tp>
        <v>4.08</v>
        <stp/>
        <stp>bse_cm|1026NHFL34</stp>
        <stp>% Change</stp>
        <tr r="J155" s="1"/>
      </tp>
      <tp>
        <v>-100</v>
        <stp/>
        <stp>bse_cm|1075NHFL34</stp>
        <stp>% Change</stp>
        <tr r="J1553" s="1"/>
      </tp>
      <tp>
        <v>50</v>
        <stp/>
        <stp>bse_cm|MFLZC32</stp>
        <stp>Bid Qty</stp>
        <tr r="D1266" s="1"/>
      </tp>
      <tp>
        <v>100</v>
        <stp/>
        <stp>bse_cm|MFLZC30</stp>
        <stp>Bid Qty</stp>
        <tr r="D1267" s="1"/>
      </tp>
      <tp>
        <v>-100</v>
        <stp/>
        <stp>bse_cm|1026NIDO34</stp>
        <stp>% Change</stp>
        <tr r="J1018" s="1"/>
      </tp>
      <tp>
        <v>-100</v>
        <stp/>
        <stp>bse_cm|1075NIDO34</stp>
        <stp>% Change</stp>
        <tr r="J1021" s="1"/>
      </tp>
      <tp>
        <v>5</v>
        <stp/>
        <stp>bse_cm|MFLZC26</stp>
        <stp>Bid Qty</stp>
        <tr r="D1720" s="1"/>
      </tp>
      <tp>
        <v>50</v>
        <stp/>
        <stp>bse_cm|MFLZC27</stp>
        <stp>Bid Qty</stp>
        <tr r="D1271" s="1"/>
      </tp>
      <tp>
        <v>170</v>
        <stp/>
        <stp>bse_cm|MFLZC25</stp>
        <stp>Bid Qty</stp>
        <tr r="D1683" s="1"/>
      </tp>
      <tp t="s">
        <v>NIDOZC26-N7</v>
        <stp/>
        <stp>nse_cm|NIDOZC26-N7</stp>
        <stp>Trading Symbol</stp>
        <tr r="B28" s="1"/>
      </tp>
      <tp>
        <v>1000</v>
        <stp/>
        <stp>nse_cm|875TCAPS29-NB</stp>
        <stp>Prev Close</stp>
        <tr r="P934" s="1"/>
      </tp>
      <tp>
        <v>170</v>
        <stp/>
        <stp>bse_cm|MHLZC26</stp>
        <stp>Bid Qty</stp>
        <tr r="D1522" s="1"/>
      </tp>
      <tp>
        <v>-100</v>
        <stp/>
        <stp>bse_cm|NIDO010329</stp>
        <stp>% Change</stp>
        <tr r="J1246" s="1"/>
      </tp>
      <tp>
        <v>1000</v>
        <stp/>
        <stp>bse_cm|SCL22</stp>
        <stp>Prev Close</stp>
        <tr r="P1239" s="1"/>
      </tp>
      <tp>
        <v>1170.25</v>
        <stp/>
        <stp>bse_cm|SCL25</stp>
        <stp>Prev Close</stp>
        <tr r="P1234" s="1"/>
      </tp>
      <tp>
        <v>1087.8</v>
        <stp/>
        <stp>bse_cm|SCL24</stp>
        <stp>Prev Close</stp>
        <tr r="P1377" s="1"/>
      </tp>
      <tp>
        <v>0</v>
        <stp/>
        <stp>nse_cm|935LTF29-N5</stp>
        <stp>ATP</stp>
        <tr r="K395" s="1"/>
      </tp>
      <tp>
        <v>1056</v>
        <stp/>
        <stp>nse_cm|905LTF27-NF</stp>
        <stp>ATP</stp>
        <tr r="K393" s="1"/>
      </tp>
      <tp>
        <v>1000</v>
        <stp/>
        <stp>bse_cm|1225ICLF26</stp>
        <stp>Face Value</stp>
        <tr r="Q1217" s="1"/>
      </tp>
      <tp>
        <v>-100</v>
        <stp/>
        <stp>bse_cm|810MFL2028</stp>
        <stp>% Change</stp>
        <tr r="J651" s="1"/>
      </tp>
      <tp t="s">
        <v>950KLMF26</v>
        <stp/>
        <stp>bse_cm|950KLMF26</stp>
        <stp>Trading Symbol</stp>
        <tr r="B278" s="1"/>
      </tp>
      <tp t="s">
        <v>INE414G07HG1</v>
        <stp/>
        <stp>bse_cm|MFLZC27</stp>
        <stp>Isin code</stp>
        <tr r="R1271" s="1"/>
      </tp>
      <tp t="s">
        <v>INE403Q07BL6</v>
        <stp/>
        <stp>bse_cm|KFLZC27</stp>
        <stp>Isin code</stp>
        <tr r="R1292" s="1"/>
      </tp>
      <tp t="s">
        <v>916NWIL27</v>
        <stp/>
        <stp>bse_cm|916NWIL27</stp>
        <stp>Trading Symbol</stp>
        <tr r="B209" s="1"/>
      </tp>
      <tp t="s">
        <v>INE027E07AN7</v>
        <stp/>
        <stp>bse_cm|87LTF27</stp>
        <stp>Isin code</stp>
        <tr r="R412" s="1"/>
      </tp>
      <tp t="s">
        <v>115CCIL28</v>
        <stp/>
        <stp>bse_cm|115CCIL28</stp>
        <stp>Trading Symbol</stp>
        <tr r="B382" s="1"/>
      </tp>
      <tp t="s">
        <v>915NWIL25</v>
        <stp/>
        <stp>bse_cm|915NWIL25</stp>
        <stp>Trading Symbol</stp>
        <tr r="B620" s="1"/>
      </tp>
      <tp t="s">
        <v>MML27524A</v>
        <stp/>
        <stp>bse_cm|MML27524A</stp>
        <stp>Trading Symbol</stp>
        <tr r="B1250" s="1"/>
      </tp>
      <tp t="s">
        <v>INE414G07GM1</v>
        <stp/>
        <stp>bse_cm|MFLII27</stp>
        <stp>Isin code</stp>
        <tr r="R648" s="1"/>
      </tp>
      <tp t="s">
        <v>888IHFL25F</v>
        <stp/>
        <stp>nse_cm|888IHFL25F-NC</stp>
        <stp>Symbol</stp>
        <tr r="A343" s="1"/>
      </tp>
      <tp t="s">
        <v>CAGL25-N8</v>
        <stp/>
        <stp>nse_cm|CAGL25-N8</stp>
        <stp>Trading Symbol</stp>
        <tr r="B710" s="1"/>
      </tp>
      <tp t="s">
        <v>ABFL26-N1</v>
        <stp/>
        <stp>nse_cm|ABFL26-N1</stp>
        <stp>Trading Symbol</stp>
        <tr r="B1679" s="1"/>
      </tp>
      <tp t="s">
        <v>INE342T07478</v>
        <stp/>
        <stp>bse_cm|10NFL25</stp>
        <stp>Isin code</stp>
        <tr r="R1568" s="1"/>
      </tp>
      <tp t="s">
        <v>INE549K07CS2</v>
        <stp/>
        <stp>bse_cm|89MFL26</stp>
        <stp>Isin code</stp>
        <tr r="R250" s="1"/>
      </tp>
      <tp t="s">
        <v>925ICCL25I</v>
        <stp/>
        <stp>nse_cm|925ICCL25I-NP</stp>
        <stp>Symbol</stp>
        <tr r="A777" s="1"/>
      </tp>
      <tp t="s">
        <v>INE306N08284</v>
        <stp/>
        <stp>bse_cm|9TCAP28</stp>
        <stp>Isin code</stp>
        <tr r="R545" s="1"/>
      </tp>
      <tp t="s">
        <v>10KFIL27</v>
        <stp/>
        <stp>bse_cm|10KFIL27</stp>
        <stp>Symbol</stp>
        <tr r="A183" s="1"/>
      </tp>
      <tp t="s">
        <v>11CCIL27</v>
        <stp/>
        <stp>bse_cm|11CCIL27</stp>
        <stp>Symbol</stp>
        <tr r="A691" s="1"/>
      </tp>
      <tp t="s">
        <v>11CCIL26</v>
        <stp/>
        <stp>bse_cm|11CCIL26</stp>
        <stp>Symbol</stp>
        <tr r="A625" s="1"/>
      </tp>
      <tp>
        <v>0</v>
        <stp/>
        <stp>bse_cm|MFLTDVII27</stp>
        <stp>LTP</stp>
        <tr r="H1562" s="1"/>
      </tp>
      <tp t="s">
        <v>00:00:00</v>
        <stp/>
        <stp>bse_cm|MFLTDVII27</stp>
        <stp>LTT</stp>
        <tr r="I1562" s="1"/>
      </tp>
      <tp t="s">
        <v>00:00:00</v>
        <stp/>
        <stp>bse_cm|MFLTDIII24</stp>
        <stp>LTT</stp>
        <tr r="I1721" s="1"/>
      </tp>
      <tp>
        <v>0</v>
        <stp/>
        <stp>bse_cm|MFLTDIII24</stp>
        <stp>LTP</stp>
        <tr r="H1721" s="1"/>
      </tp>
      <tp t="s">
        <v>940SCL26A</v>
        <stp/>
        <stp>bse_cm|940SCL26A</stp>
        <stp>Trading Symbol</stp>
        <tr r="B920" s="1"/>
      </tp>
      <tp t="s">
        <v>940SCL26B</v>
        <stp/>
        <stp>bse_cm|940SCL26B</stp>
        <stp>Trading Symbol</stp>
        <tr r="B905" s="1"/>
      </tp>
      <tp t="s">
        <v>940SCL26C</v>
        <stp/>
        <stp>bse_cm|940SCL26C</stp>
        <stp>Trading Symbol</stp>
        <tr r="B794" s="1"/>
      </tp>
      <tp t="s">
        <v>944MFL28A</v>
        <stp/>
        <stp>bse_cm|944MFL28A</stp>
        <stp>Trading Symbol</stp>
        <tr r="B1073" s="1"/>
      </tp>
      <tp t="s">
        <v>948SCL27A</v>
        <stp/>
        <stp>bse_cm|948SCL27A</stp>
        <stp>Trading Symbol</stp>
        <tr r="B697" s="1"/>
      </tp>
      <tp t="s">
        <v>948SCL26I</v>
        <stp/>
        <stp>bse_cm|948SCL26I</stp>
        <stp>Trading Symbol</stp>
        <tr r="B1080" s="1"/>
      </tp>
      <tp t="s">
        <v>948SCL26D</v>
        <stp/>
        <stp>bse_cm|948SCL26D</stp>
        <stp>Trading Symbol</stp>
        <tr r="B1081" s="1"/>
      </tp>
      <tp t="s">
        <v>948SCL26A</v>
        <stp/>
        <stp>bse_cm|948SCL26A</stp>
        <stp>Trading Symbol</stp>
        <tr r="B494" s="1"/>
      </tp>
      <tp t="s">
        <v>948SCL26B</v>
        <stp/>
        <stp>bse_cm|948SCL26B</stp>
        <stp>Trading Symbol</stp>
        <tr r="B470" s="1"/>
      </tp>
      <tp t="s">
        <v>IIFLHFZC27</v>
        <stp/>
        <stp>nse_cm|IIFLHFZC27-NB</stp>
        <stp>Symbol</stp>
        <tr r="A1672" s="1"/>
      </tp>
      <tp>
        <v>170</v>
        <stp/>
        <stp>nse_cm|ICCL25-NS</stp>
        <stp>Bid Qty</stp>
        <tr r="D1401" s="1"/>
      </tp>
      <tp>
        <v>-100</v>
        <stp/>
        <stp>bse_cm|984ICCL26A</stp>
        <stp>% Change</stp>
        <tr r="J883" s="1"/>
      </tp>
      <tp>
        <v>0</v>
        <stp/>
        <stp>nse_cm|990SCL27-YT</stp>
        <stp>Open</stp>
        <tr r="M1024" s="1"/>
      </tp>
      <tp t="s">
        <v>11DLSL25-NV</v>
        <stp/>
        <stp>nse_cm|11DLSL25-NV</stp>
        <stp>Trading Symbol</stp>
        <tr r="B48" s="1"/>
      </tp>
      <tp>
        <v>991</v>
        <stp/>
        <stp>nse_cm|81ABFL33-N5</stp>
        <stp xml:space="preserve">Low </stp>
        <tr r="O1588" s="1"/>
      </tp>
      <tp t="s">
        <v>INE134E07208</v>
        <stp/>
        <stp>nse_cm|830PFCL27-N5</stp>
        <stp>Isin code</stp>
        <tr r="R400" s="1"/>
      </tp>
      <tp>
        <v>-100</v>
        <stp/>
        <stp>bse_cm|1125KLM26A</stp>
        <stp>% Change</stp>
        <tr r="J1226" s="1"/>
      </tp>
      <tp t="e">
        <v>#N/A</v>
        <stp/>
        <stp>bse_cm|1075IML24A</stp>
        <stp>% Change</stp>
        <tr r="J32" s="1"/>
      </tp>
      <tp>
        <v>974</v>
        <stp/>
        <stp>nse_cm|915SCL26-NE</stp>
        <stp xml:space="preserve">Low </stp>
        <tr r="O58" s="1"/>
      </tp>
      <tp>
        <v>925</v>
        <stp/>
        <stp>bse_cm|EFSL29</stp>
        <stp>High</stp>
        <tr r="N659" s="1"/>
      </tp>
      <tp>
        <v>1047.55</v>
        <stp/>
        <stp>bse_cm|EFSL28</stp>
        <stp>High</stp>
        <tr r="N1609" s="1"/>
      </tp>
      <tp>
        <v>970</v>
        <stp/>
        <stp>nse_cm|975SCL28-NT</stp>
        <stp>High</stp>
        <tr r="N142" s="1"/>
      </tp>
      <tp>
        <v>1000</v>
        <stp/>
        <stp>bse_cm|EFSLZC25</stp>
        <stp>Face Value</stp>
        <tr r="Q1741" s="1"/>
      </tp>
      <tp>
        <v>1000</v>
        <stp/>
        <stp>bse_cm|EFSLZC26</stp>
        <stp>Face Value</stp>
        <tr r="Q1712" s="1"/>
      </tp>
      <tp>
        <v>1000</v>
        <stp/>
        <stp>bse_cm|EFSLZC28</stp>
        <stp>Face Value</stp>
        <tr r="Q1637" s="1"/>
      </tp>
      <tp>
        <v>1050.55</v>
        <stp/>
        <stp>bse_cm|EFSL27</stp>
        <stp>High</stp>
        <tr r="N1531" s="1"/>
      </tp>
      <tp>
        <v>1213.2</v>
        <stp/>
        <stp>bse_cm|EFSL26</stp>
        <stp>High</stp>
        <tr r="N1687" s="1"/>
      </tp>
      <tp>
        <v>1175.45</v>
        <stp/>
        <stp>nse_cm|IIFLHFZC27-NB</stp>
        <stp>LTP</stp>
        <tr r="H1672" s="1"/>
      </tp>
      <tp t="s">
        <v/>
        <stp/>
        <stp>nse_cm|IIFLHFZC27-NB</stp>
        <stp>LTT</stp>
        <tr r="I1672" s="1"/>
      </tp>
      <tp>
        <v>1000</v>
        <stp/>
        <stp>bse_cm|1025SCL34A</stp>
        <stp>Face Value</stp>
        <tr r="Q672" s="1"/>
      </tp>
      <tp>
        <v>900</v>
        <stp/>
        <stp>bse_cm|1025SCL33A</stp>
        <stp>Face Value</stp>
        <tr r="Q835" s="1"/>
      </tp>
      <tp>
        <v>1117.2</v>
        <stp/>
        <stp>bse_cm|EFSL25</stp>
        <stp>High</stp>
        <tr r="N1694" s="1"/>
      </tp>
      <tp>
        <v>1000</v>
        <stp/>
        <stp>bse_cm|1025SFL25A</stp>
        <stp>Face Value</stp>
        <tr r="Q1070" s="1"/>
      </tp>
      <tp>
        <v>1000</v>
        <stp/>
        <stp>bse_cm|1025KFL26B</stp>
        <stp>Face Value</stp>
        <tr r="Q1422" s="1"/>
      </tp>
      <tp>
        <v>1000</v>
        <stp/>
        <stp>bse_cm|1025KFL26C</stp>
        <stp>Face Value</stp>
        <tr r="Q459" s="1"/>
      </tp>
      <tp>
        <v>1000</v>
        <stp/>
        <stp>bse_cm|1025KFL26A</stp>
        <stp>Face Value</stp>
        <tr r="Q525" s="1"/>
      </tp>
      <tp>
        <v>1000</v>
        <stp/>
        <stp>bse_cm|1025KFL27A</stp>
        <stp>Face Value</stp>
        <tr r="Q89" s="1"/>
      </tp>
      <tp>
        <v>1000</v>
        <stp/>
        <stp>bse_cm|SFL270224A</stp>
        <stp>Face Value</stp>
        <tr r="Q807" s="1"/>
      </tp>
      <tp>
        <v>-100</v>
        <stp/>
        <stp>bse_cm|1025KFL26A</stp>
        <stp>% Change</stp>
        <tr r="J525" s="1"/>
      </tp>
      <tp>
        <v>1000</v>
        <stp/>
        <stp>bse_cm|IML1622024</stp>
        <stp>Face Value</stp>
        <tr r="Q1328" s="1"/>
      </tp>
      <tp>
        <v>-100</v>
        <stp/>
        <stp>bse_cm|1010EFS28A</stp>
        <stp>% Change</stp>
        <tr r="J78" s="1"/>
      </tp>
      <tp>
        <v>1000</v>
        <stp/>
        <stp>bse_cm|IFL1942024</stp>
        <stp>Face Value</stp>
        <tr r="Q1594" s="1"/>
      </tp>
      <tp>
        <v>-100</v>
        <stp/>
        <stp>bse_cm|1025KFL26B</stp>
        <stp>% Change</stp>
        <tr r="J1422" s="1"/>
      </tp>
      <tp>
        <v>1000</v>
        <stp/>
        <stp>bse_cm|SFL2722024</stp>
        <stp>Face Value</stp>
        <tr r="Q806" s="1"/>
      </tp>
      <tp>
        <v>-100</v>
        <stp/>
        <stp>bse_cm|1025KFL26C</stp>
        <stp>% Change</stp>
        <tr r="J459" s="1"/>
      </tp>
      <tp>
        <v>821</v>
        <stp/>
        <stp>bse_cm|CAGL28</stp>
        <stp xml:space="preserve">Low </stp>
        <tr r="O757" s="1"/>
      </tp>
      <tp t="s">
        <v>NSE</v>
        <stp/>
        <stp>nse_cm|96SFL24A-NB</stp>
        <stp>Exchange</stp>
        <tr r="C162" s="1"/>
      </tp>
      <tp>
        <v>1020</v>
        <stp/>
        <stp>nse_cm|9ICCL23A-N0</stp>
        <stp>High</stp>
        <tr r="N657" s="1"/>
      </tp>
      <tp>
        <v>999.02</v>
        <stp/>
        <stp>bse_cm|MFLZC29A</stp>
        <stp>Bid Rate</stp>
        <tr r="E1554" s="1"/>
      </tp>
      <tp>
        <v>0</v>
        <stp/>
        <stp>nse_cm|769IGT28-NH</stp>
        <stp>Open</stp>
        <tr r="M1487" s="1"/>
      </tp>
      <tp>
        <v>850.3</v>
        <stp/>
        <stp>bse_cm|CIFC26</stp>
        <stp xml:space="preserve">Low </stp>
        <tr r="O742" s="1"/>
      </tp>
      <tp>
        <v>1374.7</v>
        <stp/>
        <stp>nse_cm|886REC34-NG</stp>
        <stp>High</stp>
        <tr r="N536" s="1"/>
      </tp>
      <tp>
        <v>12</v>
        <stp/>
        <stp>nse_cm|0SCL26-YR</stp>
        <stp>Bid Qty</stp>
        <tr r="D1622" s="1"/>
      </tp>
      <tp>
        <v>10</v>
        <stp/>
        <stp>nse_cm|0SCL27-YW</stp>
        <stp>Bid Qty</stp>
        <tr r="D1616" s="1"/>
      </tp>
      <tp>
        <v>5</v>
        <stp/>
        <stp>nse_cm|9SCL25-YM</stp>
        <stp>Bid Qty</stp>
        <tr r="D97" s="1"/>
      </tp>
      <tp>
        <v>1083</v>
        <stp/>
        <stp>bse_cm|CIFC28</stp>
        <stp xml:space="preserve">Low </stp>
        <tr r="O1529" s="1"/>
      </tp>
      <tp>
        <v>1201.5</v>
        <stp/>
        <stp>nse_cm|888REC29-NF</stp>
        <stp>High</stp>
        <tr r="N522" s="1"/>
      </tp>
      <tp>
        <v>1190</v>
        <stp/>
        <stp>bse_cm|CAGL24</stp>
        <stp xml:space="preserve">Low </stp>
        <tr r="O1761" s="1"/>
      </tp>
      <tp>
        <v>943</v>
        <stp/>
        <stp>nse_cm|879SCL26-NC</stp>
        <stp>High</stp>
        <tr r="N720" s="1"/>
      </tp>
      <tp>
        <v>950</v>
        <stp/>
        <stp>bse_cm|CAGL25</stp>
        <stp xml:space="preserve">Low </stp>
        <tr r="O1061" s="1"/>
      </tp>
      <tp>
        <v>1000</v>
        <stp/>
        <stp>bse_cm|CAGL26</stp>
        <stp xml:space="preserve">Low </stp>
        <tr r="O708" s="1"/>
      </tp>
      <tp t="s">
        <v>INE148I07PN0</v>
        <stp/>
        <stp>nse_cm|1003SCL30-BW</stp>
        <stp>Isin code</stp>
        <tr r="R876" s="1"/>
      </tp>
      <tp>
        <v>0</v>
        <stp/>
        <stp>bse_cm|CAGL27</stp>
        <stp xml:space="preserve">Low </stp>
        <tr r="O734" s="1"/>
      </tp>
      <tp>
        <v>1059.8</v>
        <stp/>
        <stp>nse_cm|0MOFSL26-N1</stp>
        <stp>Ask Rate</stp>
        <tr r="F1644" s="1"/>
      </tp>
      <tp>
        <v>0</v>
        <stp/>
        <stp>nse_cm|0MOFSL27-N3</stp>
        <stp>Ask Rate</stp>
        <tr r="F1038" s="1"/>
      </tp>
      <tp>
        <v>1000</v>
        <stp/>
        <stp>nse_cm|76IGT26-ND</stp>
        <stp>Face Value</stp>
        <tr r="Q527" s="1"/>
      </tp>
      <tp>
        <v>1000</v>
        <stp/>
        <stp>nse_cm|85IFL26-NX</stp>
        <stp>Face Value</stp>
        <tr r="Q1388" s="1"/>
      </tp>
      <tp>
        <v>1008.73</v>
        <stp/>
        <stp>nse_cm|965AEL27-N4</stp>
        <stp>High</stp>
        <tr r="N254" s="1"/>
      </tp>
      <tp>
        <v>-100</v>
        <stp/>
        <stp>bse_cm|1025NWFL25</stp>
        <stp>% Change</stp>
        <tr r="J154" s="1"/>
      </tp>
      <tp>
        <v>1347.8</v>
        <stp/>
        <stp>bse_cm|JMFPZC26</stp>
        <stp>Bid Rate</stp>
        <tr r="E1323" s="1"/>
      </tp>
      <tp>
        <v>1025</v>
        <stp/>
        <stp>bse_cm|MFLZC29A</stp>
        <stp>Prev Close</stp>
        <tr r="P1554" s="1"/>
      </tp>
      <tp>
        <v>1402</v>
        <stp/>
        <stp>bse_cm|MFLZC28E</stp>
        <stp>Prev Close</stp>
        <tr r="P1269" s="1"/>
      </tp>
      <tp>
        <v>1199</v>
        <stp/>
        <stp>bse_cm|MFLZC28F</stp>
        <stp>Prev Close</stp>
        <tr r="P1268" s="1"/>
      </tp>
      <tp>
        <v>1605</v>
        <stp/>
        <stp>bse_cm|MFLZC27D</stp>
        <stp>Prev Close</stp>
        <tr r="P1700" s="1"/>
      </tp>
      <tp>
        <v>1300</v>
        <stp/>
        <stp>bse_cm|MFLZC27E</stp>
        <stp>Prev Close</stp>
        <tr r="P1677" s="1"/>
      </tp>
      <tp>
        <v>1010</v>
        <stp/>
        <stp>bse_cm|MFLZC27F</stp>
        <stp>Prev Close</stp>
        <tr r="P1566" s="1"/>
      </tp>
      <tp>
        <v>1153.56</v>
        <stp/>
        <stp>bse_cm|MFLZC27A</stp>
        <stp>Prev Close</stp>
        <tr r="P1270" s="1"/>
      </tp>
      <tp>
        <v>1564.99</v>
        <stp/>
        <stp>bse_cm|MFLZC27B</stp>
        <stp>Prev Close</stp>
        <tr r="P1697" s="1"/>
      </tp>
      <tp>
        <v>1405</v>
        <stp/>
        <stp>bse_cm|MFLZC27C</stp>
        <stp>Prev Close</stp>
        <tr r="P1411" s="1"/>
      </tp>
      <tp>
        <v>1279.5</v>
        <stp/>
        <stp>bse_cm|MFLZC26D</stp>
        <stp>Prev Close</stp>
        <tr r="P1440" s="1"/>
      </tp>
      <tp>
        <v>1051</v>
        <stp/>
        <stp>bse_cm|MFLZC26E</stp>
        <stp>Prev Close</stp>
        <tr r="P1651" s="1"/>
      </tp>
      <tp>
        <v>1657</v>
        <stp/>
        <stp>bse_cm|MFLZC26A</stp>
        <stp>Prev Close</stp>
        <tr r="P1715" s="1"/>
      </tp>
      <tp>
        <v>1321</v>
        <stp/>
        <stp>bse_cm|MFLZC26B</stp>
        <stp>Prev Close</stp>
        <tr r="P1272" s="1"/>
      </tp>
      <tp>
        <v>1300</v>
        <stp/>
        <stp>bse_cm|MFLZC26C</stp>
        <stp>Prev Close</stp>
        <tr r="P1350" s="1"/>
      </tp>
      <tp>
        <v>1387.8</v>
        <stp/>
        <stp>bse_cm|MFLZC25D</stp>
        <stp>Prev Close</stp>
        <tr r="P1520" s="1"/>
      </tp>
      <tp>
        <v>1535.68</v>
        <stp/>
        <stp>bse_cm|MFLZC25A</stp>
        <stp>Prev Close</stp>
        <tr r="P1757" s="1"/>
      </tp>
      <tp>
        <v>1503.54</v>
        <stp/>
        <stp>bse_cm|MFLZC25B</stp>
        <stp>Prev Close</stp>
        <tr r="P1273" s="1"/>
      </tp>
      <tp>
        <v>1271</v>
        <stp/>
        <stp>bse_cm|MFLZC25C</stp>
        <stp>Prev Close</stp>
        <tr r="P1579" s="1"/>
      </tp>
      <tp>
        <v>1549.8</v>
        <stp/>
        <stp>bse_cm|MFLZC24D</stp>
        <stp>Prev Close</stp>
        <tr r="P1550" s="1"/>
      </tp>
      <tp>
        <v>1560</v>
        <stp/>
        <stp>bse_cm|MFLZC24C</stp>
        <stp>Prev Close</stp>
        <tr r="P1551" s="1"/>
      </tp>
      <tp>
        <v>1351.4</v>
        <stp/>
        <stp>bse_cm|JMFPZC25</stp>
        <stp>Bid Rate</stp>
        <tr r="E1324" s="1"/>
      </tp>
      <tp>
        <v>5747.01</v>
        <stp/>
        <stp>nse_cm|888NHB29-N5</stp>
        <stp>High</stp>
        <tr r="N504" s="1"/>
      </tp>
      <tp>
        <v>0</v>
        <stp/>
        <stp>nse_cm|760PFCL35-N3</stp>
        <stp>% Change</stp>
        <tr r="J22" s="1"/>
      </tp>
      <tp>
        <v>950</v>
        <stp/>
        <stp>nse_cm|865SCL26-N8</stp>
        <stp>High</stp>
        <tr r="N310" s="1"/>
      </tp>
      <tp>
        <v>0</v>
        <stp/>
        <stp>nse_cm|810TCHFL27-ND</stp>
        <stp>Prev Close</stp>
        <tr r="P1016" s="1"/>
      </tp>
      <tp>
        <v>-0.83</v>
        <stp/>
        <stp>nse_cm|830PFCL27-N5</stp>
        <stp>% Change</stp>
        <tr r="J400" s="1"/>
      </tp>
      <tp>
        <v>1000</v>
        <stp/>
        <stp>nse_cm|875PCHFL31-N9</stp>
        <stp>Prev Close</stp>
        <tr r="P1012" s="1"/>
      </tp>
      <tp>
        <v>100000</v>
        <stp/>
        <stp>nse_cm|1048IIFL27-N6</stp>
        <stp>Prev Close</stp>
        <tr r="P997" s="1"/>
      </tp>
      <tp>
        <v>-100</v>
        <stp/>
        <stp>bse_cm|IML1622024</stp>
        <stp>% Change</stp>
        <tr r="J1328" s="1"/>
      </tp>
      <tp>
        <v>-0.06</v>
        <stp/>
        <stp>nse_cm|875NHAI29-N6</stp>
        <stp>% Change</stp>
        <tr r="J495" s="1"/>
      </tp>
      <tp>
        <v>0</v>
        <stp/>
        <stp>nse_cm|960ISFL25-N1</stp>
        <stp>% Change</stp>
        <tr r="J1695" s="1"/>
      </tp>
      <tp>
        <v>1050</v>
        <stp/>
        <stp>nse_cm|905PEL26-N1</stp>
        <stp xml:space="preserve">Low </stp>
        <tr r="O500" s="1"/>
      </tp>
      <tp t="s">
        <v>INE148I07ND6</v>
        <stp/>
        <stp>nse_cm|965SCL25C-N0</stp>
        <stp>Isin code</stp>
        <tr r="R507" s="1"/>
      </tp>
      <tp>
        <v>970.3</v>
        <stp/>
        <stp>bse_cm|CIFCZC28</stp>
        <stp>Bid Rate</stp>
        <tr r="E736" s="1"/>
      </tp>
      <tp>
        <v>1185.4000000000001</v>
        <stp/>
        <stp>bse_cm|MMFLZC27</stp>
        <stp>Bid Rate</stp>
        <tr r="E1462" s="1"/>
      </tp>
      <tp>
        <v>941</v>
        <stp/>
        <stp>bse_cm|8MFLTD26</stp>
        <stp>Bid Rate</stp>
        <tr r="E321" s="1"/>
      </tp>
      <tp>
        <v>0</v>
        <stp/>
        <stp>nse_cm|980IFSL25-N5</stp>
        <stp>% Change</stp>
        <tr r="J476" s="1"/>
      </tp>
      <tp>
        <v>0</v>
        <stp/>
        <stp>bse_cm|MMFLZC26</stp>
        <stp>Bid Rate</stp>
        <tr r="E1261" s="1"/>
      </tp>
      <tp>
        <v>1465.85</v>
        <stp/>
        <stp>bse_cm|MHFLZC26</stp>
        <stp>Bid Rate</stp>
        <tr r="E1714" s="1"/>
      </tp>
      <tp>
        <v>1116.8</v>
        <stp/>
        <stp>bse_cm|IIFLZC26</stp>
        <stp>Bid Rate</stp>
        <tr r="E1236" s="1"/>
      </tp>
      <tp>
        <v>1457.41</v>
        <stp/>
        <stp>bse_cm|KAFLZC26</stp>
        <stp>Bid Rate</stp>
        <tr r="E1316" s="1"/>
      </tp>
      <tp>
        <v>825.2</v>
        <stp/>
        <stp>bse_cm|9SFL2026</stp>
        <stp>Bid Rate</stp>
        <tr r="E1473" s="1"/>
      </tp>
      <tp>
        <v>985.25</v>
        <stp/>
        <stp>bse_cm|8MFL2026</stp>
        <stp>Bid Rate</stp>
        <tr r="E451" s="1"/>
      </tp>
      <tp>
        <v>0</v>
        <stp/>
        <stp>nse_cm|884LTF29-N6</stp>
        <stp>ATP</stp>
        <tr r="K1009" s="1"/>
      </tp>
      <tp>
        <v>0</v>
        <stp/>
        <stp>nse_cm|885LTF27-NE</stp>
        <stp>ATP</stp>
        <tr r="K1007" s="1"/>
      </tp>
      <tp>
        <v>1140.2</v>
        <stp/>
        <stp>bse_cm|MMFLZC25</stp>
        <stp>Bid Rate</stp>
        <tr r="E1731" s="1"/>
      </tp>
      <tp>
        <v>1550.2</v>
        <stp/>
        <stp>bse_cm|NWFLZC25</stp>
        <stp>Bid Rate</stp>
        <tr r="E1758" s="1"/>
      </tp>
      <tp>
        <v>1513.4</v>
        <stp/>
        <stp>bse_cm|IIFLZC25</stp>
        <stp>Bid Rate</stp>
        <tr r="E1743" s="1"/>
      </tp>
      <tp>
        <v>1000</v>
        <stp/>
        <stp>bse_cm|913ICCL24A</stp>
        <stp>Face Value</stp>
        <tr r="Q1162" s="1"/>
      </tp>
      <tp>
        <v>1050.9000000000001</v>
        <stp/>
        <stp>nse_cm|898LTF29-N7</stp>
        <stp>ATP</stp>
        <tr r="K385" s="1"/>
      </tp>
      <tp t="e">
        <v>#N/A</v>
        <stp/>
        <stp>bse_cm|MHFLZC24</stp>
        <stp>Bid Rate</stp>
        <tr r="E35" s="1"/>
      </tp>
      <tp>
        <v>0</v>
        <stp/>
        <stp>nse_cm|865LTF26-NN</stp>
        <stp>ATP</stp>
        <tr r="K392" s="1"/>
      </tp>
      <tp>
        <v>1025.0999999999999</v>
        <stp/>
        <stp>bse_cm|CIFCZC25</stp>
        <stp>Bid Rate</stp>
        <tr r="E1436" s="1"/>
      </tp>
      <tp>
        <v>0</v>
        <stp/>
        <stp>nse_cm|960CAGL25-N3</stp>
        <stp>% Change</stp>
        <tr r="J305" s="1"/>
      </tp>
      <tp>
        <v>0</v>
        <stp/>
        <stp>nse_cm|820IIFL27-N9</stp>
        <stp>% Change</stp>
        <tr r="J266" s="1"/>
      </tp>
      <tp>
        <v>-100</v>
        <stp/>
        <stp>bse_cm|1003NIDO29</stp>
        <stp>% Change</stp>
        <tr r="J679" s="1"/>
      </tp>
      <tp>
        <v>-100</v>
        <stp/>
        <stp>bse_cm|1050NIDO29</stp>
        <stp>% Change</stp>
        <tr r="J1124" s="1"/>
      </tp>
      <tp>
        <v>0</v>
        <stp/>
        <stp>nse_cm|845LTF24-NI</stp>
        <stp>ATP</stp>
        <tr r="K942" s="1"/>
      </tp>
      <tp>
        <v>1009.2</v>
        <stp/>
        <stp>bse_cm|CIFCZC26</stp>
        <stp>Bid Rate</stp>
        <tr r="E738" s="1"/>
      </tp>
      <tp>
        <v>1021.25</v>
        <stp/>
        <stp>bse_cm|IIFLHF29</stp>
        <stp>Bid Rate</stp>
        <tr r="E1631" s="1"/>
      </tp>
      <tp>
        <v>920</v>
        <stp/>
        <stp>bse_cm|8MFLTD28</stp>
        <stp>Bid Rate</stp>
        <tr r="E366" s="1"/>
      </tp>
      <tp>
        <v>-100</v>
        <stp/>
        <stp>bse_cm|1003NHFL29</stp>
        <stp>% Change</stp>
        <tr r="J605" s="1"/>
      </tp>
      <tp>
        <v>-100</v>
        <stp/>
        <stp>bse_cm|1010NIDO28</stp>
        <stp>% Change</stp>
        <tr r="J199" s="1"/>
      </tp>
      <tp>
        <v>-100</v>
        <stp/>
        <stp>bse_cm|1050NHFL29</stp>
        <stp>% Change</stp>
        <tr r="J1125" s="1"/>
      </tp>
      <tp>
        <v>249</v>
        <stp/>
        <stp>nse_cm|93MOFSL34-N6</stp>
        <stp>Ask Qty</stp>
        <tr r="G299" s="1"/>
      </tp>
      <tp>
        <v>0</v>
        <stp/>
        <stp>nse_cm|852LTF27-NG</stp>
        <stp>ATP</stp>
        <tr r="K1006" s="1"/>
      </tp>
      <tp>
        <v>1135.2</v>
        <stp/>
        <stp>bse_cm|MMFLZC28</stp>
        <stp>Bid Rate</stp>
        <tr r="E1259" s="1"/>
      </tp>
      <tp>
        <v>1245</v>
        <stp/>
        <stp>bse_cm|IIFLZC28</stp>
        <stp>Bid Rate</stp>
        <tr r="E1660" s="1"/>
      </tp>
      <tp>
        <v>975.8</v>
        <stp/>
        <stp>bse_cm|KAFLZC28</stp>
        <stp>Bid Rate</stp>
        <tr r="E1315" s="1"/>
      </tp>
      <tp>
        <v>1259</v>
        <stp/>
        <stp>nse_cm|SCL25-Y6</stp>
        <stp>High</stp>
        <tr r="N1753" s="1"/>
      </tp>
      <tp>
        <v>0</v>
        <stp/>
        <stp>nse_cm|902SCL26-N8</stp>
        <stp xml:space="preserve">Low </stp>
        <tr r="O968" s="1"/>
      </tp>
      <tp>
        <v>999.61</v>
        <stp/>
        <stp>nse_cm|829LTF24-NL</stp>
        <stp>ATP</stp>
        <tr r="K3" s="1"/>
      </tp>
      <tp>
        <v>0</v>
        <stp/>
        <stp>nse_cm|824LTF27-NQ</stp>
        <stp>ATP</stp>
        <tr r="K999" s="1"/>
      </tp>
      <tp>
        <v>0</v>
        <stp/>
        <stp>nse_cm|910CAGL25-N7</stp>
        <stp>% Change</stp>
        <tr r="J622" s="1"/>
      </tp>
      <tp t="s">
        <v>INE148I07RC9</v>
        <stp/>
        <stp>nse_cm|925SCL25H-Y0</stp>
        <stp>Isin code</stp>
        <tr r="R791" s="1"/>
      </tp>
      <tp>
        <v>0</v>
        <stp/>
        <stp>nse_cm|815LTF27-NO</stp>
        <stp>ATP</stp>
        <tr r="K1001" s="1"/>
      </tp>
      <tp>
        <v>0</v>
        <stp/>
        <stp>nse_cm|815LTF24-NK</stp>
        <stp>ATP</stp>
        <tr r="K1693" s="1"/>
      </tp>
      <tp>
        <v>0</v>
        <stp/>
        <stp>nse_cm|813LTF29-NP</stp>
        <stp>ATP</stp>
        <tr r="K1000" s="1"/>
      </tp>
      <tp>
        <v>1000</v>
        <stp/>
        <stp>bse_cm|MMFSL26</stp>
        <stp>Face Value</stp>
        <tr r="Q1258" s="1"/>
      </tp>
      <tp t="s">
        <v>95CCIL24A</v>
        <stp/>
        <stp>bse_cm|95CCIL24A</stp>
        <stp>Trading Symbol</stp>
        <tr r="B873" s="1"/>
      </tp>
      <tp t="s">
        <v>INE918K07FV6</v>
        <stp/>
        <stp>bse_cm|1025NWFL30</stp>
        <stp>Isin code</stp>
        <tr r="R1026" s="1"/>
      </tp>
      <tp t="s">
        <v>INE302E08092</v>
        <stp/>
        <stp>bse_cm|SFLZC26</stp>
        <stp>Isin code</stp>
        <tr r="R801" s="1"/>
      </tp>
      <tp t="s">
        <v>INE148I07GN9</v>
        <stp/>
        <stp>bse_cm|SCLZC26</stp>
        <stp>Isin code</stp>
        <tr r="R1464" s="1"/>
      </tp>
      <tp t="s">
        <v>INE652X07100</v>
        <stp/>
        <stp>bse_cm|MHLZC26</stp>
        <stp>Isin code</stp>
        <tr r="R1522" s="1"/>
      </tp>
      <tp t="s">
        <v>INE522D07BA4</v>
        <stp/>
        <stp>bse_cm|MFLZC26</stp>
        <stp>Isin code</stp>
        <tr r="R1720" s="1"/>
      </tp>
      <tp t="s">
        <v>INE403Q07BR3</v>
        <stp/>
        <stp>bse_cm|KFLZC26</stp>
        <stp>Isin code</stp>
        <tr r="R1709" s="1"/>
      </tp>
      <tp t="s">
        <v>INE027E07BB0</v>
        <stp/>
        <stp>bse_cm|85LTF26</stp>
        <stp>Isin code</stp>
        <tr r="R410" s="1"/>
      </tp>
      <tp t="s">
        <v>INE414G07FO9</v>
        <stp/>
        <stp>bse_cm|MFLVI26</stp>
        <stp>Isin code</stp>
        <tr r="R1719" s="1"/>
      </tp>
      <tp t="s">
        <v>NSE</v>
        <stp/>
        <stp>nse_cm|1015SCL28B-AZ</stp>
        <stp>Exchange</stp>
        <tr r="C1614" s="1"/>
      </tp>
      <tp>
        <v>0</v>
        <stp/>
        <stp>bse_cm|875PCHFL31</stp>
        <stp>LTP</stp>
        <tr r="H1172" s="1"/>
      </tp>
      <tp t="s">
        <v>00:00:00</v>
        <stp/>
        <stp>bse_cm|875PCHFL31</stp>
        <stp>LTT</stp>
        <tr r="I1172" s="1"/>
      </tp>
      <tp t="s">
        <v>00:00:00</v>
        <stp/>
        <stp>bse_cm|875PCHFL26</stp>
        <stp>LTT</stp>
        <tr r="I331" s="1"/>
      </tp>
      <tp>
        <v>0</v>
        <stp/>
        <stp>bse_cm|875PCHFL26</stp>
        <stp>LTP</stp>
        <tr r="H331" s="1"/>
      </tp>
      <tp t="s">
        <v>INE414G07FM3</v>
        <stp/>
        <stp>bse_cm|MFLIV26</stp>
        <stp>Isin code</stp>
        <tr r="R1500" s="1"/>
      </tp>
      <tp t="s">
        <v>INE414G07FK7</v>
        <stp/>
        <stp>bse_cm|MFLII26</stp>
        <stp>Isin code</stp>
        <tr r="R390" s="1"/>
      </tp>
      <tp t="s">
        <v>CAGL24-N2</v>
        <stp/>
        <stp>nse_cm|CAGL24-N2</stp>
        <stp>Trading Symbol</stp>
        <tr r="B1762" s="1"/>
      </tp>
      <tp t="s">
        <v>INE549K08186</v>
        <stp/>
        <stp>bse_cm|94MFL27</stp>
        <stp>Isin code</stp>
        <tr r="R189" s="1"/>
      </tp>
      <tp t="s">
        <v>NSE</v>
        <stp/>
        <stp>nse_cm|1015SCL28A-AL</stp>
        <stp>Exchange</stp>
        <tr r="C1443" s="1"/>
      </tp>
      <tp>
        <v>0</v>
        <stp/>
        <stp>bse_cm|729NABAR26</stp>
        <stp>LTP</stp>
        <tr r="H540" s="1"/>
      </tp>
      <tp>
        <v>0</v>
        <stp/>
        <stp>bse_cm|704NABAR26</stp>
        <stp>LTP</stp>
        <tr r="H1702" s="1"/>
      </tp>
      <tp t="s">
        <v>00:00:00</v>
        <stp/>
        <stp>bse_cm|729NABAR26</stp>
        <stp>LTT</stp>
        <tr r="I540" s="1"/>
      </tp>
      <tp t="s">
        <v>00:00:00</v>
        <stp/>
        <stp>bse_cm|704NABAR26</stp>
        <stp>LTT</stp>
        <tr r="I1702" s="1"/>
      </tp>
      <tp t="s">
        <v>00:00:00</v>
        <stp/>
        <stp>bse_cm|735NABAR31</stp>
        <stp>LTT</stp>
        <tr r="I14" s="1"/>
      </tp>
      <tp>
        <v>0</v>
        <stp/>
        <stp>bse_cm|764NABAR31</stp>
        <stp>LTP</stp>
        <tr r="H497" s="1"/>
      </tp>
      <tp>
        <v>0</v>
        <stp/>
        <stp>bse_cm|735NABAR31</stp>
        <stp>LTP</stp>
        <tr r="H14" s="1"/>
      </tp>
      <tp t="s">
        <v>00:00:00</v>
        <stp/>
        <stp>bse_cm|764NABAR31</stp>
        <stp>LTT</stp>
        <tr r="I497" s="1"/>
      </tp>
      <tp t="s">
        <v>INE051307BD2</v>
        <stp/>
        <stp>bse_cm|12CCI29</stp>
        <stp>Isin code</stp>
        <tr r="R91" s="1"/>
      </tp>
      <tp t="s">
        <v>INE148I07OW4</v>
        <stp/>
        <stp>nse_cm|1015SCL28B-AZ</stp>
        <stp>Isin code</stp>
        <tr r="R1614" s="1"/>
      </tp>
      <tp>
        <v>0</v>
        <stp/>
        <stp>bse_cm|975JMFCS28</stp>
        <stp>Volume Traded Today</stp>
        <tr r="L275" s="1"/>
      </tp>
      <tp t="s">
        <v>NSE</v>
        <stp/>
        <stp>nse_cm|880IREDA29-N5</stp>
        <stp>Exchange</stp>
        <tr r="C510" s="1"/>
      </tp>
      <tp>
        <v>0</v>
        <stp/>
        <stp>bse_cm|934JMFCS28</stp>
        <stp>Volume Traded Today</stp>
        <tr r="L325" s="1"/>
      </tp>
      <tp>
        <v>0</v>
        <stp/>
        <stp>bse_cm|981JMFCS28</stp>
        <stp>Volume Traded Today</stp>
        <tr r="L295" s="1"/>
      </tp>
      <tp>
        <v>1010.3</v>
        <stp/>
        <stp>bse_cm|CIFC26A</stp>
        <stp>Prev Close</stp>
        <tr r="P740" s="1"/>
      </tp>
      <tp t="s">
        <v>NSE</v>
        <stp/>
        <stp>nse_cm|880IREDA34-N6</stp>
        <stp>Exchange</stp>
        <tr r="C511" s="1"/>
      </tp>
      <tp>
        <v>1000</v>
        <stp/>
        <stp>bse_cm|88SCL25</stp>
        <stp>Prev Close</stp>
        <tr r="P987" s="1"/>
      </tp>
      <tp>
        <v>1000</v>
        <stp/>
        <stp>bse_cm|89SCL24</stp>
        <stp>Prev Close</stp>
        <tr r="P1153" s="1"/>
      </tp>
      <tp>
        <v>667</v>
        <stp/>
        <stp>bse_cm|87SCL25</stp>
        <stp>Prev Close</stp>
        <tr r="P958" s="1"/>
      </tp>
      <tp>
        <v>1000</v>
        <stp/>
        <stp>bse_cm|87SCL27</stp>
        <stp>Prev Close</stp>
        <tr r="P978" s="1"/>
      </tp>
      <tp>
        <v>1096.6400000000001</v>
        <stp/>
        <stp>bse_cm|98SCL27</stp>
        <stp>Prev Close</stp>
        <tr r="P1545" s="1"/>
      </tp>
      <tp>
        <v>1000</v>
        <stp/>
        <stp>bse_cm|98SCL34</stp>
        <stp>Prev Close</stp>
        <tr r="P1053" s="1"/>
      </tp>
      <tp>
        <v>987.76</v>
        <stp/>
        <stp>bse_cm|99SCL27</stp>
        <stp>Prev Close</stp>
        <tr r="P1169" s="1"/>
      </tp>
      <tp>
        <v>1000</v>
        <stp/>
        <stp>bse_cm|93SCL25</stp>
        <stp>Prev Close</stp>
        <tr r="P729" s="1"/>
      </tp>
      <tp>
        <v>1057</v>
        <stp/>
        <stp>bse_cm|93SCL24</stp>
        <stp>Prev Close</stp>
        <tr r="P945" s="1"/>
      </tp>
      <tp>
        <v>1000</v>
        <stp/>
        <stp>bse_cm|94SCL27</stp>
        <stp>Prev Close</stp>
        <tr r="P1152" s="1"/>
      </tp>
      <tp>
        <v>1000</v>
        <stp/>
        <stp>bse_cm|96SCL25</stp>
        <stp>Prev Close</stp>
        <tr r="P1068" s="1"/>
      </tp>
      <tp>
        <v>0</v>
        <stp/>
        <stp>nse_cm|1015SCFL29-YY</stp>
        <stp>Open</stp>
        <tr r="M1455" s="1"/>
      </tp>
      <tp>
        <v>968</v>
        <stp/>
        <stp>bse_cm|9MFCL26</stp>
        <stp>Prev Close</stp>
        <tr r="P156" s="1"/>
      </tp>
      <tp t="s">
        <v>NSE</v>
        <stp/>
        <stp>nse_cm|855IREDA34-N3</stp>
        <stp>Exchange</stp>
        <tr r="C558" s="1"/>
      </tp>
      <tp t="s">
        <v>NSE</v>
        <stp/>
        <stp>nse_cm|855IREDA29-N2</stp>
        <stp>Exchange</stp>
        <tr r="C505" s="1"/>
      </tp>
      <tp>
        <v>820</v>
        <stp/>
        <stp>bse_cm|11CCI26</stp>
        <stp>Prev Close</stp>
        <tr r="P1220" s="1"/>
      </tp>
      <tp>
        <v>965.33</v>
        <stp/>
        <stp>bse_cm|12CCI29</stp>
        <stp>Prev Close</stp>
        <tr r="P91" s="1"/>
      </tp>
      <tp>
        <v>1012</v>
        <stp/>
        <stp>bse_cm|7PFCL31</stp>
        <stp>Prev Close</stp>
        <tr r="P425" s="1"/>
      </tp>
      <tp t="s">
        <v>NSE</v>
        <stp/>
        <stp>nse_cm|774IREDA31-N7</stp>
        <stp>Exchange</stp>
        <tr r="C18" s="1"/>
      </tp>
      <tp>
        <v>991.35</v>
        <stp/>
        <stp>bse_cm|10VCL25</stp>
        <stp>Prev Close</stp>
        <tr r="P1646" s="1"/>
      </tp>
      <tp>
        <v>975</v>
        <stp/>
        <stp>bse_cm|11CCL26</stp>
        <stp>Prev Close</stp>
        <tr r="P1219" s="1"/>
      </tp>
      <tp>
        <v>1000</v>
        <stp/>
        <stp>bse_cm|10SCL31</stp>
        <stp>Prev Close</stp>
        <tr r="P1085" s="1"/>
      </tp>
      <tp>
        <v>1069.9000000000001</v>
        <stp/>
        <stp>bse_cm|11UCL26</stp>
        <stp>Prev Close</stp>
        <tr r="P323" s="1"/>
      </tp>
      <tp t="s">
        <v>950MFL27A</v>
        <stp/>
        <stp>bse_cm|950MFL27A</stp>
        <stp>Trading Symbol</stp>
        <tr r="B241" s="1"/>
      </tp>
      <tp t="s">
        <v>850MFL27A</v>
        <stp/>
        <stp>bse_cm|850MFL27A</stp>
        <stp>Trading Symbol</stp>
        <tr r="B355" s="1"/>
      </tp>
      <tp t="s">
        <v>850SCL25A</v>
        <stp/>
        <stp>bse_cm|850SCL25A</stp>
        <stp>Trading Symbol</stp>
        <tr r="B1387" s="1"/>
      </tp>
      <tp t="s">
        <v>950SCL23A</v>
        <stp/>
        <stp>bse_cm|950SCL23A</stp>
        <stp>Trading Symbol</stp>
        <tr r="B1146" s="1"/>
      </tp>
      <tp t="s">
        <v>00:00:00</v>
        <stp/>
        <stp>bse_cm|JMFPTBIL25</stp>
        <stp>LTT</stp>
        <tr r="I9" s="1"/>
      </tp>
      <tp>
        <v>0</v>
        <stp/>
        <stp>bse_cm|JMFPTBIL25</stp>
        <stp>LTP</stp>
        <tr r="H9" s="1"/>
      </tp>
      <tp t="s">
        <v>955SCL27A</v>
        <stp/>
        <stp>bse_cm|955SCL27A</stp>
        <stp>Trading Symbol</stp>
        <tr r="B948" s="1"/>
      </tp>
      <tp>
        <v>1000</v>
        <stp/>
        <stp>bse_cm|9EFSL26</stp>
        <stp>Face Value</stp>
        <tr r="Q581" s="1"/>
      </tp>
      <tp>
        <v>1000</v>
        <stp/>
        <stp>bse_cm|9EFSL25</stp>
        <stp>Face Value</stp>
        <tr r="Q606" s="1"/>
      </tp>
      <tp>
        <v>1050</v>
        <stp/>
        <stp>nse_cm|875CIFC23B-NJ</stp>
        <stp xml:space="preserve">Low </stp>
        <tr r="O346" s="1"/>
      </tp>
      <tp>
        <v>1000</v>
        <stp/>
        <stp>bse_cm|905SC24</stp>
        <stp>Face Value</stp>
        <tr r="Q573" s="1"/>
      </tp>
      <tp>
        <v>3</v>
        <stp/>
        <stp>bse_cm|CIFC28</stp>
        <stp>Bid Qty</stp>
        <tr r="D1529" s="1"/>
      </tp>
      <tp>
        <v>12</v>
        <stp/>
        <stp>bse_cm|CIFC26</stp>
        <stp>Bid Qty</stp>
        <tr r="D742" s="1"/>
      </tp>
      <tp>
        <v>1006.15</v>
        <stp/>
        <stp>nse_cm|10CAGL27-N5</stp>
        <stp xml:space="preserve">Low </stp>
        <tr r="O273" s="1"/>
      </tp>
      <tp>
        <v>1258.26</v>
        <stp/>
        <stp>bse_cm|DLSL25</stp>
        <stp>High</stp>
        <tr r="N1747" s="1"/>
      </tp>
      <tp>
        <v>0</v>
        <stp/>
        <stp>nse_cm|850IIFL27-NA</stp>
        <stp>% Change</stp>
        <tr r="J608" s="1"/>
      </tp>
      <tp t="s">
        <v>INE148I07KZ5</v>
        <stp/>
        <stp>nse_cm|820SCFL25-Y7</stp>
        <stp>Isin code</stp>
        <tr r="R926" s="1"/>
      </tp>
      <tp>
        <v>0</v>
        <stp/>
        <stp>nse_cm|1102NFL26-N8</stp>
        <stp>% Change</stp>
        <tr r="J587" s="1"/>
      </tp>
      <tp>
        <v>1040</v>
        <stp/>
        <stp>nse_cm|10IFSL26-N7</stp>
        <stp xml:space="preserve">Low </stp>
        <tr r="O293" s="1"/>
      </tp>
      <tp>
        <v>0</v>
        <stp/>
        <stp>nse_cm|940CAGL27-NB</stp>
        <stp>% Change</stp>
        <tr r="J1367" s="1"/>
      </tp>
      <tp>
        <v>990</v>
        <stp/>
        <stp>nse_cm|10IIFL29-N6</stp>
        <stp xml:space="preserve">Low </stp>
        <tr r="O193" s="1"/>
      </tp>
      <tp>
        <v>915</v>
        <stp/>
        <stp>nse_cm|865IFL28-NZ</stp>
        <stp>High</stp>
        <tr r="N103" s="1"/>
      </tp>
      <tp>
        <v>905.2</v>
        <stp/>
        <stp>nse_cm|889SCL27-YT</stp>
        <stp>Open</stp>
        <tr r="M120" s="1"/>
      </tp>
      <tp t="s">
        <v>NSE</v>
        <stp/>
        <stp>nse_cm|IFCIZC25-NM</stp>
        <stp>Exchange</stp>
        <tr r="C1765" s="1"/>
      </tp>
      <tp>
        <v>955.99</v>
        <stp/>
        <stp>nse_cm|10IIFL28-N4</stp>
        <stp xml:space="preserve">Low </stp>
        <tr r="O42" s="1"/>
      </tp>
      <tp>
        <v>1000</v>
        <stp/>
        <stp>bse_cm|1125KLM26A</stp>
        <stp>Face Value</stp>
        <tr r="Q1226" s="1"/>
      </tp>
      <tp>
        <v>1049.9000000000001</v>
        <stp/>
        <stp>nse_cm|10ISFL26-N3</stp>
        <stp xml:space="preserve">Low </stp>
        <tr r="O1527" s="1"/>
      </tp>
      <tp>
        <v>-100</v>
        <stp/>
        <stp>nse_cm|980ICCL28-NL</stp>
        <stp>% Change</stp>
        <tr r="J780" s="1"/>
      </tp>
      <tp>
        <v>0</v>
        <stp/>
        <stp>nse_cm|888SCL26-YP</stp>
        <stp>Open</stp>
        <tr r="M841" s="1"/>
      </tp>
      <tp>
        <v>-0.93</v>
        <stp/>
        <stp>bse_cm|1025KFL27A</stp>
        <stp>% Change</stp>
        <tr r="J89" s="1"/>
      </tp>
      <tp>
        <v>-100</v>
        <stp/>
        <stp>bse_cm|1010EFS29A</stp>
        <stp>% Change</stp>
        <tr r="J1593" s="1"/>
      </tp>
      <tp>
        <v>-100</v>
        <stp/>
        <stp>nse_cm|940ICCL28-NN</stp>
        <stp>% Change</stp>
        <tr r="J779" s="1"/>
      </tp>
      <tp>
        <v>0.39</v>
        <stp/>
        <stp>nse_cm|970CAGL28-ND</stp>
        <stp>% Change</stp>
        <tr r="J306" s="1"/>
      </tp>
      <tp t="s">
        <v>NSE</v>
        <stp/>
        <stp>nse_cm|IFCIZC24-NI</stp>
        <stp>Exchange</stp>
        <tr r="C1768" s="1"/>
      </tp>
      <tp t="s">
        <v>829LTF24-NL</v>
        <stp/>
        <stp>nse_cm|829LTF24-NL</stp>
        <stp>Trading Symbol</stp>
        <tr r="B3" s="1"/>
      </tp>
      <tp t="s">
        <v>815LTF24-NK</v>
        <stp/>
        <stp>nse_cm|815LTF24-NK</stp>
        <stp>Trading Symbol</stp>
        <tr r="B1693" s="1"/>
      </tp>
      <tp t="s">
        <v>845LTF24-NI</v>
        <stp/>
        <stp>nse_cm|845LTF24-NI</stp>
        <stp>Trading Symbol</stp>
        <tr r="B942" s="1"/>
      </tp>
      <tp>
        <v>1269.6199999999999</v>
        <stp/>
        <stp>bse_cm|MFLZC28E</stp>
        <stp>Bid Rate</stp>
        <tr r="E1269" s="1"/>
      </tp>
      <tp t="s">
        <v>NSE</v>
        <stp/>
        <stp>nse_cm|97SFL26A-NC</stp>
        <stp>Exchange</stp>
        <tr r="C784" s="1"/>
      </tp>
      <tp t="s">
        <v>772IGT31-NK</v>
        <stp/>
        <stp>nse_cm|772IGT31-NK</stp>
        <stp>Trading Symbol</stp>
        <tr r="B1193" s="1"/>
      </tp>
      <tp t="s">
        <v>797IGT31-NL</v>
        <stp/>
        <stp>nse_cm|797IGT31-NL</stp>
        <stp>Trading Symbol</stp>
        <tr r="B374" s="1"/>
      </tp>
      <tp t="s">
        <v>795IGT31-NI</v>
        <stp/>
        <stp>nse_cm|795IGT31-NI</stp>
        <stp>Trading Symbol</stp>
        <tr r="B1185" s="1"/>
      </tp>
      <tp>
        <v>1110.02</v>
        <stp/>
        <stp>bse_cm|MFLZC28F</stp>
        <stp>Bid Rate</stp>
        <tr r="E1268" s="1"/>
      </tp>
      <tp>
        <v>1112.8</v>
        <stp/>
        <stp>bse_cm|KFLZC28A</stp>
        <stp>Bid Rate</stp>
        <tr r="E1289" s="1"/>
      </tp>
      <tp>
        <v>826.2</v>
        <stp/>
        <stp>bse_cm|KFLZC28C</stp>
        <stp>Bid Rate</stp>
        <tr r="E1287" s="1"/>
      </tp>
      <tp>
        <v>1072.8</v>
        <stp/>
        <stp>bse_cm|KFLZC28B</stp>
        <stp>Bid Rate</stp>
        <tr r="E1288" s="1"/>
      </tp>
      <tp>
        <v>946.5</v>
        <stp/>
        <stp>nse_cm|96IIFL28-N5</stp>
        <stp>High</stp>
        <tr r="N106" s="1"/>
      </tp>
      <tp>
        <v>0</v>
        <stp/>
        <stp>nse_cm|772IGT31-NK</stp>
        <stp>Open</stp>
        <tr r="M1193" s="1"/>
      </tp>
      <tp t="s">
        <v>79NHIT40-N2</v>
        <stp/>
        <stp>nse_cm|79NHIT40-N2</stp>
        <stp>Trading Symbol</stp>
        <tr r="B1587" s="1"/>
      </tp>
      <tp t="s">
        <v>INE148I07QV1</v>
        <stp/>
        <stp>nse_cm|1050SCL30-NU</stp>
        <stp>Isin code</stp>
        <tr r="R893" s="1"/>
      </tp>
      <tp t="s">
        <v>956AEL29-N6</v>
        <stp/>
        <stp>nse_cm|956AEL29-N6</stp>
        <stp>Trading Symbol</stp>
        <tr r="B298" s="1"/>
      </tp>
      <tp>
        <v>986</v>
        <stp/>
        <stp>bse_cm|1030ICCL28</stp>
        <stp>Prev Close</stp>
        <tr r="P1521" s="1"/>
      </tp>
      <tp>
        <v>5</v>
        <stp/>
        <stp>nse_cm|902SCL26A-NM</stp>
        <stp>Bid Qty</stp>
        <tr r="D904" s="1"/>
      </tp>
      <tp>
        <v>0</v>
        <stp/>
        <stp>nse_cm|905PEL26-N1</stp>
        <stp>Open</stp>
        <tr r="M500" s="1"/>
      </tp>
      <tp>
        <v>1190</v>
        <stp/>
        <stp>bse_cm|739NHAI31A</stp>
        <stp>Prev Close</stp>
        <tr r="P546" s="1"/>
      </tp>
      <tp>
        <v>-100</v>
        <stp/>
        <stp>bse_cm|92LTF29</stp>
        <stp>% Change</stp>
        <tr r="J1088" s="1"/>
      </tp>
      <tp>
        <v>50</v>
        <stp/>
        <stp>bse_cm|750IRFC35</stp>
        <stp>Ask Qty</stp>
        <tr r="G488" s="1"/>
      </tp>
      <tp>
        <v>150</v>
        <stp/>
        <stp>bse_cm|840IRFC29</stp>
        <stp>Ask Qty</stp>
        <tr r="G1634" s="1"/>
      </tp>
      <tp t="e">
        <v>#N/A</v>
        <stp/>
        <stp>bse_cm|1065MHFL24</stp>
        <stp>Prev Close</stp>
        <tr r="P36" s="1"/>
      </tp>
      <tp>
        <v>406.9</v>
        <stp/>
        <stp>nse_cm|79NHIT47-N3</stp>
        <stp>LTP</stp>
        <tr r="H1585" s="1"/>
      </tp>
      <tp t="s">
        <v>15:06:23</v>
        <stp/>
        <stp>nse_cm|79NHIT35-N1</stp>
        <stp>LTT</stp>
        <tr r="I1589" s="1"/>
      </tp>
      <tp>
        <v>307.8</v>
        <stp/>
        <stp>nse_cm|79NHIT40-N2</stp>
        <stp>LTP</stp>
        <tr r="H1587" s="1"/>
      </tp>
      <tp t="s">
        <v>09:35:57</v>
        <stp/>
        <stp>nse_cm|79NHIT47-N3</stp>
        <stp>LTT</stp>
        <tr r="I1585" s="1"/>
      </tp>
      <tp>
        <v>305</v>
        <stp/>
        <stp>nse_cm|79NHIT35-N1</stp>
        <stp>LTP</stp>
        <tr r="H1589" s="1"/>
      </tp>
      <tp t="s">
        <v>09:43:33</v>
        <stp/>
        <stp>nse_cm|79NHIT40-N2</stp>
        <stp>LTT</stp>
        <tr r="I1587" s="1"/>
      </tp>
      <tp>
        <v>66</v>
        <stp/>
        <stp>bse_cm|95KFL27A</stp>
        <stp>Volume Traded Today</stp>
        <tr r="L132" s="1"/>
      </tp>
      <tp>
        <v>926.25</v>
        <stp/>
        <stp>bse_cm|1045NIDO33</stp>
        <stp>Prev Close</stp>
        <tr r="P71" s="1"/>
      </tp>
      <tp t="s">
        <v>00:00:00</v>
        <stp/>
        <stp>bse_cm|905SC24B</stp>
        <stp>LTT</stp>
        <tr r="I684" s="1"/>
      </tp>
      <tp>
        <v>0</v>
        <stp/>
        <stp>bse_cm|905SC24B</stp>
        <stp>LTP</stp>
        <tr r="H684" s="1"/>
      </tp>
      <tp>
        <v>986.24</v>
        <stp/>
        <stp>nse_cm|866SFL25-ZE</stp>
        <stp>LTP</stp>
        <tr r="H1389" s="1"/>
      </tp>
      <tp t="s">
        <v/>
        <stp/>
        <stp>nse_cm|866SFL25-ZE</stp>
        <stp>LTT</stp>
        <tr r="I1389" s="1"/>
      </tp>
      <tp t="s">
        <v>BSE</v>
        <stp/>
        <stp>bse_cm|KAFLZC30</stp>
        <stp>Exchange</stp>
        <tr r="C1314" s="1"/>
      </tp>
      <tp>
        <v>1019</v>
        <stp/>
        <stp>nse_cm|875SFL27-ZF</stp>
        <stp>LTP</stp>
        <tr r="H379" s="1"/>
      </tp>
      <tp t="s">
        <v/>
        <stp/>
        <stp>nse_cm|875SFL27-ZF</stp>
        <stp>LTT</stp>
        <tr r="I379" s="1"/>
      </tp>
      <tp>
        <v>-100</v>
        <stp/>
        <stp>bse_cm|12IML26</stp>
        <stp>% Change</stp>
        <tr r="J1494" s="1"/>
      </tp>
      <tp>
        <v>-100</v>
        <stp/>
        <stp>bse_cm|12KLM25</stp>
        <stp>% Change</stp>
        <tr r="J1211" s="1"/>
      </tp>
      <tp>
        <v>-100</v>
        <stp/>
        <stp>bse_cm|12IFL27</stp>
        <stp>% Change</stp>
        <tr r="J258" s="1"/>
      </tp>
      <tp>
        <v>0</v>
        <stp/>
        <stp>bse_cm|830CIFC26</stp>
        <stp>Ask Qty</stp>
        <tr r="G1013" s="1"/>
      </tp>
      <tp>
        <v>100</v>
        <stp/>
        <stp>nse_cm|835SCL23B-YM</stp>
        <stp>Ask Qty</stp>
        <tr r="G179" s="1"/>
      </tp>
      <tp>
        <v>0</v>
        <stp/>
        <stp>nse_cm|835SCL23A-YH</stp>
        <stp>Ask Qty</stp>
        <tr r="G833" s="1"/>
      </tp>
      <tp>
        <v>1000</v>
        <stp/>
        <stp>bse_cm|MML30</stp>
        <stp>Face Value</stp>
        <tr r="Q1525" s="1"/>
      </tp>
      <tp>
        <v>1000</v>
        <stp/>
        <stp>bse_cm|IML28</stp>
        <stp>Face Value</stp>
        <tr r="Q1458" s="1"/>
      </tp>
      <tp>
        <v>1000</v>
        <stp/>
        <stp>bse_cm|IML29</stp>
        <stp>Face Value</stp>
        <tr r="Q1528" s="1"/>
      </tp>
      <tp>
        <v>1000</v>
        <stp/>
        <stp>bse_cm|MML28</stp>
        <stp>Face Value</stp>
        <tr r="Q584" s="1"/>
      </tp>
      <tp>
        <v>1000</v>
        <stp/>
        <stp>bse_cm|MML26</stp>
        <stp>Face Value</stp>
        <tr r="Q1410" s="1"/>
      </tp>
      <tp>
        <v>1000</v>
        <stp/>
        <stp>bse_cm|MML24</stp>
        <stp>Face Value</stp>
        <tr r="Q1740" s="1"/>
      </tp>
      <tp>
        <v>1000</v>
        <stp/>
        <stp>bse_cm|MML25</stp>
        <stp>Face Value</stp>
        <tr r="Q1253" s="1"/>
      </tp>
      <tp>
        <v>1000</v>
        <stp/>
        <stp>bse_cm|IML27</stp>
        <stp>Face Value</stp>
        <tr r="Q1325" s="1"/>
      </tp>
      <tp t="e">
        <v>#N/A</v>
        <stp/>
        <stp>bse_cm|IML24</stp>
        <stp>Face Value</stp>
        <tr r="Q34" s="1"/>
      </tp>
      <tp>
        <v>1000</v>
        <stp/>
        <stp>bse_cm|IML25</stp>
        <stp>Face Value</stp>
        <tr r="Q1326" s="1"/>
      </tp>
      <tp>
        <v>-2.42</v>
        <stp/>
        <stp>bse_cm|12CCI29</stp>
        <stp>% Change</stp>
        <tr r="J91" s="1"/>
      </tp>
      <tp>
        <v>0</v>
        <stp/>
        <stp>nse_cm|902SCL26-N8</stp>
        <stp>Open</stp>
        <tr r="M968" s="1"/>
      </tp>
      <tp>
        <v>10</v>
        <stp/>
        <stp>nse_cm|902SCL26I-AW</stp>
        <stp>Bid Qty</stp>
        <tr r="D1383" s="1"/>
      </tp>
      <tp>
        <v>0</v>
        <stp/>
        <stp>bse_cm|86CIFC29</stp>
        <stp>Ask Rate</stp>
        <tr r="F1341" s="1"/>
      </tp>
      <tp>
        <v>1000</v>
        <stp/>
        <stp>bse_cm|1030IFSL26</stp>
        <stp>Face Value</stp>
        <tr r="Q1654" s="1"/>
      </tp>
      <tp t="s">
        <v/>
        <stp/>
        <stp>nse_cm|85IIFL25-NO</stp>
        <stp>LTT</stp>
        <tr r="I110" s="1"/>
      </tp>
      <tp>
        <v>1051.8</v>
        <stp/>
        <stp>nse_cm|85IIFL25-NO</stp>
        <stp>LTP</stp>
        <tr r="H110" s="1"/>
      </tp>
      <tp>
        <v>5</v>
        <stp/>
        <stp>bse_cm|SCLZC26</stp>
        <stp>Bid Qty</stp>
        <tr r="D1464" s="1"/>
      </tp>
      <tp>
        <v>12</v>
        <stp/>
        <stp>bse_cm|SCLZC25</stp>
        <stp>Bid Qty</stp>
        <tr r="D917" s="1"/>
      </tp>
      <tp t="s">
        <v/>
        <stp/>
        <stp>nse_cm|865IFL28-NZ</stp>
        <stp>LTT</stp>
        <tr r="I103" s="1"/>
      </tp>
      <tp>
        <v>915</v>
        <stp/>
        <stp>nse_cm|865IFL28-NZ</stp>
        <stp>LTP</stp>
        <tr r="H103" s="1"/>
      </tp>
      <tp>
        <v>1000</v>
        <stp/>
        <stp>bse_cm|MMFSL26A</stp>
        <stp>Face Value</stp>
        <tr r="Q1722" s="1"/>
      </tp>
      <tp>
        <v>0</v>
        <stp/>
        <stp>bse_cm|11CCIL27</stp>
        <stp>Ask Rate</stp>
        <tr r="F691" s="1"/>
      </tp>
      <tp>
        <v>11</v>
        <stp/>
        <stp>nse_cm|902SCL27A-ZI</stp>
        <stp>Bid Qty</stp>
        <tr r="D1353" s="1"/>
      </tp>
      <tp>
        <v>0</v>
        <stp/>
        <stp>bse_cm|11CCIL26</stp>
        <stp>Ask Rate</stp>
        <tr r="F625" s="1"/>
      </tp>
      <tp t="s">
        <v>15:14:43</v>
        <stp/>
        <stp>nse_cm|81ABFL33-N5</stp>
        <stp>LTT</stp>
        <tr r="I1588" s="1"/>
      </tp>
      <tp>
        <v>1001</v>
        <stp/>
        <stp>nse_cm|81ABFL33-N5</stp>
        <stp>LTP</stp>
        <tr r="H1588" s="1"/>
      </tp>
      <tp>
        <v>1024</v>
        <stp/>
        <stp>bse_cm|10CAGL27</stp>
        <stp>Ask Rate</stp>
        <tr r="F282" s="1"/>
      </tp>
      <tp>
        <v>978</v>
        <stp/>
        <stp>bse_cm|95CCIL25</stp>
        <stp>Ask Rate</stp>
        <tr r="F37" s="1"/>
      </tp>
      <tp t="s">
        <v/>
        <stp/>
        <stp>nse_cm|829PFL29-N6</stp>
        <stp>LTT</stp>
        <tr r="I1451" s="1"/>
      </tp>
      <tp>
        <v>1000</v>
        <stp/>
        <stp>nse_cm|829PFL29-N6</stp>
        <stp>LTP</stp>
        <tr r="H1451" s="1"/>
      </tp>
      <tp>
        <v>18</v>
        <stp/>
        <stp>bse_cm|SFLZC26</stp>
        <stp>Bid Qty</stp>
        <tr r="D801" s="1"/>
      </tp>
      <tp t="e">
        <v>#N/A</v>
        <stp/>
        <stp>bse_cm|SFLZC24</stp>
        <stp>Bid Qty</stp>
        <tr r="D30" s="1"/>
      </tp>
      <tp>
        <v>60</v>
        <stp/>
        <stp>bse_cm|SFLZC25</stp>
        <stp>Bid Qty</stp>
        <tr r="D802" s="1"/>
      </tp>
      <tp>
        <v>998</v>
        <stp/>
        <stp>nse_cm|835IFL25-NV</stp>
        <stp>LTP</stp>
        <tr r="H98" s="1"/>
      </tp>
      <tp t="s">
        <v/>
        <stp/>
        <stp>nse_cm|835IFL25-NV</stp>
        <stp>LTT</stp>
        <tr r="I98" s="1"/>
      </tp>
      <tp>
        <v>10</v>
        <stp/>
        <stp>bse_cm|753IRFC30</stp>
        <stp>Bid Qty</stp>
        <tr r="D454" s="1"/>
      </tp>
      <tp>
        <v>0</v>
        <stp/>
        <stp>nse_cm|931SFL26A-NA</stp>
        <stp>Ask Qty</stp>
        <tr r="G786" s="1"/>
      </tp>
      <tp>
        <v>10</v>
        <stp/>
        <stp>bse_cm|9PCHFL31A</stp>
        <stp>Bid Qty</stp>
        <tr r="D301" s="1"/>
      </tp>
      <tp>
        <v>-100</v>
        <stp/>
        <stp>bse_cm|SCFL310524</stp>
        <stp>% Change</stp>
        <tr r="J1241" s="1"/>
      </tp>
      <tp>
        <v>2375.8000000000002</v>
        <stp/>
        <stp>bse_cm|IFCIZC25</stp>
        <stp>Ask Rate</stp>
        <tr r="F1764" s="1"/>
      </tp>
      <tp t="s">
        <v/>
        <stp/>
        <stp>nse_cm|86CIFC29-NN</stp>
        <stp>LTT</stp>
        <tr r="I1340" s="1"/>
      </tp>
      <tp>
        <v>1014</v>
        <stp/>
        <stp>nse_cm|86CIFC29-NN</stp>
        <stp>LTP</stp>
        <tr r="H1340" s="1"/>
      </tp>
      <tp>
        <v>2602.35</v>
        <stp/>
        <stp>bse_cm|IFCIZC24</stp>
        <stp>Ask Rate</stp>
        <tr r="F1769" s="1"/>
      </tp>
      <tp>
        <v>0</v>
        <stp/>
        <stp>bse_cm|85CIFC27</stp>
        <stp>Ask Rate</stp>
        <tr r="F974" s="1"/>
      </tp>
      <tp t="s">
        <v/>
        <stp/>
        <stp>nse_cm|85CIFC27-NL</stp>
        <stp>LTT</stp>
        <tr r="I973" s="1"/>
      </tp>
      <tp>
        <v>1010</v>
        <stp/>
        <stp>nse_cm|85CIFC27-NL</stp>
        <stp>LTP</stp>
        <tr r="H973" s="1"/>
      </tp>
      <tp>
        <v>20</v>
        <stp/>
        <stp>bse_cm|729NHAI26</stp>
        <stp>Bid Qty</stp>
        <tr r="D348" s="1"/>
      </tp>
      <tp>
        <v>1</v>
        <stp/>
        <stp>bse_cm|739NHAI26</stp>
        <stp>Bid Qty</stp>
        <tr r="D442" s="1"/>
      </tp>
      <tp>
        <v>0</v>
        <stp/>
        <stp>nse_cm|IIFLZC28B-Y1</stp>
        <stp>% Change</stp>
        <tr r="J1491" s="1"/>
      </tp>
      <tp>
        <v>0</v>
        <stp/>
        <stp>bse_cm|85PFL26A</stp>
        <stp>Volume Traded Today</stp>
        <tr r="L711" s="1"/>
      </tp>
      <tp>
        <v>10</v>
        <stp/>
        <stp>bse_cm|769NHAI31</stp>
        <stp>Bid Qty</stp>
        <tr r="D465" s="1"/>
      </tp>
      <tp t="s">
        <v>SCL25</v>
        <stp/>
        <stp>nse_cm|SCL25-Y6</stp>
        <stp>Symbol</stp>
        <tr r="A1753" s="1"/>
      </tp>
      <tp t="s">
        <v>INE01I507984</v>
        <stp/>
        <stp>bse_cm|1075KAFL29</stp>
        <stp>Isin code</stp>
        <tr r="R125" s="1"/>
      </tp>
      <tp>
        <v>1000</v>
        <stp/>
        <stp>bse_cm|0SFL29A</stp>
        <stp>Face Value</stp>
        <tr r="Q1033" s="1"/>
      </tp>
      <tp>
        <v>1000</v>
        <stp/>
        <stp>bse_cm|0SFL27A</stp>
        <stp>Face Value</stp>
        <tr r="Q1034" s="1"/>
      </tp>
      <tp>
        <v>1000</v>
        <stp/>
        <stp>bse_cm|0MML29A</stp>
        <stp>Face Value</stp>
        <tr r="Q1040" s="1"/>
      </tp>
      <tp t="s">
        <v>9SFL25A</v>
        <stp/>
        <stp>nse_cm|9SFL25A-ZH</stp>
        <stp>Symbol</stp>
        <tr r="A463" s="1"/>
      </tp>
      <tp t="s">
        <v>10IIFL28A-NE</v>
        <stp/>
        <stp>nse_cm|10IIFL28A-NE</stp>
        <stp>Trading Symbol</stp>
        <tr r="B108" s="1"/>
      </tp>
      <tp t="s">
        <v>INE01CY077G6</v>
        <stp/>
        <stp>bse_cm|115ICLFL25</stp>
        <stp>Isin code</stp>
        <tr r="R1223" s="1"/>
      </tp>
      <tp t="s">
        <v>INE121A07RM2</v>
        <stp/>
        <stp>bse_cm|860CIFCL28</stp>
        <stp>Isin code</stp>
        <tr r="R1431" s="1"/>
      </tp>
      <tp t="s">
        <v>105UCL2026</v>
        <stp/>
        <stp>bse_cm|105UCL2026</stp>
        <stp>Symbol</stp>
        <tr r="A319" s="1"/>
      </tp>
      <tp t="s">
        <v>957EFSL27</v>
        <stp/>
        <stp>bse_cm|957EFSL27</stp>
        <stp>Trading Symbol</stp>
        <tr r="B576" s="1"/>
      </tp>
      <tp>
        <v>0</v>
        <stp/>
        <stp>bse_cm|MFLOPTII24</stp>
        <stp>Volume Traded Today</stp>
        <tr r="L559" s="1"/>
      </tp>
      <tp>
        <v>1000</v>
        <stp/>
        <stp>bse_cm|9MFL30A</stp>
        <stp>Face Value</stp>
        <tr r="Q289" s="1"/>
      </tp>
      <tp>
        <v>1000</v>
        <stp/>
        <stp>bse_cm|8MFL24A</stp>
        <stp>Face Value</stp>
        <tr r="Q1549" s="1"/>
      </tp>
      <tp t="s">
        <v>955EFSL26</v>
        <stp/>
        <stp>bse_cm|955EFSL26</stp>
        <stp>Trading Symbol</stp>
        <tr r="B503" s="1"/>
      </tp>
      <tp t="s">
        <v>955IFSL25</v>
        <stp/>
        <stp>bse_cm|955IFSL25</stp>
        <stp>Trading Symbol</stp>
        <tr r="B1470" s="1"/>
      </tp>
      <tp>
        <v>1000</v>
        <stp/>
        <stp>bse_cm|9SCL26B</stp>
        <stp>Face Value</stp>
        <tr r="Q1135" s="1"/>
      </tp>
      <tp>
        <v>1000</v>
        <stp/>
        <stp>bse_cm|9SFL26A</stp>
        <stp>Face Value</stp>
        <tr r="Q1065" s="1"/>
      </tp>
      <tp>
        <v>1000</v>
        <stp/>
        <stp>bse_cm|9SFL25A</stp>
        <stp>Face Value</stp>
        <tr r="Q441" s="1"/>
      </tp>
      <tp>
        <v>1000</v>
        <stp/>
        <stp>bse_cm|9KFL26B</stp>
        <stp>Face Value</stp>
        <tr r="Q667" s="1"/>
      </tp>
      <tp>
        <v>1000</v>
        <stp/>
        <stp>bse_cm|9KFL26A</stp>
        <stp>Face Value</stp>
        <tr r="Q1083" s="1"/>
      </tp>
      <tp>
        <v>1000</v>
        <stp/>
        <stp>bse_cm|9MFL25A</stp>
        <stp>Face Value</stp>
        <tr r="Q702" s="1"/>
      </tp>
      <tp>
        <v>1000</v>
        <stp/>
        <stp>bse_cm|9MFL27A</stp>
        <stp>Face Value</stp>
        <tr r="Q257" s="1"/>
      </tp>
      <tp t="s">
        <v>953EFSL31</v>
        <stp/>
        <stp>bse_cm|953EFSL31</stp>
        <stp>Trading Symbol</stp>
        <tr r="B191" s="1"/>
      </tp>
      <tp t="s">
        <v>CIFC26A</v>
        <stp/>
        <stp>nse_cm|CIFC26A-N9</stp>
        <stp>Symbol</stp>
        <tr r="A739" s="1"/>
      </tp>
      <tp>
        <v>939</v>
        <stp/>
        <stp>nse_cm|1050SCFL31-Z2</stp>
        <stp>High</stp>
        <tr r="N868" s="1"/>
      </tp>
      <tp t="s">
        <v>950EFSL26</v>
        <stp/>
        <stp>bse_cm|950EFSL26</stp>
        <stp>Trading Symbol</stp>
        <tr r="B1493" s="1"/>
      </tp>
      <tp t="s">
        <v>INE774D08MJ7</v>
        <stp/>
        <stp>bse_cm|790MMFSL27</stp>
        <stp>Isin code</stp>
        <tr r="R1189" s="1"/>
      </tp>
      <tp t="s">
        <v>INE338I07131</v>
        <stp/>
        <stp>bse_cm|885MOFSL26</stp>
        <stp>Isin code</stp>
        <tr r="R1643" s="1"/>
      </tp>
      <tp t="s">
        <v>INE148I07NE4</v>
        <stp/>
        <stp>nse_cm|89SCL24-ZO</stp>
        <stp>Isin code</stp>
        <tr r="R972" s="1"/>
      </tp>
      <tp t="s">
        <v>INE614X07381</v>
        <stp/>
        <stp>nse_cm|1049DLSL25-NX</stp>
        <stp>Isin code</stp>
        <tr r="R43" s="1"/>
      </tp>
      <tp t="s">
        <v>875KFL2025</v>
        <stp/>
        <stp>bse_cm|875KFL2025</stp>
        <stp>Symbol</stp>
        <tr r="A1158" s="1"/>
      </tp>
      <tp t="s">
        <v>975MFL24BB</v>
        <stp/>
        <stp>bse_cm|975MFL24BB</stp>
        <stp>Symbol</stp>
        <tr r="A552" s="1"/>
      </tp>
      <tp t="s">
        <v>INE721A07PE0</v>
        <stp/>
        <stp>bse_cm|97SFL26</stp>
        <stp>Isin code</stp>
        <tr r="R405" s="1"/>
      </tp>
      <tp t="s">
        <v>00:00:00</v>
        <stp/>
        <stp>bse_cm|CCI110324A</stp>
        <stp>LTT</stp>
        <tr r="I1590" s="1"/>
      </tp>
      <tp>
        <v>0</v>
        <stp/>
        <stp>bse_cm|CCI110324A</stp>
        <stp>LTP</stp>
        <tr r="H1590" s="1"/>
      </tp>
      <tp t="s">
        <v>825MFL2026</v>
        <stp/>
        <stp>bse_cm|825MFL2026</stp>
        <stp>Symbol</stp>
        <tr r="A318" s="1"/>
      </tp>
      <tp t="s">
        <v>775MFL2025</v>
        <stp/>
        <stp>bse_cm|775MFL2025</stp>
        <stp>Symbol</stp>
        <tr r="A336" s="1"/>
      </tp>
      <tp t="s">
        <v>775MFL2026</v>
        <stp/>
        <stp>bse_cm|775MFL2026</stp>
        <stp>Symbol</stp>
        <tr r="A240" s="1"/>
      </tp>
      <tp t="s">
        <v>785MFL2028</v>
        <stp/>
        <stp>bse_cm|785MFL2028</stp>
        <stp>Symbol</stp>
        <tr r="A357" s="1"/>
      </tp>
      <tp>
        <v>0</v>
        <stp/>
        <stp>bse_cm|AEL120924B</stp>
        <stp>LTP</stp>
        <tr r="H1641" s="1"/>
      </tp>
      <tp>
        <v>0</v>
        <stp/>
        <stp>bse_cm|AEL120924A</stp>
        <stp>LTP</stp>
        <tr r="H1524" s="1"/>
      </tp>
      <tp t="s">
        <v>00:00:00</v>
        <stp/>
        <stp>bse_cm|AEL120924B</stp>
        <stp>LTT</stp>
        <tr r="I1641" s="1"/>
      </tp>
      <tp t="s">
        <v>00:00:00</v>
        <stp/>
        <stp>bse_cm|AEL120924A</stp>
        <stp>LTT</stp>
        <tr r="I1524" s="1"/>
      </tp>
      <tp>
        <v>0</v>
        <stp/>
        <stp>bse_cm|830JMFPL30</stp>
        <stp>Volume Traded Today</stp>
        <tr r="L251" s="1"/>
      </tp>
      <tp>
        <v>0</v>
        <stp/>
        <stp>bse_cm|820JMFPL26</stp>
        <stp>Volume Traded Today</stp>
        <tr r="L349" s="1"/>
      </tp>
      <tp>
        <v>0</v>
        <stp/>
        <stp>bse_cm|1045EFS33A</stp>
        <stp>Volume Traded Today</stp>
        <tr r="L95" s="1"/>
      </tp>
      <tp>
        <v>0</v>
        <stp/>
        <stp>bse_cm|1045EFS33B</stp>
        <stp>Volume Traded Today</stp>
        <tr r="L117" s="1"/>
      </tp>
      <tp>
        <v>0</v>
        <stp/>
        <stp>nse_cm|875CIFC23B-NJ</stp>
        <stp>Open</stp>
        <tr r="M346" s="1"/>
      </tp>
      <tp>
        <v>0</v>
        <stp/>
        <stp>bse_cm|1045EFS34A</stp>
        <stp>Volume Traded Today</stp>
        <tr r="L1029" s="1"/>
      </tp>
      <tp t="s">
        <v>INE244L07424</v>
        <stp/>
        <stp>nse_cm|925ICCL25I-NP</stp>
        <stp>Isin code</stp>
        <tr r="R777" s="1"/>
      </tp>
      <tp>
        <v>0</v>
        <stp/>
        <stp>bse_cm|791JMFPL26</stp>
        <stp>Volume Traded Today</stp>
        <tr r="L276" s="1"/>
      </tp>
      <tp>
        <v>0</v>
        <stp/>
        <stp>bse_cm|1025SCL34A</stp>
        <stp>Volume Traded Today</stp>
        <tr r="L672" s="1"/>
      </tp>
      <tp>
        <v>1000</v>
        <stp/>
        <stp>bse_cm|CAGL25A</stp>
        <stp>Face Value</stp>
        <tr r="Q1701" s="1"/>
      </tp>
      <tp>
        <v>1000</v>
        <stp/>
        <stp>bse_cm|CAGL27A</stp>
        <stp>Face Value</stp>
        <tr r="Q1379" s="1"/>
      </tp>
      <tp t="s">
        <v>95MMFSL29</v>
        <stp/>
        <stp>bse_cm|95MMFSL29</stp>
        <stp>Trading Symbol</stp>
        <tr r="B353" s="1"/>
      </tp>
      <tp>
        <v>1000</v>
        <stp/>
        <stp>bse_cm|95KLM25</stp>
        <stp>Face Value</stp>
        <tr r="Q73" s="1"/>
      </tp>
      <tp>
        <v>1000</v>
        <stp/>
        <stp>bse_cm|DLSL25A</stp>
        <stp>Face Value</stp>
        <tr r="Q1734" s="1"/>
      </tp>
      <tp t="s">
        <v>INE414G07IU0</v>
        <stp/>
        <stp>bse_cm|825MFL2026</stp>
        <stp>Isin code</stp>
        <tr r="R318" s="1"/>
      </tp>
      <tp>
        <v>945</v>
        <stp/>
        <stp>nse_cm|1015SCFL29-YY</stp>
        <stp xml:space="preserve">Low </stp>
        <tr r="O1455" s="1"/>
      </tp>
      <tp>
        <v>0</v>
        <stp/>
        <stp>bse_cm|1075SCL33A</stp>
        <stp>Volume Traded Today</stp>
        <tr r="L629" s="1"/>
      </tp>
      <tp>
        <v>0</v>
        <stp/>
        <stp>bse_cm|1025SCL33A</stp>
        <stp>Volume Traded Today</stp>
        <tr r="L835" s="1"/>
      </tp>
      <tp>
        <v>0</v>
        <stp/>
        <stp>bse_cm|1075SCL33B</stp>
        <stp>Volume Traded Today</stp>
        <tr r="L706" s="1"/>
      </tp>
      <tp>
        <v>1000</v>
        <stp/>
        <stp>bse_cm|EFSL28A</stp>
        <stp>Face Value</stp>
        <tr r="Q1335" s="1"/>
      </tp>
      <tp>
        <v>1000</v>
        <stp/>
        <stp>bse_cm|EFSL26B</stp>
        <stp>Face Value</stp>
        <tr r="Q1564" s="1"/>
      </tp>
      <tp>
        <v>1000</v>
        <stp/>
        <stp>bse_cm|EFSL26C</stp>
        <stp>Face Value</stp>
        <tr r="Q1650" s="1"/>
      </tp>
      <tp>
        <v>1000</v>
        <stp/>
        <stp>bse_cm|EFSL26A</stp>
        <stp>Face Value</stp>
        <tr r="Q1567" s="1"/>
      </tp>
      <tp>
        <v>1000</v>
        <stp/>
        <stp>bse_cm|EFSL26D</stp>
        <stp>Face Value</stp>
        <tr r="Q1617" s="1"/>
      </tp>
      <tp>
        <v>1000</v>
        <stp/>
        <stp>bse_cm|EFSL27A</stp>
        <stp>Face Value</stp>
        <tr r="Q1649" s="1"/>
      </tp>
      <tp>
        <v>1000</v>
        <stp/>
        <stp>bse_cm|EFSL24C</stp>
        <stp>Face Value</stp>
        <tr r="Q1755" s="1"/>
      </tp>
      <tp>
        <v>1000</v>
        <stp/>
        <stp>bse_cm|EFSL25B</stp>
        <stp>Face Value</stp>
        <tr r="Q1682" s="1"/>
      </tp>
      <tp>
        <v>1000</v>
        <stp/>
        <stp>bse_cm|EFSL25A</stp>
        <stp>Face Value</stp>
        <tr r="Q1706" s="1"/>
      </tp>
      <tp>
        <v>1000</v>
        <stp/>
        <stp>bse_cm|KAFL28A</stp>
        <stp>Face Value</stp>
        <tr r="Q1319" s="1"/>
      </tp>
      <tp>
        <v>-100</v>
        <stp/>
        <stp>bse_cm|1003VCL25</stp>
        <stp>% Change</stp>
        <tr r="J151" s="1"/>
      </tp>
      <tp>
        <v>1000</v>
        <stp/>
        <stp>bse_cm|12KLM25</stp>
        <stp>Face Value</stp>
        <tr r="Q1211" s="1"/>
      </tp>
      <tp>
        <v>-100</v>
        <stp/>
        <stp>bse_cm|SCL310524</stp>
        <stp>% Change</stp>
        <tr r="J1345" s="1"/>
      </tp>
      <tp t="s">
        <v>BSE</v>
        <stp/>
        <stp>bse_cm|MFLZC29A</stp>
        <stp>Exchange</stp>
        <tr r="C1554" s="1"/>
      </tp>
      <tp>
        <v>25</v>
        <stp/>
        <stp>bse_cm|1030ICC26</stp>
        <stp>Bid Qty</stp>
        <tr r="D1538" s="1"/>
      </tp>
      <tp>
        <v>0</v>
        <stp/>
        <stp>bse_cm|898ONE26</stp>
        <stp>High</stp>
        <tr r="N1154" s="1"/>
      </tp>
      <tp>
        <v>0</v>
        <stp/>
        <stp>nse_cm|889SCL28-NU</stp>
        <stp>Volume Traded Today</stp>
        <tr r="L989" s="1"/>
      </tp>
      <tp>
        <v>0</v>
        <stp/>
        <stp>nse_cm|889SCL26-NS</stp>
        <stp>Volume Traded Today</stp>
        <tr r="L222" s="1"/>
      </tp>
      <tp>
        <v>0</v>
        <stp/>
        <stp>nse_cm|888SCL25-NG</stp>
        <stp>Volume Traded Today</stp>
        <tr r="L912" s="1"/>
      </tp>
      <tp>
        <v>0</v>
        <stp/>
        <stp>nse_cm|885SCL26-N9</stp>
        <stp>Volume Traded Today</stp>
        <tr r="L686" s="1"/>
      </tp>
      <tp>
        <v>1000</v>
        <stp/>
        <stp>bse_cm|IIFLHF29</stp>
        <stp>Face Value</stp>
        <tr r="Q1631" s="1"/>
      </tp>
      <tp t="s">
        <v>INE906B07DE1</v>
        <stp/>
        <stp>nse_cm|850NHAI29-N5</stp>
        <stp>Isin code</stp>
        <tr r="R512" s="1"/>
      </tp>
      <tp t="s">
        <v>INE848E07559</v>
        <stp/>
        <stp>nse_cm|879NHPC28-N5</stp>
        <stp>Isin code</stp>
        <tr r="R464" s="1"/>
      </tp>
      <tp>
        <v>900</v>
        <stp/>
        <stp>nse_cm|96SFL24A-NB</stp>
        <stp>Bid Rate</stp>
        <tr r="E162" s="1"/>
      </tp>
      <tp>
        <v>1024</v>
        <stp/>
        <stp>bse_cm|9IIFL28A</stp>
        <stp>Ask Rate</stp>
        <tr r="F218" s="1"/>
      </tp>
      <tp>
        <v>-100</v>
        <stp/>
        <stp>bse_cm|1003SCL30A</stp>
        <stp>% Change</stp>
        <tr r="J875" s="1"/>
      </tp>
      <tp>
        <v>0</v>
        <stp/>
        <stp>nse_cm|990SCFL26-AJ</stp>
        <stp>Ask Qty</stp>
        <tr r="G1523" s="1"/>
      </tp>
      <tp t="s">
        <v>INE530B07401</v>
        <stp/>
        <stp>nse_cm|950IIFL27-Y2</stp>
        <stp>Isin code</stp>
        <tr r="R995" s="1"/>
      </tp>
      <tp>
        <v>1000</v>
        <stp/>
        <stp>bse_cm|830JMFPL30</stp>
        <stp>Face Value</stp>
        <tr r="Q251" s="1"/>
      </tp>
      <tp>
        <v>1000</v>
        <stp/>
        <stp>bse_cm|820JMFPL26</stp>
        <stp>Face Value</stp>
        <tr r="Q349" s="1"/>
      </tp>
      <tp t="s">
        <v>INE530L07210</v>
        <stp/>
        <stp>nse_cm|957NIDO26-N5</stp>
        <stp>Isin code</stp>
        <tr r="R255" s="1"/>
      </tp>
      <tp>
        <v>0</v>
        <stp/>
        <stp>nse_cm|865SCL26-N8</stp>
        <stp>Volume Traded Today</stp>
        <tr r="L310" s="1"/>
      </tp>
      <tp>
        <v>0</v>
        <stp/>
        <stp>nse_cm|879SCL26-NC</stp>
        <stp>Volume Traded Today</stp>
        <tr r="L720" s="1"/>
      </tp>
      <tp>
        <v>1140.0999999999999</v>
        <stp/>
        <stp>bse_cm|898LTF29</stp>
        <stp>High</stp>
        <tr r="N416" s="1"/>
      </tp>
      <tp>
        <v>1000</v>
        <stp/>
        <stp>bse_cm|853MMFSL26</stp>
        <stp>Face Value</stp>
        <tr r="Q1005" s="1"/>
      </tp>
      <tp>
        <v>0</v>
        <stp/>
        <stp>nse_cm|772IGT31-NK</stp>
        <stp xml:space="preserve">Low </stp>
        <tr r="O1193" s="1"/>
      </tp>
      <tp>
        <v>0</v>
        <stp/>
        <stp>nse_cm|801TCH25-N4</stp>
        <stp>Volume Traded Today</stp>
        <tr r="L493" s="1"/>
      </tp>
      <tp>
        <v>0</v>
        <stp/>
        <stp>nse_cm|801TCH28-N7</stp>
        <stp>Volume Traded Today</stp>
        <tr r="L1181" s="1"/>
      </tp>
      <tp t="s">
        <v>INE413U07236</v>
        <stp/>
        <stp>nse_cm|957ISFL26-N2</stp>
        <stp>Isin code</stp>
        <tr r="R245" s="1"/>
      </tp>
      <tp>
        <v>0</v>
        <stp/>
        <stp>bse_cm|KAFLZC30</stp>
        <stp>LTP</stp>
        <tr r="H1314" s="1"/>
      </tp>
      <tp t="s">
        <v>00:00:00</v>
        <stp/>
        <stp>bse_cm|KAFLZC30</stp>
        <stp>LTT</stp>
        <tr r="I1314" s="1"/>
      </tp>
      <tp>
        <v>1007</v>
        <stp/>
        <stp>nse_cm|10CAGL27-N5</stp>
        <stp>Open</stp>
        <tr r="M273" s="1"/>
      </tp>
      <tp t="s">
        <v>00:00:00</v>
        <stp/>
        <stp>bse_cm|KAFLZC26</stp>
        <stp>LTT</stp>
        <tr r="I1316" s="1"/>
      </tp>
      <tp>
        <v>0</v>
        <stp/>
        <stp>bse_cm|KAFLZC26</stp>
        <stp>LTP</stp>
        <tr r="H1316" s="1"/>
      </tp>
      <tp>
        <v>0</v>
        <stp/>
        <stp>bse_cm|IIFLHF29</stp>
        <stp>ATP</stp>
        <tr r="K1631" s="1"/>
      </tp>
      <tp>
        <v>0</v>
        <stp/>
        <stp>bse_cm|KAFLZC28</stp>
        <stp>LTP</stp>
        <tr r="H1315" s="1"/>
      </tp>
      <tp t="s">
        <v>00:00:00</v>
        <stp/>
        <stp>bse_cm|KAFLZC28</stp>
        <stp>LTT</stp>
        <tr r="I1315" s="1"/>
      </tp>
      <tp>
        <v>950</v>
        <stp/>
        <stp>nse_cm|9SCL26BA-NA</stp>
        <stp>High</stp>
        <tr r="N122" s="1"/>
      </tp>
      <tp>
        <v>0</v>
        <stp/>
        <stp>bse_cm|10KFL28A</stp>
        <stp>LTP</stp>
        <tr r="H1423" s="1"/>
      </tp>
      <tp t="s">
        <v>00:00:00</v>
        <stp/>
        <stp>bse_cm|10KFL28A</stp>
        <stp>LTT</stp>
        <tr r="I1423" s="1"/>
      </tp>
      <tp>
        <v>1145.1199999999999</v>
        <stp/>
        <stp>bse_cm|774IREDA31</stp>
        <stp>Prev Close</stp>
        <tr r="P17" s="1"/>
      </tp>
      <tp>
        <v>10</v>
        <stp/>
        <stp>nse_cm|889SCL27-YT</stp>
        <stp>Volume Traded Today</stp>
        <tr r="L120" s="1"/>
      </tp>
      <tp>
        <v>0</v>
        <stp/>
        <stp>nse_cm|888SCL26-YP</stp>
        <stp>Volume Traded Today</stp>
        <tr r="L841" s="1"/>
      </tp>
      <tp>
        <v>-100</v>
        <stp/>
        <stp>bse_cm|925FL27</stp>
        <stp>% Change</stp>
        <tr r="J615" s="1"/>
      </tp>
      <tp>
        <v>0</v>
        <stp/>
        <stp>nse_cm|894SCL24-ZR</stp>
        <stp>Volume Traded Today</stp>
        <tr r="L661" s="1"/>
      </tp>
      <tp>
        <v>0</v>
        <stp/>
        <stp>nse_cm|894SCL27-ZY</stp>
        <stp>Volume Traded Today</stp>
        <tr r="L731" s="1"/>
      </tp>
      <tp>
        <v>0</v>
        <stp/>
        <stp>nse_cm|894SCL25-Z3</stp>
        <stp>Volume Traded Today</stp>
        <tr r="L1698" s="1"/>
      </tp>
      <tp>
        <v>0</v>
        <stp/>
        <stp>nse_cm|865SCL24-ZA</stp>
        <stp>Volume Traded Today</stp>
        <tr r="L954" s="1"/>
      </tp>
      <tp>
        <v>0</v>
        <stp/>
        <stp>nse_cm|850SCL25-YL</stp>
        <stp>Volume Traded Today</stp>
        <tr r="L922" s="1"/>
      </tp>
      <tp t="s">
        <v>00:00:00</v>
        <stp/>
        <stp>bse_cm|10KFL24D</stp>
        <stp>LTT</stp>
        <tr r="I1424" s="1"/>
      </tp>
      <tp>
        <v>0</v>
        <stp/>
        <stp>bse_cm|10KFL24D</stp>
        <stp>LTP</stp>
        <tr r="H1424" s="1"/>
      </tp>
      <tp t="s">
        <v>894SCL24-ZR</v>
        <stp/>
        <stp>nse_cm|894SCL24-ZR</stp>
        <stp>Trading Symbol</stp>
        <tr r="B661" s="1"/>
      </tp>
      <tp t="s">
        <v>857SCL24-ZQ</v>
        <stp/>
        <stp>nse_cm|857SCL24-ZQ</stp>
        <stp>Trading Symbol</stp>
        <tr r="B975" s="1"/>
      </tp>
      <tp t="s">
        <v>865SCL24-ZA</v>
        <stp/>
        <stp>nse_cm|865SCL24-ZA</stp>
        <stp>Trading Symbol</stp>
        <tr r="B954" s="1"/>
      </tp>
      <tp t="s">
        <v>833SCL24-ZE</v>
        <stp/>
        <stp>nse_cm|833SCL24-ZE</stp>
        <stp>Trading Symbol</stp>
        <tr r="B957" s="1"/>
      </tp>
      <tp>
        <v>0</v>
        <stp/>
        <stp>nse_cm|843SCL27-YS</stp>
        <stp>Volume Traded Today</stp>
        <tr r="L944" s="1"/>
      </tp>
      <tp t="s">
        <v>INE733E07JI1</v>
        <stp/>
        <stp>nse_cm|873NTPC28-N5</stp>
        <stp>Isin code</stp>
        <tr r="R541" s="1"/>
      </tp>
      <tp>
        <v>0</v>
        <stp/>
        <stp>bse_cm|MFLVII27</stp>
        <stp>ATP</stp>
        <tr r="K1397" s="1"/>
      </tp>
      <tp>
        <v>0</v>
        <stp/>
        <stp>bse_cm|MFLTDI25</stp>
        <stp>ATP</stp>
        <tr r="K1476" s="1"/>
      </tp>
      <tp>
        <v>0</v>
        <stp/>
        <stp>bse_cm|MFLIII25</stp>
        <stp>ATP</stp>
        <tr r="K1501" s="1"/>
      </tp>
      <tp t="s">
        <v>980SCL34-Z7</v>
        <stp/>
        <stp>nse_cm|980SCL34-Z7</stp>
        <stp>Trading Symbol</stp>
        <tr r="B884" s="1"/>
      </tp>
      <tp>
        <v>956.9</v>
        <stp/>
        <stp>nse_cm|10IIFL28-N4</stp>
        <stp>Open</stp>
        <tr r="M42" s="1"/>
      </tp>
      <tp>
        <v>0</v>
        <stp/>
        <stp>nse_cm|875SCL27-YQ</stp>
        <stp>Volume Traded Today</stp>
        <tr r="L937" s="1"/>
      </tp>
      <tp>
        <v>1114.0999999999999</v>
        <stp/>
        <stp>bse_cm|709REC30</stp>
        <stp>High</stp>
        <tr r="N564" s="1"/>
      </tp>
      <tp>
        <v>0</v>
        <stp/>
        <stp>nse_cm|847SCL25-Z2</stp>
        <stp>Volume Traded Today</stp>
        <tr r="L212" s="1"/>
      </tp>
      <tp>
        <v>0</v>
        <stp/>
        <stp>nse_cm|10IFSL26-N7</stp>
        <stp>Open</stp>
        <tr r="M293" s="1"/>
      </tp>
      <tp>
        <v>0</v>
        <stp/>
        <stp>nse_cm|857SCL24-ZQ</stp>
        <stp>Volume Traded Today</stp>
        <tr r="L975" s="1"/>
      </tp>
      <tp>
        <v>0</v>
        <stp/>
        <stp>nse_cm|866SCL25-YP</stp>
        <stp>Volume Traded Today</stp>
        <tr r="L933" s="1"/>
      </tp>
      <tp>
        <v>0</v>
        <stp/>
        <stp>bse_cm|10KFL27A</stp>
        <stp>LTP</stp>
        <tr r="H1092" s="1"/>
      </tp>
      <tp t="s">
        <v>00:00:00</v>
        <stp/>
        <stp>bse_cm|10KFL27A</stp>
        <stp>LTT</stp>
        <tr r="I1092" s="1"/>
      </tp>
      <tp>
        <v>905.2</v>
        <stp/>
        <stp>nse_cm|889SCL27-YT</stp>
        <stp xml:space="preserve">Low </stp>
        <tr r="O120" s="1"/>
      </tp>
      <tp>
        <v>100</v>
        <stp/>
        <stp>nse_cm|10IIFL28A-NE</stp>
        <stp>Bid Qty</stp>
        <tr r="D108" s="1"/>
      </tp>
      <tp>
        <v>990</v>
        <stp/>
        <stp>nse_cm|10IIFL29-N6</stp>
        <stp>Open</stp>
        <tr r="M193" s="1"/>
      </tp>
      <tp>
        <v>0</v>
        <stp/>
        <stp>bse_cm|948SCL27</stp>
        <stp>High</stp>
        <tr r="N1079" s="1"/>
      </tp>
      <tp>
        <v>0</v>
        <stp/>
        <stp>nse_cm|833SCL24-ZE</stp>
        <stp>Volume Traded Today</stp>
        <tr r="L957" s="1"/>
      </tp>
      <tp>
        <v>858</v>
        <stp/>
        <stp>bse_cm|948SCL26</stp>
        <stp>High</stp>
        <tr r="N1647" s="1"/>
      </tp>
      <tp>
        <v>0</v>
        <stp/>
        <stp>bse_cm|888SCL26</stp>
        <stp>High</stp>
        <tr r="N915" s="1"/>
      </tp>
      <tp>
        <v>0</v>
        <stp/>
        <stp>bse_cm|888SCL25</stp>
        <stp>High</stp>
        <tr r="N1134" s="1"/>
      </tp>
      <tp>
        <v>1079</v>
        <stp/>
        <stp>bse_cm|10MFL24B</stp>
        <stp>LTP</stp>
        <tr r="H185" s="1"/>
      </tp>
      <tp>
        <v>16</v>
        <stp/>
        <stp>nse_cm|105UCL2026-NB</stp>
        <stp>Volume Traded Today</stp>
        <tr r="L130" s="1"/>
      </tp>
      <tp t="s">
        <v>09:51:00</v>
        <stp/>
        <stp>bse_cm|10MFL24B</stp>
        <stp>LTT</stp>
        <tr r="I185" s="1"/>
      </tp>
      <tp>
        <v>0</v>
        <stp/>
        <stp>nse_cm|888SCL26-YP</stp>
        <stp xml:space="preserve">Low </stp>
        <tr r="O841" s="1"/>
      </tp>
      <tp>
        <v>0</v>
        <stp/>
        <stp>nse_cm|10ISFL26-N3</stp>
        <stp>Open</stp>
        <tr r="M1527" s="1"/>
      </tp>
      <tp>
        <v>0</v>
        <stp/>
        <stp>nse_cm|820SCL25-YO</stp>
        <stp>Volume Traded Today</stp>
        <tr r="L932" s="1"/>
      </tp>
      <tp>
        <v>1000</v>
        <stp/>
        <stp>bse_cm|KAFLZC30</stp>
        <stp>Prev Close</stp>
        <tr r="P1314" s="1"/>
      </tp>
      <tp>
        <v>1105</v>
        <stp/>
        <stp>bse_cm|KAFLZC28</stp>
        <stp>Prev Close</stp>
        <tr r="P1315" s="1"/>
      </tp>
      <tp>
        <v>1657</v>
        <stp/>
        <stp>bse_cm|KAFLZC26</stp>
        <stp>Prev Close</stp>
        <tr r="P1316" s="1"/>
      </tp>
      <tp t="s">
        <v>BSE</v>
        <stp/>
        <stp>bse_cm|MMFLZC27</stp>
        <stp>Exchange</stp>
        <tr r="C1462" s="1"/>
      </tp>
      <tp t="s">
        <v>BSE</v>
        <stp/>
        <stp>bse_cm|CIFCZC28</stp>
        <stp>Exchange</stp>
        <tr r="C736" s="1"/>
      </tp>
      <tp>
        <v>1040</v>
        <stp/>
        <stp>nse_cm|930SFL28-YP</stp>
        <stp>LTP</stp>
        <tr r="H6" s="1"/>
      </tp>
      <tp t="s">
        <v>11:13:00</v>
        <stp/>
        <stp>nse_cm|930SFL28-YP</stp>
        <stp>LTT</stp>
        <tr r="I6" s="1"/>
      </tp>
      <tp>
        <v>0</v>
        <stp/>
        <stp>nse_cm|850NIRMA27-N7</stp>
        <stp>Prev Close</stp>
        <tr r="P1010" s="1"/>
      </tp>
      <tp>
        <v>0</v>
        <stp/>
        <stp>nse_cm|905SC24B-Z9</stp>
        <stp>Volume Traded Today</stp>
        <tr r="L637" s="1"/>
      </tp>
      <tp t="s">
        <v>BSE</v>
        <stp/>
        <stp>bse_cm|MHFLZC26</stp>
        <stp>Exchange</stp>
        <tr r="C1714" s="1"/>
      </tp>
      <tp t="s">
        <v>BSE</v>
        <stp/>
        <stp>bse_cm|MMFLZC26</stp>
        <stp>Exchange</stp>
        <tr r="C1261" s="1"/>
      </tp>
      <tp t="s">
        <v>BSE</v>
        <stp/>
        <stp>bse_cm|IIFLZC26</stp>
        <stp>Exchange</stp>
        <tr r="C1236" s="1"/>
      </tp>
      <tp t="s">
        <v>BSE</v>
        <stp/>
        <stp>bse_cm|KAFLZC26</stp>
        <stp>Exchange</stp>
        <tr r="C1316" s="1"/>
      </tp>
      <tp t="s">
        <v>BSE</v>
        <stp/>
        <stp>bse_cm|9SFL2026</stp>
        <stp>Exchange</stp>
        <tr r="C1473" s="1"/>
      </tp>
      <tp t="s">
        <v>BSE</v>
        <stp/>
        <stp>bse_cm|8MFL2026</stp>
        <stp>Exchange</stp>
        <tr r="C451" s="1"/>
      </tp>
      <tp t="s">
        <v>BSE</v>
        <stp/>
        <stp>bse_cm|8MFLTD26</stp>
        <stp>Exchange</stp>
        <tr r="C321" s="1"/>
      </tp>
      <tp>
        <v>0</v>
        <stp/>
        <stp>nse_cm|94IFCI25-NL</stp>
        <stp>Open</stp>
        <tr r="M235" s="1"/>
      </tp>
      <tp t="s">
        <v>BSE</v>
        <stp/>
        <stp>bse_cm|MMFLZC25</stp>
        <stp>Exchange</stp>
        <tr r="C1731" s="1"/>
      </tp>
      <tp t="s">
        <v>BSE</v>
        <stp/>
        <stp>bse_cm|NWFLZC25</stp>
        <stp>Exchange</stp>
        <tr r="C1758" s="1"/>
      </tp>
      <tp t="s">
        <v>BSE</v>
        <stp/>
        <stp>bse_cm|IIFLZC25</stp>
        <stp>Exchange</stp>
        <tr r="C1743" s="1"/>
      </tp>
      <tp>
        <v>950</v>
        <stp/>
        <stp>bse_cm|CCIL14824A</stp>
        <stp>Prev Close</stp>
        <tr r="P590" s="1"/>
      </tp>
      <tp>
        <v>1000</v>
        <stp/>
        <stp>bse_cm|CCIL14824B</stp>
        <stp>Prev Close</stp>
        <tr r="P752" s="1"/>
      </tp>
      <tp>
        <v>1000</v>
        <stp/>
        <stp>bse_cm|CCIL14824C</stp>
        <stp>Prev Close</stp>
        <tr r="P751" s="1"/>
      </tp>
      <tp t="e">
        <v>#N/A</v>
        <stp/>
        <stp>bse_cm|MHFLZC24</stp>
        <stp>Exchange</stp>
        <tr r="C35" s="1"/>
      </tp>
      <tp t="s">
        <v/>
        <stp/>
        <stp>nse_cm|931SFL26-Z5</stp>
        <stp>LTT</stp>
        <tr r="I519" s="1"/>
      </tp>
      <tp>
        <v>990.21</v>
        <stp/>
        <stp>nse_cm|931SFL26-Z5</stp>
        <stp>LTP</stp>
        <tr r="H519" s="1"/>
      </tp>
      <tp>
        <v>1000</v>
        <stp/>
        <stp>bse_cm|1050NIDO29</stp>
        <stp>Prev Close</stp>
        <tr r="P1124" s="1"/>
      </tp>
      <tp>
        <v>1022</v>
        <stp/>
        <stp>nse_cm|903SFL28-YI</stp>
        <stp>LTP</stp>
        <tr r="H372" s="1"/>
      </tp>
      <tp t="s">
        <v>09:38:24</v>
        <stp/>
        <stp>nse_cm|903SFL28-YI</stp>
        <stp>LTT</stp>
        <tr r="I372" s="1"/>
      </tp>
      <tp>
        <v>0</v>
        <stp/>
        <stp>nse_cm|93SCFL25-Z1</stp>
        <stp>LTP</stp>
        <tr r="H946" s="1"/>
      </tp>
      <tp t="s">
        <v/>
        <stp/>
        <stp>nse_cm|93SCFL25-Z1</stp>
        <stp>LTT</stp>
        <tr r="I946" s="1"/>
      </tp>
      <tp>
        <v>0</v>
        <stp/>
        <stp>bse_cm|94MFL27A</stp>
        <stp>Volume Traded Today</stp>
        <tr r="L420" s="1"/>
      </tp>
      <tp>
        <v>959.8</v>
        <stp/>
        <stp>bse_cm|1075SCFL34</stp>
        <stp>Prev Close</stp>
        <tr r="P1020" s="1"/>
      </tp>
      <tp>
        <v>1000</v>
        <stp/>
        <stp>bse_cm|1075KAFL28</stp>
        <stp>Prev Close</stp>
        <tr r="P1118" s="1"/>
      </tp>
      <tp>
        <v>945</v>
        <stp/>
        <stp>bse_cm|1075KAFL29</stp>
        <stp>Prev Close</stp>
        <tr r="P125" s="1"/>
      </tp>
      <tp>
        <v>930</v>
        <stp/>
        <stp>bse_cm|1025ICCL26</stp>
        <stp>Prev Close</stp>
        <tr r="P1175" s="1"/>
      </tp>
      <tp>
        <v>950</v>
        <stp/>
        <stp>bse_cm|1075NHFL34</stp>
        <stp>Prev Close</stp>
        <tr r="P1553" s="1"/>
      </tp>
      <tp>
        <v>1000</v>
        <stp/>
        <stp>nse_cm|885TCAPS29-NC</stp>
        <stp>Face Value</stp>
        <tr r="Q13" s="1"/>
      </tp>
      <tp>
        <v>1000</v>
        <stp/>
        <stp>nse_cm|865TCAPS27-N8</stp>
        <stp>Face Value</stp>
        <tr r="Q376" s="1"/>
      </tp>
      <tp>
        <v>0</v>
        <stp/>
        <stp>nse_cm|925SCL26C-ZA</stp>
        <stp>Ask Qty</stp>
        <tr r="G724" s="1"/>
      </tp>
      <tp>
        <v>0</v>
        <stp/>
        <stp>nse_cm|925SCL29A-ZM</stp>
        <stp>Ask Qty</stp>
        <tr r="G1352" s="1"/>
      </tp>
      <tp>
        <v>0</v>
        <stp/>
        <stp>nse_cm|925SCL26D-ZD</stp>
        <stp>Ask Qty</stp>
        <tr r="G1448" s="1"/>
      </tp>
      <tp>
        <v>1583</v>
        <stp/>
        <stp>bse_cm|SFLZC26A</stp>
        <stp>Prev Close</stp>
        <tr r="P1713" s="1"/>
      </tp>
      <tp>
        <v>1472.3</v>
        <stp/>
        <stp>bse_cm|SFLZC25A</stp>
        <stp>Prev Close</stp>
        <tr r="P1583" s="1"/>
      </tp>
      <tp>
        <v>0</v>
        <stp/>
        <stp>nse_cm|925SCL25B-Y3</stp>
        <stp>Ask Qty</stp>
        <tr r="G600" s="1"/>
      </tp>
      <tp>
        <v>0</v>
        <stp/>
        <stp>nse_cm|925SCL25H-Y0</stp>
        <stp>Ask Qty</stp>
        <tr r="G791" s="1"/>
      </tp>
      <tp>
        <v>0</v>
        <stp/>
        <stp>nse_cm|925SCL28B-YC</stp>
        <stp>Ask Qty</stp>
        <tr r="G825" s="1"/>
      </tp>
      <tp>
        <v>0</v>
        <stp/>
        <stp>nse_cm|925SCL26A-YN</stp>
        <stp>Ask Qty</stp>
        <tr r="G838" s="1"/>
      </tp>
      <tp>
        <v>2</v>
        <stp/>
        <stp>nse_cm|925SCL26B-YQ</stp>
        <stp>Ask Qty</stp>
        <tr r="G90" s="1"/>
      </tp>
      <tp>
        <v>1000</v>
        <stp/>
        <stp>bse_cm|SCLZC26H</stp>
        <stp>Prev Close</stp>
        <tr r="P814" s="1"/>
      </tp>
      <tp>
        <v>1000</v>
        <stp/>
        <stp>bse_cm|SCLZC26D</stp>
        <stp>Prev Close</stp>
        <tr r="P705" s="1"/>
      </tp>
      <tp>
        <v>1000</v>
        <stp/>
        <stp>bse_cm|SCLZC26E</stp>
        <stp>Prev Close</stp>
        <tr r="P900" s="1"/>
      </tp>
      <tp>
        <v>1000</v>
        <stp/>
        <stp>bse_cm|SCLZC26F</stp>
        <stp>Prev Close</stp>
        <tr r="P898" s="1"/>
      </tp>
      <tp>
        <v>1000</v>
        <stp/>
        <stp>bse_cm|SCLZC26G</stp>
        <stp>Prev Close</stp>
        <tr r="P799" s="1"/>
      </tp>
      <tp>
        <v>1850</v>
        <stp/>
        <stp>bse_cm|SCLZC26A</stp>
        <stp>Prev Close</stp>
        <tr r="P1343" s="1"/>
      </tp>
      <tp>
        <v>1015.5</v>
        <stp/>
        <stp>bse_cm|SCLZC26B</stp>
        <stp>Prev Close</stp>
        <tr r="P992" s="1"/>
      </tp>
      <tp>
        <v>977</v>
        <stp/>
        <stp>bse_cm|SCLZC26C</stp>
        <stp>Prev Close</stp>
        <tr r="P1399" s="1"/>
      </tp>
      <tp>
        <v>1035.58</v>
        <stp/>
        <stp>bse_cm|SCLZC25D</stp>
        <stp>Prev Close</stp>
        <tr r="P1573" s="1"/>
      </tp>
      <tp>
        <v>1000</v>
        <stp/>
        <stp>bse_cm|SCLZC25E</stp>
        <stp>Prev Close</stp>
        <tr r="P907" s="1"/>
      </tp>
      <tp>
        <v>1031.5999999999999</v>
        <stp/>
        <stp>bse_cm|SCLZC25F</stp>
        <stp>Prev Close</stp>
        <tr r="P1542" s="1"/>
      </tp>
      <tp>
        <v>1000</v>
        <stp/>
        <stp>bse_cm|SCLZC25A</stp>
        <stp>Prev Close</stp>
        <tr r="P1233" s="1"/>
      </tp>
      <tp>
        <v>1089.8499999999999</v>
        <stp/>
        <stp>bse_cm|SCLZC25B</stp>
        <stp>Prev Close</stp>
        <tr r="P1540" s="1"/>
      </tp>
      <tp>
        <v>1000</v>
        <stp/>
        <stp>bse_cm|SCLZC25C</stp>
        <stp>Prev Close</stp>
        <tr r="P1231" s="1"/>
      </tp>
      <tp t="s">
        <v>BSE</v>
        <stp/>
        <stp>bse_cm|CIFCZC25</stp>
        <stp>Exchange</stp>
        <tr r="C1436" s="1"/>
      </tp>
      <tp t="s">
        <v>BSE</v>
        <stp/>
        <stp>bse_cm|CIFCZC26</stp>
        <stp>Exchange</stp>
        <tr r="C738" s="1"/>
      </tp>
      <tp t="s">
        <v>BSE</v>
        <stp/>
        <stp>bse_cm|IIFLHF29</stp>
        <stp>Exchange</stp>
        <tr r="C1631" s="1"/>
      </tp>
      <tp t="s">
        <v>BSE</v>
        <stp/>
        <stp>bse_cm|MMFLZC28</stp>
        <stp>Exchange</stp>
        <tr r="C1259" s="1"/>
      </tp>
      <tp t="s">
        <v>BSE</v>
        <stp/>
        <stp>bse_cm|IIFLZC28</stp>
        <stp>Exchange</stp>
        <tr r="C1660" s="1"/>
      </tp>
      <tp t="s">
        <v>BSE</v>
        <stp/>
        <stp>bse_cm|KAFLZC28</stp>
        <stp>Exchange</stp>
        <tr r="C1315" s="1"/>
      </tp>
      <tp>
        <v>-100</v>
        <stp/>
        <stp>bse_cm|82IGT31</stp>
        <stp>% Change</stp>
        <tr r="J383" s="1"/>
      </tp>
      <tp t="s">
        <v>BSE</v>
        <stp/>
        <stp>bse_cm|8MFLTD28</stp>
        <stp>Exchange</stp>
        <tr r="C366" s="1"/>
      </tp>
      <tp>
        <v>-100</v>
        <stp/>
        <stp>bse_cm|93SCL24</stp>
        <stp>% Change</stp>
        <tr r="J945" s="1"/>
      </tp>
      <tp>
        <v>-100</v>
        <stp/>
        <stp>bse_cm|93SCL25</stp>
        <stp>% Change</stp>
        <tr r="J729" s="1"/>
      </tp>
      <tp>
        <v>0</v>
        <stp/>
        <stp>nse_cm|925SCL28I-BA</stp>
        <stp>Ask Qty</stp>
        <tr r="G821" s="1"/>
      </tp>
      <tp>
        <v>0</v>
        <stp/>
        <stp>nse_cm|925SCL25F-BD</stp>
        <stp>Ask Qty</stp>
        <tr r="G718" s="1"/>
      </tp>
      <tp>
        <v>0</v>
        <stp/>
        <stp>nse_cm|925SCL28C-BS</stp>
        <stp>Ask Qty</stp>
        <tr r="G823" s="1"/>
      </tp>
      <tp t="s">
        <v>09:33:08</v>
        <stp/>
        <stp>nse_cm|96IIFL28-N5</stp>
        <stp>LTT</stp>
        <tr r="I106" s="1"/>
      </tp>
      <tp>
        <v>940</v>
        <stp/>
        <stp>nse_cm|96IIFL28-N5</stp>
        <stp>LTP</stp>
        <tr r="H106" s="1"/>
      </tp>
      <tp>
        <v>2</v>
        <stp/>
        <stp>nse_cm|925SCL25C-AR</stp>
        <stp>Ask Qty</stp>
        <tr r="G249" s="1"/>
      </tp>
      <tp t="s">
        <v/>
        <stp/>
        <stp>nse_cm|975NFL25-N0</stp>
        <stp>LTT</stp>
        <tr r="I256" s="1"/>
      </tp>
      <tp>
        <v>991</v>
        <stp/>
        <stp>nse_cm|975NFL25-N0</stp>
        <stp>LTP</stp>
        <tr r="H256" s="1"/>
      </tp>
      <tp>
        <v>9</v>
        <stp/>
        <stp>nse_cm|915SCL27A-ZL</stp>
        <stp>Bid Qty</stp>
        <tr r="D966" s="1"/>
      </tp>
      <tp>
        <v>16</v>
        <stp/>
        <stp>bse_cm|95CCIL24A</stp>
        <stp>Bid Qty</stp>
        <tr r="D873" s="1"/>
      </tp>
      <tp>
        <v>1170</v>
        <stp/>
        <stp>bse_cm|IML28C</stp>
        <stp>Open</stp>
        <tr r="M1648" s="1"/>
      </tp>
      <tp>
        <v>970</v>
        <stp/>
        <stp>nse_cm|79IGT28-NF</stp>
        <stp>Prev Close</stp>
        <tr r="P692" s="1"/>
      </tp>
      <tp>
        <v>1000</v>
        <stp/>
        <stp>nse_cm|77IGT28-NE</stp>
        <stp>Prev Close</stp>
        <tr r="P1190" s="1"/>
      </tp>
      <tp>
        <v>0</v>
        <stp/>
        <stp>nse_cm|11DLSL25-NV</stp>
        <stp>Open</stp>
        <tr r="M48" s="1"/>
      </tp>
      <tp>
        <v>0</v>
        <stp/>
        <stp>nse_cm|920SCL23A-AO</stp>
        <stp>Ask Qty</stp>
        <tr r="G1113" s="1"/>
      </tp>
      <tp>
        <v>930</v>
        <stp/>
        <stp>nse_cm|9IIFL28-Y0</stp>
        <stp>Prev Close</stp>
        <tr r="P175" s="1"/>
      </tp>
      <tp>
        <v>25</v>
        <stp/>
        <stp>bse_cm|732IRFC25</stp>
        <stp>Bid Qty</stp>
        <tr r="D174" s="1"/>
      </tp>
      <tp>
        <v>1085</v>
        <stp/>
        <stp>bse_cm|1025JFCS28</stp>
        <stp>Prev Close</stp>
        <tr r="P363" s="1"/>
      </tp>
      <tp>
        <v>1000</v>
        <stp/>
        <stp>nse_cm|1003IIFL29-NC</stp>
        <stp>Face Value</stp>
        <tr r="Q1077" s="1"/>
      </tp>
      <tp>
        <v>17</v>
        <stp/>
        <stp>bse_cm|CCIL14824</stp>
        <stp>Bid Qty</stp>
        <tr r="D753" s="1"/>
      </tp>
      <tp t="s">
        <v>BSE</v>
        <stp/>
        <stp>bse_cm|JMFPZC26</stp>
        <stp>Exchange</stp>
        <tr r="C1323" s="1"/>
      </tp>
      <tp>
        <v>0</v>
        <stp/>
        <stp>nse_cm|925SCL25A-NH</stp>
        <stp>Ask Qty</stp>
        <tr r="G715" s="1"/>
      </tp>
      <tp>
        <v>0</v>
        <stp/>
        <stp>nse_cm|925SCL25Z-NE</stp>
        <stp>Ask Qty</stp>
        <tr r="G914" s="1"/>
      </tp>
      <tp>
        <v>0</v>
        <stp/>
        <stp>nse_cm|925SCL25G-NY</stp>
        <stp>Ask Qty</stp>
        <tr r="G887" s="1"/>
      </tp>
      <tp>
        <v>0</v>
        <stp/>
        <stp>nse_cm|925SCL28A-NS</stp>
        <stp>Ask Qty</stp>
        <tr r="G895" s="1"/>
      </tp>
      <tp>
        <v>1000</v>
        <stp/>
        <stp>nse_cm|1050IIFL29-ND</stp>
        <stp>Face Value</stp>
        <tr r="Q585" s="1"/>
      </tp>
      <tp t="s">
        <v>BSE</v>
        <stp/>
        <stp>bse_cm|JMFPZC25</stp>
        <stp>Exchange</stp>
        <tr r="C1324" s="1"/>
      </tp>
      <tp>
        <v>1000</v>
        <stp/>
        <stp>nse_cm|901HUDCO34-NE</stp>
        <stp>Face Value</stp>
        <tr r="Q517" s="1"/>
      </tp>
      <tp t="s">
        <v>SCL24</v>
        <stp/>
        <stp>nse_cm|SCL24-ZD</stp>
        <stp>Symbol</stp>
        <tr r="A956" s="1"/>
      </tp>
      <tp t="s">
        <v>INE01I507802</v>
        <stp/>
        <stp>bse_cm|1075KAFL28</stp>
        <stp>Isin code</stp>
        <tr r="R1118" s="1"/>
      </tp>
      <tp t="s">
        <v>CAGL25A</v>
        <stp/>
        <stp>nse_cm|CAGL25A-N4</stp>
        <stp>Symbol</stp>
        <tr r="A709" s="1"/>
      </tp>
      <tp t="s">
        <v>CAGL27A</v>
        <stp/>
        <stp>nse_cm|CAGL27A-N6</stp>
        <stp>Symbol</stp>
        <tr r="A758" s="1"/>
      </tp>
      <tp t="s">
        <v>INE01I507885</v>
        <stp/>
        <stp>bse_cm|1050KAFL28</stp>
        <stp>Isin code</stp>
        <tr r="R610" s="1"/>
      </tp>
      <tp t="s">
        <v>INE516Y07410</v>
        <stp/>
        <stp>bse_cm|875PCHFL26</stp>
        <stp>Isin code</stp>
        <tr r="R331" s="1"/>
      </tp>
      <tp t="s">
        <v>INE651J07622</v>
        <stp/>
        <stp>bse_cm|975JMFCS28</stp>
        <stp>Isin code</stp>
        <tr r="R275" s="1"/>
      </tp>
      <tp t="s">
        <v>945IFSL25</v>
        <stp/>
        <stp>bse_cm|945IFSL25</stp>
        <stp>Trading Symbol</stp>
        <tr r="B483" s="1"/>
      </tp>
      <tp t="s">
        <v>00:00:00</v>
        <stp/>
        <stp>bse_cm|SFL2722024</stp>
        <stp>LTT</stp>
        <tr r="I806" s="1"/>
      </tp>
      <tp>
        <v>0</v>
        <stp/>
        <stp>bse_cm|SFL2722024</stp>
        <stp>LTP</stp>
        <tr r="H806" s="1"/>
      </tp>
      <tp>
        <v>0</v>
        <stp/>
        <stp>nse_cm|1015SCL28A-AL</stp>
        <stp>Bid Rate</stp>
        <tr r="E1443" s="1"/>
      </tp>
      <tp t="s">
        <v>00:00:00</v>
        <stp/>
        <stp>bse_cm|KFL070824D</stp>
        <stp>LTT</stp>
        <tr r="I1310" s="1"/>
      </tp>
      <tp>
        <v>0</v>
        <stp/>
        <stp>bse_cm|KFL070824A</stp>
        <stp>LTP</stp>
        <tr r="H1313" s="1"/>
      </tp>
      <tp>
        <v>0</v>
        <stp/>
        <stp>bse_cm|KFL070824B</stp>
        <stp>LTP</stp>
        <tr r="H1312" s="1"/>
      </tp>
      <tp>
        <v>0</v>
        <stp/>
        <stp>bse_cm|KFL070824C</stp>
        <stp>LTP</stp>
        <tr r="H1311" s="1"/>
      </tp>
      <tp>
        <v>0</v>
        <stp/>
        <stp>bse_cm|KFL070824D</stp>
        <stp>LTP</stp>
        <tr r="H1310" s="1"/>
      </tp>
      <tp t="s">
        <v>00:00:00</v>
        <stp/>
        <stp>bse_cm|KFL070824A</stp>
        <stp>LTT</stp>
        <tr r="I1313" s="1"/>
      </tp>
      <tp t="s">
        <v>00:00:00</v>
        <stp/>
        <stp>bse_cm|KFL070824B</stp>
        <stp>LTT</stp>
        <tr r="I1312" s="1"/>
      </tp>
      <tp t="s">
        <v>00:00:00</v>
        <stp/>
        <stp>bse_cm|KFL070824C</stp>
        <stp>LTT</stp>
        <tr r="I1311" s="1"/>
      </tp>
      <tp t="s">
        <v>INE523H07BP1</v>
        <stp/>
        <stp>bse_cm|791JMFPL26</stp>
        <stp>Isin code</stp>
        <tr r="R276" s="1"/>
      </tp>
      <tp t="s">
        <v>INE244L07507</v>
        <stp/>
        <stp>nse_cm|1025ICCL26-NT</stp>
        <stp>Isin code</stp>
        <tr r="R771" s="1"/>
      </tp>
      <tp>
        <v>985</v>
        <stp/>
        <stp>nse_cm|1025SCL34A-ZT</stp>
        <stp>Ask Rate</stp>
        <tr r="F171" s="1"/>
      </tp>
      <tp>
        <v>0</v>
        <stp/>
        <stp>bse_cm|1010EFS28A</stp>
        <stp>LTP</stp>
        <tr r="H78" s="1"/>
      </tp>
      <tp t="s">
        <v>00:00:00</v>
        <stp/>
        <stp>bse_cm|1010EFS28A</stp>
        <stp>LTT</stp>
        <tr r="I78" s="1"/>
      </tp>
      <tp>
        <v>0</v>
        <stp/>
        <stp>bse_cm|1010EFS29A</stp>
        <stp>LTP</stp>
        <tr r="H1593" s="1"/>
      </tp>
      <tp t="s">
        <v>00:00:00</v>
        <stp/>
        <stp>bse_cm|1010EFS29A</stp>
        <stp>LTT</stp>
        <tr r="I1593" s="1"/>
      </tp>
      <tp t="s">
        <v>INE148I07NS4</v>
        <stp/>
        <stp>nse_cm|96SCL25-AA</stp>
        <stp>Isin code</stp>
        <tr r="R1067" s="1"/>
      </tp>
      <tp t="s">
        <v>INE614X07381</v>
        <stp/>
        <stp>bse_cm|1049DLSL25</stp>
        <stp>Isin code</stp>
        <tr r="R84" s="1"/>
      </tp>
      <tp>
        <v>880</v>
        <stp/>
        <stp>nse_cm|1015SCL28B-AZ</stp>
        <stp>Bid Rate</stp>
        <tr r="E1614" s="1"/>
      </tp>
      <tp t="s">
        <v>INE302E07466</v>
        <stp/>
        <stp>bse_cm|10SFL27</stp>
        <stp>Isin code</stp>
        <tr r="R863" s="1"/>
      </tp>
      <tp t="s">
        <v>INE403Q07CH2</v>
        <stp/>
        <stp>bse_cm|9KSFL27</stp>
        <stp>Isin code</stp>
        <tr r="R1418" s="1"/>
      </tp>
      <tp t="s">
        <v>INE721A07PN1</v>
        <stp/>
        <stp>bse_cm|91SFL27</stp>
        <stp>Isin code</stp>
        <tr r="R574" s="1"/>
      </tp>
      <tp>
        <v>0</v>
        <stp/>
        <stp>bse_cm|840CIFCL28</stp>
        <stp>ATP</stp>
        <tr r="K419" s="1"/>
      </tp>
      <tp>
        <v>0</v>
        <stp/>
        <stp>bse_cm|860CIFCL28</stp>
        <stp>ATP</stp>
        <tr r="K1431" s="1"/>
      </tp>
      <tp>
        <v>0</v>
        <stp/>
        <stp>bse_cm|850CIFCL26</stp>
        <stp>ATP</stp>
        <tr r="K1164" s="1"/>
      </tp>
      <tp>
        <v>0</v>
        <stp/>
        <stp>bse_cm|10IIFLSF27</stp>
        <stp>ATP</stp>
        <tr r="K1098" s="1"/>
      </tp>
      <tp t="s">
        <v>INE148I07NL9</v>
        <stp/>
        <stp>bse_cm|98SCL27</stp>
        <stp>Isin code</stp>
        <tr r="R1545" s="1"/>
      </tp>
      <tp t="s">
        <v>INE148I07TF8</v>
        <stp/>
        <stp>bse_cm|99SCL27</stp>
        <stp>Isin code</stp>
        <tr r="R1169" s="1"/>
      </tp>
      <tp t="s">
        <v>INE148I07TI2</v>
        <stp/>
        <stp>bse_cm|94SCL27</stp>
        <stp>Isin code</stp>
        <tr r="R1152" s="1"/>
      </tp>
      <tp t="s">
        <v>INE148I07MD8</v>
        <stp/>
        <stp>bse_cm|87SCL27</stp>
        <stp>Isin code</stp>
        <tr r="R978" s="1"/>
      </tp>
      <tp>
        <v>-100</v>
        <stp/>
        <stp>bse_cm|1102NFL26</stp>
        <stp>% Change</stp>
        <tr r="J567" s="1"/>
      </tp>
      <tp>
        <v>-100</v>
        <stp/>
        <stp>bse_cm|EFS290424</stp>
        <stp>% Change</stp>
        <tr r="J570" s="1"/>
      </tp>
      <tp t="e">
        <v>#N/A</v>
        <stp/>
        <stp>bse_cm|1075IML24A</stp>
        <stp>Volume Traded Today</stp>
        <tr r="L32" s="1"/>
      </tp>
      <tp>
        <v>0</v>
        <stp/>
        <stp>bse_cm|1125KLM26A</stp>
        <stp>Volume Traded Today</stp>
        <tr r="L1226" s="1"/>
      </tp>
      <tp>
        <v>0</v>
        <stp/>
        <stp>bse_cm|1025KFL26A</stp>
        <stp>Volume Traded Today</stp>
        <tr r="L525" s="1"/>
      </tp>
      <tp>
        <v>0</v>
        <stp/>
        <stp>bse_cm|1025KFL26C</stp>
        <stp>Volume Traded Today</stp>
        <tr r="L459" s="1"/>
      </tp>
      <tp>
        <v>0</v>
        <stp/>
        <stp>bse_cm|1025KFL26B</stp>
        <stp>Volume Traded Today</stp>
        <tr r="L1422" s="1"/>
      </tp>
      <tp>
        <v>0</v>
        <stp/>
        <stp>bse_cm|IIFLHFZC27</stp>
        <stp>ATP</stp>
        <tr r="K1516" s="1"/>
      </tp>
      <tp>
        <v>112</v>
        <stp/>
        <stp>bse_cm|1025KFL27A</stp>
        <stp>Volume Traded Today</stp>
        <tr r="L89" s="1"/>
      </tp>
      <tp>
        <v>0</v>
        <stp/>
        <stp>bse_cm|1025MMF26A</stp>
        <stp>Volume Traded Today</stp>
        <tr r="L290" s="1"/>
      </tp>
      <tp t="s">
        <v>INE244L07457</v>
        <stp/>
        <stp>nse_cm|965ICCL25I-NQ</stp>
        <stp>Isin code</stp>
        <tr r="R696" s="1"/>
      </tp>
      <tp>
        <v>0</v>
        <stp/>
        <stp>bse_cm|875TCAPS29</stp>
        <stp>Volume Traded Today</stp>
        <tr r="L935" s="1"/>
      </tp>
      <tp>
        <v>0</v>
        <stp/>
        <stp>bse_cm|855TCAPS27</stp>
        <stp>Volume Traded Today</stp>
        <tr r="L1004" s="1"/>
      </tp>
      <tp>
        <v>0</v>
        <stp/>
        <stp>bse_cm|865TCAPS27</stp>
        <stp>Volume Traded Today</stp>
        <tr r="L377" s="1"/>
      </tp>
      <tp>
        <v>0</v>
        <stp/>
        <stp>bse_cm|885TCAPS29</stp>
        <stp>Volume Traded Today</stp>
        <tr r="L12" s="1"/>
      </tp>
      <tp>
        <v>0</v>
        <stp/>
        <stp>bse_cm|1025SFL25A</stp>
        <stp>Volume Traded Today</stp>
        <tr r="L1070" s="1"/>
      </tp>
      <tp>
        <v>1154</v>
        <stp/>
        <stp>nse_cm|855IREDA29-N2</stp>
        <stp>Bid Rate</stp>
        <tr r="E505" s="1"/>
      </tp>
      <tp>
        <v>1210.0999999999999</v>
        <stp/>
        <stp>nse_cm|855IREDA34-N3</stp>
        <stp>Bid Rate</stp>
        <tr r="E558" s="1"/>
      </tp>
      <tp>
        <v>1165</v>
        <stp/>
        <stp>nse_cm|880IREDA29-N5</stp>
        <stp>Bid Rate</stp>
        <tr r="E510" s="1"/>
      </tp>
      <tp>
        <v>0</v>
        <stp/>
        <stp>bse_cm|702HUDCO26</stp>
        <stp>Volume Traded Today</stp>
        <tr r="L1718" s="1"/>
      </tp>
      <tp>
        <v>0</v>
        <stp/>
        <stp>bse_cm|704HUDCO26</stp>
        <stp>Volume Traded Today</stp>
        <tr r="L1724" s="1"/>
      </tp>
      <tp>
        <v>0</v>
        <stp/>
        <stp>bse_cm|729HUDCO26</stp>
        <stp>Volume Traded Today</stp>
        <tr r="L523" s="1"/>
      </tp>
      <tp>
        <v>250</v>
        <stp/>
        <stp>bse_cm|727HUDCO26</stp>
        <stp>Volume Traded Today</stp>
        <tr r="L481" s="1"/>
      </tp>
      <tp>
        <v>1290.51</v>
        <stp/>
        <stp>nse_cm|880IREDA34-N6</stp>
        <stp>Bid Rate</stp>
        <tr r="E511" s="1"/>
      </tp>
      <tp>
        <v>0</v>
        <stp/>
        <stp>bse_cm|769HUDCO31</stp>
        <stp>Volume Traded Today</stp>
        <tr r="L15" s="1"/>
      </tp>
      <tp>
        <v>0</v>
        <stp/>
        <stp>bse_cm|764HUDCO31</stp>
        <stp>Volume Traded Today</stp>
        <tr r="L16" s="1"/>
      </tp>
      <tp>
        <v>0</v>
        <stp/>
        <stp>bse_cm|739HUDCO31</stp>
        <stp>Volume Traded Today</stp>
        <tr r="L569" s="1"/>
      </tp>
      <tp>
        <v>1150</v>
        <stp/>
        <stp>nse_cm|774IREDA31-N7</stp>
        <stp>Bid Rate</stp>
        <tr r="E18" s="1"/>
      </tp>
      <tp>
        <v>-100</v>
        <stp/>
        <stp>bse_cm|SFL270224</stp>
        <stp>% Change</stp>
        <tr r="J808" s="1"/>
      </tp>
      <tp>
        <v>-100</v>
        <stp/>
        <stp>bse_cm|1003SCL31</stp>
        <stp>% Change</stp>
        <tr r="J727" s="1"/>
      </tp>
      <tp>
        <v>-100</v>
        <stp/>
        <stp>bse_cm|1003SCL30</stp>
        <stp>% Change</stp>
        <tr r="J877" s="1"/>
      </tp>
      <tp>
        <v>0</v>
        <stp/>
        <stp>bse_cm|1015SCL28A</stp>
        <stp>Volume Traded Today</stp>
        <tr r="L1386" s="1"/>
      </tp>
      <tp>
        <v>0</v>
        <stp/>
        <stp>bse_cm|1015SCL28B</stp>
        <stp>Volume Traded Today</stp>
        <tr r="L1178" s="1"/>
      </tp>
      <tp>
        <v>1000</v>
        <stp/>
        <stp>bse_cm|12IML26</stp>
        <stp>Face Value</stp>
        <tr r="Q1494" s="1"/>
      </tp>
      <tp>
        <v>1000</v>
        <stp/>
        <stp>bse_cm|11MML28</stp>
        <stp>Face Value</stp>
        <tr r="Q1131" s="1"/>
      </tp>
      <tp>
        <v>1000</v>
        <stp/>
        <stp>bse_cm|11IML26</stp>
        <stp>Face Value</stp>
        <tr r="Q1132" s="1"/>
      </tp>
      <tp>
        <v>1000</v>
        <stp/>
        <stp>bse_cm|11IML27</stp>
        <stp>Face Value</stp>
        <tr r="Q177" s="1"/>
      </tp>
      <tp>
        <v>1000</v>
        <stp/>
        <stp>bse_cm|865MF25</stp>
        <stp>Face Value</stp>
        <tr r="Q111" s="1"/>
      </tp>
      <tp>
        <v>1000.55</v>
        <stp/>
        <stp>bse_cm|829LTF24</stp>
        <stp>High</stp>
        <tr r="N4" s="1"/>
      </tp>
      <tp t="s">
        <v>BSE</v>
        <stp/>
        <stp>bse_cm|KFLZC28A</stp>
        <stp>Exchange</stp>
        <tr r="C1289" s="1"/>
      </tp>
      <tp>
        <v>5</v>
        <stp/>
        <stp>nse_cm|11DLSL25A-Y3</stp>
        <stp>Bid Qty</stp>
        <tr r="D64" s="1"/>
      </tp>
      <tp>
        <v>10</v>
        <stp/>
        <stp>nse_cm|888IRFC29-NE</stp>
        <stp>Ask Qty</stp>
        <tr r="G508" s="1"/>
      </tp>
      <tp>
        <v>0</v>
        <stp/>
        <stp>bse_cm|9ICCL23A</stp>
        <stp>Ask Rate</stp>
        <tr r="F1434" s="1"/>
      </tp>
      <tp>
        <v>0</v>
        <stp/>
        <stp>nse_cm|980SCL33-NX</stp>
        <stp>Volume Traded Today</stp>
        <tr r="L360" s="1"/>
      </tp>
      <tp>
        <v>3</v>
        <stp/>
        <stp>nse_cm|985ECL28-NK</stp>
        <stp>Volume Traded Today</stp>
        <tr r="L52" s="1"/>
      </tp>
      <tp>
        <v>0</v>
        <stp/>
        <stp>nse_cm|971SCL28-AN</stp>
        <stp>Volume Traded Today</stp>
        <tr r="L538" s="1"/>
      </tp>
      <tp t="s">
        <v>BSE</v>
        <stp/>
        <stp>bse_cm|KFLZC28C</stp>
        <stp>Exchange</stp>
        <tr r="C1287" s="1"/>
      </tp>
      <tp>
        <v>0</v>
        <stp/>
        <stp>nse_cm|98ICCL26-NU</stp>
        <stp>Volume Traded Today</stp>
        <tr r="L1569" s="1"/>
      </tp>
      <tp>
        <v>0</v>
        <stp/>
        <stp>bse_cm|CAGL28</stp>
        <stp>Open</stp>
        <tr r="M757" s="1"/>
      </tp>
      <tp>
        <v>0</v>
        <stp/>
        <stp>nse_cm|957SCL30-BX</stp>
        <stp>Volume Traded Today</stp>
        <tr r="L1109" s="1"/>
      </tp>
      <tp>
        <v>0</v>
        <stp/>
        <stp>nse_cm|965SCL25-AG</stp>
        <stp>Volume Traded Today</stp>
        <tr r="L1577" s="1"/>
      </tp>
      <tp>
        <v>0</v>
        <stp/>
        <stp>nse_cm|965SCL28-AK</stp>
        <stp>Volume Traded Today</stp>
        <tr r="L1137" s="1"/>
      </tp>
      <tp t="s">
        <v>INE244L07309</v>
        <stp/>
        <stp>nse_cm|1030ICC26-NJ</stp>
        <stp>Isin code</stp>
        <tr r="R1514" s="1"/>
      </tp>
      <tp t="s">
        <v>INE741K07595</v>
        <stp/>
        <stp>nse_cm|925CAGL26-N9</stp>
        <stp>Isin code</stp>
        <tr r="R639" s="1"/>
      </tp>
      <tp t="s">
        <v>BSE</v>
        <stp/>
        <stp>bse_cm|KFLZC28B</stp>
        <stp>Exchange</stp>
        <tr r="C1288" s="1"/>
      </tp>
      <tp>
        <v>10</v>
        <stp/>
        <stp>nse_cm|985IIFL22-NC</stp>
        <stp>Ask Qty</stp>
        <tr r="G114" s="1"/>
      </tp>
      <tp>
        <v>516</v>
        <stp/>
        <stp>nse_cm|990SCL26-N7</stp>
        <stp>Volume Traded Today</stp>
        <tr r="L422" s="1"/>
      </tp>
      <tp t="s">
        <v>10:33:06</v>
        <stp/>
        <stp>bse_cm|10SCL30A</stp>
        <stp>LTT</stp>
        <tr r="I444" s="1"/>
      </tp>
      <tp>
        <v>880</v>
        <stp/>
        <stp>bse_cm|10SCL30A</stp>
        <stp>LTP</stp>
        <tr r="H444" s="1"/>
      </tp>
      <tp t="s">
        <v>BSE</v>
        <stp/>
        <stp>bse_cm|MFLZC28E</stp>
        <stp>Exchange</stp>
        <tr r="C1269" s="1"/>
      </tp>
      <tp>
        <v>0</v>
        <stp/>
        <stp>bse_cm|CIFC26</stp>
        <stp>Open</stp>
        <tr r="M742" s="1"/>
      </tp>
      <tp t="s">
        <v>00:00:00</v>
        <stp/>
        <stp>bse_cm|10SCL31A</stp>
        <stp>LTT</stp>
        <tr r="I865" s="1"/>
      </tp>
      <tp>
        <v>0</v>
        <stp/>
        <stp>bse_cm|10SCL31A</stp>
        <stp>LTP</stp>
        <tr r="H865" s="1"/>
      </tp>
      <tp>
        <v>805.4</v>
        <stp/>
        <stp>nse_cm|97SFL26A-NC</stp>
        <stp>Bid Rate</stp>
        <tr r="E784" s="1"/>
      </tp>
      <tp>
        <v>1000</v>
        <stp/>
        <stp>bse_cm|775MFLTD26</stp>
        <stp>Face Value</stp>
        <tr r="Q652" s="1"/>
      </tp>
      <tp>
        <v>1000</v>
        <stp/>
        <stp>bse_cm|775MFLTD25</stp>
        <stp>Face Value</stp>
        <tr r="Q649" s="1"/>
      </tp>
      <tp>
        <v>1000</v>
        <stp/>
        <stp>bse_cm|775MFLTD28</stp>
        <stp>Face Value</stp>
        <tr r="Q1192" s="1"/>
      </tp>
      <tp>
        <v>0</v>
        <stp/>
        <stp>nse_cm|89SCL24A-ZM</stp>
        <stp>Ask Rate</stp>
        <tr r="F970" s="1"/>
      </tp>
      <tp>
        <v>0</v>
        <stp/>
        <stp>nse_cm|99IFCI24-NH</stp>
        <stp>Volume Traded Today</stp>
        <tr r="L39" s="1"/>
      </tp>
      <tp>
        <v>0</v>
        <stp/>
        <stp>nse_cm|925SCL28-AM</stp>
        <stp>Volume Traded Today</stp>
        <tr r="L939" s="1"/>
      </tp>
      <tp>
        <v>970</v>
        <stp/>
        <stp>nse_cm|769IGT28-NH</stp>
        <stp xml:space="preserve">Low </stp>
        <tr r="O1487" s="1"/>
      </tp>
      <tp t="s">
        <v>BSE</v>
        <stp/>
        <stp>bse_cm|MFLZC28F</stp>
        <stp>Exchange</stp>
        <tr r="C1268" s="1"/>
      </tp>
      <tp>
        <v>0</v>
        <stp/>
        <stp>nse_cm|925SCL26-NR</stp>
        <stp>Volume Traded Today</stp>
        <tr r="L991" s="1"/>
      </tp>
      <tp>
        <v>4</v>
        <stp/>
        <stp>nse_cm|925SCL25-N5</stp>
        <stp>Volume Traded Today</stp>
        <tr r="L1474" s="1"/>
      </tp>
      <tp>
        <v>0</v>
        <stp/>
        <stp>nse_cm|92ICCL28-ND</stp>
        <stp>Volume Traded Today</stp>
        <tr r="L203" s="1"/>
      </tp>
      <tp>
        <v>0</v>
        <stp/>
        <stp>nse_cm|935SCL28-NV</stp>
        <stp>Volume Traded Today</stp>
        <tr r="L986" s="1"/>
      </tp>
      <tp>
        <v>980</v>
        <stp/>
        <stp>bse_cm|769IGT28</stp>
        <stp>High</stp>
        <tr r="N1195" s="1"/>
      </tp>
      <tp>
        <v>0</v>
        <stp/>
        <stp>bse_cm|749IGT28</stp>
        <stp>High</stp>
        <tr r="N1198" s="1"/>
      </tp>
      <tp>
        <v>1000</v>
        <stp/>
        <stp>bse_cm|791JMFPL26</stp>
        <stp>Face Value</stp>
        <tr r="Q276" s="1"/>
      </tp>
      <tp>
        <v>0</v>
        <stp/>
        <stp>nse_cm|902SCL26-N8</stp>
        <stp>Volume Traded Today</stp>
        <tr r="L968" s="1"/>
      </tp>
      <tp>
        <v>0</v>
        <stp/>
        <stp>bse_cm|CIFC28</stp>
        <stp>Open</stp>
        <tr r="M1529" s="1"/>
      </tp>
      <tp>
        <v>0</v>
        <stp/>
        <stp>nse_cm|915SCL26-NE</stp>
        <stp>Volume Traded Today</stp>
        <tr r="L58" s="1"/>
      </tp>
      <tp>
        <v>0</v>
        <stp/>
        <stp>nse_cm|94IFCI25-NL</stp>
        <stp>Volume Traded Today</stp>
        <tr r="L235" s="1"/>
      </tp>
      <tp>
        <v>0</v>
        <stp/>
        <stp>bse_cm|CAGL26</stp>
        <stp>Open</stp>
        <tr r="M708" s="1"/>
      </tp>
      <tp>
        <v>0</v>
        <stp/>
        <stp>nse_cm|975SCL28-NT</stp>
        <stp>Volume Traded Today</stp>
        <tr r="L142" s="1"/>
      </tp>
      <tp>
        <v>1000</v>
        <stp/>
        <stp>bse_cm|872MMFSL26</stp>
        <stp>Face Value</stp>
        <tr r="Q406" s="1"/>
      </tp>
      <tp>
        <v>0</v>
        <stp/>
        <stp>bse_cm|CAGL27</stp>
        <stp>Open</stp>
        <tr r="M734" s="1"/>
      </tp>
      <tp>
        <v>530</v>
        <stp/>
        <stp>nse_cm|943ECL28-NJ</stp>
        <stp>Volume Traded Today</stp>
        <tr r="L94" s="1"/>
      </tp>
      <tp>
        <v>40</v>
        <stp/>
        <stp>nse_cm|888ERFL28-N5</stp>
        <stp>Ask Qty</stp>
        <tr r="G63" s="1"/>
      </tp>
      <tp>
        <v>0</v>
        <stp/>
        <stp>nse_cm|940SCL26-N6</stp>
        <stp>Volume Traded Today</stp>
        <tr r="L921" s="1"/>
      </tp>
      <tp>
        <v>0</v>
        <stp/>
        <stp>nse_cm|948SCL26-N9</stp>
        <stp>Volume Traded Today</stp>
        <tr r="L1632" s="1"/>
      </tp>
      <tp>
        <v>0</v>
        <stp/>
        <stp>bse_cm|CAGL24</stp>
        <stp>Open</stp>
        <tr r="M1761" s="1"/>
      </tp>
      <tp>
        <v>0</v>
        <stp/>
        <stp>bse_cm|CAGL25</stp>
        <stp>Open</stp>
        <tr r="M1061" s="1"/>
      </tp>
      <tp>
        <v>1000</v>
        <stp/>
        <stp>bse_cm|829PFL29</stp>
        <stp>High</stp>
        <tr r="N930" s="1"/>
      </tp>
      <tp>
        <v>975</v>
        <stp/>
        <stp>bse_cm|950KLMAF25</stp>
        <stp>Prev Close</stp>
        <tr r="P1149" s="1"/>
      </tp>
      <tp>
        <v>991</v>
        <stp/>
        <stp>nse_cm|81ABFL33-N5</stp>
        <stp>Open</stp>
        <tr r="M1588" s="1"/>
      </tp>
      <tp>
        <v>992</v>
        <stp/>
        <stp>nse_cm|990SCL27-YT</stp>
        <stp xml:space="preserve">Low </stp>
        <tr r="O1024" s="1"/>
      </tp>
      <tp>
        <v>2070</v>
        <stp/>
        <stp>bse_cm|MMFSL26A</stp>
        <stp>Ask Rate</stp>
        <tr r="F1722" s="1"/>
      </tp>
      <tp>
        <v>972.36</v>
        <stp/>
        <stp>bse_cm|889SCL28</stp>
        <stp>High</stp>
        <tr r="N1069" s="1"/>
      </tp>
      <tp>
        <v>0</v>
        <stp/>
        <stp>bse_cm|JMFPZC26</stp>
        <stp>ATP</stp>
        <tr r="K1323" s="1"/>
      </tp>
      <tp>
        <v>0</v>
        <stp/>
        <stp>bse_cm|JMFPZC25</stp>
        <stp>ATP</stp>
        <tr r="K1324" s="1"/>
      </tp>
      <tp>
        <v>0</v>
        <stp/>
        <stp>bse_cm|MMFLZC27</stp>
        <stp>ATP</stp>
        <tr r="K1462" s="1"/>
      </tp>
      <tp>
        <v>0</v>
        <stp/>
        <stp>bse_cm|MMFLZC26</stp>
        <stp>ATP</stp>
        <tr r="K1261" s="1"/>
      </tp>
      <tp>
        <v>0</v>
        <stp/>
        <stp>bse_cm|MMFLZC25</stp>
        <stp>ATP</stp>
        <tr r="K1731" s="1"/>
      </tp>
      <tp>
        <v>0</v>
        <stp/>
        <stp>bse_cm|MMFLZC28</stp>
        <stp>ATP</stp>
        <tr r="K1259" s="1"/>
      </tp>
      <tp>
        <v>1610</v>
        <stp/>
        <stp>bse_cm|JMFPZC26</stp>
        <stp>Prev Close</stp>
        <tr r="P1323" s="1"/>
      </tp>
      <tp>
        <v>1490</v>
        <stp/>
        <stp>bse_cm|JMFPZC25</stp>
        <stp>Prev Close</stp>
        <tr r="P1324" s="1"/>
      </tp>
      <tp>
        <v>0</v>
        <stp/>
        <stp>nse_cm|990SCL27-YT</stp>
        <stp>Volume Traded Today</stp>
        <tr r="L1024" s="1"/>
      </tp>
      <tp>
        <v>0</v>
        <stp/>
        <stp>nse_cm|915SCL26-NE</stp>
        <stp>Open</stp>
        <tr r="M58" s="1"/>
      </tp>
      <tp>
        <v>0</v>
        <stp/>
        <stp>nse_cm|980SCL34-Z7</stp>
        <stp>Volume Traded Today</stp>
        <tr r="L884" s="1"/>
      </tp>
      <tp t="s">
        <v>888SCL25-NG</v>
        <stp/>
        <stp>nse_cm|888SCL25-NG</stp>
        <stp>Trading Symbol</stp>
        <tr r="B912" s="1"/>
      </tp>
      <tp>
        <v>0</v>
        <stp/>
        <stp>nse_cm|889SCFL27-YC</stp>
        <stp>Ask Qty</stp>
        <tr r="G595" s="1"/>
      </tp>
      <tp t="s">
        <v>894SCL25-Z3</v>
        <stp/>
        <stp>nse_cm|894SCL25-Z3</stp>
        <stp>Trading Symbol</stp>
        <tr r="B1698" s="1"/>
      </tp>
      <tp t="s">
        <v>866SCL25-YP</v>
        <stp/>
        <stp>nse_cm|866SCL25-YP</stp>
        <stp>Trading Symbol</stp>
        <tr r="B933" s="1"/>
      </tp>
      <tp t="s">
        <v>847SCL25-Z2</v>
        <stp/>
        <stp>nse_cm|847SCL25-Z2</stp>
        <stp>Trading Symbol</stp>
        <tr r="B212" s="1"/>
      </tp>
      <tp t="s">
        <v>850SCL25-YL</v>
        <stp/>
        <stp>nse_cm|850SCL25-YL</stp>
        <stp>Trading Symbol</stp>
        <tr r="B922" s="1"/>
      </tp>
      <tp t="s">
        <v>820SCL25-YO</v>
        <stp/>
        <stp>nse_cm|820SCL25-YO</stp>
        <stp>Trading Symbol</stp>
        <tr r="B932" s="1"/>
      </tp>
      <tp>
        <v>0</v>
        <stp/>
        <stp>nse_cm|940SCL27-YS</stp>
        <stp>Volume Traded Today</stp>
        <tr r="L842" s="1"/>
      </tp>
      <tp>
        <v>0</v>
        <stp/>
        <stp>nse_cm|948SCL27-YV</stp>
        <stp>Volume Traded Today</stp>
        <tr r="L127" s="1"/>
      </tp>
      <tp t="s">
        <v>965SCL25-AG</v>
        <stp/>
        <stp>nse_cm|965SCL25-AG</stp>
        <stp>Trading Symbol</stp>
        <tr r="B1577" s="1"/>
      </tp>
      <tp t="s">
        <v>925SCL25-N5</v>
        <stp/>
        <stp>nse_cm|925SCL25-N5</stp>
        <stp>Trading Symbol</stp>
        <tr r="B1474" s="1"/>
      </tp>
      <tp t="s">
        <v>955SCL25-ZU</v>
        <stp/>
        <stp>nse_cm|955SCL25-ZU</stp>
        <stp>Trading Symbol</stp>
        <tr r="B1391" s="1"/>
      </tp>
      <tp t="s">
        <v>916SCL25-ZW</v>
        <stp/>
        <stp>nse_cm|916SCL25-ZW</stp>
        <stp>Trading Symbol</stp>
        <tr r="B1576" s="1"/>
      </tp>
      <tp t="s">
        <v>905SCL25-ZT</v>
        <stp/>
        <stp>nse_cm|905SCL25-ZT</stp>
        <stp>Trading Symbol</stp>
        <tr r="B977" s="1"/>
      </tp>
      <tp>
        <v>0</v>
        <stp/>
        <stp>nse_cm|971SCL29-Z0</stp>
        <stp>Volume Traded Today</stp>
        <tr r="L681" s="1"/>
      </tp>
      <tp>
        <v>0</v>
        <stp/>
        <stp>nse_cm|889SCFL27-YC</stp>
        <stp>% Change</stp>
        <tr r="J595" s="1"/>
      </tp>
      <tp>
        <v>0</v>
        <stp/>
        <stp>nse_cm|975SCL27-Z9</stp>
        <stp>Volume Traded Today</stp>
        <tr r="L885" s="1"/>
      </tp>
      <tp>
        <v>0</v>
        <stp/>
        <stp>nse_cm|955SCL25-ZU</stp>
        <stp>Volume Traded Today</stp>
        <tr r="L1391" s="1"/>
      </tp>
      <tp>
        <v>0</v>
        <stp/>
        <stp>nse_cm|965SCL29-YX</stp>
        <stp>Volume Traded Today</stp>
        <tr r="L847" s="1"/>
      </tp>
      <tp>
        <v>0</v>
        <stp/>
        <stp>nse_cm|965SCL26-YO</stp>
        <stp>Volume Traded Today</stp>
        <tr r="L146" s="1"/>
      </tp>
      <tp>
        <v>1762</v>
        <stp/>
        <stp>bse_cm|702HUDCO26</stp>
        <stp>Prev Close</stp>
        <tr r="P1718" s="1"/>
      </tp>
      <tp>
        <v>2455</v>
        <stp/>
        <stp>nse_cm|IFCIZC24-NI</stp>
        <stp>Bid Rate</stp>
        <tr r="E1768" s="1"/>
      </tp>
      <tp>
        <v>0</v>
        <stp/>
        <stp>nse_cm|957SCL31-Z3</stp>
        <stp>Volume Traded Today</stp>
        <tr r="L874" s="1"/>
      </tp>
      <tp>
        <v>0</v>
        <stp/>
        <stp>nse_cm|955SCL27-Z5</stp>
        <stp>Volume Traded Today</stp>
        <tr r="L949" s="1"/>
      </tp>
      <tp>
        <v>0</v>
        <stp/>
        <stp>bse_cm|939SCL27</stp>
        <stp>High</stp>
        <tr r="N985" s="1"/>
      </tp>
      <tp>
        <v>954</v>
        <stp/>
        <stp>bse_cm|889SCL27</stp>
        <stp>High</stp>
        <tr r="N121" s="1"/>
      </tp>
      <tp>
        <v>0</v>
        <stp/>
        <stp>nse_cm|902SCL27-YU</stp>
        <stp>Volume Traded Today</stp>
        <tr r="L844" s="1"/>
      </tp>
      <tp>
        <v>0</v>
        <stp/>
        <stp>nse_cm|939SCL27-ZZ</stp>
        <stp>Volume Traded Today</stp>
        <tr r="L982" s="1"/>
      </tp>
      <tp>
        <v>920</v>
        <stp/>
        <stp>bse_cm|889SCL26</stp>
        <stp>High</stp>
        <tr r="N237" s="1"/>
      </tp>
      <tp>
        <v>937.61</v>
        <stp/>
        <stp>bse_cm|879SCL26</stp>
        <stp>High</stp>
        <tr r="N1351" s="1"/>
      </tp>
      <tp t="s">
        <v>866SFL25-ZE</v>
        <stp/>
        <stp>nse_cm|866SFL25-ZE</stp>
        <stp>Trading Symbol</stp>
        <tr r="B1389" s="1"/>
      </tp>
      <tp>
        <v>0</v>
        <stp/>
        <stp>nse_cm|905SCL25-ZT</stp>
        <stp>Volume Traded Today</stp>
        <tr r="L977" s="1"/>
      </tp>
      <tp t="s">
        <v>861REC34-ND</v>
        <stp/>
        <stp>nse_cm|861REC34-ND</stp>
        <stp>Trading Symbol</stp>
        <tr r="B583" s="1"/>
      </tp>
      <tp t="s">
        <v>886REC34-NG</v>
        <stp/>
        <stp>nse_cm|886REC34-NG</stp>
        <stp>Trading Symbol</stp>
        <tr r="B536" s="1"/>
      </tp>
      <tp>
        <v>0</v>
        <stp/>
        <stp>nse_cm|905SCL27-Z4</stp>
        <stp>Volume Traded Today</stp>
        <tr r="L947" s="1"/>
      </tp>
      <tp>
        <v>50</v>
        <stp/>
        <stp>nse_cm|925SCL27-YR</stp>
        <stp>Volume Traded Today</stp>
        <tr r="L1415" s="1"/>
      </tp>
      <tp>
        <v>0</v>
        <stp/>
        <stp>nse_cm|916SCL25-ZW</stp>
        <stp>Volume Traded Today</stp>
        <tr r="L1576" s="1"/>
      </tp>
      <tp>
        <v>0</v>
        <stp/>
        <stp>nse_cm|925SCL29-YZ</stp>
        <stp>Volume Traded Today</stp>
        <tr r="L851" s="1"/>
      </tp>
      <tp>
        <v>1150.0999999999999</v>
        <stp/>
        <stp>bse_cm|718REC35</stp>
        <stp>High</stp>
        <tr r="N549" s="1"/>
      </tp>
      <tp t="s">
        <v>905PEL26-N1</v>
        <stp/>
        <stp>nse_cm|905PEL26-N1</stp>
        <stp>Trading Symbol</stp>
        <tr r="B500" s="1"/>
      </tp>
      <tp>
        <v>2341</v>
        <stp/>
        <stp>nse_cm|IFCIZC25-NM</stp>
        <stp>Bid Rate</stp>
        <tr r="E1765" s="1"/>
      </tp>
      <tp>
        <v>0</v>
        <stp/>
        <stp>nse_cm|915SCL27-Z7</stp>
        <stp>Volume Traded Today</stp>
        <tr r="L1475" s="1"/>
      </tp>
      <tp>
        <v>1000</v>
        <stp/>
        <stp>bse_cm|1010MFCL30</stp>
        <stp>Prev Close</stp>
        <tr r="P285" s="1"/>
      </tp>
      <tp>
        <v>1001</v>
        <stp/>
        <stp>nse_cm|925AEL26-N1</stp>
        <stp>Open</stp>
        <tr r="M330" s="1"/>
      </tp>
      <tp>
        <v>1000</v>
        <stp/>
        <stp>nse_cm|10SCL31-Z1</stp>
        <stp>Face Value</stp>
        <tr r="Q866" s="1"/>
      </tp>
      <tp>
        <v>40</v>
        <stp/>
        <stp>bse_cm|732IRFC25</stp>
        <stp>Ask Qty</stp>
        <tr r="G174" s="1"/>
      </tp>
      <tp>
        <v>0</v>
        <stp/>
        <stp>bse_cm|93ARKA26</stp>
        <stp>Ask Rate</stp>
        <tr r="F981" s="1"/>
      </tp>
      <tp>
        <v>-100</v>
        <stp/>
        <stp>bse_cm|10KFL28</stp>
        <stp>% Change</stp>
        <tr r="J674" s="1"/>
      </tp>
      <tp>
        <v>1001.43</v>
        <stp/>
        <stp>nse_cm|925SCL25-N5</stp>
        <stp>Open</stp>
        <tr r="M1474" s="1"/>
      </tp>
      <tp>
        <v>0</v>
        <stp/>
        <stp>nse_cm|884LTF29-N6</stp>
        <stp>Open</stp>
        <tr r="M1009" s="1"/>
      </tp>
      <tp>
        <v>0</v>
        <stp/>
        <stp>bse_cm|CCIL14824</stp>
        <stp>Ask Qty</stp>
        <tr r="G753" s="1"/>
      </tp>
      <tp>
        <v>0</v>
        <stp/>
        <stp>nse_cm|920PEL28-N2</stp>
        <stp>Open</stp>
        <tr r="M373" s="1"/>
      </tp>
      <tp>
        <v>0</v>
        <stp/>
        <stp>bse_cm|93ARKA25</stp>
        <stp>Ask Rate</stp>
        <tr r="F1395" s="1"/>
      </tp>
      <tp>
        <v>10</v>
        <stp/>
        <stp>nse_cm|925SCL25Z-NE</stp>
        <stp>Bid Qty</stp>
        <tr r="D914" s="1"/>
      </tp>
      <tp>
        <v>1</v>
        <stp/>
        <stp>nse_cm|925SCL25A-NH</stp>
        <stp>Bid Qty</stp>
        <tr r="D715" s="1"/>
      </tp>
      <tp>
        <v>7</v>
        <stp/>
        <stp>nse_cm|925SCL28A-NS</stp>
        <stp>Bid Qty</stp>
        <tr r="D895" s="1"/>
      </tp>
      <tp>
        <v>13</v>
        <stp/>
        <stp>nse_cm|925SCL25G-NY</stp>
        <stp>Bid Qty</stp>
        <tr r="D887" s="1"/>
      </tp>
      <tp>
        <v>0</v>
        <stp/>
        <stp>bse_cm|IFCIZC25</stp>
        <stp>Volume Traded Today</stp>
        <tr r="L1764" s="1"/>
      </tp>
      <tp>
        <v>0</v>
        <stp/>
        <stp>bse_cm|IFCIZC24</stp>
        <stp>Volume Traded Today</stp>
        <tr r="L1769" s="1"/>
      </tp>
      <tp>
        <v>1</v>
        <stp/>
        <stp>nse_cm|925SCL25C-AR</stp>
        <stp>Bid Qty</stp>
        <tr r="D249" s="1"/>
      </tp>
      <tp t="s">
        <v>BSE</v>
        <stp/>
        <stp>bse_cm|89EFSL25</stp>
        <stp>Exchange</stp>
        <tr r="C87" s="1"/>
      </tp>
      <tp>
        <v>1000</v>
        <stp/>
        <stp>nse_cm|855TCAPS27-N7</stp>
        <stp>Face Value</stp>
        <tr r="Q1003" s="1"/>
      </tp>
      <tp>
        <v>-100</v>
        <stp/>
        <stp>bse_cm|10KFL25</stp>
        <stp>% Change</stp>
        <tr r="J1093" s="1"/>
      </tp>
      <tp>
        <v>0</v>
        <stp/>
        <stp>nse_cm|915SCL27A-ZL</stp>
        <stp>Ask Qty</stp>
        <tr r="G966" s="1"/>
      </tp>
      <tp>
        <v>0</v>
        <stp/>
        <stp>nse_cm|92ICCL28-ND</stp>
        <stp>Open</stp>
        <tr r="M203" s="1"/>
      </tp>
      <tp>
        <v>0</v>
        <stp/>
        <stp>bse_cm|10ARKA28</stp>
        <stp>Ask Rate</stp>
        <tr r="F1400" s="1"/>
      </tp>
      <tp t="s">
        <v>BSE</v>
        <stp/>
        <stp>bse_cm|10EFSL27</stp>
        <stp>Exchange</stp>
        <tr r="C1139" s="1"/>
      </tp>
      <tp t="s">
        <v>BSE</v>
        <stp/>
        <stp>bse_cm|96EFSL27</stp>
        <stp>Exchange</stp>
        <tr r="C1050" s="1"/>
      </tp>
      <tp>
        <v>-100</v>
        <stp/>
        <stp>bse_cm|10KFL27</stp>
        <stp>% Change</stp>
        <tr r="J675" s="1"/>
      </tp>
      <tp>
        <v>5</v>
        <stp/>
        <stp>nse_cm|925SCL25F-BD</stp>
        <stp>Bid Qty</stp>
        <tr r="D718" s="1"/>
      </tp>
      <tp>
        <v>9</v>
        <stp/>
        <stp>nse_cm|925SCL28I-BA</stp>
        <stp>Bid Qty</stp>
        <tr r="D821" s="1"/>
      </tp>
      <tp>
        <v>5</v>
        <stp/>
        <stp>nse_cm|925SCL28C-BS</stp>
        <stp>Bid Qty</stp>
        <tr r="D823" s="1"/>
      </tp>
      <tp t="s">
        <v>BSE</v>
        <stp/>
        <stp>bse_cm|96EFSL26</stp>
        <stp>Exchange</stp>
        <tr r="C1465" s="1"/>
      </tp>
      <tp t="s">
        <v>BSE</v>
        <stp/>
        <stp>bse_cm|92EFSL26</stp>
        <stp>Exchange</stp>
        <tr r="C186" s="1"/>
      </tp>
      <tp t="s">
        <v>BSE</v>
        <stp/>
        <stp>bse_cm|98EFSL26</stp>
        <stp>Exchange</stp>
        <tr r="C82" s="1"/>
      </tp>
      <tp>
        <v>0</v>
        <stp/>
        <stp>nse_cm|829PFL29-N6</stp>
        <stp>Open</stp>
        <tr r="M1451" s="1"/>
      </tp>
      <tp>
        <v>-100</v>
        <stp/>
        <stp>bse_cm|10NFL25</stp>
        <stp>% Change</stp>
        <tr r="J1568" s="1"/>
      </tp>
      <tp>
        <v>0</v>
        <stp/>
        <stp>nse_cm|920SCL23A-AO</stp>
        <stp>Bid Qty</stp>
        <tr r="D1113" s="1"/>
      </tp>
      <tp>
        <v>0</v>
        <stp/>
        <stp>bse_cm|95CCIL24A</stp>
        <stp>Ask Qty</stp>
        <tr r="G873" s="1"/>
      </tp>
      <tp>
        <v>-100</v>
        <stp/>
        <stp>bse_cm|10MFL25</stp>
        <stp>% Change</stp>
        <tr r="J577" s="1"/>
      </tp>
      <tp>
        <v>-100</v>
        <stp/>
        <stp>bse_cm|1015SCFL29</stp>
        <stp>% Change</stp>
        <tr r="J1355" s="1"/>
      </tp>
      <tp>
        <v>0</v>
        <stp/>
        <stp>nse_cm|925SCL25H-Y0</stp>
        <stp>Bid Qty</stp>
        <tr r="D791" s="1"/>
      </tp>
      <tp>
        <v>9</v>
        <stp/>
        <stp>nse_cm|925SCL25B-Y3</stp>
        <stp>Bid Qty</stp>
        <tr r="D600" s="1"/>
      </tp>
      <tp>
        <v>1000</v>
        <stp/>
        <stp>bse_cm|1010EFSL28</stp>
        <stp>Face Value</stp>
        <tr r="Q663" s="1"/>
      </tp>
      <tp>
        <v>1000</v>
        <stp/>
        <stp>bse_cm|1010EFSL29</stp>
        <stp>Face Value</stp>
        <tr r="Q1459" s="1"/>
      </tp>
      <tp>
        <v>1000</v>
        <stp/>
        <stp>bse_cm|1010EFSL32</stp>
        <stp>Face Value</stp>
        <tr r="Q631" s="1"/>
      </tp>
      <tp>
        <v>5</v>
        <stp/>
        <stp>nse_cm|925SCL26A-YN</stp>
        <stp>Bid Qty</stp>
        <tr r="D838" s="1"/>
      </tp>
      <tp>
        <v>75</v>
        <stp/>
        <stp>nse_cm|925SCL28B-YC</stp>
        <stp>Bid Qty</stp>
        <tr r="D825" s="1"/>
      </tp>
      <tp>
        <v>12</v>
        <stp/>
        <stp>nse_cm|925SCL26B-YQ</stp>
        <stp>Bid Qty</stp>
        <tr r="D90" s="1"/>
      </tp>
      <tp>
        <v>0</v>
        <stp/>
        <stp>nse_cm|11DLSL25A-Y3</stp>
        <stp>% Change</stp>
        <tr r="J64" s="1"/>
      </tp>
      <tp>
        <v>1020</v>
        <stp/>
        <stp>nse_cm|956AEL29-N6</stp>
        <stp>LTP</stp>
        <tr r="H298" s="1"/>
      </tp>
      <tp t="s">
        <v>11:08:13</v>
        <stp/>
        <stp>nse_cm|956AEL29-N6</stp>
        <stp>LTT</stp>
        <tr r="I298" s="1"/>
      </tp>
      <tp>
        <v>-100</v>
        <stp/>
        <stp>bse_cm|10SFL25</stp>
        <stp>% Change</stp>
        <tr r="J1681" s="1"/>
      </tp>
      <tp>
        <v>1122.3499999999999</v>
        <stp/>
        <stp>nse_cm|894SCL25-Z3</stp>
        <stp xml:space="preserve">Low </stp>
        <tr r="O1698" s="1"/>
      </tp>
      <tp>
        <v>1008.73</v>
        <stp/>
        <stp>nse_cm|965AEL27-N4</stp>
        <stp>LTP</stp>
        <tr r="H254" s="1"/>
      </tp>
      <tp t="s">
        <v/>
        <stp/>
        <stp>nse_cm|965AEL27-N4</stp>
        <stp>LTT</stp>
        <tr r="I254" s="1"/>
      </tp>
      <tp>
        <v>-100</v>
        <stp/>
        <stp>bse_cm|10SFL27</stp>
        <stp>% Change</stp>
        <tr r="J863" s="1"/>
      </tp>
      <tp>
        <v>12</v>
        <stp/>
        <stp>nse_cm|925SCL26D-ZD</stp>
        <stp>Bid Qty</stp>
        <tr r="D1448" s="1"/>
      </tp>
      <tp>
        <v>10</v>
        <stp/>
        <stp>nse_cm|925SCL29A-ZM</stp>
        <stp>Bid Qty</stp>
        <tr r="D1352" s="1"/>
      </tp>
      <tp>
        <v>20</v>
        <stp/>
        <stp>nse_cm|925SCL26C-ZA</stp>
        <stp>Bid Qty</stp>
        <tr r="D724" s="1"/>
      </tp>
      <tp>
        <v>846.01</v>
        <stp/>
        <stp>bse_cm|9MFL30</stp>
        <stp>Bid Rate</stp>
        <tr r="E244" s="1"/>
      </tp>
      <tp>
        <v>1509.8</v>
        <stp/>
        <stp>bse_cm|MVAFZC25</stp>
        <stp>Ask Rate</stp>
        <tr r="F1746" s="1"/>
      </tp>
      <tp t="s">
        <v/>
        <stp/>
        <stp>nse_cm|905PEL26-N1</stp>
        <stp>LTT</stp>
        <tr r="I500" s="1"/>
      </tp>
      <tp>
        <v>1050</v>
        <stp/>
        <stp>nse_cm|905PEL26-N1</stp>
        <stp>LTP</stp>
        <tr r="H500" s="1"/>
      </tp>
      <tp>
        <v>-100</v>
        <stp/>
        <stp>bse_cm|10VCL25</stp>
        <stp>% Change</stp>
        <tr r="J1646" s="1"/>
      </tp>
      <tp>
        <v>0</v>
        <stp/>
        <stp>nse_cm|SCLZC26B-AY</stp>
        <stp>Open</stp>
        <tr r="M1658" s="1"/>
      </tp>
      <tp>
        <v>1016.2</v>
        <stp/>
        <stp>bse_cm|8MFL26</stp>
        <stp>Bid Rate</stp>
        <tr r="E654" s="1"/>
      </tp>
      <tp t="s">
        <v>09:45:33</v>
        <stp/>
        <stp>nse_cm|925AEL26-N1</stp>
        <stp>LTT</stp>
        <tr r="I330" s="1"/>
      </tp>
      <tp>
        <v>1075</v>
        <stp/>
        <stp>nse_cm|920PEL28-N2</stp>
        <stp>LTP</stp>
        <tr r="H373" s="1"/>
      </tp>
      <tp>
        <v>1001</v>
        <stp/>
        <stp>nse_cm|925AEL26-N1</stp>
        <stp>LTP</stp>
        <tr r="H330" s="1"/>
      </tp>
      <tp t="s">
        <v/>
        <stp/>
        <stp>nse_cm|920PEL28-N2</stp>
        <stp>LTT</stp>
        <tr r="I373" s="1"/>
      </tp>
      <tp>
        <v>1003.25</v>
        <stp/>
        <stp>nse_cm|932AEL27-N3</stp>
        <stp>LTP</stp>
        <tr r="H471" s="1"/>
      </tp>
      <tp t="s">
        <v/>
        <stp/>
        <stp>nse_cm|935PEL33-N3</stp>
        <stp>LTT</stp>
        <tr r="I1375" s="1"/>
      </tp>
      <tp t="s">
        <v/>
        <stp/>
        <stp>nse_cm|932AEL27-N3</stp>
        <stp>LTT</stp>
        <tr r="I471" s="1"/>
      </tp>
      <tp>
        <v>1100</v>
        <stp/>
        <stp>nse_cm|935PEL33-N3</stp>
        <stp>LTP</stp>
        <tr r="H1375" s="1"/>
      </tp>
      <tp>
        <v>0</v>
        <stp/>
        <stp>bse_cm|EFSLZC26</stp>
        <stp>Volume Traded Today</stp>
        <tr r="L1712" s="1"/>
      </tp>
      <tp>
        <v>0</v>
        <stp/>
        <stp>bse_cm|EFSLZC25</stp>
        <stp>Volume Traded Today</stp>
        <tr r="L1741" s="1"/>
      </tp>
      <tp>
        <v>0</v>
        <stp/>
        <stp>bse_cm|EFSLZC28</stp>
        <stp>Volume Traded Today</stp>
        <tr r="L1637" s="1"/>
      </tp>
      <tp>
        <v>-100</v>
        <stp/>
        <stp>bse_cm|704HUDCO26</stp>
        <stp>% Change</stp>
        <tr r="J1724" s="1"/>
      </tp>
      <tp>
        <v>-100</v>
        <stp/>
        <stp>bse_cm|702HUDCO26</stp>
        <stp>% Change</stp>
        <tr r="J1718" s="1"/>
      </tp>
      <tp>
        <v>-0.27</v>
        <stp/>
        <stp>bse_cm|727HUDCO26</stp>
        <stp>% Change</stp>
        <tr r="J481" s="1"/>
      </tp>
      <tp>
        <v>1.79</v>
        <stp/>
        <stp>bse_cm|729HUDCO26</stp>
        <stp>% Change</stp>
        <tr r="J523" s="1"/>
      </tp>
      <tp>
        <v>6598.73</v>
        <stp/>
        <stp>nse_cm|901NHB34-N6</stp>
        <stp>ATP</stp>
        <tr r="K520" s="1"/>
      </tp>
      <tp>
        <v>0</v>
        <stp/>
        <stp>nse_cm|SCLZC25B-AT</stp>
        <stp>Open</stp>
        <tr r="M1541" s="1"/>
      </tp>
      <tp>
        <v>0</v>
        <stp/>
        <stp>nse_cm|SCLZC25A-AS</stp>
        <stp>Open</stp>
        <tr r="M1232" s="1"/>
      </tp>
      <tp>
        <v>0</v>
        <stp/>
        <stp>nse_cm|78ABFL33-N4</stp>
        <stp>ATP</stp>
        <tr r="K371" s="1"/>
      </tp>
      <tp>
        <v>0</v>
        <stp/>
        <stp>bse_cm|97SFL26A</stp>
        <stp>Volume Traded Today</stp>
        <tr r="L1089" s="1"/>
      </tp>
      <tp>
        <v>1000</v>
        <stp/>
        <stp>nse_cm|774IREDA31-N7</stp>
        <stp>Face Value</stp>
        <tr r="Q18" s="1"/>
      </tp>
      <tp>
        <v>0</v>
        <stp/>
        <stp>bse_cm|87SCL27A</stp>
        <stp>Volume Traded Today</stp>
        <tr r="L644" s="1"/>
      </tp>
      <tp>
        <v>0</v>
        <stp/>
        <stp>bse_cm|87SCL24A</stp>
        <stp>Volume Traded Today</stp>
        <tr r="L1141" s="1"/>
      </tp>
      <tp t="s">
        <v>INE530L07541</v>
        <stp/>
        <stp>bse_cm|1045NIDO33</stp>
        <stp>Isin code</stp>
        <tr r="R71" s="1"/>
      </tp>
      <tp t="s">
        <v>INE103C07066</v>
        <stp/>
        <stp>bse_cm|104SMCGS29</stp>
        <stp>Isin code</stp>
        <tr r="R206" s="1"/>
      </tp>
      <tp t="s">
        <v>INE121A07QY9</v>
        <stp/>
        <stp>bse_cm|840CIFCL28</stp>
        <stp>Isin code</stp>
        <tr r="R419" s="1"/>
      </tp>
      <tp t="s">
        <v>INE01I507778</v>
        <stp/>
        <stp>bse_cm|925KLMAF25</stp>
        <stp>Isin code</stp>
        <tr r="R612" s="1"/>
      </tp>
      <tp t="s">
        <v>00:00:00</v>
        <stp/>
        <stp>bse_cm|975MVAFL25</stp>
        <stp>LTT</stp>
        <tr r="I458" s="1"/>
      </tp>
      <tp>
        <v>0</v>
        <stp/>
        <stp>bse_cm|975MVAFL25</stp>
        <stp>LTP</stp>
        <tr r="H458" s="1"/>
      </tp>
      <tp t="s">
        <v>948JFPL25</v>
        <stp/>
        <stp>bse_cm|948JFPL25</stp>
        <stp>Trading Symbol</stp>
        <tr r="B490" s="1"/>
      </tp>
      <tp t="s">
        <v>MFLVIII27H</v>
        <stp/>
        <stp>bse_cm|MFLVIII27H</stp>
        <stp>Symbol</stp>
        <tr r="A1274" s="1"/>
      </tp>
      <tp t="s">
        <v>INE148I07SS3</v>
        <stp/>
        <stp>bse_cm|1015SCFL29</stp>
        <stp>Isin code</stp>
        <tr r="R1355" s="1"/>
      </tp>
      <tp t="s">
        <v>MFLVIII26H</v>
        <stp/>
        <stp>bse_cm|MFLVIII26H</stp>
        <stp>Symbol</stp>
        <tr r="A1575" s="1"/>
      </tp>
      <tp t="s">
        <v>849NTPC25</v>
        <stp/>
        <stp>bse_cm|849NTPC25</stp>
        <stp>Trading Symbol</stp>
        <tr r="B443" s="1"/>
      </tp>
      <tp t="s">
        <v>975EFSL27</v>
        <stp/>
        <stp>bse_cm|975EFSL27</stp>
        <stp>Trading Symbol</stp>
        <tr r="B45" s="1"/>
      </tp>
      <tp t="s">
        <v>INE051307AM5</v>
        <stp/>
        <stp>bse_cm|1150CCIL28</stp>
        <stp>Isin code</stp>
        <tr r="R460" s="1"/>
      </tp>
      <tp t="s">
        <v>970EFSL31</v>
        <stp/>
        <stp>bse_cm|970EFSL31</stp>
        <stp>Trading Symbol</stp>
        <tr r="B220" s="1"/>
      </tp>
      <tp t="s">
        <v>00:00:00</v>
        <stp/>
        <stp>bse_cm|SCL310524A</stp>
        <stp>LTT</stp>
        <tr r="I918" s="1"/>
      </tp>
      <tp>
        <v>0</v>
        <stp/>
        <stp>bse_cm|SCL310524A</stp>
        <stp>LTP</stp>
        <tr r="H918" s="1"/>
      </tp>
      <tp t="s">
        <v>NSE</v>
        <stp/>
        <stp>nse_cm|SCL310524A-ZK</stp>
        <stp>Exchange</stp>
        <tr r="C1445" s="1"/>
      </tp>
      <tp t="s">
        <v>00:00:00</v>
        <stp/>
        <stp>bse_cm|790MMFSL27</stp>
        <stp>LTT</stp>
        <tr r="I1189" s="1"/>
      </tp>
      <tp>
        <v>0</v>
        <stp/>
        <stp>bse_cm|790MMFSL27</stp>
        <stp>LTP</stp>
        <tr r="H1189" s="1"/>
      </tp>
      <tp>
        <v>0</v>
        <stp/>
        <stp>bse_cm|795MMFSL32</stp>
        <stp>LTP</stp>
        <tr r="H1184" s="1"/>
      </tp>
      <tp t="s">
        <v>00:00:00</v>
        <stp/>
        <stp>bse_cm|795MMFSL32</stp>
        <stp>LTT</stp>
        <tr r="I1184" s="1"/>
      </tp>
      <tp t="s">
        <v>NWIL27</v>
        <stp/>
        <stp>bse_cm|NWIL27</stp>
        <stp>Trading Symbol</stp>
        <tr r="B1439" s="1"/>
      </tp>
      <tp t="s">
        <v>NWIL25</v>
        <stp/>
        <stp>bse_cm|NWIL25</stp>
        <stp>Trading Symbol</stp>
        <tr r="B1546" s="1"/>
      </tp>
      <tp t="s">
        <v>M&amp;MFIN-N3</v>
        <stp/>
        <stp>nse_cm|M&amp;MFIN-N3</stp>
        <stp>Trading Symbol</stp>
        <tr r="B1723" s="1"/>
      </tp>
      <tp t="s">
        <v>00:00:00</v>
        <stp/>
        <stp>bse_cm|IML1622024</stp>
        <stp>LTT</stp>
        <tr r="I1328" s="1"/>
      </tp>
      <tp>
        <v>0</v>
        <stp/>
        <stp>bse_cm|IML1622024</stp>
        <stp>LTP</stp>
        <tr r="H1328" s="1"/>
      </tp>
      <tp t="s">
        <v>SFL27224</v>
        <stp/>
        <stp>bse_cm|SFL27224</stp>
        <stp>Symbol</stp>
        <tr r="A805" s="1"/>
      </tp>
      <tp t="s">
        <v>INE03W107264</v>
        <stp/>
        <stp>bse_cm|9ARKA25</stp>
        <stp>Isin code</stp>
        <tr r="R1365" s="1"/>
      </tp>
      <tp t="s">
        <v>INE031A07915</v>
        <stp/>
        <stp>nse_cm|851HUDCO28-NB</stp>
        <stp>Isin code</stp>
        <tr r="R502" s="1"/>
      </tp>
      <tp t="s">
        <v>00:00:00</v>
        <stp/>
        <stp>bse_cm|10SMCGSL26</stp>
        <stp>LTT</stp>
        <tr r="I138" s="1"/>
      </tp>
      <tp>
        <v>0</v>
        <stp/>
        <stp>bse_cm|10SMCGSL26</stp>
        <stp>LTP</stp>
        <tr r="H138" s="1"/>
      </tp>
      <tp>
        <v>0</v>
        <stp/>
        <stp>bse_cm|IFL1942024</stp>
        <stp>LTP</stp>
        <tr r="H1594" s="1"/>
      </tp>
      <tp t="s">
        <v>00:00:00</v>
        <stp/>
        <stp>bse_cm|IFL1942024</stp>
        <stp>LTT</stp>
        <tr r="I1594" s="1"/>
      </tp>
      <tp>
        <v>1028</v>
        <stp/>
        <stp>bse_cm|935MOFSL29</stp>
        <stp>LTP</stp>
        <tr r="H1602" s="1"/>
      </tp>
      <tp t="s">
        <v>00:00:00</v>
        <stp/>
        <stp>bse_cm|935MOFSL29</stp>
        <stp>LTT</stp>
        <tr r="I1602" s="1"/>
      </tp>
      <tp t="s">
        <v>00:00:00</v>
        <stp/>
        <stp>bse_cm|885MOFSL26</stp>
        <stp>LTT</stp>
        <tr r="I1643" s="1"/>
      </tp>
      <tp>
        <v>0</v>
        <stp/>
        <stp>bse_cm|885MOFSL26</stp>
        <stp>LTP</stp>
        <tr r="H1643" s="1"/>
      </tp>
      <tp>
        <v>0</v>
        <stp/>
        <stp>bse_cm|897MOFSL29</stp>
        <stp>LTP</stp>
        <tr r="H332" s="1"/>
      </tp>
      <tp t="s">
        <v>00:00:00</v>
        <stp/>
        <stp>bse_cm|897MOFSL29</stp>
        <stp>LTT</stp>
        <tr r="I332" s="1"/>
      </tp>
      <tp>
        <v>0</v>
        <stp/>
        <stp>bse_cm|935MMFSL29</stp>
        <stp>LTP</stp>
        <tr r="H1174" s="1"/>
      </tp>
      <tp t="s">
        <v>00:00:00</v>
        <stp/>
        <stp>bse_cm|935MMFSL29</stp>
        <stp>LTT</stp>
        <tr r="I1174" s="1"/>
      </tp>
      <tp>
        <v>0</v>
        <stp/>
        <stp>bse_cm|805MMFSL32</stp>
        <stp>LTP</stp>
        <tr r="H401" s="1"/>
      </tp>
      <tp t="s">
        <v>00:00:00</v>
        <stp/>
        <stp>bse_cm|805MMFSL32</stp>
        <stp>LTT</stp>
        <tr r="I401" s="1"/>
      </tp>
      <tp t="s">
        <v>INE148I07TU7</v>
        <stp/>
        <stp>bse_cm|98SCL34</stp>
        <stp>Isin code</stp>
        <tr r="R1053" s="1"/>
      </tp>
      <tp t="s">
        <v>INE148I07NC8</v>
        <stp/>
        <stp>bse_cm|93SCL24</stp>
        <stp>Isin code</stp>
        <tr r="R945" s="1"/>
      </tp>
      <tp t="s">
        <v>INE148I07NE4</v>
        <stp/>
        <stp>bse_cm|89SCL24</stp>
        <stp>Isin code</stp>
        <tr r="R1153" s="1"/>
      </tp>
      <tp>
        <v>0</v>
        <stp/>
        <stp>bse_cm|872MMFSL26</stp>
        <stp>LTP</stp>
        <tr r="H406" s="1"/>
      </tp>
      <tp>
        <v>0</v>
        <stp/>
        <stp>bse_cm|853MMFSL26</stp>
        <stp>LTP</stp>
        <tr r="H1005" s="1"/>
      </tp>
      <tp t="s">
        <v>00:00:00</v>
        <stp/>
        <stp>bse_cm|800MMFSL27</stp>
        <stp>LTT</stp>
        <tr r="I436" s="1"/>
      </tp>
      <tp t="s">
        <v>00:00:00</v>
        <stp/>
        <stp>bse_cm|872MMFSL26</stp>
        <stp>LTT</stp>
        <tr r="I406" s="1"/>
      </tp>
      <tp t="s">
        <v>00:00:00</v>
        <stp/>
        <stp>bse_cm|853MMFSL26</stp>
        <stp>LTT</stp>
        <tr r="I1005" s="1"/>
      </tp>
      <tp>
        <v>0</v>
        <stp/>
        <stp>bse_cm|800MMFSL27</stp>
        <stp>LTP</stp>
        <tr r="H436" s="1"/>
      </tp>
      <tp>
        <v>-100</v>
        <stp/>
        <stp>bse_cm|MML110924</stp>
        <stp>% Change</stp>
        <tr r="J1257" s="1"/>
      </tp>
      <tp>
        <v>-100</v>
        <stp/>
        <stp>bse_cm|IML160224</stp>
        <stp>% Change</stp>
        <tr r="J1329" s="1"/>
      </tp>
      <tp t="s">
        <v>INE148I07TM4</v>
        <stp/>
        <stp>nse_cm|SCL310524A-ZK</stp>
        <stp>Isin code</stp>
        <tr r="R1445" s="1"/>
      </tp>
      <tp>
        <v>-100</v>
        <stp/>
        <stp>bse_cm|1041KFL26</stp>
        <stp>% Change</stp>
        <tr r="J1031" s="1"/>
      </tp>
      <tp t="s">
        <v>MFLOPTII24</v>
        <stp/>
        <stp>bse_cm|MFLOPTII24</stp>
        <stp>Symbol</stp>
        <tr r="A559" s="1"/>
      </tp>
      <tp>
        <v>-100</v>
        <stp/>
        <stp>bse_cm|1071KFL25</stp>
        <stp>% Change</stp>
        <tr r="J1122" s="1"/>
      </tp>
      <tp>
        <v>-100</v>
        <stp/>
        <stp>bse_cm|IFL190424</stp>
        <stp>% Change</stp>
        <tr r="J1663" s="1"/>
      </tp>
      <tp>
        <v>-100</v>
        <stp/>
        <stp>bse_cm|AEL120924</stp>
        <stp>% Change</stp>
        <tr r="J1062" s="1"/>
      </tp>
      <tp>
        <v>-100</v>
        <stp/>
        <stp>bse_cm|CCI110324</stp>
        <stp>% Change</stp>
        <tr r="J755" s="1"/>
      </tp>
      <tp t="s">
        <v>97MOFSL34</v>
        <stp/>
        <stp>bse_cm|97MOFSL34</stp>
        <stp>Trading Symbol</stp>
        <tr r="B1600" s="1"/>
      </tp>
      <tp t="s">
        <v>INE583D07463</v>
        <stp/>
        <stp>bse_cm|105UCL2026</stp>
        <stp>Isin code</stp>
        <tr r="R319" s="1"/>
      </tp>
      <tp t="s">
        <v>INE121A07RD1</v>
        <stp/>
        <stp>nse_cm|CIFC26A-N9</stp>
        <stp>Isin code</stp>
        <tr r="R739" s="1"/>
      </tp>
      <tp>
        <v>-100</v>
        <stp/>
        <stp>bse_cm|1050SCL31</stp>
        <stp>% Change</stp>
        <tr r="J892" s="1"/>
      </tp>
      <tp>
        <v>-100</v>
        <stp/>
        <stp>bse_cm|1050SCL30</stp>
        <stp>% Change</stp>
        <tr r="J867" s="1"/>
      </tp>
      <tp t="s">
        <v>10MMLTD24</v>
        <stp/>
        <stp>bse_cm|10MMLTD24</stp>
        <stp>Trading Symbol</stp>
        <tr r="B1615" s="1"/>
      </tp>
      <tp>
        <v>1000</v>
        <stp/>
        <stp>bse_cm|96ONE29</stp>
        <stp>Face Value</stp>
        <tr r="Q1621" s="1"/>
      </tp>
      <tp t="s">
        <v>MFLTDIII24</v>
        <stp/>
        <stp>bse_cm|MFLTDIII24</stp>
        <stp>Symbol</stp>
        <tr r="A1721" s="1"/>
      </tp>
      <tp t="s">
        <v>MFLTDVII27</v>
        <stp/>
        <stp>bse_cm|MFLTDVII27</stp>
        <stp>Symbol</stp>
        <tr r="A1562" s="1"/>
      </tp>
      <tp>
        <v>12</v>
        <stp/>
        <stp>nse_cm|889SCFL27-YC</stp>
        <stp>Bid Qty</stp>
        <tr r="D595" s="1"/>
      </tp>
      <tp>
        <v>0</v>
        <stp/>
        <stp>nse_cm|925SCL26-NR</stp>
        <stp>Open</stp>
        <tr r="M991" s="1"/>
      </tp>
      <tp>
        <v>0</v>
        <stp/>
        <stp>nse_cm|CIF29-NO</stp>
        <stp>High</stp>
        <tr r="N743" s="1"/>
      </tp>
      <tp>
        <v>1025</v>
        <stp/>
        <stp>bse_cm|981JMFCS28</stp>
        <stp>Prev Close</stp>
        <tr r="P295" s="1"/>
      </tp>
      <tp t="s">
        <v>INE338I07123</v>
        <stp/>
        <stp>nse_cm|97MOFSL34-N7</stp>
        <stp>Isin code</stp>
        <tr r="R1599" s="1"/>
      </tp>
      <tp>
        <v>0</v>
        <stp/>
        <stp>bse_cm|10KFL28A</stp>
        <stp>Ask Rate</stp>
        <tr r="F1423" s="1"/>
      </tp>
      <tp>
        <v>1000</v>
        <stp/>
        <stp>nse_cm|CIF27-NM</stp>
        <stp>High</stp>
        <tr r="N1665" s="1"/>
      </tp>
      <tp>
        <v>-100</v>
        <stp/>
        <stp>bse_cm|SFL270224A</stp>
        <stp>% Change</stp>
        <tr r="J807" s="1"/>
      </tp>
      <tp>
        <v>1000</v>
        <stp/>
        <stp>bse_cm|1010EFS28A</stp>
        <stp>Face Value</stp>
        <tr r="Q78" s="1"/>
      </tp>
      <tp>
        <v>1000</v>
        <stp/>
        <stp>bse_cm|1010EFS29A</stp>
        <stp>Face Value</stp>
        <tr r="Q1593" s="1"/>
      </tp>
      <tp t="s">
        <v>INE848E07567</v>
        <stp/>
        <stp>nse_cm|892NHPC33-N6</stp>
        <stp>Isin code</stp>
        <tr r="R534" s="1"/>
      </tp>
      <tp>
        <v>993</v>
        <stp/>
        <stp>nse_cm|894SCL24-ZR</stp>
        <stp xml:space="preserve">Low </stp>
        <tr r="O661" s="1"/>
      </tp>
      <tp t="s">
        <v>INE413U07244</v>
        <stp/>
        <stp>nse_cm|921ISFL25-N0</stp>
        <stp>Isin code</stp>
        <tr r="R287" s="1"/>
      </tp>
      <tp t="s">
        <v>INE733E07JJ9</v>
        <stp/>
        <stp>nse_cm|891NTPC33-N6</stp>
        <stp>Isin code</stp>
        <tr r="R535" s="1"/>
      </tp>
      <tp>
        <v>25</v>
        <stp/>
        <stp>nse_cm|888ERFL28-N5</stp>
        <stp>Bid Qty</stp>
        <tr r="D63" s="1"/>
      </tp>
      <tp t="s">
        <v>INE733E07JP6</v>
        <stp/>
        <stp>nse_cm|849NTPC25-N7</stp>
        <stp>Isin code</stp>
        <tr r="R302" s="1"/>
      </tp>
      <tp t="s">
        <v>10ISFL26-N3</v>
        <stp/>
        <stp>nse_cm|10ISFL26-N3</stp>
        <stp>Trading Symbol</stp>
        <tr r="B1527" s="1"/>
      </tp>
      <tp>
        <v>0</v>
        <stp/>
        <stp>nse_cm|885LTF27-NE</stp>
        <stp>Open</stp>
        <tr r="M1007" s="1"/>
      </tp>
      <tp t="s">
        <v>INE148I07TR3</v>
        <stp/>
        <stp>nse_cm|1015SCL29-ZL</stp>
        <stp>Isin code</stp>
        <tr r="R1176" s="1"/>
      </tp>
      <tp>
        <v>-100</v>
        <stp/>
        <stp>bse_cm|905SC24</stp>
        <stp>% Change</stp>
        <tr r="J573" s="1"/>
      </tp>
      <tp>
        <v>1268.53</v>
        <stp/>
        <stp>bse_cm|IIFLZC28</stp>
        <stp>Prev Close</stp>
        <tr r="P1660" s="1"/>
      </tp>
      <tp>
        <v>1200</v>
        <stp/>
        <stp>bse_cm|IIFLZC26</stp>
        <stp>Prev Close</stp>
        <tr r="P1236" s="1"/>
      </tp>
      <tp>
        <v>1640</v>
        <stp/>
        <stp>bse_cm|IIFLZC25</stp>
        <stp>Prev Close</stp>
        <tr r="P1743" s="1"/>
      </tp>
      <tp>
        <v>0</v>
        <stp/>
        <stp>bse_cm|12IML26A</stp>
        <stp>LTP</stp>
        <tr r="H1212" s="1"/>
      </tp>
      <tp t="s">
        <v>00:00:00</v>
        <stp/>
        <stp>bse_cm|12IML26A</stp>
        <stp>LTT</stp>
        <tr r="I1212" s="1"/>
      </tp>
      <tp t="s">
        <v>885SCL26-N9</v>
        <stp/>
        <stp>nse_cm|885SCL26-N9</stp>
        <stp>Trading Symbol</stp>
        <tr r="B686" s="1"/>
      </tp>
      <tp t="s">
        <v>889SCL26-NS</v>
        <stp/>
        <stp>nse_cm|889SCL26-NS</stp>
        <stp>Trading Symbol</stp>
        <tr r="B222" s="1"/>
      </tp>
      <tp t="s">
        <v>879SCL26-NC</v>
        <stp/>
        <stp>nse_cm|879SCL26-NC</stp>
        <stp>Trading Symbol</stp>
        <tr r="B720" s="1"/>
      </tp>
      <tp t="s">
        <v>865SCL26-N8</v>
        <stp/>
        <stp>nse_cm|865SCL26-N8</stp>
        <stp>Trading Symbol</stp>
        <tr r="B310" s="1"/>
      </tp>
      <tp t="s">
        <v>888SCL26-YP</v>
        <stp/>
        <stp>nse_cm|888SCL26-YP</stp>
        <stp>Trading Symbol</stp>
        <tr r="B841" s="1"/>
      </tp>
      <tp>
        <v>2424.5</v>
        <stp/>
        <stp>bse_cm|IFCIZC25</stp>
        <stp>Prev Close</stp>
        <tr r="P1764" s="1"/>
      </tp>
      <tp>
        <v>2525.35</v>
        <stp/>
        <stp>bse_cm|IFCIZC24</stp>
        <stp>Prev Close</stp>
        <tr r="P1769" s="1"/>
      </tp>
      <tp t="s">
        <v>990SCL26-N7</v>
        <stp/>
        <stp>nse_cm|990SCL26-N7</stp>
        <stp>Trading Symbol</stp>
        <tr r="B422" s="1"/>
      </tp>
      <tp t="s">
        <v>915SCL26-NE</v>
        <stp/>
        <stp>nse_cm|915SCL26-NE</stp>
        <stp>Trading Symbol</stp>
        <tr r="B58" s="1"/>
      </tp>
      <tp t="s">
        <v>902SCL26-N8</v>
        <stp/>
        <stp>nse_cm|902SCL26-N8</stp>
        <stp>Trading Symbol</stp>
        <tr r="B968" s="1"/>
      </tp>
      <tp t="s">
        <v>925SCL26-NR</v>
        <stp/>
        <stp>nse_cm|925SCL26-NR</stp>
        <stp>Trading Symbol</stp>
        <tr r="B991" s="1"/>
      </tp>
      <tp t="s">
        <v>948SCL26-N9</v>
        <stp/>
        <stp>nse_cm|948SCL26-N9</stp>
        <stp>Trading Symbol</stp>
        <tr r="B1632" s="1"/>
      </tp>
      <tp t="s">
        <v>940SCL26-N6</v>
        <stp/>
        <stp>nse_cm|940SCL26-N6</stp>
        <stp>Trading Symbol</stp>
        <tr r="B921" s="1"/>
      </tp>
      <tp t="s">
        <v>965SCL26-YO</v>
        <stp/>
        <stp>nse_cm|965SCL26-YO</stp>
        <stp>Trading Symbol</stp>
        <tr r="B146" s="1"/>
      </tp>
      <tp>
        <v>100</v>
        <stp/>
        <stp>nse_cm|985IIFL22-NC</stp>
        <stp>Bid Qty</stp>
        <tr r="D114" s="1"/>
      </tp>
      <tp>
        <v>10</v>
        <stp/>
        <stp>nse_cm|11DLSL25A-Y3</stp>
        <stp>Ask Qty</stp>
        <tr r="G64" s="1"/>
      </tp>
      <tp>
        <v>828.75</v>
        <stp/>
        <stp>nse_cm|894SCL27-ZY</stp>
        <stp xml:space="preserve">Low </stp>
        <tr r="O731" s="1"/>
      </tp>
      <tp>
        <v>100</v>
        <stp/>
        <stp>nse_cm|888IRFC29-NE</stp>
        <stp>Bid Qty</stp>
        <tr r="D508" s="1"/>
      </tp>
      <tp t="s">
        <v>00:00:00</v>
        <stp/>
        <stp>bse_cm|CCILZC26</stp>
        <stp>LTT</stp>
        <tr r="I748" s="1"/>
      </tp>
      <tp t="s">
        <v>00:00:00</v>
        <stp/>
        <stp>bse_cm|CCILZC25</stp>
        <stp>LTT</stp>
        <tr r="I1376" s="1"/>
      </tp>
      <tp t="s">
        <v>00:00:00</v>
        <stp/>
        <stp>bse_cm|CCILZC24</stp>
        <stp>LTT</stp>
        <tr r="I750" s="1"/>
      </tp>
      <tp>
        <v>0</v>
        <stp/>
        <stp>bse_cm|CCILZC26</stp>
        <stp>LTP</stp>
        <tr r="H748" s="1"/>
      </tp>
      <tp>
        <v>0</v>
        <stp/>
        <stp>bse_cm|CCILZC25</stp>
        <stp>LTP</stp>
        <tr r="H1376" s="1"/>
      </tp>
      <tp>
        <v>0</v>
        <stp/>
        <stp>bse_cm|CCILZC24</stp>
        <stp>LTP</stp>
        <tr r="H750" s="1"/>
      </tp>
      <tp>
        <v>0</v>
        <stp/>
        <stp>bse_cm|CCILZC29</stp>
        <stp>LTP</stp>
        <tr r="H747" s="1"/>
      </tp>
      <tp t="s">
        <v>931SFL26-Z5</v>
        <stp/>
        <stp>nse_cm|931SFL26-Z5</stp>
        <stp>Trading Symbol</stp>
        <tr r="B519" s="1"/>
      </tp>
      <tp t="s">
        <v>00:00:00</v>
        <stp/>
        <stp>bse_cm|CCILZC29</stp>
        <stp>LTT</stp>
        <tr r="I747" s="1"/>
      </tp>
      <tp>
        <v>0</v>
        <stp/>
        <stp>bse_cm|CCILZC30</stp>
        <stp>LTP</stp>
        <tr r="H746" s="1"/>
      </tp>
      <tp t="s">
        <v>00:00:00</v>
        <stp/>
        <stp>bse_cm|CCILZC30</stp>
        <stp>LTT</stp>
        <tr r="I746" s="1"/>
      </tp>
      <tp t="s">
        <v>812REC27-NI</v>
        <stp/>
        <stp>nse_cm|812REC27-NI</stp>
        <stp>Trading Symbol</stp>
        <tr r="B462" s="1"/>
      </tp>
      <tp>
        <v>1000</v>
        <stp/>
        <stp>bse_cm|1050SCFL31</stp>
        <stp>Prev Close</stp>
        <tr r="P1123" s="1"/>
      </tp>
      <tp>
        <v>1000</v>
        <stp/>
        <stp>bse_cm|1050KAFL27</stp>
        <stp>Prev Close</stp>
        <tr r="P1160" s="1"/>
      </tp>
      <tp>
        <v>1000</v>
        <stp/>
        <stp>bse_cm|1050KAFL25</stp>
        <stp>Prev Close</stp>
        <tr r="P1161" s="1"/>
      </tp>
      <tp>
        <v>960</v>
        <stp/>
        <stp>bse_cm|1050KAFL28</stp>
        <stp>Prev Close</stp>
        <tr r="P610" s="1"/>
      </tp>
      <tp>
        <v>945.03</v>
        <stp/>
        <stp>bse_cm|1050ISFL28</stp>
        <stp>Prev Close</stp>
        <tr r="P1497" s="1"/>
      </tp>
      <tp>
        <v>900.01</v>
        <stp/>
        <stp>bse_cm|1050IIFL29</stp>
        <stp>Prev Close</stp>
        <tr r="P763" s="1"/>
      </tp>
      <tp>
        <v>1000</v>
        <stp/>
        <stp>bse_cm|1050NHFL29</stp>
        <stp>Prev Close</stp>
        <tr r="P1125" s="1"/>
      </tp>
      <tp>
        <v>50</v>
        <stp/>
        <stp>bse_cm|9PCHFL31A</stp>
        <stp>Ask Qty</stp>
        <tr r="G301" s="1"/>
      </tp>
      <tp>
        <v>-5.73</v>
        <stp/>
        <stp>bse_cm|10EFS33</stp>
        <stp>% Change</stp>
        <tr r="J112" s="1"/>
      </tp>
      <tp t="s">
        <v>BSE</v>
        <stp/>
        <stp>bse_cm|NIDOZC26</stp>
        <stp>Exchange</stp>
        <tr r="C27" s="1"/>
      </tp>
      <tp>
        <v>-100</v>
        <stp/>
        <stp>bse_cm|11MML28</stp>
        <stp>% Change</stp>
        <tr r="J1131" s="1"/>
      </tp>
      <tp>
        <v>-100</v>
        <stp/>
        <stp>bse_cm|11CCL26</stp>
        <stp>% Change</stp>
        <tr r="J1219" s="1"/>
      </tp>
      <tp>
        <v>-100</v>
        <stp/>
        <stp>bse_cm|11CCI26</stp>
        <stp>% Change</stp>
        <tr r="J1220" s="1"/>
      </tp>
      <tp>
        <v>-100</v>
        <stp/>
        <stp>bse_cm|81MFL28</stp>
        <stp>% Change</stp>
        <tr r="J314" s="1"/>
      </tp>
      <tp>
        <v>1000</v>
        <stp/>
        <stp>nse_cm|11UCL26-NC</stp>
        <stp>Face Value</stp>
        <tr r="Q322" s="1"/>
      </tp>
      <tp t="s">
        <v>BSE</v>
        <stp/>
        <stp>bse_cm|11DLSL25</stp>
        <stp>Exchange</stp>
        <tr r="C1539" s="1"/>
      </tp>
      <tp>
        <v>5</v>
        <stp/>
        <stp>bse_cm|753IRFC30</stp>
        <stp>Ask Qty</stp>
        <tr r="G454" s="1"/>
      </tp>
      <tp>
        <v>942</v>
        <stp/>
        <stp>bse_cm|1003ICCL28</stp>
        <stp>Prev Close</stp>
        <tr r="P655" s="1"/>
      </tp>
      <tp>
        <v>10</v>
        <stp/>
        <stp>nse_cm|931SFL26A-NA</stp>
        <stp>Bid Qty</stp>
        <tr r="D786" s="1"/>
      </tp>
      <tp>
        <v>0</v>
        <stp/>
        <stp>nse_cm|935PEL33-N3</stp>
        <stp>Open</stp>
        <tr r="M1375" s="1"/>
      </tp>
      <tp>
        <v>10</v>
        <stp/>
        <stp>bse_cm|729NHAI26</stp>
        <stp>Ask Qty</stp>
        <tr r="G348" s="1"/>
      </tp>
      <tp>
        <v>15</v>
        <stp/>
        <stp>bse_cm|739NHAI26</stp>
        <stp>Ask Qty</stp>
        <tr r="G442" s="1"/>
      </tp>
      <tp>
        <v>0</v>
        <stp/>
        <stp>nse_cm|797IGT31-NL</stp>
        <stp>ATP</stp>
        <tr r="K374" s="1"/>
      </tp>
      <tp>
        <v>0</v>
        <stp/>
        <stp>nse_cm|795IGT31-NI</stp>
        <stp>ATP</stp>
        <tr r="K1185" s="1"/>
      </tp>
      <tp>
        <v>0</v>
        <stp/>
        <stp>nse_cm|932AEL27-N3</stp>
        <stp>Open</stp>
        <tr r="M471" s="1"/>
      </tp>
      <tp>
        <v>20</v>
        <stp/>
        <stp>bse_cm|769NHAI31</stp>
        <stp>Ask Qty</stp>
        <tr r="G465" s="1"/>
      </tp>
      <tp>
        <v>876.1</v>
        <stp/>
        <stp>bse_cm|1075NIDO34</stp>
        <stp>Prev Close</stp>
        <tr r="P1021" s="1"/>
      </tp>
      <tp>
        <v>-100</v>
        <stp/>
        <stp>bse_cm|11IML26</stp>
        <stp>% Change</stp>
        <tr r="J1132" s="1"/>
      </tp>
      <tp>
        <v>0</v>
        <stp/>
        <stp>bse_cm|SCLZC25</stp>
        <stp>Ask Qty</stp>
        <tr r="G917" s="1"/>
      </tp>
      <tp>
        <v>0</v>
        <stp/>
        <stp>bse_cm|SCLZC26</stp>
        <stp>Ask Qty</stp>
        <tr r="G1464" s="1"/>
      </tp>
      <tp>
        <v>0</v>
        <stp/>
        <stp>nse_cm|745IGT26-NC</stp>
        <stp>ATP</stp>
        <tr r="K1201" s="1"/>
      </tp>
      <tp>
        <v>0</v>
        <stp/>
        <stp>nse_cm|749IGT28-NG</stp>
        <stp>ATP</stp>
        <tr r="K1197" s="1"/>
      </tp>
      <tp>
        <v>905.1</v>
        <stp/>
        <stp>bse_cm|9SFL25</stp>
        <stp>Bid Rate</stp>
        <tr r="E340" s="1"/>
      </tp>
      <tp>
        <v>980.25</v>
        <stp/>
        <stp>bse_cm|9SCL25</stp>
        <stp>Bid Rate</stp>
        <tr r="E653" s="1"/>
      </tp>
      <tp>
        <v>955.02</v>
        <stp/>
        <stp>bse_cm|MFCL160924</stp>
        <stp>Prev Close</stp>
        <tr r="P572" s="1"/>
      </tp>
      <tp>
        <v>-100</v>
        <stp/>
        <stp>bse_cm|11IML27</stp>
        <stp>% Change</stp>
        <tr r="J177" s="1"/>
      </tp>
      <tp t="s">
        <v>BSE</v>
        <stp/>
        <stp>bse_cm|10EFSL34</stp>
        <stp>Exchange</stp>
        <tr r="C164" s="1"/>
      </tp>
      <tp t="s">
        <v>BSE</v>
        <stp/>
        <stp>bse_cm|11EFSL34</stp>
        <stp>Exchange</stp>
        <tr r="C1429" s="1"/>
      </tp>
      <tp>
        <v>0</v>
        <stp/>
        <stp>nse_cm|769IGT28-NH</stp>
        <stp>ATP</stp>
        <tr r="K1487" s="1"/>
      </tp>
      <tp>
        <v>-100</v>
        <stp/>
        <stp>bse_cm|11IFL25</stp>
        <stp>% Change</stp>
        <tr r="J1421" s="1"/>
      </tp>
      <tp>
        <v>0</v>
        <stp/>
        <stp>nse_cm|772IGT31-NK</stp>
        <stp>ATP</stp>
        <tr r="K1193" s="1"/>
      </tp>
      <tp>
        <v>838.8</v>
        <stp/>
        <stp>bse_cm|9SFL26</stp>
        <stp>Bid Rate</stp>
        <tr r="E1066" s="1"/>
      </tp>
      <tp>
        <v>971</v>
        <stp/>
        <stp>bse_cm|9PEL25</stp>
        <stp>Bid Rate</stp>
        <tr r="E315" s="1"/>
      </tp>
      <tp>
        <v>1050.9000000000001</v>
        <stp/>
        <stp>nse_cm|898LTF29-N7</stp>
        <stp>Open</stp>
        <tr r="M385" s="1"/>
      </tp>
      <tp t="s">
        <v>BSE</v>
        <stp/>
        <stp>bse_cm|97EFSL31</stp>
        <stp>Exchange</stp>
        <tr r="C635" s="1"/>
      </tp>
      <tp t="s">
        <v>BSE</v>
        <stp/>
        <stp>bse_cm|93EFSL31</stp>
        <stp>Exchange</stp>
        <tr r="C83" s="1"/>
      </tp>
      <tp>
        <v>0</v>
        <stp/>
        <stp>bse_cm|SFLZC25</stp>
        <stp>Ask Qty</stp>
        <tr r="G802" s="1"/>
      </tp>
      <tp t="e">
        <v>#N/A</v>
        <stp/>
        <stp>bse_cm|SFLZC24</stp>
        <stp>Ask Qty</stp>
        <tr r="G30" s="1"/>
      </tp>
      <tp>
        <v>0</v>
        <stp/>
        <stp>bse_cm|SFLZC26</stp>
        <stp>Ask Qty</stp>
        <tr r="G801" s="1"/>
      </tp>
      <tp t="s">
        <v>INE614X07449</v>
        <stp/>
        <stp>nse_cm|11DLSL25A-Y3</stp>
        <stp>Isin code</stp>
        <tr r="R64" s="1"/>
      </tp>
      <tp>
        <v>0</v>
        <stp/>
        <stp>nse_cm|902SCL27A-ZI</stp>
        <stp>Ask Qty</stp>
        <tr r="G1353" s="1"/>
      </tp>
      <tp t="s">
        <v>BSE</v>
        <stp/>
        <stp>bse_cm|10EFSL33</stp>
        <stp>Exchange</stp>
        <tr r="C150" s="1"/>
      </tp>
      <tp>
        <v>924.3</v>
        <stp/>
        <stp>nse_cm|SCLZC26G-YA</stp>
        <stp>High</stp>
        <tr r="N815" s="1"/>
      </tp>
      <tp>
        <v>0</v>
        <stp/>
        <stp>nse_cm|980SCL34-Z7</stp>
        <stp xml:space="preserve">Low </stp>
        <tr r="O884" s="1"/>
      </tp>
      <tp>
        <v>10</v>
        <stp/>
        <stp>nse_cm|835SCL23A-YH</stp>
        <stp>Bid Qty</stp>
        <tr r="D833" s="1"/>
      </tp>
      <tp>
        <v>8</v>
        <stp/>
        <stp>nse_cm|835SCL23B-YM</stp>
        <stp>Bid Qty</stp>
        <tr r="D179" s="1"/>
      </tp>
      <tp>
        <v>1092</v>
        <stp/>
        <stp>bse_cm|81ABFL33</stp>
        <stp>Ask Rate</stp>
        <tr r="F1603" s="1"/>
      </tp>
      <tp>
        <v>1005</v>
        <stp/>
        <stp>bse_cm|78ABFL33</stp>
        <stp>Ask Rate</stp>
        <tr r="F378" s="1"/>
      </tp>
      <tp>
        <v>1000</v>
        <stp/>
        <stp>nse_cm|920IIFLS26-N8</stp>
        <stp>Face Value</stp>
        <tr r="Q208" s="1"/>
      </tp>
      <tp>
        <v>0</v>
        <stp/>
        <stp>nse_cm|85PFL26A-N7</stp>
        <stp>Bid Rate</stp>
        <tr r="E1519" s="1"/>
      </tp>
      <tp>
        <v>0</v>
        <stp/>
        <stp>nse_cm|888NHB29-N5</stp>
        <stp>ATP</stp>
        <tr r="K504" s="1"/>
      </tp>
      <tp>
        <v>960</v>
        <stp/>
        <stp>bse_cm|9IML25</stp>
        <stp>Bid Rate</stp>
        <tr r="E588" s="1"/>
      </tp>
      <tp>
        <v>0</v>
        <stp/>
        <stp>nse_cm|893NHB29-N6</stp>
        <stp>ATP</stp>
        <tr r="K529" s="1"/>
      </tp>
      <tp>
        <v>0</v>
        <stp/>
        <stp>nse_cm|890NHB34-N7</stp>
        <stp>ATP</stp>
        <tr r="K537" s="1"/>
      </tp>
      <tp>
        <v>-100</v>
        <stp/>
        <stp>bse_cm|91SFL27</stp>
        <stp>% Change</stp>
        <tr r="J574" s="1"/>
      </tp>
      <tp>
        <v>1374</v>
        <stp/>
        <stp>nse_cm|886REC34-NG</stp>
        <stp>LTP</stp>
        <tr r="H536" s="1"/>
      </tp>
      <tp t="s">
        <v/>
        <stp/>
        <stp>nse_cm|886REC34-NG</stp>
        <stp>LTT</stp>
        <tr r="I536" s="1"/>
      </tp>
      <tp t="s">
        <v/>
        <stp/>
        <stp>nse_cm|888REC29-NF</stp>
        <stp>LTT</stp>
        <tr r="I522" s="1"/>
      </tp>
      <tp>
        <v>1201.5</v>
        <stp/>
        <stp>nse_cm|888REC29-NF</stp>
        <stp>LTP</stp>
        <tr r="H522" s="1"/>
      </tp>
      <tp>
        <v>822.2</v>
        <stp/>
        <stp>bse_cm|9KFL26</stp>
        <stp>Bid Rate</stp>
        <tr r="E1084" s="1"/>
      </tp>
      <tp>
        <v>25</v>
        <stp/>
        <stp>bse_cm|830CIFC26</stp>
        <stp>Bid Qty</stp>
        <tr r="D1013" s="1"/>
      </tp>
      <tp>
        <v>1000</v>
        <stp/>
        <stp>bse_cm|1004EFSL29</stp>
        <stp>Face Value</stp>
        <tr r="Q1586" s="1"/>
      </tp>
      <tp>
        <v>-100</v>
        <stp/>
        <stp>bse_cm|11UCL26</stp>
        <stp>% Change</stp>
        <tr r="J323" s="1"/>
      </tp>
      <tp>
        <v>1000</v>
        <stp/>
        <stp>bse_cm|EFSL290424</stp>
        <stp>Face Value</stp>
        <tr r="Q1334" s="1"/>
      </tp>
      <tp>
        <v>931.2</v>
        <stp/>
        <stp>bse_cm|9MFL27</stp>
        <stp>Bid Rate</stp>
        <tr r="E195" s="1"/>
      </tp>
      <tp>
        <v>-100</v>
        <stp/>
        <stp>bse_cm|10SCL31</stp>
        <stp>% Change</stp>
        <tr r="J1085" s="1"/>
      </tp>
      <tp>
        <v>0</v>
        <stp/>
        <stp>nse_cm|902SCL26I-AW</stp>
        <stp>Ask Qty</stp>
        <tr r="G1383" s="1"/>
      </tp>
      <tp>
        <v>1492</v>
        <stp/>
        <stp>nse_cm|SFLZC25A-ZK</stp>
        <stp xml:space="preserve">Low </stp>
        <tr r="O1582" s="1"/>
      </tp>
      <tp>
        <v>875.2</v>
        <stp/>
        <stp>bse_cm|9MFL25</stp>
        <stp>Bid Rate</stp>
        <tr r="E1082" s="1"/>
      </tp>
      <tp>
        <v>1000</v>
        <stp/>
        <stp>bse_cm|EFSL260724</stp>
        <stp>Face Value</stp>
        <tr r="Q586" s="1"/>
      </tp>
      <tp>
        <v>-100</v>
        <stp/>
        <stp>bse_cm|1003SCFL31</stp>
        <stp>% Change</stp>
        <tr r="J1076" s="1"/>
      </tp>
      <tp>
        <v>-100</v>
        <stp/>
        <stp>bse_cm|1050SCFL31</stp>
        <stp>% Change</stp>
        <tr r="J1123" s="1"/>
      </tp>
      <tp>
        <v>50</v>
        <stp/>
        <stp>bse_cm|750IRFC35</stp>
        <stp>Bid Qty</stp>
        <tr r="D488" s="1"/>
      </tp>
      <tp>
        <v>-100</v>
        <stp/>
        <stp>bse_cm|764HUDCO31</stp>
        <stp>% Change</stp>
        <tr r="J16" s="1"/>
      </tp>
      <tp>
        <v>-100</v>
        <stp/>
        <stp>bse_cm|769HUDCO31</stp>
        <stp>% Change</stp>
        <tr r="J15" s="1"/>
      </tp>
      <tp>
        <v>100</v>
        <stp/>
        <stp>bse_cm|840IRFC29</stp>
        <stp>Bid Qty</stp>
        <tr r="D1634" s="1"/>
      </tp>
      <tp>
        <v>0</v>
        <stp/>
        <stp>bse_cm|KFL28D</stp>
        <stp>Open</stp>
        <tr r="M1299" s="1"/>
      </tp>
      <tp>
        <v>0</v>
        <stp/>
        <stp>nse_cm|84TCHF28-NA</stp>
        <stp>ATP</stp>
        <tr r="K402" s="1"/>
      </tp>
      <tp>
        <v>0</v>
        <stp/>
        <stp>nse_cm|902SCL26A-NM</stp>
        <stp>Ask Qty</stp>
        <tr r="G904" s="1"/>
      </tp>
      <tp>
        <v>1080</v>
        <stp/>
        <stp>nse_cm|812REC27-NI</stp>
        <stp>LTP</stp>
        <tr r="H462" s="1"/>
      </tp>
      <tp t="s">
        <v/>
        <stp/>
        <stp>nse_cm|812REC27-NI</stp>
        <stp>LTT</stp>
        <tr r="I462" s="1"/>
      </tp>
      <tp>
        <v>1000</v>
        <stp/>
        <stp>nse_cm|1003SCFL31-Z4</stp>
        <stp>Face Value</stp>
        <tr r="Q878" s="1"/>
      </tp>
      <tp>
        <v>-100</v>
        <stp/>
        <stp>bse_cm|739HUDCO31</stp>
        <stp>% Change</stp>
        <tr r="J569" s="1"/>
      </tp>
      <tp>
        <v>0</v>
        <stp/>
        <stp>nse_cm|865NHB34-N4</stp>
        <stp>ATP</stp>
        <tr r="K1166" s="1"/>
      </tp>
      <tp>
        <v>1179</v>
        <stp/>
        <stp>nse_cm|871REC28-N9</stp>
        <stp>LTP</stp>
        <tr r="H542" s="1"/>
      </tp>
      <tp>
        <v>0</v>
        <stp/>
        <stp>nse_cm|868NHB29-N3</stp>
        <stp>ATP</stp>
        <tr r="K1342" s="1"/>
      </tp>
      <tp t="s">
        <v/>
        <stp/>
        <stp>nse_cm|871REC28-N9</stp>
        <stp>LTT</stp>
        <tr r="I542" s="1"/>
      </tp>
      <tp>
        <v>0</v>
        <stp/>
        <stp>nse_cm|82TCHF25-N5</stp>
        <stp>ATP</stp>
        <tr r="K1014" s="1"/>
      </tp>
      <tp>
        <v>-100</v>
        <stp/>
        <stp>bse_cm|1025SCFL34</stp>
        <stp>% Change</stp>
        <tr r="J1025" s="1"/>
      </tp>
      <tp>
        <v>-100</v>
        <stp/>
        <stp>bse_cm|1075SCFL34</stp>
        <stp>% Change</stp>
        <tr r="J1020" s="1"/>
      </tp>
      <tp>
        <v>1602.01</v>
        <stp/>
        <stp>nse_cm|SFLZC26A-ZC</stp>
        <stp xml:space="preserve">Low </stp>
        <tr r="O1716" s="1"/>
      </tp>
      <tp>
        <v>1368</v>
        <stp/>
        <stp>nse_cm|863REC29-NC</stp>
        <stp>LTP</stp>
        <tr r="H1633" s="1"/>
      </tp>
      <tp t="s">
        <v/>
        <stp/>
        <stp>nse_cm|861REC34-ND</stp>
        <stp>LTT</stp>
        <tr r="I583" s="1"/>
      </tp>
      <tp>
        <v>1242</v>
        <stp/>
        <stp>nse_cm|862REC33-NA</stp>
        <stp>LTP</stp>
        <tr r="H563" s="1"/>
      </tp>
      <tp t="s">
        <v/>
        <stp/>
        <stp>nse_cm|863REC29-NC</stp>
        <stp>LTT</stp>
        <tr r="I1633" s="1"/>
      </tp>
      <tp>
        <v>1500</v>
        <stp/>
        <stp>nse_cm|861REC34-ND</stp>
        <stp>LTP</stp>
        <tr r="H583" s="1"/>
      </tp>
      <tp t="s">
        <v/>
        <stp/>
        <stp>nse_cm|862REC33-NA</stp>
        <stp>LTT</stp>
        <tr r="I563" s="1"/>
      </tp>
      <tp>
        <v>0</v>
        <stp/>
        <stp>nse_cm|83TCHF25-N6</stp>
        <stp>ATP</stp>
        <tr r="K472" s="1"/>
      </tp>
      <tp>
        <v>0</v>
        <stp/>
        <stp>nse_cm|83TCHF28-N9</stp>
        <stp>ATP</stp>
        <tr r="K831" s="1"/>
      </tp>
      <tp>
        <v>1000</v>
        <stp/>
        <stp>nse_cm|1050SCFL31-Z2</stp>
        <stp>Face Value</stp>
        <tr r="Q868" s="1"/>
      </tp>
      <tp>
        <v>30</v>
        <stp/>
        <stp>bse_cm|96SFL24A</stp>
        <stp>Volume Traded Today</stp>
        <tr r="L633" s="1"/>
      </tp>
      <tp>
        <v>1183.9000000000001</v>
        <stp/>
        <stp>nse_cm|846REC28-N6</stp>
        <stp>LTP</stp>
        <tr r="H548" s="1"/>
      </tp>
      <tp t="s">
        <v/>
        <stp/>
        <stp>nse_cm|846REC28-N6</stp>
        <stp>LTT</stp>
        <tr r="I548" s="1"/>
      </tp>
      <tp>
        <v>0</v>
        <stp/>
        <stp>nse_cm|81TCHF28-N8</stp>
        <stp>ATP</stp>
        <tr r="K467" s="1"/>
      </tp>
      <tp t="s">
        <v>INE244L07283</v>
        <stp/>
        <stp>bse_cm|1030ICCL28</stp>
        <stp>Isin code</stp>
        <tr r="R1521" s="1"/>
      </tp>
      <tp t="s">
        <v>SCL26</v>
        <stp/>
        <stp>nse_cm|SCL26-NA</stp>
        <stp>Symbol</stp>
        <tr r="A919" s="1"/>
      </tp>
      <tp>
        <v>0</v>
        <stp/>
        <stp>nse_cm|ICCL25-NS</stp>
        <stp>% Change</stp>
        <tr r="J1401" s="1"/>
      </tp>
      <tp t="s">
        <v>INE244L07556</v>
        <stp/>
        <stp>bse_cm|1003ICCL28</stp>
        <stp>Isin code</stp>
        <tr r="R655" s="1"/>
      </tp>
      <tp t="s">
        <v>INE101Q08118</v>
        <stp/>
        <stp>bse_cm|1025MMFL26</stp>
        <stp>Isin code</stp>
        <tr r="R320" s="1"/>
      </tp>
      <tp t="s">
        <v>INE244L07531</v>
        <stp/>
        <stp>bse_cm|1050ICCL28</stp>
        <stp>Isin code</stp>
        <tr r="R1133" s="1"/>
      </tp>
      <tp t="s">
        <v>966IFSL25</v>
        <stp/>
        <stp>bse_cm|966IFSL25</stp>
        <stp>Trading Symbol</stp>
        <tr r="B1051" s="1"/>
      </tp>
      <tp>
        <v>0</v>
        <stp/>
        <stp>nse_cm|DLSL25-NW</stp>
        <stp>% Change</stp>
        <tr r="J1745" s="1"/>
      </tp>
      <tp>
        <v>0</v>
        <stp/>
        <stp>bse_cm|SFL270224A</stp>
        <stp>LTP</stp>
        <tr r="H807" s="1"/>
      </tp>
      <tp t="s">
        <v>00:00:00</v>
        <stp/>
        <stp>bse_cm|SFL270224A</stp>
        <stp>LTT</stp>
        <tr r="I807" s="1"/>
      </tp>
      <tp t="s">
        <v>967EFSL29</v>
        <stp/>
        <stp>bse_cm|967EFSL29</stp>
        <stp>Trading Symbol</stp>
        <tr r="B102" s="1"/>
      </tp>
      <tp t="s">
        <v>967EFSL28</v>
        <stp/>
        <stp>bse_cm|967EFSL28</stp>
        <stp>Trading Symbol</stp>
        <tr r="B205" s="1"/>
      </tp>
      <tp t="s">
        <v>957JFPL30</v>
        <stp/>
        <stp>bse_cm|957JFPL30</stp>
        <stp>Trading Symbol</stp>
        <tr r="B760" s="1"/>
      </tp>
      <tp t="s">
        <v>00:00:00</v>
        <stp/>
        <stp>bse_cm|1003SCL30A</stp>
        <stp>LTT</stp>
        <tr r="I875" s="1"/>
      </tp>
      <tp>
        <v>0</v>
        <stp/>
        <stp>bse_cm|1003SCL30A</stp>
        <stp>LTP</stp>
        <tr r="H875" s="1"/>
      </tp>
      <tp t="s">
        <v>965EFSL32</v>
        <stp/>
        <stp>bse_cm|965EFSL32</stp>
        <stp>Trading Symbol</stp>
        <tr r="B141" s="1"/>
      </tp>
      <tp t="s">
        <v>965IFSL26</v>
        <stp/>
        <stp>bse_cm|965IFSL26</stp>
        <stp>Trading Symbol</stp>
        <tr r="B1142" s="1"/>
      </tp>
      <tp>
        <v>0</v>
        <stp/>
        <stp>nse_cm|1003SCFL31-Z4</stp>
        <stp>High</stp>
        <tr r="N878" s="1"/>
      </tp>
      <tp t="s">
        <v>INE051307AT0</v>
        <stp/>
        <stp>bse_cm|1150CCIL29</stp>
        <stp>Isin code</stp>
        <tr r="R424" s="1"/>
      </tp>
      <tp t="s">
        <v>960EFSL27</v>
        <stp/>
        <stp>bse_cm|960EFSL27</stp>
        <stp>Trading Symbol</stp>
        <tr r="B70" s="1"/>
      </tp>
      <tp t="s">
        <v>960EFSL26</v>
        <stp/>
        <stp>bse_cm|960EFSL26</stp>
        <stp>Trading Symbol</stp>
        <tr r="B690" s="1"/>
      </tp>
      <tp t="s">
        <v>INE0BUS07AV1</v>
        <stp/>
        <stp>bse_cm|IML1622024</stp>
        <stp>Isin code</stp>
        <tr r="R1328" s="1"/>
      </tp>
      <tp>
        <v>0</v>
        <stp/>
        <stp>bse_cm|EFS290424A</stp>
        <stp>LTP</stp>
        <tr r="H571" s="1"/>
      </tp>
      <tp t="s">
        <v>00:00:00</v>
        <stp/>
        <stp>bse_cm|EFS290424A</stp>
        <stp>LTT</stp>
        <tr r="I571" s="1"/>
      </tp>
      <tp>
        <v>0</v>
        <stp/>
        <stp>nse_cm|9PEL25-N0</stp>
        <stp>% Change</stp>
        <tr r="J341" s="1"/>
      </tp>
      <tp t="s">
        <v>INE532F07FE1</v>
        <stp/>
        <stp>bse_cm|EFSL290424</stp>
        <stp>Isin code</stp>
        <tr r="R1334" s="1"/>
      </tp>
      <tp t="s">
        <v>00:00:00</v>
        <stp/>
        <stp>bse_cm|104SMCGS29</stp>
        <stp>LTT</stp>
        <tr r="I206" s="1"/>
      </tp>
      <tp>
        <v>0</v>
        <stp/>
        <stp>bse_cm|104SMCGS29</stp>
        <stp>LTP</stp>
        <tr r="H206" s="1"/>
      </tp>
      <tp>
        <v>0</v>
        <stp/>
        <stp>bse_cm|102SMCGS27</stp>
        <stp>LTP</stp>
        <tr r="H1017" s="1"/>
      </tp>
      <tp t="s">
        <v>00:00:00</v>
        <stp/>
        <stp>bse_cm|102SMCGS27</stp>
        <stp>LTT</stp>
        <tr r="I1017" s="1"/>
      </tp>
      <tp t="s">
        <v>TCHF30</v>
        <stp/>
        <stp>bse_cm|TCHF30</stp>
        <stp>Trading Symbol</stp>
        <tr r="B423" s="1"/>
      </tp>
      <tp>
        <v>0</v>
        <stp/>
        <stp>nse_cm|CAGL26-NA</stp>
        <stp>% Change</stp>
        <tr r="J735" s="1"/>
      </tp>
      <tp t="s">
        <v>INE031A07972</v>
        <stp/>
        <stp>nse_cm|858HUDCO29-NC</stp>
        <stp>Isin code</stp>
        <tr r="R1636" s="1"/>
      </tp>
      <tp>
        <v>960</v>
        <stp/>
        <stp>nse_cm|1075SCFL34-Z6</stp>
        <stp xml:space="preserve">Low </stp>
        <tr r="O882" s="1"/>
      </tp>
      <tp t="s">
        <v>INE244L07531</v>
        <stp/>
        <stp>nse_cm|1050ICCL28-NV</stp>
        <stp>Isin code</stp>
        <tr r="R764" s="1"/>
      </tp>
      <tp>
        <v>0</v>
        <stp/>
        <stp>nse_cm|1025SCFL34-Z5</stp>
        <stp xml:space="preserve">Low </stp>
        <tr r="O880" s="1"/>
      </tp>
      <tp t="s">
        <v>INE302E07375</v>
        <stp/>
        <stp>bse_cm|10SFL25</stp>
        <stp>Isin code</stp>
        <tr r="R1681" s="1"/>
      </tp>
      <tp>
        <v>-100</v>
        <stp/>
        <stp>nse_cm|CAGL27-NC</stp>
        <stp>% Change</stp>
        <tr r="J733" s="1"/>
      </tp>
      <tp>
        <v>0</v>
        <stp/>
        <stp>nse_cm|CAGL28-NE</stp>
        <stp>% Change</stp>
        <tr r="J756" s="1"/>
      </tp>
      <tp t="s">
        <v>11:16:49</v>
        <stp/>
        <stp>bse_cm|994SMCGS29</stp>
        <stp>LTT</stp>
        <tr r="I221" s="1"/>
      </tp>
      <tp>
        <v>1005</v>
        <stp/>
        <stp>bse_cm|994SMCGS29</stp>
        <stp>LTP</stp>
        <tr r="H221" s="1"/>
      </tp>
      <tp t="s">
        <v>INE148I07NS4</v>
        <stp/>
        <stp>bse_cm|96SCL25</stp>
        <stp>Isin code</stp>
        <tr r="R1068" s="1"/>
      </tp>
      <tp t="s">
        <v>INE148I07MR8</v>
        <stp/>
        <stp>bse_cm|93SCL25</stp>
        <stp>Isin code</stp>
        <tr r="R729" s="1"/>
      </tp>
      <tp t="s">
        <v>INE148I07MQ0</v>
        <stp/>
        <stp>bse_cm|88SCL25</stp>
        <stp>Isin code</stp>
        <tr r="R987" s="1"/>
      </tp>
      <tp t="s">
        <v>INE148I07NP0</v>
        <stp/>
        <stp>bse_cm|87SCL25</stp>
        <stp>Isin code</stp>
        <tr r="R958" s="1"/>
      </tp>
      <tp>
        <v>0</v>
        <stp/>
        <stp>bse_cm|975KLMAF26</stp>
        <stp>ATP</stp>
        <tr r="K857" s="1"/>
      </tp>
      <tp>
        <v>0</v>
        <stp/>
        <stp>bse_cm|950KLMAF25</stp>
        <stp>ATP</stp>
        <tr r="K1149" s="1"/>
      </tp>
      <tp>
        <v>0</v>
        <stp/>
        <stp>bse_cm|925KLMAF25</stp>
        <stp>ATP</stp>
        <tr r="K612" s="1"/>
      </tp>
      <tp>
        <v>0</v>
        <stp/>
        <stp>nse_cm|CAGL25-N8</stp>
        <stp>% Change</stp>
        <tr r="J710" s="1"/>
      </tp>
      <tp>
        <v>-100</v>
        <stp/>
        <stp>bse_cm|1070MML25</stp>
        <stp>% Change</stp>
        <tr r="J1504" s="1"/>
      </tp>
      <tp>
        <v>-100</v>
        <stp/>
        <stp>bse_cm|1050MML25</stp>
        <stp>% Change</stp>
        <tr r="J1503" s="1"/>
      </tp>
      <tp>
        <v>-100</v>
        <stp/>
        <stp>bse_cm|1090NFL26</stp>
        <stp>% Change</stp>
        <tr r="J364" s="1"/>
      </tp>
      <tp>
        <v>-100</v>
        <stp/>
        <stp>bse_cm|1050NFL26</stp>
        <stp>% Change</stp>
        <tr r="J260" s="1"/>
      </tp>
      <tp>
        <v>-100</v>
        <stp/>
        <stp>bse_cm|1040NFL26</stp>
        <stp>% Change</stp>
        <tr r="J1453" s="1"/>
      </tp>
      <tp>
        <v>0</v>
        <stp/>
        <stp>bse_cm|KFL070824</stp>
        <stp>% Change</stp>
        <tr r="J551" s="1"/>
      </tp>
      <tp>
        <v>-100</v>
        <stp/>
        <stp>bse_cm|1080MML26</stp>
        <stp>% Change</stp>
        <tr r="J1163" s="1"/>
      </tp>
      <tp>
        <v>-100</v>
        <stp/>
        <stp>bse_cm|1060MML26</stp>
        <stp>% Change</stp>
        <tr r="J1218" s="1"/>
      </tp>
      <tp>
        <v>-100</v>
        <stp/>
        <stp>bse_cm|1050IML25</stp>
        <stp>% Change</stp>
        <tr r="J499" s="1"/>
      </tp>
      <tp>
        <v>-100</v>
        <stp/>
        <stp>bse_cm|1050KLM27</stp>
        <stp>% Change</stp>
        <tr r="J609" s="1"/>
      </tp>
      <tp>
        <v>-15.61</v>
        <stp/>
        <stp>bse_cm|1060ECL29</stp>
        <stp>% Change</stp>
        <tr r="J272" s="1"/>
      </tp>
      <tp>
        <v>-100</v>
        <stp/>
        <stp>bse_cm|1010EFS29</stp>
        <stp>% Change</stp>
        <tr r="J726" s="1"/>
      </tp>
      <tp>
        <v>-100</v>
        <stp/>
        <stp>bse_cm|1150KLM26</stp>
        <stp>% Change</stp>
        <tr r="J1224" s="1"/>
      </tp>
      <tp>
        <v>-100</v>
        <stp/>
        <stp>bse_cm|1010EFS28</stp>
        <stp>% Change</stp>
        <tr r="J116" s="1"/>
      </tp>
      <tp>
        <v>0</v>
        <stp/>
        <stp>bse_cm|115ICLFL25</stp>
        <stp>Volume Traded Today</stp>
        <tr r="L1223" s="1"/>
      </tp>
      <tp>
        <v>0</v>
        <stp/>
        <stp>bse_cm|125ICLFL28</stp>
        <stp>Volume Traded Today</stp>
        <tr r="L264" s="1"/>
      </tp>
      <tp>
        <v>-100</v>
        <stp/>
        <stp>bse_cm|1030ICC26</stp>
        <stp>% Change</stp>
        <tr r="J1538" s="1"/>
      </tp>
      <tp>
        <v>-100</v>
        <stp/>
        <stp>bse_cm|1150IFL26</stp>
        <stp>% Change</stp>
        <tr r="J1225" s="1"/>
      </tp>
      <tp>
        <v>-100</v>
        <stp/>
        <stp>bse_cm|1150IML29</stp>
        <stp>% Change</stp>
        <tr r="J601" s="1"/>
      </tp>
      <tp>
        <v>-100</v>
        <stp/>
        <stp>bse_cm|1250IFL29</stp>
        <stp>% Change</stp>
        <tr r="J1215" s="1"/>
      </tp>
      <tp>
        <v>0</v>
        <stp/>
        <stp>bse_cm|1150IML28</stp>
        <stp>% Change</stp>
        <tr r="J92" s="1"/>
      </tp>
      <tp>
        <v>-0.48</v>
        <stp/>
        <stp>nse_cm|ABFL28-N3</stp>
        <stp>% Change</stp>
        <tr r="J1063" s="1"/>
      </tp>
      <tp>
        <v>0</v>
        <stp/>
        <stp>nse_cm|SCFL310524-ZE</stp>
        <stp xml:space="preserve">Low </stp>
        <tr r="O1240" s="1"/>
      </tp>
      <tp>
        <v>0</v>
        <stp/>
        <stp>nse_cm|CAGL24-N2</stp>
        <stp>% Change</stp>
        <tr r="J1762" s="1"/>
      </tp>
      <tp t="s">
        <v>INE413U07293</v>
        <stp/>
        <stp>bse_cm|10IIFLSF27</stp>
        <stp>Isin code</stp>
        <tr r="R1098" s="1"/>
      </tp>
      <tp>
        <v>0</v>
        <stp/>
        <stp>nse_cm|ABFL26-N1</stp>
        <stp>% Change</stp>
        <tr r="J1679" s="1"/>
      </tp>
      <tp>
        <v>-1.78</v>
        <stp/>
        <stp>bse_cm|1080MML29</stp>
        <stp>% Change</stp>
        <tr r="J72" s="1"/>
      </tp>
      <tp>
        <v>-100</v>
        <stp/>
        <stp>bse_cm|1150MML29</stp>
        <stp>% Change</stp>
        <tr r="J248" s="1"/>
      </tp>
      <tp>
        <v>-100</v>
        <stp/>
        <stp>bse_cm|1050MML28</stp>
        <stp>% Change</stp>
        <tr r="J1159" s="1"/>
      </tp>
      <tp>
        <v>-100</v>
        <stp/>
        <stp>bse_cm|1050CCI25</stp>
        <stp>% Change</stp>
        <tr r="J173" s="1"/>
      </tp>
      <tp>
        <v>-100</v>
        <stp/>
        <stp>bse_cm|KAF080824</stp>
        <stp>% Change</stp>
        <tr r="J1322" s="1"/>
      </tp>
      <tp>
        <v>-100</v>
        <stp/>
        <stp>bse_cm|1050UCL25</stp>
        <stp>% Change</stp>
        <tr r="J417" s="1"/>
      </tp>
      <tp>
        <v>-100</v>
        <stp/>
        <stp>bse_cm|1040UCL25</stp>
        <stp>% Change</stp>
        <tr r="J1612" s="1"/>
      </tp>
      <tp>
        <v>-100</v>
        <stp/>
        <stp>bse_cm|1050VCL25</stp>
        <stp>% Change</stp>
        <tr r="J656" s="1"/>
      </tp>
      <tp>
        <v>1000</v>
        <stp/>
        <stp>bse_cm|NIDO25A</stp>
        <stp>Face Value</stp>
        <tr r="Q1245" s="1"/>
      </tp>
      <tp>
        <v>-100</v>
        <stp/>
        <stp>bse_cm|1050SFL26</stp>
        <stp>% Change</stp>
        <tr r="J890" s="1"/>
      </tp>
      <tp>
        <v>0</v>
        <stp/>
        <stp>nse_cm|745IGT26-NC</stp>
        <stp xml:space="preserve">Low </stp>
        <tr r="O1201" s="1"/>
      </tp>
      <tp t="s">
        <v>00:00:00</v>
        <stp/>
        <stp>bse_cm|93SCL24A</stp>
        <stp>LTT</stp>
        <tr r="I1361" s="1"/>
      </tp>
      <tp>
        <v>0</v>
        <stp/>
        <stp>bse_cm|93SCL24A</stp>
        <stp>LTP</stp>
        <tr r="H1361" s="1"/>
      </tp>
      <tp>
        <v>1000</v>
        <stp/>
        <stp>bse_cm|875PCHFL31</stp>
        <stp>Prev Close</stp>
        <tr r="P1172" s="1"/>
      </tp>
      <tp>
        <v>1000</v>
        <stp/>
        <stp>bse_cm|875PCHFL26</stp>
        <stp>Prev Close</stp>
        <tr r="P331" s="1"/>
      </tp>
      <tp>
        <v>200</v>
        <stp/>
        <stp>nse_cm|10IIFL28A-NE</stp>
        <stp>Ask Qty</stp>
        <tr r="G108" s="1"/>
      </tp>
      <tp>
        <v>0</v>
        <stp/>
        <stp>bse_cm|ABFL28</stp>
        <stp>Open</stp>
        <tr r="M1373" s="1"/>
      </tp>
      <tp t="s">
        <v>INE906B07DF8</v>
        <stp/>
        <stp>nse_cm|875NHAI29-N6</stp>
        <stp>Isin code</stp>
        <tr r="R495" s="1"/>
      </tp>
      <tp t="s">
        <v>INE338I07115</v>
        <stp/>
        <stp>nse_cm|93MOFSL34-N6</stp>
        <stp>Isin code</stp>
        <tr r="R299" s="1"/>
      </tp>
      <tp t="s">
        <v>10:32:50</v>
        <stp/>
        <stp>nse_cm|10SCL30A-BV</stp>
        <stp>LTT</stp>
        <tr r="I445" s="1"/>
      </tp>
      <tp>
        <v>880</v>
        <stp/>
        <stp>nse_cm|10SCL30A-BV</stp>
        <stp>LTP</stp>
        <tr r="H445" s="1"/>
      </tp>
      <tp>
        <v>0</v>
        <stp/>
        <stp>nse_cm|835IFL25-NV</stp>
        <stp>Open</stp>
        <tr r="M98" s="1"/>
      </tp>
      <tp>
        <v>0</v>
        <stp/>
        <stp>nse_cm|935SCL28-NV</stp>
        <stp>Open</stp>
        <tr r="M986" s="1"/>
      </tp>
      <tp>
        <v>-100</v>
        <stp/>
        <stp>bse_cm|1025SCL33A</stp>
        <stp>% Change</stp>
        <tr r="J835" s="1"/>
      </tp>
      <tp>
        <v>0</v>
        <stp/>
        <stp>nse_cm|749IGT28-NG</stp>
        <stp xml:space="preserve">Low </stp>
        <tr r="O1197" s="1"/>
      </tp>
      <tp>
        <v>-100</v>
        <stp/>
        <stp>bse_cm|1075SCL33A</stp>
        <stp>% Change</stp>
        <tr r="J629" s="1"/>
      </tp>
      <tp>
        <v>-100</v>
        <stp/>
        <stp>bse_cm|1075SCL33B</stp>
        <stp>% Change</stp>
        <tr r="J706" s="1"/>
      </tp>
      <tp>
        <v>1000</v>
        <stp/>
        <stp>bse_cm|790MMFSL27</stp>
        <stp>Face Value</stp>
        <tr r="Q1189" s="1"/>
      </tp>
      <tp>
        <v>1000</v>
        <stp/>
        <stp>bse_cm|800MMFSL27</stp>
        <stp>Face Value</stp>
        <tr r="Q436" s="1"/>
      </tp>
      <tp>
        <v>0</v>
        <stp/>
        <stp>bse_cm|ABFL26</stp>
        <stp>Open</stp>
        <tr r="M1064" s="1"/>
      </tp>
      <tp t="s">
        <v>INE413U07228</v>
        <stp/>
        <stp>nse_cm|960ISFL25-N1</stp>
        <stp>Isin code</stp>
        <tr r="R1695" s="1"/>
      </tp>
      <tp>
        <v>1049</v>
        <stp/>
        <stp>bse_cm|850CIFCL26</stp>
        <stp>Prev Close</stp>
        <tr r="P1164" s="1"/>
      </tp>
      <tp>
        <v>1010.81</v>
        <stp/>
        <stp>bse_cm|840CIFCL28</stp>
        <stp>Prev Close</stp>
        <tr r="P419" s="1"/>
      </tp>
      <tp>
        <v>1050</v>
        <stp/>
        <stp>bse_cm|860CIFCL28</stp>
        <stp>Prev Close</stp>
        <tr r="P1431" s="1"/>
      </tp>
      <tp>
        <v>0</v>
        <stp/>
        <stp>nse_cm|990SCFL26-AJ</stp>
        <stp>Bid Qty</stp>
        <tr r="D1523" s="1"/>
      </tp>
      <tp>
        <v>0</v>
        <stp/>
        <stp>nse_cm|SCLZC26F-Y9</stp>
        <stp>High</stp>
        <tr r="N800" s="1"/>
      </tp>
      <tp>
        <v>1026</v>
        <stp/>
        <stp>nse_cm|SCLZC25F-Y5</stp>
        <stp>High</stp>
        <tr r="N1512" s="1"/>
      </tp>
      <tp>
        <v>0</v>
        <stp/>
        <stp>nse_cm|9SFL25A-ZH</stp>
        <stp>% Change</stp>
        <tr r="J463" s="1"/>
      </tp>
      <tp t="s">
        <v>894SCL27-ZY</v>
        <stp/>
        <stp>nse_cm|894SCL27-ZY</stp>
        <stp>Trading Symbol</stp>
        <tr r="B731" s="1"/>
      </tp>
      <tp t="s">
        <v>889SCL27-YT</v>
        <stp/>
        <stp>nse_cm|889SCL27-YT</stp>
        <stp>Trading Symbol</stp>
        <tr r="B120" s="1"/>
      </tp>
      <tp t="s">
        <v>875SCL27-YQ</v>
        <stp/>
        <stp>nse_cm|875SCL27-YQ</stp>
        <stp>Trading Symbol</stp>
        <tr r="B937" s="1"/>
      </tp>
      <tp t="s">
        <v>843SCL27-YS</v>
        <stp/>
        <stp>nse_cm|843SCL27-YS</stp>
        <stp>Trading Symbol</stp>
        <tr r="B944" s="1"/>
      </tp>
      <tp t="s">
        <v>00:00:00</v>
        <stp/>
        <stp>bse_cm|9MMFSL26</stp>
        <stp>LTT</stp>
        <tr r="I334" s="1"/>
      </tp>
      <tp>
        <v>1034</v>
        <stp/>
        <stp>bse_cm|9MMFSL26</stp>
        <stp>LTP</stp>
        <tr r="H334" s="1"/>
      </tp>
      <tp>
        <v>0</v>
        <stp/>
        <stp>nse_cm|SCLZC25E-Y4</stp>
        <stp>High</stp>
        <tr r="N787" s="1"/>
      </tp>
      <tp>
        <v>1049</v>
        <stp/>
        <stp>bse_cm|125ICLFL28</stp>
        <stp>Prev Close</stp>
        <tr r="P264" s="1"/>
      </tp>
      <tp>
        <v>1000</v>
        <stp/>
        <stp>bse_cm|115ICLFL25</stp>
        <stp>Prev Close</stp>
        <tr r="P1223" s="1"/>
      </tp>
      <tp t="s">
        <v>990SCL27-YT</v>
        <stp/>
        <stp>nse_cm|990SCL27-YT</stp>
        <stp>Trading Symbol</stp>
        <tr r="B1024" s="1"/>
      </tp>
      <tp t="s">
        <v>955SCL27-Z5</v>
        <stp/>
        <stp>nse_cm|955SCL27-Z5</stp>
        <stp>Trading Symbol</stp>
        <tr r="B949" s="1"/>
      </tp>
      <tp t="s">
        <v>975SCL27-Z9</v>
        <stp/>
        <stp>nse_cm|975SCL27-Z9</stp>
        <stp>Trading Symbol</stp>
        <tr r="B885" s="1"/>
      </tp>
      <tp t="s">
        <v>948SCL27-YV</v>
        <stp/>
        <stp>nse_cm|948SCL27-YV</stp>
        <stp>Trading Symbol</stp>
        <tr r="B127" s="1"/>
      </tp>
      <tp t="s">
        <v>940SCL27-YS</v>
        <stp/>
        <stp>nse_cm|940SCL27-YS</stp>
        <stp>Trading Symbol</stp>
        <tr r="B842" s="1"/>
      </tp>
      <tp t="s">
        <v>915SCL27-Z7</v>
        <stp/>
        <stp>nse_cm|915SCL27-Z7</stp>
        <stp>Trading Symbol</stp>
        <tr r="B1475" s="1"/>
      </tp>
      <tp t="s">
        <v>925SCL27-YR</v>
        <stp/>
        <stp>nse_cm|925SCL27-YR</stp>
        <stp>Trading Symbol</stp>
        <tr r="B1415" s="1"/>
      </tp>
      <tp t="s">
        <v>905SCL27-Z4</v>
        <stp/>
        <stp>nse_cm|905SCL27-Z4</stp>
        <stp>Trading Symbol</stp>
        <tr r="B947" s="1"/>
      </tp>
      <tp t="s">
        <v>939SCL27-ZZ</v>
        <stp/>
        <stp>nse_cm|939SCL27-ZZ</stp>
        <stp>Trading Symbol</stp>
        <tr r="B982" s="1"/>
      </tp>
      <tp t="s">
        <v>902SCL27-YU</v>
        <stp/>
        <stp>nse_cm|902SCL27-YU</stp>
        <stp>Trading Symbol</stp>
        <tr r="B844" s="1"/>
      </tp>
      <tp t="s">
        <v>00:00:00</v>
        <stp/>
        <stp>bse_cm|0MOFSL27</stp>
        <stp>LTT</stp>
        <tr r="I1039" s="1"/>
      </tp>
      <tp t="s">
        <v>00:00:00</v>
        <stp/>
        <stp>bse_cm|0MOFSL26</stp>
        <stp>LTT</stp>
        <tr r="I1645" s="1"/>
      </tp>
      <tp>
        <v>0</v>
        <stp/>
        <stp>bse_cm|0MOFSL27</stp>
        <stp>LTP</stp>
        <tr r="H1039" s="1"/>
      </tp>
      <tp>
        <v>0</v>
        <stp/>
        <stp>bse_cm|0MOFSL26</stp>
        <stp>LTP</stp>
        <tr r="H1645" s="1"/>
      </tp>
      <tp>
        <v>0</v>
        <stp/>
        <stp>bse_cm|1030ICC26</stp>
        <stp>Ask Qty</stp>
        <tr r="G1538" s="1"/>
      </tp>
      <tp>
        <v>997.75</v>
        <stp/>
        <stp>bse_cm|104SMCGS29</stp>
        <stp>Prev Close</stp>
        <tr r="P206" s="1"/>
      </tp>
      <tp>
        <v>1005</v>
        <stp/>
        <stp>bse_cm|994SMCGS29</stp>
        <stp>Prev Close</stp>
        <tr r="P221" s="1"/>
      </tp>
      <tp>
        <v>0</v>
        <stp/>
        <stp>nse_cm|910TCAP28-NA</stp>
        <stp>% Change</stp>
        <tr r="J411" s="1"/>
      </tp>
      <tp>
        <v>0</v>
        <stp/>
        <stp>nse_cm|10NIDO26-N6</stp>
        <stp>Open</stp>
        <tr r="M66" s="1"/>
      </tp>
      <tp>
        <v>950</v>
        <stp/>
        <stp>bse_cm|975MVAFL25</stp>
        <stp>Prev Close</stp>
        <tr r="P458" s="1"/>
      </tp>
      <tp t="s">
        <v>875SFL27-ZF</v>
        <stp/>
        <stp>nse_cm|875SFL27-ZF</stp>
        <stp>Trading Symbol</stp>
        <tr r="B379" s="1"/>
      </tp>
      <tp t="s">
        <v/>
        <stp/>
        <stp>nse_cm|10SCL31A-ZO</stp>
        <stp>LTT</stp>
        <tr r="I864" s="1"/>
      </tp>
      <tp>
        <v>0</v>
        <stp/>
        <stp>nse_cm|10SCL31A-ZO</stp>
        <stp>LTP</stp>
        <tr r="H864" s="1"/>
      </tp>
      <tp>
        <v>0</v>
        <stp/>
        <stp>nse_cm|905SCL27-Z4</stp>
        <stp>LTP</stp>
        <tr r="H947" s="1"/>
      </tp>
      <tp t="s">
        <v/>
        <stp/>
        <stp>nse_cm|905SCL27-Z4</stp>
        <stp>LTT</stp>
        <tr r="I947" s="1"/>
      </tp>
      <tp>
        <v>1000</v>
        <stp/>
        <stp>bse_cm|NIDO010329</stp>
        <stp>Prev Close</stp>
        <tr r="P1246" s="1"/>
      </tp>
      <tp>
        <v>1000</v>
        <stp/>
        <stp>bse_cm|NIDO010327</stp>
        <stp>Prev Close</stp>
        <tr r="P1247" s="1"/>
      </tp>
      <tp>
        <v>999</v>
        <stp/>
        <stp>bse_cm|NIDO010326</stp>
        <stp>Prev Close</stp>
        <tr r="P1248" s="1"/>
      </tp>
      <tp>
        <v>966.13</v>
        <stp/>
        <stp>bse_cm|1003NIDO29</stp>
        <stp>Prev Close</stp>
        <tr r="P679" s="1"/>
      </tp>
      <tp>
        <v>0</v>
        <stp/>
        <stp>nse_cm|905SCL25-ZT</stp>
        <stp>LTP</stp>
        <tr r="H977" s="1"/>
      </tp>
      <tp t="s">
        <v/>
        <stp/>
        <stp>nse_cm|905SCL25-ZT</stp>
        <stp>LTT</stp>
        <tr r="I977" s="1"/>
      </tp>
      <tp>
        <v>816.6</v>
        <stp/>
        <stp>nse_cm|915SCL27-Z7</stp>
        <stp>LTP</stp>
        <tr r="H1475" s="1"/>
      </tp>
      <tp>
        <v>-100</v>
        <stp/>
        <stp>bse_cm|96ONE29</stp>
        <stp>% Change</stp>
        <tr r="J1621" s="1"/>
      </tp>
      <tp t="s">
        <v/>
        <stp/>
        <stp>nse_cm|915SCL27-Z7</stp>
        <stp>LTT</stp>
        <tr r="I1475" s="1"/>
      </tp>
      <tp>
        <v>850</v>
        <stp/>
        <stp>nse_cm|916SCL25-ZW</stp>
        <stp>LTP</stp>
        <tr r="H1576" s="1"/>
      </tp>
      <tp t="s">
        <v>10:14:24</v>
        <stp/>
        <stp>nse_cm|925SCL27-YR</stp>
        <stp>LTT</stp>
        <tr r="I1415" s="1"/>
      </tp>
      <tp t="s">
        <v/>
        <stp/>
        <stp>nse_cm|916SCL25-ZW</stp>
        <stp>LTT</stp>
        <tr r="I1576" s="1"/>
      </tp>
      <tp>
        <v>1000</v>
        <stp/>
        <stp>nse_cm|925SCL27-YR</stp>
        <stp>LTP</stp>
        <tr r="H1415" s="1"/>
      </tp>
      <tp t="s">
        <v/>
        <stp/>
        <stp>nse_cm|925SCL29-YZ</stp>
        <stp>LTT</stp>
        <tr r="I851" s="1"/>
      </tp>
      <tp>
        <v>0</v>
        <stp/>
        <stp>nse_cm|925SCL29-YZ</stp>
        <stp>LTP</stp>
        <tr r="H851" s="1"/>
      </tp>
      <tp>
        <v>100</v>
        <stp/>
        <stp>bse_cm|658PFCL31</stp>
        <stp>Bid Qty</stp>
        <tr r="D1209" s="1"/>
      </tp>
      <tp>
        <v>0</v>
        <stp/>
        <stp>nse_cm|801TCH25-N4</stp>
        <stp>Open</stp>
        <tr r="M493" s="1"/>
      </tp>
      <tp>
        <v>1122.3499999999999</v>
        <stp/>
        <stp>nse_cm|894SCL25-Z3</stp>
        <stp>High</stp>
        <tr r="N1698" s="1"/>
      </tp>
      <tp>
        <v>100</v>
        <stp/>
        <stp>bse_cm|678PFCL36</stp>
        <stp>Bid Qty</stp>
        <tr r="D1207" s="1"/>
      </tp>
      <tp>
        <v>12</v>
        <stp/>
        <stp>nse_cm|940SCL26A-NK</stp>
        <stp>Bid Qty</stp>
        <tr r="D906" s="1"/>
      </tp>
      <tp>
        <v>1000</v>
        <stp/>
        <stp>nse_cm|87SCL27-Z6</stp>
        <stp>Face Value</stp>
        <tr r="Q950" s="1"/>
      </tp>
      <tp>
        <v>1000</v>
        <stp/>
        <stp>nse_cm|98SCL27-ZX</stp>
        <stp>Face Value</stp>
        <tr r="Q1378" s="1"/>
      </tp>
      <tp>
        <v>1000</v>
        <stp/>
        <stp>nse_cm|94SCL27-ZG</stp>
        <stp>Face Value</stp>
        <tr r="Q1151" s="1"/>
      </tp>
      <tp>
        <v>1000</v>
        <stp/>
        <stp>nse_cm|99SCL27-ZH</stp>
        <stp>Face Value</stp>
        <tr r="Q1168" s="1"/>
      </tp>
      <tp>
        <v>50</v>
        <stp/>
        <stp>bse_cm|764IRFC31</stp>
        <stp>Ask Qty</stp>
        <tr r="G466" s="1"/>
      </tp>
      <tp>
        <v>0</v>
        <stp/>
        <stp>nse_cm|940SCL26-N6</stp>
        <stp>Open</stp>
        <tr r="M921" s="1"/>
      </tp>
      <tp>
        <v>0</v>
        <stp/>
        <stp>nse_cm|801TCH28-N7</stp>
        <stp>Open</stp>
        <tr r="M1181" s="1"/>
      </tp>
      <tp t="s">
        <v/>
        <stp/>
        <stp>nse_cm|902SCL27-YU</stp>
        <stp>LTT</stp>
        <tr r="I844" s="1"/>
      </tp>
      <tp>
        <v>850</v>
        <stp/>
        <stp>nse_cm|939SCL27-ZZ</stp>
        <stp>LTP</stp>
        <tr r="H982" s="1"/>
      </tp>
      <tp>
        <v>0</v>
        <stp/>
        <stp>nse_cm|902SCL27-YU</stp>
        <stp>LTP</stp>
        <tr r="H844" s="1"/>
      </tp>
      <tp t="s">
        <v/>
        <stp/>
        <stp>nse_cm|939SCL27-ZZ</stp>
        <stp>LTT</stp>
        <tr r="I982" s="1"/>
      </tp>
      <tp>
        <v>500</v>
        <stp/>
        <stp>bse_cm|704IRFC26</stp>
        <stp>Ask Qty</stp>
        <tr r="G557" s="1"/>
      </tp>
      <tp>
        <v>0</v>
        <stp/>
        <stp>bse_cm|958NIDO27</stp>
        <stp>Ask Qty</stp>
        <tr r="G1402" s="1"/>
      </tp>
      <tp>
        <v>1000</v>
        <stp/>
        <stp>bse_cm|1025SCFL34</stp>
        <stp>Prev Close</stp>
        <tr r="P1025" s="1"/>
      </tp>
      <tp t="s">
        <v/>
        <stp/>
        <stp>nse_cm|957SCL31-Z3</stp>
        <stp>LTT</stp>
        <tr r="I874" s="1"/>
      </tp>
      <tp>
        <v>1000</v>
        <stp/>
        <stp>bse_cm|1125KAFL27</stp>
        <stp>Prev Close</stp>
        <tr r="P1228" s="1"/>
      </tp>
      <tp>
        <v>1000</v>
        <stp/>
        <stp>bse_cm|1025KAFL27</stp>
        <stp>Prev Close</stp>
        <tr r="P769" s="1"/>
      </tp>
      <tp>
        <v>1000</v>
        <stp/>
        <stp>bse_cm|1025KAFL25</stp>
        <stp>Prev Close</stp>
        <tr r="P770" s="1"/>
      </tp>
      <tp>
        <v>960</v>
        <stp/>
        <stp>nse_cm|955SCL27-Z5</stp>
        <stp>LTP</stp>
        <tr r="H949" s="1"/>
      </tp>
      <tp>
        <v>0</v>
        <stp/>
        <stp>nse_cm|957SCL31-Z3</stp>
        <stp>LTP</stp>
        <tr r="H874" s="1"/>
      </tp>
      <tp>
        <v>1011</v>
        <stp/>
        <stp>bse_cm|1025NWFL30</stp>
        <stp>Prev Close</stp>
        <tr r="P1026" s="1"/>
      </tp>
      <tp t="s">
        <v/>
        <stp/>
        <stp>nse_cm|955SCL27-Z5</stp>
        <stp>LTT</stp>
        <tr r="I949" s="1"/>
      </tp>
      <tp>
        <v>1065.5</v>
        <stp/>
        <stp>bse_cm|1025NWFL25</stp>
        <stp>Prev Close</stp>
        <tr r="P154" s="1"/>
      </tp>
      <tp t="e">
        <v>#N/A</v>
        <stp/>
        <stp>bse_cm|1025MHFL24</stp>
        <stp>Prev Close</stp>
        <tr r="P29" s="1"/>
      </tp>
      <tp>
        <v>1000</v>
        <stp/>
        <stp>bse_cm|1025MMFL26</stp>
        <stp>Prev Close</stp>
        <tr r="P320" s="1"/>
      </tp>
      <tp t="s">
        <v>BSE</v>
        <stp/>
        <stp>bse_cm|85CIFC27</stp>
        <stp>Exchange</stp>
        <tr r="C974" s="1"/>
      </tp>
      <tp>
        <v>930.2</v>
        <stp/>
        <stp>nse_cm|965SCL26-YO</stp>
        <stp>LTP</stp>
        <tr r="H146" s="1"/>
      </tp>
      <tp>
        <v>5</v>
        <stp/>
        <stp>nse_cm|948SCL26D-AI</stp>
        <stp>Bid Qty</stp>
        <tr r="D1690" s="1"/>
      </tp>
      <tp t="s">
        <v/>
        <stp/>
        <stp>nse_cm|965SCL26-YO</stp>
        <stp>LTT</stp>
        <tr r="I146" s="1"/>
      </tp>
      <tp>
        <v>940</v>
        <stp/>
        <stp>nse_cm|955SCL25-ZU</stp>
        <stp>LTP</stp>
        <tr r="H1391" s="1"/>
      </tp>
      <tp t="s">
        <v/>
        <stp/>
        <stp>nse_cm|955SCL25-ZU</stp>
        <stp>LTT</stp>
        <tr r="I1391" s="1"/>
      </tp>
      <tp t="s">
        <v/>
        <stp/>
        <stp>nse_cm|965SCL29-YX</stp>
        <stp>LTT</stp>
        <tr r="I847" s="1"/>
      </tp>
      <tp>
        <v>0</v>
        <stp/>
        <stp>nse_cm|965SCL29-YX</stp>
        <stp>LTP</stp>
        <tr r="H847" s="1"/>
      </tp>
      <tp>
        <v>0</v>
        <stp/>
        <stp>nse_cm|948SCL26I-AX</stp>
        <stp>Bid Qty</stp>
        <tr r="D1708" s="1"/>
      </tp>
      <tp>
        <v>0</v>
        <stp/>
        <stp>nse_cm|948SCL26-N9</stp>
        <stp>Open</stp>
        <tr r="M1632" s="1"/>
      </tp>
      <tp>
        <v>1000</v>
        <stp/>
        <stp>bse_cm|CIF27</stp>
        <stp>Face Value</stp>
        <tr r="Q745" s="1"/>
      </tp>
      <tp>
        <v>1000</v>
        <stp/>
        <stp>bse_cm|CIF29</stp>
        <stp>Face Value</stp>
        <tr r="Q744" s="1"/>
      </tp>
      <tp t="s">
        <v>BSE</v>
        <stp/>
        <stp>bse_cm|IFCIZC24</stp>
        <stp>Exchange</stp>
        <tr r="C1769" s="1"/>
      </tp>
      <tp>
        <v>854.16</v>
        <stp/>
        <stp>bse_cm|1026NHFL34</stp>
        <stp>Prev Close</stp>
        <tr r="P155" s="1"/>
      </tp>
      <tp>
        <v>25</v>
        <stp/>
        <stp>bse_cm|MFCL30424</stp>
        <stp>Ask Qty</stp>
        <tr r="G1606" s="1"/>
      </tp>
      <tp t="s">
        <v>BSE</v>
        <stp/>
        <stp>bse_cm|IFCIZC25</stp>
        <stp>Exchange</stp>
        <tr r="C1764" s="1"/>
      </tp>
      <tp>
        <v>1000</v>
        <stp/>
        <stp>nse_cm|971SCL29-Z0</stp>
        <stp>LTP</stp>
        <tr r="H681" s="1"/>
      </tp>
      <tp>
        <v>970.13</v>
        <stp/>
        <stp>bse_cm|948IFSL25B</stp>
        <stp>Prev Close</stp>
        <tr r="P599" s="1"/>
      </tp>
      <tp t="s">
        <v/>
        <stp/>
        <stp>nse_cm|971SCL29-Z0</stp>
        <stp>LTT</stp>
        <tr r="I681" s="1"/>
      </tp>
      <tp>
        <v>1061.6199999999999</v>
        <stp/>
        <stp>bse_cm|948ICCL25A</stp>
        <stp>Prev Close</stp>
        <tr r="P1398" s="1"/>
      </tp>
      <tp t="s">
        <v/>
        <stp/>
        <stp>nse_cm|975SCL27-Z9</stp>
        <stp>LTT</stp>
        <tr r="I885" s="1"/>
      </tp>
      <tp>
        <v>0</v>
        <stp/>
        <stp>nse_cm|975SCL27-Z9</stp>
        <stp>LTP</stp>
        <tr r="H885" s="1"/>
      </tp>
      <tp>
        <v>990</v>
        <stp/>
        <stp>bse_cm|888IHFL25C</stp>
        <stp>Prev Close</stp>
        <tr r="P1058" s="1"/>
      </tp>
      <tp>
        <v>1050</v>
        <stp/>
        <stp>bse_cm|888IHFL25F</stp>
        <stp>Prev Close</stp>
        <tr r="P693" s="1"/>
      </tp>
      <tp>
        <v>1000</v>
        <stp/>
        <stp>nse_cm|91SFL27-ZI</stp>
        <stp>Face Value</stp>
        <tr r="Q533" s="1"/>
      </tp>
      <tp>
        <v>0</v>
        <stp/>
        <stp>nse_cm|940SCL27-YS</stp>
        <stp>LTP</stp>
        <tr r="H842" s="1"/>
      </tp>
      <tp t="s">
        <v/>
        <stp/>
        <stp>nse_cm|940SCL27-YS</stp>
        <stp>LTT</stp>
        <tr r="I842" s="1"/>
      </tp>
      <tp t="s">
        <v/>
        <stp/>
        <stp>nse_cm|948SCL27-YV</stp>
        <stp>LTT</stp>
        <tr r="I127" s="1"/>
      </tp>
      <tp>
        <v>970</v>
        <stp/>
        <stp>nse_cm|948SCL27-YV</stp>
        <stp>LTP</stp>
        <tr r="H127" s="1"/>
      </tp>
      <tp t="s">
        <v/>
        <stp/>
        <stp>nse_cm|980SCL34-Z7</stp>
        <stp>LTT</stp>
        <tr r="I884" s="1"/>
      </tp>
      <tp>
        <v>0</v>
        <stp/>
        <stp>nse_cm|980SCL34-Z7</stp>
        <stp>LTP</stp>
        <tr r="H884" s="1"/>
      </tp>
      <tp>
        <v>-100</v>
        <stp/>
        <stp>bse_cm|76IGT26</stp>
        <stp>% Change</stp>
        <tr r="J1608" s="1"/>
      </tp>
      <tp>
        <v>20</v>
        <stp/>
        <stp>bse_cm|91EFSL24A</stp>
        <stp>Ask Qty</stp>
        <tr r="G46" s="1"/>
      </tp>
      <tp>
        <v>0</v>
        <stp/>
        <stp>nse_cm|875SCL23A-YI</stp>
        <stp>Ask Qty</stp>
        <tr r="G1477" s="1"/>
      </tp>
      <tp>
        <v>10</v>
        <stp/>
        <stp>nse_cm|948SCL26A-NN</stp>
        <stp>Bid Qty</stp>
        <tr r="D526" s="1"/>
      </tp>
      <tp t="s">
        <v/>
        <stp/>
        <stp>nse_cm|990SCL27-YT</stp>
        <stp>LTT</stp>
        <tr r="I1024" s="1"/>
      </tp>
      <tp>
        <v>992</v>
        <stp/>
        <stp>nse_cm|990SCL27-YT</stp>
        <stp>LTP</stp>
        <tr r="H1024" s="1"/>
      </tp>
      <tp t="s">
        <v>BSE</v>
        <stp/>
        <stp>bse_cm|86CIFC29</stp>
        <stp>Exchange</stp>
        <tr r="C1341" s="1"/>
      </tp>
      <tp t="s">
        <v>BSE</v>
        <stp/>
        <stp>bse_cm|10CAGL27</stp>
        <stp>Exchange</stp>
        <tr r="C282" s="1"/>
      </tp>
      <tp t="s">
        <v>BSE</v>
        <stp/>
        <stp>bse_cm|95CCIL25</stp>
        <stp>Exchange</stp>
        <tr r="C37" s="1"/>
      </tp>
      <tp>
        <v>0</v>
        <stp/>
        <stp>nse_cm|971SCL29A-ZN</stp>
        <stp>Ask Qty</stp>
        <tr r="G861" s="1"/>
      </tp>
      <tp>
        <v>6</v>
        <stp/>
        <stp>nse_cm|940SCL26C-AU</stp>
        <stp>Bid Qty</stp>
        <tr r="D793" s="1"/>
      </tp>
      <tp>
        <v>0</v>
        <stp/>
        <stp>nse_cm|971SCL28B-YD</stp>
        <stp>Ask Qty</stp>
        <tr r="G828" s="1"/>
      </tp>
      <tp t="s">
        <v>BSE</v>
        <stp/>
        <stp>bse_cm|11CCIL26</stp>
        <stp>Exchange</stp>
        <tr r="C625" s="1"/>
      </tp>
      <tp>
        <v>-100</v>
        <stp/>
        <stp>bse_cm|86LTF24</stp>
        <stp>% Change</stp>
        <tr r="J8" s="1"/>
      </tp>
      <tp>
        <v>-100</v>
        <stp/>
        <stp>bse_cm|96MFL25</stp>
        <stp>% Change</stp>
        <tr r="J1392" s="1"/>
      </tp>
      <tp t="s">
        <v>BSE</v>
        <stp/>
        <stp>bse_cm|11CCIL27</stp>
        <stp>Exchange</stp>
        <tr r="C691" s="1"/>
      </tp>
      <tp>
        <v>840</v>
        <stp/>
        <stp>nse_cm|948SCL26-N9</stp>
        <stp>LTP</stp>
        <tr r="H1632" s="1"/>
      </tp>
      <tp t="s">
        <v/>
        <stp/>
        <stp>nse_cm|940SCL26-N6</stp>
        <stp>LTT</stp>
        <tr r="I921" s="1"/>
      </tp>
      <tp t="s">
        <v/>
        <stp/>
        <stp>nse_cm|948SCL26-N9</stp>
        <stp>LTT</stp>
        <tr r="I1632" s="1"/>
      </tp>
      <tp>
        <v>0</v>
        <stp/>
        <stp>nse_cm|940SCL26-N6</stp>
        <stp>LTP</stp>
        <tr r="H921" s="1"/>
      </tp>
      <tp>
        <v>935.22</v>
        <stp/>
        <stp>nse_cm|943ECL28-NJ</stp>
        <stp>LTP</stp>
        <tr r="H94" s="1"/>
      </tp>
      <tp t="s">
        <v>15:10:29</v>
        <stp/>
        <stp>nse_cm|943ECL28-NJ</stp>
        <stp>LTT</stp>
        <tr r="I94" s="1"/>
      </tp>
      <tp>
        <v>-100</v>
        <stp/>
        <stp>bse_cm|96SCL25</stp>
        <stp>% Change</stp>
        <tr r="J1068" s="1"/>
      </tp>
      <tp>
        <v>90</v>
        <stp/>
        <stp>bse_cm|965ARKA28</stp>
        <stp>Bid Qty</stp>
        <tr r="D1349" s="1"/>
      </tp>
      <tp>
        <v>50</v>
        <stp/>
        <stp>bse_cm|965ARKA26</stp>
        <stp>Bid Qty</stp>
        <tr r="D869" s="1"/>
      </tp>
      <tp>
        <v>1000</v>
        <stp/>
        <stp>bse_cm|EFSL26724A</stp>
        <stp>Face Value</stp>
        <tr r="Q1468" s="1"/>
      </tp>
      <tp>
        <v>970</v>
        <stp/>
        <stp>nse_cm|975SCL28-NT</stp>
        <stp>LTP</stp>
        <tr r="H142" s="1"/>
      </tp>
      <tp t="s">
        <v/>
        <stp/>
        <stp>nse_cm|975SCL28-NT</stp>
        <stp>LTT</stp>
        <tr r="I142" s="1"/>
      </tp>
      <tp>
        <v>0</v>
        <stp/>
        <stp>nse_cm|902SCL26-N8</stp>
        <stp>LTP</stp>
        <tr r="H968" s="1"/>
      </tp>
      <tp t="s">
        <v/>
        <stp/>
        <stp>nse_cm|902SCL26-N8</stp>
        <stp>LTT</stp>
        <tr r="I968" s="1"/>
      </tp>
      <tp>
        <v>0</v>
        <stp/>
        <stp>nse_cm|10ISFL26-N3</stp>
        <stp>ATP</stp>
        <tr r="K1527" s="1"/>
      </tp>
      <tp>
        <v>956.87</v>
        <stp/>
        <stp>nse_cm|10IIFL28-N4</stp>
        <stp>ATP</stp>
        <tr r="K42" s="1"/>
      </tp>
      <tp>
        <v>990</v>
        <stp/>
        <stp>nse_cm|10IIFL29-N6</stp>
        <stp>ATP</stp>
        <tr r="K193" s="1"/>
      </tp>
      <tp>
        <v>45</v>
        <stp/>
        <stp>bse_cm|CIFCZC25A</stp>
        <stp>Bid Qty</stp>
        <tr r="D1728" s="1"/>
      </tp>
      <tp t="s">
        <v/>
        <stp/>
        <stp>nse_cm|94IFCI25-NL</stp>
        <stp>LTT</stp>
        <tr r="I235" s="1"/>
      </tp>
      <tp>
        <v>9</v>
        <stp/>
        <stp>nse_cm|940SCL26B-Y6</stp>
        <stp>Bid Qty</stp>
        <tr r="D795" s="1"/>
      </tp>
      <tp>
        <v>1047.8</v>
        <stp/>
        <stp>nse_cm|94IFCI25-NL</stp>
        <stp>LTP</stp>
        <tr r="H235" s="1"/>
      </tp>
      <tp>
        <v>974</v>
        <stp/>
        <stp>nse_cm|915SCL26-NE</stp>
        <stp>LTP</stp>
        <tr r="H58" s="1"/>
      </tp>
      <tp t="s">
        <v/>
        <stp/>
        <stp>nse_cm|915SCL26-NE</stp>
        <stp>LTT</stp>
        <tr r="I58" s="1"/>
      </tp>
      <tp>
        <v>50</v>
        <stp/>
        <stp>nse_cm|971SCL28I-BC</stp>
        <stp>Ask Qty</stp>
        <tr r="G531" s="1"/>
      </tp>
      <tp>
        <v>0</v>
        <stp/>
        <stp>nse_cm|971SCL28C-BU</stp>
        <stp>Ask Qty</stp>
        <tr r="G826" s="1"/>
      </tp>
      <tp>
        <v>180</v>
        <stp/>
        <stp>bse_cm|888ERFL28</stp>
        <stp>Bid Qty</stp>
        <tr r="D216" s="1"/>
      </tp>
      <tp>
        <v>1001.43</v>
        <stp/>
        <stp>nse_cm|925SCL25-N5</stp>
        <stp>LTP</stp>
        <tr r="H1474" s="1"/>
      </tp>
      <tp t="s">
        <v>10:01:40</v>
        <stp/>
        <stp>nse_cm|925SCL25-N5</stp>
        <stp>LTT</stp>
        <tr r="I1474" s="1"/>
      </tp>
      <tp t="s">
        <v/>
        <stp/>
        <stp>nse_cm|92ICCL28-ND</stp>
        <stp>LTT</stp>
        <tr r="I203" s="1"/>
      </tp>
      <tp>
        <v>945</v>
        <stp/>
        <stp>nse_cm|92ICCL28-ND</stp>
        <stp>LTP</stp>
        <tr r="H203" s="1"/>
      </tp>
      <tp t="s">
        <v/>
        <stp/>
        <stp>nse_cm|925SCL26-NR</stp>
        <stp>LTT</stp>
        <tr r="I991" s="1"/>
      </tp>
      <tp>
        <v>835.05</v>
        <stp/>
        <stp>nse_cm|925SCL26-NR</stp>
        <stp>LTP</stp>
        <tr r="H991" s="1"/>
      </tp>
      <tp>
        <v>100</v>
        <stp/>
        <stp>bse_cm|IIFLZC28C</stp>
        <stp>Bid Qty</stp>
        <tr r="D1404" s="1"/>
      </tp>
      <tp>
        <v>50</v>
        <stp/>
        <stp>bse_cm|IIFLZC28B</stp>
        <stp>Bid Qty</stp>
        <tr r="D1595" s="1"/>
      </tp>
      <tp>
        <v>100</v>
        <stp/>
        <stp>bse_cm|IIFLZC28A</stp>
        <stp>Bid Qty</stp>
        <tr r="D1628" s="1"/>
      </tp>
      <tp>
        <v>54</v>
        <stp/>
        <stp>bse_cm|MMFLZC28B</stp>
        <stp>Bid Qty</stp>
        <tr r="D1535" s="1"/>
      </tp>
      <tp>
        <v>42</v>
        <stp/>
        <stp>bse_cm|MMFLZC28A</stp>
        <stp>Bid Qty</stp>
        <tr r="D1348" s="1"/>
      </tp>
      <tp>
        <v>1001</v>
        <stp/>
        <stp>nse_cm|8ABFL26-N0</stp>
        <stp>Prev Close</stp>
        <tr r="P358" s="1"/>
      </tp>
      <tp>
        <v>0</v>
        <stp/>
        <stp>nse_cm|935SCL28-NV</stp>
        <stp>LTP</stp>
        <tr r="H986" s="1"/>
      </tp>
      <tp t="s">
        <v/>
        <stp/>
        <stp>nse_cm|935SCL28-NV</stp>
        <stp>LTT</stp>
        <tr r="I986" s="1"/>
      </tp>
      <tp>
        <v>12</v>
        <stp/>
        <stp>bse_cm|CIFCZC26A</stp>
        <stp>Bid Qty</stp>
        <tr r="D737" s="1"/>
      </tp>
      <tp>
        <v>1077.1099999999999</v>
        <stp/>
        <stp>nse_cm|99IFCI24-NH</stp>
        <stp>LTP</stp>
        <tr r="H39" s="1"/>
      </tp>
      <tp t="s">
        <v/>
        <stp/>
        <stp>nse_cm|99IFCI24-NH</stp>
        <stp>LTT</stp>
        <tr r="I39" s="1"/>
      </tp>
      <tp>
        <v>24</v>
        <stp/>
        <stp>bse_cm|KAFLZC26A</stp>
        <stp>Bid Qty</stp>
        <tr r="D1710" s="1"/>
      </tp>
      <tp>
        <v>5</v>
        <stp/>
        <stp>bse_cm|IIFLZC26B</stp>
        <stp>Bid Qty</stp>
        <tr r="D1179" s="1"/>
      </tp>
      <tp>
        <v>5</v>
        <stp/>
        <stp>bse_cm|IIFLZC26A</stp>
        <stp>Bid Qty</stp>
        <tr r="D1674" s="1"/>
      </tp>
      <tp>
        <v>-100</v>
        <stp/>
        <stp>bse_cm|774IREDA31</stp>
        <stp>% Change</stp>
        <tr r="J17" s="1"/>
      </tp>
      <tp>
        <v>0</v>
        <stp/>
        <stp>nse_cm|925SCL28-AM</stp>
        <stp>LTP</stp>
        <tr r="H939" s="1"/>
      </tp>
      <tp t="s">
        <v/>
        <stp/>
        <stp>nse_cm|925SCL28-AM</stp>
        <stp>LTT</stp>
        <tr r="I939" s="1"/>
      </tp>
      <tp>
        <v>0</v>
        <stp/>
        <stp>nse_cm|971SCL28A-NT</stp>
        <stp>Ask Qty</stp>
        <tr r="G680" s="1"/>
      </tp>
      <tp>
        <v>100</v>
        <stp/>
        <stp>bse_cm|707IRFC25</stp>
        <stp>Bid Qty</stp>
        <tr r="D1653" s="1"/>
      </tp>
      <tp>
        <v>27</v>
        <stp/>
        <stp>bse_cm|MMFLZC27D</stp>
        <stp>Bid Qty</stp>
        <tr r="D1406" s="1"/>
      </tp>
      <tp>
        <v>54</v>
        <stp/>
        <stp>bse_cm|MMFLZC27C</stp>
        <stp>Bid Qty</stp>
        <tr r="D1463" s="1"/>
      </tp>
      <tp>
        <v>48</v>
        <stp/>
        <stp>bse_cm|MMFLZC27B</stp>
        <stp>Bid Qty</stp>
        <tr r="D1570" s="1"/>
      </tp>
      <tp>
        <v>50</v>
        <stp/>
        <stp>bse_cm|MMFLZC27A</stp>
        <stp>Bid Qty</stp>
        <tr r="D1260" s="1"/>
      </tp>
      <tp>
        <v>50</v>
        <stp/>
        <stp>bse_cm|CIFCZC28A</stp>
        <stp>Bid Qty</stp>
        <tr r="D1396" s="1"/>
      </tp>
      <tp>
        <v>-100</v>
        <stp/>
        <stp>bse_cm|SFL2722024</stp>
        <stp>% Change</stp>
        <tr r="J806" s="1"/>
      </tp>
      <tp>
        <v>-100</v>
        <stp/>
        <stp>bse_cm|749IREDA31</stp>
        <stp>% Change</stp>
        <tr r="J568" s="1"/>
      </tp>
      <tp>
        <v>41</v>
        <stp/>
        <stp>bse_cm|MMFLZC24D</stp>
        <stp>Bid Qty</stp>
        <tr r="D1265" s="1"/>
      </tp>
      <tp>
        <v>51</v>
        <stp/>
        <stp>bse_cm|10SCL30A</stp>
        <stp>Volume Traded Today</stp>
        <tr r="L444" s="1"/>
      </tp>
      <tp>
        <v>27</v>
        <stp/>
        <stp>bse_cm|948JFPL25</stp>
        <stp>Bid Qty</stp>
        <tr r="D490" s="1"/>
      </tp>
      <tp>
        <v>5</v>
        <stp/>
        <stp>bse_cm|IIFLZC25C</stp>
        <stp>Bid Qty</stp>
        <tr r="D1750" s="1"/>
      </tp>
      <tp>
        <v>170</v>
        <stp/>
        <stp>bse_cm|IIFLZC25B</stp>
        <stp>Bid Qty</stp>
        <tr r="D1685" s="1"/>
      </tp>
      <tp>
        <v>180</v>
        <stp/>
        <stp>bse_cm|IIFLZC25A</stp>
        <stp>Bid Qty</stp>
        <tr r="D1737" s="1"/>
      </tp>
      <tp>
        <v>50</v>
        <stp/>
        <stp>bse_cm|MMFLZC25D</stp>
        <stp>Bid Qty</stp>
        <tr r="D1262" s="1"/>
      </tp>
      <tp>
        <v>27</v>
        <stp/>
        <stp>bse_cm|MMFLZC25C</stp>
        <stp>Bid Qty</stp>
        <tr r="D1263" s="1"/>
      </tp>
      <tp>
        <v>45</v>
        <stp/>
        <stp>bse_cm|MMFLZC25B</stp>
        <stp>Bid Qty</stp>
        <tr r="D1581" s="1"/>
      </tp>
      <tp>
        <v>25</v>
        <stp/>
        <stp>bse_cm|MMFLZC25A</stp>
        <stp>Bid Qty</stp>
        <tr r="D1264" s="1"/>
      </tp>
      <tp>
        <v>0</v>
        <stp/>
        <stp>bse_cm|10SCL31A</stp>
        <stp>Volume Traded Today</stp>
        <tr r="L865" s="1"/>
      </tp>
      <tp>
        <v>667</v>
        <stp/>
        <stp>nse_cm|1025ICCL26-NT</stp>
        <stp>Face Value</stp>
        <tr r="Q771" s="1"/>
      </tp>
      <tp t="s">
        <v/>
        <stp/>
        <stp>nse_cm|98ICCL26-NU</stp>
        <stp>LTT</stp>
        <tr r="I1569" s="1"/>
      </tp>
      <tp>
        <v>900.66</v>
        <stp/>
        <stp>nse_cm|98ICCL26-NU</stp>
        <stp>LTP</stp>
        <tr r="H1569" s="1"/>
      </tp>
      <tp t="s">
        <v/>
        <stp/>
        <stp>nse_cm|971SCL28-AN</stp>
        <stp>LTT</stp>
        <tr r="I538" s="1"/>
      </tp>
      <tp t="s">
        <v>11:14:21</v>
        <stp/>
        <stp>nse_cm|985ECL28-NK</stp>
        <stp>LTT</stp>
        <tr r="I52" s="1"/>
      </tp>
      <tp>
        <v>900</v>
        <stp/>
        <stp>nse_cm|971SCL28-AN</stp>
        <stp>LTP</stp>
        <tr r="H538" s="1"/>
      </tp>
      <tp>
        <v>932.5</v>
        <stp/>
        <stp>nse_cm|985ECL28-NK</stp>
        <stp>LTP</stp>
        <tr r="H52" s="1"/>
      </tp>
      <tp>
        <v>1002</v>
        <stp/>
        <stp>nse_cm|980SCL33-NX</stp>
        <stp>LTP</stp>
        <tr r="H360" s="1"/>
      </tp>
      <tp t="s">
        <v/>
        <stp/>
        <stp>nse_cm|980SCL33-NX</stp>
        <stp>LTT</stp>
        <tr r="I360" s="1"/>
      </tp>
      <tp>
        <v>0</v>
        <stp/>
        <stp>bse_cm|KAFLZC30</stp>
        <stp>Ask Rate</stp>
        <tr r="F1314" s="1"/>
      </tp>
      <tp>
        <v>0</v>
        <stp/>
        <stp>bse_cm|MFL29A</stp>
        <stp>Open</stp>
        <tr r="M1380" s="1"/>
      </tp>
      <tp>
        <v>-100</v>
        <stp/>
        <stp>bse_cm|743IREDA36</stp>
        <stp>% Change</stp>
        <tr r="J1441" s="1"/>
      </tp>
      <tp t="s">
        <v>15:12:32</v>
        <stp/>
        <stp>nse_cm|990SCL26-N7</stp>
        <stp>LTT</stp>
        <tr r="I422" s="1"/>
      </tp>
      <tp>
        <v>680</v>
        <stp/>
        <stp>nse_cm|990SCL26-N7</stp>
        <stp>LTP</stp>
        <tr r="H422" s="1"/>
      </tp>
      <tp>
        <v>5</v>
        <stp/>
        <stp>nse_cm|948SCL26B-Y8</stp>
        <stp>Bid Qty</stp>
        <tr r="D159" s="1"/>
      </tp>
      <tp>
        <v>1134</v>
        <stp/>
        <stp>nse_cm|965SCL25-AG</stp>
        <stp>LTP</stp>
        <tr r="H1577" s="1"/>
      </tp>
      <tp t="s">
        <v/>
        <stp/>
        <stp>nse_cm|965SCL25-AG</stp>
        <stp>LTT</stp>
        <tr r="I1577" s="1"/>
      </tp>
      <tp t="s">
        <v/>
        <stp/>
        <stp>nse_cm|965SCL28-AK</stp>
        <stp>LTT</stp>
        <tr r="I1137" s="1"/>
      </tp>
      <tp>
        <v>0</v>
        <stp/>
        <stp>nse_cm|965SCL28-AK</stp>
        <stp>LTP</stp>
        <tr r="H1137" s="1"/>
      </tp>
      <tp t="s">
        <v/>
        <stp/>
        <stp>nse_cm|957SCL30-BX</stp>
        <stp>LTT</stp>
        <tr r="I1109" s="1"/>
      </tp>
      <tp>
        <v>1024.4000000000001</v>
        <stp/>
        <stp>nse_cm|957SCL30-BX</stp>
        <stp>LTP</stp>
        <tr r="H1109" s="1"/>
      </tp>
      <tp>
        <v>9</v>
        <stp/>
        <stp>nse_cm|948SCL27A-ZJ</stp>
        <stp>Bid Qty</stp>
        <tr r="D845" s="1"/>
      </tp>
      <tp>
        <v>1000</v>
        <stp/>
        <stp>nse_cm|850CIFCL26-NE</stp>
        <stp>Face Value</stp>
        <tr r="Q450" s="1"/>
      </tp>
      <tp>
        <v>25</v>
        <stp/>
        <stp>bse_cm|958NHFL27</stp>
        <stp>Bid Qty</stp>
        <tr r="D616" s="1"/>
      </tp>
      <tp>
        <v>-100</v>
        <stp/>
        <stp>bse_cm|768IREDA36</stp>
        <stp>% Change</stp>
        <tr r="J543" s="1"/>
      </tp>
      <tp t="s">
        <v>925SCL25H-Y0</v>
        <stp/>
        <stp>nse_cm|925SCL25H-Y0</stp>
        <stp>Trading Symbol</stp>
        <tr r="B791" s="1"/>
      </tp>
      <tp t="e">
        <v>#N/A</v>
        <stp/>
        <stp>bse_cm|1065MHFL24</stp>
        <stp>Isin code</stp>
        <tr r="R36" s="1"/>
      </tp>
      <tp t="s">
        <v>INE530L07798</v>
        <stp/>
        <stp>bse_cm|1075NHFL34</stp>
        <stp>Isin code</stp>
        <tr r="R1553" s="1"/>
      </tp>
      <tp t="s">
        <v>INE219X07215</v>
        <stp/>
        <stp>nse_cm|77IGT28-NE</stp>
        <stp>Isin code</stp>
        <tr r="R1190" s="1"/>
      </tp>
      <tp t="s">
        <v>00:00:00</v>
        <stp/>
        <stp>bse_cm|1015SCL28A</stp>
        <stp>LTT</stp>
        <tr r="I1386" s="1"/>
      </tp>
      <tp t="s">
        <v>00:00:00</v>
        <stp/>
        <stp>bse_cm|1015SCL28B</stp>
        <stp>LTT</stp>
        <tr r="I1178" s="1"/>
      </tp>
      <tp>
        <v>0</v>
        <stp/>
        <stp>bse_cm|1015SCL28A</stp>
        <stp>LTP</stp>
        <tr r="H1386" s="1"/>
      </tp>
      <tp>
        <v>0</v>
        <stp/>
        <stp>bse_cm|1015SCL28B</stp>
        <stp>LTP</stp>
        <tr r="H1178" s="1"/>
      </tp>
      <tp t="s">
        <v>INE530L07780</v>
        <stp/>
        <stp>bse_cm|1026NHFL34</stp>
        <stp>Isin code</stp>
        <tr r="R155" s="1"/>
      </tp>
      <tp t="e">
        <v>#N/A</v>
        <stp/>
        <stp>bse_cm|1025MHFL24</stp>
        <stp>Isin code</stp>
        <tr r="R29" s="1"/>
      </tp>
      <tp t="s">
        <v>INE01I507729</v>
        <stp/>
        <stp>bse_cm|975KLMAF26</stp>
        <stp>Isin code</stp>
        <tr r="R857" s="1"/>
      </tp>
      <tp t="s">
        <v>916EFSL26</v>
        <stp/>
        <stp>bse_cm|916EFSL26</stp>
        <stp>Trading Symbol</stp>
        <tr r="B69" s="1"/>
      </tp>
      <tp t="s">
        <v>00:00:00</v>
        <stp/>
        <stp>bse_cm|702HUDCO26</stp>
        <stp>LTT</stp>
        <tr r="I1718" s="1"/>
      </tp>
      <tp t="s">
        <v>00:00:00</v>
        <stp/>
        <stp>bse_cm|704HUDCO26</stp>
        <stp>LTT</stp>
        <tr r="I1724" s="1"/>
      </tp>
      <tp t="s">
        <v>10:13:21</v>
        <stp/>
        <stp>bse_cm|727HUDCO26</stp>
        <stp>LTT</stp>
        <tr r="I481" s="1"/>
      </tp>
      <tp t="s">
        <v>00:00:00</v>
        <stp/>
        <stp>bse_cm|729HUDCO26</stp>
        <stp>LTT</stp>
        <tr r="I523" s="1"/>
      </tp>
      <tp>
        <v>0</v>
        <stp/>
        <stp>bse_cm|702HUDCO26</stp>
        <stp>LTP</stp>
        <tr r="H1718" s="1"/>
      </tp>
      <tp>
        <v>0</v>
        <stp/>
        <stp>bse_cm|704HUDCO26</stp>
        <stp>LTP</stp>
        <tr r="H1724" s="1"/>
      </tp>
      <tp>
        <v>1057.0999999999999</v>
        <stp/>
        <stp>bse_cm|727HUDCO26</stp>
        <stp>LTP</stp>
        <tr r="H481" s="1"/>
      </tp>
      <tp>
        <v>1079</v>
        <stp/>
        <stp>bse_cm|729HUDCO26</stp>
        <stp>LTP</stp>
        <tr r="H523" s="1"/>
      </tp>
      <tp>
        <v>0</v>
        <stp/>
        <stp>bse_cm|739HUDCO31</stp>
        <stp>LTP</stp>
        <tr r="H569" s="1"/>
      </tp>
      <tp t="s">
        <v>00:00:00</v>
        <stp/>
        <stp>bse_cm|764HUDCO31</stp>
        <stp>LTT</stp>
        <tr r="I16" s="1"/>
      </tp>
      <tp t="s">
        <v>00:00:00</v>
        <stp/>
        <stp>bse_cm|769HUDCO31</stp>
        <stp>LTT</stp>
        <tr r="I15" s="1"/>
      </tp>
      <tp t="s">
        <v>00:00:00</v>
        <stp/>
        <stp>bse_cm|739HUDCO31</stp>
        <stp>LTT</stp>
        <tr r="I569" s="1"/>
      </tp>
      <tp>
        <v>0</v>
        <stp/>
        <stp>bse_cm|764HUDCO31</stp>
        <stp>LTP</stp>
        <tr r="H16" s="1"/>
      </tp>
      <tp>
        <v>0</v>
        <stp/>
        <stp>bse_cm|769HUDCO31</stp>
        <stp>LTP</stp>
        <tr r="H15" s="1"/>
      </tp>
      <tp t="s">
        <v>915EFSL26</v>
        <stp/>
        <stp>bse_cm|915EFSL26</stp>
        <stp>Trading Symbol</stp>
        <tr r="B93" s="1"/>
      </tp>
      <tp t="s">
        <v>INE219X07207</v>
        <stp/>
        <stp>nse_cm|76IGT26-ND</stp>
        <stp>Isin code</stp>
        <tr r="R527" s="1"/>
      </tp>
      <tp>
        <v>0</v>
        <stp/>
        <stp>bse_cm|1025SFL25A</stp>
        <stp>LTP</stp>
        <tr r="H1070" s="1"/>
      </tp>
      <tp t="s">
        <v>00:00:00</v>
        <stp/>
        <stp>bse_cm|1025SFL25A</stp>
        <stp>LTT</stp>
        <tr r="I1070" s="1"/>
      </tp>
      <tp>
        <v>0</v>
        <stp/>
        <stp>bse_cm|875TCAPS29</stp>
        <stp>LTP</stp>
        <tr r="H935" s="1"/>
      </tp>
      <tp t="s">
        <v>00:00:00</v>
        <stp/>
        <stp>bse_cm|875TCAPS29</stp>
        <stp>LTT</stp>
        <tr r="I935" s="1"/>
      </tp>
      <tp t="s">
        <v>00:00:00</v>
        <stp/>
        <stp>bse_cm|855TCAPS27</stp>
        <stp>LTT</stp>
        <tr r="I1004" s="1"/>
      </tp>
      <tp t="s">
        <v>00:00:00</v>
        <stp/>
        <stp>bse_cm|865TCAPS27</stp>
        <stp>LTT</stp>
        <tr r="I377" s="1"/>
      </tp>
      <tp t="s">
        <v>00:00:00</v>
        <stp/>
        <stp>bse_cm|885TCAPS29</stp>
        <stp>LTT</stp>
        <tr r="I12" s="1"/>
      </tp>
      <tp>
        <v>0</v>
        <stp/>
        <stp>bse_cm|855TCAPS27</stp>
        <stp>LTP</stp>
        <tr r="H1004" s="1"/>
      </tp>
      <tp>
        <v>0</v>
        <stp/>
        <stp>bse_cm|865TCAPS27</stp>
        <stp>LTP</stp>
        <tr r="H377" s="1"/>
      </tp>
      <tp>
        <v>0</v>
        <stp/>
        <stp>bse_cm|885TCAPS29</stp>
        <stp>LTP</stp>
        <tr r="H12" s="1"/>
      </tp>
      <tp>
        <v>0</v>
        <stp/>
        <stp>bse_cm|1025MMF26A</stp>
        <stp>LTP</stp>
        <tr r="H290" s="1"/>
      </tp>
      <tp t="s">
        <v>00:00:00</v>
        <stp/>
        <stp>bse_cm|1025MMF26A</stp>
        <stp>LTT</stp>
        <tr r="I290" s="1"/>
      </tp>
      <tp t="s">
        <v>INE583D07455</v>
        <stp/>
        <stp>nse_cm|11UCL26-NC</stp>
        <stp>Isin code</stp>
        <tr r="R322" s="1"/>
      </tp>
      <tp>
        <v>-100</v>
        <stp/>
        <stp>bse_cm|MML11924A</stp>
        <stp>% Change</stp>
        <tr r="J1256" s="1"/>
      </tp>
      <tp t="e">
        <v>#N/A</v>
        <stp/>
        <stp>bse_cm|1075IML24A</stp>
        <stp>LTP</stp>
        <tr r="H32" s="1"/>
      </tp>
      <tp>
        <v>0</v>
        <stp/>
        <stp>bse_cm|1125KLM26A</stp>
        <stp>LTP</stp>
        <tr r="H1226" s="1"/>
      </tp>
      <tp t="e">
        <v>#N/A</v>
        <stp/>
        <stp>bse_cm|1075IML24A</stp>
        <stp>LTT</stp>
        <tr r="I32" s="1"/>
      </tp>
      <tp t="s">
        <v>00:00:00</v>
        <stp/>
        <stp>bse_cm|1125KLM26A</stp>
        <stp>LTT</stp>
        <tr r="I1226" s="1"/>
      </tp>
      <tp>
        <v>0</v>
        <stp/>
        <stp>bse_cm|1025KFL26A</stp>
        <stp>LTP</stp>
        <tr r="H525" s="1"/>
      </tp>
      <tp>
        <v>0</v>
        <stp/>
        <stp>bse_cm|1025KFL26B</stp>
        <stp>LTP</stp>
        <tr r="H1422" s="1"/>
      </tp>
      <tp>
        <v>0</v>
        <stp/>
        <stp>bse_cm|1025KFL26C</stp>
        <stp>LTP</stp>
        <tr r="H459" s="1"/>
      </tp>
      <tp t="s">
        <v>00:00:00</v>
        <stp/>
        <stp>bse_cm|1025KFL26A</stp>
        <stp>LTT</stp>
        <tr r="I525" s="1"/>
      </tp>
      <tp t="s">
        <v>00:00:00</v>
        <stp/>
        <stp>bse_cm|1025KFL26B</stp>
        <stp>LTT</stp>
        <tr r="I1422" s="1"/>
      </tp>
      <tp t="s">
        <v>00:00:00</v>
        <stp/>
        <stp>bse_cm|1025KFL26C</stp>
        <stp>LTT</stp>
        <tr r="I459" s="1"/>
      </tp>
      <tp t="s">
        <v>1025SF29</v>
        <stp/>
        <stp>bse_cm|1025SF29</stp>
        <stp>Symbol</stp>
        <tr r="A1409" s="1"/>
      </tp>
      <tp>
        <v>951.12</v>
        <stp/>
        <stp>bse_cm|1025KFL27A</stp>
        <stp>LTP</stp>
        <tr r="H89" s="1"/>
      </tp>
      <tp t="s">
        <v>10:24:07</v>
        <stp/>
        <stp>bse_cm|1025KFL27A</stp>
        <stp>LTT</stp>
        <tr r="I89" s="1"/>
      </tp>
      <tp>
        <v>-100</v>
        <stp/>
        <stp>bse_cm|MML11924C</stp>
        <stp>% Change</stp>
        <tr r="J1623" s="1"/>
      </tp>
      <tp t="s">
        <v>INE338I07107</v>
        <stp/>
        <stp>bse_cm|935MOFSL29</stp>
        <stp>Isin code</stp>
        <tr r="R1602" s="1"/>
      </tp>
      <tp t="s">
        <v>INE774D08MO7</v>
        <stp/>
        <stp>bse_cm|935MMFSL29</stp>
        <stp>Isin code</stp>
        <tr r="R1174" s="1"/>
      </tp>
      <tp>
        <v>-100</v>
        <stp/>
        <stp>bse_cm|MML11924B</stp>
        <stp>% Change</stp>
        <tr r="J1255" s="1"/>
      </tp>
      <tp>
        <v>-100</v>
        <stp/>
        <stp>bse_cm|IFL19424A</stp>
        <stp>% Change</stp>
        <tr r="J1419" s="1"/>
      </tp>
      <tp t="s">
        <v>INE031A07949</v>
        <stp/>
        <stp>nse_cm|876HUDCO28-ND</stp>
        <stp>Isin code</stp>
        <tr r="R509" s="1"/>
      </tp>
      <tp t="s">
        <v>10EFSL34</v>
        <stp/>
        <stp>bse_cm|10EFSL34</stp>
        <stp>Symbol</stp>
        <tr r="A164" s="1"/>
      </tp>
      <tp t="s">
        <v>10EFSL33</v>
        <stp/>
        <stp>bse_cm|10EFSL33</stp>
        <stp>Symbol</stp>
        <tr r="A150" s="1"/>
      </tp>
      <tp t="s">
        <v>10EFSL27</v>
        <stp/>
        <stp>bse_cm|10EFSL27</stp>
        <stp>Symbol</stp>
        <tr r="A1139" s="1"/>
      </tp>
      <tp t="s">
        <v>10IFSL26</v>
        <stp/>
        <stp>bse_cm|10IFSL26</stp>
        <stp>Symbol</stp>
        <tr r="A428" s="1"/>
      </tp>
      <tp t="s">
        <v>11EFSL34</v>
        <stp/>
        <stp>bse_cm|11EFSL34</stp>
        <stp>Symbol</stp>
        <tr r="A1429" s="1"/>
      </tp>
      <tp t="s">
        <v>11DLSL25</v>
        <stp/>
        <stp>bse_cm|11DLSL25</stp>
        <stp>Symbol</stp>
        <tr r="A1539" s="1"/>
      </tp>
      <tp>
        <v>0</v>
        <stp/>
        <stp>bse_cm|1010EFS28A</stp>
        <stp>Volume Traded Today</stp>
        <tr r="L78" s="1"/>
      </tp>
      <tp>
        <v>0</v>
        <stp/>
        <stp>bse_cm|1010EFS29A</stp>
        <stp>Volume Traded Today</stp>
        <tr r="L1593" s="1"/>
      </tp>
      <tp>
        <v>0</v>
        <stp/>
        <stp>bse_cm|KFL070824D</stp>
        <stp>Volume Traded Today</stp>
        <tr r="L1310" s="1"/>
      </tp>
      <tp>
        <v>0</v>
        <stp/>
        <stp>bse_cm|KFL070824A</stp>
        <stp>Volume Traded Today</stp>
        <tr r="L1313" s="1"/>
      </tp>
      <tp>
        <v>0</v>
        <stp/>
        <stp>bse_cm|KFL070824C</stp>
        <stp>Volume Traded Today</stp>
        <tr r="L1311" s="1"/>
      </tp>
      <tp>
        <v>0</v>
        <stp/>
        <stp>bse_cm|KFL070824B</stp>
        <stp>Volume Traded Today</stp>
        <tr r="L1312" s="1"/>
      </tp>
      <tp>
        <v>0</v>
        <stp/>
        <stp>bse_cm|SFL2722024</stp>
        <stp>Volume Traded Today</stp>
        <tr r="L806" s="1"/>
      </tp>
      <tp t="s">
        <v>INE148I07MN7</v>
        <stp/>
        <stp>nse_cm|905SC24-ZB</stp>
        <stp>Isin code</stp>
        <tr r="R1374" s="1"/>
      </tp>
      <tp t="s">
        <v>91MOFSL27</v>
        <stp/>
        <stp>bse_cm|91MOFSL27</stp>
        <stp>Trading Symbol</stp>
        <tr r="B1558" s="1"/>
      </tp>
      <tp>
        <v>0</v>
        <stp/>
        <stp>nse_cm|1049DLSL25-NX</stp>
        <stp>Open</stp>
        <tr r="M43" s="1"/>
      </tp>
      <tp t="s">
        <v>INE741K07488</v>
        <stp/>
        <stp>nse_cm|CAGL25A-N4</stp>
        <stp>Isin code</stp>
        <tr r="R709" s="1"/>
      </tp>
      <tp t="s">
        <v>INE741K07504</v>
        <stp/>
        <stp>nse_cm|CAGL27A-N6</stp>
        <stp>Isin code</stp>
        <tr r="R758" s="1"/>
      </tp>
      <tp t="s">
        <v>INE414G07HZ1</v>
        <stp/>
        <stp>bse_cm|785MFL2028</stp>
        <stp>Isin code</stp>
        <tr r="R357" s="1"/>
      </tp>
      <tp>
        <v>0</v>
        <stp/>
        <stp>bse_cm|89SCL24A</stp>
        <stp>ATP</stp>
        <tr r="K971" s="1"/>
      </tp>
      <tp>
        <v>1112.01</v>
        <stp/>
        <stp>bse_cm|735NABAR31</stp>
        <stp>Prev Close</stp>
        <tr r="P14" s="1"/>
      </tp>
      <tp>
        <v>993</v>
        <stp/>
        <stp>nse_cm|894SCL24-ZR</stp>
        <stp>High</stp>
        <tr r="N661" s="1"/>
      </tp>
      <tp>
        <v>25</v>
        <stp/>
        <stp>bse_cm|1080MML29</stp>
        <stp>Bid Qty</stp>
        <tr r="D72" s="1"/>
      </tp>
      <tp>
        <v>20</v>
        <stp/>
        <stp>bse_cm|KFL070824</stp>
        <stp>Bid Qty</stp>
        <tr r="D551" s="1"/>
      </tp>
      <tp>
        <v>16</v>
        <stp/>
        <stp>bse_cm|1080MML26</stp>
        <stp>Bid Qty</stp>
        <tr r="D1163" s="1"/>
      </tp>
      <tp>
        <v>60</v>
        <stp/>
        <stp>nse_cm|985ICCL28-NO</stp>
        <stp>Ask Qty</stp>
        <tr r="G1605" s="1"/>
      </tp>
      <tp t="s">
        <v>INE321N07277</v>
        <stp/>
        <stp>nse_cm|965IFSL26-N6</stp>
        <stp>Isin code</stp>
        <tr r="R1346" s="1"/>
      </tp>
      <tp>
        <v>0</v>
        <stp/>
        <stp>nse_cm|980ICCL28-NL</stp>
        <stp>Ask Qty</stp>
        <tr r="G780" s="1"/>
      </tp>
      <tp>
        <v>-100</v>
        <stp/>
        <stp>bse_cm|1025SCL34A</stp>
        <stp>% Change</stp>
        <tr r="J672" s="1"/>
      </tp>
      <tp>
        <v>-100</v>
        <stp/>
        <stp>bse_cm|SCL310524A</stp>
        <stp>% Change</stp>
        <tr r="J918" s="1"/>
      </tp>
      <tp>
        <v>828.75</v>
        <stp/>
        <stp>nse_cm|894SCL27-ZY</stp>
        <stp>High</stp>
        <tr r="N731" s="1"/>
      </tp>
      <tp>
        <v>27</v>
        <stp/>
        <stp>nse_cm|96IIFL28-N5</stp>
        <stp>Volume Traded Today</stp>
        <tr r="L106" s="1"/>
      </tp>
      <tp>
        <v>1000</v>
        <stp/>
        <stp>bse_cm|897MOFSL29</stp>
        <stp>Face Value</stp>
        <tr r="Q332" s="1"/>
      </tp>
      <tp>
        <v>0</v>
        <stp/>
        <stp>nse_cm|975NFL25-N0</stp>
        <stp>Volume Traded Today</stp>
        <tr r="L256" s="1"/>
      </tp>
      <tp>
        <v>1000</v>
        <stp/>
        <stp>bse_cm|975KLMAF26</stp>
        <stp>Prev Close</stp>
        <tr r="P857" s="1"/>
      </tp>
      <tp>
        <v>975</v>
        <stp/>
        <stp>bse_cm|925KLMAF25</stp>
        <stp>Prev Close</stp>
        <tr r="P612" s="1"/>
      </tp>
      <tp>
        <v>0</v>
        <stp/>
        <stp>bse_cm|MHFLZC26</stp>
        <stp>ATP</stp>
        <tr r="K1714" s="1"/>
      </tp>
      <tp t="e">
        <v>#N/A</v>
        <stp/>
        <stp>bse_cm|MHFLZC24</stp>
        <stp>ATP</stp>
        <tr r="K35" s="1"/>
      </tp>
      <tp>
        <v>0</v>
        <stp/>
        <stp>nse_cm|CIF29-NO</stp>
        <stp xml:space="preserve">Low </stp>
        <tr r="O743" s="1"/>
      </tp>
      <tp>
        <v>-100</v>
        <stp/>
        <stp>bse_cm|865MF25</stp>
        <stp>% Change</stp>
        <tr r="J111" s="1"/>
      </tp>
      <tp>
        <v>1000</v>
        <stp/>
        <stp>nse_cm|CIF27-NM</stp>
        <stp xml:space="preserve">Low </stp>
        <tr r="O1665" s="1"/>
      </tp>
      <tp t="s">
        <v>957SCL30-BX</v>
        <stp/>
        <stp>nse_cm|957SCL30-BX</stp>
        <stp>Trading Symbol</stp>
        <tr r="B1109" s="1"/>
      </tp>
      <tp>
        <v>1060</v>
        <stp/>
        <stp>bse_cm|727HUDCO26</stp>
        <stp>Prev Close</stp>
        <tr r="P481" s="1"/>
      </tp>
      <tp>
        <v>1020</v>
        <stp/>
        <stp>bse_cm|1025MMF26A</stp>
        <stp>Prev Close</stp>
        <tr r="P290" s="1"/>
      </tp>
      <tp>
        <v>0</v>
        <stp/>
        <stp>bse_cm|MFLZC29A</stp>
        <stp>Ask Rate</stp>
        <tr r="F1554" s="1"/>
      </tp>
      <tp t="s">
        <v>INE148I07RW7</v>
        <stp/>
        <stp>nse_cm|1075SCL33-YK</stp>
        <stp>Isin code</stp>
        <tr r="R707" s="1"/>
      </tp>
      <tp t="s">
        <v>BSE</v>
        <stp/>
        <stp>bse_cm|9IIFL28A</stp>
        <stp>Exchange</stp>
        <tr r="C218" s="1"/>
      </tp>
      <tp>
        <v>0</v>
        <stp/>
        <stp>nse_cm|93SCFL25-Z1</stp>
        <stp>Volume Traded Today</stp>
        <tr r="L946" s="1"/>
      </tp>
      <tp>
        <v>7</v>
        <stp/>
        <stp>nse_cm|903SFL28-YI</stp>
        <stp>Volume Traded Today</stp>
        <tr r="L372" s="1"/>
      </tp>
      <tp>
        <v>0</v>
        <stp/>
        <stp>bse_cm|94MFL27A</stp>
        <stp>LTP</stp>
        <tr r="H420" s="1"/>
      </tp>
      <tp t="s">
        <v>00:00:00</v>
        <stp/>
        <stp>bse_cm|94MFL27A</stp>
        <stp>LTT</stp>
        <tr r="I420" s="1"/>
      </tp>
      <tp>
        <v>0</v>
        <stp/>
        <stp>nse_cm|931SFL26-Z5</stp>
        <stp>Volume Traded Today</stp>
        <tr r="L519" s="1"/>
      </tp>
      <tp>
        <v>936</v>
        <stp/>
        <stp>nse_cm|943ECL28-NJ</stp>
        <stp>Open</stp>
        <tr r="M94" s="1"/>
      </tp>
      <tp>
        <v>5</v>
        <stp/>
        <stp>nse_cm|930SFL28-YP</stp>
        <stp>Volume Traded Today</stp>
        <tr r="L6" s="1"/>
      </tp>
      <tp>
        <v>1000</v>
        <stp/>
        <stp>bse_cm|KFL070824A</stp>
        <stp>Prev Close</stp>
        <tr r="P1313" s="1"/>
      </tp>
      <tp>
        <v>1000</v>
        <stp/>
        <stp>bse_cm|KFL070824C</stp>
        <stp>Prev Close</stp>
        <tr r="P1311" s="1"/>
      </tp>
      <tp>
        <v>1000</v>
        <stp/>
        <stp>bse_cm|KFL070824B</stp>
        <stp>Prev Close</stp>
        <tr r="P1312" s="1"/>
      </tp>
      <tp>
        <v>1000</v>
        <stp/>
        <stp>bse_cm|KFL070824D</stp>
        <stp>Prev Close</stp>
        <tr r="P1310" s="1"/>
      </tp>
      <tp>
        <v>945</v>
        <stp/>
        <stp>nse_cm|905SC24B-Z9</stp>
        <stp>LTP</stp>
        <tr r="H637" s="1"/>
      </tp>
      <tp t="s">
        <v/>
        <stp/>
        <stp>nse_cm|905SC24B-Z9</stp>
        <stp>LTT</stp>
        <tr r="I637" s="1"/>
      </tp>
      <tp t="s">
        <v>935PEL33-N3</v>
        <stp/>
        <stp>nse_cm|935PEL33-N3</stp>
        <stp>Trading Symbol</stp>
        <tr r="B1375" s="1"/>
      </tp>
      <tp>
        <v>0</v>
        <stp/>
        <stp>nse_cm|738REC27TF-N2</stp>
        <stp>ATP</stp>
        <tr r="K514" s="1"/>
      </tp>
      <tp>
        <v>0</v>
        <stp/>
        <stp>nse_cm|980SCL34-Z7</stp>
        <stp>High</stp>
        <tr r="N884" s="1"/>
      </tp>
      <tp>
        <v>995</v>
        <stp/>
        <stp>nse_cm|105UCL2026-NB</stp>
        <stp>LTP</stp>
        <tr r="H130" s="1"/>
      </tp>
      <tp>
        <v>48</v>
        <stp/>
        <stp>bse_cm|10MFL24B</stp>
        <stp>Volume Traded Today</stp>
        <tr r="L185" s="1"/>
      </tp>
      <tp t="s">
        <v>10:12:27</v>
        <stp/>
        <stp>nse_cm|105UCL2026-NB</stp>
        <stp>LTT</stp>
        <tr r="I130" s="1"/>
      </tp>
      <tp>
        <v>44</v>
        <stp/>
        <stp>bse_cm|11DLSL25A</stp>
        <stp>Ask Qty</stp>
        <tr r="G300" s="1"/>
      </tp>
      <tp t="s">
        <v/>
        <stp/>
        <stp>nse_cm|820SCL25-YO</stp>
        <stp>LTT</stp>
        <tr r="I932" s="1"/>
      </tp>
      <tp>
        <v>0</v>
        <stp/>
        <stp>nse_cm|820SCL25-YO</stp>
        <stp>LTP</stp>
        <tr r="H932" s="1"/>
      </tp>
      <tp>
        <v>30</v>
        <stp/>
        <stp>bse_cm|950KLMF26</stp>
        <stp>Ask Qty</stp>
        <tr r="G278" s="1"/>
      </tp>
      <tp>
        <v>20</v>
        <stp/>
        <stp>nse_cm|850SCL25A-NW</stp>
        <stp>Bid Qty</stp>
        <tr r="D984" s="1"/>
      </tp>
      <tp>
        <v>0</v>
        <stp/>
        <stp>nse_cm|85IIFL25-NO</stp>
        <stp>Open</stp>
        <tr r="M110" s="1"/>
      </tp>
      <tp>
        <v>0</v>
        <stp/>
        <stp>bse_cm|735IRFC31</stp>
        <stp>Ask Qty</stp>
        <tr r="G1427" s="1"/>
      </tp>
      <tp>
        <v>10</v>
        <stp/>
        <stp>bse_cm|725IRFC35</stp>
        <stp>Ask Qty</stp>
        <tr r="G560" s="1"/>
      </tp>
      <tp>
        <v>100</v>
        <stp/>
        <stp>bse_cm|689RECL24</stp>
        <stp>Bid Qty</stp>
        <tr r="D1206" s="1"/>
      </tp>
      <tp>
        <v>1000</v>
        <stp/>
        <stp>bse_cm|1010NIDO28</stp>
        <stp>Prev Close</stp>
        <tr r="P199" s="1"/>
      </tp>
      <tp t="s">
        <v/>
        <stp/>
        <stp>nse_cm|833SCL24-ZE</stp>
        <stp>LTT</stp>
        <tr r="I957" s="1"/>
      </tp>
      <tp>
        <v>0</v>
        <stp/>
        <stp>nse_cm|833SCL24-ZE</stp>
        <stp>LTP</stp>
        <tr r="H957" s="1"/>
      </tp>
      <tp>
        <v>50</v>
        <stp/>
        <stp>bse_cm|865IRFC29</stp>
        <stp>Ask Qty</stp>
        <tr r="G501" s="1"/>
      </tp>
      <tp>
        <v>5</v>
        <stp/>
        <stp>bse_cm|889SCFL27</stp>
        <stp>Bid Qty</stp>
        <tr r="D484" s="1"/>
      </tp>
      <tp t="s">
        <v/>
        <stp/>
        <stp>nse_cm|847SCL25-Z2</stp>
        <stp>LTT</stp>
        <tr r="I212" s="1"/>
      </tp>
      <tp>
        <v>1047.5999999999999</v>
        <stp/>
        <stp>nse_cm|847SCL25-Z2</stp>
        <stp>LTP</stp>
        <tr r="H212" s="1"/>
      </tp>
      <tp t="s">
        <v/>
        <stp/>
        <stp>nse_cm|875SCL27-YQ</stp>
        <stp>LTT</stp>
        <tr r="I937" s="1"/>
      </tp>
      <tp>
        <v>0</v>
        <stp/>
        <stp>nse_cm|875SCL27-YQ</stp>
        <stp>LTP</stp>
        <tr r="H937" s="1"/>
      </tp>
      <tp>
        <v>1020</v>
        <stp/>
        <stp>nse_cm|956AEL29-N6</stp>
        <stp>Open</stp>
        <tr r="M298" s="1"/>
      </tp>
      <tp>
        <v>1000</v>
        <stp/>
        <stp>nse_cm|92LTF29-N4</stp>
        <stp>Prev Close</stp>
        <tr r="P1087" s="1"/>
      </tp>
      <tp t="s">
        <v/>
        <stp/>
        <stp>nse_cm|866SCL25-YP</stp>
        <stp>LTT</stp>
        <tr r="I933" s="1"/>
      </tp>
      <tp t="s">
        <v/>
        <stp/>
        <stp>nse_cm|857SCL24-ZQ</stp>
        <stp>LTT</stp>
        <tr r="I975" s="1"/>
      </tp>
      <tp>
        <v>960</v>
        <stp/>
        <stp>nse_cm|866SCL25-YP</stp>
        <stp>LTP</stp>
        <tr r="H933" s="1"/>
      </tp>
      <tp>
        <v>0</v>
        <stp/>
        <stp>nse_cm|857SCL24-ZQ</stp>
        <stp>LTP</stp>
        <tr r="H975" s="1"/>
      </tp>
      <tp>
        <v>0</v>
        <stp/>
        <stp>bse_cm|JMFPZC25</stp>
        <stp>Ask Rate</stp>
        <tr r="F1324" s="1"/>
      </tp>
      <tp>
        <v>0</v>
        <stp/>
        <stp>bse_cm|10KFL27A</stp>
        <stp>Volume Traded Today</stp>
        <tr r="L1092" s="1"/>
      </tp>
      <tp>
        <v>1492</v>
        <stp/>
        <stp>nse_cm|SFLZC25A-ZK</stp>
        <stp>High</stp>
        <tr r="N1582" s="1"/>
      </tp>
      <tp>
        <v>-100</v>
        <stp/>
        <stp>bse_cm|77IGT28</stp>
        <stp>% Change</stp>
        <tr r="J1191" s="1"/>
      </tp>
      <tp t="s">
        <v/>
        <stp/>
        <stp>nse_cm|865SCL24-ZA</stp>
        <stp>LTT</stp>
        <tr r="I954" s="1"/>
      </tp>
      <tp>
        <v>0</v>
        <stp/>
        <stp>nse_cm|865SCL24-ZA</stp>
        <stp>LTP</stp>
        <tr r="H954" s="1"/>
      </tp>
      <tp t="s">
        <v/>
        <stp/>
        <stp>nse_cm|850SCL25-YL</stp>
        <stp>LTT</stp>
        <tr r="I922" s="1"/>
      </tp>
      <tp>
        <v>0</v>
        <stp/>
        <stp>nse_cm|850SCL25-YL</stp>
        <stp>LTP</stp>
        <tr r="H922" s="1"/>
      </tp>
      <tp>
        <v>0</v>
        <stp/>
        <stp>bse_cm|JMFPZC26</stp>
        <stp>Ask Rate</stp>
        <tr r="F1323" s="1"/>
      </tp>
      <tp>
        <v>0</v>
        <stp/>
        <stp>bse_cm|10KFL24D</stp>
        <stp>Volume Traded Today</stp>
        <tr r="L1424" s="1"/>
      </tp>
      <tp>
        <v>0</v>
        <stp/>
        <stp>nse_cm|843SCL27-YS</stp>
        <stp>LTP</stp>
        <tr r="H944" s="1"/>
      </tp>
      <tp>
        <v>1000</v>
        <stp/>
        <stp>nse_cm|97SFL26-Z9</stp>
        <stp>Face Value</stp>
        <tr r="Q438" s="1"/>
      </tp>
      <tp t="s">
        <v/>
        <stp/>
        <stp>nse_cm|843SCL27-YS</stp>
        <stp>LTT</stp>
        <tr r="I944" s="1"/>
      </tp>
      <tp t="s">
        <v/>
        <stp/>
        <stp>nse_cm|894SCL25-Z3</stp>
        <stp>LTT</stp>
        <tr r="I1698" s="1"/>
      </tp>
      <tp>
        <v>0</v>
        <stp/>
        <stp>nse_cm|865SCL24B-Z8</stp>
        <stp>Ask Qty</stp>
        <tr r="G952" s="1"/>
      </tp>
      <tp>
        <v>1122.3499999999999</v>
        <stp/>
        <stp>nse_cm|894SCL25-Z3</stp>
        <stp>LTP</stp>
        <tr r="H1698" s="1"/>
      </tp>
      <tp>
        <v>100</v>
        <stp/>
        <stp>nse_cm|965SCL26A-ZB</stp>
        <stp>Ask Qty</stp>
        <tr r="G135" s="1"/>
      </tp>
      <tp t="s">
        <v/>
        <stp/>
        <stp>nse_cm|894SCL24-ZR</stp>
        <stp>LTT</stp>
        <tr r="I661" s="1"/>
      </tp>
      <tp>
        <v>993</v>
        <stp/>
        <stp>nse_cm|894SCL24-ZR</stp>
        <stp>LTP</stp>
        <tr r="H661" s="1"/>
      </tp>
      <tp t="s">
        <v/>
        <stp/>
        <stp>nse_cm|894SCL27-ZY</stp>
        <stp>LTT</stp>
        <tr r="I731" s="1"/>
      </tp>
      <tp>
        <v>828.75</v>
        <stp/>
        <stp>nse_cm|894SCL27-ZY</stp>
        <stp>LTP</stp>
        <tr r="H731" s="1"/>
      </tp>
      <tp>
        <v>0</v>
        <stp/>
        <stp>bse_cm|11EFSL34A</stp>
        <stp>Ask Qty</stp>
        <tr r="G1408" s="1"/>
      </tp>
      <tp>
        <v>9</v>
        <stp/>
        <stp>bse_cm|10EFSL34A</stp>
        <stp>Ask Qty</stp>
        <tr r="G131" s="1"/>
      </tp>
      <tp>
        <v>0</v>
        <stp/>
        <stp>nse_cm|965SCL25B-Y1</stp>
        <stp>Ask Qty</stp>
        <tr r="G1502" s="1"/>
      </tp>
      <tp>
        <v>0</v>
        <stp/>
        <stp>nse_cm|965SCL28B-YB</stp>
        <stp>Ask Qty</stp>
        <tr r="G819" s="1"/>
      </tp>
      <tp>
        <v>0</v>
        <stp/>
        <stp>bse_cm|10KFL28A</stp>
        <stp>Volume Traded Today</stp>
        <tr r="L1423" s="1"/>
      </tp>
      <tp t="s">
        <v>10:28:45</v>
        <stp/>
        <stp>nse_cm|889SCL27-YT</stp>
        <stp>LTT</stp>
        <tr r="I120" s="1"/>
      </tp>
      <tp>
        <v>0</v>
        <stp/>
        <stp>nse_cm|888SCL26-YP</stp>
        <stp>LTP</stp>
        <tr r="H841" s="1"/>
      </tp>
      <tp>
        <v>905.2</v>
        <stp/>
        <stp>nse_cm|889SCL27-YT</stp>
        <stp>LTP</stp>
        <tr r="H120" s="1"/>
      </tp>
      <tp t="s">
        <v/>
        <stp/>
        <stp>nse_cm|888SCL26-YP</stp>
        <stp>LTT</stp>
        <tr r="I841" s="1"/>
      </tp>
      <tp>
        <v>0</v>
        <stp/>
        <stp>bse_cm|KAFLZC30</stp>
        <stp>Volume Traded Today</stp>
        <tr r="L1314" s="1"/>
      </tp>
      <tp>
        <v>-100</v>
        <stp/>
        <stp>bse_cm|87LTF27</stp>
        <stp>% Change</stp>
        <tr r="J412" s="1"/>
      </tp>
      <tp>
        <v>0</v>
        <stp/>
        <stp>bse_cm|KAFLZC26</stp>
        <stp>Volume Traded Today</stp>
        <tr r="L1316" s="1"/>
      </tp>
      <tp>
        <v>1602.01</v>
        <stp/>
        <stp>nse_cm|SFLZC26A-ZC</stp>
        <stp>High</stp>
        <tr r="N1716" s="1"/>
      </tp>
      <tp>
        <v>0</v>
        <stp/>
        <stp>bse_cm|KAFLZC28</stp>
        <stp>Volume Traded Today</stp>
        <tr r="L1315" s="1"/>
      </tp>
      <tp>
        <v>100</v>
        <stp/>
        <stp>bse_cm|10EFSL33A</stp>
        <stp>Ask Qty</stp>
        <tr r="G140" s="1"/>
      </tp>
      <tp>
        <v>66</v>
        <stp/>
        <stp>bse_cm|10EFSL33B</stp>
        <stp>Ask Qty</stp>
        <tr r="G136" s="1"/>
      </tp>
      <tp>
        <v>976</v>
        <stp/>
        <stp>nse_cm|0MOFSL27-N3</stp>
        <stp>Bid Rate</stp>
        <tr r="E1038" s="1"/>
      </tp>
      <tp>
        <v>5</v>
        <stp/>
        <stp>nse_cm|950SCL23A-AP</stp>
        <stp>Bid Qty</stp>
        <tr r="D1145" s="1"/>
      </tp>
      <tp>
        <v>0</v>
        <stp/>
        <stp>bse_cm|97EFSL31A</stp>
        <stp>Ask Qty</stp>
        <tr r="G598" s="1"/>
      </tp>
      <tp>
        <v>182</v>
        <stp/>
        <stp>bse_cm|93EFSL31A</stp>
        <stp>Ask Qty</stp>
        <tr r="G85" s="1"/>
      </tp>
      <tp>
        <v>1000</v>
        <stp/>
        <stp>nse_cm|0MOFSL26-N1</stp>
        <stp>Bid Rate</stp>
        <tr r="E1644" s="1"/>
      </tp>
      <tp t="s">
        <v/>
        <stp/>
        <stp>nse_cm|801TCH25-N4</stp>
        <stp>LTT</stp>
        <tr r="I493" s="1"/>
      </tp>
      <tp t="s">
        <v/>
        <stp/>
        <stp>nse_cm|801TCH28-N7</stp>
        <stp>LTT</stp>
        <tr r="I1181" s="1"/>
      </tp>
      <tp>
        <v>999.25</v>
        <stp/>
        <stp>nse_cm|801TCH25-N4</stp>
        <stp>LTP</stp>
        <tr r="H493" s="1"/>
      </tp>
      <tp>
        <v>0</v>
        <stp/>
        <stp>nse_cm|801TCH28-N7</stp>
        <stp>LTP</stp>
        <tr r="H1181" s="1"/>
      </tp>
      <tp>
        <v>-100</v>
        <stp/>
        <stp>bse_cm|87SCL25</stp>
        <stp>% Change</stp>
        <tr r="J958" s="1"/>
      </tp>
      <tp>
        <v>25</v>
        <stp/>
        <stp>nse_cm|965SCL25E-BF</stp>
        <stp>Ask Qty</stp>
        <tr r="G413" s="1"/>
      </tp>
      <tp>
        <v>0</v>
        <stp/>
        <stp>nse_cm|965SCL28C-BR</stp>
        <stp>Ask Qty</stp>
        <tr r="G817" s="1"/>
      </tp>
      <tp t="s">
        <v/>
        <stp/>
        <stp>nse_cm|865SCL26-N8</stp>
        <stp>LTT</stp>
        <tr r="I310" s="1"/>
      </tp>
      <tp>
        <v>-100</v>
        <stp/>
        <stp>bse_cm|97SFL26</stp>
        <stp>% Change</stp>
        <tr r="J405" s="1"/>
      </tp>
      <tp>
        <v>950</v>
        <stp/>
        <stp>nse_cm|865SCL26-N8</stp>
        <stp>LTP</stp>
        <tr r="H310" s="1"/>
      </tp>
      <tp>
        <v>-100</v>
        <stp/>
        <stp>bse_cm|87SCL27</stp>
        <stp>% Change</stp>
        <tr r="J978" s="1"/>
      </tp>
      <tp>
        <v>943</v>
        <stp/>
        <stp>nse_cm|879SCL26-NC</stp>
        <stp>LTP</stp>
        <tr r="H720" s="1"/>
      </tp>
      <tp>
        <v>10</v>
        <stp/>
        <stp>nse_cm|955SCL27A-ZJ</stp>
        <stp>Bid Qty</stp>
        <tr r="D1437" s="1"/>
      </tp>
      <tp t="s">
        <v/>
        <stp/>
        <stp>nse_cm|879SCL26-NC</stp>
        <stp>LTT</stp>
        <tr r="I720" s="1"/>
      </tp>
      <tp>
        <v>1005</v>
        <stp/>
        <stp>bse_cm|8MFLTD28</stp>
        <stp>Ask Rate</stp>
        <tr r="F366" s="1"/>
      </tp>
      <tp>
        <v>1006.19</v>
        <stp/>
        <stp>nse_cm|10CAGL27-N5</stp>
        <stp>ATP</stp>
        <tr r="K273" s="1"/>
      </tp>
      <tp>
        <v>0</v>
        <stp/>
        <stp>bse_cm|MMFLZC28</stp>
        <stp>Ask Rate</stp>
        <tr r="F1259" s="1"/>
      </tp>
      <tp>
        <v>1264.83</v>
        <stp/>
        <stp>bse_cm|IIFLZC28</stp>
        <stp>Ask Rate</stp>
        <tr r="F1660" s="1"/>
      </tp>
      <tp>
        <v>0</v>
        <stp/>
        <stp>bse_cm|KAFLZC28</stp>
        <stp>Ask Rate</stp>
        <tr r="F1315" s="1"/>
      </tp>
      <tp>
        <v>0</v>
        <stp/>
        <stp>bse_cm|CIFCZC26</stp>
        <stp>Ask Rate</stp>
        <tr r="F738" s="1"/>
      </tp>
      <tp>
        <v>93</v>
        <stp/>
        <stp>bse_cm|939EFSL26</stp>
        <stp>Bid Qty</stp>
        <tr r="D188" s="1"/>
      </tp>
      <tp>
        <v>1135.45</v>
        <stp/>
        <stp>bse_cm|IIFLHF29</stp>
        <stp>Ask Rate</stp>
        <tr r="F1631" s="1"/>
      </tp>
      <tp>
        <v>0</v>
        <stp/>
        <stp>bse_cm|CIFCZC25</stp>
        <stp>Ask Rate</stp>
        <tr r="F1436" s="1"/>
      </tp>
      <tp>
        <v>1000</v>
        <stp/>
        <stp>nse_cm|957IIFLS27-NA</stp>
        <stp>Face Value</stp>
        <tr r="Q1495" s="1"/>
      </tp>
      <tp>
        <v>0</v>
        <stp/>
        <stp>bse_cm|MML28A</stp>
        <stp>Open</stp>
        <tr r="M1249" s="1"/>
      </tp>
      <tp t="e">
        <v>#N/A</v>
        <stp/>
        <stp>bse_cm|MHFLZC24</stp>
        <stp>Ask Rate</stp>
        <tr r="F35" s="1"/>
      </tp>
      <tp>
        <v>1000</v>
        <stp/>
        <stp>bse_cm|MFLVI31F</stp>
        <stp>Face Value</stp>
        <tr r="Q354" s="1"/>
      </tp>
      <tp>
        <v>1000</v>
        <stp/>
        <stp>bse_cm|MFLVI32F</stp>
        <stp>Face Value</stp>
        <tr r="Q704" s="1"/>
      </tp>
      <tp>
        <v>1392</v>
        <stp/>
        <stp>bse_cm|MMFLZC25</stp>
        <stp>Ask Rate</stp>
        <tr r="F1731" s="1"/>
      </tp>
      <tp>
        <v>1000</v>
        <stp/>
        <stp>nse_cm|880IREDA29-N5</stp>
        <stp>Face Value</stp>
        <tr r="Q510" s="1"/>
      </tp>
      <tp>
        <v>1585.8</v>
        <stp/>
        <stp>bse_cm|NWFLZC25</stp>
        <stp>Ask Rate</stp>
        <tr r="F1758" s="1"/>
      </tp>
      <tp>
        <v>1712.5</v>
        <stp/>
        <stp>bse_cm|IIFLZC25</stp>
        <stp>Ask Rate</stp>
        <tr r="F1743" s="1"/>
      </tp>
      <tp>
        <v>0</v>
        <stp/>
        <stp>bse_cm|MFL28D</stp>
        <stp>Open</stp>
        <tr r="M1276" s="1"/>
      </tp>
      <tp>
        <v>1000</v>
        <stp/>
        <stp>bse_cm|MFLII27B</stp>
        <stp>Face Value</stp>
        <tr r="Q359" s="1"/>
      </tp>
      <tp>
        <v>1000</v>
        <stp/>
        <stp>bse_cm|MFLII26B</stp>
        <stp>Face Value</stp>
        <tr r="Q1454" s="1"/>
      </tp>
      <tp>
        <v>990</v>
        <stp/>
        <stp>bse_cm|8MFLTD26</stp>
        <stp>Ask Rate</stp>
        <tr r="F321" s="1"/>
      </tp>
      <tp>
        <v>0</v>
        <stp/>
        <stp>bse_cm|MMFLZC26</stp>
        <stp>Ask Rate</stp>
        <tr r="F1261" s="1"/>
      </tp>
      <tp>
        <v>1750</v>
        <stp/>
        <stp>bse_cm|MHFLZC26</stp>
        <stp>Ask Rate</stp>
        <tr r="F1714" s="1"/>
      </tp>
      <tp>
        <v>0</v>
        <stp/>
        <stp>bse_cm|IIFLZC26</stp>
        <stp>Ask Rate</stp>
        <tr r="F1236" s="1"/>
      </tp>
      <tp>
        <v>0</v>
        <stp/>
        <stp>bse_cm|KAFLZC26</stp>
        <stp>Ask Rate</stp>
        <tr r="F1316" s="1"/>
      </tp>
      <tp>
        <v>0</v>
        <stp/>
        <stp>bse_cm|9SFL2026</stp>
        <stp>Ask Rate</stp>
        <tr r="F1473" s="1"/>
      </tp>
      <tp>
        <v>1050</v>
        <stp/>
        <stp>bse_cm|8MFL2026</stp>
        <stp>Ask Rate</stp>
        <tr r="F451" s="1"/>
      </tp>
      <tp>
        <v>-100</v>
        <stp/>
        <stp>bse_cm|728IREDA26</stp>
        <stp>% Change</stp>
        <tr r="J1203" s="1"/>
      </tp>
      <tp>
        <v>0</v>
        <stp/>
        <stp>bse_cm|CIFCZC28</stp>
        <stp>Ask Rate</stp>
        <tr r="F736" s="1"/>
      </tp>
      <tp>
        <v>0</v>
        <stp/>
        <stp>bse_cm|MMFLZC27</stp>
        <stp>Ask Rate</stp>
        <tr r="F1462" s="1"/>
      </tp>
      <tp>
        <v>-100</v>
        <stp/>
        <stp>bse_cm|753IREDA26</stp>
        <stp>% Change</stp>
        <tr r="J487" s="1"/>
      </tp>
      <tp t="s">
        <v/>
        <stp/>
        <stp>nse_cm|885SCL26-N9</stp>
        <stp>LTT</stp>
        <tr r="I686" s="1"/>
      </tp>
      <tp>
        <v>-100</v>
        <stp/>
        <stp>bse_cm|97SFL28</stp>
        <stp>% Change</stp>
        <tr r="J23" s="1"/>
      </tp>
      <tp>
        <v>1000</v>
        <stp/>
        <stp>nse_cm|885SCL26-N9</stp>
        <stp>LTP</stp>
        <tr r="H686" s="1"/>
      </tp>
      <tp t="s">
        <v/>
        <stp/>
        <stp>nse_cm|888SCL25-NG</stp>
        <stp>LTT</stp>
        <tr r="I912" s="1"/>
      </tp>
      <tp>
        <v>0</v>
        <stp/>
        <stp>nse_cm|888SCL25-NG</stp>
        <stp>LTP</stp>
        <tr r="H912" s="1"/>
      </tp>
      <tp t="s">
        <v/>
        <stp/>
        <stp>nse_cm|889SCL28-NU</stp>
        <stp>LTT</stp>
        <tr r="I989" s="1"/>
      </tp>
      <tp>
        <v>939.33</v>
        <stp/>
        <stp>nse_cm|889SCL26-NS</stp>
        <stp>LTP</stp>
        <tr r="H222" s="1"/>
      </tp>
      <tp>
        <v>921</v>
        <stp/>
        <stp>nse_cm|889SCL28-NU</stp>
        <stp>LTP</stp>
        <tr r="H989" s="1"/>
      </tp>
      <tp t="s">
        <v/>
        <stp/>
        <stp>nse_cm|889SCL26-NS</stp>
        <stp>LTT</stp>
        <tr r="I222" s="1"/>
      </tp>
      <tp>
        <v>1000</v>
        <stp/>
        <stp>nse_cm|855IREDA34-N3</stp>
        <stp>Face Value</stp>
        <tr r="Q558" s="1"/>
      </tp>
      <tp>
        <v>0</v>
        <stp/>
        <stp>bse_cm|MFL28A</stp>
        <stp>Open</stp>
        <tr r="M1620" s="1"/>
      </tp>
      <tp>
        <v>130</v>
        <stp/>
        <stp>nse_cm|965SCL25C-N0</stp>
        <stp>Ask Qty</stp>
        <tr r="G507" s="1"/>
      </tp>
      <tp>
        <v>-100</v>
        <stp/>
        <stp>bse_cm|97SFL29</stp>
        <stp>% Change</stp>
        <tr r="J21" s="1"/>
      </tp>
      <tp>
        <v>1</v>
        <stp/>
        <stp>nse_cm|965SCL25A-NF</stp>
        <stp>Ask Qty</stp>
        <tr r="G163" s="1"/>
      </tp>
      <tp>
        <v>0</v>
        <stp/>
        <stp>nse_cm|965SCL25F-NZ</stp>
        <stp>Ask Qty</stp>
        <tr r="G1362" s="1"/>
      </tp>
      <tp>
        <v>0</v>
        <stp/>
        <stp>nse_cm|965SCL28A-NQ</stp>
        <stp>Ask Qty</stp>
        <tr r="G897" s="1"/>
      </tp>
      <tp>
        <v>924.3</v>
        <stp/>
        <stp>nse_cm|SCLZC26G-YA</stp>
        <stp xml:space="preserve">Low </stp>
        <tr r="O815" s="1"/>
      </tp>
      <tp>
        <v>0</v>
        <stp/>
        <stp>bse_cm|MFL28B</stp>
        <stp>Open</stp>
        <tr r="M1277" s="1"/>
      </tp>
      <tp t="s">
        <v>925SCL28I-BA</v>
        <stp/>
        <stp>nse_cm|925SCL28I-BA</stp>
        <stp>Trading Symbol</stp>
        <tr r="B821" s="1"/>
      </tp>
      <tp t="s">
        <v>INE01I507786</v>
        <stp/>
        <stp>bse_cm|950KLMAF25</stp>
        <stp>Isin code</stp>
        <tr r="R1149" s="1"/>
      </tp>
      <tp t="s">
        <v>902SCL26I-AW</v>
        <stp/>
        <stp>nse_cm|902SCL26I-AW</stp>
        <stp>Trading Symbol</stp>
        <tr r="B1383" s="1"/>
      </tp>
      <tp t="s">
        <v>INE530L07681</v>
        <stp/>
        <stp>bse_cm|1075NIDO34</stp>
        <stp>Isin code</stp>
        <tr r="R1021" s="1"/>
      </tp>
      <tp>
        <v>1000</v>
        <stp/>
        <stp>bse_cm|MFLII27</stp>
        <stp>Face Value</stp>
        <tr r="Q648" s="1"/>
      </tp>
      <tp>
        <v>1000</v>
        <stp/>
        <stp>bse_cm|MFLII26</stp>
        <stp>Face Value</stp>
        <tr r="Q390" s="1"/>
      </tp>
      <tp t="s">
        <v>971SCL28I-BC</v>
        <stp/>
        <stp>nse_cm|971SCL28I-BC</stp>
        <stp>Trading Symbol</stp>
        <tr r="B531" s="1"/>
      </tp>
      <tp t="s">
        <v>INE01I507AB6</v>
        <stp/>
        <stp>bse_cm|KAFL080824</stp>
        <stp>Isin code</stp>
        <tr r="R1417" s="1"/>
      </tp>
      <tp t="s">
        <v>INE530L07673</v>
        <stp/>
        <stp>bse_cm|1026NIDO34</stp>
        <stp>Isin code</stp>
        <tr r="R1018" s="1"/>
      </tp>
      <tp t="s">
        <v>948SCL26I-AX</v>
        <stp/>
        <stp>nse_cm|948SCL26I-AX</stp>
        <stp>Trading Symbol</stp>
        <tr r="B1708" s="1"/>
      </tp>
      <tp t="s">
        <v>INE651J07630</v>
        <stp/>
        <stp>bse_cm|934JMFCS28</stp>
        <stp>Isin code</stp>
        <tr r="R325" s="1"/>
      </tp>
      <tp t="s">
        <v>00:00:00</v>
        <stp/>
        <stp>bse_cm|1075SCL33A</stp>
        <stp>LTT</stp>
        <tr r="I629" s="1"/>
      </tp>
      <tp t="s">
        <v>00:00:00</v>
        <stp/>
        <stp>bse_cm|1025SCL33A</stp>
        <stp>LTT</stp>
        <tr r="I835" s="1"/>
      </tp>
      <tp t="s">
        <v>00:00:00</v>
        <stp/>
        <stp>bse_cm|1075SCL33B</stp>
        <stp>LTT</stp>
        <tr r="I706" s="1"/>
      </tp>
      <tp>
        <v>0</v>
        <stp/>
        <stp>bse_cm|1075SCL33A</stp>
        <stp>LTP</stp>
        <tr r="H629" s="1"/>
      </tp>
      <tp>
        <v>0</v>
        <stp/>
        <stp>bse_cm|1025SCL33A</stp>
        <stp>LTP</stp>
        <tr r="H835" s="1"/>
      </tp>
      <tp>
        <v>0</v>
        <stp/>
        <stp>bse_cm|1075SCL33B</stp>
        <stp>LTP</stp>
        <tr r="H706" s="1"/>
      </tp>
      <tp>
        <v>960</v>
        <stp/>
        <stp>nse_cm|1075SCFL34-Z6</stp>
        <stp>High</stp>
        <tr r="N882" s="1"/>
      </tp>
      <tp>
        <v>0</v>
        <stp/>
        <stp>nse_cm|1025SCFL34-Z5</stp>
        <stp>High</stp>
        <tr r="N880" s="1"/>
      </tp>
      <tp t="s">
        <v>105EFSL29</v>
        <stp/>
        <stp>bse_cm|105EFSL29</stp>
        <stp>Trading Symbol</stp>
        <tr r="B1358" s="1"/>
      </tp>
      <tp t="s">
        <v>990SCL26I-AV</v>
        <stp/>
        <stp>nse_cm|990SCL26I-AV</stp>
        <stp>Trading Symbol</stp>
        <tr r="B1368" s="1"/>
      </tp>
      <tp t="s">
        <v>00:00:00</v>
        <stp/>
        <stp>bse_cm|1025SCL34A</stp>
        <stp>LTT</stp>
        <tr r="I672" s="1"/>
      </tp>
      <tp>
        <v>0</v>
        <stp/>
        <stp>bse_cm|1025SCL34A</stp>
        <stp>LTP</stp>
        <tr r="H672" s="1"/>
      </tp>
      <tp t="s">
        <v>101EFSL28</v>
        <stp/>
        <stp>bse_cm|101EFSL28</stp>
        <stp>Trading Symbol</stp>
        <tr r="B211" s="1"/>
      </tp>
      <tp t="s">
        <v>NSE</v>
        <stp/>
        <stp>nse_cm|1025SCL34A-ZT</stp>
        <stp>Exchange</stp>
        <tr r="C171" s="1"/>
      </tp>
      <tp>
        <v>0</v>
        <stp/>
        <stp>nse_cm|1048IIFL27-N6</stp>
        <stp>Open</stp>
        <tr r="M997" s="1"/>
      </tp>
      <tp t="s">
        <v>00:00:00</v>
        <stp/>
        <stp>bse_cm|791JMFPL26</stp>
        <stp>LTT</stp>
        <tr r="I276" s="1"/>
      </tp>
      <tp>
        <v>0</v>
        <stp/>
        <stp>bse_cm|791JMFPL26</stp>
        <stp>LTP</stp>
        <tr r="H276" s="1"/>
      </tp>
      <tp t="s">
        <v>INE031A07AB2</v>
        <stp/>
        <stp>nse_cm|901HUDCO34-NE</stp>
        <stp>Isin code</stp>
        <tr r="R517" s="1"/>
      </tp>
      <tp t="s">
        <v>INE414G07IK1</v>
        <stp/>
        <stp>bse_cm|775MFLTD26</stp>
        <stp>Isin code</stp>
        <tr r="R652" s="1"/>
      </tp>
      <tp t="s">
        <v>INE148I07TI2</v>
        <stp/>
        <stp>nse_cm|94SCL27-ZG</stp>
        <stp>Isin code</stp>
        <tr r="R1151" s="1"/>
      </tp>
      <tp t="s">
        <v>INE774D08ML3</v>
        <stp/>
        <stp>bse_cm|795MMFSL32</stp>
        <stp>Isin code</stp>
        <tr r="R1184" s="1"/>
      </tp>
      <tp>
        <v>0</v>
        <stp/>
        <stp>bse_cm|1049DLS25A</stp>
        <stp>ATP</stp>
        <tr r="K119" s="1"/>
      </tp>
      <tp>
        <v>0</v>
        <stp/>
        <stp>bse_cm|1045EFS34A</stp>
        <stp>LTP</stp>
        <tr r="H1029" s="1"/>
      </tp>
      <tp t="s">
        <v>00:00:00</v>
        <stp/>
        <stp>bse_cm|1045EFS34A</stp>
        <stp>LTT</stp>
        <tr r="I1029" s="1"/>
      </tp>
      <tp>
        <v>0</v>
        <stp/>
        <stp>nse_cm|1003SCFL31-Z4</stp>
        <stp xml:space="preserve">Low </stp>
        <tr r="O878" s="1"/>
      </tp>
      <tp>
        <v>1000</v>
        <stp/>
        <stp>bse_cm|MFLIV25</stp>
        <stp>Face Value</stp>
        <tr r="Q280" s="1"/>
      </tp>
      <tp>
        <v>1000</v>
        <stp/>
        <stp>bse_cm|MFLIV26</stp>
        <stp>Face Value</stp>
        <tr r="Q1500" s="1"/>
      </tp>
      <tp>
        <v>0</v>
        <stp/>
        <stp>bse_cm|830JMFPL30</stp>
        <stp>LTP</stp>
        <tr r="H251" s="1"/>
      </tp>
      <tp t="s">
        <v>00:00:00</v>
        <stp/>
        <stp>bse_cm|830JMFPL30</stp>
        <stp>LTT</stp>
        <tr r="I251" s="1"/>
      </tp>
      <tp t="s">
        <v>810MFL2028</v>
        <stp/>
        <stp>bse_cm|810MFL2028</stp>
        <stp>Symbol</stp>
        <tr r="A651" s="1"/>
      </tp>
      <tp>
        <v>963</v>
        <stp/>
        <stp>bse_cm|1045EFS33A</stp>
        <stp>LTP</stp>
        <tr r="H95" s="1"/>
      </tp>
      <tp>
        <v>0</v>
        <stp/>
        <stp>bse_cm|1045EFS33B</stp>
        <stp>LTP</stp>
        <tr r="H117" s="1"/>
      </tp>
      <tp t="s">
        <v>00:00:00</v>
        <stp/>
        <stp>bse_cm|1045EFS33A</stp>
        <stp>LTT</stp>
        <tr r="I95" s="1"/>
      </tp>
      <tp t="s">
        <v>00:00:00</v>
        <stp/>
        <stp>bse_cm|1045EFS33B</stp>
        <stp>LTT</stp>
        <tr r="I117" s="1"/>
      </tp>
      <tp t="s">
        <v>00:00:00</v>
        <stp/>
        <stp>bse_cm|820JMFPL26</stp>
        <stp>LTT</stp>
        <tr r="I349" s="1"/>
      </tp>
      <tp>
        <v>0</v>
        <stp/>
        <stp>bse_cm|820JMFPL26</stp>
        <stp>LTP</stp>
        <tr r="H349" s="1"/>
      </tp>
      <tp>
        <v>0</v>
        <stp/>
        <stp>bse_cm|CCI110324A</stp>
        <stp>Volume Traded Today</stp>
        <tr r="L1590" s="1"/>
      </tp>
      <tp>
        <v>0</v>
        <stp/>
        <stp>bse_cm|AEL120924B</stp>
        <stp>Volume Traded Today</stp>
        <tr r="L1641" s="1"/>
      </tp>
      <tp>
        <v>0</v>
        <stp/>
        <stp>bse_cm|AEL120924A</stp>
        <stp>Volume Traded Today</stp>
        <tr r="L1524" s="1"/>
      </tp>
      <tp t="s">
        <v>0MOFSL26</v>
        <stp/>
        <stp>bse_cm|0MOFSL26</stp>
        <stp>Symbol</stp>
        <tr r="A1645" s="1"/>
      </tp>
      <tp t="s">
        <v>0MOFSL27</v>
        <stp/>
        <stp>bse_cm|0MOFSL27</stp>
        <stp>Symbol</stp>
        <tr r="A1039" s="1"/>
      </tp>
      <tp>
        <v>0</v>
        <stp/>
        <stp>bse_cm|MFLOPTII24</stp>
        <stp>LTP</stp>
        <tr r="H559" s="1"/>
      </tp>
      <tp t="s">
        <v>00:00:00</v>
        <stp/>
        <stp>bse_cm|MFLOPTII24</stp>
        <stp>LTT</stp>
        <tr r="I559" s="1"/>
      </tp>
      <tp t="s">
        <v>INE414G07HY4</v>
        <stp/>
        <stp>bse_cm|775MFL2026</stp>
        <stp>Isin code</stp>
        <tr r="R240" s="1"/>
      </tp>
      <tp>
        <v>0</v>
        <stp/>
        <stp>nse_cm|SCFL310524-ZE</stp>
        <stp>High</stp>
        <tr r="N1240" s="1"/>
      </tp>
      <tp>
        <v>1000</v>
        <stp/>
        <stp>bse_cm|MFLI25A</stp>
        <stp>Face Value</stp>
        <tr r="Q362" s="1"/>
      </tp>
      <tp>
        <v>1250</v>
        <stp/>
        <stp>bse_cm|704NABAR26</stp>
        <stp>Prev Close</stp>
        <tr r="P1702" s="1"/>
      </tp>
      <tp>
        <v>1135.51</v>
        <stp/>
        <stp>bse_cm|764NABAR31</stp>
        <stp>Prev Close</stp>
        <tr r="P497" s="1"/>
      </tp>
      <tp>
        <v>0</v>
        <stp/>
        <stp>nse_cm|85CIFC27-NL</stp>
        <stp>Volume Traded Today</stp>
        <tr r="L973" s="1"/>
      </tp>
      <tp>
        <v>300</v>
        <stp/>
        <stp>bse_cm|1090NFL26</stp>
        <stp>Bid Qty</stp>
        <tr r="D364" s="1"/>
      </tp>
      <tp>
        <v>0</v>
        <stp/>
        <stp>bse_cm|85PFL26A</stp>
        <stp>LTP</stp>
        <tr r="H711" s="1"/>
      </tp>
      <tp t="s">
        <v>00:00:00</v>
        <stp/>
        <stp>bse_cm|85PFL26A</stp>
        <stp>LTT</stp>
        <tr r="I711" s="1"/>
      </tp>
      <tp>
        <v>5</v>
        <stp/>
        <stp>nse_cm|96IIFL28A-NF</stp>
        <stp>Ask Qty</stp>
        <tr r="G81" s="1"/>
      </tp>
      <tp>
        <v>18</v>
        <stp/>
        <stp>bse_cm|AEL120924</stp>
        <stp>Bid Qty</stp>
        <tr r="D1062" s="1"/>
      </tp>
      <tp>
        <v>11</v>
        <stp/>
        <stp>bse_cm|MML110924</stp>
        <stp>Bid Qty</stp>
        <tr r="D1257" s="1"/>
      </tp>
      <tp>
        <v>1000</v>
        <stp/>
        <stp>bse_cm|MFLIII25</stp>
        <stp>Face Value</stp>
        <tr r="Q1501" s="1"/>
      </tp>
      <tp>
        <v>1000</v>
        <stp/>
        <stp>bse_cm|MFLVII27</stp>
        <stp>Face Value</stp>
        <tr r="Q1397" s="1"/>
      </tp>
      <tp>
        <v>0</v>
        <stp/>
        <stp>nse_cm|86CIFC29-NN</stp>
        <stp>Volume Traded Today</stp>
        <tr r="L1340" s="1"/>
      </tp>
      <tp>
        <v>19</v>
        <stp/>
        <stp>nse_cm|892PFCL33-N8</stp>
        <stp>Ask Qty</stp>
        <tr r="G530" s="1"/>
      </tp>
      <tp>
        <v>0</v>
        <stp/>
        <stp>nse_cm|SCLZC26F-Y9</stp>
        <stp xml:space="preserve">Low </stp>
        <tr r="O800" s="1"/>
      </tp>
      <tp>
        <v>1017</v>
        <stp/>
        <stp>nse_cm|SCLZC25F-Y5</stp>
        <stp xml:space="preserve">Low </stp>
        <tr r="O1512" s="1"/>
      </tp>
      <tp>
        <v>0</v>
        <stp/>
        <stp>nse_cm|829PFL29-N6</stp>
        <stp>Volume Traded Today</stp>
        <tr r="L1451" s="1"/>
      </tp>
      <tp>
        <v>0</v>
        <stp/>
        <stp>nse_cm|835IFL25-NV</stp>
        <stp>Volume Traded Today</stp>
        <tr r="L98" s="1"/>
      </tp>
      <tp t="s">
        <v>INE477L07AL3</v>
        <stp/>
        <stp>nse_cm|825IIFL25-N7</stp>
        <stp>Isin code</stp>
        <tr r="R49" s="1"/>
      </tp>
      <tp t="s">
        <v>BSE</v>
        <stp/>
        <stp>bse_cm|MMFSL26A</stp>
        <stp>Exchange</stp>
        <tr r="C1722" s="1"/>
      </tp>
      <tp>
        <v>0</v>
        <stp/>
        <stp>nse_cm|SCLZC25E-Y4</stp>
        <stp xml:space="preserve">Low </stp>
        <tr r="O787" s="1"/>
      </tp>
      <tp>
        <v>1565</v>
        <stp/>
        <stp>bse_cm|NWFLZC25</stp>
        <stp>Prev Close</stp>
        <tr r="P1758" s="1"/>
      </tp>
      <tp>
        <v>20</v>
        <stp/>
        <stp>nse_cm|81ABFL33-N5</stp>
        <stp>Volume Traded Today</stp>
        <tr r="L1588" s="1"/>
      </tp>
      <tp>
        <v>1000</v>
        <stp/>
        <stp>bse_cm|875TCAPS29</stp>
        <stp>Face Value</stp>
        <tr r="Q935" s="1"/>
      </tp>
      <tp>
        <v>1000</v>
        <stp/>
        <stp>bse_cm|865TCAPS27</stp>
        <stp>Face Value</stp>
        <tr r="Q377" s="1"/>
      </tp>
      <tp>
        <v>1000</v>
        <stp/>
        <stp>bse_cm|885TCAPS29</stp>
        <stp>Face Value</stp>
        <tr r="Q12" s="1"/>
      </tp>
      <tp>
        <v>1000</v>
        <stp/>
        <stp>bse_cm|855TCAPS27</stp>
        <stp>Face Value</stp>
        <tr r="Q1004" s="1"/>
      </tp>
      <tp>
        <v>0</v>
        <stp/>
        <stp>nse_cm|SCL22-ZC</stp>
        <stp>Open</stp>
        <tr r="M955" s="1"/>
      </tp>
      <tp>
        <v>0</v>
        <stp/>
        <stp>nse_cm|865IFL28-NZ</stp>
        <stp>Volume Traded Today</stp>
        <tr r="L103" s="1"/>
      </tp>
      <tp t="s">
        <v>INE866I08295</v>
        <stp/>
        <stp>nse_cm|105IIFL29-N7</stp>
        <stp>Isin code</stp>
        <tr r="R270" s="1"/>
      </tp>
      <tp>
        <v>0</v>
        <stp/>
        <stp>nse_cm|SCL24-ZD</stp>
        <stp>Open</stp>
        <tr r="M956" s="1"/>
      </tp>
      <tp>
        <v>-100</v>
        <stp/>
        <stp>bse_cm|1025SFL25A</stp>
        <stp>% Change</stp>
        <tr r="J1070" s="1"/>
      </tp>
      <tp>
        <v>0</v>
        <stp/>
        <stp>nse_cm|85IIFL25-NO</stp>
        <stp>Volume Traded Today</stp>
        <tr r="L110" s="1"/>
      </tp>
      <tp>
        <v>0</v>
        <stp/>
        <stp>nse_cm|745IGT26-NC</stp>
        <stp>High</stp>
        <tr r="N1201" s="1"/>
      </tp>
      <tp>
        <v>0</v>
        <stp/>
        <stp>bse_cm|NIDOZC26</stp>
        <stp>ATP</stp>
        <tr r="K27" s="1"/>
      </tp>
      <tp>
        <v>0</v>
        <stp/>
        <stp>bse_cm|CIFCZC28</stp>
        <stp>ATP</stp>
        <tr r="K736" s="1"/>
      </tp>
      <tp>
        <v>0</v>
        <stp/>
        <stp>bse_cm|IIFLZC26</stp>
        <stp>ATP</stp>
        <tr r="K1236" s="1"/>
      </tp>
      <tp>
        <v>0</v>
        <stp/>
        <stp>bse_cm|IIFLZC25</stp>
        <stp>ATP</stp>
        <tr r="K1743" s="1"/>
      </tp>
      <tp>
        <v>0</v>
        <stp/>
        <stp>bse_cm|CIFCZC25</stp>
        <stp>ATP</stp>
        <tr r="K1436" s="1"/>
      </tp>
      <tp>
        <v>0</v>
        <stp/>
        <stp>bse_cm|CIFCZC26</stp>
        <stp>ATP</stp>
        <tr r="K738" s="1"/>
      </tp>
      <tp>
        <v>0</v>
        <stp/>
        <stp>bse_cm|IIFLZC28</stp>
        <stp>ATP</stp>
        <tr r="K1660" s="1"/>
      </tp>
      <tp>
        <v>2067.56</v>
        <stp/>
        <stp>bse_cm|NIDOZC26</stp>
        <stp>Prev Close</stp>
        <tr r="P27" s="1"/>
      </tp>
      <tp>
        <v>0</v>
        <stp/>
        <stp>nse_cm|866SFL25-ZE</stp>
        <stp>Volume Traded Today</stp>
        <tr r="L1389" s="1"/>
      </tp>
      <tp>
        <v>0</v>
        <stp/>
        <stp>nse_cm|749IGT28-NG</stp>
        <stp>High</stp>
        <tr r="N1197" s="1"/>
      </tp>
      <tp>
        <v>0</v>
        <stp/>
        <stp>bse_cm|905SC24B</stp>
        <stp>Volume Traded Today</stp>
        <tr r="L684" s="1"/>
      </tp>
      <tp>
        <v>0</v>
        <stp/>
        <stp>bse_cm|KFLZC28B</stp>
        <stp>Ask Rate</stp>
        <tr r="F1288" s="1"/>
      </tp>
      <tp>
        <v>0</v>
        <stp/>
        <stp>nse_cm|875SFL27-ZF</stp>
        <stp>Volume Traded Today</stp>
        <tr r="L379" s="1"/>
      </tp>
      <tp t="s">
        <v>BSE</v>
        <stp/>
        <stp>bse_cm|9ICCL23A</stp>
        <stp>Exchange</stp>
        <tr r="C1434" s="1"/>
      </tp>
      <tp t="s">
        <v>957SCL31-Z3</v>
        <stp/>
        <stp>nse_cm|957SCL31-Z3</stp>
        <stp>Trading Symbol</stp>
        <tr r="B874" s="1"/>
      </tp>
      <tp>
        <v>0</v>
        <stp/>
        <stp>bse_cm|KFLZC28C</stp>
        <stp>Ask Rate</stp>
        <tr r="F1287" s="1"/>
      </tp>
      <tp>
        <v>29</v>
        <stp/>
        <stp>nse_cm|79NHIT35-N1</stp>
        <stp>Volume Traded Today</stp>
        <tr r="L1589" s="1"/>
      </tp>
      <tp>
        <v>83</v>
        <stp/>
        <stp>nse_cm|79NHIT40-N2</stp>
        <stp>Volume Traded Today</stp>
        <tr r="L1587" s="1"/>
      </tp>
      <tp>
        <v>27</v>
        <stp/>
        <stp>nse_cm|79NHIT47-N3</stp>
        <stp>Volume Traded Today</stp>
        <tr r="L1585" s="1"/>
      </tp>
      <tp>
        <v>908</v>
        <stp/>
        <stp>bse_cm|95KFL27A</stp>
        <stp>LTP</stp>
        <tr r="H132" s="1"/>
      </tp>
      <tp t="s">
        <v>09:59:00</v>
        <stp/>
        <stp>bse_cm|95KFL27A</stp>
        <stp>LTT</stp>
        <tr r="I132" s="1"/>
      </tp>
      <tp>
        <v>0</v>
        <stp/>
        <stp>bse_cm|KFLZC28A</stp>
        <stp>Ask Rate</stp>
        <tr r="F1289" s="1"/>
      </tp>
      <tp t="s">
        <v>INE148I07RV9</v>
        <stp/>
        <stp>nse_cm|1025SCL33-YJ</stp>
        <stp>Isin code</stp>
        <tr r="R836" s="1"/>
      </tp>
      <tp>
        <v>1000</v>
        <stp/>
        <stp>bse_cm|102SMCGS27</stp>
        <stp>Prev Close</stp>
        <tr r="P1017" s="1"/>
      </tp>
      <tp>
        <v>0</v>
        <stp/>
        <stp>bse_cm|MFLZC28F</stp>
        <stp>Ask Rate</stp>
        <tr r="F1268" s="1"/>
      </tp>
      <tp t="s">
        <v>NSE</v>
        <stp/>
        <stp>nse_cm|89SCL24A-ZM</stp>
        <stp>Exchange</stp>
        <tr r="C970" s="1"/>
      </tp>
      <tp>
        <v>1000</v>
        <stp/>
        <stp>bse_cm|AEL120924B</stp>
        <stp>Prev Close</stp>
        <tr r="P1641" s="1"/>
      </tp>
      <tp>
        <v>1010</v>
        <stp/>
        <stp>bse_cm|AEL120924A</stp>
        <stp>Prev Close</stp>
        <tr r="P1524" s="1"/>
      </tp>
      <tp>
        <v>0</v>
        <stp/>
        <stp>bse_cm|MFLZC28E</stp>
        <stp>Ask Rate</stp>
        <tr r="F1269" s="1"/>
      </tp>
      <tp>
        <v>1000</v>
        <stp/>
        <stp>bse_cm|1050ICCL28</stp>
        <stp>Prev Close</stp>
        <tr r="P1133" s="1"/>
      </tp>
      <tp>
        <v>0</v>
        <stp/>
        <stp>nse_cm|10SCL31A-ZO</stp>
        <stp>Volume Traded Today</stp>
        <tr r="L864" s="1"/>
      </tp>
      <tp>
        <v>1000</v>
        <stp/>
        <stp>nse_cm|96SCL25-AA</stp>
        <stp>Face Value</stp>
        <tr r="Q1067" s="1"/>
      </tp>
      <tp>
        <v>667</v>
        <stp/>
        <stp>nse_cm|87SCL25-ZV</stp>
        <stp>Face Value</stp>
        <tr r="Q979" s="1"/>
      </tp>
      <tp>
        <v>1000</v>
        <stp/>
        <stp>nse_cm|88SCL25-ZG</stp>
        <stp>Face Value</stp>
        <tr r="Q960" s="1"/>
      </tp>
      <tp>
        <v>1000</v>
        <stp/>
        <stp>nse_cm|93SCL25-ZH</stp>
        <stp>Face Value</stp>
        <tr r="Q961" s="1"/>
      </tp>
      <tp>
        <v>1000</v>
        <stp/>
        <stp>bse_cm|1003SCFL31</stp>
        <stp>Prev Close</stp>
        <tr r="P1076" s="1"/>
      </tp>
      <tp>
        <v>995</v>
        <stp/>
        <stp>bse_cm|1003ISFL28</stp>
        <stp>Prev Close</stp>
        <tr r="P1456" s="1"/>
      </tp>
      <tp>
        <v>906.5</v>
        <stp/>
        <stp>bse_cm|1003IIFL29</stp>
        <stp>Prev Close</stp>
        <tr r="P1078" s="1"/>
      </tp>
      <tp>
        <v>964</v>
        <stp/>
        <stp>bse_cm|1003NHFL29</stp>
        <stp>Prev Close</stp>
        <tr r="P605" s="1"/>
      </tp>
      <tp>
        <v>0</v>
        <stp/>
        <stp>bse_cm|0MOFSL26</stp>
        <stp>Volume Traded Today</stp>
        <tr r="L1645" s="1"/>
      </tp>
      <tp>
        <v>0</v>
        <stp/>
        <stp>bse_cm|0MOFSL27</stp>
        <stp>Volume Traded Today</stp>
        <tr r="L1039" s="1"/>
      </tp>
      <tp>
        <v>1000</v>
        <stp/>
        <stp>bse_cm|SCFL310524</stp>
        <stp>Prev Close</stp>
        <tr r="P1241" s="1"/>
      </tp>
      <tp>
        <v>901</v>
        <stp/>
        <stp>bse_cm|1026NIDO34</stp>
        <stp>Prev Close</stp>
        <tr r="P1018" s="1"/>
      </tp>
      <tp>
        <v>0</v>
        <stp/>
        <stp>nse_cm|965AEL27-N4</stp>
        <stp>Open</stp>
        <tr r="M254" s="1"/>
      </tp>
      <tp>
        <v>0</v>
        <stp/>
        <stp>bse_cm|9MMFSL26</stp>
        <stp>Volume Traded Today</stp>
        <tr r="L334" s="1"/>
      </tp>
      <tp>
        <v>12</v>
        <stp/>
        <stp>nse_cm|965SCL25C-N0</stp>
        <stp>Bid Qty</stp>
        <tr r="D507" s="1"/>
      </tp>
      <tp>
        <v>11</v>
        <stp/>
        <stp>nse_cm|965SCL25A-NF</stp>
        <stp>Bid Qty</stp>
        <tr r="D163" s="1"/>
      </tp>
      <tp>
        <v>6</v>
        <stp/>
        <stp>nse_cm|965SCL28A-NQ</stp>
        <stp>Bid Qty</stp>
        <tr r="D897" s="1"/>
      </tp>
      <tp>
        <v>7</v>
        <stp/>
        <stp>nse_cm|965SCL25F-NZ</stp>
        <stp>Bid Qty</stp>
        <tr r="D1362" s="1"/>
      </tp>
      <tp t="s">
        <v>BSE</v>
        <stp/>
        <stp>bse_cm|MVAFZC25</stp>
        <stp>Exchange</stp>
        <tr r="C1746" s="1"/>
      </tp>
      <tp>
        <v>989</v>
        <stp/>
        <stp>bse_cm|KAFL080824</stp>
        <stp>Prev Close</stp>
        <tr r="P1417" s="1"/>
      </tp>
      <tp>
        <v>0</v>
        <stp/>
        <stp>nse_cm|955SCL27A-ZJ</stp>
        <stp>Ask Qty</stp>
        <tr r="G1437" s="1"/>
      </tp>
      <tp>
        <v>0</v>
        <stp/>
        <stp>nse_cm|888NHB29-N5</stp>
        <stp>Open</stp>
        <tr r="M504" s="1"/>
      </tp>
      <tp>
        <v>0</v>
        <stp/>
        <stp>nse_cm|865SCL26-N8</stp>
        <stp>Open</stp>
        <tr r="M310" s="1"/>
      </tp>
      <tp>
        <v>1</v>
        <stp/>
        <stp>nse_cm|965SCL25E-BF</stp>
        <stp>Bid Qty</stp>
        <tr r="D413" s="1"/>
      </tp>
      <tp>
        <v>7</v>
        <stp/>
        <stp>nse_cm|965SCL28C-BR</stp>
        <stp>Bid Qty</stp>
        <tr r="D817" s="1"/>
      </tp>
      <tp>
        <v>1000</v>
        <stp/>
        <stp>nse_cm|872MMFSL26-N1</stp>
        <stp>Face Value</stp>
        <tr r="Q404" s="1"/>
      </tp>
      <tp>
        <v>1050</v>
        <stp/>
        <stp>bse_cm|875CIFC23B</stp>
        <stp>Prev Close</stp>
        <tr r="P1394" s="1"/>
      </tp>
      <tp>
        <v>-100</v>
        <stp/>
        <stp>bse_cm|94MFL27</stp>
        <stp>% Change</stp>
        <tr r="J189" s="1"/>
      </tp>
      <tp>
        <v>-100</v>
        <stp/>
        <stp>bse_cm|84MFL25</stp>
        <stp>% Change</stp>
        <tr r="J316" s="1"/>
      </tp>
      <tp>
        <v>50</v>
        <stp/>
        <stp>bse_cm|939EFSL26</stp>
        <stp>Ask Qty</stp>
        <tr r="G188" s="1"/>
      </tp>
      <tp>
        <v>5</v>
        <stp/>
        <stp>bse_cm|11EFSL34A</stp>
        <stp>Bid Qty</stp>
        <tr r="D1408" s="1"/>
      </tp>
      <tp>
        <v>10</v>
        <stp/>
        <stp>bse_cm|10EFSL34A</stp>
        <stp>Bid Qty</stp>
        <tr r="D131" s="1"/>
      </tp>
      <tp>
        <v>980</v>
        <stp/>
        <stp>bse_cm|92EFSL26</stp>
        <stp>Ask Rate</stp>
        <tr r="F186" s="1"/>
      </tp>
      <tp>
        <v>0</v>
        <stp/>
        <stp>bse_cm|96EFSL26</stp>
        <stp>Ask Rate</stp>
        <tr r="F1465" s="1"/>
      </tp>
      <tp>
        <v>1041</v>
        <stp/>
        <stp>bse_cm|98EFSL26</stp>
        <stp>Ask Rate</stp>
        <tr r="F82" s="1"/>
      </tp>
      <tp>
        <v>9</v>
        <stp/>
        <stp>nse_cm|965SCL25B-Y1</stp>
        <stp>Bid Qty</stp>
        <tr r="D1502" s="1"/>
      </tp>
      <tp>
        <v>1000</v>
        <stp/>
        <stp>bse_cm|1050EFSL29</stp>
        <stp>Face Value</stp>
        <tr r="Q1484" s="1"/>
      </tp>
      <tp>
        <v>6</v>
        <stp/>
        <stp>nse_cm|965SCL28B-YB</stp>
        <stp>Bid Qty</stp>
        <tr r="D819" s="1"/>
      </tp>
      <tp>
        <v>0</v>
        <stp/>
        <stp>bse_cm|96EFSL27</stp>
        <stp>Ask Rate</stp>
        <tr r="F1050" s="1"/>
      </tp>
      <tp>
        <v>0</v>
        <stp/>
        <stp>bse_cm|10EFSL27</stp>
        <stp>Ask Rate</stp>
        <tr r="F1139" s="1"/>
      </tp>
      <tp t="s">
        <v>BSE</v>
        <stp/>
        <stp>bse_cm|10ARKA28</stp>
        <stp>Exchange</stp>
        <tr r="C1400" s="1"/>
      </tp>
      <tp>
        <v>971.2</v>
        <stp/>
        <stp>bse_cm|89EFSL25</stp>
        <stp>Ask Rate</stp>
        <tr r="F87" s="1"/>
      </tp>
      <tp>
        <v>965.21</v>
        <stp/>
        <stp>nse_cm|9IIFL28A-NT</stp>
        <stp>ATP</stp>
        <tr r="K80" s="1"/>
      </tp>
      <tp>
        <v>-100</v>
        <stp/>
        <stp>bse_cm|94SCL27</stp>
        <stp>% Change</stp>
        <tr r="J1152" s="1"/>
      </tp>
      <tp>
        <v>15</v>
        <stp/>
        <stp>nse_cm|865SCL24B-Z8</stp>
        <stp>Bid Qty</stp>
        <tr r="D952" s="1"/>
      </tp>
      <tp>
        <v>1020</v>
        <stp/>
        <stp>nse_cm|9ICCL23A-N0</stp>
        <stp>ATP</stp>
        <tr r="K657" s="1"/>
      </tp>
      <tp>
        <v>12</v>
        <stp/>
        <stp>nse_cm|965SCL26A-ZB</stp>
        <stp>Bid Qty</stp>
        <tr r="D135" s="1"/>
      </tp>
      <tp>
        <v>9</v>
        <stp/>
        <stp>bse_cm|97EFSL31A</stp>
        <stp>Bid Qty</stp>
        <tr r="D598" s="1"/>
      </tp>
      <tp>
        <v>19</v>
        <stp/>
        <stp>bse_cm|93EFSL31A</stp>
        <stp>Bid Qty</stp>
        <tr r="D85" s="1"/>
      </tp>
      <tp>
        <v>50</v>
        <stp/>
        <stp>bse_cm|10EFSL33B</stp>
        <stp>Bid Qty</stp>
        <tr r="D136" s="1"/>
      </tp>
      <tp>
        <v>100</v>
        <stp/>
        <stp>bse_cm|10EFSL33A</stp>
        <stp>Bid Qty</stp>
        <tr r="D140" s="1"/>
      </tp>
      <tp>
        <v>0</v>
        <stp/>
        <stp>nse_cm|10NIDO26-N6</stp>
        <stp>ATP</stp>
        <tr r="K66" s="1"/>
      </tp>
      <tp>
        <v>1051.5</v>
        <stp/>
        <stp>nse_cm|9SCFL25-Y5</stp>
        <stp>Prev Close</stp>
        <tr r="P389" s="1"/>
      </tp>
      <tp>
        <v>0</v>
        <stp/>
        <stp>nse_cm|950SCL23A-AP</stp>
        <stp>Ask Qty</stp>
        <tr r="G1145" s="1"/>
      </tp>
      <tp>
        <v>0</v>
        <stp/>
        <stp>nse_cm|850SCL25A-NW</stp>
        <stp>Ask Qty</stp>
        <tr r="G984" s="1"/>
      </tp>
      <tp>
        <v>0</v>
        <stp/>
        <stp>bse_cm|725IRFC35</stp>
        <stp>Bid Qty</stp>
        <tr r="D560" s="1"/>
      </tp>
      <tp>
        <v>1000</v>
        <stp/>
        <stp>bse_cm|735IRFC31</stp>
        <stp>Bid Qty</stp>
        <tr r="D1427" s="1"/>
      </tp>
      <tp>
        <v>0</v>
        <stp/>
        <stp>bse_cm|689RECL24</stp>
        <stp>Ask Qty</stp>
        <tr r="G1206" s="1"/>
      </tp>
      <tp>
        <v>1000</v>
        <stp/>
        <stp>nse_cm|1025SCFL34-Z5</stp>
        <stp>Face Value</stp>
        <tr r="Q880" s="1"/>
      </tp>
      <tp>
        <v>10</v>
        <stp/>
        <stp>bse_cm|865IRFC29</stp>
        <stp>Bid Qty</stp>
        <tr r="D501" s="1"/>
      </tp>
      <tp>
        <v>51</v>
        <stp/>
        <stp>nse_cm|10SCL30A-BV</stp>
        <stp>Volume Traded Today</stp>
        <tr r="L445" s="1"/>
      </tp>
      <tp>
        <v>145</v>
        <stp/>
        <stp>bse_cm|889SCFL27</stp>
        <stp>Ask Qty</stp>
        <tr r="G484" s="1"/>
      </tp>
      <tp>
        <v>45</v>
        <stp/>
        <stp>bse_cm|11DLSL25A</stp>
        <stp>Bid Qty</stp>
        <tr r="D300" s="1"/>
      </tp>
      <tp>
        <v>13</v>
        <stp/>
        <stp>bse_cm|950KLMF26</stp>
        <stp>Bid Qty</stp>
        <tr r="D278" s="1"/>
      </tp>
      <tp>
        <v>1000</v>
        <stp/>
        <stp>nse_cm|1075SCFL34-Z6</stp>
        <stp>Face Value</stp>
        <tr r="Q882" s="1"/>
      </tp>
      <tp>
        <v>0.38</v>
        <stp/>
        <stp>bse_cm|94SFL28</stp>
        <stp>% Change</stp>
        <tr r="J24" s="1"/>
      </tp>
      <tp t="s">
        <v>BSE</v>
        <stp/>
        <stp>bse_cm|93ARKA25</stp>
        <stp>Exchange</stp>
        <tr r="C1395" s="1"/>
      </tp>
      <tp>
        <v>0</v>
        <stp/>
        <stp>nse_cm|SCL25-Y6</stp>
        <stp>Open</stp>
        <tr r="M1753" s="1"/>
      </tp>
      <tp>
        <v>0</v>
        <stp/>
        <stp>bse_cm|93SCL24A</stp>
        <stp>Volume Traded Today</stp>
        <tr r="L1361" s="1"/>
      </tp>
      <tp t="s">
        <v>BSE</v>
        <stp/>
        <stp>bse_cm|93ARKA26</stp>
        <stp>Exchange</stp>
        <tr r="C981" s="1"/>
      </tp>
      <tp>
        <v>1745</v>
        <stp/>
        <stp>bse_cm|SCLZC26</stp>
        <stp>Prev Close</stp>
        <tr r="P1464" s="1"/>
      </tp>
      <tp>
        <v>1193</v>
        <stp/>
        <stp>bse_cm|SCLZC25</stp>
        <stp>Prev Close</stp>
        <tr r="P917" s="1"/>
      </tp>
      <tp>
        <v>1160</v>
        <stp/>
        <stp>bse_cm|SFLZC26</stp>
        <stp>Prev Close</stp>
        <tr r="P801" s="1"/>
      </tp>
      <tp t="e">
        <v>#N/A</v>
        <stp/>
        <stp>bse_cm|SFLZC24</stp>
        <stp>Prev Close</stp>
        <tr r="P30" s="1"/>
      </tp>
      <tp>
        <v>1309.67</v>
        <stp/>
        <stp>bse_cm|SFLZC25</stp>
        <stp>Prev Close</stp>
        <tr r="P802" s="1"/>
      </tp>
      <tp t="s">
        <v>INE651J07689</v>
        <stp/>
        <stp>bse_cm|1025JFCS28</stp>
        <stp>Isin code</stp>
        <tr r="R363" s="1"/>
      </tp>
      <tp t="s">
        <v>9SCL26B</v>
        <stp/>
        <stp>nse_cm|9SCL26B-ND</stp>
        <stp>Symbol</stp>
        <tr r="A994" s="1"/>
      </tp>
      <tp t="s">
        <v>INE516Y07378</v>
        <stp/>
        <stp>bse_cm|875PCHFL31</stp>
        <stp>Isin code</stp>
        <tr r="R1172" s="1"/>
      </tp>
      <tp t="s">
        <v>INE530L07657</v>
        <stp/>
        <stp>bse_cm|NIDO010326</stp>
        <stp>Isin code</stp>
        <tr r="R1248" s="1"/>
      </tp>
      <tp t="s">
        <v>939EFSL26</v>
        <stp/>
        <stp>bse_cm|939EFSL26</stp>
        <stp>Trading Symbol</stp>
        <tr r="B188" s="1"/>
      </tp>
      <tp t="s">
        <v>9MMFSML</v>
        <stp/>
        <stp>nse_cm|9MMFSML-N2</stp>
        <stp>Symbol</stp>
        <tr r="A339" s="1"/>
      </tp>
      <tp t="s">
        <v>935EFSL27</v>
        <stp/>
        <stp>bse_cm|935EFSL27</stp>
        <stp>Trading Symbol</stp>
        <tr r="B157" s="1"/>
      </tp>
      <tp>
        <v>0</v>
        <stp/>
        <stp>nse_cm|SCL310524A-ZK</stp>
        <stp>Ask Rate</stp>
        <tr r="F1445" s="1"/>
      </tp>
      <tp t="s">
        <v>930EFSL31</v>
        <stp/>
        <stp>bse_cm|930EFSL31</stp>
        <stp>Trading Symbol</stp>
        <tr r="B65" s="1"/>
      </tp>
      <tp>
        <v>0</v>
        <stp/>
        <stp>bse_cm|743IREDA36</stp>
        <stp>ATP</stp>
        <tr r="K1441" s="1"/>
      </tp>
      <tp>
        <v>0</v>
        <stp/>
        <stp>bse_cm|768IREDA36</stp>
        <stp>ATP</stp>
        <tr r="K543" s="1"/>
      </tp>
      <tp>
        <v>0</v>
        <stp/>
        <stp>bse_cm|774IREDA31</stp>
        <stp>ATP</stp>
        <tr r="K17" s="1"/>
      </tp>
      <tp>
        <v>0</v>
        <stp/>
        <stp>bse_cm|749IREDA31</stp>
        <stp>ATP</stp>
        <tr r="K568" s="1"/>
      </tp>
      <tp>
        <v>0</v>
        <stp/>
        <stp>bse_cm|753IREDA26</stp>
        <stp>ATP</stp>
        <tr r="K487" s="1"/>
      </tp>
      <tp>
        <v>0</v>
        <stp/>
        <stp>bse_cm|728IREDA26</stp>
        <stp>ATP</stp>
        <tr r="K1203" s="1"/>
      </tp>
      <tp t="s">
        <v>INE414G07IM7</v>
        <stp/>
        <stp>bse_cm|775MFLTD25</stp>
        <stp>Isin code</stp>
        <tr r="R649" s="1"/>
      </tp>
      <tp t="s">
        <v>INE532F07EM7</v>
        <stp/>
        <stp>bse_cm|1010EFSL28</stp>
        <stp>Isin code</stp>
        <tr r="R663" s="1"/>
      </tp>
      <tp t="s">
        <v>9IML25</v>
        <stp/>
        <stp>bse_cm|9IML25</stp>
        <stp>Trading Symbol</stp>
        <tr r="B588" s="1"/>
      </tp>
      <tp t="s">
        <v>0MML29</v>
        <stp/>
        <stp>bse_cm|0MML29</stp>
        <stp>Trading Symbol</stp>
        <tr r="B1041" s="1"/>
      </tp>
      <tp t="s">
        <v>0MML27</v>
        <stp/>
        <stp>bse_cm|0MML27</stp>
        <stp>Trading Symbol</stp>
        <tr r="B1043" s="1"/>
      </tp>
      <tp>
        <v>-0.35</v>
        <stp/>
        <stp>bse_cm|10MFL24AA</stp>
        <stp>% Change</stp>
        <tr r="J475" s="1"/>
      </tp>
      <tp>
        <v>1340</v>
        <stp/>
        <stp>bse_cm|KFLZC26</stp>
        <stp>Prev Close</stp>
        <tr r="P1709" s="1"/>
      </tp>
      <tp>
        <v>890</v>
        <stp/>
        <stp>bse_cm|KFLZC27</stp>
        <stp>Prev Close</stp>
        <tr r="P1292" s="1"/>
      </tp>
      <tp>
        <v>1812.81</v>
        <stp/>
        <stp>bse_cm|KFLZC24</stp>
        <stp>Prev Close</stp>
        <tr r="P1766" s="1"/>
      </tp>
      <tp>
        <v>1880</v>
        <stp/>
        <stp>bse_cm|KFLZC25</stp>
        <stp>Prev Close</stp>
        <tr r="P1754" s="1"/>
      </tp>
      <tp>
        <v>1250</v>
        <stp/>
        <stp>bse_cm|KFLZC28</stp>
        <stp>Prev Close</stp>
        <tr r="P1290" s="1"/>
      </tp>
      <tp>
        <v>992.4</v>
        <stp/>
        <stp>bse_cm|KFLZC29</stp>
        <stp>Prev Close</stp>
        <tr r="P1639" s="1"/>
      </tp>
      <tp>
        <v>1431</v>
        <stp/>
        <stp>bse_cm|KFLZC2A</stp>
        <stp>Prev Close</stp>
        <tr r="P1760" s="1"/>
      </tp>
      <tp>
        <v>1000</v>
        <stp/>
        <stp>bse_cm|KFLZC31</stp>
        <stp>Prev Close</stp>
        <tr r="P1286" s="1"/>
      </tp>
      <tp t="s">
        <v>00:00:00</v>
        <stp/>
        <stp>bse_cm|115ICLFL25</stp>
        <stp>LTT</stp>
        <tr r="I1223" s="1"/>
      </tp>
      <tp>
        <v>0</v>
        <stp/>
        <stp>bse_cm|115ICLFL25</stp>
        <stp>LTP</stp>
        <tr r="H1223" s="1"/>
      </tp>
      <tp>
        <v>0</v>
        <stp/>
        <stp>bse_cm|125ICLFL28</stp>
        <stp>LTP</stp>
        <tr r="H264" s="1"/>
      </tp>
      <tp t="s">
        <v>00:00:00</v>
        <stp/>
        <stp>bse_cm|125ICLFL28</stp>
        <stp>LTT</stp>
        <tr r="I264" s="1"/>
      </tp>
      <tp>
        <v>939</v>
        <stp/>
        <stp>nse_cm|1050SCFL31-Z2</stp>
        <stp xml:space="preserve">Low </stp>
        <tr r="O868" s="1"/>
      </tp>
      <tp t="s">
        <v>905SC24</v>
        <stp/>
        <stp>nse_cm|905SC24-ZB</stp>
        <stp>Symbol</stp>
        <tr r="A1374" s="1"/>
      </tp>
      <tp>
        <v>1054.02</v>
        <stp/>
        <stp>nse_cm|860CIFCL28-NG</stp>
        <stp>Bid Rate</stp>
        <tr r="E647" s="1"/>
      </tp>
      <tp>
        <v>1655</v>
        <stp/>
        <stp>bse_cm|MHLZC26</stp>
        <stp>Prev Close</stp>
        <tr r="P1522" s="1"/>
      </tp>
      <tp>
        <v>1720</v>
        <stp/>
        <stp>bse_cm|MFLZC26</stp>
        <stp>Prev Close</stp>
        <tr r="P1720" s="1"/>
      </tp>
      <tp>
        <v>1077.8</v>
        <stp/>
        <stp>bse_cm|MFLZC27</stp>
        <stp>Prev Close</stp>
        <tr r="P1271" s="1"/>
      </tp>
      <tp>
        <v>1110</v>
        <stp/>
        <stp>bse_cm|MFLZC25</stp>
        <stp>Prev Close</stp>
        <tr r="P1683" s="1"/>
      </tp>
      <tp>
        <v>1029</v>
        <stp/>
        <stp>bse_cm|MFLZC32</stp>
        <stp>Prev Close</stp>
        <tr r="P1266" s="1"/>
      </tp>
      <tp>
        <v>1180</v>
        <stp/>
        <stp>bse_cm|MFLZC30</stp>
        <stp>Prev Close</stp>
        <tr r="P1267" s="1"/>
      </tp>
      <tp>
        <v>856</v>
        <stp/>
        <stp>nse_cm|10IIFLSF27-NB</stp>
        <stp>Bid Rate</stp>
        <tr r="E1657" s="1"/>
      </tp>
      <tp t="s">
        <v>INE01HV07403</v>
        <stp/>
        <stp>bse_cm|10VCL25</stp>
        <stp>Isin code</stp>
        <tr r="R1646" s="1"/>
      </tp>
      <tp t="s">
        <v>INE583D07455</v>
        <stp/>
        <stp>bse_cm|11UCL26</stp>
        <stp>Isin code</stp>
        <tr r="R323" s="1"/>
      </tp>
      <tp>
        <v>1043.1600000000001</v>
        <stp/>
        <stp>nse_cm|850CIFCL26-NE</stp>
        <stp>Bid Rate</stp>
        <tr r="E450" s="1"/>
      </tp>
      <tp>
        <v>-100</v>
        <stp/>
        <stp>bse_cm|1025MML25</stp>
        <stp>% Change</stp>
        <tr r="J766" s="1"/>
      </tp>
      <tp>
        <v>-100</v>
        <stp/>
        <stp>bse_cm|1015MML25</stp>
        <stp>% Change</stp>
        <tr r="J1103" s="1"/>
      </tp>
      <tp>
        <v>4</v>
        <stp/>
        <stp>bse_cm|994SMCGS29</stp>
        <stp>Volume Traded Today</stp>
        <tr r="L221" s="1"/>
      </tp>
      <tp>
        <v>-100</v>
        <stp/>
        <stp>bse_cm|1065NFL27</stp>
        <stp>% Change</stp>
        <tr r="J182" s="1"/>
      </tp>
      <tp>
        <v>-100</v>
        <stp/>
        <stp>bse_cm|1075MML27</stp>
        <stp>% Change</stp>
        <tr r="J1510" s="1"/>
      </tp>
      <tp>
        <v>0.5</v>
        <stp/>
        <stp>bse_cm|1125MML27</stp>
        <stp>% Change</stp>
        <tr r="J592" s="1"/>
      </tp>
      <tp>
        <v>-100</v>
        <stp/>
        <stp>bse_cm|1025MML26</stp>
        <stp>% Change</stp>
        <tr r="J765" s="1"/>
      </tp>
      <tp>
        <v>-100</v>
        <stp/>
        <stp>bse_cm|1075MML26</stp>
        <stp>% Change</stp>
        <tr r="J1115" s="1"/>
      </tp>
      <tp>
        <v>-100</v>
        <stp/>
        <stp>bse_cm|1025NFL25</stp>
        <stp>% Change</stp>
        <tr r="J624" s="1"/>
      </tp>
      <tp>
        <v>-100</v>
        <stp/>
        <stp>bse_cm|1075NFL25</stp>
        <stp>% Change</stp>
        <tr r="J643" s="1"/>
      </tp>
      <tp>
        <v>-100</v>
        <stp/>
        <stp>bse_cm|1075KLM27</stp>
        <stp>% Change</stp>
        <tr r="J1117" s="1"/>
      </tp>
      <tp>
        <v>8.4</v>
        <stp/>
        <stp>bse_cm|1015ECL29</stp>
        <stp>% Change</stp>
        <tr r="J210" s="1"/>
      </tp>
      <tp>
        <v>-100</v>
        <stp/>
        <stp>bse_cm|1025KFL27</stp>
        <stp>% Change</stp>
        <tr r="J767" s="1"/>
      </tp>
      <tp>
        <v>-100</v>
        <stp/>
        <stp>bse_cm|1125KLM26</stp>
        <stp>% Change</stp>
        <tr r="J1227" s="1"/>
      </tp>
      <tp t="e">
        <v>#N/A</v>
        <stp/>
        <stp>bse_cm|1075IML24</stp>
        <stp>% Change</stp>
        <tr r="J33" s="1"/>
      </tp>
      <tp>
        <v>-100</v>
        <stp/>
        <stp>bse_cm|1025KFL26</stp>
        <stp>% Change</stp>
        <tr r="J768" s="1"/>
      </tp>
      <tp>
        <v>-100</v>
        <stp/>
        <stp>bse_cm|1075IML27</stp>
        <stp>% Change</stp>
        <tr r="J96" s="1"/>
      </tp>
      <tp>
        <v>-100</v>
        <stp/>
        <stp>bse_cm|1175KLM25</stp>
        <stp>% Change</stp>
        <tr r="J1691" s="1"/>
      </tp>
      <tp>
        <v>-100</v>
        <stp/>
        <stp>bse_cm|1025KFL25</stp>
        <stp>% Change</stp>
        <tr r="J638" s="1"/>
      </tp>
      <tp>
        <v>-100</v>
        <stp/>
        <stp>bse_cm|1225IFL27</stp>
        <stp>% Change</stp>
        <tr r="J1216" s="1"/>
      </tp>
      <tp>
        <v>-100</v>
        <stp/>
        <stp>bse_cm|1175IFL26</stp>
        <stp>% Change</stp>
        <tr r="J1221" s="1"/>
      </tp>
      <tp>
        <v>945</v>
        <stp/>
        <stp>nse_cm|1015SCFL29-YY</stp>
        <stp>High</stp>
        <tr r="N1455" s="1"/>
      </tp>
      <tp>
        <v>1145</v>
        <stp/>
        <stp>nse_cm|IIFLHFZC27-NB</stp>
        <stp>Bid Rate</stp>
        <tr r="E1672" s="1"/>
      </tp>
      <tp>
        <v>0</v>
        <stp/>
        <stp>bse_cm|104SMCGS29</stp>
        <stp>Volume Traded Today</stp>
        <tr r="L206" s="1"/>
      </tp>
      <tp>
        <v>0</v>
        <stp/>
        <stp>bse_cm|102SMCGS27</stp>
        <stp>Volume Traded Today</stp>
        <tr r="L1017" s="1"/>
      </tp>
      <tp>
        <v>-100</v>
        <stp/>
        <stp>bse_cm|1025KFL29</stp>
        <stp>% Change</stp>
        <tr r="J196" s="1"/>
      </tp>
      <tp>
        <v>-100</v>
        <stp/>
        <stp>bse_cm|1025KFL28</stp>
        <stp>% Change</stp>
        <tr r="J626" s="1"/>
      </tp>
      <tp>
        <v>-100</v>
        <stp/>
        <stp>bse_cm|1125CCI27</stp>
        <stp>% Change</stp>
        <tr r="J1229" s="1"/>
      </tp>
      <tp>
        <v>-100</v>
        <stp/>
        <stp>bse_cm|1075CCI26</stp>
        <stp>% Change</stp>
        <tr r="J1425" s="1"/>
      </tp>
      <tp>
        <v>0</v>
        <stp/>
        <stp>nse_cm|850NIRMA27-N7</stp>
        <stp>Bid Rate</stp>
        <tr r="E1010" s="1"/>
      </tp>
      <tp>
        <v>-100</v>
        <stp/>
        <stp>bse_cm|1075CCL25</stp>
        <stp>% Change</stp>
        <tr r="J1119" s="1"/>
      </tp>
      <tp>
        <v>0</v>
        <stp/>
        <stp>bse_cm|EFS290424A</stp>
        <stp>Volume Traded Today</stp>
        <tr r="L571" s="1"/>
      </tp>
      <tp>
        <v>1016</v>
        <stp/>
        <stp>nse_cm|840CIFCL28-N4</stp>
        <stp>Bid Rate</stp>
        <tr r="E556" s="1"/>
      </tp>
      <tp>
        <v>-100</v>
        <stp/>
        <stp>bse_cm|1015SCL29</stp>
        <stp>% Change</stp>
        <tr r="J1177" s="1"/>
      </tp>
      <tp>
        <v>-100</v>
        <stp/>
        <stp>bse_cm|1025SFL29</stp>
        <stp>% Change</stp>
        <tr r="J1446" s="1"/>
      </tp>
      <tp>
        <v>-100</v>
        <stp/>
        <stp>bse_cm|1015SCL28</stp>
        <stp>% Change</stp>
        <tr r="J327" s="1"/>
      </tp>
      <tp t="s">
        <v>93MMFSL27</v>
        <stp/>
        <stp>bse_cm|93MMFSL27</stp>
        <stp>Trading Symbol</stp>
        <tr r="B333" s="1"/>
      </tp>
      <tp t="s">
        <v>93MOFSL34</v>
        <stp/>
        <stp>bse_cm|93MOFSL34</stp>
        <stp>Trading Symbol</stp>
        <tr r="B312" s="1"/>
      </tp>
      <tp>
        <v>-0.41</v>
        <stp/>
        <stp>bse_cm|1025SFL28</stp>
        <stp>% Change</stp>
        <tr r="J100" s="1"/>
      </tp>
      <tp>
        <v>0</v>
        <stp/>
        <stp>bse_cm|1003SCL30A</stp>
        <stp>Volume Traded Today</stp>
        <tr r="L875" s="1"/>
      </tp>
      <tp>
        <v>0</v>
        <stp/>
        <stp>bse_cm|SFL270224A</stp>
        <stp>Volume Traded Today</stp>
        <tr r="L807" s="1"/>
      </tp>
      <tp t="s">
        <v>INE403Q07DT5</v>
        <stp/>
        <stp>bse_cm|875KFL2025</stp>
        <stp>Isin code</stp>
        <tr r="R1158" s="1"/>
      </tp>
      <tp t="s">
        <v>INE414G07IA2</v>
        <stp/>
        <stp>bse_cm|775MFL2025</stp>
        <stp>Isin code</stp>
        <tr r="R336" s="1"/>
      </tp>
      <tp>
        <v>-100</v>
        <stp/>
        <stp>bse_cm|1025UCL25</stp>
        <stp>% Change</stp>
        <tr r="J326" s="1"/>
      </tp>
      <tp>
        <v>-100</v>
        <stp/>
        <stp>bse_cm|1075UCL25</stp>
        <stp>% Change</stp>
        <tr r="J515" s="1"/>
      </tp>
      <tp>
        <v>-100</v>
        <stp/>
        <stp>bse_cm|1035UCL24</stp>
        <stp>% Change</stp>
        <tr r="J1580" s="1"/>
      </tp>
      <tp>
        <v>-100</v>
        <stp/>
        <stp>bse_cm|1025UCL27</stp>
        <stp>% Change</stp>
        <tr r="J1019" s="1"/>
      </tp>
      <tp>
        <v>-0.11</v>
        <stp/>
        <stp>bse_cm|1035UCL26</stp>
        <stp>% Change</stp>
        <tr r="J1626" s="1"/>
      </tp>
      <tp>
        <v>-100</v>
        <stp/>
        <stp>bse_cm|1025SFL25</stp>
        <stp>% Change</stp>
        <tr r="J1071" s="1"/>
      </tp>
      <tp>
        <v>875</v>
        <stp/>
        <stp>bse_cm|96SFL24A</stp>
        <stp>LTP</stp>
        <tr r="H633" s="1"/>
      </tp>
      <tp t="s">
        <v>11:08:54</v>
        <stp/>
        <stp>bse_cm|96SFL24A</stp>
        <stp>LTT</stp>
        <tr r="I633" s="1"/>
      </tp>
      <tp>
        <v>0</v>
        <stp/>
        <stp>nse_cm|846REC28-N6</stp>
        <stp>Volume Traded Today</stp>
        <tr r="L548" s="1"/>
      </tp>
      <tp>
        <v>0</v>
        <stp/>
        <stp>bse_cm|DLSL25</stp>
        <stp>Open</stp>
        <tr r="M1747" s="1"/>
      </tp>
      <tp>
        <v>0</v>
        <stp/>
        <stp>nse_cm|871REC28-N9</stp>
        <stp>Volume Traded Today</stp>
        <tr r="L542" s="1"/>
      </tp>
      <tp>
        <v>0</v>
        <stp/>
        <stp>nse_cm|861REC34-ND</stp>
        <stp>Volume Traded Today</stp>
        <tr r="L583" s="1"/>
      </tp>
      <tp>
        <v>0</v>
        <stp/>
        <stp>nse_cm|863REC29-NC</stp>
        <stp>Volume Traded Today</stp>
        <tr r="L1633" s="1"/>
      </tp>
      <tp>
        <v>0</v>
        <stp/>
        <stp>nse_cm|862REC33-NA</stp>
        <stp>Volume Traded Today</stp>
        <tr r="L563" s="1"/>
      </tp>
      <tp>
        <v>0</v>
        <stp/>
        <stp>nse_cm|812REC27-NI</stp>
        <stp>Volume Traded Today</stp>
        <tr r="L462" s="1"/>
      </tp>
      <tp>
        <v>950</v>
        <stp/>
        <stp>nse_cm|9SCL26BA-NA</stp>
        <stp xml:space="preserve">Low </stp>
        <tr r="O122" s="1"/>
      </tp>
      <tp t="s">
        <v>INE342T07445</v>
        <stp/>
        <stp>nse_cm|1119NFL27-ND</stp>
        <stp>Isin code</stp>
        <tr r="R337" s="1"/>
      </tp>
      <tp t="s">
        <v>INE338I07149</v>
        <stp/>
        <stp>nse_cm|91MOFSL27-N2</stp>
        <stp>Isin code</stp>
        <tr r="R1611" s="1"/>
      </tp>
      <tp>
        <v>1030</v>
        <stp/>
        <stp>bse_cm|975JMFCS28</stp>
        <stp>Prev Close</stp>
        <tr r="P275" s="1"/>
      </tp>
      <tp t="s">
        <v>INE321N07301</v>
        <stp/>
        <stp>nse_cm|945IFSL25-N4</stp>
        <stp>Isin code</stp>
        <tr r="R453" s="1"/>
      </tp>
      <tp>
        <v>1509.8</v>
        <stp/>
        <stp>bse_cm|MVAFZC25</stp>
        <stp>Prev Close</stp>
        <tr r="P1746" s="1"/>
      </tp>
      <tp>
        <v>1114.0999999999999</v>
        <stp/>
        <stp>bse_cm|709REC30</stp>
        <stp xml:space="preserve">Low </stp>
        <tr r="O564" s="1"/>
      </tp>
      <tp>
        <v>0</v>
        <stp/>
        <stp>nse_cm|865IFL28-NZ</stp>
        <stp>Open</stp>
        <tr r="M103" s="1"/>
      </tp>
      <tp>
        <v>905.2</v>
        <stp/>
        <stp>nse_cm|889SCL27-YT</stp>
        <stp>High</stp>
        <tr r="N120" s="1"/>
      </tp>
      <tp>
        <v>0</v>
        <stp/>
        <stp>nse_cm|96SFL24A-NB</stp>
        <stp>ATP</stp>
        <tr r="K162" s="1"/>
      </tp>
      <tp>
        <v>0</v>
        <stp/>
        <stp>bse_cm|948SCL27</stp>
        <stp xml:space="preserve">Low </stp>
        <tr r="O1079" s="1"/>
      </tp>
      <tp>
        <v>0</v>
        <stp/>
        <stp>nse_cm|886REC34-NG</stp>
        <stp>Volume Traded Today</stp>
        <tr r="L536" s="1"/>
      </tp>
      <tp>
        <v>0</v>
        <stp/>
        <stp>nse_cm|888REC29-NF</stp>
        <stp>Volume Traded Today</stp>
        <tr r="L522" s="1"/>
      </tp>
      <tp>
        <v>0</v>
        <stp/>
        <stp>nse_cm|97SFL26A-NC</stp>
        <stp>ATP</stp>
        <tr r="K784" s="1"/>
      </tp>
      <tp>
        <v>1000</v>
        <stp/>
        <stp>bse_cm|795MMFSL32</stp>
        <stp>Face Value</stp>
        <tr r="Q1184" s="1"/>
      </tp>
      <tp>
        <v>1000</v>
        <stp/>
        <stp>bse_cm|935MMFSL29</stp>
        <stp>Face Value</stp>
        <tr r="Q1174" s="1"/>
      </tp>
      <tp>
        <v>1000</v>
        <stp/>
        <stp>bse_cm|805MMFSL32</stp>
        <stp>Face Value</stp>
        <tr r="Q401" s="1"/>
      </tp>
      <tp>
        <v>1000</v>
        <stp/>
        <stp>bse_cm|935MOFSL29</stp>
        <stp>Face Value</stp>
        <tr r="Q1602" s="1"/>
      </tp>
      <tp>
        <v>1000</v>
        <stp/>
        <stp>bse_cm|885MOFSL26</stp>
        <stp>Face Value</stp>
        <tr r="Q1643" s="1"/>
      </tp>
      <tp>
        <v>858</v>
        <stp/>
        <stp>bse_cm|948SCL26</stp>
        <stp xml:space="preserve">Low </stp>
        <tr r="O1647" s="1"/>
      </tp>
      <tp>
        <v>0</v>
        <stp/>
        <stp>bse_cm|888SCL26</stp>
        <stp xml:space="preserve">Low </stp>
        <tr r="O915" s="1"/>
      </tp>
      <tp>
        <v>0</v>
        <stp/>
        <stp>bse_cm|888SCL25</stp>
        <stp xml:space="preserve">Low </stp>
        <tr r="O1134" s="1"/>
      </tp>
      <tp>
        <v>0</v>
        <stp/>
        <stp>nse_cm|888SCL26-YP</stp>
        <stp>High</stp>
        <tr r="N841" s="1"/>
      </tp>
      <tp t="s">
        <v>INE053F07579</v>
        <stp/>
        <stp>nse_cm|734IRFC28-N4</stp>
        <stp>Isin code</stp>
        <tr r="R455" s="1"/>
      </tp>
      <tp>
        <v>0</v>
        <stp/>
        <stp>bse_cm|898ONE26</stp>
        <stp xml:space="preserve">Low </stp>
        <tr r="O1154" s="1"/>
      </tp>
      <tp>
        <v>0</v>
        <stp/>
        <stp>bse_cm|8MFLTD26</stp>
        <stp>ATP</stp>
        <tr r="K321" s="1"/>
      </tp>
      <tp>
        <v>0</v>
        <stp/>
        <stp>bse_cm|8MFLTD28</stp>
        <stp>ATP</stp>
        <tr r="K366" s="1"/>
      </tp>
      <tp>
        <v>1280</v>
        <stp/>
        <stp>bse_cm|MMFLZC28</stp>
        <stp>Prev Close</stp>
        <tr r="P1259" s="1"/>
      </tp>
      <tp>
        <v>1495</v>
        <stp/>
        <stp>bse_cm|MMFLZC26</stp>
        <stp>Prev Close</stp>
        <tr r="P1261" s="1"/>
      </tp>
      <tp>
        <v>1440</v>
        <stp/>
        <stp>bse_cm|MMFLZC27</stp>
        <stp>Prev Close</stp>
        <tr r="P1462" s="1"/>
      </tp>
      <tp>
        <v>1317</v>
        <stp/>
        <stp>bse_cm|MMFLZC25</stp>
        <stp>Prev Close</stp>
        <tr r="P1731" s="1"/>
      </tp>
      <tp>
        <v>1546.21</v>
        <stp/>
        <stp>bse_cm|MHFLZC26</stp>
        <stp>Prev Close</stp>
        <tr r="P1714" s="1"/>
      </tp>
      <tp t="e">
        <v>#N/A</v>
        <stp/>
        <stp>bse_cm|MHFLZC24</stp>
        <stp>Prev Close</stp>
        <tr r="P35" s="1"/>
      </tp>
      <tp t="s">
        <v>792TCH25-N3</v>
        <stp/>
        <stp>nse_cm|792TCH25-N3</stp>
        <stp>Trading Symbol</stp>
        <tr r="B1187" s="1"/>
      </tp>
      <tp t="s">
        <v>801TCH25-N4</v>
        <stp/>
        <stp>nse_cm|801TCH25-N4</stp>
        <stp>Trading Symbol</stp>
        <tr r="B493" s="1"/>
      </tp>
      <tp>
        <v>946.5</v>
        <stp/>
        <stp>nse_cm|96IIFL28-N5</stp>
        <stp>Open</stp>
        <tr r="M106" s="1"/>
      </tp>
      <tp>
        <v>100</v>
        <stp/>
        <stp>bse_cm|1090NFL26</stp>
        <stp>Ask Qty</stp>
        <tr r="G364" s="1"/>
      </tp>
      <tp>
        <v>35</v>
        <stp/>
        <stp>nse_cm|96IIFL28A-NF</stp>
        <stp>Bid Qty</stp>
        <tr r="D81" s="1"/>
      </tp>
      <tp>
        <v>0</v>
        <stp/>
        <stp>bse_cm|MML110924</stp>
        <stp>Ask Qty</stp>
        <tr r="G1257" s="1"/>
      </tp>
      <tp>
        <v>0</v>
        <stp/>
        <stp>bse_cm|AEL120924</stp>
        <stp>Ask Qty</stp>
        <tr r="G1062" s="1"/>
      </tp>
      <tp t="s">
        <v>BSE</v>
        <stp/>
        <stp>bse_cm|10KFL28A</stp>
        <stp>Exchange</stp>
        <tr r="C1423" s="1"/>
      </tp>
      <tp>
        <v>0</v>
        <stp/>
        <stp>nse_cm|93SCL24A-ZN</stp>
        <stp>ATP</stp>
        <tr r="K695" s="1"/>
      </tp>
      <tp>
        <v>1051</v>
        <stp/>
        <stp>bse_cm|898LTF29</stp>
        <stp xml:space="preserve">Low </stp>
        <tr r="O416" s="1"/>
      </tp>
      <tp>
        <v>2</v>
        <stp/>
        <stp>nse_cm|892PFCL33-N8</stp>
        <stp>Bid Qty</stp>
        <tr r="D530" s="1"/>
      </tp>
      <tp t="s">
        <v>862REC33-NA</v>
        <stp/>
        <stp>nse_cm|862REC33-NA</stp>
        <stp>Trading Symbol</stp>
        <tr r="B563" s="1"/>
      </tp>
      <tp>
        <v>0</v>
        <stp/>
        <stp>nse_cm|772IGT31-NK</stp>
        <stp>High</stp>
        <tr r="N1193" s="1"/>
      </tp>
      <tp>
        <v>0</v>
        <stp/>
        <stp>bse_cm|MMFLZC24D</stp>
        <stp>Ask Qty</stp>
        <tr r="G1265" s="1"/>
      </tp>
      <tp>
        <v>35</v>
        <stp/>
        <stp>bse_cm|948JFPL25</stp>
        <stp>Ask Qty</stp>
        <tr r="G490" s="1"/>
      </tp>
      <tp>
        <v>0</v>
        <stp/>
        <stp>nse_cm|893NHB29-N6</stp>
        <stp>Open</stp>
        <tr r="M529" s="1"/>
      </tp>
      <tp>
        <v>0</v>
        <stp/>
        <stp>bse_cm|MMFLZC25A</stp>
        <stp>Ask Qty</stp>
        <tr r="G1264" s="1"/>
      </tp>
      <tp>
        <v>0</v>
        <stp/>
        <stp>bse_cm|MMFLZC25B</stp>
        <stp>Ask Qty</stp>
        <tr r="G1581" s="1"/>
      </tp>
      <tp>
        <v>0</v>
        <stp/>
        <stp>bse_cm|MMFLZC25C</stp>
        <stp>Ask Qty</stp>
        <tr r="G1263" s="1"/>
      </tp>
      <tp>
        <v>0</v>
        <stp/>
        <stp>bse_cm|MMFLZC25D</stp>
        <stp>Ask Qty</stp>
        <tr r="G1262" s="1"/>
      </tp>
      <tp>
        <v>10</v>
        <stp/>
        <stp>bse_cm|IIFLZC25A</stp>
        <stp>Ask Qty</stp>
        <tr r="G1737" s="1"/>
      </tp>
      <tp>
        <v>0</v>
        <stp/>
        <stp>nse_cm|975NFL25-N0</stp>
        <stp>Open</stp>
        <tr r="M256" s="1"/>
      </tp>
      <tp>
        <v>100</v>
        <stp/>
        <stp>bse_cm|IIFLZC25B</stp>
        <stp>Ask Qty</stp>
        <tr r="G1685" s="1"/>
      </tp>
      <tp>
        <v>321</v>
        <stp/>
        <stp>bse_cm|IIFLZC25C</stp>
        <stp>Ask Qty</stp>
        <tr r="G1750" s="1"/>
      </tp>
      <tp>
        <v>0</v>
        <stp/>
        <stp>bse_cm|CCILZC26</stp>
        <stp>Volume Traded Today</stp>
        <tr r="L748" s="1"/>
      </tp>
      <tp>
        <v>0</v>
        <stp/>
        <stp>bse_cm|CCILZC24</stp>
        <stp>Volume Traded Today</stp>
        <tr r="L750" s="1"/>
      </tp>
      <tp>
        <v>0</v>
        <stp/>
        <stp>bse_cm|CCILZC25</stp>
        <stp>Volume Traded Today</stp>
        <tr r="L1376" s="1"/>
      </tp>
      <tp>
        <v>0</v>
        <stp/>
        <stp>bse_cm|CCILZC29</stp>
        <stp>Volume Traded Today</stp>
        <tr r="L747" s="1"/>
      </tp>
      <tp>
        <v>1008</v>
        <stp/>
        <stp>bse_cm|MFCL30424A</stp>
        <stp>Prev Close</stp>
        <tr r="P1283" s="1"/>
      </tp>
      <tp>
        <v>1006</v>
        <stp/>
        <stp>bse_cm|MFCL30424C</stp>
        <stp>Prev Close</stp>
        <tr r="P1552" s="1"/>
      </tp>
      <tp>
        <v>1036</v>
        <stp/>
        <stp>bse_cm|MFCL30424B</stp>
        <stp>Prev Close</stp>
        <tr r="P1282" s="1"/>
      </tp>
      <tp>
        <v>1027.5</v>
        <stp/>
        <stp>bse_cm|MFCL30424D</stp>
        <stp>Prev Close</stp>
        <tr r="P1281" s="1"/>
      </tp>
      <tp>
        <v>1000</v>
        <stp/>
        <stp>nse_cm|89SCL24-ZO</stp>
        <stp>Face Value</stp>
        <tr r="Q972" s="1"/>
      </tp>
      <tp>
        <v>1000</v>
        <stp/>
        <stp>nse_cm|93SCL24-ZP</stp>
        <stp>Face Value</stp>
        <tr r="Q1506" s="1"/>
      </tp>
      <tp>
        <v>1000</v>
        <stp/>
        <stp>nse_cm|98SCL34-ZS</stp>
        <stp>Face Value</stp>
        <tr r="Q1052" s="1"/>
      </tp>
      <tp>
        <v>100</v>
        <stp/>
        <stp>bse_cm|IIFLZC26A</stp>
        <stp>Ask Qty</stp>
        <tr r="G1674" s="1"/>
      </tp>
      <tp>
        <v>0</v>
        <stp/>
        <stp>bse_cm|IIFLZC26B</stp>
        <stp>Ask Qty</stp>
        <tr r="G1179" s="1"/>
      </tp>
      <tp>
        <v>0</v>
        <stp/>
        <stp>nse_cm|890NHB34-N7</stp>
        <stp>Open</stp>
        <tr r="M537" s="1"/>
      </tp>
      <tp>
        <v>9</v>
        <stp/>
        <stp>bse_cm|KAFLZC26A</stp>
        <stp>Ask Qty</stp>
        <tr r="G1710" s="1"/>
      </tp>
      <tp>
        <v>0</v>
        <stp/>
        <stp>bse_cm|CCILZC30</stp>
        <stp>Volume Traded Today</stp>
        <tr r="L746" s="1"/>
      </tp>
      <tp>
        <v>7</v>
        <stp/>
        <stp>nse_cm|971SCL28A-NT</stp>
        <stp>Bid Qty</stp>
        <tr r="D680" s="1"/>
      </tp>
      <tp>
        <v>0</v>
        <stp/>
        <stp>bse_cm|CIFCZC28A</stp>
        <stp>Ask Qty</stp>
        <tr r="G1396" s="1"/>
      </tp>
      <tp>
        <v>0</v>
        <stp/>
        <stp>bse_cm|MMFLZC27A</stp>
        <stp>Ask Qty</stp>
        <tr r="G1260" s="1"/>
      </tp>
      <tp>
        <v>0</v>
        <stp/>
        <stp>bse_cm|MMFLZC27B</stp>
        <stp>Ask Qty</stp>
        <tr r="G1570" s="1"/>
      </tp>
      <tp>
        <v>0</v>
        <stp/>
        <stp>bse_cm|MMFLZC27C</stp>
        <stp>Ask Qty</stp>
        <tr r="G1463" s="1"/>
      </tp>
      <tp>
        <v>0</v>
        <stp/>
        <stp>bse_cm|MMFLZC27D</stp>
        <stp>Ask Qty</stp>
        <tr r="G1406" s="1"/>
      </tp>
      <tp>
        <v>24</v>
        <stp/>
        <stp>bse_cm|707IRFC25</stp>
        <stp>Ask Qty</stp>
        <tr r="G1653" s="1"/>
      </tp>
      <tp>
        <v>0</v>
        <stp/>
        <stp>nse_cm|948SCL27A-ZJ</stp>
        <stp>Ask Qty</stp>
        <tr r="G845" s="1"/>
      </tp>
      <tp>
        <v>0</v>
        <stp/>
        <stp>bse_cm|958NHFL27</stp>
        <stp>Ask Qty</stp>
        <tr r="G616" s="1"/>
      </tp>
      <tp>
        <v>963</v>
        <stp/>
        <stp>bse_cm|1015SCFL29</stp>
        <stp>Prev Close</stp>
        <tr r="P1355" s="1"/>
      </tp>
      <tp>
        <v>0</v>
        <stp/>
        <stp>bse_cm|12IML26A</stp>
        <stp>Volume Traded Today</stp>
        <tr r="L1212" s="1"/>
      </tp>
      <tp>
        <v>1</v>
        <stp/>
        <stp>nse_cm|948SCL26B-Y8</stp>
        <stp>Ask Qty</stp>
        <tr r="G159" s="1"/>
      </tp>
      <tp>
        <v>-100</v>
        <stp/>
        <stp>bse_cm|85IFL26</stp>
        <stp>% Change</stp>
        <tr r="J1357" s="1"/>
      </tp>
      <tp>
        <v>-100</v>
        <stp/>
        <stp>bse_cm|95KLM25</stp>
        <stp>% Change</stp>
        <tr r="J73" s="1"/>
      </tp>
      <tp>
        <v>-100</v>
        <stp/>
        <stp>bse_cm|85KFL25</stp>
        <stp>% Change</stp>
        <tr r="J641" s="1"/>
      </tp>
      <tp>
        <v>1000</v>
        <stp/>
        <stp>nse_cm|897MOFSL29-N4</stp>
        <stp>Face Value</stp>
        <tr r="Q296" s="1"/>
      </tp>
      <tp>
        <v>-100</v>
        <stp/>
        <stp>bse_cm|95KFL26</stp>
        <stp>% Change</stp>
        <tr r="J253" s="1"/>
      </tp>
      <tp t="s">
        <v>BSE</v>
        <stp/>
        <stp>bse_cm|78ABFL33</stp>
        <stp>Exchange</stp>
        <tr r="C378" s="1"/>
      </tp>
      <tp t="s">
        <v>BSE</v>
        <stp/>
        <stp>bse_cm|81ABFL33</stp>
        <stp>Exchange</stp>
        <tr r="C1603" s="1"/>
      </tp>
      <tp>
        <v>-100</v>
        <stp/>
        <stp>bse_cm|95KFL27</stp>
        <stp>% Change</stp>
        <tr r="J607" s="1"/>
      </tp>
      <tp>
        <v>0</v>
        <stp/>
        <stp>bse_cm|965ARKA26</stp>
        <stp>Ask Qty</stp>
        <tr r="G869" s="1"/>
      </tp>
      <tp>
        <v>0</v>
        <stp/>
        <stp>bse_cm|965ARKA28</stp>
        <stp>Ask Qty</stp>
        <tr r="G1349" s="1"/>
      </tp>
      <tp>
        <v>0</v>
        <stp/>
        <stp>bse_cm|MMFLZC28A</stp>
        <stp>Ask Qty</stp>
        <tr r="G1348" s="1"/>
      </tp>
      <tp>
        <v>0</v>
        <stp/>
        <stp>bse_cm|MMFLZC28B</stp>
        <stp>Ask Qty</stp>
        <tr r="G1535" s="1"/>
      </tp>
      <tp>
        <v>100</v>
        <stp/>
        <stp>bse_cm|IIFLZC28A</stp>
        <stp>Ask Qty</stp>
        <tr r="G1628" s="1"/>
      </tp>
      <tp>
        <v>41</v>
        <stp/>
        <stp>bse_cm|IIFLZC28B</stp>
        <stp>Ask Qty</stp>
        <tr r="G1595" s="1"/>
      </tp>
      <tp>
        <v>0</v>
        <stp/>
        <stp>bse_cm|IIFLZC28C</stp>
        <stp>Ask Qty</stp>
        <tr r="G1404" s="1"/>
      </tp>
      <tp>
        <v>-100</v>
        <stp/>
        <stp>bse_cm|85LTF26</stp>
        <stp>% Change</stp>
        <tr r="J410" s="1"/>
      </tp>
      <tp>
        <v>0</v>
        <stp/>
        <stp>bse_cm|CIFCZC26A</stp>
        <stp>Ask Qty</stp>
        <tr r="G737" s="1"/>
      </tp>
      <tp>
        <v>50</v>
        <stp/>
        <stp>bse_cm|CIFCZC25A</stp>
        <stp>Ask Qty</stp>
        <tr r="G1728" s="1"/>
      </tp>
      <tp>
        <v>-100</v>
        <stp/>
        <stp>bse_cm|95MFL25</stp>
        <stp>% Change</stp>
        <tr r="J1420" s="1"/>
      </tp>
      <tp>
        <v>0</v>
        <stp/>
        <stp>nse_cm|940SCL26B-Y6</stp>
        <stp>Ask Qty</stp>
        <tr r="G795" s="1"/>
      </tp>
      <tp>
        <v>0</v>
        <stp/>
        <stp>nse_cm|971SCL28I-BC</stp>
        <stp>Bid Qty</stp>
        <tr r="D531" s="1"/>
      </tp>
      <tp>
        <v>0</v>
        <stp/>
        <stp>nse_cm|971SCL28C-BU</stp>
        <stp>Bid Qty</stp>
        <tr r="D826" s="1"/>
      </tp>
      <tp>
        <v>150</v>
        <stp/>
        <stp>bse_cm|888ERFL28</stp>
        <stp>Ask Qty</stp>
        <tr r="G216" s="1"/>
      </tp>
      <tp>
        <v>169</v>
        <stp/>
        <stp>bse_cm|91EFSL24A</stp>
        <stp>Bid Qty</stp>
        <tr r="D46" s="1"/>
      </tp>
      <tp>
        <v>240</v>
        <stp/>
        <stp>nse_cm|948SCL26A-NN</stp>
        <stp>Ask Qty</stp>
        <tr r="G526" s="1"/>
      </tp>
      <tp>
        <v>11</v>
        <stp/>
        <stp>nse_cm|875SCL23A-YI</stp>
        <stp>Bid Qty</stp>
        <tr r="D1477" s="1"/>
      </tp>
      <tp>
        <v>1000</v>
        <stp/>
        <stp>nse_cm|960IIFLS26-N9</stp>
        <stp>Face Value</stp>
        <tr r="Q1489" s="1"/>
      </tp>
      <tp>
        <v>0</v>
        <stp/>
        <stp>bse_cm|11EFSL34</stp>
        <stp>Ask Rate</stp>
        <tr r="F1429" s="1"/>
      </tp>
      <tp>
        <v>970</v>
        <stp/>
        <stp>bse_cm|10EFSL34</stp>
        <stp>Ask Rate</stp>
        <tr r="F164" s="1"/>
      </tp>
      <tp>
        <v>0</v>
        <stp/>
        <stp>nse_cm|9IIFL28A-NT</stp>
        <stp>Open</stp>
        <tr r="M80" s="1"/>
      </tp>
      <tp>
        <v>4</v>
        <stp/>
        <stp>nse_cm|971SCL28B-YD</stp>
        <stp>Bid Qty</stp>
        <tr r="D828" s="1"/>
      </tp>
      <tp>
        <v>965</v>
        <stp/>
        <stp>bse_cm|10EFSL33</stp>
        <stp>Ask Rate</stp>
        <tr r="F150" s="1"/>
      </tp>
      <tp>
        <v>1000</v>
        <stp/>
        <stp>bse_cm|1045EFSL33</stp>
        <stp>Face Value</stp>
        <tr r="Q1382" s="1"/>
      </tp>
      <tp>
        <v>1000</v>
        <stp/>
        <stp>bse_cm|1045EFSL34</stp>
        <stp>Face Value</stp>
        <tr r="Q1413" s="1"/>
      </tp>
      <tp>
        <v>900</v>
        <stp/>
        <stp>bse_cm|93EFSL31</stp>
        <stp>Ask Rate</stp>
        <tr r="F83" s="1"/>
      </tp>
      <tp>
        <v>0</v>
        <stp/>
        <stp>bse_cm|97EFSL31</stp>
        <stp>Ask Rate</stp>
        <tr r="F635" s="1"/>
      </tp>
      <tp>
        <v>20</v>
        <stp/>
        <stp>nse_cm|971SCL29A-ZN</stp>
        <stp>Bid Qty</stp>
        <tr r="D861" s="1"/>
      </tp>
      <tp>
        <v>0</v>
        <stp/>
        <stp>nse_cm|940SCL26C-AU</stp>
        <stp>Ask Qty</stp>
        <tr r="G793" s="1"/>
      </tp>
      <tp>
        <v>0</v>
        <stp/>
        <stp>nse_cm|940SCL26A-NK</stp>
        <stp>Ask Qty</stp>
        <tr r="G906" s="1"/>
      </tp>
      <tp>
        <v>50</v>
        <stp/>
        <stp>bse_cm|764IRFC31</stp>
        <stp>Bid Qty</stp>
        <tr r="D466" s="1"/>
      </tp>
      <tp>
        <v>0</v>
        <stp/>
        <stp>bse_cm|11DLSL25</stp>
        <stp>Ask Rate</stp>
        <tr r="F1539" s="1"/>
      </tp>
      <tp>
        <v>0</v>
        <stp/>
        <stp>nse_cm|792TCH25-N3</stp>
        <stp>ATP</stp>
        <tr r="K1187" s="1"/>
      </tp>
      <tp>
        <v>1000</v>
        <stp/>
        <stp>bse_cm|1049DLSL25</stp>
        <stp>Face Value</stp>
        <tr r="Q84" s="1"/>
      </tp>
      <tp>
        <v>1000</v>
        <stp/>
        <stp>bse_cm|1049EFSL34</stp>
        <stp>Face Value</stp>
        <tr r="Q1584" s="1"/>
      </tp>
      <tp>
        <v>100</v>
        <stp/>
        <stp>bse_cm|704IRFC26</stp>
        <stp>Bid Qty</stp>
        <tr r="D557" s="1"/>
      </tp>
      <tp>
        <v>2425</v>
        <stp/>
        <stp>bse_cm|NIDOZC26</stp>
        <stp>Ask Rate</stp>
        <tr r="F27" s="1"/>
      </tp>
      <tp>
        <v>1000</v>
        <stp/>
        <stp>nse_cm|SCFL310524-ZE</stp>
        <stp>Face Value</stp>
        <tr r="Q1240" s="1"/>
      </tp>
      <tp>
        <v>0</v>
        <stp/>
        <stp>bse_cm|678PFCL36</stp>
        <stp>Ask Qty</stp>
        <tr r="G1207" s="1"/>
      </tp>
      <tp>
        <v>0</v>
        <stp/>
        <stp>bse_cm|658PFCL31</stp>
        <stp>Ask Qty</stp>
        <tr r="G1209" s="1"/>
      </tp>
      <tp>
        <v>1000</v>
        <stp/>
        <stp>bse_cm|ECLZC24B</stp>
        <stp>Face Value</stp>
        <tr r="Q1767" s="1"/>
      </tp>
      <tp>
        <v>5</v>
        <stp/>
        <stp>bse_cm|MFCL30424</stp>
        <stp>Bid Qty</stp>
        <tr r="D1606" s="1"/>
      </tp>
      <tp>
        <v>25</v>
        <stp/>
        <stp>bse_cm|958NIDO27</stp>
        <stp>Bid Qty</stp>
        <tr r="D1402" s="1"/>
      </tp>
      <tp>
        <v>300</v>
        <stp/>
        <stp>nse_cm|948SCL26D-AI</stp>
        <stp>Ask Qty</stp>
        <tr r="G1690" s="1"/>
      </tp>
      <tp>
        <v>29</v>
        <stp/>
        <stp>nse_cm|948SCL26I-AX</stp>
        <stp>Ask Qty</stp>
        <tr r="G1708" s="1"/>
      </tp>
      <tp t="s">
        <v>SCL22</v>
        <stp/>
        <stp>nse_cm|SCL22-ZC</stp>
        <stp>Symbol</stp>
        <tr r="A955" s="1"/>
      </tp>
      <tp t="s">
        <v>INE530L07699</v>
        <stp/>
        <stp>bse_cm|NIDO010327</stp>
        <stp>Isin code</stp>
        <tr r="R1247" s="1"/>
      </tp>
      <tp t="s">
        <v>INE860H07IQ0</v>
        <stp/>
        <stp>nse_cm|8ABFL26-N0</stp>
        <stp>Isin code</stp>
        <tr r="R358" s="1"/>
      </tp>
      <tp t="s">
        <v>MFLV27</v>
        <stp/>
        <stp>bse_cm|MFLV27</stp>
        <stp>Trading Symbol</stp>
        <tr r="B1508" s="1"/>
      </tp>
      <tp t="s">
        <v>MFLV29</v>
        <stp/>
        <stp>bse_cm|MFLV29</stp>
        <stp>Trading Symbol</stp>
        <tr r="B361" s="1"/>
      </tp>
      <tp t="s">
        <v>925EFSL25</v>
        <stp/>
        <stp>bse_cm|925EFSL25</stp>
        <stp>Trading Symbol</stp>
        <tr r="B632" s="1"/>
      </tp>
      <tp t="s">
        <v>920EFSL27</v>
        <stp/>
        <stp>bse_cm|920EFSL27</stp>
        <stp>Trading Symbol</stp>
        <tr r="B55" s="1"/>
      </tp>
      <tp t="s">
        <v>920EFSL26</v>
        <stp/>
        <stp>bse_cm|920EFSL26</stp>
        <stp>Trading Symbol</stp>
        <tr r="B223" s="1"/>
      </tp>
      <tp>
        <v>-100</v>
        <stp/>
        <stp>bse_cm|MML27524A</stp>
        <stp>% Change</stp>
        <tr r="J1250" s="1"/>
      </tp>
      <tp t="s">
        <v>INE532F07EZ9</v>
        <stp/>
        <stp>bse_cm|1010EFSL29</stp>
        <stp>Isin code</stp>
        <tr r="R1459" s="1"/>
      </tp>
      <tp t="s">
        <v>INE532F07FU7</v>
        <stp/>
        <stp>bse_cm|1004EFSL29</stp>
        <stp>Isin code</stp>
        <tr r="R1586" s="1"/>
      </tp>
      <tp t="s">
        <v>INE148I07TF8</v>
        <stp/>
        <stp>nse_cm|99SCL27-ZH</stp>
        <stp>Isin code</stp>
        <tr r="R1168" s="1"/>
      </tp>
      <tp t="s">
        <v>INE306N08334</v>
        <stp/>
        <stp>bse_cm|875TCAPS29</stp>
        <stp>Isin code</stp>
        <tr r="R935" s="1"/>
      </tp>
      <tp t="s">
        <v>INE532F07FV5</v>
        <stp/>
        <stp>bse_cm|1050EFSL29</stp>
        <stp>Isin code</stp>
        <tr r="R1484" s="1"/>
      </tp>
      <tp t="s">
        <v>MFLI25</v>
        <stp/>
        <stp>bse_cm|MFLI25</stp>
        <stp>Trading Symbol</stp>
        <tr r="B447" s="1"/>
      </tp>
      <tp>
        <v>0</v>
        <stp/>
        <stp>bse_cm|775MFLTD25</stp>
        <stp>ATP</stp>
        <tr r="K649" s="1"/>
      </tp>
      <tp>
        <v>0</v>
        <stp/>
        <stp>bse_cm|775MFLTD26</stp>
        <stp>ATP</stp>
        <tr r="K652" s="1"/>
      </tp>
      <tp>
        <v>0</v>
        <stp/>
        <stp>bse_cm|775MFLTD28</stp>
        <stp>ATP</stp>
        <tr r="K1192" s="1"/>
      </tp>
      <tp t="s">
        <v>10JFPL30</v>
        <stp/>
        <stp>bse_cm|10JFPL30</stp>
        <stp>Symbol</stp>
        <tr r="A1097" s="1"/>
      </tp>
      <tp t="s">
        <v>INE148I07SU9</v>
        <stp/>
        <stp>bse_cm|10SCL31</stp>
        <stp>Isin code</stp>
        <tr r="R1085" s="1"/>
      </tp>
      <tp>
        <v>0</v>
        <stp/>
        <stp>bse_cm|935MMFSL29</stp>
        <stp>Volume Traded Today</stp>
        <tr r="L1174" s="1"/>
      </tp>
      <tp>
        <v>0</v>
        <stp/>
        <stp>bse_cm|805MMFSL32</stp>
        <stp>Volume Traded Today</stp>
        <tr r="L401" s="1"/>
      </tp>
      <tp>
        <v>0</v>
        <stp/>
        <stp>bse_cm|800MMFSL27</stp>
        <stp>Volume Traded Today</stp>
        <tr r="L436" s="1"/>
      </tp>
      <tp>
        <v>0</v>
        <stp/>
        <stp>bse_cm|872MMFSL26</stp>
        <stp>Volume Traded Today</stp>
        <tr r="L406" s="1"/>
      </tp>
      <tp>
        <v>0</v>
        <stp/>
        <stp>bse_cm|853MMFSL26</stp>
        <stp>Volume Traded Today</stp>
        <tr r="L1005" s="1"/>
      </tp>
      <tp>
        <v>0</v>
        <stp/>
        <stp>bse_cm|935MOFSL29</stp>
        <stp>Volume Traded Today</stp>
        <tr r="L1602" s="1"/>
      </tp>
      <tp t="s">
        <v>10SMCGSL26</v>
        <stp/>
        <stp>bse_cm|10SMCGSL26</stp>
        <stp>Symbol</stp>
        <tr r="A138" s="1"/>
      </tp>
      <tp>
        <v>0</v>
        <stp/>
        <stp>bse_cm|885MOFSL26</stp>
        <stp>Volume Traded Today</stp>
        <tr r="L1643" s="1"/>
      </tp>
      <tp>
        <v>0</v>
        <stp/>
        <stp>bse_cm|897MOFSL29</stp>
        <stp>Volume Traded Today</stp>
        <tr r="L332" s="1"/>
      </tp>
      <tp>
        <v>0</v>
        <stp/>
        <stp>bse_cm|IFL1942024</stp>
        <stp>Volume Traded Today</stp>
        <tr r="L1594" s="1"/>
      </tp>
      <tp>
        <v>0</v>
        <stp/>
        <stp>bse_cm|10SMCGSL26</stp>
        <stp>Volume Traded Today</stp>
        <tr r="L138" s="1"/>
      </tp>
      <tp>
        <v>-100</v>
        <stp/>
        <stp>bse_cm|1045EFS34</stp>
        <stp>% Change</stp>
        <tr r="J1450" s="1"/>
      </tp>
      <tp>
        <v>0</v>
        <stp/>
        <stp>bse_cm|IML1622024</stp>
        <stp>Volume Traded Today</stp>
        <tr r="L1328" s="1"/>
      </tp>
      <tp t="s">
        <v>MFL24B</v>
        <stp/>
        <stp>bse_cm|MFL24B</stp>
        <stp>Trading Symbol</stp>
        <tr r="B1756" s="1"/>
      </tp>
      <tp t="s">
        <v>MFL24A</v>
        <stp/>
        <stp>bse_cm|MFL24A</stp>
        <stp>Trading Symbol</stp>
        <tr r="B1759" s="1"/>
      </tp>
      <tp t="s">
        <v>MML24A</v>
        <stp/>
        <stp>bse_cm|MML24A</stp>
        <stp>Trading Symbol</stp>
        <tr r="B1254" s="1"/>
      </tp>
      <tp t="s">
        <v>MFL25C</v>
        <stp/>
        <stp>bse_cm|MFL25C</stp>
        <stp>Trading Symbol</stp>
        <tr r="B1571" s="1"/>
      </tp>
      <tp t="s">
        <v>MFL25B</v>
        <stp/>
        <stp>bse_cm|MFL25B</stp>
        <stp>Trading Symbol</stp>
        <tr r="B1667" s="1"/>
      </tp>
      <tp t="s">
        <v>MFL25A</v>
        <stp/>
        <stp>bse_cm|MFL25A</stp>
        <stp>Trading Symbol</stp>
        <tr r="B1692" s="1"/>
      </tp>
      <tp t="s">
        <v>MFL25E</v>
        <stp/>
        <stp>bse_cm|MFL25E</stp>
        <stp>Trading Symbol</stp>
        <tr r="B1664" s="1"/>
      </tp>
      <tp t="s">
        <v>MFL25D</v>
        <stp/>
        <stp>bse_cm|MFL25D</stp>
        <stp>Trading Symbol</stp>
        <tr r="B1705" s="1"/>
      </tp>
      <tp t="s">
        <v>MML25A</v>
        <stp/>
        <stp>bse_cm|MML25A</stp>
        <stp>Trading Symbol</stp>
        <tr r="B1252" s="1"/>
      </tp>
      <tp t="s">
        <v>MML25B</v>
        <stp/>
        <stp>bse_cm|MML25B</stp>
        <stp>Trading Symbol</stp>
        <tr r="B1498" s="1"/>
      </tp>
      <tp t="s">
        <v>MML25C</v>
        <stp/>
        <stp>bse_cm|MML25C</stp>
        <stp>Trading Symbol</stp>
        <tr r="B1251" s="1"/>
      </tp>
      <tp t="s">
        <v>MFL26Z</v>
        <stp/>
        <stp>bse_cm|MFL26Z</stp>
        <stp>Trading Symbol</stp>
        <tr r="B1655" s="1"/>
      </tp>
      <tp t="s">
        <v>MFL26C</v>
        <stp/>
        <stp>bse_cm|MFL26C</stp>
        <stp>Trading Symbol</stp>
        <tr r="B1669" s="1"/>
      </tp>
      <tp t="s">
        <v>MFL26B</v>
        <stp/>
        <stp>bse_cm|MFL26B</stp>
        <stp>Trading Symbol</stp>
        <tr r="B1280" s="1"/>
      </tp>
      <tp t="s">
        <v>MFL26A</v>
        <stp/>
        <stp>bse_cm|MFL26A</stp>
        <stp>Trading Symbol</stp>
        <tr r="B1557" s="1"/>
      </tp>
      <tp t="s">
        <v>MFL26F</v>
        <stp/>
        <stp>bse_cm|MFL26F</stp>
        <stp>Trading Symbol</stp>
        <tr r="B1278" s="1"/>
      </tp>
      <tp t="s">
        <v>MFL26E</v>
        <stp/>
        <stp>bse_cm|MFL26E</stp>
        <stp>Trading Symbol</stp>
        <tr r="B1533" s="1"/>
      </tp>
      <tp t="s">
        <v>MFL26D</v>
        <stp/>
        <stp>bse_cm|MFL26D</stp>
        <stp>Trading Symbol</stp>
        <tr r="B1279" s="1"/>
      </tp>
      <tp t="s">
        <v>MML26A</v>
        <stp/>
        <stp>bse_cm|MML26A</stp>
        <stp>Trading Symbol</stp>
        <tr r="B1642" s="1"/>
      </tp>
      <tp t="s">
        <v>KFL26C</v>
        <stp/>
        <stp>bse_cm|KFL26C</stp>
        <stp>Trading Symbol</stp>
        <tr r="B1304" s="1"/>
      </tp>
      <tp t="s">
        <v>KFL26B</v>
        <stp/>
        <stp>bse_cm|KFL26B</stp>
        <stp>Trading Symbol</stp>
        <tr r="B1305" s="1"/>
      </tp>
      <tp t="s">
        <v>KFL26A</v>
        <stp/>
        <stp>bse_cm|KFL26A</stp>
        <stp>Trading Symbol</stp>
        <tr r="B1372" s="1"/>
      </tp>
      <tp t="s">
        <v>KFL27C</v>
        <stp/>
        <stp>bse_cm|KFL27C</stp>
        <stp>Trading Symbol</stp>
        <tr r="B1300" s="1"/>
      </tp>
      <tp t="s">
        <v>KFL27B</v>
        <stp/>
        <stp>bse_cm|KFL27B</stp>
        <stp>Trading Symbol</stp>
        <tr r="B1301" s="1"/>
      </tp>
      <tp t="s">
        <v>KFL27A</v>
        <stp/>
        <stp>bse_cm|KFL27A</stp>
        <stp>Trading Symbol</stp>
        <tr r="B1302" s="1"/>
      </tp>
      <tp t="s">
        <v>KFL25C</v>
        <stp/>
        <stp>bse_cm|KFL25C</stp>
        <stp>Trading Symbol</stp>
        <tr r="B1307" s="1"/>
      </tp>
      <tp t="s">
        <v>KFL25B</v>
        <stp/>
        <stp>bse_cm|KFL25B</stp>
        <stp>Trading Symbol</stp>
        <tr r="B1308" s="1"/>
      </tp>
      <tp t="s">
        <v>KFL25A</v>
        <stp/>
        <stp>bse_cm|KFL25A</stp>
        <stp>Trading Symbol</stp>
        <tr r="B1703" s="1"/>
      </tp>
      <tp t="s">
        <v>MFL23A</v>
        <stp/>
        <stp>bse_cm|MFL23A</stp>
        <stp>Trading Symbol</stp>
        <tr r="B1560" s="1"/>
      </tp>
      <tp t="s">
        <v>KFL25D</v>
        <stp/>
        <stp>bse_cm|KFL25D</stp>
        <stp>Trading Symbol</stp>
        <tr r="B1688" s="1"/>
      </tp>
      <tp t="s">
        <v>IML28C</v>
        <stp/>
        <stp>bse_cm|IML28C</stp>
        <stp>Trading Symbol</stp>
        <tr r="B1648" s="1"/>
      </tp>
      <tp t="s">
        <v>KFL28D</v>
        <stp/>
        <stp>bse_cm|KFL28D</stp>
        <stp>Trading Symbol</stp>
        <tr r="B1299" s="1"/>
      </tp>
      <tp t="s">
        <v>MFL28B</v>
        <stp/>
        <stp>bse_cm|MFL28B</stp>
        <stp>Trading Symbol</stp>
        <tr r="B1277" s="1"/>
      </tp>
      <tp t="s">
        <v>MFL28A</v>
        <stp/>
        <stp>bse_cm|MFL28A</stp>
        <stp>Trading Symbol</stp>
        <tr r="B1620" s="1"/>
      </tp>
      <tp t="s">
        <v>MFL28D</v>
        <stp/>
        <stp>bse_cm|MFL28D</stp>
        <stp>Trading Symbol</stp>
        <tr r="B1276" s="1"/>
      </tp>
      <tp t="s">
        <v>MML28A</v>
        <stp/>
        <stp>bse_cm|MML28A</stp>
        <stp>Trading Symbol</stp>
        <tr r="B1249" s="1"/>
      </tp>
      <tp t="s">
        <v>MFL29A</v>
        <stp/>
        <stp>bse_cm|MFL29A</stp>
        <stp>Trading Symbol</stp>
        <tr r="B1380" s="1"/>
      </tp>
      <tp t="s">
        <v>SFL26A</v>
        <stp/>
        <stp>bse_cm|SFL26A</stp>
        <stp>Trading Symbol</stp>
        <tr r="B810" s="1"/>
      </tp>
      <tp t="s">
        <v>SFL27A</v>
        <stp/>
        <stp>bse_cm|SFL27A</stp>
        <stp>Trading Symbol</stp>
        <tr r="B804" s="1"/>
      </tp>
      <tp t="s">
        <v>SCL24A</v>
        <stp/>
        <stp>bse_cm|SCL24A</stp>
        <stp>Trading Symbol</stp>
        <tr r="B1749" s="1"/>
      </tp>
      <tp t="s">
        <v>SFL25B</v>
        <stp/>
        <stp>bse_cm|SFL25B</stp>
        <stp>Trading Symbol</stp>
        <tr r="B1433" s="1"/>
      </tp>
      <tp t="s">
        <v>SFL25A</v>
        <stp/>
        <stp>bse_cm|SFL25A</stp>
        <stp>Trading Symbol</stp>
        <tr r="B812" s="1"/>
      </tp>
      <tp t="s">
        <v>SCL25B</v>
        <stp/>
        <stp>bse_cm|SCL25B</stp>
        <stp>Trading Symbol</stp>
        <tr r="B1544" s="1"/>
      </tp>
      <tp t="s">
        <v>SCL25A</v>
        <stp/>
        <stp>bse_cm|SCL25A</stp>
        <stp>Trading Symbol</stp>
        <tr r="B1238" s="1"/>
      </tp>
      <tp t="s">
        <v>KFL30A</v>
        <stp/>
        <stp>bse_cm|KFL30A</stp>
        <stp>Trading Symbol</stp>
        <tr r="B1592" s="1"/>
      </tp>
      <tp t="s">
        <v>MFL30A</v>
        <stp/>
        <stp>bse_cm|MFL30A</stp>
        <stp>Trading Symbol</stp>
        <tr r="B1370" s="1"/>
      </tp>
      <tp t="s">
        <v>MFL31A</v>
        <stp/>
        <stp>bse_cm|MFL31A</stp>
        <stp>Trading Symbol</stp>
        <tr r="B1275" s="1"/>
      </tp>
      <tp>
        <v>-100</v>
        <stp/>
        <stp>bse_cm|1045EFS33</stp>
        <stp>% Change</stp>
        <tr r="J1030" s="1"/>
      </tp>
      <tp>
        <v>0</v>
        <stp/>
        <stp>bse_cm|790MMFSL27</stp>
        <stp>Volume Traded Today</stp>
        <tr r="L1189" s="1"/>
      </tp>
      <tp>
        <v>0</v>
        <stp/>
        <stp>bse_cm|795MMFSL32</stp>
        <stp>Volume Traded Today</stp>
        <tr r="L1184" s="1"/>
      </tp>
      <tp>
        <v>0</v>
        <stp/>
        <stp>bse_cm|SCL310524A</stp>
        <stp>Volume Traded Today</stp>
        <tr r="L918" s="1"/>
      </tp>
      <tp t="s">
        <v>92MMFSL27</v>
        <stp/>
        <stp>bse_cm|92MMFSL27</stp>
        <stp>Trading Symbol</stp>
        <tr r="B384" s="1"/>
      </tp>
      <tp>
        <v>-100</v>
        <stp/>
        <stp>bse_cm|1025SCL33</stp>
        <stp>% Change</stp>
        <tr r="J879" s="1"/>
      </tp>
      <tp>
        <v>-100</v>
        <stp/>
        <stp>bse_cm|1075SCL33</stp>
        <stp>% Change</stp>
        <tr r="J881" s="1"/>
      </tp>
      <tp>
        <v>1000</v>
        <stp/>
        <stp>bse_cm|9ARKA25</stp>
        <stp>Face Value</stp>
        <tr r="Q1365" s="1"/>
      </tp>
      <tp>
        <v>0</v>
        <stp/>
        <stp>bse_cm|975MVAFL25</stp>
        <stp>Volume Traded Today</stp>
        <tr r="L458" s="1"/>
      </tp>
      <tp>
        <v>-100</v>
        <stp/>
        <stp>bse_cm|1025SCL34</stp>
        <stp>% Change</stp>
        <tr r="J129" s="1"/>
      </tp>
      <tp>
        <v>-100</v>
        <stp/>
        <stp>bse_cm|1075SCL34</stp>
        <stp>% Change</stp>
        <tr r="J888" s="1"/>
      </tp>
      <tp t="s">
        <v>00:00:00</v>
        <stp/>
        <stp>bse_cm|87SCL24A</stp>
        <stp>LTT</stp>
        <tr r="I1141" s="1"/>
      </tp>
      <tp>
        <v>0</v>
        <stp/>
        <stp>bse_cm|87SCL24A</stp>
        <stp>LTP</stp>
        <tr r="H1141" s="1"/>
      </tp>
      <tp>
        <v>1000</v>
        <stp/>
        <stp>bse_cm|829PFL29</stp>
        <stp xml:space="preserve">Low </stp>
        <tr r="O930" s="1"/>
      </tp>
      <tp>
        <v>0</v>
        <stp/>
        <stp>bse_cm|97SFL26A</stp>
        <stp>LTP</stp>
        <tr r="H1089" s="1"/>
      </tp>
      <tp t="s">
        <v>00:00:00</v>
        <stp/>
        <stp>bse_cm|97SFL26A</stp>
        <stp>LTT</stp>
        <tr r="I1089" s="1"/>
      </tp>
      <tp>
        <v>992</v>
        <stp/>
        <stp>nse_cm|990SCL27-YT</stp>
        <stp>High</stp>
        <tr r="N1024" s="1"/>
      </tp>
      <tp t="s">
        <v>00:00:00</v>
        <stp/>
        <stp>bse_cm|87SCL27A</stp>
        <stp>LTT</stp>
        <tr r="I644" s="1"/>
      </tp>
      <tp>
        <v>0</v>
        <stp/>
        <stp>bse_cm|87SCL27A</stp>
        <stp>LTP</stp>
        <tr r="H644" s="1"/>
      </tp>
      <tp>
        <v>972.36</v>
        <stp/>
        <stp>bse_cm|889SCL28</stp>
        <stp xml:space="preserve">Low </stp>
        <tr r="O1069" s="1"/>
      </tp>
      <tp>
        <v>0</v>
        <stp/>
        <stp>bse_cm|EFSL29</stp>
        <stp>Open</stp>
        <tr r="M659" s="1"/>
      </tp>
      <tp>
        <v>1005.6</v>
        <stp/>
        <stp>bse_cm|934JMFCS28</stp>
        <stp>Prev Close</stp>
        <tr r="P325" s="1"/>
      </tp>
      <tp>
        <v>0</v>
        <stp/>
        <stp>bse_cm|EFSL28</stp>
        <stp>Open</stp>
        <tr r="M1609" s="1"/>
      </tp>
      <tp>
        <v>0</v>
        <stp/>
        <stp>nse_cm|975SCL28-NT</stp>
        <stp>Open</stp>
        <tr r="M142" s="1"/>
      </tp>
      <tp t="s">
        <v>00:00:00</v>
        <stp/>
        <stp>bse_cm|EFSLZC26</stp>
        <stp>LTT</stp>
        <tr r="I1712" s="1"/>
      </tp>
      <tp t="s">
        <v>00:00:00</v>
        <stp/>
        <stp>bse_cm|EFSLZC25</stp>
        <stp>LTT</stp>
        <tr r="I1741" s="1"/>
      </tp>
      <tp>
        <v>0</v>
        <stp/>
        <stp>bse_cm|EFSLZC26</stp>
        <stp>LTP</stp>
        <tr r="H1712" s="1"/>
      </tp>
      <tp>
        <v>0</v>
        <stp/>
        <stp>bse_cm|EFSLZC25</stp>
        <stp>LTP</stp>
        <tr r="H1741" s="1"/>
      </tp>
      <tp>
        <v>0</v>
        <stp/>
        <stp>bse_cm|EFSLZC28</stp>
        <stp>LTP</stp>
        <tr r="H1637" s="1"/>
      </tp>
      <tp t="s">
        <v>00:00:00</v>
        <stp/>
        <stp>bse_cm|EFSLZC28</stp>
        <stp>LTT</stp>
        <tr r="I1637" s="1"/>
      </tp>
      <tp t="s">
        <v>INE321N07285</v>
        <stp/>
        <stp>nse_cm|980IFSL25-N5</stp>
        <stp>Isin code</stp>
        <tr r="R476" s="1"/>
      </tp>
      <tp>
        <v>1000</v>
        <stp/>
        <stp>bse_cm|1049DLS25A</stp>
        <stp>Face Value</stp>
        <tr r="Q119" s="1"/>
      </tp>
      <tp>
        <v>7</v>
        <stp/>
        <stp>nse_cm|925AEL26-N1</stp>
        <stp>Volume Traded Today</stp>
        <tr r="L330" s="1"/>
      </tp>
      <tp>
        <v>0</v>
        <stp/>
        <stp>nse_cm|920PEL28-N2</stp>
        <stp>Volume Traded Today</stp>
        <tr r="L373" s="1"/>
      </tp>
      <tp>
        <v>0</v>
        <stp/>
        <stp>bse_cm|EFSL25</stp>
        <stp>Open</stp>
        <tr r="M1694" s="1"/>
      </tp>
      <tp>
        <v>0</v>
        <stp/>
        <stp>nse_cm|935PEL33-N3</stp>
        <stp>Volume Traded Today</stp>
        <tr r="L1375" s="1"/>
      </tp>
      <tp>
        <v>0</v>
        <stp/>
        <stp>nse_cm|932AEL27-N3</stp>
        <stp>Volume Traded Today</stp>
        <tr r="L471" s="1"/>
      </tp>
      <tp>
        <v>1000</v>
        <stp/>
        <stp>bse_cm|1045EFS33B</stp>
        <stp>Face Value</stp>
        <tr r="Q117" s="1"/>
      </tp>
      <tp>
        <v>1000</v>
        <stp/>
        <stp>bse_cm|1045EFS33A</stp>
        <stp>Face Value</stp>
        <tr r="Q95" s="1"/>
      </tp>
      <tp>
        <v>1000</v>
        <stp/>
        <stp>bse_cm|1045EFS34A</stp>
        <stp>Face Value</stp>
        <tr r="Q1029" s="1"/>
      </tp>
      <tp>
        <v>0</v>
        <stp/>
        <stp>nse_cm|905PEL26-N1</stp>
        <stp>Volume Traded Today</stp>
        <tr r="L500" s="1"/>
      </tp>
      <tp>
        <v>0</v>
        <stp/>
        <stp>bse_cm|EFSL27</stp>
        <stp>Open</stp>
        <tr r="M1531" s="1"/>
      </tp>
      <tp>
        <v>0</v>
        <stp/>
        <stp>bse_cm|EFSL26</stp>
        <stp>Open</stp>
        <tr r="M1687" s="1"/>
      </tp>
      <tp>
        <v>1000</v>
        <stp/>
        <stp>bse_cm|EFS290424A</stp>
        <stp>Face Value</stp>
        <tr r="Q571" s="1"/>
      </tp>
      <tp>
        <v>0</v>
        <stp/>
        <stp>nse_cm|965AEL27-N4</stp>
        <stp>Volume Traded Today</stp>
        <tr r="L254" s="1"/>
      </tp>
      <tp>
        <v>0</v>
        <stp/>
        <stp>bse_cm|939SCL27</stp>
        <stp xml:space="preserve">Low </stp>
        <tr r="O985" s="1"/>
      </tp>
      <tp>
        <v>954</v>
        <stp/>
        <stp>bse_cm|889SCL27</stp>
        <stp xml:space="preserve">Low </stp>
        <tr r="O121" s="1"/>
      </tp>
      <tp>
        <v>920</v>
        <stp/>
        <stp>bse_cm|889SCL26</stp>
        <stp xml:space="preserve">Low </stp>
        <tr r="O237" s="1"/>
      </tp>
      <tp>
        <v>937.61</v>
        <stp/>
        <stp>bse_cm|879SCL26</stp>
        <stp xml:space="preserve">Low </stp>
        <tr r="O1351" s="1"/>
      </tp>
      <tp>
        <v>0</v>
        <stp/>
        <stp>nse_cm|85PFL26A-N7</stp>
        <stp>ATP</stp>
        <tr r="K1519" s="1"/>
      </tp>
      <tp>
        <v>25</v>
        <stp/>
        <stp>nse_cm|956AEL29-N6</stp>
        <stp>Volume Traded Today</stp>
        <tr r="L298" s="1"/>
      </tp>
      <tp>
        <v>1150.0999999999999</v>
        <stp/>
        <stp>bse_cm|718REC35</stp>
        <stp xml:space="preserve">Low </stp>
        <tr r="O549" s="1"/>
      </tp>
      <tp>
        <v>997</v>
        <stp/>
        <stp>bse_cm|829LTF24</stp>
        <stp xml:space="preserve">Low </stp>
        <tr r="O4" s="1"/>
      </tp>
      <tp t="s">
        <v>INE733E07JG5</v>
        <stp/>
        <stp>nse_cm|866NTPC33-N3</stp>
        <stp>Isin code</stp>
        <tr r="R555" s="1"/>
      </tp>
      <tp>
        <v>1346</v>
        <stp/>
        <stp>bse_cm|743IREDA36</stp>
        <stp>Prev Close</stp>
        <tr r="P1441" s="1"/>
      </tp>
      <tp>
        <v>1065.01</v>
        <stp/>
        <stp>bse_cm|753IREDA26</stp>
        <stp>Prev Close</stp>
        <tr r="P487" s="1"/>
      </tp>
      <tp>
        <v>0</v>
        <stp/>
        <stp>nse_cm|886REC34-NG</stp>
        <stp>Open</stp>
        <tr r="M536" s="1"/>
      </tp>
      <tp t="s">
        <v>INE121A07QX1</v>
        <stp/>
        <stp>nse_cm|CIFCZC28A-N5</stp>
        <stp>Isin code</stp>
        <tr r="R1559" s="1"/>
      </tp>
      <tp>
        <v>1020</v>
        <stp/>
        <stp>nse_cm|9ICCL23A-N0</stp>
        <stp>Open</stp>
        <tr r="M657" s="1"/>
      </tp>
      <tp>
        <v>0</v>
        <stp/>
        <stp>bse_cm|IFCIZC24</stp>
        <stp>LTP</stp>
        <tr r="H1769" s="1"/>
      </tp>
      <tp>
        <v>0</v>
        <stp/>
        <stp>bse_cm|IFCIZC25</stp>
        <stp>LTP</stp>
        <tr r="H1764" s="1"/>
      </tp>
      <tp t="s">
        <v>00:00:00</v>
        <stp/>
        <stp>bse_cm|IFCIZC24</stp>
        <stp>LTT</stp>
        <tr r="I1769" s="1"/>
      </tp>
      <tp t="s">
        <v>00:00:00</v>
        <stp/>
        <stp>bse_cm|IFCIZC25</stp>
        <stp>LTT</stp>
        <tr r="I1764" s="1"/>
      </tp>
      <tp>
        <v>0</v>
        <stp/>
        <stp>nse_cm|89SCL24A-ZM</stp>
        <stp>ATP</stp>
        <tr r="K970" s="1"/>
      </tp>
      <tp>
        <v>970</v>
        <stp/>
        <stp>nse_cm|769IGT28-NH</stp>
        <stp>High</stp>
        <tr r="N1487" s="1"/>
      </tp>
      <tp>
        <v>0</v>
        <stp/>
        <stp>nse_cm|87SCL24A-ZF</stp>
        <stp>ATP</stp>
        <tr r="K959" s="1"/>
      </tp>
      <tp>
        <v>948.12</v>
        <stp/>
        <stp>nse_cm|87SCL27A-ZK</stp>
        <stp>ATP</stp>
        <tr r="K1416" s="1"/>
      </tp>
      <tp t="s">
        <v>INE733E07JF7</v>
        <stp/>
        <stp>nse_cm|848NTPC28-N2</stp>
        <stp>Isin code</stp>
        <tr r="R1405" s="1"/>
      </tp>
      <tp t="s">
        <v>980SCL33-NX</v>
        <stp/>
        <stp>nse_cm|980SCL33-NX</stp>
        <stp>Trading Symbol</stp>
        <tr r="B360" s="1"/>
      </tp>
      <tp>
        <v>45</v>
        <stp/>
        <stp>nse_cm|985ICCL28-NO</stp>
        <stp>Bid Qty</stp>
        <tr r="D1605" s="1"/>
      </tp>
      <tp>
        <v>980</v>
        <stp/>
        <stp>bse_cm|769IGT28</stp>
        <stp xml:space="preserve">Low </stp>
        <tr r="O1195" s="1"/>
      </tp>
      <tp>
        <v>0</v>
        <stp/>
        <stp>bse_cm|749IGT28</stp>
        <stp xml:space="preserve">Low </stp>
        <tr r="O1198" s="1"/>
      </tp>
      <tp>
        <v>0</v>
        <stp/>
        <stp>bse_cm|1080MML26</stp>
        <stp>Ask Qty</stp>
        <tr r="G1163" s="1"/>
      </tp>
      <tp>
        <v>10</v>
        <stp/>
        <stp>bse_cm|KFL070824</stp>
        <stp>Ask Qty</stp>
        <tr r="G551" s="1"/>
      </tp>
      <tp>
        <v>10</v>
        <stp/>
        <stp>bse_cm|1080MML29</stp>
        <stp>Ask Qty</stp>
        <tr r="G72" s="1"/>
      </tp>
      <tp>
        <v>0</v>
        <stp/>
        <stp>nse_cm|888REC29-NF</stp>
        <stp>Open</stp>
        <tr r="M522" s="1"/>
      </tp>
      <tp>
        <v>1756.5</v>
        <stp/>
        <stp>bse_cm|704HUDCO26</stp>
        <stp>Prev Close</stp>
        <tr r="P1724" s="1"/>
      </tp>
      <tp>
        <v>1145</v>
        <stp/>
        <stp>bse_cm|764HUDCO31</stp>
        <stp>Prev Close</stp>
        <tr r="P16" s="1"/>
      </tp>
      <tp>
        <v>12</v>
        <stp/>
        <stp>nse_cm|980ICCL28-NL</stp>
        <stp>Bid Qty</stp>
        <tr r="D780" s="1"/>
      </tp>
      <tp>
        <v>0</v>
        <stp/>
        <stp>nse_cm|879SCL26-NC</stp>
        <stp>Open</stp>
        <tr r="M720" s="1"/>
      </tp>
      <tp t="s">
        <v/>
        <stp/>
        <stp>nse_cm|738REC27TF-N2</stp>
        <stp>LTT</stp>
        <tr r="I514" s="1"/>
      </tp>
      <tp>
        <v>1108.1099999999999</v>
        <stp/>
        <stp>nse_cm|738REC27TF-N2</stp>
        <stp>LTP</stp>
        <tr r="H514" s="1"/>
      </tp>
      <tp>
        <v>976.25</v>
        <stp/>
        <stp>nse_cm|105UCL2026-NB</stp>
        <stp>ATP</stp>
        <tr r="K130" s="1"/>
      </tp>
      <tp t="s">
        <v>BSE</v>
        <stp/>
        <stp>bse_cm|10NIDO33</stp>
        <stp>Exchange</stp>
        <tr r="C1447" s="1"/>
      </tp>
      <tp>
        <v>0</v>
        <stp/>
        <stp>nse_cm|820SCL25-YO</stp>
        <stp>ATP</stp>
        <tr r="K932" s="1"/>
      </tp>
      <tp>
        <v>0</v>
        <stp/>
        <stp>bse_cm|CCILZC25A</stp>
        <stp>Ask Qty</stp>
        <tr r="G749" s="1"/>
      </tp>
      <tp>
        <v>0</v>
        <stp/>
        <stp>bse_cm|957JFPL30</stp>
        <stp>Ask Qty</stp>
        <tr r="G760" s="1"/>
      </tp>
      <tp t="s">
        <v>BSE</v>
        <stp/>
        <stp>bse_cm|76NHAI31</stp>
        <stp>Exchange</stp>
        <tr r="C478" s="1"/>
      </tp>
      <tp>
        <v>370</v>
        <stp/>
        <stp>bse_cm|728IRFC30</stp>
        <stp>Ask Qty</stp>
        <tr r="G469" s="1"/>
      </tp>
      <tp>
        <v>0</v>
        <stp/>
        <stp>nse_cm|980SCL33A-N3</stp>
        <stp>Bid Qty</stp>
        <tr r="D1055" s="1"/>
      </tp>
      <tp>
        <v>0</v>
        <stp/>
        <stp>nse_cm|980SCL33C-ND</stp>
        <stp>Bid Qty</stp>
        <tr r="D1385" s="1"/>
      </tp>
      <tp>
        <v>0</v>
        <stp/>
        <stp>nse_cm|833SCL24-ZE</stp>
        <stp>ATP</stp>
        <tr r="K957" s="1"/>
      </tp>
      <tp>
        <v>0</v>
        <stp/>
        <stp>bse_cm|957ISFL26</stp>
        <stp>Ask Qty</stp>
        <tr r="G761" s="1"/>
      </tp>
      <tp>
        <v>50</v>
        <stp/>
        <stp>bse_cm|957ICCL25</stp>
        <stp>Ask Qty</stp>
        <tr r="G432" s="1"/>
      </tp>
      <tp>
        <v>0</v>
        <stp/>
        <stp>nse_cm|957SCL31-Z3</stp>
        <stp>High</stp>
        <tr r="N874" s="1"/>
      </tp>
      <tp>
        <v>0</v>
        <stp/>
        <stp>bse_cm|957ICCL28</stp>
        <stp>Ask Qty</stp>
        <tr r="G1572" s="1"/>
      </tp>
      <tp>
        <v>0</v>
        <stp/>
        <stp>nse_cm|847SCL25-Z2</stp>
        <stp>ATP</stp>
        <tr r="K212" s="1"/>
      </tp>
      <tp>
        <v>0</v>
        <stp/>
        <stp>nse_cm|875SCL27-YQ</stp>
        <stp>ATP</stp>
        <tr r="K937" s="1"/>
      </tp>
      <tp>
        <v>0</v>
        <stp/>
        <stp>nse_cm|865NHB34-N4</stp>
        <stp>Open</stp>
        <tr r="M1166" s="1"/>
      </tp>
      <tp>
        <v>1066</v>
        <stp/>
        <stp>nse_cm|86LTF24-NJ</stp>
        <stp>Prev Close</stp>
        <tr r="P7" s="1"/>
      </tp>
      <tp>
        <v>9</v>
        <stp/>
        <stp>nse_cm|888SCL25A-AQ</stp>
        <stp>Bid Qty</stp>
        <tr r="D910" s="1"/>
      </tp>
      <tp>
        <v>0</v>
        <stp/>
        <stp>nse_cm|866SCL25-YP</stp>
        <stp>ATP</stp>
        <tr r="K933" s="1"/>
      </tp>
      <tp>
        <v>0</v>
        <stp/>
        <stp>nse_cm|857SCL24-ZQ</stp>
        <stp>ATP</stp>
        <tr r="K975" s="1"/>
      </tp>
      <tp>
        <v>990</v>
        <stp/>
        <stp>bse_cm|10KSFL25</stp>
        <stp>Ask Rate</stp>
        <tr r="F107" s="1"/>
      </tp>
      <tp>
        <v>0</v>
        <stp/>
        <stp>nse_cm|865SCL24-ZA</stp>
        <stp>ATP</stp>
        <tr r="K954" s="1"/>
      </tp>
      <tp>
        <v>0</v>
        <stp/>
        <stp>nse_cm|850SCL25-YL</stp>
        <stp>ATP</stp>
        <tr r="K922" s="1"/>
      </tp>
      <tp>
        <v>960</v>
        <stp/>
        <stp>nse_cm|955SCL27-Z5</stp>
        <stp>High</stp>
        <tr r="N949" s="1"/>
      </tp>
      <tp>
        <v>0</v>
        <stp/>
        <stp>bse_cm|MFLIII25</stp>
        <stp>Volume Traded Today</stp>
        <tr r="L1501" s="1"/>
      </tp>
      <tp>
        <v>0</v>
        <stp/>
        <stp>bse_cm|MFLTDI25</stp>
        <stp>Volume Traded Today</stp>
        <tr r="L1476" s="1"/>
      </tp>
      <tp>
        <v>0</v>
        <stp/>
        <stp>bse_cm|MFLVII27</stp>
        <stp>Volume Traded Today</stp>
        <tr r="L1397" s="1"/>
      </tp>
      <tp>
        <v>900</v>
        <stp/>
        <stp>bse_cm|984ICCL26A</stp>
        <stp>Prev Close</stp>
        <tr r="P883" s="1"/>
      </tp>
      <tp>
        <v>0</v>
        <stp/>
        <stp>nse_cm|843SCL27-YS</stp>
        <stp>ATP</stp>
        <tr r="K944" s="1"/>
      </tp>
      <tp>
        <v>0</v>
        <stp/>
        <stp>nse_cm|885SCL26-N9</stp>
        <stp>Open</stp>
        <tr r="M686" s="1"/>
      </tp>
      <tp>
        <v>10</v>
        <stp/>
        <stp>bse_cm|96IIFL28A</stp>
        <stp>Ask Qty</stp>
        <tr r="G88" s="1"/>
      </tp>
      <tp>
        <v>150</v>
        <stp/>
        <stp>bse_cm|10IIFL28A</stp>
        <stp>Ask Qty</stp>
        <tr r="G101" s="1"/>
      </tp>
      <tp>
        <v>0</v>
        <stp/>
        <stp>nse_cm|894SCL25-Z3</stp>
        <stp>ATP</stp>
        <tr r="K1698" s="1"/>
      </tp>
      <tp>
        <v>0</v>
        <stp/>
        <stp>nse_cm|894SCL24-ZR</stp>
        <stp>ATP</stp>
        <tr r="K661" s="1"/>
      </tp>
      <tp>
        <v>0</v>
        <stp/>
        <stp>nse_cm|894SCL27-ZY</stp>
        <stp>ATP</stp>
        <tr r="K731" s="1"/>
      </tp>
      <tp>
        <v>1000</v>
        <stp/>
        <stp>nse_cm|1049DLSL25-NX</stp>
        <stp>Face Value</stp>
        <tr r="Q43" s="1"/>
      </tp>
      <tp>
        <v>40</v>
        <stp/>
        <stp>nse_cm|888SCL25E-N4</stp>
        <stp>Bid Qty</stp>
        <tr r="D1444" s="1"/>
      </tp>
      <tp>
        <v>0</v>
        <stp/>
        <stp>nse_cm|888SCL25D-NC</stp>
        <stp>Bid Qty</stp>
        <tr r="D916" s="1"/>
      </tp>
      <tp t="s">
        <v>BSE</v>
        <stp/>
        <stp>bse_cm|0MOFSL27</stp>
        <stp>Exchange</stp>
        <tr r="C1039" s="1"/>
      </tp>
      <tp>
        <v>1032.5</v>
        <stp/>
        <stp>bse_cm|SCL24A</stp>
        <stp xml:space="preserve">Low </stp>
        <tr r="O1749" s="1"/>
      </tp>
      <tp t="s">
        <v>BSE</v>
        <stp/>
        <stp>bse_cm|0MOFSL26</stp>
        <stp>Exchange</stp>
        <tr r="C1645" s="1"/>
      </tp>
      <tp>
        <v>0</v>
        <stp/>
        <stp>nse_cm|888SCL26-YP</stp>
        <stp>ATP</stp>
        <tr r="K841" s="1"/>
      </tp>
      <tp>
        <v>905.2</v>
        <stp/>
        <stp>nse_cm|889SCL27-YT</stp>
        <stp>ATP</stp>
        <tr r="K120" s="1"/>
      </tp>
      <tp>
        <v>0</v>
        <stp/>
        <stp>nse_cm|871REC28-N9</stp>
        <stp>Open</stp>
        <tr r="M542" s="1"/>
      </tp>
      <tp>
        <v>0</v>
        <stp/>
        <stp>bse_cm|IIFLHF29</stp>
        <stp>Volume Traded Today</stp>
        <tr r="L1631" s="1"/>
      </tp>
      <tp>
        <v>970</v>
        <stp/>
        <stp>bse_cm|1050KLMA28</stp>
        <stp>Prev Close</stp>
        <tr r="P611" s="1"/>
      </tp>
      <tp>
        <v>80</v>
        <stp/>
        <stp>bse_cm|MFLIV25</stp>
        <stp>Ask Qty</stp>
        <tr r="G280" s="1"/>
      </tp>
      <tp>
        <v>0</v>
        <stp/>
        <stp>bse_cm|MFLIV26</stp>
        <stp>Ask Qty</stp>
        <tr r="G1500" s="1"/>
      </tp>
      <tp>
        <v>-100</v>
        <stp/>
        <stp>nse_cm|820SCFL25-Y7</stp>
        <stp>% Change</stp>
        <tr r="J926" s="1"/>
      </tp>
      <tp>
        <v>-100</v>
        <stp/>
        <stp>nse_cm|850SCFL25-Y4</stp>
        <stp>% Change</stp>
        <tr r="J924" s="1"/>
      </tp>
      <tp>
        <v>0</v>
        <stp/>
        <stp>nse_cm|868NHB29-N3</stp>
        <stp>Open</stp>
        <tr r="M1342" s="1"/>
      </tp>
      <tp>
        <v>100</v>
        <stp/>
        <stp>bse_cm|957EFSL27</stp>
        <stp>Ask Qty</stp>
        <tr r="G576" s="1"/>
      </tp>
      <tp>
        <v>199</v>
        <stp/>
        <stp>bse_cm|967EFSL28</stp>
        <stp>Ask Qty</stp>
        <tr r="G205" s="1"/>
      </tp>
      <tp>
        <v>195</v>
        <stp/>
        <stp>bse_cm|967EFSL29</stp>
        <stp>Ask Qty</stp>
        <tr r="G102" s="1"/>
      </tp>
      <tp>
        <v>0</v>
        <stp/>
        <stp>nse_cm|801TCH25-N4</stp>
        <stp>ATP</stp>
        <tr r="K493" s="1"/>
      </tp>
      <tp>
        <v>0</v>
        <stp/>
        <stp>nse_cm|801TCH28-N7</stp>
        <stp>ATP</stp>
        <tr r="K1181" s="1"/>
      </tp>
      <tp>
        <v>990</v>
        <stp/>
        <stp>bse_cm|10KFIL27</stp>
        <stp>Ask Rate</stp>
        <tr r="F183" s="1"/>
      </tp>
      <tp>
        <v>0</v>
        <stp/>
        <stp>nse_cm|865SCL26-N8</stp>
        <stp>ATP</stp>
        <tr r="K310" s="1"/>
      </tp>
      <tp>
        <v>990.21</v>
        <stp/>
        <stp>nse_cm|931SFL26-Z5</stp>
        <stp xml:space="preserve">Low </stp>
        <tr r="O519" s="1"/>
      </tp>
      <tp>
        <v>0</v>
        <stp/>
        <stp>nse_cm|950IIFL27-Y2</stp>
        <stp>% Change</stp>
        <tr r="J995" s="1"/>
      </tp>
      <tp>
        <v>0</v>
        <stp/>
        <stp>nse_cm|879SCL26-NC</stp>
        <stp>ATP</stp>
        <tr r="K720" s="1"/>
      </tp>
      <tp>
        <v>962</v>
        <stp/>
        <stp>bse_cm|95KAFL25</stp>
        <stp>Ask Rate</stp>
        <tr r="F40" s="1"/>
      </tp>
      <tp t="s">
        <v>10:24:51</v>
        <stp/>
        <stp>nse_cm|10CAGL27-N5</stp>
        <stp>LTT</stp>
        <tr r="I273" s="1"/>
      </tp>
      <tp>
        <v>1013.7</v>
        <stp/>
        <stp>nse_cm|99AEL29-N7</stp>
        <stp>Prev Close</stp>
        <tr r="P246" s="1"/>
      </tp>
      <tp>
        <v>2</v>
        <stp/>
        <stp>nse_cm|980SCL33D-YG</stp>
        <stp>Bid Qty</stp>
        <tr r="D830" s="1"/>
      </tp>
      <tp>
        <v>1006.15</v>
        <stp/>
        <stp>nse_cm|10CAGL27-N5</stp>
        <stp>LTP</stp>
        <tr r="H273" s="1"/>
      </tp>
      <tp>
        <v>0</v>
        <stp/>
        <stp>nse_cm|980SCL33B-YL</stp>
        <stp>Bid Qty</stp>
        <tr r="D837" s="1"/>
      </tp>
      <tp>
        <v>0</v>
        <stp/>
        <stp>bse_cm|MML25B</stp>
        <stp>Open</stp>
        <tr r="M1498" s="1"/>
      </tp>
      <tp>
        <v>20</v>
        <stp/>
        <stp>nse_cm|84CIFCL28-NA</stp>
        <stp>Ask Qty</stp>
        <tr r="G388" s="1"/>
      </tp>
      <tp>
        <v>0</v>
        <stp/>
        <stp>bse_cm|MML25C</stp>
        <stp>Open</stp>
        <tr r="M1251" s="1"/>
      </tp>
      <tp>
        <v>1010</v>
        <stp/>
        <stp>bse_cm|11KAFL27</stp>
        <stp>Ask Rate</stp>
        <tr r="F184" s="1"/>
      </tp>
      <tp>
        <v>0</v>
        <stp/>
        <stp>bse_cm|10JFPL30</stp>
        <stp>Ask Rate</stp>
        <tr r="F1097" s="1"/>
      </tp>
      <tp>
        <v>1035</v>
        <stp/>
        <stp>nse_cm|82IGT31-NJ</stp>
        <stp>Prev Close</stp>
        <tr r="P375" s="1"/>
      </tp>
      <tp>
        <v>0</v>
        <stp/>
        <stp>bse_cm|11KAFL26</stp>
        <stp>Ask Rate</stp>
        <tr r="F671" s="1"/>
      </tp>
      <tp>
        <v>0</v>
        <stp/>
        <stp>bse_cm|10KAFL26</stp>
        <stp>Ask Rate</stp>
        <tr r="F1096" s="1"/>
      </tp>
      <tp>
        <v>0</v>
        <stp/>
        <stp>bse_cm|MML25A</stp>
        <stp>Open</stp>
        <tr r="M1252" s="1"/>
      </tp>
      <tp>
        <v>0</v>
        <stp/>
        <stp>bse_cm|11KAFL29</stp>
        <stp>Ask Rate</stp>
        <tr r="F662" s="1"/>
      </tp>
      <tp>
        <v>850</v>
        <stp/>
        <stp>bse_cm|68PFCL31</stp>
        <stp>Bid Rate</stp>
        <tr r="E1205" s="1"/>
      </tp>
      <tp>
        <v>900</v>
        <stp/>
        <stp>nse_cm|98ICCL26-NU</stp>
        <stp>Open</stp>
        <tr r="M1569" s="1"/>
      </tp>
      <tp>
        <v>0</v>
        <stp/>
        <stp>bse_cm|MFL25E</stp>
        <stp>Open</stp>
        <tr r="M1664" s="1"/>
      </tp>
      <tp>
        <v>1000</v>
        <stp/>
        <stp>nse_cm|880IREDA34-N6</stp>
        <stp>Face Value</stp>
        <tr r="Q511" s="1"/>
      </tp>
      <tp>
        <v>0</v>
        <stp/>
        <stp>bse_cm|MFL25D</stp>
        <stp>Open</stp>
        <tr r="M1705" s="1"/>
      </tp>
      <tp>
        <v>1</v>
        <stp/>
        <stp>bse_cm|984IFSL26</stp>
        <stp>Bid Qty</stp>
        <tr r="D457" s="1"/>
      </tp>
      <tp>
        <v>15</v>
        <stp/>
        <stp>bse_cm|697PFCL36</stp>
        <stp>Ask Qty</stp>
        <tr r="G431" s="1"/>
      </tp>
      <tp>
        <v>0</v>
        <stp/>
        <stp>bse_cm|747PFCL33</stp>
        <stp>Ask Qty</stp>
        <tr r="G1199" s="1"/>
      </tp>
      <tp>
        <v>20</v>
        <stp/>
        <stp>bse_cm|0MML27524</stp>
        <stp>Bid Qty</stp>
        <tr r="D1042" s="1"/>
      </tp>
      <tp>
        <v>100000</v>
        <stp/>
        <stp>nse_cm|1077IIFL30-N7</stp>
        <stp>Face Value</stp>
        <tr r="Q996" s="1"/>
      </tp>
      <tp>
        <v>0</v>
        <stp/>
        <stp>nse_cm|885SCL26-N9</stp>
        <stp>ATP</stp>
        <tr r="K686" s="1"/>
      </tp>
      <tp t="s">
        <v>BSE</v>
        <stp/>
        <stp>bse_cm|98NWFL30</stp>
        <stp>Exchange</stp>
        <tr r="C231" s="1"/>
      </tp>
      <tp>
        <v>0</v>
        <stp/>
        <stp>nse_cm|888SCL25-NG</stp>
        <stp>ATP</stp>
        <tr r="K912" s="1"/>
      </tp>
      <tp>
        <v>0</v>
        <stp/>
        <stp>nse_cm|889SCL26-NS</stp>
        <stp>ATP</stp>
        <tr r="K222" s="1"/>
      </tp>
      <tp>
        <v>0</v>
        <stp/>
        <stp>nse_cm|889SCL28-NU</stp>
        <stp>ATP</stp>
        <tr r="K989" s="1"/>
      </tp>
      <tp>
        <v>1000</v>
        <stp/>
        <stp>nse_cm|855IREDA29-N2</stp>
        <stp>Face Value</stp>
        <tr r="Q505" s="1"/>
      </tp>
      <tp>
        <v>0</v>
        <stp/>
        <stp>bse_cm|MFL25A</stp>
        <stp>Open</stp>
        <tr r="M1692" s="1"/>
      </tp>
      <tp>
        <v>6</v>
        <stp/>
        <stp>nse_cm|888SCL25B-Y2</stp>
        <stp>Bid Qty</stp>
        <tr r="D789" s="1"/>
      </tp>
      <tp>
        <v>20</v>
        <stp/>
        <stp>nse_cm|888SCL26A-ZC</stp>
        <stp>Bid Qty</stp>
        <tr r="D839" s="1"/>
      </tp>
      <tp>
        <v>0</v>
        <stp/>
        <stp>bse_cm|MFL25C</stp>
        <stp>Open</stp>
        <tr r="M1571" s="1"/>
      </tp>
      <tp>
        <v>65</v>
        <stp/>
        <stp>bse_cm|957NIDO26</stp>
        <stp>Bid Qty</stp>
        <tr r="D329" s="1"/>
      </tp>
      <tp>
        <v>25</v>
        <stp/>
        <stp>bse_cm|967NIDO28</stp>
        <stp>Bid Qty</stp>
        <tr r="D227" s="1"/>
      </tp>
      <tp>
        <v>1000</v>
        <stp/>
        <stp>nse_cm|875PCHFL26-N8</stp>
        <stp>Face Value</stp>
        <tr r="Q271" s="1"/>
      </tp>
      <tp>
        <v>1000</v>
        <stp/>
        <stp>nse_cm|851HUDCO28-NB</stp>
        <stp>Face Value</stp>
        <tr r="Q502" s="1"/>
      </tp>
      <tp>
        <v>1000</v>
        <stp/>
        <stp>nse_cm|751HUDCO28-N5</stp>
        <stp>Face Value</stp>
        <tr r="Q492" s="1"/>
      </tp>
      <tp>
        <v>0</v>
        <stp/>
        <stp>bse_cm|MFL25B</stp>
        <stp>Open</stp>
        <tr r="M1667" s="1"/>
      </tp>
      <tp t="s">
        <v>925SCL26D-ZD</v>
        <stp/>
        <stp>nse_cm|925SCL26D-ZD</stp>
        <stp>Trading Symbol</stp>
        <tr r="B1448" s="1"/>
      </tp>
      <tp t="s">
        <v>INE530L07640</v>
        <stp/>
        <stp>bse_cm|1050NIDO29</stp>
        <stp>Isin code</stp>
        <tr r="R1124" s="1"/>
      </tp>
      <tp t="s">
        <v>931SFL26A-NA</v>
        <stp/>
        <stp>nse_cm|931SFL26A-NA</stp>
        <stp>Trading Symbol</stp>
        <tr r="B786" s="1"/>
      </tp>
      <tp t="s">
        <v>INE413U07319</v>
        <stp/>
        <stp>bse_cm|1050IIFL29</stp>
        <stp>Isin code</stp>
        <tr r="R763" s="1"/>
      </tp>
      <tp t="s">
        <v>INE530L07665</v>
        <stp/>
        <stp>bse_cm|1003NIDO29</stp>
        <stp>Isin code</stp>
        <tr r="R679" s="1"/>
      </tp>
      <tp t="s">
        <v>96IIFL28A-NF</v>
        <stp/>
        <stp>nse_cm|96IIFL28A-NF</stp>
        <stp>Trading Symbol</stp>
        <tr r="B81" s="1"/>
      </tp>
      <tp t="s">
        <v>INE261F07057</v>
        <stp/>
        <stp>bse_cm|735NABAR31</stp>
        <stp>Isin code</stp>
        <tr r="R14" s="1"/>
      </tp>
      <tp t="s">
        <v>INE031A07AN7</v>
        <stp/>
        <stp>bse_cm|727HUDCO26</stp>
        <stp>Isin code</stp>
        <tr r="R481" s="1"/>
      </tp>
      <tp t="s">
        <v>INE413U07301</v>
        <stp/>
        <stp>bse_cm|1003IIFL29</stp>
        <stp>Isin code</stp>
        <tr r="R1078" s="1"/>
      </tp>
      <tp t="s">
        <v>948SCL26D-AI</v>
        <stp/>
        <stp>nse_cm|948SCL26D-AI</stp>
        <stp>Trading Symbol</stp>
        <tr r="B1690" s="1"/>
      </tp>
      <tp>
        <v>0</v>
        <stp/>
        <stp>bse_cm|1075SCL33A</stp>
        <stp>ATP</stp>
        <tr r="K629" s="1"/>
      </tp>
      <tp>
        <v>0</v>
        <stp/>
        <stp>bse_cm|1025SCL33A</stp>
        <stp>ATP</stp>
        <tr r="K835" s="1"/>
      </tp>
      <tp>
        <v>0</v>
        <stp/>
        <stp>bse_cm|1075SCL33B</stp>
        <stp>ATP</stp>
        <tr r="K706" s="1"/>
      </tp>
      <tp t="s">
        <v>980SCL33D-YG</v>
        <stp/>
        <stp>nse_cm|980SCL33D-YG</stp>
        <stp>Trading Symbol</stp>
        <tr r="B830" s="1"/>
      </tp>
      <tp t="s">
        <v>888SCL25E-N4</v>
        <stp/>
        <stp>nse_cm|888SCL25E-N4</stp>
        <stp>Trading Symbol</stp>
        <tr r="B1444" s="1"/>
      </tp>
      <tp t="s">
        <v>INE031A07AS6</v>
        <stp/>
        <stp>bse_cm|729HUDCO26</stp>
        <stp>Isin code</stp>
        <tr r="R523" s="1"/>
      </tp>
      <tp t="s">
        <v>990SCL26D-AH</v>
        <stp/>
        <stp>nse_cm|990SCL26D-AH</stp>
        <stp>Trading Symbol</stp>
        <tr r="B1556" s="1"/>
      </tp>
      <tp t="s">
        <v>INE202E07195</v>
        <stp/>
        <stp>bse_cm|749IREDA31</stp>
        <stp>Isin code</stp>
        <tr r="R568" s="1"/>
      </tp>
      <tp>
        <v>0</v>
        <stp/>
        <stp>bse_cm|1025SCL34A</stp>
        <stp>ATP</stp>
        <tr r="K672" s="1"/>
      </tp>
      <tp t="s">
        <v>INE302E07631</v>
        <stp/>
        <stp>bse_cm|SFL2722024</stp>
        <stp>Isin code</stp>
        <tr r="R806" s="1"/>
      </tp>
      <tp t="s">
        <v>INE321N07368</v>
        <stp/>
        <stp>bse_cm|1030IFSL26</stp>
        <stp>Isin code</stp>
        <tr r="R1654" s="1"/>
      </tp>
      <tp>
        <v>0</v>
        <stp/>
        <stp>bse_cm|791JMFPL26</stp>
        <stp>ATP</stp>
        <tr r="K276" s="1"/>
      </tp>
      <tp t="s">
        <v>9SCL25</v>
        <stp/>
        <stp>bse_cm|9SCL25</stp>
        <stp>Trading Symbol</stp>
        <tr r="B653" s="1"/>
      </tp>
      <tp t="s">
        <v>0SCL26</v>
        <stp/>
        <stp>bse_cm|0SCL26</stp>
        <stp>Trading Symbol</stp>
        <tr r="B1359" s="1"/>
      </tp>
      <tp t="s">
        <v>0SCL27</v>
        <stp/>
        <stp>bse_cm|0SCL27</stp>
        <stp>Trading Symbol</stp>
        <tr r="B721" s="1"/>
      </tp>
      <tp t="s">
        <v>ICCL25</v>
        <stp/>
        <stp>bse_cm|ICCL25</stp>
        <stp>Trading Symbol</stp>
        <tr r="B1330" s="1"/>
      </tp>
      <tp t="s">
        <v>INE306N07LM5</v>
        <stp/>
        <stp>bse_cm|865TCAPS27</stp>
        <stp>Isin code</stp>
        <tr r="R377" s="1"/>
      </tp>
      <tp t="s">
        <v>INE306N08342</v>
        <stp/>
        <stp>bse_cm|885TCAPS29</stp>
        <stp>Isin code</stp>
        <tr r="R12" s="1"/>
      </tp>
      <tp t="s">
        <v>INE148I07TB7</v>
        <stp/>
        <stp>nse_cm|SCFL310524-ZE</stp>
        <stp>Isin code</stp>
        <tr r="R1240" s="1"/>
      </tp>
      <tp>
        <v>0</v>
        <stp/>
        <stp>bse_cm|1049DLS25A</stp>
        <stp>LTP</stp>
        <tr r="H119" s="1"/>
      </tp>
      <tp t="s">
        <v>00:00:00</v>
        <stp/>
        <stp>bse_cm|1049DLS25A</stp>
        <stp>LTT</stp>
        <tr r="I119" s="1"/>
      </tp>
      <tp>
        <v>0</v>
        <stp/>
        <stp>bse_cm|1045EFS34A</stp>
        <stp>ATP</stp>
        <tr r="K1029" s="1"/>
      </tp>
      <tp>
        <v>0</v>
        <stp/>
        <stp>bse_cm|830JMFPL30</stp>
        <stp>ATP</stp>
        <tr r="K251" s="1"/>
      </tp>
      <tp>
        <v>0</v>
        <stp/>
        <stp>bse_cm|1045EFS33A</stp>
        <stp>ATP</stp>
        <tr r="K95" s="1"/>
      </tp>
      <tp>
        <v>0</v>
        <stp/>
        <stp>bse_cm|1045EFS33B</stp>
        <stp>ATP</stp>
        <tr r="K117" s="1"/>
      </tp>
      <tp>
        <v>0</v>
        <stp/>
        <stp>bse_cm|820JMFPL26</stp>
        <stp>ATP</stp>
        <tr r="K349" s="1"/>
      </tp>
      <tp t="s">
        <v>9PCHFL31A-NA</v>
        <stp/>
        <stp>nse_cm|9PCHFL31A-NA</stp>
        <stp>Trading Symbol</stp>
        <tr r="B435" s="1"/>
      </tp>
      <tp>
        <v>1028.01</v>
        <stp/>
        <stp>nse_cm|935MOFSL29-N5</stp>
        <stp>Bid Rate</stp>
        <tr r="E1601" s="1"/>
      </tp>
      <tp>
        <v>1001.01</v>
        <stp/>
        <stp>nse_cm|897MOFSL29-N4</stp>
        <stp>Bid Rate</stp>
        <tr r="E296" s="1"/>
      </tp>
      <tp t="s">
        <v>INE244L07432</v>
        <stp/>
        <stp>nse_cm|888IHFL25C-NR</stp>
        <stp>Isin code</stp>
        <tr r="R1426" s="1"/>
      </tp>
      <tp>
        <v>1010.2</v>
        <stp/>
        <stp>nse_cm|885MOFSL26-N0</stp>
        <stp>Bid Rate</stp>
        <tr r="E1635" s="1"/>
      </tp>
      <tp>
        <v>1062</v>
        <stp/>
        <stp>bse_cm|85LTF26</stp>
        <stp>Prev Close</stp>
        <tr r="P410" s="1"/>
      </tp>
      <tp>
        <v>1065.03</v>
        <stp/>
        <stp>bse_cm|86LTF24</stp>
        <stp>Prev Close</stp>
        <tr r="P8" s="1"/>
      </tp>
      <tp>
        <v>1026.95</v>
        <stp/>
        <stp>bse_cm|87LTF27</stp>
        <stp>Prev Close</stp>
        <tr r="P412" s="1"/>
      </tp>
      <tp>
        <v>1000</v>
        <stp/>
        <stp>bse_cm|92LTF29</stp>
        <stp>Prev Close</stp>
        <tr r="P1088" s="1"/>
      </tp>
      <tp>
        <v>1016</v>
        <stp/>
        <stp>nse_cm|872MMFSL26-N1</stp>
        <stp>Bid Rate</stp>
        <tr r="E404" s="1"/>
      </tp>
      <tp>
        <v>0</v>
        <stp/>
        <stp>nse_cm|1025ICCL26-NT</stp>
        <stp>Open</stp>
        <tr r="M771" s="1"/>
      </tp>
      <tp>
        <v>0</v>
        <stp/>
        <stp>bse_cm|MFLOPTII24</stp>
        <stp>ATP</stp>
        <tr r="K559" s="1"/>
      </tp>
      <tp t="s">
        <v>JMFPTBIL25</v>
        <stp/>
        <stp>bse_cm|JMFPTBIL25</stp>
        <stp>Symbol</stp>
        <tr r="A9" s="1"/>
      </tp>
      <tp>
        <v>982.5</v>
        <stp/>
        <stp>bse_cm|810MFL25</stp>
        <stp>High</stp>
        <tr r="N429" s="1"/>
      </tp>
      <tp>
        <v>1040</v>
        <stp/>
        <stp>bse_cm|760MFL25</stp>
        <stp>High</stp>
        <tr r="N482" s="1"/>
      </tp>
      <tp>
        <v>1055.3499999999999</v>
        <stp/>
        <stp>bse_cm|729NABAR26</stp>
        <stp>Prev Close</stp>
        <tr r="P540" s="1"/>
      </tp>
      <tp>
        <v>0</v>
        <stp/>
        <stp>nse_cm|833SCL24-ZE</stp>
        <stp xml:space="preserve">Low </stp>
        <tr r="O957" s="1"/>
      </tp>
      <tp>
        <v>0</v>
        <stp/>
        <stp>nse_cm|816ABFL29-NC</stp>
        <stp>Ask Qty</stp>
        <tr r="G732" s="1"/>
      </tp>
      <tp>
        <v>20</v>
        <stp/>
        <stp>bse_cm|1040UCL25</stp>
        <stp>Bid Qty</stp>
        <tr r="D1612" s="1"/>
      </tp>
      <tp>
        <v>0</v>
        <stp/>
        <stp>nse_cm|857SCL24-ZQ</stp>
        <stp>High</stp>
        <tr r="N975" s="1"/>
      </tp>
      <tp>
        <v>960</v>
        <stp/>
        <stp>nse_cm|866SCL25-YP</stp>
        <stp>High</stp>
        <tr r="N933" s="1"/>
      </tp>
      <tp>
        <v>2</v>
        <stp/>
        <stp>bse_cm|1040NFL26</stp>
        <stp>Bid Qty</stp>
        <tr r="D1453" s="1"/>
      </tp>
      <tp>
        <v>40</v>
        <stp/>
        <stp>bse_cm|1150KLM26</stp>
        <stp>Bid Qty</stp>
        <tr r="D1224" s="1"/>
      </tp>
      <tp>
        <v>1</v>
        <stp/>
        <stp>bse_cm|1050KLM27</stp>
        <stp>Bid Qty</stp>
        <tr r="D609" s="1"/>
      </tp>
      <tp>
        <v>990</v>
        <stp/>
        <stp>bse_cm|850MFL24</stp>
        <stp>High</stp>
        <tr r="N1100" s="1"/>
      </tp>
      <tp>
        <v>0</v>
        <stp/>
        <stp>bse_cm|85PFL26A</stp>
        <stp>ATP</stp>
        <tr r="K711" s="1"/>
      </tp>
      <tp>
        <v>990</v>
        <stp/>
        <stp>bse_cm|950MML24</stp>
        <stp>High</stp>
        <tr r="N304" s="1"/>
      </tp>
      <tp>
        <v>0</v>
        <stp/>
        <stp>nse_cm|824LTF27-NQ</stp>
        <stp>Open</stp>
        <tr r="M999" s="1"/>
      </tp>
      <tp>
        <v>20</v>
        <stp/>
        <stp>bse_cm|IFL190424</stp>
        <stp>Bid Qty</stp>
        <tr r="D1663" s="1"/>
      </tp>
      <tp>
        <v>22</v>
        <stp/>
        <stp>bse_cm|1041KFL26</stp>
        <stp>Bid Qty</stp>
        <tr r="D1031" s="1"/>
      </tp>
      <tp>
        <v>1000</v>
        <stp/>
        <stp>bse_cm|870MFL27</stp>
        <stp>High</stp>
        <tr r="N399" s="1"/>
      </tp>
      <tp>
        <v>951</v>
        <stp/>
        <stp>bse_cm|840MFL27</stp>
        <stp>High</stp>
        <tr r="N133" s="1"/>
      </tp>
      <tp>
        <v>838.25</v>
        <stp/>
        <stp>bse_cm|850MFL27</stp>
        <stp>High</stp>
        <tr r="N265" s="1"/>
      </tp>
      <tp>
        <v>1020</v>
        <stp/>
        <stp>bse_cm|950MFL27</stp>
        <stp>High</stp>
        <tr r="N1147" s="1"/>
      </tp>
      <tp>
        <v>959.8</v>
        <stp/>
        <stp>bse_cm|750MFL27</stp>
        <stp>High</stp>
        <tr r="N274" s="1"/>
      </tp>
      <tp>
        <v>1000</v>
        <stp/>
        <stp>bse_cm|MFLTDI25</stp>
        <stp>Face Value</stp>
        <tr r="Q1476" s="1"/>
      </tp>
      <tp>
        <v>970</v>
        <stp/>
        <stp>bse_cm|890MFL26</stp>
        <stp>High</stp>
        <tr r="N1478" s="1"/>
      </tp>
      <tp>
        <v>965.57</v>
        <stp/>
        <stp>bse_cm|910MFL26</stp>
        <stp>High</stp>
        <tr r="N277" s="1"/>
      </tp>
      <tp>
        <v>1095</v>
        <stp/>
        <stp>bse_cm|10MFL24B</stp>
        <stp>Ask Rate</stp>
        <tr r="F185" s="1"/>
      </tp>
      <tp>
        <v>825.3</v>
        <stp/>
        <stp>bse_cm|950KFL27</stp>
        <stp>High</stp>
        <tr r="N143" s="1"/>
      </tp>
      <tp>
        <v>0</v>
        <stp/>
        <stp>nse_cm|82TCHF25-N5</stp>
        <stp>Open</stp>
        <tr r="M1014" s="1"/>
      </tp>
      <tp>
        <v>0</v>
        <stp/>
        <stp>bse_cm|950KLM25</stp>
        <stp>High</stp>
        <tr r="N1150" s="1"/>
      </tp>
      <tp>
        <v>35</v>
        <stp/>
        <stp>nse_cm|1102NFL26-N8</stp>
        <stp>Ask Qty</stp>
        <tr r="G587" s="1"/>
      </tp>
      <tp>
        <v>0</v>
        <stp/>
        <stp>nse_cm|940ICCL28-NN</stp>
        <stp>Ask Qty</stp>
        <tr r="G779" s="1"/>
      </tp>
      <tp>
        <v>940</v>
        <stp/>
        <stp>nse_cm|955SCL25-ZU</stp>
        <stp>High</stp>
        <tr r="N1391" s="1"/>
      </tp>
      <tp>
        <v>80</v>
        <stp/>
        <stp>nse_cm|1119NFL27-ND</stp>
        <stp>Ask Qty</stp>
        <tr r="G337" s="1"/>
      </tp>
      <tp>
        <v>-100</v>
        <stp/>
        <stp>bse_cm|1015SCL28A</stp>
        <stp>% Change</stp>
        <tr r="J1386" s="1"/>
      </tp>
      <tp>
        <v>0</v>
        <stp/>
        <stp>nse_cm|889SCL28-NU</stp>
        <stp>Open</stp>
        <tr r="M989" s="1"/>
      </tp>
      <tp>
        <v>10</v>
        <stp/>
        <stp>nse_cm|769NHAI31-NE</stp>
        <stp>Ask Qty</stp>
        <tr r="G461" s="1"/>
      </tp>
      <tp>
        <v>0</v>
        <stp/>
        <stp>bse_cm|957SCL31</stp>
        <stp xml:space="preserve">Low </stp>
        <tr r="O1108" s="1"/>
      </tp>
      <tp>
        <v>0</v>
        <stp/>
        <stp>bse_cm|KAFL30</stp>
        <stp>Open</stp>
        <tr r="M1317" s="1"/>
      </tp>
      <tp>
        <v>-100</v>
        <stp/>
        <stp>bse_cm|1015SCL28B</stp>
        <stp>% Change</stp>
        <tr r="J1178" s="1"/>
      </tp>
      <tp t="s">
        <v>BSE</v>
        <stp/>
        <stp>bse_cm|MFLVI31F</stp>
        <stp>Exchange</stp>
        <tr r="C354" s="1"/>
      </tp>
      <tp>
        <v>20</v>
        <stp/>
        <stp>nse_cm|820SCFL25-Y7</stp>
        <stp>Bid Qty</stp>
        <tr r="D926" s="1"/>
      </tp>
      <tp>
        <v>0</v>
        <stp/>
        <stp>nse_cm|SCL26-NA</stp>
        <stp>High</stp>
        <tr r="N919" s="1"/>
      </tp>
      <tp>
        <v>970</v>
        <stp/>
        <stp>bse_cm|957SCL30</stp>
        <stp xml:space="preserve">Low </stp>
        <tr r="O1110" s="1"/>
      </tp>
      <tp>
        <v>0</v>
        <stp/>
        <stp>nse_cm|965SCL29-YX</stp>
        <stp>High</stp>
        <tr r="N847" s="1"/>
      </tp>
      <tp>
        <v>1033.3499999999999</v>
        <stp/>
        <stp>bse_cm|850MFL29</stp>
        <stp>High</stp>
        <tr r="N356" s="1"/>
      </tp>
      <tp>
        <v>1022</v>
        <stp/>
        <stp>nse_cm|903SFL28-YI</stp>
        <stp xml:space="preserve">Low </stp>
        <tr r="O372" s="1"/>
      </tp>
      <tp>
        <v>811</v>
        <stp/>
        <stp>bse_cm|10SCL30A</stp>
        <stp>Bid Rate</stp>
        <tr r="E444" s="1"/>
      </tp>
      <tp>
        <v>1011</v>
        <stp/>
        <stp>bse_cm|880MFL28</stp>
        <stp>High</stp>
        <tr r="N1338" s="1"/>
      </tp>
      <tp>
        <v>975</v>
        <stp/>
        <stp>bse_cm|850MFL28</stp>
        <stp>High</stp>
        <tr r="N236" s="1"/>
      </tp>
      <tp>
        <v>0</v>
        <stp/>
        <stp>nse_cm|980SCL33-NX</stp>
        <stp>Open</stp>
        <tr r="M360" s="1"/>
      </tp>
      <tp>
        <v>2</v>
        <stp/>
        <stp>nse_cm|925SCFL27-YA</stp>
        <stp>Bid Qty</stp>
        <tr r="D113" s="1"/>
      </tp>
      <tp>
        <v>1002</v>
        <stp/>
        <stp>bse_cm|866SFL25</stp>
        <stp xml:space="preserve">Low </stp>
        <tr r="O1652" s="1"/>
      </tp>
      <tp>
        <v>900</v>
        <stp/>
        <stp>bse_cm|916SCL25</stp>
        <stp xml:space="preserve">Low </stp>
        <tr r="O964" s="1"/>
      </tp>
      <tp>
        <v>984</v>
        <stp/>
        <stp>bse_cm|866SCL25</stp>
        <stp xml:space="preserve">Low </stp>
        <tr r="O603" s="1"/>
      </tp>
      <tp>
        <v>0</v>
        <stp/>
        <stp>nse_cm|889SCL26-NS</stp>
        <stp>Open</stp>
        <tr r="M222" s="1"/>
      </tp>
      <tp t="s">
        <v>INE860H07IT4</v>
        <stp/>
        <stp>nse_cm|805ABFL28-N2</stp>
        <stp>Isin code</stp>
        <tr r="R477" s="1"/>
      </tp>
      <tp>
        <v>1057.55</v>
        <stp/>
        <stp>bse_cm|920PEL28</stp>
        <stp>High</stp>
        <tr r="N440" s="1"/>
      </tp>
      <tp>
        <v>985</v>
        <stp/>
        <stp>bse_cm|916ONE27</stp>
        <stp xml:space="preserve">Low </stp>
        <tr r="O267" s="1"/>
      </tp>
      <tp>
        <v>0</v>
        <stp/>
        <stp>nse_cm|78ABFL33-N4</stp>
        <stp>Open</stp>
        <tr r="M371" s="1"/>
      </tp>
      <tp>
        <v>1000</v>
        <stp/>
        <stp>bse_cm|797IGT31</stp>
        <stp xml:space="preserve">Low </stp>
        <tr r="O381" s="1"/>
      </tp>
      <tp>
        <v>1020</v>
        <stp/>
        <stp>bse_cm|956AEL29</stp>
        <stp xml:space="preserve">Low </stp>
        <tr r="O311" s="1"/>
      </tp>
      <tp>
        <v>0</v>
        <stp/>
        <stp>nse_cm|902SCL27-YU</stp>
        <stp xml:space="preserve">Low </stp>
        <tr r="O844" s="1"/>
      </tp>
      <tp t="s">
        <v>00:00:00</v>
        <stp/>
        <stp>bse_cm|NIDOZC26</stp>
        <stp>LTT</stp>
        <tr r="I27" s="1"/>
      </tp>
      <tp>
        <v>0</v>
        <stp/>
        <stp>bse_cm|NIDOZC26</stp>
        <stp>LTP</stp>
        <tr r="H27" s="1"/>
      </tp>
      <tp>
        <v>1000.55</v>
        <stp/>
        <stp>nse_cm|829LTF24-NL</stp>
        <stp>Open</stp>
        <tr r="M3" s="1"/>
      </tp>
      <tp>
        <v>995</v>
        <stp/>
        <stp>bse_cm|886ONE25</stp>
        <stp xml:space="preserve">Low </stp>
        <tr r="O723" s="1"/>
      </tp>
      <tp>
        <v>964.33</v>
        <stp/>
        <stp>bse_cm|916ONE25</stp>
        <stp xml:space="preserve">Low </stp>
        <tr r="O965" s="1"/>
      </tp>
      <tp>
        <v>1023</v>
        <stp/>
        <stp>bse_cm|930SFL28</stp>
        <stp>High</stp>
        <tr r="N10" s="1"/>
      </tp>
      <tp t="s">
        <v>00:00:00</v>
        <stp/>
        <stp>bse_cm|CIFCZC28</stp>
        <stp>LTT</stp>
        <tr r="I736" s="1"/>
      </tp>
      <tp t="s">
        <v>00:00:00</v>
        <stp/>
        <stp>bse_cm|IIFLZC26</stp>
        <stp>LTT</stp>
        <tr r="I1236" s="1"/>
      </tp>
      <tp t="s">
        <v>00:00:00</v>
        <stp/>
        <stp>bse_cm|IIFLZC25</stp>
        <stp>LTT</stp>
        <tr r="I1743" s="1"/>
      </tp>
      <tp>
        <v>0</v>
        <stp/>
        <stp>bse_cm|CIFCZC28</stp>
        <stp>LTP</stp>
        <tr r="H736" s="1"/>
      </tp>
      <tp>
        <v>0</v>
        <stp/>
        <stp>bse_cm|IIFLZC26</stp>
        <stp>LTP</stp>
        <tr r="H1236" s="1"/>
      </tp>
      <tp>
        <v>0</v>
        <stp/>
        <stp>bse_cm|IIFLZC25</stp>
        <stp>LTP</stp>
        <tr r="H1743" s="1"/>
      </tp>
      <tp>
        <v>0</v>
        <stp/>
        <stp>bse_cm|CIFCZC25</stp>
        <stp>LTP</stp>
        <tr r="H1436" s="1"/>
      </tp>
      <tp>
        <v>0</v>
        <stp/>
        <stp>bse_cm|CIFCZC26</stp>
        <stp>LTP</stp>
        <tr r="H738" s="1"/>
      </tp>
      <tp>
        <v>1245</v>
        <stp/>
        <stp>bse_cm|IIFLZC28</stp>
        <stp>LTP</stp>
        <tr r="H1660" s="1"/>
      </tp>
      <tp t="s">
        <v>00:00:00</v>
        <stp/>
        <stp>bse_cm|CIFCZC25</stp>
        <stp>LTT</stp>
        <tr r="I1436" s="1"/>
      </tp>
      <tp t="s">
        <v>00:00:00</v>
        <stp/>
        <stp>bse_cm|CIFCZC26</stp>
        <stp>LTT</stp>
        <tr r="I738" s="1"/>
      </tp>
      <tp t="s">
        <v>15:06:41</v>
        <stp/>
        <stp>bse_cm|IIFLZC28</stp>
        <stp>LTT</stp>
        <tr r="I1660" s="1"/>
      </tp>
      <tp>
        <v>0</v>
        <stp/>
        <stp>nse_cm|905SC24B-Z9</stp>
        <stp>Ask Rate</stp>
        <tr r="F637" s="1"/>
      </tp>
      <tp>
        <v>0</v>
        <stp/>
        <stp>nse_cm|93SCFL25-Z1</stp>
        <stp xml:space="preserve">Low </stp>
        <tr r="O946" s="1"/>
      </tp>
      <tp>
        <v>825.1</v>
        <stp/>
        <stp>nse_cm|939SCL27-ZZ</stp>
        <stp xml:space="preserve">Low </stp>
        <tr r="O982" s="1"/>
      </tp>
      <tp>
        <v>13</v>
        <stp/>
        <stp>nse_cm|925SCFL25-AD</stp>
        <stp>Bid Qty</stp>
        <tr r="D773" s="1"/>
      </tp>
      <tp>
        <v>1041</v>
        <stp/>
        <stp>bse_cm|CIFCZC25</stp>
        <stp>Prev Close</stp>
        <tr r="P1436" s="1"/>
      </tp>
      <tp>
        <v>841</v>
        <stp/>
        <stp>bse_cm|CIFCZC26</stp>
        <stp>Prev Close</stp>
        <tr r="P738" s="1"/>
      </tp>
      <tp>
        <v>982</v>
        <stp/>
        <stp>bse_cm|CIFCZC28</stp>
        <stp>Prev Close</stp>
        <tr r="P736" s="1"/>
      </tp>
      <tp>
        <v>307</v>
        <stp/>
        <stp>nse_cm|79NHIT35-N1</stp>
        <stp>High</stp>
        <tr r="N1589" s="1"/>
      </tp>
      <tp>
        <v>0</v>
        <stp/>
        <stp>bse_cm|SCLZC25B</stp>
        <stp>Ask Rate</stp>
        <tr r="F1540" s="1"/>
      </tp>
      <tp>
        <v>0</v>
        <stp/>
        <stp>bse_cm|MFLZC25B</stp>
        <stp>Ask Rate</stp>
        <tr r="F1273" s="1"/>
      </tp>
      <tp>
        <v>2086</v>
        <stp/>
        <stp>bse_cm|KFLZC25B</stp>
        <stp>Ask Rate</stp>
        <tr r="F1739" s="1"/>
      </tp>
      <tp>
        <v>50</v>
        <stp/>
        <stp>nse_cm|925ERFL28-N6</stp>
        <stp>Bid Qty</stp>
        <tr r="D165" s="1"/>
      </tp>
      <tp>
        <v>1000</v>
        <stp/>
        <stp>nse_cm|850NHAI29-N5</stp>
        <stp>Bid Qty</stp>
        <tr r="D512" s="1"/>
      </tp>
      <tp>
        <v>190</v>
        <stp/>
        <stp>nse_cm|825IIFL25-N7</stp>
        <stp>Bid Qty</stp>
        <tr r="D49" s="1"/>
      </tp>
      <tp>
        <v>0</v>
        <stp/>
        <stp>bse_cm|SCLZC25C</stp>
        <stp>Ask Rate</stp>
        <tr r="F1231" s="1"/>
      </tp>
      <tp>
        <v>0</v>
        <stp/>
        <stp>bse_cm|MFLZC25C</stp>
        <stp>Ask Rate</stp>
        <tr r="F1579" s="1"/>
      </tp>
      <tp>
        <v>0</v>
        <stp/>
        <stp>bse_cm|KFLZC25C</stp>
        <stp>Ask Rate</stp>
        <tr r="F1295" s="1"/>
      </tp>
      <tp>
        <v>1005</v>
        <stp/>
        <stp>bse_cm|TCHF30</stp>
        <stp xml:space="preserve">Low </stp>
        <tr r="O423" s="1"/>
      </tp>
      <tp>
        <v>935.5</v>
        <stp/>
        <stp>nse_cm|985ECL28-NK</stp>
        <stp>Open</stp>
        <tr r="M52" s="1"/>
      </tp>
      <tp>
        <v>0</v>
        <stp/>
        <stp>bse_cm|1070MML25</stp>
        <stp>Ask Qty</stp>
        <tr r="G1504" s="1"/>
      </tp>
      <tp>
        <v>908</v>
        <stp/>
        <stp>bse_cm|95KFL27A</stp>
        <stp>ATP</stp>
        <tr r="K132" s="1"/>
      </tp>
      <tp>
        <v>0</v>
        <stp/>
        <stp>nse_cm|795IGT31-NI</stp>
        <stp>High</stp>
        <tr r="N1185" s="1"/>
      </tp>
      <tp>
        <v>0</v>
        <stp/>
        <stp>bse_cm|SFLZC25A</stp>
        <stp>Ask Rate</stp>
        <tr r="F1583" s="1"/>
      </tp>
      <tp>
        <v>0</v>
        <stp/>
        <stp>bse_cm|SCLZC25A</stp>
        <stp>Ask Rate</stp>
        <tr r="F1233" s="1"/>
      </tp>
      <tp>
        <v>0</v>
        <stp/>
        <stp>bse_cm|1071KFL25</stp>
        <stp>Ask Qty</stp>
        <tr r="G1122" s="1"/>
      </tp>
      <tp>
        <v>1546.8</v>
        <stp/>
        <stp>bse_cm|MFLZC25A</stp>
        <stp>Ask Rate</stp>
        <tr r="F1757" s="1"/>
      </tp>
      <tp>
        <v>0</v>
        <stp/>
        <stp>nse_cm|888SCL25-NG</stp>
        <stp>Open</stp>
        <tr r="M912" s="1"/>
      </tp>
      <tp>
        <v>1855.49</v>
        <stp/>
        <stp>bse_cm|KFLZC25A</stp>
        <stp>Ask Rate</stp>
        <tr r="F1738" s="1"/>
      </tp>
      <tp>
        <v>0</v>
        <stp/>
        <stp>nse_cm|971SCL28-AN</stp>
        <stp>Open</stp>
        <tr r="M538" s="1"/>
      </tp>
      <tp>
        <v>50</v>
        <stp/>
        <stp>nse_cm|820IIFL27-N9</stp>
        <stp>Bid Qty</stp>
        <tr r="D266" s="1"/>
      </tp>
      <tp>
        <v>1194.8</v>
        <stp/>
        <stp>bse_cm|950SFL27</stp>
        <stp>High</stp>
        <tr r="N1144" s="1"/>
      </tp>
      <tp>
        <v>1010</v>
        <stp/>
        <stp>bse_cm|990SCL27</stp>
        <stp>High</stp>
        <tr r="N796" s="1"/>
      </tp>
      <tp>
        <v>0</v>
        <stp/>
        <stp>bse_cm|940SCL27</stp>
        <stp>High</stp>
        <tr r="N792" s="1"/>
      </tp>
      <tp>
        <v>307.8</v>
        <stp/>
        <stp>nse_cm|79NHIT40-N2</stp>
        <stp>High</stp>
        <tr r="N1587" s="1"/>
      </tp>
      <tp>
        <v>1015.99</v>
        <stp/>
        <stp>nse_cm|797IGT31-NL</stp>
        <stp>High</stp>
        <tr r="N374" s="1"/>
      </tp>
      <tp>
        <v>0</v>
        <stp/>
        <stp>bse_cm|SCLZC25F</stp>
        <stp>Ask Rate</stp>
        <tr r="F1542" s="1"/>
      </tp>
      <tp>
        <v>930.2</v>
        <stp/>
        <stp>nse_cm|965SCL26-YO</stp>
        <stp>High</stp>
        <tr r="N146" s="1"/>
      </tp>
      <tp>
        <v>819</v>
        <stp/>
        <stp>bse_cm|990SCL26</stp>
        <stp>High</stp>
        <tr r="N421" s="1"/>
      </tp>
      <tp>
        <v>0</v>
        <stp/>
        <stp>bse_cm|940SCL26</stp>
        <stp>High</stp>
        <tr r="N778" s="1"/>
      </tp>
      <tp>
        <v>50</v>
        <stp/>
        <stp>nse_cm|921ISFL25-N0</stp>
        <stp>Bid Qty</stp>
        <tr r="D287" s="1"/>
      </tp>
      <tp t="s">
        <v>INE477L07AM1</v>
        <stp/>
        <stp>nse_cm|IIFLZC25C-N8</stp>
        <stp>Isin code</stp>
        <tr r="R1748" s="1"/>
      </tp>
      <tp>
        <v>406.9</v>
        <stp/>
        <stp>nse_cm|79NHIT47-N3</stp>
        <stp>High</stp>
        <tr r="N1585" s="1"/>
      </tp>
      <tp>
        <v>1100</v>
        <stp/>
        <stp>bse_cm|CCILZC29</stp>
        <stp>Prev Close</stp>
        <tr r="P747" s="1"/>
      </tp>
      <tp>
        <v>1137.32</v>
        <stp/>
        <stp>bse_cm|CCILZC26</stp>
        <stp>Prev Close</stp>
        <tr r="P748" s="1"/>
      </tp>
      <tp>
        <v>1030</v>
        <stp/>
        <stp>bse_cm|CCILZC24</stp>
        <stp>Prev Close</stp>
        <tr r="P750" s="1"/>
      </tp>
      <tp>
        <v>1150</v>
        <stp/>
        <stp>bse_cm|CCILZC25</stp>
        <stp>Prev Close</stp>
        <tr r="P1376" s="1"/>
      </tp>
      <tp>
        <v>980</v>
        <stp/>
        <stp>bse_cm|CCILZC30</stp>
        <stp>Prev Close</stp>
        <tr r="P746" s="1"/>
      </tp>
      <tp>
        <v>0</v>
        <stp/>
        <stp>bse_cm|820SCL25</stp>
        <stp>High</stp>
        <tr r="N925" s="1"/>
      </tp>
      <tp>
        <v>0</v>
        <stp/>
        <stp>bse_cm|850SCL25</stp>
        <stp>High</stp>
        <tr r="N923" s="1"/>
      </tp>
      <tp t="s">
        <v>INE528S07128</v>
        <stp/>
        <stp>nse_cm|925ERFL28-N6</stp>
        <stp>Isin code</stp>
        <tr r="R165" s="1"/>
      </tp>
      <tp>
        <v>1053</v>
        <stp/>
        <stp>bse_cm|966ONE29</stp>
        <stp xml:space="preserve">Low </stp>
        <tr r="O281" s="1"/>
      </tp>
      <tp>
        <v>990</v>
        <stp/>
        <stp>bse_cm|926ONE29</stp>
        <stp xml:space="preserve">Low </stp>
        <tr r="O1467" s="1"/>
      </tp>
      <tp>
        <v>0</v>
        <stp/>
        <stp>bse_cm|1075SCL34</stp>
        <stp>Ask Qty</stp>
        <tr r="G888" s="1"/>
      </tp>
      <tp>
        <v>0</v>
        <stp/>
        <stp>bse_cm|1075SCL33</stp>
        <stp>Ask Qty</stp>
        <tr r="G881" s="1"/>
      </tp>
      <tp>
        <v>0</v>
        <stp/>
        <stp>bse_cm|SCLZC25D</stp>
        <stp>Ask Rate</stp>
        <tr r="F1573" s="1"/>
      </tp>
      <tp>
        <v>0</v>
        <stp/>
        <stp>bse_cm|MFLZC25D</stp>
        <stp>Ask Rate</stp>
        <tr r="F1520" s="1"/>
      </tp>
      <tp>
        <v>1274.8</v>
        <stp/>
        <stp>bse_cm|KFLZC25D</stp>
        <stp>Ask Rate</stp>
        <tr r="F1735" s="1"/>
      </tp>
      <tp>
        <v>15</v>
        <stp/>
        <stp>bse_cm|1075UCL25</stp>
        <stp>Ask Qty</stp>
        <tr r="G515" s="1"/>
      </tp>
      <tp>
        <v>0</v>
        <stp/>
        <stp>bse_cm|SCLZC25E</stp>
        <stp>Ask Rate</stp>
        <tr r="F907" s="1"/>
      </tp>
      <tp>
        <v>19</v>
        <stp/>
        <stp>bse_cm|1075IML27</stp>
        <stp>Ask Qty</stp>
        <tr r="G96" s="1"/>
      </tp>
      <tp>
        <v>0</v>
        <stp/>
        <stp>bse_cm|1175IFL26</stp>
        <stp>Ask Qty</stp>
        <tr r="G1221" s="1"/>
      </tp>
      <tp t="e">
        <v>#N/A</v>
        <stp/>
        <stp>bse_cm|1075IML24</stp>
        <stp>Ask Qty</stp>
        <tr r="G33" s="1"/>
      </tp>
      <tp>
        <v>0</v>
        <stp/>
        <stp>bse_cm|1075MML27</stp>
        <stp>Ask Qty</stp>
        <tr r="G1510" s="1"/>
      </tp>
      <tp>
        <v>0</v>
        <stp/>
        <stp>bse_cm|1075MML26</stp>
        <stp>Ask Qty</stp>
        <tr r="G1115" s="1"/>
      </tp>
      <tp>
        <v>0</v>
        <stp/>
        <stp>bse_cm|1075NFL25</stp>
        <stp>Ask Qty</stp>
        <tr r="G643" s="1"/>
      </tp>
      <tp>
        <v>0</v>
        <stp/>
        <stp>bse_cm|KFLZC25E</stp>
        <stp>Ask Rate</stp>
        <tr r="F1530" s="1"/>
      </tp>
      <tp>
        <v>0</v>
        <stp/>
        <stp>bse_cm|1075CCL25</stp>
        <stp>Ask Qty</stp>
        <tr r="G1119" s="1"/>
      </tp>
      <tp>
        <v>0</v>
        <stp/>
        <stp>bse_cm|1125CCI27</stp>
        <stp>Ask Qty</stp>
        <tr r="G1229" s="1"/>
      </tp>
      <tp>
        <v>0</v>
        <stp/>
        <stp>nse_cm|905SCL27-Z4</stp>
        <stp>ATP</stp>
        <tr r="K947" s="1"/>
      </tp>
      <tp>
        <v>0</v>
        <stp/>
        <stp>nse_cm|905SCL25-ZT</stp>
        <stp>ATP</stp>
        <tr r="K977" s="1"/>
      </tp>
      <tp>
        <v>100</v>
        <stp/>
        <stp>bse_cm|565PFCL26</stp>
        <stp>Bid Qty</stp>
        <tr r="D1210" s="1"/>
      </tp>
      <tp>
        <v>25</v>
        <stp/>
        <stp>bse_cm|745PFCL26</stp>
        <stp>Bid Qty</stp>
        <tr r="D1200" s="1"/>
      </tp>
      <tp>
        <v>0</v>
        <stp/>
        <stp>nse_cm|915SCL27-Z7</stp>
        <stp>ATP</stp>
        <tr r="K1475" s="1"/>
      </tp>
      <tp>
        <v>0</v>
        <stp/>
        <stp>nse_cm|916SCL25-ZW</stp>
        <stp>ATP</stp>
        <tr r="K1576" s="1"/>
      </tp>
      <tp>
        <v>1000</v>
        <stp/>
        <stp>nse_cm|925SCL27-YR</stp>
        <stp>ATP</stp>
        <tr r="K1415" s="1"/>
      </tp>
      <tp>
        <v>0</v>
        <stp/>
        <stp>nse_cm|925SCL29-YZ</stp>
        <stp>ATP</stp>
        <tr r="K851" s="1"/>
      </tp>
      <tp>
        <v>500</v>
        <stp/>
        <stp>bse_cm|695PFCL36</stp>
        <stp>Bid Qty</stp>
        <tr r="D430" s="1"/>
      </tp>
      <tp>
        <v>500</v>
        <stp/>
        <stp>bse_cm|715PFCL36</stp>
        <stp>Bid Qty</stp>
        <tr r="D437" s="1"/>
      </tp>
      <tp>
        <v>200</v>
        <stp/>
        <stp>bse_cm|755PFCL38</stp>
        <stp>Bid Qty</stp>
        <tr r="D434" s="1"/>
      </tp>
      <tp>
        <v>10</v>
        <stp/>
        <stp>nse_cm|990SCL26A-NL</stp>
        <stp>Bid Qty</stp>
        <tr r="D1049" s="1"/>
      </tp>
      <tp>
        <v>969</v>
        <stp/>
        <stp>bse_cm|875MFCL26C</stp>
        <stp>Prev Close</stp>
        <tr r="P309" s="1"/>
      </tp>
      <tp>
        <v>932.43</v>
        <stp/>
        <stp>bse_cm|105MMFL25A</stp>
        <stp>Prev Close</stp>
        <tr r="P1364" s="1"/>
      </tp>
      <tp>
        <v>952.58</v>
        <stp/>
        <stp>bse_cm|105MMFL25C</stp>
        <stp>Prev Close</stp>
        <tr r="P480" s="1"/>
      </tp>
      <tp>
        <v>990</v>
        <stp/>
        <stp>bse_cm|105MMFL25B</stp>
        <stp>Prev Close</stp>
        <tr r="P1390" s="1"/>
      </tp>
      <tp>
        <v>1000</v>
        <stp/>
        <stp>bse_cm|CCIL110324</stp>
        <stp>Prev Close</stp>
        <tr r="P754" s="1"/>
      </tp>
      <tp>
        <v>990</v>
        <stp/>
        <stp>bse_cm|975MFCL28E</stp>
        <stp>Prev Close</stp>
        <tr r="P303" s="1"/>
      </tp>
      <tp>
        <v>0</v>
        <stp/>
        <stp>nse_cm|939SCL27-ZZ</stp>
        <stp>ATP</stp>
        <tr r="K982" s="1"/>
      </tp>
      <tp>
        <v>0</v>
        <stp/>
        <stp>nse_cm|902SCL27-YU</stp>
        <stp>ATP</stp>
        <tr r="K844" s="1"/>
      </tp>
      <tp>
        <v>200</v>
        <stp/>
        <stp>bse_cm|729IRFC26</stp>
        <stp>Ask Qty</stp>
        <tr r="G367" s="1"/>
      </tp>
      <tp>
        <v>0</v>
        <stp/>
        <stp>bse_cm|739HUDC31</stp>
        <stp>Ask Qty</stp>
        <tr r="G1347" s="1"/>
      </tp>
      <tp>
        <v>819</v>
        <stp/>
        <stp>nse_cm|990SCL26-N7</stp>
        <stp>Open</stp>
        <tr r="M422" s="1"/>
      </tp>
      <tp>
        <v>1050.8800000000001</v>
        <stp/>
        <stp>nse_cm|847SCL25-Z2</stp>
        <stp>High</stp>
        <tr r="N212" s="1"/>
      </tp>
      <tp>
        <v>0</v>
        <stp/>
        <stp>bse_cm|966IFSL25</stp>
        <stp>Ask Qty</stp>
        <tr r="G1051" s="1"/>
      </tp>
      <tp>
        <v>12</v>
        <stp/>
        <stp>bse_cm|925SFCL25</stp>
        <stp>Bid Qty</stp>
        <tr r="D1482" s="1"/>
      </tp>
      <tp>
        <v>20</v>
        <stp/>
        <stp>bse_cm|875SCFL27</stp>
        <stp>Bid Qty</stp>
        <tr r="D1011" s="1"/>
      </tp>
      <tp>
        <v>12</v>
        <stp/>
        <stp>bse_cm|925SCFL27</stp>
        <stp>Bid Qty</stp>
        <tr r="D772" s="1"/>
      </tp>
      <tp>
        <v>95</v>
        <stp/>
        <stp>bse_cm|965SCFL25</stp>
        <stp>Bid Qty</stp>
        <tr r="D1106" s="1"/>
      </tp>
      <tp>
        <v>0</v>
        <stp/>
        <stp>bse_cm|925SCFL25</stp>
        <stp>Bid Qty</stp>
        <tr r="D774" s="1"/>
      </tp>
      <tp t="s">
        <v>BSE</v>
        <stp/>
        <stp>bse_cm|10NHFL27</stp>
        <stp>Exchange</stp>
        <tr r="C658" s="1"/>
      </tp>
      <tp t="s">
        <v>BSE</v>
        <stp/>
        <stp>bse_cm|10NIDO26</stp>
        <stp>Exchange</stp>
        <tr r="C62" s="1"/>
      </tp>
      <tp t="s">
        <v>BSE</v>
        <stp/>
        <stp>bse_cm|95NIDO26</stp>
        <stp>Exchange</stp>
        <tr r="C670" s="1"/>
      </tp>
      <tp>
        <v>0</v>
        <stp/>
        <stp>nse_cm|935LTF29-N5</stp>
        <stp>Open</stp>
        <tr r="M395" s="1"/>
      </tp>
      <tp>
        <v>44</v>
        <stp/>
        <stp>bse_cm|916NWIL27</stp>
        <stp>Ask Qty</stp>
        <tr r="G209" s="1"/>
      </tp>
      <tp>
        <v>10580</v>
        <stp/>
        <stp>bse_cm|849NTPC25</stp>
        <stp>Ask Qty</stp>
        <tr r="G443" s="1"/>
      </tp>
      <tp>
        <v>190</v>
        <stp/>
        <stp>bse_cm|955NIDO27</stp>
        <stp>Ask Qty</stp>
        <tr r="G51" s="1"/>
      </tp>
      <tp>
        <v>1</v>
        <stp/>
        <stp>bse_cm|915NIDO27</stp>
        <stp>Ask Qty</stp>
        <tr r="G59" s="1"/>
      </tp>
      <tp>
        <v>22</v>
        <stp/>
        <stp>bse_cm|905NIDO25</stp>
        <stp>Ask Qty</stp>
        <tr r="G60" s="1"/>
      </tp>
      <tp>
        <v>0</v>
        <stp/>
        <stp>nse_cm|955SCL27-Z5</stp>
        <stp>ATP</stp>
        <tr r="K949" s="1"/>
      </tp>
      <tp>
        <v>0</v>
        <stp/>
        <stp>nse_cm|957SCL31-Z3</stp>
        <stp>ATP</stp>
        <tr r="K874" s="1"/>
      </tp>
      <tp t="s">
        <v>BSE</v>
        <stp/>
        <stp>bse_cm|10NIDO27</stp>
        <stp>Exchange</stp>
        <tr r="C597" s="1"/>
      </tp>
      <tp>
        <v>0</v>
        <stp/>
        <stp>nse_cm|965SCL26-YO</stp>
        <stp>ATP</stp>
        <tr r="K146" s="1"/>
      </tp>
      <tp>
        <v>0</v>
        <stp/>
        <stp>nse_cm|955SCL25-ZU</stp>
        <stp>ATP</stp>
        <tr r="K1391" s="1"/>
      </tp>
      <tp>
        <v>0</v>
        <stp/>
        <stp>nse_cm|965SCL29-YX</stp>
        <stp>ATP</stp>
        <tr r="K847" s="1"/>
      </tp>
      <tp>
        <v>200</v>
        <stp/>
        <stp>bse_cm|MFCL16924</stp>
        <stp>Ask Qty</stp>
        <tr r="G579" s="1"/>
      </tp>
      <tp>
        <v>0</v>
        <stp/>
        <stp>nse_cm|971SCL29-Z0</stp>
        <stp>ATP</stp>
        <tr r="K681" s="1"/>
      </tp>
      <tp>
        <v>1029</v>
        <stp/>
        <stp>bse_cm|925ICCL24A</stp>
        <stp>Prev Close</stp>
        <tr r="P1072" s="1"/>
      </tp>
      <tp>
        <v>992</v>
        <stp/>
        <stp>bse_cm|955ICCL25A</stp>
        <stp>Prev Close</stp>
        <tr r="P1143" s="1"/>
      </tp>
      <tp>
        <v>1050</v>
        <stp/>
        <stp>bse_cm|965ICCL25I</stp>
        <stp>Prev Close</stp>
        <tr r="P1430" s="1"/>
      </tp>
      <tp>
        <v>1000</v>
        <stp/>
        <stp>bse_cm|925ICCL25I</stp>
        <stp>Prev Close</stp>
        <tr r="P782" s="1"/>
      </tp>
      <tp>
        <v>1064</v>
        <stp/>
        <stp>bse_cm|965IHFL25D</stp>
        <stp>Prev Close</stp>
        <tr r="P1432" s="1"/>
      </tp>
      <tp>
        <v>1020</v>
        <stp/>
        <stp>bse_cm|925IHFL25E</stp>
        <stp>Prev Close</stp>
        <tr r="P398" s="1"/>
      </tp>
      <tp>
        <v>1129.99</v>
        <stp/>
        <stp>bse_cm|925IHFL25D</stp>
        <stp>Prev Close</stp>
        <tr r="P1671" s="1"/>
      </tp>
      <tp>
        <v>0</v>
        <stp/>
        <stp>nse_cm|975SCL27-Z9</stp>
        <stp>ATP</stp>
        <tr r="K885" s="1"/>
      </tp>
      <tp>
        <v>1029.8</v>
        <stp/>
        <stp>bse_cm|875IIFL26A</stp>
        <stp>Prev Close</stp>
        <tr r="P232" s="1"/>
      </tp>
      <tp>
        <v>0</v>
        <stp/>
        <stp>nse_cm|940SCL27-YS</stp>
        <stp>ATP</stp>
        <tr r="K842" s="1"/>
      </tp>
      <tp>
        <v>0</v>
        <stp/>
        <stp>nse_cm|948SCL27-YV</stp>
        <stp>ATP</stp>
        <tr r="K127" s="1"/>
      </tp>
      <tp>
        <v>0</v>
        <stp/>
        <stp>nse_cm|980SCL34-Z7</stp>
        <stp>ATP</stp>
        <tr r="K884" s="1"/>
      </tp>
      <tp>
        <v>1058.21</v>
        <stp/>
        <stp>bse_cm|SCL25B</stp>
        <stp xml:space="preserve">Low </stp>
        <tr r="O1544" s="1"/>
      </tp>
      <tp>
        <v>0</v>
        <stp/>
        <stp>nse_cm|86CIFC29-NN</stp>
        <stp>Open</stp>
        <tr r="M1340" s="1"/>
      </tp>
      <tp>
        <v>0</v>
        <stp/>
        <stp>nse_cm|990SCL27-YT</stp>
        <stp>ATP</stp>
        <tr r="K1024" s="1"/>
      </tp>
      <tp>
        <v>1152.55</v>
        <stp/>
        <stp>nse_cm|SCLZC25-YN</stp>
        <stp>Prev Close</stp>
        <tr r="P1727" s="1"/>
      </tp>
      <tp>
        <v>943</v>
        <stp/>
        <stp>bse_cm|955EFSL26A</stp>
        <stp>Prev Close</stp>
        <tr r="P214" s="1"/>
      </tp>
      <tp>
        <v>1011.8</v>
        <stp/>
        <stp>bse_cm|955EFSL26B</stp>
        <stp>Prev Close</stp>
        <tr r="P666" s="1"/>
      </tp>
      <tp>
        <v>945</v>
        <stp/>
        <stp>bse_cm|915EFSL26A</stp>
        <stp>Prev Close</stp>
        <tr r="P187" s="1"/>
      </tp>
      <tp>
        <v>992</v>
        <stp/>
        <stp>bse_cm|875EFSL24A</stp>
        <stp>Prev Close</stp>
        <tr r="P229" s="1"/>
      </tp>
      <tp>
        <v>965</v>
        <stp/>
        <stp>bse_cm|895EFSL25A</stp>
        <stp>Prev Close</stp>
        <tr r="P594" s="1"/>
      </tp>
      <tp>
        <v>0</v>
        <stp/>
        <stp>bse_cm|SCL25A</stp>
        <stp xml:space="preserve">Low </stp>
        <tr r="O1238" s="1"/>
      </tp>
      <tp>
        <v>1000</v>
        <stp/>
        <stp>nse_cm|885MOFSL26-N0</stp>
        <stp>Face Value</stp>
        <tr r="Q1635" s="1"/>
      </tp>
      <tp>
        <v>0</v>
        <stp/>
        <stp>bse_cm|MMFLZC26</stp>
        <stp>Volume Traded Today</stp>
        <tr r="L1261" s="1"/>
      </tp>
      <tp>
        <v>0</v>
        <stp/>
        <stp>bse_cm|MMFLZC27</stp>
        <stp>Volume Traded Today</stp>
        <tr r="L1462" s="1"/>
      </tp>
      <tp>
        <v>0</v>
        <stp/>
        <stp>bse_cm|MMFLZC25</stp>
        <stp>Volume Traded Today</stp>
        <tr r="L1731" s="1"/>
      </tp>
      <tp>
        <v>0</v>
        <stp/>
        <stp>bse_cm|MMFLZC28</stp>
        <stp>Volume Traded Today</stp>
        <tr r="L1259" s="1"/>
      </tp>
      <tp>
        <v>0</v>
        <stp/>
        <stp>bse_cm|JMFPZC26</stp>
        <stp>Volume Traded Today</stp>
        <tr r="L1323" s="1"/>
      </tp>
      <tp>
        <v>0</v>
        <stp/>
        <stp>bse_cm|JMFPZC25</stp>
        <stp>Volume Traded Today</stp>
        <tr r="L1324" s="1"/>
      </tp>
      <tp>
        <v>1048.0999999999999</v>
        <stp/>
        <stp>bse_cm|SFL25B</stp>
        <stp xml:space="preserve">Low </stp>
        <tr r="O1433" s="1"/>
      </tp>
      <tp>
        <v>10</v>
        <stp/>
        <stp>nse_cm|990SCL26D-AH</stp>
        <stp>Bid Qty</stp>
        <tr r="D1556" s="1"/>
      </tp>
      <tp>
        <v>0</v>
        <stp/>
        <stp>nse_cm|990SCL26I-AV</stp>
        <stp>Bid Qty</stp>
        <tr r="D1368" s="1"/>
      </tp>
      <tp>
        <v>1157.5899999999999</v>
        <stp/>
        <stp>bse_cm|SFL25A</stp>
        <stp xml:space="preserve">Low </stp>
        <tr r="O812" s="1"/>
      </tp>
      <tp>
        <v>45</v>
        <stp/>
        <stp>bse_cm|916EFSL26</stp>
        <stp>Ask Qty</stp>
        <tr r="G69" s="1"/>
      </tp>
      <tp>
        <v>0</v>
        <stp/>
        <stp>nse_cm|948SCL26-N9</stp>
        <stp>ATP</stp>
        <tr r="K1632" s="1"/>
      </tp>
      <tp>
        <v>0</v>
        <stp/>
        <stp>nse_cm|940SCL26-N6</stp>
        <stp>ATP</stp>
        <tr r="K921" s="1"/>
      </tp>
      <tp>
        <v>935.31</v>
        <stp/>
        <stp>nse_cm|943ECL28-NJ</stp>
        <stp>ATP</stp>
        <tr r="K94" s="1"/>
      </tp>
      <tp>
        <v>10</v>
        <stp/>
        <stp>bse_cm|805ABFL28</stp>
        <stp>Bid Qty</stp>
        <tr r="D1371" s="1"/>
      </tp>
      <tp>
        <v>1</v>
        <stp/>
        <stp>bse_cm|975AHFL28</stp>
        <stp>Bid Qty</stp>
        <tr r="D324" s="1"/>
      </tp>
      <tp>
        <v>25</v>
        <stp/>
        <stp>bse_cm|935AHFL28</stp>
        <stp>Bid Qty</stp>
        <tr r="D456" s="1"/>
      </tp>
      <tp>
        <v>10</v>
        <stp/>
        <stp>nse_cm|894SCL25A-ZI</stp>
        <stp>Bid Qty</stp>
        <tr r="D963" s="1"/>
      </tp>
      <tp>
        <v>1135.3</v>
        <stp/>
        <stp>bse_cm|99JFPL25</stp>
        <stp>Ask Rate</stp>
        <tr r="F1670" s="1"/>
      </tp>
      <tp>
        <v>0</v>
        <stp/>
        <stp>nse_cm|975SCL28-NT</stp>
        <stp>ATP</stp>
        <tr r="K142" s="1"/>
      </tp>
      <tp>
        <v>21</v>
        <stp/>
        <stp>bse_cm|115CCIL28</stp>
        <stp>Bid Qty</stp>
        <tr r="D382" s="1"/>
      </tp>
      <tp>
        <v>97</v>
        <stp/>
        <stp>bse_cm|945CAGL24</stp>
        <stp>Bid Qty</stp>
        <tr r="D566" s="1"/>
      </tp>
      <tp>
        <v>1</v>
        <stp/>
        <stp>bse_cm|925CAGL26</stp>
        <stp>Bid Qty</stp>
        <tr r="D294" s="1"/>
      </tp>
      <tp>
        <v>0</v>
        <stp/>
        <stp>nse_cm|902SCL26-N8</stp>
        <stp>ATP</stp>
        <tr r="K968" s="1"/>
      </tp>
      <tp t="s">
        <v>10:34:07</v>
        <stp/>
        <stp>nse_cm|10IIFL28-N4</stp>
        <stp>LTT</stp>
        <tr r="I42" s="1"/>
      </tp>
      <tp t="s">
        <v>09:53:30</v>
        <stp/>
        <stp>nse_cm|10IIFL29-N6</stp>
        <stp>LTT</stp>
        <tr r="I193" s="1"/>
      </tp>
      <tp>
        <v>1050</v>
        <stp/>
        <stp>nse_cm|10ISFL26-N3</stp>
        <stp>LTP</stp>
        <tr r="H1527" s="1"/>
      </tp>
      <tp>
        <v>955.99</v>
        <stp/>
        <stp>nse_cm|10IIFL28-N4</stp>
        <stp>LTP</stp>
        <tr r="H42" s="1"/>
      </tp>
      <tp>
        <v>990</v>
        <stp/>
        <stp>nse_cm|10IIFL29-N6</stp>
        <stp>LTP</stp>
        <tr r="H193" s="1"/>
      </tp>
      <tp t="s">
        <v/>
        <stp/>
        <stp>nse_cm|10ISFL26-N3</stp>
        <stp>LTT</stp>
        <tr r="I1527" s="1"/>
      </tp>
      <tp>
        <v>18</v>
        <stp/>
        <stp>bse_cm|965EFSL32</stp>
        <stp>Bid Qty</stp>
        <tr r="D141" s="1"/>
      </tp>
      <tp>
        <v>170</v>
        <stp/>
        <stp>bse_cm|995EFSL31</stp>
        <stp>Bid Qty</stp>
        <tr r="D192" s="1"/>
      </tp>
      <tp>
        <v>10</v>
        <stp/>
        <stp>bse_cm|10KAFL26B</stp>
        <stp>Bid Qty</stp>
        <tr r="D1094" s="1"/>
      </tp>
      <tp>
        <v>13</v>
        <stp/>
        <stp>bse_cm|10KAFL26A</stp>
        <stp>Bid Qty</stp>
        <tr r="D1095" s="1"/>
      </tp>
      <tp>
        <v>12</v>
        <stp/>
        <stp>nse_cm|990SCL26B-Y7</stp>
        <stp>Bid Qty</stp>
        <tr r="D798" s="1"/>
      </tp>
      <tp>
        <v>0</v>
        <stp/>
        <stp>nse_cm|94IFCI25-NL</stp>
        <stp>ATP</stp>
        <tr r="K235" s="1"/>
      </tp>
      <tp>
        <v>0</v>
        <stp/>
        <stp>nse_cm|915SCL26-NE</stp>
        <stp>ATP</stp>
        <tr r="K58" s="1"/>
      </tp>
      <tp>
        <v>50</v>
        <stp/>
        <stp>bse_cm|925ERFL28</stp>
        <stp>Bid Qty</stp>
        <tr r="D147" s="1"/>
      </tp>
      <tp>
        <v>25</v>
        <stp/>
        <stp>bse_cm|895EFSL26</stp>
        <stp>Bid Qty</stp>
        <tr r="D109" s="1"/>
      </tp>
      <tp>
        <v>100</v>
        <stp/>
        <stp>bse_cm|935EFSL27</stp>
        <stp>Bid Qty</stp>
        <tr r="D157" s="1"/>
      </tp>
      <tp>
        <v>150</v>
        <stp/>
        <stp>bse_cm|975EFSL27</stp>
        <stp>Bid Qty</stp>
        <tr r="D45" s="1"/>
      </tp>
      <tp>
        <v>10</v>
        <stp/>
        <stp>bse_cm|915EFSL26</stp>
        <stp>Bid Qty</stp>
        <tr r="D93" s="1"/>
      </tp>
      <tp>
        <v>190</v>
        <stp/>
        <stp>bse_cm|955EFSL26</stp>
        <stp>Bid Qty</stp>
        <tr r="D503" s="1"/>
      </tp>
      <tp>
        <v>1</v>
        <stp/>
        <stp>bse_cm|925EFSL25</stp>
        <stp>Bid Qty</stp>
        <tr r="D632" s="1"/>
      </tp>
      <tp>
        <v>9</v>
        <stp/>
        <stp>bse_cm|895EFSL25</stp>
        <stp>Bid Qty</stp>
        <tr r="D700" s="1"/>
      </tp>
      <tp>
        <v>20</v>
        <stp/>
        <stp>bse_cm|105EFSL29</stp>
        <stp>Bid Qty</stp>
        <tr r="D1358" s="1"/>
      </tp>
      <tp>
        <v>1001.43</v>
        <stp/>
        <stp>nse_cm|925SCL25-N5</stp>
        <stp>ATP</stp>
        <tr r="K1474" s="1"/>
      </tp>
      <tp>
        <v>0</v>
        <stp/>
        <stp>nse_cm|92ICCL28-ND</stp>
        <stp>ATP</stp>
        <tr r="K203" s="1"/>
      </tp>
      <tp>
        <v>0</v>
        <stp/>
        <stp>nse_cm|925SCL26-NR</stp>
        <stp>ATP</stp>
        <tr r="K991" s="1"/>
      </tp>
      <tp>
        <v>1000</v>
        <stp/>
        <stp>nse_cm|858HUDCO29-NC</stp>
        <stp>Face Value</stp>
        <tr r="Q1636" s="1"/>
      </tp>
      <tp>
        <v>0</v>
        <stp/>
        <stp>nse_cm|935SCL28-NV</stp>
        <stp>ATP</stp>
        <tr r="K986" s="1"/>
      </tp>
      <tp>
        <v>0</v>
        <stp/>
        <stp>bse_cm|MML24A</stp>
        <stp>Open</stp>
        <tr r="M1254" s="1"/>
      </tp>
      <tp>
        <v>0</v>
        <stp/>
        <stp>nse_cm|99IFCI24-NH</stp>
        <stp>ATP</stp>
        <tr r="K39" s="1"/>
      </tp>
      <tp t="s">
        <v>BSE</v>
        <stp/>
        <stp>bse_cm|88NWIL25</stp>
        <stp>Exchange</stp>
        <tr r="C219" s="1"/>
      </tp>
      <tp>
        <v>0</v>
        <stp/>
        <stp>nse_cm|925SCL28-AM</stp>
        <stp>ATP</stp>
        <tr r="K939" s="1"/>
      </tp>
      <tp>
        <v>200</v>
        <stp/>
        <stp>bse_cm|866SCFL25</stp>
        <stp>Ask Qty</stp>
        <tr r="G342" s="1"/>
      </tp>
      <tp>
        <v>0</v>
        <stp/>
        <stp>bse_cm|105IIFL29</stp>
        <stp>Bid Qty</stp>
        <tr r="D338" s="1"/>
      </tp>
      <tp>
        <v>1</v>
        <stp/>
        <stp>bse_cm|985ICCL28</stp>
        <stp>Bid Qty</stp>
        <tr r="D1483" s="1"/>
      </tp>
      <tp>
        <v>50</v>
        <stp/>
        <stp>bse_cm|985IIFL22</stp>
        <stp>Bid Qty</stp>
        <tr r="D178" s="1"/>
      </tp>
      <tp>
        <v>20</v>
        <stp/>
        <stp>bse_cm|125ICFL26</stp>
        <stp>Bid Qty</stp>
        <tr r="D1214" s="1"/>
      </tp>
      <tp>
        <v>20</v>
        <stp/>
        <stp>bse_cm|825IIFL25</stp>
        <stp>Bid Qty</stp>
        <tr r="D47" s="1"/>
      </tp>
      <tp>
        <v>1000</v>
        <stp/>
        <stp>bse_cm|KFLZC28C</stp>
        <stp>Face Value</stp>
        <tr r="Q1287" s="1"/>
      </tp>
      <tp>
        <v>1000</v>
        <stp/>
        <stp>bse_cm|KFLZC28B</stp>
        <stp>Face Value</stp>
        <tr r="Q1288" s="1"/>
      </tp>
      <tp>
        <v>1000</v>
        <stp/>
        <stp>bse_cm|KFLZC28A</stp>
        <stp>Face Value</stp>
        <tr r="Q1289" s="1"/>
      </tp>
      <tp>
        <v>9</v>
        <stp/>
        <stp>bse_cm|875IIFL26</stp>
        <stp>Bid Qty</stp>
        <tr r="D642" s="1"/>
      </tp>
      <tp>
        <v>30</v>
        <stp/>
        <stp>bse_cm|115ICFL25</stp>
        <stp>Bid Qty</stp>
        <tr r="D1548" s="1"/>
      </tp>
      <tp>
        <v>1000</v>
        <stp/>
        <stp>bse_cm|KFLZC25E</stp>
        <stp>Face Value</stp>
        <tr r="Q1530" s="1"/>
      </tp>
      <tp>
        <v>1000</v>
        <stp/>
        <stp>bse_cm|KFLZC25D</stp>
        <stp>Face Value</stp>
        <tr r="Q1735" s="1"/>
      </tp>
      <tp>
        <v>1000</v>
        <stp/>
        <stp>bse_cm|KFLZC25C</stp>
        <stp>Face Value</stp>
        <tr r="Q1295" s="1"/>
      </tp>
      <tp>
        <v>1000</v>
        <stp/>
        <stp>bse_cm|KFLZC25B</stp>
        <stp>Face Value</stp>
        <tr r="Q1739" s="1"/>
      </tp>
      <tp>
        <v>1000</v>
        <stp/>
        <stp>bse_cm|KFLZC25A</stp>
        <stp>Face Value</stp>
        <tr r="Q1738" s="1"/>
      </tp>
      <tp>
        <v>170</v>
        <stp/>
        <stp>bse_cm|875IHFL29</stp>
        <stp>Bid Qty</stp>
        <tr r="D1230" s="1"/>
      </tp>
      <tp>
        <v>100</v>
        <stp/>
        <stp>bse_cm|865IIFL28</stp>
        <stp>Bid Qty</stp>
        <tr r="D75" s="1"/>
      </tp>
      <tp>
        <v>12</v>
        <stp/>
        <stp>bse_cm|965IFSL26</stp>
        <stp>Bid Qty</stp>
        <tr r="D1142" s="1"/>
      </tp>
      <tp>
        <v>1000</v>
        <stp/>
        <stp>bse_cm|KFLZC24D</stp>
        <stp>Face Value</stp>
        <tr r="Q1296" s="1"/>
      </tp>
      <tp>
        <v>10</v>
        <stp/>
        <stp>bse_cm|945IFSL25</stp>
        <stp>Bid Qty</stp>
        <tr r="D483" s="1"/>
      </tp>
      <tp>
        <v>25</v>
        <stp/>
        <stp>bse_cm|955IFSL25</stp>
        <stp>Bid Qty</stp>
        <tr r="D1470" s="1"/>
      </tp>
      <tp>
        <v>1000</v>
        <stp/>
        <stp>bse_cm|KFLZC27A</stp>
        <stp>Face Value</stp>
        <tr r="Q1291" s="1"/>
      </tp>
      <tp>
        <v>1000</v>
        <stp/>
        <stp>bse_cm|KFLZC26E</stp>
        <stp>Face Value</stp>
        <tr r="Q1293" s="1"/>
      </tp>
      <tp>
        <v>1000</v>
        <stp/>
        <stp>bse_cm|KFLZC26D</stp>
        <stp>Face Value</stp>
        <tr r="Q1294" s="1"/>
      </tp>
      <tp>
        <v>1000</v>
        <stp/>
        <stp>bse_cm|KFLZC26C</stp>
        <stp>Face Value</stp>
        <tr r="Q1744" s="1"/>
      </tp>
      <tp>
        <v>1000</v>
        <stp/>
        <stp>bse_cm|KFLZC26B</stp>
        <stp>Face Value</stp>
        <tr r="Q1711" s="1"/>
      </tp>
      <tp>
        <v>1000</v>
        <stp/>
        <stp>bse_cm|KFLZC26A</stp>
        <stp>Face Value</stp>
        <tr r="Q1442" s="1"/>
      </tp>
      <tp>
        <v>22</v>
        <stp/>
        <stp>bse_cm|925KFIL25</stp>
        <stp>Bid Qty</stp>
        <tr r="D776" s="1"/>
      </tp>
      <tp>
        <v>12</v>
        <stp/>
        <stp>bse_cm|975KAFL25</stp>
        <stp>Bid Qty</stp>
        <tr r="D860" s="1"/>
      </tp>
      <tp>
        <v>14</v>
        <stp/>
        <stp>bse_cm|935KAFL25</stp>
        <stp>Bid Qty</stp>
        <tr r="D785" s="1"/>
      </tp>
      <tp>
        <v>12</v>
        <stp/>
        <stp>bse_cm|985KAFL26</stp>
        <stp>Bid Qty</stp>
        <tr r="D1102" s="1"/>
      </tp>
      <tp>
        <v>4</v>
        <stp/>
        <stp>bse_cm|975KAFL26</stp>
        <stp>Bid Qty</stp>
        <tr r="D859" s="1"/>
      </tp>
      <tp>
        <v>0</v>
        <stp/>
        <stp>nse_cm|98ICCL26-NU</stp>
        <stp>ATP</stp>
        <tr r="K1569" s="1"/>
      </tp>
      <tp>
        <v>0</v>
        <stp/>
        <stp>nse_cm|971SCL28-AN</stp>
        <stp>ATP</stp>
        <tr r="K538" s="1"/>
      </tp>
      <tp>
        <v>935.5</v>
        <stp/>
        <stp>nse_cm|985ECL28-NK</stp>
        <stp>ATP</stp>
        <tr r="K52" s="1"/>
      </tp>
      <tp>
        <v>0</v>
        <stp/>
        <stp>nse_cm|980SCL33-NX</stp>
        <stp>ATP</stp>
        <tr r="K360" s="1"/>
      </tp>
      <tp>
        <v>0</v>
        <stp/>
        <stp>bse_cm|MFL24A</stp>
        <stp>Open</stp>
        <tr r="M1759" s="1"/>
      </tp>
      <tp>
        <v>5</v>
        <stp/>
        <stp>bse_cm|965MFCL30</stp>
        <stp>Bid Qty</stp>
        <tr r="D225" s="1"/>
      </tp>
      <tp>
        <v>1</v>
        <stp/>
        <stp>bse_cm|955MFCL30</stp>
        <stp>Bid Qty</stp>
        <tr r="D1130" s="1"/>
      </tp>
      <tp>
        <v>705.79</v>
        <stp/>
        <stp>nse_cm|990SCL26-N7</stp>
        <stp>ATP</stp>
        <tr r="K422" s="1"/>
      </tp>
      <tp>
        <v>0</v>
        <stp/>
        <stp>nse_cm|965SCL25-AG</stp>
        <stp>ATP</stp>
        <tr r="K1577" s="1"/>
      </tp>
      <tp>
        <v>0</v>
        <stp/>
        <stp>nse_cm|965SCL28-AK</stp>
        <stp>ATP</stp>
        <tr r="K1137" s="1"/>
      </tp>
      <tp>
        <v>0</v>
        <stp/>
        <stp>nse_cm|957SCL30-BX</stp>
        <stp>ATP</stp>
        <tr r="K1109" s="1"/>
      </tp>
      <tp>
        <v>110</v>
        <stp/>
        <stp>bse_cm|975MMFL24</stp>
        <stp>Bid Qty</stp>
        <tr r="D853" s="1"/>
      </tp>
      <tp>
        <v>40</v>
        <stp/>
        <stp>bse_cm|975MMFL26</stp>
        <stp>Bid Qty</stp>
        <tr r="D215" s="1"/>
      </tp>
      <tp>
        <v>12</v>
        <stp/>
        <stp>bse_cm|935MFCL29</stp>
        <stp>Bid Qty</stp>
        <tr r="D239" s="1"/>
      </tp>
      <tp>
        <v>50</v>
        <stp/>
        <stp>bse_cm|975MFCL29</stp>
        <stp>Bid Qty</stp>
        <tr r="D856" s="1"/>
      </tp>
      <tp>
        <v>5</v>
        <stp/>
        <stp>bse_cm|945MFCL29</stp>
        <stp>Bid Qty</stp>
        <tr r="D682" s="1"/>
      </tp>
      <tp>
        <v>3</v>
        <stp/>
        <stp>bse_cm|925MFCL27</stp>
        <stp>Bid Qty</stp>
        <tr r="D262" s="1"/>
      </tp>
      <tp>
        <v>12</v>
        <stp/>
        <stp>bse_cm|915MFCL27</stp>
        <stp>Bid Qty</stp>
        <tr r="D1472" s="1"/>
      </tp>
      <tp>
        <v>30</v>
        <stp/>
        <stp>bse_cm|965MFCL27</stp>
        <stp>Bid Qty</stp>
        <tr r="D618" s="1"/>
      </tp>
      <tp>
        <v>5</v>
        <stp/>
        <stp>bse_cm|925MFCL26</stp>
        <stp>Bid Qty</stp>
        <tr r="D1610" s="1"/>
      </tp>
      <tp>
        <v>54</v>
        <stp/>
        <stp>bse_cm|105MMFL25</stp>
        <stp>Bid Qty</stp>
        <tr r="D1171" s="1"/>
      </tp>
      <tp>
        <v>9</v>
        <stp/>
        <stp>bse_cm|955NWIL27</stp>
        <stp>Bid Qty</stp>
        <tr r="D1480" s="1"/>
      </tp>
      <tp>
        <v>180</v>
        <stp/>
        <stp>bse_cm|915NWIL25</stp>
        <stp>Bid Qty</stp>
        <tr r="D620" s="1"/>
      </tp>
      <tp>
        <v>1000</v>
        <stp/>
        <stp>nse_cm|860CIFCL28-NG</stp>
        <stp>Face Value</stp>
        <tr r="Q647" s="1"/>
      </tp>
      <tp>
        <v>9</v>
        <stp/>
        <stp>bse_cm|895NHFL25</stp>
        <stp>Bid Qty</stp>
        <tr r="D54" s="1"/>
      </tp>
      <tp>
        <v>1000</v>
        <stp/>
        <stp>bse_cm|850NHAI29</stp>
        <stp>Bid Qty</stp>
        <tr r="D580" s="1"/>
      </tp>
      <tp>
        <v>1000.21</v>
        <stp/>
        <stp>bse_cm|58PFCL26</stp>
        <stp>Bid Rate</stp>
        <tr r="E369" s="1"/>
      </tp>
      <tp>
        <v>99</v>
        <stp/>
        <stp>bse_cm|995NWIL32</stp>
        <stp>Bid Qty</stp>
        <tr r="D1023" s="1"/>
      </tp>
      <tp>
        <v>0</v>
        <stp/>
        <stp>bse_cm|MFL24B</stp>
        <stp>Open</stp>
        <tr r="M1756" s="1"/>
      </tp>
      <tp t="s">
        <v>INE219X07223</v>
        <stp/>
        <stp>nse_cm|79IGT28-NF</stp>
        <stp>Isin code</stp>
        <tr r="R692" s="1"/>
      </tp>
      <tp>
        <v>0</v>
        <stp/>
        <stp>bse_cm|1015SCL28A</stp>
        <stp>ATP</stp>
        <tr r="K1386" s="1"/>
      </tp>
      <tp>
        <v>0</v>
        <stp/>
        <stp>bse_cm|1015SCL28B</stp>
        <stp>ATP</stp>
        <tr r="K1178" s="1"/>
      </tp>
      <tp t="s">
        <v>INE530L07756</v>
        <stp/>
        <stp>bse_cm|1050NHFL29</stp>
        <stp>Isin code</stp>
        <tr r="R1125" s="1"/>
      </tp>
      <tp t="s">
        <v>INE530L07723</v>
        <stp/>
        <stp>bse_cm|NIDO010329</stp>
        <stp>Isin code</stp>
        <tr r="R1246" s="1"/>
      </tp>
      <tp t="s">
        <v>965SCL25E-BF</v>
        <stp/>
        <stp>nse_cm|965SCL25E-BF</stp>
        <stp>Trading Symbol</stp>
        <tr r="B413" s="1"/>
      </tp>
      <tp t="s">
        <v>INE530L07624</v>
        <stp/>
        <stp>bse_cm|1010NIDO28</stp>
        <stp>Isin code</stp>
        <tr r="R199" s="1"/>
      </tp>
      <tp t="s">
        <v>INE530L07764</v>
        <stp/>
        <stp>bse_cm|1003NHFL29</stp>
        <stp>Isin code</stp>
        <tr r="R605" s="1"/>
      </tp>
      <tp>
        <v>0</v>
        <stp/>
        <stp>bse_cm|702HUDCO26</stp>
        <stp>ATP</stp>
        <tr r="K1718" s="1"/>
      </tp>
      <tp>
        <v>0</v>
        <stp/>
        <stp>bse_cm|704HUDCO26</stp>
        <stp>ATP</stp>
        <tr r="K1724" s="1"/>
      </tp>
      <tp>
        <v>1057.0999999999999</v>
        <stp/>
        <stp>bse_cm|727HUDCO26</stp>
        <stp>ATP</stp>
        <tr r="K481" s="1"/>
      </tp>
      <tp>
        <v>0</v>
        <stp/>
        <stp>bse_cm|729HUDCO26</stp>
        <stp>ATP</stp>
        <tr r="K523" s="1"/>
      </tp>
      <tp>
        <v>0</v>
        <stp/>
        <stp>bse_cm|739HUDCO31</stp>
        <stp>ATP</stp>
        <tr r="K569" s="1"/>
      </tp>
      <tp>
        <v>0</v>
        <stp/>
        <stp>bse_cm|764HUDCO31</stp>
        <stp>ATP</stp>
        <tr r="K16" s="1"/>
      </tp>
      <tp>
        <v>0</v>
        <stp/>
        <stp>bse_cm|769HUDCO31</stp>
        <stp>ATP</stp>
        <tr r="K15" s="1"/>
      </tp>
      <tp t="s">
        <v>888SCL25D-NC</v>
        <stp/>
        <stp>nse_cm|888SCL25D-NC</stp>
        <stp>Trading Symbol</stp>
        <tr r="B916" s="1"/>
      </tp>
      <tp t="s">
        <v>INE027E07AN7</v>
        <stp/>
        <stp>nse_cm|87LTF27-NH</stp>
        <stp>Isin code</stp>
        <tr r="R407" s="1"/>
      </tp>
      <tp>
        <v>0</v>
        <stp/>
        <stp>nse_cm|TCHF30-NB</stp>
        <stp>% Change</stp>
        <tr r="J408" s="1"/>
      </tp>
      <tp t="s">
        <v>INE202E07187</v>
        <stp/>
        <stp>bse_cm|728IREDA26</stp>
        <stp>Isin code</stp>
        <tr r="R1203" s="1"/>
      </tp>
      <tp>
        <v>0</v>
        <stp/>
        <stp>bse_cm|1025SFL25A</stp>
        <stp>ATP</stp>
        <tr r="K1070" s="1"/>
      </tp>
      <tp>
        <v>0</v>
        <stp/>
        <stp>bse_cm|875TCAPS29</stp>
        <stp>ATP</stp>
        <tr r="K935" s="1"/>
      </tp>
      <tp>
        <v>0</v>
        <stp/>
        <stp>bse_cm|855TCAPS27</stp>
        <stp>ATP</stp>
        <tr r="K1004" s="1"/>
      </tp>
      <tp>
        <v>0</v>
        <stp/>
        <stp>bse_cm|865TCAPS27</stp>
        <stp>ATP</stp>
        <tr r="K377" s="1"/>
      </tp>
      <tp>
        <v>0</v>
        <stp/>
        <stp>bse_cm|885TCAPS29</stp>
        <stp>ATP</stp>
        <tr r="K12" s="1"/>
      </tp>
      <tp>
        <v>0</v>
        <stp/>
        <stp>bse_cm|1025MMF26A</stp>
        <stp>ATP</stp>
        <tr r="K290" s="1"/>
      </tp>
      <tp t="s">
        <v>INE774D08MK5</v>
        <stp/>
        <stp>bse_cm|800MMFSL27</stp>
        <stp>Isin code</stp>
        <tr r="R436" s="1"/>
      </tp>
      <tp t="e">
        <v>#N/A</v>
        <stp/>
        <stp>bse_cm|1075IML24A</stp>
        <stp>ATP</stp>
        <tr r="K32" s="1"/>
      </tp>
      <tp>
        <v>0</v>
        <stp/>
        <stp>bse_cm|1125KLM26A</stp>
        <stp>ATP</stp>
        <tr r="K1226" s="1"/>
      </tp>
      <tp>
        <v>0</v>
        <stp/>
        <stp>bse_cm|1025KFL26A</stp>
        <stp>ATP</stp>
        <tr r="K525" s="1"/>
      </tp>
      <tp>
        <v>0</v>
        <stp/>
        <stp>bse_cm|1025KFL26B</stp>
        <stp>ATP</stp>
        <tr r="K1422" s="1"/>
      </tp>
      <tp>
        <v>0</v>
        <stp/>
        <stp>bse_cm|1025KFL26C</stp>
        <stp>ATP</stp>
        <tr r="K459" s="1"/>
      </tp>
      <tp>
        <v>919.77</v>
        <stp/>
        <stp>bse_cm|1025KFL27A</stp>
        <stp>ATP</stp>
        <tr r="K89" s="1"/>
      </tp>
      <tp>
        <v>0</v>
        <stp/>
        <stp>bse_cm|IIFLHFZC27</stp>
        <stp>Volume Traded Today</stp>
        <tr r="L1516" s="1"/>
      </tp>
      <tp>
        <v>0</v>
        <stp/>
        <stp>nse_cm|957IIFLS27-NA</stp>
        <stp>Ask Rate</stp>
        <tr r="F1495" s="1"/>
      </tp>
      <tp t="s">
        <v>INE148I07MQ0</v>
        <stp/>
        <stp>nse_cm|88SCL25-ZG</stp>
        <stp>Isin code</stp>
        <tr r="R960" s="1"/>
      </tp>
      <tp>
        <v>830.65</v>
        <stp/>
        <stp>nse_cm|1003SCL30A-NV</stp>
        <stp>Bid Rate</stp>
        <tr r="E728" s="1"/>
      </tp>
      <tp>
        <v>0</v>
        <stp/>
        <stp>nse_cm|M&amp;MFIN-N3</stp>
        <stp>% Change</stp>
        <tr r="J1723" s="1"/>
      </tp>
      <tp t="s">
        <v>INE530B07294</v>
        <stp/>
        <stp>nse_cm|875IIFL26A-NQ</stp>
        <stp>Isin code</stp>
        <tr r="R634" s="1"/>
      </tp>
      <tp t="s">
        <v>INE614X07431</v>
        <stp/>
        <stp>nse_cm|DLSL25A-Y4</stp>
        <stp>Isin code</stp>
        <tr r="R1732" s="1"/>
      </tp>
      <tp t="s">
        <v>INE148I07OH5</v>
        <stp/>
        <stp>nse_cm|1015SCL28A-AL</stp>
        <stp>Isin code</stp>
        <tr r="R1443" s="1"/>
      </tp>
      <tp>
        <v>0</v>
        <stp/>
        <stp>bse_cm|10IIFLSF27</stp>
        <stp>Volume Traded Today</stp>
        <tr r="L1098" s="1"/>
      </tp>
      <tp>
        <v>0</v>
        <stp/>
        <stp>bse_cm|840CIFCL28</stp>
        <stp>Volume Traded Today</stp>
        <tr r="L419" s="1"/>
      </tp>
      <tp>
        <v>0</v>
        <stp/>
        <stp>bse_cm|860CIFCL28</stp>
        <stp>Volume Traded Today</stp>
        <tr r="L1431" s="1"/>
      </tp>
      <tp>
        <v>0</v>
        <stp/>
        <stp>bse_cm|850CIFCL26</stp>
        <stp>Volume Traded Today</stp>
        <tr r="L1164" s="1"/>
      </tp>
      <tp>
        <v>600</v>
        <stp/>
        <stp>bse_cm|MFLV29</stp>
        <stp>Ask Qty</stp>
        <tr r="G361" s="1"/>
      </tp>
      <tp>
        <v>0</v>
        <stp/>
        <stp>bse_cm|MFLV27</stp>
        <stp>Ask Qty</stp>
        <tr r="G1508" s="1"/>
      </tp>
      <tp>
        <v>985</v>
        <stp/>
        <stp>nse_cm|920IIFLS26-N8</stp>
        <stp>Ask Rate</stp>
        <tr r="F208" s="1"/>
      </tp>
      <tp>
        <v>1000</v>
        <stp/>
        <stp>nse_cm|960IIFLS26-N9</stp>
        <stp>Ask Rate</stp>
        <tr r="F1489" s="1"/>
      </tp>
      <tp t="s">
        <v>INE103C07025</v>
        <stp/>
        <stp>bse_cm|10SMCGSL26</stp>
        <stp>Isin code</stp>
        <tr r="R138" s="1"/>
      </tp>
      <tp>
        <v>1000</v>
        <stp/>
        <stp>bse_cm|99AEL29</stp>
        <stp>Face Value</stp>
        <tr r="Q243" s="1"/>
      </tp>
      <tp>
        <v>999.9</v>
        <stp/>
        <stp>bse_cm|921ONE27</stp>
        <stp>High</stp>
        <tr r="N1428" s="1"/>
      </tp>
      <tp>
        <v>217</v>
        <stp/>
        <stp>nse_cm|1065NFL27-NC</stp>
        <stp>Ask Qty</stp>
        <tr r="G170" s="1"/>
      </tp>
      <tp t="s">
        <v>00:00:00</v>
        <stp/>
        <stp>bse_cm|89SCL24A</stp>
        <stp>LTT</stp>
        <tr r="I971" s="1"/>
      </tp>
      <tp>
        <v>1070.1099999999999</v>
        <stp/>
        <stp>bse_cm|961ONE27</stp>
        <stp>High</stp>
        <tr r="N628" s="1"/>
      </tp>
      <tp>
        <v>0</v>
        <stp/>
        <stp>bse_cm|89SCL24A</stp>
        <stp>LTP</stp>
        <tr r="H971" s="1"/>
      </tp>
      <tp>
        <v>10</v>
        <stp/>
        <stp>bse_cm|1050UCL25</stp>
        <stp>Bid Qty</stp>
        <tr r="D417" s="1"/>
      </tp>
      <tp>
        <v>18</v>
        <stp/>
        <stp>bse_cm|1050VCL25</stp>
        <stp>Bid Qty</stp>
        <tr r="D656" s="1"/>
      </tp>
      <tp>
        <v>26</v>
        <stp/>
        <stp>bse_cm|1050SFL26</stp>
        <stp>Bid Qty</stp>
        <tr r="D890" s="1"/>
      </tp>
      <tp>
        <v>10</v>
        <stp/>
        <stp>bse_cm|1150IML28</stp>
        <stp>Bid Qty</stp>
        <tr r="D92" s="1"/>
      </tp>
      <tp>
        <v>20</v>
        <stp/>
        <stp>bse_cm|1150IML29</stp>
        <stp>Bid Qty</stp>
        <tr r="D601" s="1"/>
      </tp>
      <tp>
        <v>20</v>
        <stp/>
        <stp>bse_cm|1250IFL29</stp>
        <stp>Bid Qty</stp>
        <tr r="D1215" s="1"/>
      </tp>
      <tp>
        <v>10</v>
        <stp/>
        <stp>bse_cm|1050MML28</stp>
        <stp>Bid Qty</stp>
        <tr r="D1159" s="1"/>
      </tp>
      <tp>
        <v>5</v>
        <stp/>
        <stp>bse_cm|1150MML29</stp>
        <stp>Bid Qty</stp>
        <tr r="D248" s="1"/>
      </tp>
      <tp>
        <v>10</v>
        <stp/>
        <stp>bse_cm|1050MML25</stp>
        <stp>Bid Qty</stp>
        <tr r="D1503" s="1"/>
      </tp>
      <tp>
        <v>9</v>
        <stp/>
        <stp>bse_cm|1050NFL26</stp>
        <stp>Bid Qty</stp>
        <tr r="D260" s="1"/>
      </tp>
      <tp>
        <v>60</v>
        <stp/>
        <stp>bse_cm|1050IML25</stp>
        <stp>Bid Qty</stp>
        <tr r="D499" s="1"/>
      </tp>
      <tp>
        <v>15</v>
        <stp/>
        <stp>bse_cm|1150IFL26</stp>
        <stp>Bid Qty</stp>
        <tr r="D1225" s="1"/>
      </tp>
      <tp t="s">
        <v>INE741K07462</v>
        <stp/>
        <stp>nse_cm|945CAGL24-N1</stp>
        <stp>Isin code</stp>
        <tr r="R1704" s="1"/>
      </tp>
      <tp>
        <v>1050.25</v>
        <stp/>
        <stp>bse_cm|941ONE26</stp>
        <stp>High</stp>
        <tr r="N263" s="1"/>
      </tp>
      <tp>
        <v>0</v>
        <stp/>
        <stp>nse_cm|10SCL31A-ZO</stp>
        <stp>Ask Rate</stp>
        <tr r="F864" s="1"/>
      </tp>
      <tp>
        <v>0</v>
        <stp/>
        <stp>nse_cm|957ICCL28-NW</stp>
        <stp>Ask Qty</stp>
        <tr r="G762" s="1"/>
      </tp>
      <tp>
        <v>0</v>
        <stp/>
        <stp>nse_cm|1075NFL25-N6</stp>
        <stp>Ask Qty</stp>
        <tr r="G1438" s="1"/>
      </tp>
      <tp>
        <v>6</v>
        <stp/>
        <stp>bse_cm|1050SCL30</stp>
        <stp>Bid Qty</stp>
        <tr r="D867" s="1"/>
      </tp>
      <tp>
        <v>10</v>
        <stp/>
        <stp>bse_cm|1050SCL31</stp>
        <stp>Bid Qty</stp>
        <tr r="D892" s="1"/>
      </tp>
      <tp>
        <v>985</v>
        <stp/>
        <stp>bse_cm|891ONE25</stp>
        <stp>High</stp>
        <tr r="N1339" s="1"/>
      </tp>
      <tp>
        <v>0</v>
        <stp/>
        <stp>nse_cm|1040NFL26-NA</stp>
        <stp>Ask Qty</stp>
        <tr r="G678" s="1"/>
      </tp>
      <tp>
        <v>0</v>
        <stp/>
        <stp>nse_cm|875SCL27-YQ</stp>
        <stp>High</stp>
        <tr r="N937" s="1"/>
      </tp>
      <tp>
        <v>0</v>
        <stp/>
        <stp>bse_cm|KAFL28</stp>
        <stp>Open</stp>
        <tr r="M1320" s="1"/>
      </tp>
      <tp>
        <v>50</v>
        <stp/>
        <stp>nse_cm|105IIFL29-N7</stp>
        <stp>Ask Qty</stp>
        <tr r="G270" s="1"/>
      </tp>
      <tp>
        <v>57</v>
        <stp/>
        <stp>nse_cm|805ABFL28-N2</stp>
        <stp>Ask Qty</stp>
        <tr r="G477" s="1"/>
      </tp>
      <tp>
        <v>12</v>
        <stp/>
        <stp>nse_cm|1050NFL26-N7</stp>
        <stp>Ask Qty</stp>
        <tr r="G259" s="1"/>
      </tp>
      <tp>
        <v>12</v>
        <stp/>
        <stp>bse_cm|SCL310524</stp>
        <stp>Bid Qty</stp>
        <tr r="D1345" s="1"/>
      </tp>
      <tp>
        <v>0</v>
        <stp/>
        <stp>bse_cm|KAFL29</stp>
        <stp>Open</stp>
        <tr r="M1318" s="1"/>
      </tp>
      <tp t="s">
        <v>INE342T07452</v>
        <stp/>
        <stp>nse_cm|1090NFL26-NB</stp>
        <stp>Isin code</stp>
        <tr r="R636" s="1"/>
      </tp>
      <tp>
        <v>0</v>
        <stp/>
        <stp>nse_cm|1025NFL25-N5</stp>
        <stp>Ask Qty</stp>
        <tr r="G1488" s="1"/>
      </tp>
      <tp>
        <v>100</v>
        <stp/>
        <stp>bse_cm|10MFL24AA</stp>
        <stp>Bid Qty</stp>
        <tr r="D475" s="1"/>
      </tp>
      <tp>
        <v>0.1</v>
        <stp/>
        <stp>nse_cm|1025SCL34-Z8</stp>
        <stp>% Change</stp>
        <tr r="J128" s="1"/>
      </tp>
      <tp>
        <v>1995</v>
        <stp/>
        <stp>nse_cm|875NHAI29-N6</stp>
        <stp>Ask Qty</stp>
        <tr r="G495" s="1"/>
      </tp>
      <tp>
        <v>0</v>
        <stp/>
        <stp>nse_cm|910CAGL25-N7</stp>
        <stp>Ask Qty</stp>
        <tr r="G622" s="1"/>
      </tp>
      <tp>
        <v>0</v>
        <stp/>
        <stp>nse_cm|83TCHF25-N6</stp>
        <stp>Open</stp>
        <tr r="M472" s="1"/>
      </tp>
      <tp>
        <v>0</v>
        <stp/>
        <stp>nse_cm|83TCHF28-N9</stp>
        <stp>Open</stp>
        <tr r="M831" s="1"/>
      </tp>
      <tp>
        <v>0</v>
        <stp/>
        <stp>nse_cm|957SCL30-BX</stp>
        <stp>Open</stp>
        <tr r="M1109" s="1"/>
      </tp>
      <tp>
        <v>977</v>
        <stp/>
        <stp>bse_cm|957VCL25</stp>
        <stp xml:space="preserve">Low </stp>
        <tr r="O53" s="1"/>
      </tp>
      <tp>
        <v>812.2</v>
        <stp/>
        <stp>bse_cm|10SCL31A</stp>
        <stp>Bid Rate</stp>
        <tr r="E865" s="1"/>
      </tp>
      <tp>
        <v>823</v>
        <stp/>
        <stp>bse_cm|921ONE29</stp>
        <stp>High</stp>
        <tr r="N1112" s="1"/>
      </tp>
      <tp>
        <v>980.11</v>
        <stp/>
        <stp>bse_cm|847SCL25</stp>
        <stp xml:space="preserve">Low </stp>
        <tr r="O941" s="1"/>
      </tp>
      <tp>
        <v>0</v>
        <stp/>
        <stp>nse_cm|1090NFL26-NB</stp>
        <stp>Ask Qty</stp>
        <tr r="G636" s="1"/>
      </tp>
      <tp>
        <v>0</v>
        <stp/>
        <stp>bse_cm|857SCL24</stp>
        <stp xml:space="preserve">Low </stp>
        <tr r="O1002" s="1"/>
      </tp>
      <tp>
        <v>0</v>
        <stp/>
        <stp>bse_cm|KAFL25</stp>
        <stp>Open</stp>
        <tr r="M1321" s="1"/>
      </tp>
      <tp>
        <v>0</v>
        <stp/>
        <stp>nse_cm|861REC34-ND</stp>
        <stp>Open</stp>
        <tr r="M583" s="1"/>
      </tp>
      <tp>
        <v>0</v>
        <stp/>
        <stp>bse_cm|971SCL29</stp>
        <stp>High</stp>
        <tr r="N521" s="1"/>
      </tp>
      <tp>
        <v>12</v>
        <stp/>
        <stp>nse_cm|830CIFC26-N2</stp>
        <stp>Bid Qty</stp>
        <tr r="D1625" s="1"/>
      </tp>
      <tp>
        <v>900</v>
        <stp/>
        <stp>bse_cm|971SCL28</stp>
        <stp>High</stp>
        <tr r="N1028" s="1"/>
      </tp>
      <tp t="s">
        <v>00:00:00</v>
        <stp/>
        <stp>bse_cm|MHFLZC26</stp>
        <stp>LTT</stp>
        <tr r="I1714" s="1"/>
      </tp>
      <tp t="e">
        <v>#N/A</v>
        <stp/>
        <stp>bse_cm|MHFLZC24</stp>
        <stp>LTT</stp>
        <tr r="I35" s="1"/>
      </tp>
      <tp>
        <v>0</v>
        <stp/>
        <stp>bse_cm|MHFLZC26</stp>
        <stp>LTP</stp>
        <tr r="H1714" s="1"/>
      </tp>
      <tp t="e">
        <v>#N/A</v>
        <stp/>
        <stp>bse_cm|MHFLZC24</stp>
        <stp>LTP</stp>
        <tr r="H35" s="1"/>
      </tp>
      <tp>
        <v>1010.2</v>
        <stp/>
        <stp>bse_cm|927MFL26</stp>
        <stp xml:space="preserve">Low </stp>
        <tr r="O1457" s="1"/>
      </tp>
      <tp>
        <v>0</v>
        <stp/>
        <stp>bse_cm|801TCH28</stp>
        <stp>High</stp>
        <tr r="N1182" s="1"/>
      </tp>
      <tp>
        <v>0</v>
        <stp/>
        <stp>nse_cm|863REC29-NC</stp>
        <stp>Open</stp>
        <tr r="M1633" s="1"/>
      </tp>
      <tp>
        <v>20</v>
        <stp/>
        <stp>nse_cm|AEL120924-N2</stp>
        <stp>Bid Qty</stp>
        <tr r="D1673" s="1"/>
      </tp>
      <tp>
        <v>940</v>
        <stp/>
        <stp>bse_cm|967EFS28</stp>
        <stp xml:space="preserve">Low </stp>
        <tr r="O190" s="1"/>
      </tp>
      <tp>
        <v>120</v>
        <stp/>
        <stp>nse_cm|957ICCL25-YW</stp>
        <stp>Ask Qty</stp>
        <tr r="G386" s="1"/>
      </tp>
      <tp>
        <v>0</v>
        <stp/>
        <stp>nse_cm|965SCL25-AG</stp>
        <stp>Open</stp>
        <tr r="M1577" s="1"/>
      </tp>
      <tp>
        <v>0</v>
        <stp/>
        <stp>nse_cm|862REC33-NA</stp>
        <stp>Open</stp>
        <tr r="M563" s="1"/>
      </tp>
      <tp>
        <v>50</v>
        <stp/>
        <stp>nse_cm|734IRFC28-N4</stp>
        <stp>Bid Qty</stp>
        <tr r="D455" s="1"/>
      </tp>
      <tp>
        <v>1002</v>
        <stp/>
        <stp>bse_cm|980SCL33</stp>
        <stp>High</stp>
        <tr r="N998" s="1"/>
      </tp>
      <tp>
        <v>1598.5</v>
        <stp/>
        <stp>bse_cm|ECLZC24B</stp>
        <stp>Ask Rate</stp>
        <tr r="F1767" s="1"/>
      </tp>
      <tp>
        <v>999.95</v>
        <stp/>
        <stp>bse_cm|801TCH25</stp>
        <stp>High</stp>
        <tr r="N562" s="1"/>
      </tp>
      <tp>
        <v>1000</v>
        <stp/>
        <stp>nse_cm|925CAGL26-N9</stp>
        <stp>Bid Qty</stp>
        <tr r="D639" s="1"/>
      </tp>
      <tp>
        <v>0</v>
        <stp/>
        <stp>bse_cm|MFLZC24C</stp>
        <stp>Ask Rate</stp>
        <tr r="F1551" s="1"/>
      </tp>
      <tp>
        <v>50</v>
        <stp/>
        <stp>bse_cm|1060ECL29</stp>
        <stp>Ask Qty</stp>
        <tr r="G272" s="1"/>
      </tp>
      <tp>
        <v>0</v>
        <stp/>
        <stp>bse_cm|1060MML26</stp>
        <stp>Ask Qty</stp>
        <tr r="G1218" s="1"/>
      </tp>
      <tp>
        <v>0</v>
        <stp/>
        <stp>nse_cm|965SCL28-AK</stp>
        <stp>Open</stp>
        <tr r="M1137" s="1"/>
      </tp>
      <tp>
        <v>100</v>
        <stp/>
        <stp>nse_cm|867PFCL33-N7</stp>
        <stp>Bid Qty</stp>
        <tr r="D550" s="1"/>
      </tp>
      <tp>
        <v>0</v>
        <stp/>
        <stp>bse_cm|CCI110324</stp>
        <stp>Ask Qty</stp>
        <tr r="G755" s="1"/>
      </tp>
      <tp>
        <v>10</v>
        <stp/>
        <stp>nse_cm|760PFCL35-N3</stp>
        <stp>Bid Qty</stp>
        <tr r="D22" s="1"/>
      </tp>
      <tp t="s">
        <v>BSE</v>
        <stp/>
        <stp>bse_cm|95KFL27A</stp>
        <stp>Exchange</stp>
        <tr r="C132" s="1"/>
      </tp>
      <tp t="s">
        <v>BSE</v>
        <stp/>
        <stp>bse_cm|10KFL27A</stp>
        <stp>Exchange</stp>
        <tr r="C1092" s="1"/>
      </tp>
      <tp>
        <v>1019</v>
        <stp/>
        <stp>bse_cm|931SFL26</stp>
        <stp>High</stp>
        <tr r="N1492" s="1"/>
      </tp>
      <tp>
        <v>0</v>
        <stp/>
        <stp>bse_cm|94MFL27A</stp>
        <stp>ATP</stp>
        <tr r="K420" s="1"/>
      </tp>
      <tp>
        <v>1000</v>
        <stp/>
        <stp>bse_cm|SCL310524A</stp>
        <stp>Prev Close</stp>
        <tr r="P918" s="1"/>
      </tp>
      <tp>
        <v>0</v>
        <stp/>
        <stp>nse_cm|905SC24B-Z9</stp>
        <stp>ATP</stp>
        <tr r="K637" s="1"/>
      </tp>
      <tp>
        <v>1560</v>
        <stp/>
        <stp>bse_cm|MFLZC24D</stp>
        <stp>Ask Rate</stp>
        <tr r="F1550" s="1"/>
      </tp>
      <tp>
        <v>0</v>
        <stp/>
        <stp>bse_cm|KFLZC24D</stp>
        <stp>Ask Rate</stp>
        <tr r="F1296" s="1"/>
      </tp>
      <tp>
        <v>0</v>
        <stp/>
        <stp>bse_cm|980SCL34</stp>
        <stp>High</stp>
        <tr r="N829" s="1"/>
      </tp>
      <tp t="s">
        <v>BSE</v>
        <stp/>
        <stp>bse_cm|960EFSLA</stp>
        <stp>Exchange</stp>
        <tr r="C699" s="1"/>
      </tp>
      <tp>
        <v>2</v>
        <stp/>
        <stp>bse_cm|1175KLM25</stp>
        <stp>Ask Qty</stp>
        <tr r="G1691" s="1"/>
      </tp>
      <tp>
        <v>0</v>
        <stp/>
        <stp>bse_cm|1075KLM27</stp>
        <stp>Ask Qty</stp>
        <tr r="G1117" s="1"/>
      </tp>
      <tp>
        <v>10</v>
        <stp/>
        <stp>bse_cm|1065NFL27</stp>
        <stp>Ask Qty</stp>
        <tr r="G182" s="1"/>
      </tp>
      <tp t="s">
        <v>BSE</v>
        <stp/>
        <stp>bse_cm|10MMFL27</stp>
        <stp>Exchange</stp>
        <tr r="C1090" s="1"/>
      </tp>
      <tp>
        <v>0</v>
        <stp/>
        <stp>bse_cm|985KAFL26</stp>
        <stp>Ask Qty</stp>
        <tr r="G1102" s="1"/>
      </tp>
      <tp>
        <v>0</v>
        <stp/>
        <stp>bse_cm|975KAFL26</stp>
        <stp>Ask Qty</stp>
        <tr r="G859" s="1"/>
      </tp>
      <tp>
        <v>0</v>
        <stp/>
        <stp>bse_cm|975KAFL25</stp>
        <stp>Ask Qty</stp>
        <tr r="G860" s="1"/>
      </tp>
      <tp>
        <v>0</v>
        <stp/>
        <stp>bse_cm|935KAFL25</stp>
        <stp>Ask Qty</stp>
        <tr r="G785" s="1"/>
      </tp>
      <tp>
        <v>0</v>
        <stp/>
        <stp>bse_cm|925KFIL25</stp>
        <stp>Ask Qty</stp>
        <tr r="G776" s="1"/>
      </tp>
      <tp>
        <v>980</v>
        <stp/>
        <stp>bse_cm|MFCL16924C</stp>
        <stp>Prev Close</stp>
        <tr r="P660" s="1"/>
      </tp>
      <tp>
        <v>998.6</v>
        <stp/>
        <stp>bse_cm|MFCL16924B</stp>
        <stp>Prev Close</stp>
        <tr r="P1284" s="1"/>
      </tp>
      <tp>
        <v>1000</v>
        <stp/>
        <stp>bse_cm|MFCL16924A</stp>
        <stp>Prev Close</stp>
        <tr r="P1285" s="1"/>
      </tp>
      <tp>
        <v>-100</v>
        <stp/>
        <stp>bse_cm|88MFL28</stp>
        <stp>% Change</stp>
        <tr r="J233" s="1"/>
      </tp>
      <tp>
        <v>25</v>
        <stp/>
        <stp>bse_cm|945IFSL25</stp>
        <stp>Ask Qty</stp>
        <tr r="G483" s="1"/>
      </tp>
      <tp>
        <v>0</v>
        <stp/>
        <stp>bse_cm|955IFSL25</stp>
        <stp>Ask Qty</stp>
        <tr r="G1470" s="1"/>
      </tp>
      <tp>
        <v>0</v>
        <stp/>
        <stp>bse_cm|875IHFL29</stp>
        <stp>Ask Qty</stp>
        <tr r="G1230" s="1"/>
      </tp>
      <tp>
        <v>1750</v>
        <stp/>
        <stp>bse_cm|865IIFL28</stp>
        <stp>Ask Qty</stp>
        <tr r="G75" s="1"/>
      </tp>
      <tp>
        <v>0</v>
        <stp/>
        <stp>bse_cm|965IFSL26</stp>
        <stp>Ask Qty</stp>
        <tr r="G1142" s="1"/>
      </tp>
      <tp>
        <v>0</v>
        <stp/>
        <stp>bse_cm|875IIFL26</stp>
        <stp>Ask Qty</stp>
        <tr r="G642" s="1"/>
      </tp>
      <tp>
        <v>0</v>
        <stp/>
        <stp>bse_cm|115ICFL25</stp>
        <stp>Ask Qty</stp>
        <tr r="G1548" s="1"/>
      </tp>
      <tp>
        <v>0</v>
        <stp/>
        <stp>bse_cm|125ICFL26</stp>
        <stp>Ask Qty</stp>
        <tr r="G1214" s="1"/>
      </tp>
      <tp>
        <v>50</v>
        <stp/>
        <stp>bse_cm|825IIFL25</stp>
        <stp>Ask Qty</stp>
        <tr r="G47" s="1"/>
      </tp>
      <tp>
        <v>0</v>
        <stp/>
        <stp>bse_cm|985ICCL28</stp>
        <stp>Ask Qty</stp>
        <tr r="G1483" s="1"/>
      </tp>
      <tp>
        <v>10</v>
        <stp/>
        <stp>bse_cm|985IIFL22</stp>
        <stp>Ask Qty</stp>
        <tr r="G178" s="1"/>
      </tp>
      <tp>
        <v>12</v>
        <stp/>
        <stp>bse_cm|866SCFL25</stp>
        <stp>Bid Qty</stp>
        <tr r="D342" s="1"/>
      </tp>
      <tp>
        <v>260</v>
        <stp/>
        <stp>bse_cm|105IIFL29</stp>
        <stp>Ask Qty</stp>
        <tr r="G338" s="1"/>
      </tp>
      <tp>
        <v>0</v>
        <stp/>
        <stp>bse_cm|915NWIL25</stp>
        <stp>Ask Qty</stp>
        <tr r="G620" s="1"/>
      </tp>
      <tp>
        <v>0</v>
        <stp/>
        <stp>bse_cm|955NWIL27</stp>
        <stp>Ask Qty</stp>
        <tr r="G1480" s="1"/>
      </tp>
      <tp>
        <v>100</v>
        <stp/>
        <stp>bse_cm|850NHAI29</stp>
        <stp>Ask Qty</stp>
        <tr r="G580" s="1"/>
      </tp>
      <tp>
        <v>126</v>
        <stp/>
        <stp>bse_cm|895NHFL25</stp>
        <stp>Ask Qty</stp>
        <tr r="G54" s="1"/>
      </tp>
      <tp>
        <v>0</v>
        <stp/>
        <stp>bse_cm|10ISFL26</stp>
        <stp>Ask Rate</stp>
        <tr r="F1509" s="1"/>
      </tp>
      <tp>
        <v>1067.99</v>
        <stp/>
        <stp>nse_cm|85LTF26-NM</stp>
        <stp>Prev Close</stp>
        <tr r="P365" s="1"/>
      </tp>
      <tp>
        <v>0</v>
        <stp/>
        <stp>bse_cm|995NWIL32</stp>
        <stp>Ask Qty</stp>
        <tr r="G1023" s="1"/>
      </tp>
      <tp>
        <v>300</v>
        <stp/>
        <stp>bse_cm|965MFCL30</stp>
        <stp>Ask Qty</stp>
        <tr r="G225" s="1"/>
      </tp>
      <tp>
        <v>0</v>
        <stp/>
        <stp>bse_cm|955MFCL30</stp>
        <stp>Ask Qty</stp>
        <tr r="G1130" s="1"/>
      </tp>
      <tp>
        <v>800</v>
        <stp/>
        <stp>bse_cm|866ICCL23A</stp>
        <stp>Prev Close</stp>
        <tr r="P1075" s="1"/>
      </tp>
      <tp>
        <v>818</v>
        <stp/>
        <stp>bse_cm|966ICCL25A</stp>
        <stp>Prev Close</stp>
        <tr r="P846" s="1"/>
      </tp>
      <tp>
        <v>1000</v>
        <stp/>
        <stp>nse_cm|97SFL29-YZ</stp>
        <stp>Face Value</stp>
        <tr r="Q20" s="1"/>
      </tp>
      <tp>
        <v>12</v>
        <stp/>
        <stp>bse_cm|925MFCL26</stp>
        <stp>Ask Qty</stp>
        <tr r="G1610" s="1"/>
      </tp>
      <tp>
        <v>0</v>
        <stp/>
        <stp>bse_cm|105MMFL25</stp>
        <stp>Ask Qty</stp>
        <tr r="G1171" s="1"/>
      </tp>
      <tp>
        <v>50</v>
        <stp/>
        <stp>bse_cm|925MFCL27</stp>
        <stp>Ask Qty</stp>
        <tr r="G262" s="1"/>
      </tp>
      <tp>
        <v>0</v>
        <stp/>
        <stp>bse_cm|915MFCL27</stp>
        <stp>Ask Qty</stp>
        <tr r="G1472" s="1"/>
      </tp>
      <tp>
        <v>0</v>
        <stp/>
        <stp>bse_cm|965MFCL27</stp>
        <stp>Ask Qty</stp>
        <tr r="G618" s="1"/>
      </tp>
      <tp>
        <v>300</v>
        <stp/>
        <stp>bse_cm|935MFCL29</stp>
        <stp>Ask Qty</stp>
        <tr r="G239" s="1"/>
      </tp>
      <tp>
        <v>0</v>
        <stp/>
        <stp>bse_cm|975MFCL29</stp>
        <stp>Ask Qty</stp>
        <tr r="G856" s="1"/>
      </tp>
      <tp>
        <v>0</v>
        <stp/>
        <stp>bse_cm|945MFCL29</stp>
        <stp>Ask Qty</stp>
        <tr r="G682" s="1"/>
      </tp>
      <tp>
        <v>1000</v>
        <stp/>
        <stp>nse_cm|971SCL29-Z0</stp>
        <stp>High</stp>
        <tr r="N681" s="1"/>
      </tp>
      <tp>
        <v>500</v>
        <stp/>
        <stp>bse_cm|975MMFL26</stp>
        <stp>Ask Qty</stp>
        <tr r="G215" s="1"/>
      </tp>
      <tp>
        <v>0</v>
        <stp/>
        <stp>bse_cm|975MMFL24</stp>
        <stp>Ask Qty</stp>
        <tr r="G853" s="1"/>
      </tp>
      <tp>
        <v>1000</v>
        <stp/>
        <stp>bse_cm|9SCL26BA</stp>
        <stp>Face Value</stp>
        <tr r="Q160" s="1"/>
      </tp>
      <tp>
        <v>987</v>
        <stp/>
        <stp>bse_cm|1075KLMA28</stp>
        <stp>Prev Close</stp>
        <tr r="P1116" s="1"/>
      </tp>
      <tp>
        <v>0</v>
        <stp/>
        <stp>nse_cm|894SCL25A-ZI</stp>
        <stp>Ask Qty</stp>
        <tr r="G963" s="1"/>
      </tp>
      <tp>
        <v>20</v>
        <stp/>
        <stp>bse_cm|925CAGL26</stp>
        <stp>Ask Qty</stp>
        <tr r="G294" s="1"/>
      </tp>
      <tp>
        <v>351</v>
        <stp/>
        <stp>bse_cm|945CAGL24</stp>
        <stp>Ask Qty</stp>
        <tr r="G566" s="1"/>
      </tp>
      <tp>
        <v>13</v>
        <stp/>
        <stp>bse_cm|115CCIL28</stp>
        <stp>Ask Qty</stp>
        <tr r="G382" s="1"/>
      </tp>
      <tp>
        <v>960.1</v>
        <stp/>
        <stp>bse_cm|MFLIV27D</stp>
        <stp>Prev Close</stp>
        <tr r="P1452" s="1"/>
      </tp>
      <tp>
        <v>845.8</v>
        <stp/>
        <stp>bse_cm|0SCL27</stp>
        <stp>Bid Rate</stp>
        <tr r="E721" s="1"/>
      </tp>
      <tp>
        <v>0</v>
        <stp/>
        <stp>nse_cm|975SCL27-Z9</stp>
        <stp>High</stp>
        <tr r="N885" s="1"/>
      </tp>
      <tp>
        <v>993</v>
        <stp/>
        <stp>nse_cm|1003ISFL28-N4</stp>
        <stp>Prev Close</stp>
        <tr r="P197" s="1"/>
      </tp>
      <tp>
        <v>1890.55</v>
        <stp/>
        <stp>nse_cm|SCLZC26-NB</stp>
        <stp>Prev Close</stp>
        <tr r="P1717" s="1"/>
      </tp>
      <tp>
        <v>860.2</v>
        <stp/>
        <stp>bse_cm|0SFL26</stp>
        <stp>Bid Rate</stp>
        <tr r="E703" s="1"/>
      </tp>
      <tp>
        <v>912</v>
        <stp/>
        <stp>bse_cm|0SCL26</stp>
        <stp>Bid Rate</stp>
        <tr r="E1359" s="1"/>
      </tp>
      <tp t="s">
        <v>BSE</v>
        <stp/>
        <stp>bse_cm|9MMFSL26</stp>
        <stp>Exchange</stp>
        <tr r="C334" s="1"/>
      </tp>
      <tp>
        <v>0</v>
        <stp/>
        <stp>nse_cm|85CIFC27-NL</stp>
        <stp>Open</stp>
        <tr r="M973" s="1"/>
      </tp>
      <tp>
        <v>10</v>
        <stp/>
        <stp>bse_cm|975AHFL28</stp>
        <stp>Ask Qty</stp>
        <tr r="G324" s="1"/>
      </tp>
      <tp>
        <v>25</v>
        <stp/>
        <stp>bse_cm|935AHFL28</stp>
        <stp>Ask Qty</stp>
        <tr r="G456" s="1"/>
      </tp>
      <tp>
        <v>0</v>
        <stp/>
        <stp>bse_cm|805ABFL28</stp>
        <stp>Ask Qty</stp>
        <tr r="G1371" s="1"/>
      </tp>
      <tp>
        <v>1020</v>
        <stp/>
        <stp>nse_cm|1050ISFL28-N5</stp>
        <stp>Prev Close</stp>
        <tr r="P1591" s="1"/>
      </tp>
      <tp>
        <v>0</v>
        <stp/>
        <stp>bse_cm|SFL26A</stp>
        <stp xml:space="preserve">Low </stp>
        <tr r="O810" s="1"/>
      </tp>
      <tp>
        <v>10</v>
        <stp/>
        <stp>bse_cm|995EFSL31</stp>
        <stp>Ask Qty</stp>
        <tr r="G192" s="1"/>
      </tp>
      <tp>
        <v>180</v>
        <stp/>
        <stp>bse_cm|965EFSL32</stp>
        <stp>Ask Qty</stp>
        <tr r="G141" s="1"/>
      </tp>
      <tp>
        <v>1000</v>
        <stp/>
        <stp>bse_cm|9SFL2026</stp>
        <stp>Face Value</stp>
        <tr r="Q1473" s="1"/>
      </tp>
      <tp>
        <v>0</v>
        <stp/>
        <stp>bse_cm|10KAFL26A</stp>
        <stp>Ask Qty</stp>
        <tr r="G1095" s="1"/>
      </tp>
      <tp>
        <v>0</v>
        <stp/>
        <stp>bse_cm|10KAFL26B</stp>
        <stp>Ask Qty</stp>
        <tr r="G1094" s="1"/>
      </tp>
      <tp>
        <v>0</v>
        <stp/>
        <stp>nse_cm|990SCL26B-Y7</stp>
        <stp>Ask Qty</stp>
        <tr r="G798" s="1"/>
      </tp>
      <tp>
        <v>60</v>
        <stp/>
        <stp>bse_cm|925ERFL28</stp>
        <stp>Ask Qty</stp>
        <tr r="G147" s="1"/>
      </tp>
      <tp>
        <v>0</v>
        <stp/>
        <stp>bse_cm|105EFSL29</stp>
        <stp>Ask Qty</stp>
        <tr r="G1358" s="1"/>
      </tp>
      <tp>
        <v>0</v>
        <stp/>
        <stp>bse_cm|895EFSL25</stp>
        <stp>Ask Qty</stp>
        <tr r="G700" s="1"/>
      </tp>
      <tp>
        <v>0</v>
        <stp/>
        <stp>bse_cm|925EFSL25</stp>
        <stp>Ask Qty</stp>
        <tr r="G632" s="1"/>
      </tp>
      <tp>
        <v>49</v>
        <stp/>
        <stp>bse_cm|915EFSL26</stp>
        <stp>Ask Qty</stp>
        <tr r="G93" s="1"/>
      </tp>
      <tp>
        <v>50</v>
        <stp/>
        <stp>bse_cm|955EFSL26</stp>
        <stp>Ask Qty</stp>
        <tr r="G503" s="1"/>
      </tp>
      <tp>
        <v>45</v>
        <stp/>
        <stp>bse_cm|895EFSL26</stp>
        <stp>Ask Qty</stp>
        <tr r="G109" s="1"/>
      </tp>
      <tp>
        <v>503</v>
        <stp/>
        <stp>bse_cm|935EFSL27</stp>
        <stp>Ask Qty</stp>
        <tr r="G157" s="1"/>
      </tp>
      <tp>
        <v>148</v>
        <stp/>
        <stp>bse_cm|975EFSL27</stp>
        <stp>Ask Qty</stp>
        <tr r="G45" s="1"/>
      </tp>
      <tp>
        <v>1035</v>
        <stp/>
        <stp>bse_cm|10IIFL29</stp>
        <stp>Ask Rate</stp>
        <tr r="F307" s="1"/>
      </tp>
      <tp>
        <v>1080</v>
        <stp/>
        <stp>bse_cm|10IFSL26</stp>
        <stp>Ask Rate</stp>
        <tr r="F428" s="1"/>
      </tp>
      <tp>
        <v>950.3</v>
        <stp/>
        <stp>bse_cm|0KFL25</stp>
        <stp>Bid Rate</stp>
        <tr r="E1604" s="1"/>
      </tp>
      <tp>
        <v>-100</v>
        <stp/>
        <stp>nse_cm|1015SCL29-ZL</stp>
        <stp>% Change</stp>
        <tr r="J1176" s="1"/>
      </tp>
      <tp>
        <v>949.99</v>
        <stp/>
        <stp>bse_cm|96IIFL28</stp>
        <stp>Ask Rate</stp>
        <tr r="F118" s="1"/>
      </tp>
      <tp>
        <v>1000</v>
        <stp/>
        <stp>bse_cm|10IIFL28</stp>
        <stp>Ask Rate</stp>
        <tr r="F68" s="1"/>
      </tp>
      <tp>
        <v>-100</v>
        <stp/>
        <stp>bse_cm|88SCL25</stp>
        <stp>% Change</stp>
        <tr r="J987" s="1"/>
      </tp>
      <tp>
        <v>1079</v>
        <stp/>
        <stp>bse_cm|99IFCI24</stp>
        <stp>Ask Rate</stp>
        <tr r="F41" s="1"/>
      </tp>
      <tp>
        <v>841.8</v>
        <stp/>
        <stp>bse_cm|0KFL27</stp>
        <stp>Bid Rate</stp>
        <tr r="E1046" s="1"/>
      </tp>
      <tp>
        <v>1059.7</v>
        <stp/>
        <stp>bse_cm|94IFCI25</stp>
        <stp>Ask Rate</stp>
        <tr r="F228" s="1"/>
      </tp>
      <tp>
        <v>-100</v>
        <stp/>
        <stp>bse_cm|98SCL27</stp>
        <stp>% Change</stp>
        <tr r="J1545" s="1"/>
      </tp>
      <tp>
        <v>842.2</v>
        <stp/>
        <stp>bse_cm|0KFL26</stp>
        <stp>Bid Rate</stp>
        <tr r="E1047" s="1"/>
      </tp>
      <tp>
        <v>980</v>
        <stp/>
        <stp>bse_cm|1025SF29</stp>
        <stp>High</stp>
        <tr r="N1409" s="1"/>
      </tp>
      <tp>
        <v>816.6</v>
        <stp/>
        <stp>nse_cm|915SCL27-Z7</stp>
        <stp xml:space="preserve">Low </stp>
        <tr r="O1475" s="1"/>
      </tp>
      <tp>
        <v>842.8</v>
        <stp/>
        <stp>bse_cm|0MML27</stp>
        <stp>Bid Rate</stp>
        <tr r="E1043" s="1"/>
      </tp>
      <tp>
        <v>0</v>
        <stp/>
        <stp>bse_cm|98ICCL26</stp>
        <stp>Ask Rate</stp>
        <tr r="F1412" s="1"/>
      </tp>
      <tp>
        <v>1341.2</v>
        <stp/>
        <stp>bse_cm|EFSLZC26</stp>
        <stp>Bid Rate</stp>
        <tr r="E1712" s="1"/>
      </tp>
      <tp>
        <v>0</v>
        <stp/>
        <stp>bse_cm|CCILZC29</stp>
        <stp>Ask Rate</stp>
        <tr r="F747" s="1"/>
      </tp>
      <tp>
        <v>20</v>
        <stp/>
        <stp>bse_cm|916EFSL26</stp>
        <stp>Bid Qty</stp>
        <tr r="D69" s="1"/>
      </tp>
      <tp>
        <v>0</v>
        <stp/>
        <stp>bse_cm|12ICFL25</stp>
        <stp>Ask Rate</stp>
        <tr r="F1213" s="1"/>
      </tp>
      <tp>
        <v>1134.2</v>
        <stp/>
        <stp>bse_cm|EFSLZC25</stp>
        <stp>Bid Rate</stp>
        <tr r="E1741" s="1"/>
      </tp>
      <tp>
        <v>0</v>
        <stp/>
        <stp>nse_cm|990SCL26D-AH</stp>
        <stp>Ask Qty</stp>
        <tr r="G1556" s="1"/>
      </tp>
      <tp>
        <v>0</v>
        <stp/>
        <stp>nse_cm|990SCL26I-AV</stp>
        <stp>Ask Qty</stp>
        <tr r="G1368" s="1"/>
      </tp>
      <tp>
        <v>-100</v>
        <stp/>
        <stp>nse_cm|1025SCL33-YJ</stp>
        <stp>% Change</stp>
        <tr r="J836" s="1"/>
      </tp>
      <tp>
        <v>0</v>
        <stp/>
        <stp>nse_cm|990SCL26A-NL</stp>
        <stp>Ask Qty</stp>
        <tr r="G1049" s="1"/>
      </tp>
      <tp>
        <v>1000</v>
        <stp/>
        <stp>nse_cm|876HUDCO28-ND</stp>
        <stp>Face Value</stp>
        <tr r="Q509" s="1"/>
      </tp>
      <tp>
        <v>0</v>
        <stp/>
        <stp>bse_cm|CCILZC24</stp>
        <stp>Ask Rate</stp>
        <tr r="F750" s="1"/>
      </tp>
      <tp>
        <v>820.4</v>
        <stp/>
        <stp>bse_cm|93SCFL25</stp>
        <stp>Bid Rate</stp>
        <tr r="E980" s="1"/>
      </tp>
      <tp>
        <v>0</v>
        <stp/>
        <stp>nse_cm|792TCH25-N3</stp>
        <stp>LTP</stp>
        <tr r="H1187" s="1"/>
      </tp>
      <tp t="s">
        <v/>
        <stp/>
        <stp>nse_cm|792TCH25-N3</stp>
        <stp>LTT</stp>
        <tr r="I1187" s="1"/>
      </tp>
      <tp>
        <v>8</v>
        <stp/>
        <stp>bse_cm|729IRFC26</stp>
        <stp>Bid Qty</stp>
        <tr r="D367" s="1"/>
      </tp>
      <tp>
        <v>100</v>
        <stp/>
        <stp>bse_cm|739HUDC31</stp>
        <stp>Bid Qty</stp>
        <tr r="D1347" s="1"/>
      </tp>
      <tp>
        <v>0</v>
        <stp/>
        <stp>bse_cm|CCILZC25</stp>
        <stp>Ask Rate</stp>
        <tr r="F1376" s="1"/>
      </tp>
      <tp>
        <v>0</v>
        <stp/>
        <stp>bse_cm|965SCFL25</stp>
        <stp>Ask Qty</stp>
        <tr r="G1106" s="1"/>
      </tp>
      <tp>
        <v>0</v>
        <stp/>
        <stp>bse_cm|925SCFL25</stp>
        <stp>Ask Qty</stp>
        <tr r="G774" s="1"/>
      </tp>
      <tp>
        <v>0</v>
        <stp/>
        <stp>bse_cm|925SCFL27</stp>
        <stp>Ask Qty</stp>
        <tr r="G772" s="1"/>
      </tp>
      <tp>
        <v>0</v>
        <stp/>
        <stp>bse_cm|875SCFL27</stp>
        <stp>Ask Qty</stp>
        <tr r="G1011" s="1"/>
      </tp>
      <tp>
        <v>0</v>
        <stp/>
        <stp>bse_cm|925SFCL25</stp>
        <stp>Ask Qty</stp>
        <tr r="G1482" s="1"/>
      </tp>
      <tp>
        <v>1</v>
        <stp/>
        <stp>bse_cm|966IFSL25</stp>
        <stp>Bid Qty</stp>
        <tr r="D1051" s="1"/>
      </tp>
      <tp>
        <v>840.2</v>
        <stp/>
        <stp>bse_cm|0MML29</stp>
        <stp>Bid Rate</stp>
        <tr r="E1041" s="1"/>
      </tp>
      <tp>
        <v>0</v>
        <stp/>
        <stp>bse_cm|CCILZC26</stp>
        <stp>Ask Rate</stp>
        <tr r="F748" s="1"/>
      </tp>
      <tp>
        <v>0</v>
        <stp/>
        <stp>bse_cm|745PFCL26</stp>
        <stp>Ask Qty</stp>
        <tr r="G1200" s="1"/>
      </tp>
      <tp>
        <v>0</v>
        <stp/>
        <stp>bse_cm|565PFCL26</stp>
        <stp>Ask Qty</stp>
        <tr r="G1210" s="1"/>
      </tp>
      <tp>
        <v>974.8</v>
        <stp/>
        <stp>bse_cm|92ICCL28</stp>
        <stp>Ask Rate</stp>
        <tr r="F202" s="1"/>
      </tp>
      <tp>
        <v>1000</v>
        <stp/>
        <stp>nse_cm|1050ICCL28-NV</stp>
        <stp>Face Value</stp>
        <tr r="Q764" s="1"/>
      </tp>
      <tp>
        <v>953.8</v>
        <stp/>
        <stp>bse_cm|EFSLZC28</stp>
        <stp>Bid Rate</stp>
        <tr r="E1637" s="1"/>
      </tp>
      <tp>
        <v>125</v>
        <stp/>
        <stp>bse_cm|755PFCL38</stp>
        <stp>Ask Qty</stp>
        <tr r="G434" s="1"/>
      </tp>
      <tp>
        <v>100</v>
        <stp/>
        <stp>bse_cm|715PFCL36</stp>
        <stp>Ask Qty</stp>
        <tr r="G437" s="1"/>
      </tp>
      <tp>
        <v>605</v>
        <stp/>
        <stp>bse_cm|695PFCL36</stp>
        <stp>Ask Qty</stp>
        <tr r="G430" s="1"/>
      </tp>
      <tp>
        <v>1052.8499999999999</v>
        <stp/>
        <stp>bse_cm|85IIFL25</stp>
        <stp>Ask Rate</stp>
        <tr r="F134" s="1"/>
      </tp>
      <tp>
        <v>30</v>
        <stp/>
        <stp>bse_cm|MFCL16924</stp>
        <stp>Bid Qty</stp>
        <tr r="D579" s="1"/>
      </tp>
      <tp>
        <v>800</v>
        <stp/>
        <stp>nse_cm|1030ICCL28-NM</stp>
        <stp>Face Value</stp>
        <tr r="Q1596" s="1"/>
      </tp>
      <tp>
        <v>835.85</v>
        <stp/>
        <stp>bse_cm|0KFL28</stp>
        <stp>Bid Rate</stp>
        <tr r="E1045" s="1"/>
      </tp>
      <tp>
        <v>800</v>
        <stp/>
        <stp>nse_cm|1003ICCL28-NX</stp>
        <stp>Face Value</stp>
        <tr r="Q553" s="1"/>
      </tp>
      <tp>
        <v>50</v>
        <stp/>
        <stp>bse_cm|916NWIL27</stp>
        <stp>Bid Qty</stp>
        <tr r="D209" s="1"/>
      </tp>
      <tp>
        <v>15000</v>
        <stp/>
        <stp>bse_cm|849NTPC25</stp>
        <stp>Bid Qty</stp>
        <tr r="D443" s="1"/>
      </tp>
      <tp>
        <v>50</v>
        <stp/>
        <stp>bse_cm|905NIDO25</stp>
        <stp>Bid Qty</stp>
        <tr r="D60" s="1"/>
      </tp>
      <tp>
        <v>20</v>
        <stp/>
        <stp>bse_cm|955NIDO27</stp>
        <stp>Bid Qty</stp>
        <tr r="D51" s="1"/>
      </tp>
      <tp>
        <v>190</v>
        <stp/>
        <stp>bse_cm|915NIDO27</stp>
        <stp>Bid Qty</stp>
        <tr r="D59" s="1"/>
      </tp>
      <tp>
        <v>1000</v>
        <stp/>
        <stp>nse_cm|891IIFCL34-N4</stp>
        <stp>Face Value</stp>
        <tr r="Q516" s="1"/>
      </tp>
      <tp t="s">
        <v>925SCL25F-BD</v>
        <stp/>
        <stp>nse_cm|925SCL25F-BD</stp>
        <stp>Trading Symbol</stp>
        <tr r="B718" s="1"/>
      </tp>
      <tp t="s">
        <v>INE031A07AL1</v>
        <stp/>
        <stp>bse_cm|702HUDCO26</stp>
        <stp>Isin code</stp>
        <tr r="R1718" s="1"/>
      </tp>
      <tp t="s">
        <v>INE148I07SM6</v>
        <stp/>
        <stp>bse_cm|1050SCFL31</stp>
        <stp>Isin code</stp>
        <tr r="R1123" s="1"/>
      </tp>
      <tp t="s">
        <v>965SCL25F-NZ</v>
        <stp/>
        <stp>nse_cm|965SCL25F-NZ</stp>
        <stp>Trading Symbol</stp>
        <tr r="B1362" s="1"/>
      </tp>
      <tp t="s">
        <v>INE148I07SX3</v>
        <stp/>
        <stp>bse_cm|1003SCFL31</stp>
        <stp>Isin code</stp>
        <tr r="R1076" s="1"/>
      </tp>
      <tp t="s">
        <v>INE031A07AQ0</v>
        <stp/>
        <stp>bse_cm|704HUDCO26</stp>
        <stp>Isin code</stp>
        <tr r="R1724" s="1"/>
      </tp>
      <tp t="s">
        <v>INE027E07AY4</v>
        <stp/>
        <stp>nse_cm|86LTF24-NJ</stp>
        <stp>Isin code</stp>
        <tr r="R7" s="1"/>
      </tp>
      <tp t="s">
        <v>INE413U07285</v>
        <stp/>
        <stp>bse_cm|920IIFLS26</stp>
        <stp>Isin code</stp>
        <tr r="R613" s="1"/>
      </tp>
      <tp>
        <v>0</v>
        <stp/>
        <stp>nse_cm|925IHFL25E-N8</stp>
        <stp>Open</stp>
        <tr r="M561" s="1"/>
      </tp>
      <tp t="s">
        <v>845LTF24</v>
        <stp/>
        <stp>bse_cm|845LTF24</stp>
        <stp>Symbol</stp>
        <tr r="A943" s="1"/>
      </tp>
      <tp>
        <v>0</v>
        <stp/>
        <stp>nse_cm|1077IIFL30-N7</stp>
        <stp>Open</stp>
        <tr r="M996" s="1"/>
      </tp>
      <tp t="s">
        <v>INE523H07BO4</v>
        <stp/>
        <stp>bse_cm|820JMFPL26</stp>
        <stp>Isin code</stp>
        <tr r="R349" s="1"/>
      </tp>
      <tp t="s">
        <v>852LTF27</v>
        <stp/>
        <stp>bse_cm|852LTF27</stp>
        <stp>Symbol</stp>
        <tr r="A983" s="1"/>
      </tp>
      <tp t="s">
        <v>865LTF26</v>
        <stp/>
        <stp>bse_cm|865LTF26</stp>
        <stp>Symbol</stp>
        <tr r="A391" s="1"/>
      </tp>
      <tp>
        <v>1285</v>
        <stp/>
        <stp>bse_cm|MFLVI26</stp>
        <stp>Prev Close</stp>
        <tr r="P1719" s="1"/>
      </tp>
      <tp>
        <v>1136.5</v>
        <stp/>
        <stp>bse_cm|MFLVI25</stp>
        <stp>Prev Close</stp>
        <tr r="P1707" s="1"/>
      </tp>
      <tp t="s">
        <v>815LTF24</v>
        <stp/>
        <stp>bse_cm|815LTF24</stp>
        <stp>Symbol</stp>
        <tr r="A1167" s="1"/>
      </tp>
      <tp t="s">
        <v>829LTF24</v>
        <stp/>
        <stp>bse_cm|829LTF24</stp>
        <stp>Symbol</stp>
        <tr r="A4" s="1"/>
      </tp>
      <tp t="s">
        <v>INE532F07FZ6</v>
        <stp/>
        <stp>bse_cm|1049EFSL34</stp>
        <stp>Isin code</stp>
        <tr r="R1584" s="1"/>
      </tp>
      <tp t="s">
        <v>INE532F07FC5</v>
        <stp/>
        <stp>bse_cm|1045EFSL34</stp>
        <stp>Isin code</stp>
        <tr r="R1413" s="1"/>
      </tp>
      <tp t="s">
        <v>MVAF27</v>
        <stp/>
        <stp>bse_cm|MVAF27</stp>
        <stp>Trading Symbol</stp>
        <tr r="B1689" s="1"/>
      </tp>
      <tp>
        <v>0</v>
        <stp/>
        <stp>bse_cm|775MFLTD25</stp>
        <stp>LTP</stp>
        <tr r="H649" s="1"/>
      </tp>
      <tp>
        <v>0</v>
        <stp/>
        <stp>bse_cm|775MFLTD26</stp>
        <stp>LTP</stp>
        <tr r="H652" s="1"/>
      </tp>
      <tp t="s">
        <v>00:00:00</v>
        <stp/>
        <stp>bse_cm|775MFLTD25</stp>
        <stp>LTT</stp>
        <tr r="I649" s="1"/>
      </tp>
      <tp t="s">
        <v>00:00:00</v>
        <stp/>
        <stp>bse_cm|775MFLTD26</stp>
        <stp>LTT</stp>
        <tr r="I652" s="1"/>
      </tp>
      <tp t="s">
        <v>00:00:00</v>
        <stp/>
        <stp>bse_cm|775MFLTD28</stp>
        <stp>LTT</stp>
        <tr r="I1192" s="1"/>
      </tp>
      <tp>
        <v>0</v>
        <stp/>
        <stp>bse_cm|775MFLTD28</stp>
        <stp>LTP</stp>
        <tr r="H1192" s="1"/>
      </tp>
      <tp t="s">
        <v>884LTF29</v>
        <stp/>
        <stp>bse_cm|884LTF29</stp>
        <stp>Symbol</stp>
        <tr r="A1337" s="1"/>
      </tp>
      <tp t="s">
        <v>885LTF27</v>
        <stp/>
        <stp>bse_cm|885LTF27</stp>
        <stp>Symbol</stp>
        <tr r="A1008" s="1"/>
      </tp>
      <tp t="s">
        <v>898LTF29</v>
        <stp/>
        <stp>bse_cm|898LTF29</stp>
        <stp>Symbol</stp>
        <tr r="A416" s="1"/>
      </tp>
      <tp>
        <v>0</v>
        <stp/>
        <stp>nse_cm|925IHFL25D-N6</stp>
        <stp>Open</stp>
        <tr r="M575" s="1"/>
      </tp>
      <tp>
        <v>0</v>
        <stp/>
        <stp>nse_cm|965IHFL25D-N7</stp>
        <stp>Open</stp>
        <tr r="M1469" s="1"/>
      </tp>
      <tp>
        <v>-100</v>
        <stp/>
        <stp>bse_cm|1119NFL27</stp>
        <stp>% Change</stp>
        <tr r="J1140" s="1"/>
      </tp>
      <tp>
        <v>1000</v>
        <stp/>
        <stp>bse_cm|10EFS33</stp>
        <stp>Face Value</stp>
        <tr r="Q112" s="1"/>
      </tp>
      <tp>
        <v>0</v>
        <stp/>
        <stp>nse_cm|913ICCL24A-NF</stp>
        <stp>Open</stp>
        <tr r="M781" s="1"/>
      </tp>
      <tp>
        <v>1138</v>
        <stp/>
        <stp>nse_cm|948ICCL25A-NG</stp>
        <stp>Open</stp>
        <tr r="M1736" s="1"/>
      </tp>
      <tp>
        <v>1012.55</v>
        <stp/>
        <stp>nse_cm|AEL120924B-N8</stp>
        <stp>Bid Rate</stp>
        <tr r="E1640" s="1"/>
      </tp>
      <tp>
        <v>0</v>
        <stp/>
        <stp>nse_cm|925ICCL24A-NE</stp>
        <stp>Open</stp>
        <tr r="M1393" s="1"/>
      </tp>
      <tp>
        <v>0</v>
        <stp/>
        <stp>nse_cm|888IHFL25F-NC</stp>
        <stp>Open</stp>
        <tr r="M343" s="1"/>
      </tp>
      <tp>
        <v>0</v>
        <stp/>
        <stp>nse_cm|966ICCL25A-NI</stp>
        <stp>Open</stp>
        <tr r="M1461" s="1"/>
      </tp>
      <tp>
        <v>985</v>
        <stp/>
        <stp>nse_cm|AEL120924A-N5</stp>
        <stp>Bid Rate</stp>
        <tr r="E1555" s="1"/>
      </tp>
      <tp>
        <v>0</v>
        <stp/>
        <stp>nse_cm|984ICCL26A-NK</stp>
        <stp>Open</stp>
        <tr r="M716" s="1"/>
      </tp>
      <tp>
        <v>0</v>
        <stp/>
        <stp>nse_cm|955ICCL25A-NH</stp>
        <stp>Open</stp>
        <tr r="M486" s="1"/>
      </tp>
      <tp t="s">
        <v>8MFLTD28</v>
        <stp/>
        <stp>bse_cm|8MFLTD28</stp>
        <stp>Symbol</stp>
        <tr r="A366" s="1"/>
      </tp>
      <tp t="s">
        <v>8MFLTD26</v>
        <stp/>
        <stp>bse_cm|8MFLTD26</stp>
        <stp>Symbol</stp>
        <tr r="A321" s="1"/>
      </tp>
      <tp>
        <v>862.6</v>
        <stp/>
        <stp>bse_cm|MFLV29E</stp>
        <stp>Prev Close</stp>
        <tr r="P650" s="1"/>
      </tp>
      <tp>
        <v>1000.8</v>
        <stp/>
        <stp>bse_cm|MFLV26E</stp>
        <stp>Prev Close</stp>
        <tr r="P352" s="1"/>
      </tp>
      <tp>
        <v>180</v>
        <stp/>
        <stp>bse_cm|MFLV27</stp>
        <stp>Bid Qty</stp>
        <tr r="D1508" s="1"/>
      </tp>
      <tp>
        <v>180</v>
        <stp/>
        <stp>bse_cm|MFLV29</stp>
        <stp>Bid Qty</stp>
        <tr r="D361" s="1"/>
      </tp>
      <tp>
        <v>0</v>
        <stp/>
        <stp>nse_cm|965ICCL25I-NQ</stp>
        <stp>Open</stp>
        <tr r="M696" s="1"/>
      </tp>
      <tp>
        <v>0</v>
        <stp/>
        <stp>nse_cm|925ICCL25I-NP</stp>
        <stp>Open</stp>
        <tr r="M777" s="1"/>
      </tp>
      <tp>
        <v>1000</v>
        <stp/>
        <stp>bse_cm|88MFL28</stp>
        <stp>Face Value</stp>
        <tr r="Q233" s="1"/>
      </tp>
      <tp>
        <v>1000</v>
        <stp/>
        <stp>bse_cm|89MFL26</stp>
        <stp>Face Value</stp>
        <tr r="Q250" s="1"/>
      </tp>
      <tp>
        <v>1000</v>
        <stp/>
        <stp>bse_cm|84MFL25</stp>
        <stp>Face Value</stp>
        <tr r="Q316" s="1"/>
      </tp>
      <tp>
        <v>1000</v>
        <stp/>
        <stp>bse_cm|85IFL26</stp>
        <stp>Face Value</stp>
        <tr r="Q1357" s="1"/>
      </tp>
      <tp>
        <v>1000</v>
        <stp/>
        <stp>bse_cm|85KFL25</stp>
        <stp>Face Value</stp>
        <tr r="Q641" s="1"/>
      </tp>
      <tp>
        <v>1000</v>
        <stp/>
        <stp>bse_cm|81MFL28</stp>
        <stp>Face Value</stp>
        <tr r="Q314" s="1"/>
      </tp>
      <tp>
        <v>1000</v>
        <stp/>
        <stp>bse_cm|8ABFL26</stp>
        <stp>Face Value</stp>
        <tr r="Q539" s="1"/>
      </tp>
      <tp>
        <v>1000</v>
        <stp/>
        <stp>bse_cm|96MFL25</stp>
        <stp>Face Value</stp>
        <tr r="Q1392" s="1"/>
      </tp>
      <tp>
        <v>1000</v>
        <stp/>
        <stp>bse_cm|97SFL26</stp>
        <stp>Face Value</stp>
        <tr r="Q405" s="1"/>
      </tp>
      <tp>
        <v>1000</v>
        <stp/>
        <stp>bse_cm|97SFL28</stp>
        <stp>Face Value</stp>
        <tr r="Q23" s="1"/>
      </tp>
      <tp>
        <v>1000</v>
        <stp/>
        <stp>bse_cm|97SFL29</stp>
        <stp>Face Value</stp>
        <tr r="Q21" s="1"/>
      </tp>
      <tp>
        <v>1000</v>
        <stp/>
        <stp>bse_cm|94MFL27</stp>
        <stp>Face Value</stp>
        <tr r="Q189" s="1"/>
      </tp>
      <tp>
        <v>1000</v>
        <stp/>
        <stp>bse_cm|94SFL28</stp>
        <stp>Face Value</stp>
        <tr r="Q24" s="1"/>
      </tp>
      <tp>
        <v>1000</v>
        <stp/>
        <stp>bse_cm|95MFL25</stp>
        <stp>Face Value</stp>
        <tr r="Q1420" s="1"/>
      </tp>
      <tp>
        <v>1000</v>
        <stp/>
        <stp>bse_cm|95KFL26</stp>
        <stp>Face Value</stp>
        <tr r="Q253" s="1"/>
      </tp>
      <tp>
        <v>1000</v>
        <stp/>
        <stp>bse_cm|95KFL27</stp>
        <stp>Face Value</stp>
        <tr r="Q607" s="1"/>
      </tp>
      <tp>
        <v>1000</v>
        <stp/>
        <stp>bse_cm|925FL27</stp>
        <stp>Face Value</stp>
        <tr r="Q615" s="1"/>
      </tp>
      <tp>
        <v>1000</v>
        <stp/>
        <stp>bse_cm|91SFL27</stp>
        <stp>Face Value</stp>
        <tr r="Q574" s="1"/>
      </tp>
      <tp>
        <v>1000</v>
        <stp/>
        <stp>bse_cm|9SCFL25</stp>
        <stp>Face Value</stp>
        <tr r="Q1505" s="1"/>
      </tp>
      <tp>
        <v>1000</v>
        <stp/>
        <stp>bse_cm|9KSFL27</stp>
        <stp>Face Value</stp>
        <tr r="Q1418" s="1"/>
      </tp>
      <tp>
        <v>1000</v>
        <stp/>
        <stp>bse_cm|9IIFL28</stp>
        <stp>Face Value</stp>
        <tr r="Q126" s="1"/>
      </tp>
      <tp>
        <v>0</v>
        <stp/>
        <stp>nse_cm|875IIFL26A-NQ</stp>
        <stp>Open</stp>
        <tr r="M634" s="1"/>
      </tp>
      <tp>
        <v>0</v>
        <stp/>
        <stp>nse_cm|888IHFL25C-NR</stp>
        <stp>Open</stp>
        <tr r="M1426" s="1"/>
      </tp>
      <tp>
        <v>1000</v>
        <stp/>
        <stp>bse_cm|0NHFL29</stp>
        <stp>Face Value</stp>
        <tr r="Q1035" s="1"/>
      </tp>
      <tp>
        <v>1000</v>
        <stp/>
        <stp>bse_cm|0NHFL27</stp>
        <stp>Face Value</stp>
        <tr r="Q1036" s="1"/>
      </tp>
      <tp>
        <v>1000</v>
        <stp/>
        <stp>bse_cm|0NHFL26</stp>
        <stp>Face Value</stp>
        <tr r="Q1037" s="1"/>
      </tp>
      <tp>
        <v>1000</v>
        <stp/>
        <stp>bse_cm|12IFL27</stp>
        <stp>Face Value</stp>
        <tr r="Q258" s="1"/>
      </tp>
      <tp>
        <v>0</v>
        <stp/>
        <stp>nse_cm|866ICCL23A-NY</stp>
        <stp>Open</stp>
        <tr r="M759" s="1"/>
      </tp>
      <tp>
        <v>1000</v>
        <stp/>
        <stp>bse_cm|10KFL28</stp>
        <stp>Face Value</stp>
        <tr r="Q674" s="1"/>
      </tp>
      <tp>
        <v>1000</v>
        <stp/>
        <stp>bse_cm|10MFL25</stp>
        <stp>Face Value</stp>
        <tr r="Q577" s="1"/>
      </tp>
      <tp>
        <v>1000</v>
        <stp/>
        <stp>bse_cm|10NFL25</stp>
        <stp>Face Value</stp>
        <tr r="Q1568" s="1"/>
      </tp>
      <tp>
        <v>1000</v>
        <stp/>
        <stp>bse_cm|10KFL27</stp>
        <stp>Face Value</stp>
        <tr r="Q675" s="1"/>
      </tp>
      <tp>
        <v>1000</v>
        <stp/>
        <stp>bse_cm|10KFL25</stp>
        <stp>Face Value</stp>
        <tr r="Q1093" s="1"/>
      </tp>
      <tp>
        <v>1000</v>
        <stp/>
        <stp>bse_cm|10SFL27</stp>
        <stp>Face Value</stp>
        <tr r="Q863" s="1"/>
      </tp>
      <tp>
        <v>1000</v>
        <stp/>
        <stp>bse_cm|10SFL25</stp>
        <stp>Face Value</stp>
        <tr r="Q1681" s="1"/>
      </tp>
      <tp>
        <v>1000</v>
        <stp/>
        <stp>bse_cm|11IFL25</stp>
        <stp>Face Value</stp>
        <tr r="Q1421" s="1"/>
      </tp>
      <tp>
        <v>0</v>
        <stp/>
        <stp>nse_cm|890ICCL23A-NZ</stp>
        <stp>Open</stp>
        <tr r="M1363" s="1"/>
      </tp>
      <tp>
        <v>0</v>
        <stp/>
        <stp>bse_cm|87SCL24A</stp>
        <stp>ATP</stp>
        <tr r="K1141" s="1"/>
      </tp>
      <tp>
        <v>20</v>
        <stp/>
        <stp>bse_cm|1060MML26</stp>
        <stp>Bid Qty</stp>
        <tr r="D1218" s="1"/>
      </tp>
      <tp>
        <v>1</v>
        <stp/>
        <stp>bse_cm|1060ECL29</stp>
        <stp>Bid Qty</stp>
        <tr r="D272" s="1"/>
      </tp>
      <tp>
        <v>75</v>
        <stp/>
        <stp>nse_cm|867PFCL33-N7</stp>
        <stp>Ask Qty</stp>
        <tr r="G550" s="1"/>
      </tp>
      <tp>
        <v>15</v>
        <stp/>
        <stp>bse_cm|CCI110324</stp>
        <stp>Bid Qty</stp>
        <tr r="D755" s="1"/>
      </tp>
      <tp>
        <v>0</v>
        <stp/>
        <stp>nse_cm|78ABFL33-N4</stp>
        <stp>Volume Traded Today</stp>
        <tr r="L371" s="1"/>
      </tp>
      <tp>
        <v>0</v>
        <stp/>
        <stp>bse_cm|97SFL26A</stp>
        <stp>ATP</stp>
        <tr r="K1089" s="1"/>
      </tp>
      <tp>
        <v>1050</v>
        <stp/>
        <stp>bse_cm|922ONE25</stp>
        <stp>High</stp>
        <tr r="N1111" s="1"/>
      </tp>
      <tp>
        <v>0</v>
        <stp/>
        <stp>nse_cm|925CAGL26-N9</stp>
        <stp>Ask Qty</stp>
        <tr r="G639" s="1"/>
      </tp>
      <tp>
        <v>0</v>
        <stp/>
        <stp>bse_cm|87SCL27A</stp>
        <stp>ATP</stp>
        <tr r="K644" s="1"/>
      </tp>
      <tp>
        <v>0</v>
        <stp/>
        <stp>bse_cm|852LTF27</stp>
        <stp>High</stp>
        <tr r="N983" s="1"/>
      </tp>
      <tp t="s">
        <v>INE342T07437</v>
        <stp/>
        <stp>nse_cm|1040NFL26-NA</stp>
        <stp>Isin code</stp>
        <tr r="R678" s="1"/>
      </tp>
      <tp>
        <v>309</v>
        <stp/>
        <stp>nse_cm|901NHB34-N6</stp>
        <stp>Volume Traded Today</stp>
        <tr r="L520" s="1"/>
      </tp>
      <tp>
        <v>0</v>
        <stp/>
        <stp>nse_cm|940SCL27-YS</stp>
        <stp>High</stp>
        <tr r="N842" s="1"/>
      </tp>
      <tp>
        <v>25</v>
        <stp/>
        <stp>bse_cm|1065NFL27</stp>
        <stp>Bid Qty</stp>
        <tr r="D182" s="1"/>
      </tp>
      <tp>
        <v>18</v>
        <stp/>
        <stp>bse_cm|1075KLM27</stp>
        <stp>Bid Qty</stp>
        <tr r="D1117" s="1"/>
      </tp>
      <tp>
        <v>30</v>
        <stp/>
        <stp>bse_cm|1175KLM25</stp>
        <stp>Bid Qty</stp>
        <tr r="D1691" s="1"/>
      </tp>
      <tp>
        <v>19</v>
        <stp/>
        <stp>nse_cm|760PFCL35-N3</stp>
        <stp>Ask Qty</stp>
        <tr r="G22" s="1"/>
      </tp>
      <tp>
        <v>0</v>
        <stp/>
        <stp>bse_cm|EFSLZC26</stp>
        <stp>ATP</stp>
        <tr r="K1712" s="1"/>
      </tp>
      <tp>
        <v>0</v>
        <stp/>
        <stp>bse_cm|EFSLZC25</stp>
        <stp>ATP</stp>
        <tr r="K1741" s="1"/>
      </tp>
      <tp>
        <v>0</v>
        <stp/>
        <stp>bse_cm|EFSLZC28</stp>
        <stp>ATP</stp>
        <tr r="K1637" s="1"/>
      </tp>
      <tp>
        <v>0</v>
        <stp/>
        <stp>nse_cm|843SCL27-YS</stp>
        <stp>High</stp>
        <tr r="N944" s="1"/>
      </tp>
      <tp>
        <v>970</v>
        <stp/>
        <stp>nse_cm|948SCL27-YV</stp>
        <stp>High</stp>
        <tr r="N127" s="1"/>
      </tp>
      <tp>
        <v>22</v>
        <stp/>
        <stp>nse_cm|830CIFC26-N2</stp>
        <stp>Ask Qty</stp>
        <tr r="G1625" s="1"/>
      </tp>
      <tp>
        <v>0</v>
        <stp/>
        <stp>nse_cm|820SCL25-YO</stp>
        <stp xml:space="preserve">Low </stp>
        <tr r="O932" s="1"/>
      </tp>
      <tp t="s">
        <v>INE121A07QW3</v>
        <stp/>
        <stp>nse_cm|830CIFC26-N2</stp>
        <stp>Isin code</stp>
        <tr r="R1625" s="1"/>
      </tp>
      <tp>
        <v>1128</v>
        <stp/>
        <stp>bse_cm|935PEL33</stp>
        <stp xml:space="preserve">Low </stp>
        <tr r="O368" s="1"/>
      </tp>
      <tp>
        <v>975</v>
        <stp/>
        <stp>bse_cm|MFLII27B</stp>
        <stp>Ask Rate</stp>
        <tr r="F359" s="1"/>
      </tp>
      <tp>
        <v>1</v>
        <stp/>
        <stp>nse_cm|957ICCL25-YW</stp>
        <stp>Bid Qty</stp>
        <tr r="D386" s="1"/>
      </tp>
      <tp>
        <v>850</v>
        <stp/>
        <stp>bse_cm|894SCL27</stp>
        <stp xml:space="preserve">Low </stp>
        <tr r="O962" s="1"/>
      </tp>
      <tp>
        <v>100</v>
        <stp/>
        <stp>nse_cm|734IRFC28-N4</stp>
        <stp>Ask Qty</stp>
        <tr r="G455" s="1"/>
      </tp>
      <tp>
        <v>0</v>
        <stp/>
        <stp>bse_cm|MFLIV27D</stp>
        <stp>Ask Rate</stp>
        <tr r="F1452" s="1"/>
      </tp>
      <tp>
        <v>1001</v>
        <stp/>
        <stp>bse_cm|932AEL27</stp>
        <stp>High</stp>
        <tr r="N317" s="1"/>
      </tp>
      <tp>
        <v>1151.57</v>
        <stp/>
        <stp>bse_cm|894SCL25</stp>
        <stp xml:space="preserve">Low </stp>
        <tr r="O1517" s="1"/>
      </tp>
      <tp>
        <v>1280</v>
        <stp/>
        <stp>nse_cm|85PFL26A-N7</stp>
        <stp>LTP</stp>
        <tr r="H1519" s="1"/>
      </tp>
      <tp t="s">
        <v/>
        <stp/>
        <stp>nse_cm|85PFL26A-N7</stp>
        <stp>LTT</stp>
        <tr r="I1519" s="1"/>
      </tp>
      <tp>
        <v>80</v>
        <stp/>
        <stp>nse_cm|AEL120924-N2</stp>
        <stp>Ask Qty</stp>
        <tr r="G1673" s="1"/>
      </tp>
      <tp>
        <v>1067.8</v>
        <stp/>
        <stp>bse_cm|714REC25</stp>
        <stp xml:space="preserve">Low </stp>
        <tr r="O518" s="1"/>
      </tp>
      <tp>
        <v>950.2</v>
        <stp/>
        <stp>bse_cm|894SCL24</stp>
        <stp xml:space="preserve">Low </stp>
        <tr r="O645" s="1"/>
      </tp>
      <tp>
        <v>0</v>
        <stp/>
        <stp>bse_cm|795IGT31</stp>
        <stp xml:space="preserve">Low </stp>
        <tr r="O1186" s="1"/>
      </tp>
      <tp>
        <v>1000</v>
        <stp/>
        <stp>nse_cm|925SCL27-YR</stp>
        <stp xml:space="preserve">Low </stp>
        <tr r="O1415" s="1"/>
      </tp>
      <tp>
        <v>1018.12</v>
        <stp/>
        <stp>bse_cm|985ONE34</stp>
        <stp xml:space="preserve">Low </stp>
        <tr r="O1101" s="1"/>
      </tp>
      <tp>
        <v>999.8</v>
        <stp/>
        <stp>bse_cm|104ECL29</stp>
        <stp xml:space="preserve">Low </stp>
        <tr r="O149" s="1"/>
      </tp>
      <tp>
        <v>300</v>
        <stp/>
        <stp>nse_cm|1090NFL26-NB</stp>
        <stp>Bid Qty</stp>
        <tr r="D636" s="1"/>
      </tp>
      <tp>
        <v>1019</v>
        <stp/>
        <stp>nse_cm|875SFL27-ZF</stp>
        <stp>High</stp>
        <tr r="N379" s="1"/>
      </tp>
      <tp>
        <v>0</v>
        <stp/>
        <stp>bse_cm|IFCIZC24</stp>
        <stp>ATP</stp>
        <tr r="K1769" s="1"/>
      </tp>
      <tp>
        <v>0</v>
        <stp/>
        <stp>bse_cm|IFCIZC25</stp>
        <stp>ATP</stp>
        <tr r="K1764" s="1"/>
      </tp>
      <tp>
        <v>0</v>
        <stp/>
        <stp>nse_cm|89SCL24A-ZM</stp>
        <stp>LTP</stp>
        <tr r="H970" s="1"/>
      </tp>
      <tp t="s">
        <v/>
        <stp/>
        <stp>nse_cm|89SCL24A-ZM</stp>
        <stp>LTT</stp>
        <tr r="I970" s="1"/>
      </tp>
      <tp>
        <v>850</v>
        <stp/>
        <stp>nse_cm|916SCL25-ZW</stp>
        <stp xml:space="preserve">Low </stp>
        <tr r="O1576" s="1"/>
      </tp>
      <tp t="s">
        <v>BSE</v>
        <stp/>
        <stp>bse_cm|12IML26A</stp>
        <stp>Exchange</stp>
        <tr r="C1212" s="1"/>
      </tp>
      <tp>
        <v>1000</v>
        <stp/>
        <stp>nse_cm|10IIFLSF27-NB</stp>
        <stp>Face Value</stp>
        <tr r="Q1657" s="1"/>
      </tp>
      <tp>
        <v>1056</v>
        <stp/>
        <stp>nse_cm|905LTF27-NF</stp>
        <stp>Open</stp>
        <tr r="M393" s="1"/>
      </tp>
      <tp>
        <v>17</v>
        <stp/>
        <stp>nse_cm|1040NFL26-NA</stp>
        <stp>Bid Qty</stp>
        <tr r="D678" s="1"/>
      </tp>
      <tp>
        <v>1690</v>
        <stp/>
        <stp>bse_cm|MFLZC27B</stp>
        <stp>Ask Rate</stp>
        <tr r="F1697" s="1"/>
      </tp>
      <tp>
        <v>990</v>
        <stp/>
        <stp>nse_cm|87SCL24A-ZF</stp>
        <stp>LTP</stp>
        <tr r="H959" s="1"/>
      </tp>
      <tp>
        <v>20</v>
        <stp/>
        <stp>nse_cm|805ABFL28-N2</stp>
        <stp>Bid Qty</stp>
        <tr r="D477" s="1"/>
      </tp>
      <tp t="s">
        <v/>
        <stp/>
        <stp>nse_cm|87SCL24A-ZF</stp>
        <stp>LTT</stp>
        <tr r="I959" s="1"/>
      </tp>
      <tp t="s">
        <v>15:14:16</v>
        <stp/>
        <stp>nse_cm|87SCL27A-ZK</stp>
        <stp>LTT</stp>
        <tr r="I1416" s="1"/>
      </tp>
      <tp>
        <v>1000</v>
        <stp/>
        <stp>bse_cm|792TCH25</stp>
        <stp>High</stp>
        <tr r="N1188" s="1"/>
      </tp>
      <tp>
        <v>945</v>
        <stp/>
        <stp>nse_cm|87SCL27A-ZK</stp>
        <stp>LTP</stp>
        <tr r="H1416" s="1"/>
      </tp>
      <tp>
        <v>100</v>
        <stp/>
        <stp>nse_cm|105IIFL29-N7</stp>
        <stp>Bid Qty</stp>
        <tr r="D270" s="1"/>
      </tp>
      <tp>
        <v>0</v>
        <stp/>
        <stp>nse_cm|925SCL29-YZ</stp>
        <stp xml:space="preserve">Low </stp>
        <tr r="O851" s="1"/>
      </tp>
      <tp t="s">
        <v>BSE</v>
        <stp/>
        <stp>bse_cm|10KFL24D</stp>
        <stp>Exchange</stp>
        <tr r="C1424" s="1"/>
      </tp>
      <tp>
        <v>9</v>
        <stp/>
        <stp>nse_cm|1050NFL26-N7</stp>
        <stp>Bid Qty</stp>
        <tr r="D259" s="1"/>
      </tp>
      <tp>
        <v>1080</v>
        <stp/>
        <stp>bse_cm|104ECL24</stp>
        <stp xml:space="preserve">Low </stp>
        <tr r="O38" s="1"/>
      </tp>
      <tp>
        <v>0</v>
        <stp/>
        <stp>bse_cm|SCL310524</stp>
        <stp>Ask Qty</stp>
        <tr r="G1345" s="1"/>
      </tp>
      <tp>
        <v>0</v>
        <stp/>
        <stp>bse_cm|MFLZC27C</stp>
        <stp>Ask Rate</stp>
        <tr r="F1411" s="1"/>
      </tp>
      <tp>
        <v>4</v>
        <stp/>
        <stp>nse_cm|1065NFL27-NC</stp>
        <stp>Bid Qty</stp>
        <tr r="D170" s="1"/>
      </tp>
      <tp>
        <v>0</v>
        <stp/>
        <stp>bse_cm|1050SFL26</stp>
        <stp>Ask Qty</stp>
        <tr r="G890" s="1"/>
      </tp>
      <tp>
        <v>0</v>
        <stp/>
        <stp>bse_cm|1050VCL25</stp>
        <stp>Ask Qty</stp>
        <tr r="G656" s="1"/>
      </tp>
      <tp>
        <v>10</v>
        <stp/>
        <stp>bse_cm|1050UCL25</stp>
        <stp>Ask Qty</stp>
        <tr r="G417" s="1"/>
      </tp>
      <tp>
        <v>0</v>
        <stp/>
        <stp>bse_cm|1150IFL26</stp>
        <stp>Ask Qty</stp>
        <tr r="G1225" s="1"/>
      </tp>
      <tp>
        <v>20</v>
        <stp/>
        <stp>bse_cm|1050IML25</stp>
        <stp>Ask Qty</stp>
        <tr r="G499" s="1"/>
      </tp>
      <tp>
        <v>0</v>
        <stp/>
        <stp>bse_cm|1050MML25</stp>
        <stp>Ask Qty</stp>
        <tr r="G1503" s="1"/>
      </tp>
      <tp>
        <v>25</v>
        <stp/>
        <stp>bse_cm|1050NFL26</stp>
        <stp>Ask Qty</stp>
        <tr r="G260" s="1"/>
      </tp>
      <tp>
        <v>100</v>
        <stp/>
        <stp>bse_cm|1150MML29</stp>
        <stp>Ask Qty</stp>
        <tr r="G248" s="1"/>
      </tp>
      <tp>
        <v>0</v>
        <stp/>
        <stp>bse_cm|1050MML28</stp>
        <stp>Ask Qty</stp>
        <tr r="G1159" s="1"/>
      </tp>
      <tp>
        <v>0</v>
        <stp/>
        <stp>bse_cm|1150IML29</stp>
        <stp>Ask Qty</stp>
        <tr r="G601" s="1"/>
      </tp>
      <tp>
        <v>0</v>
        <stp/>
        <stp>bse_cm|1250IFL29</stp>
        <stp>Ask Qty</stp>
        <tr r="G1215" s="1"/>
      </tp>
      <tp>
        <v>582</v>
        <stp/>
        <stp>bse_cm|1150IML28</stp>
        <stp>Ask Qty</stp>
        <tr r="G92" s="1"/>
      </tp>
      <tp>
        <v>1060.01</v>
        <stp/>
        <stp>bse_cm|729HUDCO26</stp>
        <stp>Prev Close</stp>
        <tr r="P523" s="1"/>
      </tp>
      <tp>
        <v>1135</v>
        <stp/>
        <stp>bse_cm|739HUDCO31</stp>
        <stp>Prev Close</stp>
        <tr r="P569" s="1"/>
      </tp>
      <tp>
        <v>1161.97</v>
        <stp/>
        <stp>bse_cm|769HUDCO31</stp>
        <stp>Prev Close</stp>
        <tr r="P15" s="1"/>
      </tp>
      <tp>
        <v>8</v>
        <stp/>
        <stp>nse_cm|957ICCL28-NW</stp>
        <stp>Bid Qty</stp>
        <tr r="D762" s="1"/>
      </tp>
      <tp>
        <v>180</v>
        <stp/>
        <stp>nse_cm|1075NFL25-N6</stp>
        <stp>Bid Qty</stp>
        <tr r="D1438" s="1"/>
      </tp>
      <tp>
        <v>0</v>
        <stp/>
        <stp>bse_cm|1050SCL31</stp>
        <stp>Ask Qty</stp>
        <tr r="G892" s="1"/>
      </tp>
      <tp>
        <v>0</v>
        <stp/>
        <stp>bse_cm|1050SCL30</stp>
        <stp>Ask Qty</stp>
        <tr r="G867" s="1"/>
      </tp>
      <tp>
        <v>0</v>
        <stp/>
        <stp>bse_cm|MFLZC27A</stp>
        <stp>Ask Rate</stp>
        <tr r="F1270" s="1"/>
      </tp>
      <tp>
        <v>0</v>
        <stp/>
        <stp>bse_cm|KFLZC27A</stp>
        <stp>Ask Rate</stp>
        <tr r="F1291" s="1"/>
      </tp>
      <tp>
        <v>180</v>
        <stp/>
        <stp>nse_cm|910CAGL25-N7</stp>
        <stp>Bid Qty</stp>
        <tr r="D622" s="1"/>
      </tp>
      <tp>
        <v>0</v>
        <stp/>
        <stp>bse_cm|902SCL27</stp>
        <stp>High</stp>
        <tr r="N902" s="1"/>
      </tp>
      <tp>
        <v>4</v>
        <stp/>
        <stp>nse_cm|875NHAI29-N6</stp>
        <stp>Bid Qty</stp>
        <tr r="D495" s="1"/>
      </tp>
      <tp>
        <v>0</v>
        <stp/>
        <stp>bse_cm|MFLZC27F</stp>
        <stp>Ask Rate</stp>
        <tr r="F1566" s="1"/>
      </tp>
      <tp>
        <v>0</v>
        <stp/>
        <stp>bse_cm|902SCL26</stp>
        <stp>High</stp>
        <tr r="N969" s="1"/>
      </tp>
      <tp>
        <v>944.03</v>
        <stp/>
        <stp>bse_cm|944MFL28</stp>
        <stp xml:space="preserve">Low </stp>
        <tr r="O677" s="1"/>
      </tp>
      <tp>
        <v>0</v>
        <stp/>
        <stp>bse_cm|884LTF29</stp>
        <stp xml:space="preserve">Low </stp>
        <tr r="O1337" s="1"/>
      </tp>
      <tp t="s">
        <v>INE053F07660</v>
        <stp/>
        <stp>nse_cm|840IRFC29-N8</stp>
        <stp>Isin code</stp>
        <tr r="R528" s="1"/>
      </tp>
      <tp>
        <v>9</v>
        <stp/>
        <stp>nse_cm|1025NFL25-N5</stp>
        <stp>Bid Qty</stp>
        <tr r="D1488" s="1"/>
      </tp>
      <tp>
        <v>1694</v>
        <stp/>
        <stp>bse_cm|MFLZC27D</stp>
        <stp>Ask Rate</stp>
        <tr r="F1700" s="1"/>
      </tp>
      <tp>
        <v>50</v>
        <stp/>
        <stp>bse_cm|10MFL24AA</stp>
        <stp>Ask Qty</stp>
        <tr r="G475" s="1"/>
      </tp>
      <tp>
        <v>1225</v>
        <stp/>
        <stp>bse_cm|743REC35</stp>
        <stp>High</stp>
        <tr r="N513" s="1"/>
      </tp>
      <tp>
        <v>842.8</v>
        <stp/>
        <stp>bse_cm|CCI110324A</stp>
        <stp>Prev Close</stp>
        <tr r="P1590" s="1"/>
      </tp>
      <tp>
        <v>1300</v>
        <stp/>
        <stp>bse_cm|MFLZC27E</stp>
        <stp>Ask Rate</stp>
        <tr r="F1677" s="1"/>
      </tp>
      <tp>
        <v>22</v>
        <stp/>
        <stp>bse_cm|747PFCL33</stp>
        <stp>Bid Qty</stp>
        <tr r="D1199" s="1"/>
      </tp>
      <tp>
        <v>18</v>
        <stp/>
        <stp>bse_cm|697PFCL36</stp>
        <stp>Bid Qty</stp>
        <tr r="D431" s="1"/>
      </tp>
      <tp>
        <v>43</v>
        <stp/>
        <stp>bse_cm|984IFSL26</stp>
        <stp>Ask Qty</stp>
        <tr r="G457" s="1"/>
      </tp>
      <tp>
        <v>0</v>
        <stp/>
        <stp>nse_cm|888SCL26A-ZC</stp>
        <stp>Ask Qty</stp>
        <tr r="G839" s="1"/>
      </tp>
      <tp>
        <v>210</v>
        <stp/>
        <stp>bse_cm|967NIDO28</stp>
        <stp>Ask Qty</stp>
        <tr r="G227" s="1"/>
      </tp>
      <tp>
        <v>70</v>
        <stp/>
        <stp>bse_cm|957NIDO26</stp>
        <stp>Ask Qty</stp>
        <tr r="G329" s="1"/>
      </tp>
      <tp>
        <v>0</v>
        <stp/>
        <stp>nse_cm|846REC28-N6</stp>
        <stp>Open</stp>
        <tr r="M548" s="1"/>
      </tp>
      <tp>
        <v>1027</v>
        <stp/>
        <stp>nse_cm|87LTF27-NH</stp>
        <stp>Prev Close</stp>
        <tr r="P407" s="1"/>
      </tp>
      <tp>
        <v>0</v>
        <stp/>
        <stp>bse_cm|0MML27524</stp>
        <stp>Ask Qty</stp>
        <tr r="G1042" s="1"/>
      </tp>
      <tp>
        <v>-100</v>
        <stp/>
        <stp>bse_cm|79IGT28</stp>
        <stp>% Change</stp>
        <tr r="J1183" s="1"/>
      </tp>
      <tp t="s">
        <v>BSE</v>
        <stp/>
        <stp>bse_cm|MFLIII25</stp>
        <stp>Exchange</stp>
        <tr r="C1501" s="1"/>
      </tp>
      <tp>
        <v>0</v>
        <stp/>
        <stp>nse_cm|888SCL25B-Y2</stp>
        <stp>Ask Qty</stp>
        <tr r="G789" s="1"/>
      </tp>
      <tp>
        <v>1000</v>
        <stp/>
        <stp>nse_cm|97SFL28-YS</stp>
        <stp>Face Value</stp>
        <tr r="Q19" s="1"/>
      </tp>
      <tp>
        <v>1000</v>
        <stp/>
        <stp>nse_cm|94SFL28-YL</stp>
        <stp>Face Value</stp>
        <tr r="Q5" s="1"/>
      </tp>
      <tp>
        <v>0</v>
        <stp/>
        <stp>bse_cm|MFL26Z</stp>
        <stp>Open</stp>
        <tr r="M1655" s="1"/>
      </tp>
      <tp>
        <v>948</v>
        <stp/>
        <stp>bse_cm|905SC24B</stp>
        <stp>High</stp>
        <tr r="N684" s="1"/>
      </tp>
      <tp>
        <v>-100</v>
        <stp/>
        <stp>nse_cm|1003SCL31-ZQ</stp>
        <stp>% Change</stp>
        <tr r="J688" s="1"/>
      </tp>
      <tp>
        <v>980</v>
        <stp/>
        <stp>bse_cm|967EFSL29A</stp>
        <stp>Prev Close</stp>
        <tr r="P180" s="1"/>
      </tp>
      <tp>
        <v>961</v>
        <stp/>
        <stp>bse_cm|967EFSL28A</stp>
        <stp>Prev Close</stp>
        <tr r="P172" s="1"/>
      </tp>
      <tp>
        <v>948.2</v>
        <stp/>
        <stp>bse_cm|967EFSL28D</stp>
        <stp>Prev Close</stp>
        <tr r="P168" s="1"/>
      </tp>
      <tp>
        <v>1000</v>
        <stp/>
        <stp>bse_cm|KFL30</stp>
        <stp>Face Value</stp>
        <tr r="Q1298" s="1"/>
      </tp>
      <tp>
        <v>1000</v>
        <stp/>
        <stp>bse_cm|KFL31</stp>
        <stp>Face Value</stp>
        <tr r="Q1297" s="1"/>
      </tp>
      <tp>
        <v>1000</v>
        <stp/>
        <stp>bse_cm|MFL30</stp>
        <stp>Face Value</stp>
        <tr r="Q1460" s="1"/>
      </tp>
      <tp>
        <v>1000</v>
        <stp/>
        <stp>bse_cm|MFL31</stp>
        <stp>Face Value</stp>
        <tr r="Q701" s="1"/>
      </tp>
      <tp>
        <v>1000</v>
        <stp/>
        <stp>bse_cm|SFL30</stp>
        <stp>Face Value</stp>
        <tr r="Q1597" s="1"/>
      </tp>
      <tp>
        <v>1000</v>
        <stp/>
        <stp>bse_cm|KFL29</stp>
        <stp>Face Value</stp>
        <tr r="Q1619" s="1"/>
      </tp>
      <tp>
        <v>1000</v>
        <stp/>
        <stp>bse_cm|MFL28</stp>
        <stp>Face Value</stp>
        <tr r="Q1638" s="1"/>
      </tp>
      <tp>
        <v>1000</v>
        <stp/>
        <stp>bse_cm|MFL29</stp>
        <stp>Face Value</stp>
        <tr r="Q1598" s="1"/>
      </tp>
      <tp>
        <v>1000</v>
        <stp/>
        <stp>bse_cm|MFL26</stp>
        <stp>Face Value</stp>
        <tr r="Q1666" s="1"/>
      </tp>
      <tp>
        <v>1000</v>
        <stp/>
        <stp>bse_cm|MFL27</stp>
        <stp>Face Value</stp>
        <tr r="Q1563" s="1"/>
      </tp>
      <tp>
        <v>1000</v>
        <stp/>
        <stp>bse_cm|MFL25</stp>
        <stp>Face Value</stp>
        <tr r="Q1733" s="1"/>
      </tp>
      <tp>
        <v>1000</v>
        <stp/>
        <stp>bse_cm|KFL25</stp>
        <stp>Face Value</stp>
        <tr r="Q1309" s="1"/>
      </tp>
      <tp>
        <v>1000</v>
        <stp/>
        <stp>bse_cm|MFL23</stp>
        <stp>Face Value</stp>
        <tr r="Q1668" s="1"/>
      </tp>
      <tp>
        <v>1000</v>
        <stp/>
        <stp>bse_cm|KFL26</stp>
        <stp>Face Value</stp>
        <tr r="Q1306" s="1"/>
      </tp>
      <tp>
        <v>1000</v>
        <stp/>
        <stp>bse_cm|KFL27</stp>
        <stp>Face Value</stp>
        <tr r="Q1303" s="1"/>
      </tp>
      <tp>
        <v>1000</v>
        <stp/>
        <stp>bse_cm|SFL25</stp>
        <stp>Face Value</stp>
        <tr r="Q813" s="1"/>
      </tp>
      <tp>
        <v>1000</v>
        <stp/>
        <stp>bse_cm|SFL26</stp>
        <stp>Face Value</stp>
        <tr r="Q811" s="1"/>
      </tp>
      <tp>
        <v>1000</v>
        <stp/>
        <stp>bse_cm|SFL27</stp>
        <stp>Face Value</stp>
        <tr r="Q809" s="1"/>
      </tp>
      <tp>
        <v>1000</v>
        <stp/>
        <stp>bse_cm|SFL28</stp>
        <stp>Face Value</stp>
        <tr r="Q803" s="1"/>
      </tp>
      <tp>
        <v>-100</v>
        <stp/>
        <stp>bse_cm|89MFL26</stp>
        <stp>% Change</stp>
        <tr r="J250" s="1"/>
      </tp>
      <tp>
        <v>842.8</v>
        <stp/>
        <stp>bse_cm|0SFL31</stp>
        <stp>Bid Rate</stp>
        <tr r="E1032" s="1"/>
      </tp>
      <tp t="s">
        <v>BSE</v>
        <stp/>
        <stp>bse_cm|10MFCL30</stp>
        <stp>Exchange</stp>
        <tr r="C1091" s="1"/>
      </tp>
      <tp>
        <v>0</v>
        <stp/>
        <stp>bse_cm|SFL27A</stp>
        <stp xml:space="preserve">Low </stp>
        <tr r="O804" s="1"/>
      </tp>
      <tp>
        <v>0</v>
        <stp/>
        <stp>nse_cm|980SCL33B-YL</stp>
        <stp>Ask Qty</stp>
        <tr r="G837" s="1"/>
      </tp>
      <tp>
        <v>0</v>
        <stp/>
        <stp>nse_cm|980SCL33D-YG</stp>
        <stp>Ask Qty</stp>
        <tr r="G830" s="1"/>
      </tp>
      <tp>
        <v>1021</v>
        <stp/>
        <stp>bse_cm|1175ICLF25</stp>
        <stp>Prev Close</stp>
        <tr r="P1222" s="1"/>
      </tp>
      <tp>
        <v>0.05</v>
        <stp/>
        <stp>bse_cm|99AEL29</stp>
        <stp>% Change</stp>
        <tr r="J243" s="1"/>
      </tp>
      <tp>
        <v>20</v>
        <stp/>
        <stp>nse_cm|84CIFCL28-NA</stp>
        <stp>Bid Qty</stp>
        <tr r="D388" s="1"/>
      </tp>
      <tp>
        <v>-100</v>
        <stp/>
        <stp>bse_cm|98SCL34</stp>
        <stp>% Change</stp>
        <tr r="J1053" s="1"/>
      </tp>
      <tp>
        <v>-100</v>
        <stp/>
        <stp>bse_cm|89SCL24</stp>
        <stp>% Change</stp>
        <tr r="J1153" s="1"/>
      </tp>
      <tp>
        <v>0</v>
        <stp/>
        <stp>nse_cm|888SCL25E-N4</stp>
        <stp>Ask Qty</stp>
        <tr r="G1444" s="1"/>
      </tp>
      <tp>
        <v>0</v>
        <stp/>
        <stp>nse_cm|888SCL25D-NC</stp>
        <stp>Ask Qty</stp>
        <tr r="G916" s="1"/>
      </tp>
      <tp>
        <v>1200</v>
        <stp/>
        <stp>nse_cm|9TCAP28-N9</stp>
        <stp>Prev Close</stp>
        <tr r="P544" s="1"/>
      </tp>
      <tp>
        <v>1000</v>
        <stp/>
        <stp>bse_cm|8MFL2026</stp>
        <stp>Face Value</stp>
        <tr r="Q451" s="1"/>
      </tp>
      <tp>
        <v>50</v>
        <stp/>
        <stp>bse_cm|10IIFL28A</stp>
        <stp>Bid Qty</stp>
        <tr r="D101" s="1"/>
      </tp>
      <tp>
        <v>20</v>
        <stp/>
        <stp>bse_cm|96IIFL28A</stp>
        <stp>Bid Qty</stp>
        <tr r="D88" s="1"/>
      </tp>
      <tp t="s">
        <v>15:12:51</v>
        <stp/>
        <stp>nse_cm|9IIFL28A-NT</stp>
        <stp>LTT</stp>
        <tr r="I80" s="1"/>
      </tp>
      <tp>
        <v>964.2</v>
        <stp/>
        <stp>nse_cm|9IIFL28A-NT</stp>
        <stp>LTP</stp>
        <tr r="H80" s="1"/>
      </tp>
      <tp>
        <v>-100</v>
        <stp/>
        <stp>bse_cm|99SCL27</stp>
        <stp>% Change</stp>
        <tr r="J1169" s="1"/>
      </tp>
      <tp>
        <v>1020</v>
        <stp/>
        <stp>nse_cm|9ICCL23A-N0</stp>
        <stp>LTP</stp>
        <tr r="H657" s="1"/>
      </tp>
      <tp t="s">
        <v>09:20:15</v>
        <stp/>
        <stp>nse_cm|9ICCL23A-N0</stp>
        <stp>LTT</stp>
        <tr r="I657" s="1"/>
      </tp>
      <tp>
        <v>832.85</v>
        <stp/>
        <stp>bse_cm|0KFL31</stp>
        <stp>Bid Rate</stp>
        <tr r="E1044" s="1"/>
      </tp>
      <tp>
        <v>950</v>
        <stp/>
        <stp>bse_cm|9SCL26BA</stp>
        <stp>High</stp>
        <tr r="N160" s="1"/>
      </tp>
      <tp>
        <v>20</v>
        <stp/>
        <stp>bse_cm|967EFSL29</stp>
        <stp>Bid Qty</stp>
        <tr r="D102" s="1"/>
      </tp>
      <tp>
        <v>9</v>
        <stp/>
        <stp>bse_cm|967EFSL28</stp>
        <stp>Bid Qty</stp>
        <tr r="D205" s="1"/>
      </tp>
      <tp>
        <v>25</v>
        <stp/>
        <stp>bse_cm|957EFSL27</stp>
        <stp>Bid Qty</stp>
        <tr r="D576" s="1"/>
      </tp>
      <tp>
        <v>190</v>
        <stp/>
        <stp>bse_cm|MFLIV26</stp>
        <stp>Bid Qty</stp>
        <tr r="D1500" s="1"/>
      </tp>
      <tp>
        <v>100</v>
        <stp/>
        <stp>bse_cm|MFLIV25</stp>
        <stp>Bid Qty</stp>
        <tr r="D280" s="1"/>
      </tp>
      <tp>
        <v>0</v>
        <stp/>
        <stp>nse_cm|905SCL27-Z4</stp>
        <stp xml:space="preserve">Low </stp>
        <tr r="O947" s="1"/>
      </tp>
      <tp>
        <v>985</v>
        <stp/>
        <stp>nse_cm|10NIDO26-N6</stp>
        <stp>LTP</stp>
        <tr r="H66" s="1"/>
      </tp>
      <tp>
        <v>999.52</v>
        <stp/>
        <stp>nse_cm|10NFL25-N9</stp>
        <stp>Prev Close</stp>
        <tr r="P345" s="1"/>
      </tp>
      <tp t="s">
        <v/>
        <stp/>
        <stp>nse_cm|10NIDO26-N6</stp>
        <stp>LTT</stp>
        <tr r="I66" s="1"/>
      </tp>
      <tp>
        <v>0</v>
        <stp/>
        <stp>bse_cm|MML26A</stp>
        <stp>Open</stp>
        <tr r="M1642" s="1"/>
      </tp>
      <tp>
        <v>1000</v>
        <stp/>
        <stp>bse_cm|728IRFC30</stp>
        <stp>Bid Qty</stp>
        <tr r="D469" s="1"/>
      </tp>
      <tp>
        <v>0</v>
        <stp/>
        <stp>bse_cm|MFL26E</stp>
        <stp>Open</stp>
        <tr r="M1533" s="1"/>
      </tp>
      <tp>
        <v>0</v>
        <stp/>
        <stp>nse_cm|980SCL33A-N3</stp>
        <stp>Ask Qty</stp>
        <tr r="G1055" s="1"/>
      </tp>
      <tp>
        <v>0</v>
        <stp/>
        <stp>nse_cm|980SCL33C-ND</stp>
        <stp>Ask Qty</stp>
        <tr r="G1385" s="1"/>
      </tp>
      <tp>
        <v>101</v>
        <stp/>
        <stp>bse_cm|957ISFL26</stp>
        <stp>Bid Qty</stp>
        <tr r="D761" s="1"/>
      </tp>
      <tp>
        <v>10</v>
        <stp/>
        <stp>bse_cm|957ICCL28</stp>
        <stp>Bid Qty</stp>
        <tr r="D1572" s="1"/>
      </tp>
      <tp>
        <v>0</v>
        <stp/>
        <stp>bse_cm|MFL26D</stp>
        <stp>Open</stp>
        <tr r="M1279" s="1"/>
      </tp>
      <tp>
        <v>50</v>
        <stp/>
        <stp>bse_cm|957ICCL25</stp>
        <stp>Bid Qty</stp>
        <tr r="D432" s="1"/>
      </tp>
      <tp>
        <v>1000</v>
        <stp/>
        <stp>nse_cm|1015SCFL29-YY</stp>
        <stp>Face Value</stp>
        <tr r="Q1455" s="1"/>
      </tp>
      <tp t="s">
        <v>BSE</v>
        <stp/>
        <stp>bse_cm|MFLVII27</stp>
        <stp>Exchange</stp>
        <tr r="C1397" s="1"/>
      </tp>
      <tp t="s">
        <v>BSE</v>
        <stp/>
        <stp>bse_cm|MFLTDI25</stp>
        <stp>Exchange</stp>
        <tr r="C1476" s="1"/>
      </tp>
      <tp>
        <v>12</v>
        <stp/>
        <stp>bse_cm|CCILZC25A</stp>
        <stp>Bid Qty</stp>
        <tr r="D749" s="1"/>
      </tp>
      <tp>
        <v>0</v>
        <stp/>
        <stp>bse_cm|MFL26F</stp>
        <stp>Open</stp>
        <tr r="M1278" s="1"/>
      </tp>
      <tp>
        <v>50</v>
        <stp/>
        <stp>bse_cm|957JFPL30</stp>
        <stp>Bid Qty</stp>
        <tr r="D760" s="1"/>
      </tp>
      <tp>
        <v>0</v>
        <stp/>
        <stp>bse_cm|CCILZC30</stp>
        <stp>Ask Rate</stp>
        <tr r="F746" s="1"/>
      </tp>
      <tp>
        <v>0</v>
        <stp/>
        <stp>bse_cm|MFL26A</stp>
        <stp>Open</stp>
        <tr r="M1557" s="1"/>
      </tp>
      <tp>
        <v>0</v>
        <stp/>
        <stp>bse_cm|KFL30A</stp>
        <stp>Open</stp>
        <tr r="M1592" s="1"/>
      </tp>
      <tp>
        <v>1000</v>
        <stp/>
        <stp>nse_cm|840CIFCL28-N4</stp>
        <stp>Face Value</stp>
        <tr r="Q556" s="1"/>
      </tp>
      <tp>
        <v>0</v>
        <stp/>
        <stp>bse_cm|MFL26C</stp>
        <stp>Open</stp>
        <tr r="M1669" s="1"/>
      </tp>
      <tp>
        <v>0</v>
        <stp/>
        <stp>nse_cm|888SCL25A-AQ</stp>
        <stp>Ask Qty</stp>
        <tr r="G910" s="1"/>
      </tp>
      <tp>
        <v>0</v>
        <stp/>
        <stp>bse_cm|MFL26B</stp>
        <stp>Open</stp>
        <tr r="M1280" s="1"/>
      </tp>
      <tp t="s">
        <v>925SCL25G-NY</v>
        <stp/>
        <stp>nse_cm|925SCL25G-NY</stp>
        <stp>Trading Symbol</stp>
        <tr r="B887" s="1"/>
      </tp>
      <tp t="s">
        <v>INE202E07229</v>
        <stp/>
        <stp>bse_cm|774IREDA31</stp>
        <stp>Isin code</stp>
        <tr r="R17" s="1"/>
      </tp>
      <tp t="s">
        <v>INE00XE07119</v>
        <stp/>
        <stp>bse_cm|975MVAFL25</stp>
        <stp>Isin code</stp>
        <tr r="R458" s="1"/>
      </tp>
      <tp t="s">
        <v>INE103C07041</v>
        <stp/>
        <stp>bse_cm|994SMCGS29</stp>
        <stp>Isin code</stp>
        <tr r="R221" s="1"/>
      </tp>
      <tp t="s">
        <v>INE031A07AO5</v>
        <stp/>
        <stp>bse_cm|764HUDCO31</stp>
        <stp>Isin code</stp>
        <tr r="R16" s="1"/>
      </tp>
      <tp t="s">
        <v>INE031A07AT4</v>
        <stp/>
        <stp>bse_cm|769HUDCO31</stp>
        <stp>Isin code</stp>
        <tr r="R15" s="1"/>
      </tp>
      <tp t="s">
        <v>00:00:00</v>
        <stp/>
        <stp>bse_cm|774IREDA31</stp>
        <stp>LTT</stp>
        <tr r="I17" s="1"/>
      </tp>
      <tp>
        <v>0</v>
        <stp/>
        <stp>bse_cm|743IREDA36</stp>
        <stp>LTP</stp>
        <tr r="H1441" s="1"/>
      </tp>
      <tp t="s">
        <v>00:00:00</v>
        <stp/>
        <stp>bse_cm|749IREDA31</stp>
        <stp>LTT</stp>
        <tr r="I568" s="1"/>
      </tp>
      <tp>
        <v>0</v>
        <stp/>
        <stp>bse_cm|768IREDA36</stp>
        <stp>LTP</stp>
        <tr r="H543" s="1"/>
      </tp>
      <tp>
        <v>0</v>
        <stp/>
        <stp>bse_cm|774IREDA31</stp>
        <stp>LTP</stp>
        <tr r="H17" s="1"/>
      </tp>
      <tp t="s">
        <v>00:00:00</v>
        <stp/>
        <stp>bse_cm|743IREDA36</stp>
        <stp>LTT</stp>
        <tr r="I1441" s="1"/>
      </tp>
      <tp>
        <v>0</v>
        <stp/>
        <stp>bse_cm|749IREDA31</stp>
        <stp>LTP</stp>
        <tr r="H568" s="1"/>
      </tp>
      <tp t="s">
        <v>00:00:00</v>
        <stp/>
        <stp>bse_cm|768IREDA36</stp>
        <stp>LTT</stp>
        <tr r="I543" s="1"/>
      </tp>
      <tp>
        <v>0</v>
        <stp/>
        <stp>bse_cm|753IREDA26</stp>
        <stp>LTP</stp>
        <tr r="H487" s="1"/>
      </tp>
      <tp t="s">
        <v>00:00:00</v>
        <stp/>
        <stp>bse_cm|728IREDA26</stp>
        <stp>LTT</stp>
        <tr r="I1203" s="1"/>
      </tp>
      <tp t="s">
        <v>00:00:00</v>
        <stp/>
        <stp>bse_cm|753IREDA26</stp>
        <stp>LTT</stp>
        <tr r="I487" s="1"/>
      </tp>
      <tp>
        <v>0</v>
        <stp/>
        <stp>bse_cm|728IREDA26</stp>
        <stp>LTP</stp>
        <tr r="H1203" s="1"/>
      </tp>
      <tp t="s">
        <v>INE414G07IL9</v>
        <stp/>
        <stp>bse_cm|775MFLTD28</stp>
        <stp>Isin code</stp>
        <tr r="R1192" s="1"/>
      </tp>
      <tp t="s">
        <v>905LTF27</v>
        <stp/>
        <stp>bse_cm|905LTF27</stp>
        <stp>Symbol</stp>
        <tr r="A394" s="1"/>
      </tp>
      <tp t="s">
        <v>INE306N07LL7</v>
        <stp/>
        <stp>bse_cm|855TCAPS27</stp>
        <stp>Isin code</stp>
        <tr r="R1004" s="1"/>
      </tp>
      <tp t="s">
        <v>935LTF29</v>
        <stp/>
        <stp>bse_cm|935LTF29</stp>
        <stp>Symbol</stp>
        <tr r="A396" s="1"/>
      </tp>
      <tp>
        <v>0</v>
        <stp/>
        <stp>bse_cm|115ICLFL25</stp>
        <stp>ATP</stp>
        <tr r="K1223" s="1"/>
      </tp>
      <tp>
        <v>0</v>
        <stp/>
        <stp>bse_cm|125ICLFL28</stp>
        <stp>ATP</stp>
        <tr r="K264" s="1"/>
      </tp>
      <tp>
        <v>0</v>
        <stp/>
        <stp>nse_cm|866IIFC34B-N3</stp>
        <stp>Open</stp>
        <tr r="M25" s="1"/>
      </tp>
      <tp>
        <v>0</v>
        <stp/>
        <stp>nse_cm|810TCHFL27-ND</stp>
        <stp>Ask Rate</stp>
        <tr r="F1016" s="1"/>
      </tp>
      <tp>
        <v>0</v>
        <stp/>
        <stp>bse_cm|925KLMAF25</stp>
        <stp>Volume Traded Today</stp>
        <tr r="L612" s="1"/>
      </tp>
      <tp>
        <v>0</v>
        <stp/>
        <stp>bse_cm|950KLMAF25</stp>
        <stp>Volume Traded Today</stp>
        <tr r="L1149" s="1"/>
      </tp>
      <tp>
        <v>0</v>
        <stp/>
        <stp>bse_cm|975KLMAF26</stp>
        <stp>Volume Traded Today</stp>
        <tr r="L857" s="1"/>
      </tp>
      <tp>
        <v>1000</v>
        <stp/>
        <stp>bse_cm|79IGT28</stp>
        <stp>Face Value</stp>
        <tr r="Q1183" s="1"/>
      </tp>
      <tp>
        <v>1000</v>
        <stp/>
        <stp>bse_cm|76IGT26</stp>
        <stp>Face Value</stp>
        <tr r="Q1608" s="1"/>
      </tp>
      <tp>
        <v>1000</v>
        <stp/>
        <stp>bse_cm|77IGT28</stp>
        <stp>Face Value</stp>
        <tr r="Q1191" s="1"/>
      </tp>
      <tp t="s">
        <v>INE020B07GX4</v>
        <stp/>
        <stp>nse_cm|738REC27TF-N2</stp>
        <stp>Isin code</stp>
        <tr r="R514" s="1"/>
      </tp>
      <tp>
        <v>1108.1099999999999</v>
        <stp/>
        <stp>nse_cm|738REC27TF-N2</stp>
        <stp xml:space="preserve">Low </stp>
        <tr r="O514" s="1"/>
      </tp>
      <tp>
        <v>1000</v>
        <stp/>
        <stp>bse_cm|82IGT31</stp>
        <stp>Face Value</stp>
        <tr r="Q383" s="1"/>
      </tp>
      <tp t="s">
        <v>NSE</v>
        <stp/>
        <stp>nse_cm|1049DLS25A-Y5</stp>
        <stp>Exchange</stp>
        <tr r="C44" s="1"/>
      </tp>
      <tp>
        <v>965</v>
        <stp/>
        <stp>nse_cm|105UCL2026-NB</stp>
        <stp xml:space="preserve">Low </stp>
        <tr r="O130" s="1"/>
      </tp>
      <tp t="s">
        <v>NSE</v>
        <stp/>
        <stp>nse_cm|875PCHFL31-N9</stp>
        <stp>Exchange</stp>
        <tr r="C1012" s="1"/>
      </tp>
      <tp t="s">
        <v>NSE</v>
        <stp/>
        <stp>nse_cm|875PCHFL26-N8</stp>
        <stp>Exchange</stp>
        <tr r="C271" s="1"/>
      </tp>
      <tp t="s">
        <v>INE741K07470</v>
        <stp/>
        <stp>nse_cm|960CAGL25-N3</stp>
        <stp>Isin code</stp>
        <tr r="R305" s="1"/>
      </tp>
      <tp>
        <v>0</v>
        <stp/>
        <stp>bse_cm|96SFL24A</stp>
        <stp>ATP</stp>
        <tr r="K633" s="1"/>
      </tp>
      <tp>
        <v>0</v>
        <stp/>
        <stp>bse_cm|772IGT31</stp>
        <stp>High</stp>
        <tr r="N1194" s="1"/>
      </tp>
      <tp>
        <v>25</v>
        <stp/>
        <stp>bse_cm|1070MML25</stp>
        <stp>Bid Qty</stp>
        <tr r="D1504" s="1"/>
      </tp>
      <tp>
        <v>0</v>
        <stp/>
        <stp>nse_cm|81TCHF28-N8</stp>
        <stp>Volume Traded Today</stp>
        <tr r="L467" s="1"/>
      </tp>
      <tp>
        <v>961.19</v>
        <stp/>
        <stp>bse_cm|903ONE26</stp>
        <stp>High</stp>
        <tr r="N843" s="1"/>
      </tp>
      <tp>
        <v>20</v>
        <stp/>
        <stp>bse_cm|1071KFL25</stp>
        <stp>Bid Qty</stp>
        <tr r="D1122" s="1"/>
      </tp>
      <tp>
        <v>0</v>
        <stp/>
        <stp>nse_cm|82TCHF25-N5</stp>
        <stp>Volume Traded Today</stp>
        <tr r="L1014" s="1"/>
      </tp>
      <tp>
        <v>0</v>
        <stp/>
        <stp>nse_cm|865NHB34-N4</stp>
        <stp>Volume Traded Today</stp>
        <tr r="L1166" s="1"/>
      </tp>
      <tp>
        <v>0</v>
        <stp/>
        <stp>bse_cm|965SCL29</stp>
        <stp xml:space="preserve">Low </stp>
        <tr r="O816" s="1"/>
      </tp>
      <tp>
        <v>0</v>
        <stp/>
        <stp>bse_cm|925SCL29</stp>
        <stp xml:space="preserve">Low </stp>
        <tr r="O820" s="1"/>
      </tp>
      <tp>
        <v>0</v>
        <stp/>
        <stp>nse_cm|868NHB29-N3</stp>
        <stp>Volume Traded Today</stp>
        <tr r="L1342" s="1"/>
      </tp>
      <tp>
        <v>0</v>
        <stp/>
        <stp>nse_cm|83TCHF25-N6</stp>
        <stp>Volume Traded Today</stp>
        <tr r="L472" s="1"/>
      </tp>
      <tp>
        <v>0</v>
        <stp/>
        <stp>nse_cm|83TCHF28-N9</stp>
        <stp>Volume Traded Today</stp>
        <tr r="L831" s="1"/>
      </tp>
      <tp>
        <v>2</v>
        <stp/>
        <stp>nse_cm|825IIFL25-N7</stp>
        <stp>Ask Qty</stp>
        <tr r="G49" s="1"/>
      </tp>
      <tp>
        <v>18</v>
        <stp/>
        <stp>nse_cm|850NHAI29-N5</stp>
        <stp>Ask Qty</stp>
        <tr r="G512" s="1"/>
      </tp>
      <tp>
        <v>50</v>
        <stp/>
        <stp>nse_cm|925ERFL28-N6</stp>
        <stp>Ask Qty</stp>
        <tr r="G165" s="1"/>
      </tp>
      <tp>
        <v>807.5</v>
        <stp/>
        <stp>bse_cm|965SCL28</stp>
        <stp xml:space="preserve">Low </stp>
        <tr r="O1138" s="1"/>
      </tp>
      <tp>
        <v>917.13</v>
        <stp/>
        <stp>bse_cm|975SCL28</stp>
        <stp xml:space="preserve">Low </stp>
        <tr r="O1485" s="1"/>
      </tp>
      <tp>
        <v>0</v>
        <stp/>
        <stp>bse_cm|925SCL28</stp>
        <stp xml:space="preserve">Low </stp>
        <tr r="O940" s="1"/>
      </tp>
      <tp>
        <v>994.8</v>
        <stp/>
        <stp>bse_cm|935SCL28</stp>
        <stp xml:space="preserve">Low </stp>
        <tr r="O284" s="1"/>
      </tp>
      <tp>
        <v>25</v>
        <stp/>
        <stp>bse_cm|1075SCL33</stp>
        <stp>Bid Qty</stp>
        <tr r="D881" s="1"/>
      </tp>
      <tp>
        <v>12</v>
        <stp/>
        <stp>bse_cm|1075SCL34</stp>
        <stp>Bid Qty</stp>
        <tr r="D888" s="1"/>
      </tp>
      <tp>
        <v>0</v>
        <stp/>
        <stp>nse_cm|84TCHF28-NA</stp>
        <stp>Volume Traded Today</stp>
        <tr r="L402" s="1"/>
      </tp>
      <tp>
        <v>1004</v>
        <stp/>
        <stp>bse_cm|943ECL28</stp>
        <stp>High</stp>
        <tr r="N124" s="1"/>
      </tp>
      <tp>
        <v>0</v>
        <stp/>
        <stp>nse_cm|93SCL24A-ZN</stp>
        <stp>Ask Rate</stp>
        <tr r="F695" s="1"/>
      </tp>
      <tp>
        <v>12</v>
        <stp/>
        <stp>bse_cm|1075UCL25</stp>
        <stp>Bid Qty</stp>
        <tr r="D515" s="1"/>
      </tp>
      <tp>
        <v>10</v>
        <stp/>
        <stp>bse_cm|1125CCI27</stp>
        <stp>Bid Qty</stp>
        <tr r="D1229" s="1"/>
      </tp>
      <tp>
        <v>12</v>
        <stp/>
        <stp>bse_cm|1075CCL25</stp>
        <stp>Bid Qty</stp>
        <tr r="D1119" s="1"/>
      </tp>
      <tp>
        <v>28</v>
        <stp/>
        <stp>bse_cm|1075MML26</stp>
        <stp>Bid Qty</stp>
        <tr r="D1115" s="1"/>
      </tp>
      <tp>
        <v>170</v>
        <stp/>
        <stp>bse_cm|1075NFL25</stp>
        <stp>Bid Qty</stp>
        <tr r="D643" s="1"/>
      </tp>
      <tp>
        <v>10</v>
        <stp/>
        <stp>bse_cm|1075MML27</stp>
        <stp>Bid Qty</stp>
        <tr r="D1510" s="1"/>
      </tp>
      <tp t="e">
        <v>#N/A</v>
        <stp/>
        <stp>bse_cm|1075IML24</stp>
        <stp>Bid Qty</stp>
        <tr r="D33" s="1"/>
      </tp>
      <tp>
        <v>20</v>
        <stp/>
        <stp>bse_cm|1175IFL26</stp>
        <stp>Bid Qty</stp>
        <tr r="D1221" s="1"/>
      </tp>
      <tp>
        <v>2</v>
        <stp/>
        <stp>bse_cm|1075IML27</stp>
        <stp>Bid Qty</stp>
        <tr r="D96" s="1"/>
      </tp>
      <tp>
        <v>97</v>
        <stp/>
        <stp>nse_cm|820IIFL27-N9</stp>
        <stp>Ask Qty</stp>
        <tr r="G266" s="1"/>
      </tp>
      <tp>
        <v>939.77</v>
        <stp/>
        <stp>bse_cm|957IIFLS27</stp>
        <stp>Prev Close</stp>
        <tr r="P687" s="1"/>
      </tp>
      <tp>
        <v>1090</v>
        <stp/>
        <stp>bse_cm|94MFL27A</stp>
        <stp>Ask Rate</stp>
        <tr r="F420" s="1"/>
      </tp>
      <tp>
        <v>100</v>
        <stp/>
        <stp>nse_cm|921ISFL25-N0</stp>
        <stp>Ask Qty</stp>
        <tr r="G287" s="1"/>
      </tp>
      <tp>
        <v>0</v>
        <stp/>
        <stp>nse_cm|813LTF29-NP</stp>
        <stp>Open</stp>
        <tr r="M1000" s="1"/>
      </tp>
      <tp>
        <v>0</v>
        <stp/>
        <stp>nse_cm|81TCHF28-N8</stp>
        <stp>Open</stp>
        <tr r="M467" s="1"/>
      </tp>
      <tp>
        <v>1000</v>
        <stp/>
        <stp>nse_cm|105UCL2026-NB</stp>
        <stp>Face Value</stp>
        <tr r="Q130" s="1"/>
      </tp>
      <tp>
        <v>1126.6099999999999</v>
        <stp/>
        <stp>bse_cm|734REC30</stp>
        <stp xml:space="preserve">Low </stp>
        <tr r="O524" s="1"/>
      </tp>
      <tp t="s">
        <v>INE477L07AN9</v>
        <stp/>
        <stp>nse_cm|820IIFL27-N9</stp>
        <stp>Isin code</stp>
        <tr r="R266" s="1"/>
      </tp>
      <tp t="s">
        <v>BSE</v>
        <stp/>
        <stp>bse_cm|MFLVI32F</stp>
        <stp>Exchange</stp>
        <tr r="C704" s="1"/>
      </tp>
      <tp>
        <v>628</v>
        <stp/>
        <stp>bse_cm|965VCL25</stp>
        <stp xml:space="preserve">Low </stp>
        <tr r="O1543" s="1"/>
      </tp>
      <tp>
        <v>0</v>
        <stp/>
        <stp>bse_cm|MFLII26B</stp>
        <stp>Ask Rate</stp>
        <tr r="F1454" s="1"/>
      </tp>
      <tp t="s">
        <v/>
        <stp/>
        <stp>nse_cm|96SFL24A-NB</stp>
        <stp>LTT</stp>
        <tr r="I162" s="1"/>
      </tp>
      <tp>
        <v>900</v>
        <stp/>
        <stp>nse_cm|96SFL24A-NB</stp>
        <stp>LTP</stp>
        <tr r="H162" s="1"/>
      </tp>
      <tp>
        <v>0</v>
        <stp/>
        <stp>nse_cm|925SCFL25-AD</stp>
        <stp>Ask Qty</stp>
        <tr r="G773" s="1"/>
      </tp>
      <tp>
        <v>1014</v>
        <stp/>
        <stp>bse_cm|875SFL27</stp>
        <stp xml:space="preserve">Low </stp>
        <tr r="O578" s="1"/>
      </tp>
      <tp>
        <v>0</v>
        <stp/>
        <stp>nse_cm|888NHB29-N5</stp>
        <stp>Volume Traded Today</stp>
        <tr r="L504" s="1"/>
      </tp>
      <tp>
        <v>1143.3</v>
        <stp/>
        <stp>bse_cm|925SFL27</stp>
        <stp xml:space="preserve">Low </stp>
        <tr r="O849" s="1"/>
      </tp>
      <tp>
        <v>970</v>
        <stp/>
        <stp>bse_cm|955SCL27</stp>
        <stp xml:space="preserve">Low </stp>
        <tr r="O621" s="1"/>
      </tp>
      <tp>
        <v>935</v>
        <stp/>
        <stp>bse_cm|925SCL27</stp>
        <stp xml:space="preserve">Low </stp>
        <tr r="O1414" s="1"/>
      </tp>
      <tp>
        <v>0</v>
        <stp/>
        <stp>bse_cm|905SCL27</stp>
        <stp xml:space="preserve">Low </stp>
        <tr r="O976" s="1"/>
      </tp>
      <tp>
        <v>814</v>
        <stp/>
        <stp>bse_cm|915SCL27</stp>
        <stp xml:space="preserve">Low </stp>
        <tr r="O1127" s="1"/>
      </tp>
      <tp>
        <v>0</v>
        <stp/>
        <stp>bse_cm|875SCL27</stp>
        <stp xml:space="preserve">Low </stp>
        <tr r="O722" s="1"/>
      </tp>
      <tp t="s">
        <v/>
        <stp/>
        <stp>nse_cm|97SFL26A-NC</stp>
        <stp>LTT</stp>
        <tr r="I784" s="1"/>
      </tp>
      <tp>
        <v>0</v>
        <stp/>
        <stp>nse_cm|97SFL26A-NC</stp>
        <stp>LTP</stp>
        <tr r="H784" s="1"/>
      </tp>
      <tp>
        <v>0</v>
        <stp/>
        <stp>nse_cm|893NHB29-N6</stp>
        <stp>Volume Traded Today</stp>
        <tr r="L529" s="1"/>
      </tp>
      <tp>
        <v>0</v>
        <stp/>
        <stp>nse_cm|890NHB34-N7</stp>
        <stp>Volume Traded Today</stp>
        <tr r="L537" s="1"/>
      </tp>
      <tp>
        <v>869.25</v>
        <stp/>
        <stp>bse_cm|925SFL26</stp>
        <stp xml:space="preserve">Low </stp>
        <tr r="O850" s="1"/>
      </tp>
      <tp>
        <v>1009.8</v>
        <stp/>
        <stp>bse_cm|965SCL26</stp>
        <stp xml:space="preserve">Low </stp>
        <tr r="O665" s="1"/>
      </tp>
      <tp>
        <v>0</v>
        <stp/>
        <stp>bse_cm|925SCL26</stp>
        <stp xml:space="preserve">Low </stp>
        <tr r="O913" s="1"/>
      </tp>
      <tp>
        <v>955</v>
        <stp/>
        <stp>bse_cm|915SCL26</stp>
        <stp xml:space="preserve">Low </stp>
        <tr r="O148" s="1"/>
      </tp>
      <tp>
        <v>944.2</v>
        <stp/>
        <stp>bse_cm|885SCL26</stp>
        <stp xml:space="preserve">Low </stp>
        <tr r="O57" s="1"/>
      </tp>
      <tp>
        <v>965</v>
        <stp/>
        <stp>bse_cm|865SCL26</stp>
        <stp xml:space="preserve">Low </stp>
        <tr r="O627" s="1"/>
      </tp>
      <tp>
        <v>0</v>
        <stp/>
        <stp>bse_cm|ICCL25</stp>
        <stp>Open</stp>
        <tr r="M1330" s="1"/>
      </tp>
      <tp>
        <v>0</v>
        <stp/>
        <stp>bse_cm|875SFL25</stp>
        <stp xml:space="preserve">Low </stp>
        <tr r="O936" s="1"/>
      </tp>
      <tp>
        <v>1059</v>
        <stp/>
        <stp>bse_cm|905PEL26</stp>
        <stp xml:space="preserve">Low </stp>
        <tr r="O1518" s="1"/>
      </tp>
      <tp>
        <v>1123</v>
        <stp/>
        <stp>bse_cm|965SCL25</stp>
        <stp xml:space="preserve">Low </stp>
        <tr r="O1105" s="1"/>
      </tp>
      <tp>
        <v>710.1</v>
        <stp/>
        <stp>bse_cm|955SCL25</stp>
        <stp xml:space="preserve">Low </stp>
        <tr r="O1128" s="1"/>
      </tp>
      <tp>
        <v>1002.4</v>
        <stp/>
        <stp>bse_cm|925SCL25</stp>
        <stp xml:space="preserve">Low </stp>
        <tr r="O104" s="1"/>
      </tp>
      <tp>
        <v>0</v>
        <stp/>
        <stp>bse_cm|905SCL25</stp>
        <stp xml:space="preserve">Low </stp>
        <tr r="O1060" s="1"/>
      </tp>
      <tp>
        <v>0</v>
        <stp/>
        <stp>bse_cm|865SCL24</stp>
        <stp xml:space="preserve">Low </stp>
        <tr r="O1165" s="1"/>
      </tp>
      <tp>
        <v>10</v>
        <stp/>
        <stp>nse_cm|769NHAI31-NE</stp>
        <stp>Bid Qty</stp>
        <tr r="D461" s="1"/>
      </tp>
      <tp>
        <v>0</v>
        <stp/>
        <stp>bse_cm|955ONE27</stp>
        <stp xml:space="preserve">Low </stp>
        <tr r="O1129" s="1"/>
      </tp>
      <tp>
        <v>821.2</v>
        <stp/>
        <stp>bse_cm|965MML25</stp>
        <stp xml:space="preserve">Low </stp>
        <tr r="O1107" s="1"/>
      </tp>
      <tp>
        <v>979.8</v>
        <stp/>
        <stp>bse_cm|975MML25</stp>
        <stp xml:space="preserve">Low </stp>
        <tr r="O852" s="1"/>
      </tp>
      <tp>
        <v>1032.8</v>
        <stp/>
        <stp>bse_cm|775MFL25</stp>
        <stp xml:space="preserve">Low </stp>
        <tr r="O1369" s="1"/>
      </tp>
      <tp>
        <v>982</v>
        <stp/>
        <stp>bse_cm|735MFL25</stp>
        <stp xml:space="preserve">Low </stp>
        <tr r="O308" s="1"/>
      </tp>
      <tp>
        <v>984.8</v>
        <stp/>
        <stp>bse_cm|825MFL25</stp>
        <stp xml:space="preserve">Low </stp>
        <tr r="O596" s="1"/>
      </tp>
      <tp>
        <v>999.8</v>
        <stp/>
        <stp>bse_cm|975MFL25</stp>
        <stp xml:space="preserve">Low </stp>
        <tr r="O855" s="1"/>
      </tp>
      <tp>
        <v>962.2</v>
        <stp/>
        <stp>bse_cm|925MFL25</stp>
        <stp xml:space="preserve">Low </stp>
        <tr r="O1466" s="1"/>
      </tp>
      <tp>
        <v>971.8</v>
        <stp/>
        <stp>bse_cm|915MFL25</stp>
        <stp xml:space="preserve">Low </stp>
        <tr r="O105" s="1"/>
      </tp>
      <tp>
        <v>988</v>
        <stp/>
        <stp>bse_cm|105MML25</stp>
        <stp xml:space="preserve">Low </stp>
        <tr r="O1170" s="1"/>
      </tp>
      <tp>
        <v>1012.14</v>
        <stp/>
        <stp>bse_cm|845LTF24</stp>
        <stp xml:space="preserve">Low </stp>
        <tr r="O943" s="1"/>
      </tp>
      <tp>
        <v>1055</v>
        <stp/>
        <stp>bse_cm|815LTF24</stp>
        <stp xml:space="preserve">Low </stp>
        <tr r="O1167" s="1"/>
      </tp>
      <tp>
        <v>0</v>
        <stp/>
        <stp>nse_cm|820SCFL25-Y7</stp>
        <stp>Ask Qty</stp>
        <tr r="G926" s="1"/>
      </tp>
      <tp>
        <v>982</v>
        <stp/>
        <stp>bse_cm|935ONE26</stp>
        <stp xml:space="preserve">Low </stp>
        <tr r="O1173" s="1"/>
      </tp>
      <tp>
        <v>1048.8</v>
        <stp/>
        <stp>bse_cm|725MFL24</stp>
        <stp xml:space="preserve">Low </stp>
        <tr r="O446" s="1"/>
      </tp>
      <tp>
        <v>1075</v>
        <stp/>
        <stp>nse_cm|IIFLHF29-NE</stp>
        <stp>Bid Rate</stp>
        <tr r="E1630" s="1"/>
      </tp>
      <tp>
        <v>1005.01</v>
        <stp/>
        <stp>bse_cm|775MFL27</stp>
        <stp xml:space="preserve">Low </stp>
        <tr r="O694" s="1"/>
      </tp>
      <tp>
        <v>1002</v>
        <stp/>
        <stp>bse_cm|825MFL27</stp>
        <stp xml:space="preserve">Low </stp>
        <tr r="O344" s="1"/>
      </tp>
      <tp>
        <v>990</v>
        <stp/>
        <stp>bse_cm|915MFL27</stp>
        <stp xml:space="preserve">Low </stp>
        <tr r="O614" s="1"/>
      </tp>
      <tp>
        <v>0</v>
        <stp/>
        <stp>bse_cm|SCLZC26H</stp>
        <stp>Ask Rate</stp>
        <tr r="F814" s="1"/>
      </tp>
      <tp>
        <v>0</v>
        <stp/>
        <stp>nse_cm|865SCL24-ZA</stp>
        <stp>High</stp>
        <tr r="N954" s="1"/>
      </tp>
      <tp>
        <v>1061.28</v>
        <stp/>
        <stp>bse_cm|865LTF26</stp>
        <stp xml:space="preserve">Low </stp>
        <tr r="O391" s="1"/>
      </tp>
      <tp>
        <v>1022</v>
        <stp/>
        <stp>bse_cm|903SFL28</stp>
        <stp>High</stp>
        <tr r="N397" s="1"/>
      </tp>
      <tp t="s">
        <v>00:00:00</v>
        <stp/>
        <stp>bse_cm|8MFLTD26</stp>
        <stp>LTT</stp>
        <tr r="I321" s="1"/>
      </tp>
      <tp>
        <v>0</v>
        <stp/>
        <stp>bse_cm|8MFLTD26</stp>
        <stp>LTP</stp>
        <tr r="H321" s="1"/>
      </tp>
      <tp>
        <v>0</v>
        <stp/>
        <stp>bse_cm|8MFLTD28</stp>
        <stp>LTP</stp>
        <tr r="H366" s="1"/>
      </tp>
      <tp t="s">
        <v>00:00:00</v>
        <stp/>
        <stp>bse_cm|8MFLTD28</stp>
        <stp>LTT</stp>
        <tr r="I366" s="1"/>
      </tp>
      <tp>
        <v>988</v>
        <stp/>
        <stp>bse_cm|944ONE34</stp>
        <stp xml:space="preserve">Low </stp>
        <tr r="O269" s="1"/>
      </tp>
      <tp>
        <v>975</v>
        <stp/>
        <stp>bse_cm|775MFL26</stp>
        <stp xml:space="preserve">Low </stp>
        <tr r="O328" s="1"/>
      </tp>
      <tp>
        <v>975</v>
        <stp/>
        <stp>bse_cm|875MFL26</stp>
        <stp xml:space="preserve">Low </stp>
        <tr r="O161" s="1"/>
      </tp>
      <tp>
        <v>980</v>
        <stp/>
        <stp>bse_cm|825MFL26</stp>
        <stp xml:space="preserve">Low </stp>
        <tr r="O418" s="1"/>
      </tp>
      <tp>
        <v>964.8</v>
        <stp/>
        <stp>bse_cm|835MFL26</stp>
        <stp xml:space="preserve">Low </stp>
        <tr r="O169" s="1"/>
      </tp>
      <tp>
        <v>985</v>
        <stp/>
        <stp>bse_cm|975NFL25</stp>
        <stp xml:space="preserve">Low </stp>
        <tr r="O623" s="1"/>
      </tp>
      <tp>
        <v>991.5</v>
        <stp/>
        <stp>bse_cm|925MFL26</stp>
        <stp xml:space="preserve">Low </stp>
        <tr r="O230" s="1"/>
      </tp>
      <tp>
        <v>0</v>
        <stp/>
        <stp>bse_cm|885LTF27</stp>
        <stp xml:space="preserve">Low </stp>
        <tr r="O1008" s="1"/>
      </tp>
      <tp>
        <v>1055</v>
        <stp/>
        <stp>bse_cm|905LTF27</stp>
        <stp xml:space="preserve">Low </stp>
        <tr r="O394" s="1"/>
      </tp>
      <tp>
        <v>0</v>
        <stp/>
        <stp>nse_cm|769IGT28-NH</stp>
        <stp>Volume Traded Today</stp>
        <tr r="L1487" s="1"/>
      </tp>
      <tp>
        <v>10</v>
        <stp/>
        <stp>nse_cm|925SCFL27-YA</stp>
        <stp>Ask Qty</stp>
        <tr r="G113" s="1"/>
      </tp>
      <tp>
        <v>988</v>
        <stp/>
        <stp>bse_cm|835IFL25</stp>
        <stp xml:space="preserve">Low </stp>
        <tr r="O668" s="1"/>
      </tp>
      <tp>
        <v>0</v>
        <stp/>
        <stp>bse_cm|925KFL27</stp>
        <stp xml:space="preserve">Low </stp>
        <tr r="O313" s="1"/>
      </tp>
      <tp>
        <v>890</v>
        <stp/>
        <stp>bse_cm|995ECL29</stp>
        <stp xml:space="preserve">Low </stp>
        <tr r="O198" s="1"/>
      </tp>
      <tp>
        <v>0</v>
        <stp/>
        <stp>nse_cm|772IGT31-NK</stp>
        <stp>Volume Traded Today</stp>
        <tr r="L1193" s="1"/>
      </tp>
      <tp>
        <v>975</v>
        <stp/>
        <stp>bse_cm|875KFL26</stp>
        <stp xml:space="preserve">Low </stp>
        <tr r="O1156" s="1"/>
      </tp>
      <tp>
        <v>955</v>
        <stp/>
        <stp>bse_cm|925KFL26</stp>
        <stp xml:space="preserve">Low </stp>
        <tr r="O775" s="1"/>
      </tp>
      <tp>
        <v>933.9</v>
        <stp/>
        <stp>bse_cm|985ECL28</stp>
        <stp xml:space="preserve">Low </stp>
        <tr r="O56" s="1"/>
      </tp>
      <tp>
        <v>995</v>
        <stp/>
        <stp>nse_cm|866SFL25-ZE</stp>
        <stp>High</stp>
        <tr r="N1389" s="1"/>
      </tp>
      <tp>
        <v>0</v>
        <stp/>
        <stp>nse_cm|745IGT26-NC</stp>
        <stp>Volume Traded Today</stp>
        <tr r="L1201" s="1"/>
      </tp>
      <tp>
        <v>0</v>
        <stp/>
        <stp>nse_cm|749IGT28-NG</stp>
        <stp>Volume Traded Today</stp>
        <tr r="L1197" s="1"/>
      </tp>
      <tp>
        <v>1040</v>
        <stp/>
        <stp>nse_cm|930SFL28-YP</stp>
        <stp xml:space="preserve">Low </stp>
        <tr r="O6" s="1"/>
      </tp>
      <tp>
        <v>0</v>
        <stp/>
        <stp>nse_cm|10SCL30A-BV</stp>
        <stp>Bid Rate</stp>
        <tr r="E445" s="1"/>
      </tp>
      <tp>
        <v>0</v>
        <stp/>
        <stp>bse_cm|975KLM25</stp>
        <stp xml:space="preserve">Low </stp>
        <tr r="O858" s="1"/>
      </tp>
      <tp>
        <v>945</v>
        <stp/>
        <stp>bse_cm|875KFL25</stp>
        <stp xml:space="preserve">Low </stp>
        <tr r="O50" s="1"/>
      </tp>
      <tp>
        <v>992</v>
        <stp/>
        <stp>bse_cm|825KFL25</stp>
        <stp xml:space="preserve">Low </stp>
        <tr r="O252" s="1"/>
      </tp>
      <tp t="s">
        <v>NSE</v>
        <stp/>
        <stp>nse_cm|87SCL24A-ZF</stp>
        <stp>Exchange</stp>
        <tr r="C959" s="1"/>
      </tp>
      <tp>
        <v>0</v>
        <stp/>
        <stp>nse_cm|905SCL25-ZT</stp>
        <stp xml:space="preserve">Low </stp>
        <tr r="O977" s="1"/>
      </tp>
      <tp>
        <v>970</v>
        <stp/>
        <stp>bse_cm|975IML26</stp>
        <stp xml:space="preserve">Low </stp>
        <tr r="O646" s="1"/>
      </tp>
      <tp>
        <v>0</v>
        <stp/>
        <stp>bse_cm|745IGT26</stp>
        <stp xml:space="preserve">Low </stp>
        <tr r="O1202" s="1"/>
      </tp>
      <tp t="s">
        <v>801TCH28-N7</v>
        <stp/>
        <stp>nse_cm|801TCH28-N7</stp>
        <stp>Trading Symbol</stp>
        <tr r="B1181" s="1"/>
      </tp>
      <tp>
        <v>0</v>
        <stp/>
        <stp>nse_cm|843SCFL27-YB</stp>
        <stp>% Change</stp>
        <tr r="J929" s="1"/>
      </tp>
      <tp>
        <v>976.2</v>
        <stp/>
        <stp>bse_cm|895EFS25</stp>
        <stp xml:space="preserve">Low </stp>
        <tr r="O730" s="1"/>
      </tp>
      <tp>
        <v>0</v>
        <stp/>
        <stp>bse_cm|SCLZC26B</stp>
        <stp>Ask Rate</stp>
        <tr r="F992" s="1"/>
      </tp>
      <tp>
        <v>0</v>
        <stp/>
        <stp>bse_cm|MFLZC26B</stp>
        <stp>Ask Rate</stp>
        <tr r="F1272" s="1"/>
      </tp>
      <tp>
        <v>1683.9</v>
        <stp/>
        <stp>bse_cm|KFLZC26B</stp>
        <stp>Ask Rate</stp>
        <tr r="F1711" s="1"/>
      </tp>
      <tp t="s">
        <v>NSE</v>
        <stp/>
        <stp>nse_cm|87SCL27A-ZK</stp>
        <stp>Exchange</stp>
        <tr r="C1416" s="1"/>
      </tp>
      <tp>
        <v>914.99</v>
        <stp/>
        <stp>bse_cm|865IFL28</stp>
        <stp xml:space="preserve">Low </stp>
        <tr r="O115" s="1"/>
      </tp>
      <tp>
        <v>998</v>
        <stp/>
        <stp>bse_cm|995ECL24</stp>
        <stp xml:space="preserve">Low </stp>
        <tr r="O427" s="1"/>
      </tp>
      <tp>
        <v>0</v>
        <stp/>
        <stp>bse_cm|SCLZC26C</stp>
        <stp>Ask Rate</stp>
        <tr r="F1399" s="1"/>
      </tp>
      <tp>
        <v>0</v>
        <stp/>
        <stp>bse_cm|MFLZC26C</stp>
        <stp>Ask Rate</stp>
        <tr r="F1350" s="1"/>
      </tp>
      <tp>
        <v>1577</v>
        <stp/>
        <stp>bse_cm|KFLZC26C</stp>
        <stp>Ask Rate</stp>
        <tr r="F1744" s="1"/>
      </tp>
      <tp>
        <v>950</v>
        <stp/>
        <stp>bse_cm|1075SCL33A</stp>
        <stp>Prev Close</stp>
        <tr r="P629" s="1"/>
      </tp>
      <tp>
        <v>1000</v>
        <stp/>
        <stp>bse_cm|1075SCL33B</stp>
        <stp>Prev Close</stp>
        <tr r="P706" s="1"/>
      </tp>
      <tp t="s">
        <v>BSE</v>
        <stp/>
        <stp>bse_cm|IML23623</stp>
        <stp>Exchange</stp>
        <tr r="C1327" s="1"/>
      </tp>
      <tp>
        <v>0</v>
        <stp/>
        <stp>nse_cm|816ABFL29-NC</stp>
        <stp>Bid Qty</stp>
        <tr r="D732" s="1"/>
      </tp>
      <tp>
        <v>0</v>
        <stp/>
        <stp>nse_cm|815LTF24-NK</stp>
        <stp>Open</stp>
        <tr r="M1693" s="1"/>
      </tp>
      <tp>
        <v>8</v>
        <stp/>
        <stp>bse_cm|1040UCL25</stp>
        <stp>Ask Qty</stp>
        <tr r="G1612" s="1"/>
      </tp>
      <tp>
        <v>0</v>
        <stp/>
        <stp>bse_cm|1050KLM27</stp>
        <stp>Ask Qty</stp>
        <tr r="G609" s="1"/>
      </tp>
      <tp>
        <v>0</v>
        <stp/>
        <stp>bse_cm|1150KLM26</stp>
        <stp>Ask Qty</stp>
        <tr r="G1224" s="1"/>
      </tp>
      <tp>
        <v>0</v>
        <stp/>
        <stp>nse_cm|850SCL25-YL</stp>
        <stp>High</stp>
        <tr r="N922" s="1"/>
      </tp>
      <tp>
        <v>0</v>
        <stp/>
        <stp>bse_cm|1040NFL26</stp>
        <stp>Ask Qty</stp>
        <tr r="G1453" s="1"/>
      </tp>
      <tp>
        <v>0</v>
        <stp/>
        <stp>nse_cm|795IGT31-NI</stp>
        <stp>Volume Traded Today</stp>
        <tr r="L1185" s="1"/>
      </tp>
      <tp>
        <v>0</v>
        <stp/>
        <stp>nse_cm|797IGT31-NL</stp>
        <stp>Volume Traded Today</stp>
        <tr r="L374" s="1"/>
      </tp>
      <tp t="e">
        <v>#N/A</v>
        <stp/>
        <stp>bse_cm|1075IML24A</stp>
        <stp>Prev Close</stp>
        <tr r="P32" s="1"/>
      </tp>
      <tp>
        <v>1698</v>
        <stp/>
        <stp>bse_cm|SFLZC26A</stp>
        <stp>Ask Rate</stp>
        <tr r="F1713" s="1"/>
      </tp>
      <tp>
        <v>0</v>
        <stp/>
        <stp>bse_cm|SCLZC26A</stp>
        <stp>Ask Rate</stp>
        <tr r="F1343" s="1"/>
      </tp>
      <tp>
        <v>1988</v>
        <stp/>
        <stp>bse_cm|MFLZC26A</stp>
        <stp>Ask Rate</stp>
        <tr r="F1715" s="1"/>
      </tp>
      <tp>
        <v>0</v>
        <stp/>
        <stp>bse_cm|1041KFL26</stp>
        <stp>Ask Qty</stp>
        <tr r="G1031" s="1"/>
      </tp>
      <tp>
        <v>0</v>
        <stp/>
        <stp>bse_cm|KFLZC26A</stp>
        <stp>Ask Rate</stp>
        <tr r="F1442" s="1"/>
      </tp>
      <tp>
        <v>215</v>
        <stp/>
        <stp>bse_cm|IFL190424</stp>
        <stp>Ask Qty</stp>
        <tr r="G1663" s="1"/>
      </tp>
      <tp>
        <v>1179.8</v>
        <stp/>
        <stp>bse_cm|843SCL27</stp>
        <stp>High</stp>
        <tr r="N928" s="1"/>
      </tp>
      <tp>
        <v>0</v>
        <stp/>
        <stp>nse_cm|940ICCL28-NN</stp>
        <stp>Bid Qty</stp>
        <tr r="D779" s="1"/>
      </tp>
      <tp>
        <v>6</v>
        <stp/>
        <stp>nse_cm|1102NFL26-N8</stp>
        <stp>Bid Qty</stp>
        <tr r="D587" s="1"/>
      </tp>
      <tp>
        <v>836</v>
        <stp/>
        <stp>bse_cm|825MFL29</stp>
        <stp xml:space="preserve">Low </stp>
        <tr r="O473" s="1"/>
      </tp>
      <tp>
        <v>961.02</v>
        <stp/>
        <stp>bse_cm|975MFL29</stp>
        <stp xml:space="preserve">Low </stp>
        <tr r="O683" s="1"/>
      </tp>
      <tp>
        <v>955</v>
        <stp/>
        <stp>bse_cm|935MFL29</stp>
        <stp xml:space="preserve">Low </stp>
        <tr r="O238" s="1"/>
      </tp>
      <tp>
        <v>0</v>
        <stp/>
        <stp>bse_cm|SCLZC26F</stp>
        <stp>Ask Rate</stp>
        <tr r="F898" s="1"/>
      </tp>
      <tp>
        <v>950</v>
        <stp/>
        <stp>nse_cm|93SCL24A-ZN</stp>
        <stp>LTP</stp>
        <tr r="H695" s="1"/>
      </tp>
      <tp>
        <v>3</v>
        <stp/>
        <stp>nse_cm|1119NFL27-ND</stp>
        <stp>Bid Qty</stp>
        <tr r="D337" s="1"/>
      </tp>
      <tp t="s">
        <v/>
        <stp/>
        <stp>nse_cm|93SCL24A-ZN</stp>
        <stp>LTT</stp>
        <tr r="I695" s="1"/>
      </tp>
      <tp t="s">
        <v>BSE</v>
        <stp/>
        <stp>bse_cm|MML27524</stp>
        <stp>Exchange</stp>
        <tr r="C1511" s="1"/>
      </tp>
      <tp t="s">
        <v>BSE</v>
        <stp/>
        <stp>bse_cm|SFL27224</stp>
        <stp>Exchange</stp>
        <tr r="C805" s="1"/>
      </tp>
      <tp t="s">
        <v>INE477L08162</v>
        <stp/>
        <stp>nse_cm|IIFLZC28C-N6</stp>
        <stp>Isin code</stp>
        <tr r="R1656" s="1"/>
      </tp>
      <tp>
        <v>994.99</v>
        <stp/>
        <stp>bse_cm|785MFL28</stp>
        <stp xml:space="preserve">Low </stp>
        <tr r="O439" s="1"/>
      </tp>
      <tp>
        <v>885</v>
        <stp/>
        <stp>bse_cm|875MFL28</stp>
        <stp xml:space="preserve">Low </stp>
        <tr r="O689" s="1"/>
      </tp>
      <tp>
        <v>974</v>
        <stp/>
        <stp>bse_cm|905MFL28</stp>
        <stp xml:space="preserve">Low </stp>
        <tr r="O207" s="1"/>
      </tp>
      <tp>
        <v>911.1</v>
        <stp/>
        <stp>bse_cm|915MFL28</stp>
        <stp xml:space="preserve">Low </stp>
        <tr r="O283" s="1"/>
      </tp>
      <tp>
        <v>0</v>
        <stp/>
        <stp>bse_cm|SCLZC26G</stp>
        <stp>Ask Rate</stp>
        <tr r="F799" s="1"/>
      </tp>
      <tp>
        <v>1082</v>
        <stp/>
        <stp>bse_cm|935LTF29</stp>
        <stp xml:space="preserve">Low </stp>
        <tr r="O396" s="1"/>
      </tp>
      <tp t="s">
        <v>BSE</v>
        <stp/>
        <stp>bse_cm|IFL19424</stp>
        <stp>Exchange</stp>
        <tr r="C1344" s="1"/>
      </tp>
      <tp t="s">
        <v>BSE</v>
        <stp/>
        <stp>bse_cm|IML16224</stp>
        <stp>Exchange</stp>
        <tr r="C1499" s="1"/>
      </tp>
      <tp t="s">
        <v>BSE</v>
        <stp/>
        <stp>bse_cm|MML11924</stp>
        <stp>Exchange</stp>
        <tr r="C1536" s="1"/>
      </tp>
      <tp>
        <v>1008.99</v>
        <stp/>
        <stp>bse_cm|965AEL27</stp>
        <stp xml:space="preserve">Low </stp>
        <tr r="O370" s="1"/>
      </tp>
      <tp>
        <v>0</v>
        <stp/>
        <stp>nse_cm|815LTF27-NO</stp>
        <stp>Open</stp>
        <tr r="M1001" s="1"/>
      </tp>
      <tp>
        <v>0</v>
        <stp/>
        <stp>bse_cm|SCLZC26D</stp>
        <stp>Ask Rate</stp>
        <tr r="F705" s="1"/>
      </tp>
      <tp>
        <v>0</v>
        <stp/>
        <stp>bse_cm|MFLZC26D</stp>
        <stp>Ask Rate</stp>
        <tr r="F1440" s="1"/>
      </tp>
      <tp>
        <v>0</v>
        <stp/>
        <stp>bse_cm|KFLZC26D</stp>
        <stp>Ask Rate</stp>
        <tr r="F1294" s="1"/>
      </tp>
      <tp>
        <v>0</v>
        <stp/>
        <stp>bse_cm|833SCL24</stp>
        <stp>High</stp>
        <tr r="N1180" s="1"/>
      </tp>
      <tp t="s">
        <v>INE528S07110</v>
        <stp/>
        <stp>nse_cm|888ERFL28-N5</stp>
        <stp>Isin code</stp>
        <tr r="R63" s="1"/>
      </tp>
      <tp>
        <v>1000</v>
        <stp/>
        <stp>bse_cm|925AEL26</stp>
        <stp xml:space="preserve">Low </stp>
        <tr r="O335" s="1"/>
      </tp>
      <tp>
        <v>0</v>
        <stp/>
        <stp>bse_cm|SCLZC26E</stp>
        <stp>Ask Rate</stp>
        <tr r="F900" s="1"/>
      </tp>
      <tp>
        <v>1060</v>
        <stp/>
        <stp>bse_cm|MFLZC26E</stp>
        <stp>Ask Rate</stp>
        <tr r="F1651" s="1"/>
      </tp>
      <tp>
        <v>0</v>
        <stp/>
        <stp>bse_cm|KFLZC26E</stp>
        <stp>Ask Rate</stp>
        <tr r="F1293" s="1"/>
      </tp>
      <tp>
        <v>990.3</v>
        <stp/>
        <stp>bse_cm|1050CCIL25</stp>
        <stp>Prev Close</stp>
        <tr r="P2" s="1"/>
      </tp>
      <tp>
        <v>985</v>
        <stp/>
        <stp>bse_cm|1150CCIL29</stp>
        <stp>Prev Close</stp>
        <tr r="P424" s="1"/>
      </tp>
      <tp>
        <v>1000</v>
        <stp/>
        <stp>bse_cm|1150CCIL28</stp>
        <stp>Prev Close</stp>
        <tr r="P460" s="1"/>
      </tp>
      <tp>
        <v>1040</v>
        <stp/>
        <stp>nse_cm|930SFL28-YP</stp>
        <stp>ATP</stp>
        <tr r="K6" s="1"/>
      </tp>
      <tp>
        <v>21</v>
        <stp/>
        <stp>bse_cm|750PFCL26</stp>
        <stp>Bid Qty</stp>
        <tr r="D448" s="1"/>
      </tp>
      <tp>
        <v>10</v>
        <stp/>
        <stp>bse_cm|750PFCL38</stp>
        <stp>Bid Qty</stp>
        <tr r="D1196" s="1"/>
      </tp>
      <tp>
        <v>836.15</v>
        <stp/>
        <stp>bse_cm|950MFCL27D</stp>
        <stp>Prev Close</stp>
        <tr r="P1496" s="1"/>
      </tp>
      <tp>
        <v>0</v>
        <stp/>
        <stp>nse_cm|931SFL26-Z5</stp>
        <stp>ATP</stp>
        <tr r="K519" s="1"/>
      </tp>
      <tp t="s">
        <v>BSE</v>
        <stp/>
        <stp>bse_cm|11KAFL29</stp>
        <stp>Exchange</stp>
        <tr r="C662" s="1"/>
      </tp>
      <tp>
        <v>1030</v>
        <stp/>
        <stp>nse_cm|903SFL28-YI</stp>
        <stp>ATP</stp>
        <tr r="K372" s="1"/>
      </tp>
      <tp>
        <v>0</v>
        <stp/>
        <stp>nse_cm|93SCFL25-Z1</stp>
        <stp>ATP</stp>
        <tr r="K946" s="1"/>
      </tp>
      <tp>
        <v>60</v>
        <stp/>
        <stp>bse_cm|843IHFL29</stp>
        <stp>Ask Qty</stp>
        <tr r="G139" s="1"/>
      </tp>
      <tp>
        <v>12</v>
        <stp/>
        <stp>bse_cm|990SCFL26</stp>
        <stp>Bid Qty</stp>
        <tr r="D1676" s="1"/>
      </tp>
      <tp>
        <v>20</v>
        <stp/>
        <stp>bse_cm|850SCFL25</stp>
        <stp>Bid Qty</stp>
        <tr r="D1099" s="1"/>
      </tp>
      <tp>
        <v>12</v>
        <stp/>
        <stp>bse_cm|820SCFL25</stp>
        <stp>Bid Qty</stp>
        <tr r="D1059" s="1"/>
      </tp>
      <tp>
        <v>980</v>
        <stp/>
        <stp>bse_cm|1025SF29</stp>
        <stp xml:space="preserve">Low </stp>
        <tr r="O1409" s="1"/>
      </tp>
      <tp>
        <v>816.6</v>
        <stp/>
        <stp>nse_cm|915SCL27-Z7</stp>
        <stp>High</stp>
        <tr r="N1475" s="1"/>
      </tp>
      <tp>
        <v>0</v>
        <stp/>
        <stp>bse_cm|960NIDO26</stp>
        <stp>Ask Qty</stp>
        <tr r="G870" s="1"/>
      </tp>
      <tp>
        <v>10</v>
        <stp/>
        <stp>bse_cm|920NIDO26</stp>
        <stp>Ask Qty</stp>
        <tr r="G166" s="1"/>
      </tp>
      <tp>
        <v>254</v>
        <stp/>
        <stp>bse_cm|870NIDO25</stp>
        <stp>Ask Qty</stp>
        <tr r="G86" s="1"/>
      </tp>
      <tp>
        <v>100</v>
        <stp/>
        <stp>bse_cm|953NWIL32</stp>
        <stp>Ask Qty</stp>
        <tr r="G226" s="1"/>
      </tp>
      <tp>
        <v>0</v>
        <stp/>
        <stp>nse_cm|99IFCI24-NH</stp>
        <stp>Open</stp>
        <tr r="M39" s="1"/>
      </tp>
      <tp>
        <v>10</v>
        <stp/>
        <stp>bse_cm|970NIDO32</stp>
        <stp>Ask Qty</stp>
        <tr r="G67" s="1"/>
      </tp>
      <tp>
        <v>10</v>
        <stp/>
        <stp>bse_cm|930NIDO32</stp>
        <stp>Ask Qty</stp>
        <tr r="G76" s="1"/>
      </tp>
      <tp>
        <v>0</v>
        <stp/>
        <stp>nse_cm|85PCHFL26-N7</stp>
        <stp>Ask Qty</stp>
        <tr r="G712" s="1"/>
      </tp>
      <tp>
        <v>1005</v>
        <stp/>
        <stp>bse_cm|98NWFL30</stp>
        <stp>Ask Rate</stp>
        <tr r="F231" s="1"/>
      </tp>
      <tp>
        <v>920</v>
        <stp/>
        <stp>bse_cm|890ICCL23A</stp>
        <stp>Prev Close</stp>
        <tr r="P1486" s="1"/>
      </tp>
      <tp t="s">
        <v>BSE</v>
        <stp/>
        <stp>bse_cm|10KFIL27</stp>
        <stp>Exchange</stp>
        <tr r="C183" s="1"/>
      </tp>
      <tp>
        <v>960</v>
        <stp/>
        <stp>bse_cm|920EFSL27A</stp>
        <stp>Prev Close</stp>
        <tr r="P685" s="1"/>
      </tp>
      <tp>
        <v>1025</v>
        <stp/>
        <stp>bse_cm|960EFSL26C</stp>
        <stp>Prev Close</stp>
        <tr r="P137" s="1"/>
      </tp>
      <tp>
        <v>966.6</v>
        <stp/>
        <stp>bse_cm|920EFSL26B</stp>
        <stp>Prev Close</stp>
        <tr r="P247" s="1"/>
      </tp>
      <tp>
        <v>960</v>
        <stp/>
        <stp>bse_cm|920EFSL26A</stp>
        <stp>Prev Close</stp>
        <tr r="P61" s="1"/>
      </tp>
      <tp t="s">
        <v>BSE</v>
        <stp/>
        <stp>bse_cm|10KAFL26</stp>
        <stp>Exchange</stp>
        <tr r="C1096" s="1"/>
      </tp>
      <tp t="s">
        <v>BSE</v>
        <stp/>
        <stp>bse_cm|11KAFL26</stp>
        <stp>Exchange</stp>
        <tr r="C671" s="1"/>
      </tp>
      <tp>
        <v>0</v>
        <stp/>
        <stp>bse_cm|MHFLZC26</stp>
        <stp>Volume Traded Today</stp>
        <tr r="L1714" s="1"/>
      </tp>
      <tp t="e">
        <v>#N/A</v>
        <stp/>
        <stp>bse_cm|MHFLZC24</stp>
        <stp>Volume Traded Today</stp>
        <tr r="L35" s="1"/>
      </tp>
      <tp t="s">
        <v>BSE</v>
        <stp/>
        <stp>bse_cm|11KAFL27</stp>
        <stp>Exchange</stp>
        <tr r="C184" s="1"/>
      </tp>
      <tp t="s">
        <v>BSE</v>
        <stp/>
        <stp>bse_cm|10JFPL30</stp>
        <stp>Exchange</stp>
        <tr r="C1097" s="1"/>
      </tp>
      <tp>
        <v>9</v>
        <stp/>
        <stp>bse_cm|953EFSL31</stp>
        <stp>Ask Qty</stp>
        <tr r="G191" s="1"/>
      </tp>
      <tp t="s">
        <v>BSE</v>
        <stp/>
        <stp>bse_cm|95KAFL25</stp>
        <stp>Exchange</stp>
        <tr r="C40" s="1"/>
      </tp>
      <tp>
        <v>0</v>
        <stp/>
        <stp>nse_cm|1075SCL34-ZR</stp>
        <stp>% Change</stp>
        <tr r="J1366" s="1"/>
      </tp>
      <tp>
        <v>1062.2</v>
        <stp/>
        <stp>bse_cm|0MOFSL26</stp>
        <stp>Ask Rate</stp>
        <tr r="F1645" s="1"/>
      </tp>
      <tp>
        <v>0</v>
        <stp/>
        <stp>bse_cm|0MOFSL27</stp>
        <stp>Ask Rate</stp>
        <tr r="F1039" s="1"/>
      </tp>
      <tp>
        <v>946.5</v>
        <stp/>
        <stp>nse_cm|96IIFL28-N5</stp>
        <stp>ATP</stp>
        <tr r="K106" s="1"/>
      </tp>
      <tp>
        <v>0</v>
        <stp/>
        <stp>nse_cm|975NFL25-N0</stp>
        <stp>ATP</stp>
        <tr r="K256" s="1"/>
      </tp>
      <tp>
        <v>240</v>
        <stp/>
        <stp>bse_cm|970CAGL28</stp>
        <stp>Bid Qty</stp>
        <tr r="D292" s="1"/>
      </tp>
      <tp>
        <v>20</v>
        <stp/>
        <stp>bse_cm|960CAGL25</stp>
        <stp>Bid Qty</stp>
        <tr r="D347" s="1"/>
      </tp>
      <tp>
        <v>180</v>
        <stp/>
        <stp>bse_cm|910CAGL25</stp>
        <stp>Bid Qty</stp>
        <tr r="D351" s="1"/>
      </tp>
      <tp>
        <v>10</v>
        <stp/>
        <stp>bse_cm|950CCIL25</stp>
        <stp>Bid Qty</stp>
        <tr r="D99" s="1"/>
      </tp>
      <tp>
        <v>1000</v>
        <stp/>
        <stp>bse_cm|940CAGL27</stp>
        <stp>Bid Qty</stp>
        <tr r="D261" s="1"/>
      </tp>
      <tp>
        <v>180</v>
        <stp/>
        <stp>bse_cm|930EFSL31</stp>
        <stp>Bid Qty</stp>
        <tr r="D65" s="1"/>
      </tp>
      <tp>
        <v>181</v>
        <stp/>
        <stp>bse_cm|970EFSL31</stp>
        <stp>Bid Qty</stp>
        <tr r="D220" s="1"/>
      </tp>
      <tp>
        <v>33</v>
        <stp/>
        <stp>bse_cm|920EFSL27</stp>
        <stp>Bid Qty</stp>
        <tr r="D55" s="1"/>
      </tp>
      <tp>
        <v>180</v>
        <stp/>
        <stp>bse_cm|960EFSL27</stp>
        <stp>Bid Qty</stp>
        <tr r="D70" s="1"/>
      </tp>
      <tp>
        <v>6</v>
        <stp/>
        <stp>bse_cm|920EFSL26</stp>
        <stp>Bid Qty</stp>
        <tr r="D223" s="1"/>
      </tp>
      <tp>
        <v>190</v>
        <stp/>
        <stp>bse_cm|960EFSL26</stp>
        <stp>Bid Qty</stp>
        <tr r="D690" s="1"/>
      </tp>
      <tp>
        <v>170</v>
        <stp/>
        <stp>bse_cm|950EFSL26</stp>
        <stp>Bid Qty</stp>
        <tr r="D1493" s="1"/>
      </tp>
      <tp>
        <v>1000</v>
        <stp/>
        <stp>nse_cm|971SCL29-Z0</stp>
        <stp xml:space="preserve">Low </stp>
        <tr r="O681" s="1"/>
      </tp>
      <tp>
        <v>1136.5</v>
        <stp/>
        <stp>bse_cm|76NHAI31</stp>
        <stp>Ask Rate</stp>
        <tr r="F478" s="1"/>
      </tp>
      <tp>
        <v>160</v>
        <stp/>
        <stp>bse_cm|960ISFL25</stp>
        <stp>Bid Qty</stp>
        <tr r="D871" s="1"/>
      </tp>
      <tp>
        <v>0</v>
        <stp/>
        <stp>bse_cm|980ICCL28</stp>
        <stp>Bid Qty</stp>
        <tr r="D783" s="1"/>
      </tp>
      <tp>
        <v>20</v>
        <stp/>
        <stp>bse_cm|940ICCL28</stp>
        <stp>Bid Qty</stp>
        <tr r="D1126" s="1"/>
      </tp>
      <tp>
        <v>0</v>
        <stp/>
        <stp>bse_cm|843SCFL27</stp>
        <stp>Ask Qty</stp>
        <tr r="G1074" s="1"/>
      </tp>
      <tp>
        <v>3</v>
        <stp/>
        <stp>bse_cm|850IIFL27</stp>
        <stp>Bid Qty</stp>
        <tr r="D1407" s="1"/>
      </tp>
      <tp>
        <v>10</v>
        <stp/>
        <stp>bse_cm|820IIFL27</stp>
        <stp>Bid Qty</stp>
        <tr r="D176" s="1"/>
      </tp>
      <tp>
        <v>24</v>
        <stp/>
        <stp>bse_cm|980IFSL25</stp>
        <stp>Bid Qty</stp>
        <tr r="D474" s="1"/>
      </tp>
      <tp>
        <v>0</v>
        <stp/>
        <stp>bse_cm|10NIDO33</stp>
        <stp>Ask Rate</stp>
        <tr r="F1447" s="1"/>
      </tp>
      <tp>
        <v>0</v>
        <stp/>
        <stp>nse_cm|975SCL27-Z9</stp>
        <stp xml:space="preserve">Low </stp>
        <tr r="O885" s="1"/>
      </tp>
      <tp>
        <v>40</v>
        <stp/>
        <stp>bse_cm|950KFIL26</stp>
        <stp>Bid Qty</stp>
        <tr r="D602" s="1"/>
      </tp>
      <tp>
        <v>500</v>
        <stp/>
        <stp>bse_cm|753PFCL33</stp>
        <stp>Ask Qty</stp>
        <tr r="G426" s="1"/>
      </tp>
      <tp>
        <v>36</v>
        <stp/>
        <stp>bse_cm|683PFCL31</stp>
        <stp>Ask Qty</stp>
        <tr r="G449" s="1"/>
      </tp>
      <tp>
        <v>0</v>
        <stp/>
        <stp>bse_cm|663PFCL31</stp>
        <stp>Ask Qty</stp>
        <tr r="G1208" s="1"/>
      </tp>
      <tp>
        <v>0</v>
        <stp/>
        <stp>bse_cm|KFL27A</stp>
        <stp>Open</stp>
        <tr r="M1302" s="1"/>
      </tp>
      <tp>
        <v>0</v>
        <stp/>
        <stp>bse_cm|MFL31A</stp>
        <stp>Open</stp>
        <tr r="M1275" s="1"/>
      </tp>
      <tp t="s">
        <v>BSE</v>
        <stp/>
        <stp>bse_cm|10KSFL25</stp>
        <stp>Exchange</stp>
        <tr r="C107" s="1"/>
      </tp>
      <tp>
        <v>20</v>
        <stp/>
        <stp>bse_cm|950MMFL25</stp>
        <stp>Bid Qty</stp>
        <tr r="D1526" s="1"/>
      </tp>
      <tp>
        <v>10</v>
        <stp/>
        <stp>bse_cm|950MMFL26</stp>
        <stp>Bid Qty</stp>
        <tr r="D291" s="1"/>
      </tp>
      <tp>
        <v>50</v>
        <stp/>
        <stp>bse_cm|990MFCL29</stp>
        <stp>Bid Qty</stp>
        <tr r="D1449" s="1"/>
      </tp>
      <tp>
        <v>50</v>
        <stp/>
        <stp>bse_cm|890MFCL26</stp>
        <stp>Bid Qty</stp>
        <tr r="D279" s="1"/>
      </tp>
      <tp>
        <v>10</v>
        <stp/>
        <stp>bse_cm|950MFCL27</stp>
        <stp>Bid Qty</stp>
        <tr r="D1148" s="1"/>
      </tp>
      <tp>
        <v>25</v>
        <stp/>
        <stp>bse_cm|940MFCL26</stp>
        <stp>Bid Qty</stp>
        <tr r="D200" s="1"/>
      </tp>
      <tp>
        <v>0</v>
        <stp/>
        <stp>bse_cm|SFL26A</stp>
        <stp>High</stp>
        <tr r="N810" s="1"/>
      </tp>
      <tp>
        <v>0</v>
        <stp/>
        <stp>bse_cm|KFL27C</stp>
        <stp>Open</stp>
        <tr r="M1300" s="1"/>
      </tp>
      <tp>
        <v>25</v>
        <stp/>
        <stp>bse_cm|950NHFL26</stp>
        <stp>Bid Qty</stp>
        <tr r="D582" s="1"/>
      </tp>
      <tp>
        <v>0</v>
        <stp/>
        <stp>bse_cm|89SCL24A</stp>
        <stp>Volume Traded Today</stp>
        <tr r="L971" s="1"/>
      </tp>
      <tp>
        <v>9</v>
        <stp/>
        <stp>bse_cm|875NHAI29</stp>
        <stp>Bid Qty</stp>
        <tr r="D496" s="1"/>
      </tp>
      <tp>
        <v>0</v>
        <stp/>
        <stp>bse_cm|KFL27B</stp>
        <stp>Open</stp>
        <tr r="M1301" s="1"/>
      </tp>
      <tp>
        <v>250</v>
        <stp/>
        <stp>bse_cm|735NHAI31</stp>
        <stp>Bid Qty</stp>
        <tr r="D565" s="1"/>
      </tp>
      <tp t="s">
        <v>835SCL23A-YH</v>
        <stp/>
        <stp>nse_cm|835SCL23A-YH</stp>
        <stp>Trading Symbol</stp>
        <tr r="B833" s="1"/>
      </tp>
      <tp t="s">
        <v>INE549K07EL3</v>
        <stp/>
        <stp>bse_cm|MFCL160924</stp>
        <stp>Isin code</stp>
        <tr r="R572" s="1"/>
      </tp>
      <tp t="s">
        <v>INE01I507562</v>
        <stp/>
        <stp>bse_cm|1050KAFL25</stp>
        <stp>Isin code</stp>
        <tr r="R1161" s="1"/>
      </tp>
      <tp t="s">
        <v>INE01I507554</v>
        <stp/>
        <stp>bse_cm|1025KAFL25</stp>
        <stp>Isin code</stp>
        <tr r="R770" s="1"/>
      </tp>
      <tp t="s">
        <v>875SCL23A-YI</v>
        <stp/>
        <stp>nse_cm|875SCL23A-YI</stp>
        <stp>Trading Symbol</stp>
        <tr r="B1477" s="1"/>
      </tp>
      <tp t="s">
        <v>INE261F07040</v>
        <stp/>
        <stp>bse_cm|704NABAR26</stp>
        <stp>Isin code</stp>
        <tr r="R1702" s="1"/>
      </tp>
      <tp t="s">
        <v>INE103C07017</v>
        <stp/>
        <stp>bse_cm|102SMCGS27</stp>
        <stp>Isin code</stp>
        <tr r="R1017" s="1"/>
      </tp>
      <tp t="s">
        <v>850SCL25A-NW</v>
        <stp/>
        <stp>nse_cm|850SCL25A-NW</stp>
        <stp>Trading Symbol</stp>
        <tr r="B984" s="1"/>
      </tp>
      <tp t="s">
        <v>INE01I507737</v>
        <stp/>
        <stp>bse_cm|1050KLMA28</stp>
        <stp>Isin code</stp>
        <tr r="R611" s="1"/>
      </tp>
      <tp>
        <v>0</v>
        <stp/>
        <stp>bse_cm|MFL31</stp>
        <stp>Open</stp>
        <tr r="M701" s="1"/>
      </tp>
      <tp>
        <v>0</v>
        <stp/>
        <stp>bse_cm|MFL30</stp>
        <stp>Open</stp>
        <tr r="M1460" s="1"/>
      </tp>
      <tp>
        <v>0</v>
        <stp/>
        <stp>bse_cm|MML30</stp>
        <stp>Open</stp>
        <tr r="M1525" s="1"/>
      </tp>
      <tp t="s">
        <v>INE01I507703</v>
        <stp/>
        <stp>bse_cm|1075KLMA28</stp>
        <stp>Isin code</stp>
        <tr r="R1116" s="1"/>
      </tp>
      <tp t="s">
        <v>888SCL26A-ZC</v>
        <stp/>
        <stp>nse_cm|888SCL26A-ZC</stp>
        <stp>Trading Symbol</stp>
        <tr r="B839" s="1"/>
      </tp>
      <tp t="s">
        <v>888SCL25A-AQ</v>
        <stp/>
        <stp>nse_cm|888SCL25A-AQ</stp>
        <stp>Trading Symbol</stp>
        <tr r="B910" s="1"/>
      </tp>
      <tp t="s">
        <v>995EFSL31</v>
        <stp/>
        <stp>bse_cm|995EFSL31</stp>
        <stp>Trading Symbol</stp>
        <tr r="B192" s="1"/>
      </tp>
      <tp t="s">
        <v>895EFSL25</v>
        <stp/>
        <stp>bse_cm|895EFSL25</stp>
        <stp>Trading Symbol</stp>
        <tr r="B700" s="1"/>
      </tp>
      <tp t="s">
        <v>895EFSL26</v>
        <stp/>
        <stp>bse_cm|895EFSL26</stp>
        <stp>Trading Symbol</stp>
        <tr r="B109" s="1"/>
      </tp>
      <tp t="s">
        <v>894SCL25A-ZI</v>
        <stp/>
        <stp>nse_cm|894SCL25A-ZI</stp>
        <stp>Trading Symbol</stp>
        <tr r="B963" s="1"/>
      </tp>
      <tp t="s">
        <v>INE413U07327</v>
        <stp/>
        <stp>bse_cm|957IIFLS27</stp>
        <stp>Isin code</stp>
        <tr r="R687" s="1"/>
      </tp>
      <tp>
        <v>0</v>
        <stp/>
        <stp>bse_cm|KFL31</stp>
        <stp>Open</stp>
        <tr r="M1297" s="1"/>
      </tp>
      <tp>
        <v>0</v>
        <stp/>
        <stp>bse_cm|SFL2722024</stp>
        <stp>ATP</stp>
        <tr r="K806" s="1"/>
      </tp>
      <tp>
        <v>0</v>
        <stp/>
        <stp>bse_cm|KFL30</stp>
        <stp>Open</stp>
        <tr r="M1298" s="1"/>
      </tp>
      <tp>
        <v>0</v>
        <stp/>
        <stp>bse_cm|KFL070824A</stp>
        <stp>ATP</stp>
        <tr r="K1313" s="1"/>
      </tp>
      <tp>
        <v>0</v>
        <stp/>
        <stp>bse_cm|KFL070824B</stp>
        <stp>ATP</stp>
        <tr r="K1312" s="1"/>
      </tp>
      <tp>
        <v>0</v>
        <stp/>
        <stp>bse_cm|KFL070824C</stp>
        <stp>ATP</stp>
        <tr r="K1311" s="1"/>
      </tp>
      <tp>
        <v>0</v>
        <stp/>
        <stp>bse_cm|KFL070824D</stp>
        <stp>ATP</stp>
        <tr r="K1310" s="1"/>
      </tp>
      <tp t="s">
        <v>INE532F07DE6</v>
        <stp/>
        <stp>bse_cm|1010EFSL32</stp>
        <stp>Isin code</stp>
        <tr r="R631" s="1"/>
      </tp>
      <tp t="s">
        <v>CAGL24</v>
        <stp/>
        <stp>bse_cm|CAGL24</stp>
        <stp>Trading Symbol</stp>
        <tr r="B1761" s="1"/>
      </tp>
      <tp t="s">
        <v>CAGL25</v>
        <stp/>
        <stp>bse_cm|CAGL25</stp>
        <stp>Trading Symbol</stp>
        <tr r="B1061" s="1"/>
      </tp>
      <tp t="s">
        <v>CAGL26</v>
        <stp/>
        <stp>bse_cm|CAGL26</stp>
        <stp>Trading Symbol</stp>
        <tr r="B708" s="1"/>
      </tp>
      <tp t="s">
        <v>CAGL27</v>
        <stp/>
        <stp>bse_cm|CAGL27</stp>
        <stp>Trading Symbol</stp>
        <tr r="B734" s="1"/>
      </tp>
      <tp t="s">
        <v>CAGL28</v>
        <stp/>
        <stp>bse_cm|CAGL28</stp>
        <stp>Trading Symbol</stp>
        <tr r="B757" s="1"/>
      </tp>
      <tp t="s">
        <v>INE532F07FT9</v>
        <stp/>
        <stp>bse_cm|EFSL260724</stp>
        <stp>Isin code</stp>
        <tr r="R586" s="1"/>
      </tp>
      <tp>
        <v>0</v>
        <stp/>
        <stp>nse_cm|CIFC26-NK</stp>
        <stp>% Change</stp>
        <tr r="J741" s="1"/>
      </tp>
      <tp>
        <v>0</v>
        <stp/>
        <stp>bse_cm|1010EFS28A</stp>
        <stp>ATP</stp>
        <tr r="K78" s="1"/>
      </tp>
      <tp>
        <v>0</v>
        <stp/>
        <stp>bse_cm|1010EFS29A</stp>
        <stp>ATP</stp>
        <tr r="K1593" s="1"/>
      </tp>
      <tp t="s">
        <v>98EFSL26</v>
        <stp/>
        <stp>bse_cm|98EFSL26</stp>
        <stp>Symbol</stp>
        <tr r="A82" s="1"/>
      </tp>
      <tp t="s">
        <v>INE774D08MM1</v>
        <stp/>
        <stp>bse_cm|805MMFSL32</stp>
        <stp>Isin code</stp>
        <tr r="R401" s="1"/>
      </tp>
      <tp>
        <v>0</v>
        <stp/>
        <stp>bse_cm|SFL30</stp>
        <stp>Open</stp>
        <tr r="M1597" s="1"/>
      </tp>
      <tp t="s">
        <v>96EFSL26</v>
        <stp/>
        <stp>bse_cm|96EFSL26</stp>
        <stp>Symbol</stp>
        <tr r="A1465" s="1"/>
      </tp>
      <tp t="s">
        <v>96EFSL27</v>
        <stp/>
        <stp>bse_cm|96EFSL27</stp>
        <stp>Symbol</stp>
        <tr r="A1050" s="1"/>
      </tp>
      <tp t="s">
        <v>97EFSL31</v>
        <stp/>
        <stp>bse_cm|97EFSL31</stp>
        <stp>Symbol</stp>
        <tr r="A635" s="1"/>
      </tp>
      <tp>
        <v>0</v>
        <stp/>
        <stp>nse_cm|CIFC28-NB</stp>
        <stp>% Change</stp>
        <tr r="J1618" s="1"/>
      </tp>
      <tp t="s">
        <v>00:00:00</v>
        <stp/>
        <stp>bse_cm|840CIFCL28</stp>
        <stp>LTT</stp>
        <tr r="I419" s="1"/>
      </tp>
      <tp t="s">
        <v>00:00:00</v>
        <stp/>
        <stp>bse_cm|860CIFCL28</stp>
        <stp>LTT</stp>
        <tr r="I1431" s="1"/>
      </tp>
      <tp>
        <v>0</v>
        <stp/>
        <stp>bse_cm|840CIFCL28</stp>
        <stp>LTP</stp>
        <tr r="H419" s="1"/>
      </tp>
      <tp>
        <v>0</v>
        <stp/>
        <stp>bse_cm|860CIFCL28</stp>
        <stp>LTP</stp>
        <tr r="H1431" s="1"/>
      </tp>
      <tp>
        <v>0</v>
        <stp/>
        <stp>bse_cm|850CIFCL26</stp>
        <stp>LTP</stp>
        <tr r="H1164" s="1"/>
      </tp>
      <tp t="s">
        <v>00:00:00</v>
        <stp/>
        <stp>bse_cm|850CIFCL26</stp>
        <stp>LTT</stp>
        <tr r="I1164" s="1"/>
      </tp>
      <tp t="s">
        <v>92EFSL26</v>
        <stp/>
        <stp>bse_cm|92EFSL26</stp>
        <stp>Symbol</stp>
        <tr r="A186" s="1"/>
      </tp>
      <tp t="s">
        <v>9SCL25-YM</v>
        <stp/>
        <stp>nse_cm|9SCL25-YM</stp>
        <stp>Trading Symbol</stp>
        <tr r="B97" s="1"/>
      </tp>
      <tp t="s">
        <v>93EFSL31</v>
        <stp/>
        <stp>bse_cm|93EFSL31</stp>
        <stp>Symbol</stp>
        <tr r="A83" s="1"/>
      </tp>
      <tp t="s">
        <v>00:00:00</v>
        <stp/>
        <stp>bse_cm|10IIFLSF27</stp>
        <stp>LTT</stp>
        <tr r="I1098" s="1"/>
      </tp>
      <tp>
        <v>0</v>
        <stp/>
        <stp>bse_cm|10IIFLSF27</stp>
        <stp>LTP</stp>
        <tr r="H1098" s="1"/>
      </tp>
      <tp t="s">
        <v>9MMFSL26</v>
        <stp/>
        <stp>bse_cm|9MMFSL26</stp>
        <stp>Symbol</stp>
        <tr r="A334" s="1"/>
      </tp>
      <tp t="s">
        <v>00:00:00</v>
        <stp/>
        <stp>bse_cm|IIFLHFZC27</stp>
        <stp>LTT</stp>
        <tr r="I1516" s="1"/>
      </tp>
      <tp>
        <v>0</v>
        <stp/>
        <stp>bse_cm|IIFLHFZC27</stp>
        <stp>LTP</stp>
        <tr r="H1516" s="1"/>
      </tp>
      <tp>
        <v>1313</v>
        <stp/>
        <stp>nse_cm|891IIFCL34-N4</stp>
        <stp>Bid Rate</stp>
        <tr r="E516" s="1"/>
      </tp>
      <tp t="s">
        <v>BSE</v>
        <stp/>
        <stp>bse_cm|SCLZC25A</stp>
        <stp>Exchange</stp>
        <tr r="C1233" s="1"/>
      </tp>
      <tp t="s">
        <v>BSE</v>
        <stp/>
        <stp>bse_cm|SFLZC25A</stp>
        <stp>Exchange</stp>
        <tr r="C1583" s="1"/>
      </tp>
      <tp>
        <v>0</v>
        <stp/>
        <stp>bse_cm|795IGT31</stp>
        <stp>High</stp>
        <tr r="N1186" s="1"/>
      </tp>
      <tp t="s">
        <v>BSE</v>
        <stp/>
        <stp>bse_cm|MFLZC25A</stp>
        <stp>Exchange</stp>
        <tr r="C1757" s="1"/>
      </tp>
      <tp>
        <v>500</v>
        <stp/>
        <stp>nse_cm|1060ECL29-NS</stp>
        <stp>Ask Qty</stp>
        <tr r="G144" s="1"/>
      </tp>
      <tp t="s">
        <v>BSE</v>
        <stp/>
        <stp>bse_cm|KFLZC25A</stp>
        <stp>Exchange</stp>
        <tr r="C1738" s="1"/>
      </tp>
      <tp>
        <v>10</v>
        <stp/>
        <stp>nse_cm|910TCAP28-NA</stp>
        <stp>Bid Qty</stp>
        <tr r="D411" s="1"/>
      </tp>
      <tp>
        <v>40</v>
        <stp/>
        <stp>bse_cm|1050CCI25</stp>
        <stp>Bid Qty</stp>
        <tr r="D173" s="1"/>
      </tp>
      <tp>
        <v>60</v>
        <stp/>
        <stp>nse_cm|957ISFL26-N2</stp>
        <stp>Ask Qty</stp>
        <tr r="G245" s="1"/>
      </tp>
      <tp>
        <v>10</v>
        <stp/>
        <stp>nse_cm|1075UCL25-N9</stp>
        <stp>Ask Qty</stp>
        <tr r="G498" s="1"/>
      </tp>
      <tp>
        <v>1000</v>
        <stp/>
        <stp>nse_cm|925SCL27-YR</stp>
        <stp>High</stp>
        <tr r="N1415" s="1"/>
      </tp>
      <tp t="s">
        <v>BSE</v>
        <stp/>
        <stp>bse_cm|SCLZC25C</stp>
        <stp>Exchange</stp>
        <tr r="C1231" s="1"/>
      </tp>
      <tp t="s">
        <v>BSE</v>
        <stp/>
        <stp>bse_cm|MFLZC25C</stp>
        <stp>Exchange</stp>
        <tr r="C1579" s="1"/>
      </tp>
      <tp t="s">
        <v>BSE</v>
        <stp/>
        <stp>bse_cm|KFLZC25C</stp>
        <stp>Exchange</stp>
        <tr r="C1295" s="1"/>
      </tp>
      <tp>
        <v>0</v>
        <stp/>
        <stp>nse_cm|1040UCL25-N4</stp>
        <stp>Ask Qty</stp>
        <tr r="G669" s="1"/>
      </tp>
      <tp>
        <v>20</v>
        <stp/>
        <stp>bse_cm|1003SCL30</stp>
        <stp>Bid Qty</stp>
        <tr r="D877" s="1"/>
      </tp>
      <tp>
        <v>7</v>
        <stp/>
        <stp>bse_cm|1003SCL31</stp>
        <stp>Bid Qty</stp>
        <tr r="D727" s="1"/>
      </tp>
      <tp>
        <v>38</v>
        <stp/>
        <stp>bse_cm|1102NFL26</stp>
        <stp>Bid Qty</stp>
        <tr r="D567" s="1"/>
      </tp>
      <tp t="s">
        <v>BSE</v>
        <stp/>
        <stp>bse_cm|SCLZC25B</stp>
        <stp>Exchange</stp>
        <tr r="C1540" s="1"/>
      </tp>
      <tp>
        <v>1018.12</v>
        <stp/>
        <stp>bse_cm|985ONE34</stp>
        <stp>High</stp>
        <tr r="N1101" s="1"/>
      </tp>
      <tp>
        <v>100</v>
        <stp/>
        <stp>nse_cm|945CAGL24-N1</stp>
        <stp>Ask Qty</stp>
        <tr r="G1704" s="1"/>
      </tp>
      <tp t="s">
        <v>BSE</v>
        <stp/>
        <stp>bse_cm|MFLZC25B</stp>
        <stp>Exchange</stp>
        <tr r="C1273" s="1"/>
      </tp>
      <tp>
        <v>0</v>
        <stp/>
        <stp>nse_cm|1050SCL30-NU</stp>
        <stp>Ask Qty</stp>
        <tr r="G893" s="1"/>
      </tp>
      <tp t="s">
        <v>BSE</v>
        <stp/>
        <stp>bse_cm|KFLZC25B</stp>
        <stp>Exchange</stp>
        <tr r="C1739" s="1"/>
      </tp>
      <tp>
        <v>60</v>
        <stp/>
        <stp>nse_cm|1050UCL25-N7</stp>
        <stp>Ask Qty</stp>
        <tr r="G201" s="1"/>
      </tp>
      <tp>
        <v>10</v>
        <stp/>
        <stp>bse_cm|1003VCL25</stp>
        <stp>Bid Qty</stp>
        <tr r="D151" s="1"/>
      </tp>
      <tp t="s">
        <v>BSE</v>
        <stp/>
        <stp>bse_cm|SCLZC25E</stp>
        <stp>Exchange</stp>
        <tr r="C907" s="1"/>
      </tp>
      <tp>
        <v>999.8</v>
        <stp/>
        <stp>bse_cm|104ECL29</stp>
        <stp>High</stp>
        <tr r="N149" s="1"/>
      </tp>
      <tp>
        <v>893.01</v>
        <stp/>
        <stp>bse_cm|10SCL30A</stp>
        <stp>ATP</stp>
        <tr r="K444" s="1"/>
      </tp>
      <tp t="s">
        <v>BSE</v>
        <stp/>
        <stp>bse_cm|KFLZC25E</stp>
        <stp>Exchange</stp>
        <tr r="C1530" s="1"/>
      </tp>
      <tp>
        <v>31</v>
        <stp/>
        <stp>nse_cm|1025UCL25-N8</stp>
        <stp>Ask Qty</stp>
        <tr r="G217" s="1"/>
      </tp>
      <tp>
        <v>0</v>
        <stp/>
        <stp>bse_cm|NIDO26</stp>
        <stp>Open</stp>
        <tr r="M1244" s="1"/>
      </tp>
      <tp t="s">
        <v>BSE</v>
        <stp/>
        <stp>bse_cm|SCLZC25D</stp>
        <stp>Exchange</stp>
        <tr r="C1573" s="1"/>
      </tp>
      <tp>
        <v>12</v>
        <stp/>
        <stp>nse_cm|1035UCL26-NA</stp>
        <stp>Ask Qty</stp>
        <tr r="G1627" s="1"/>
      </tp>
      <tp>
        <v>0</v>
        <stp/>
        <stp>nse_cm|SCLZC26-NB</stp>
        <stp>% Change</stp>
        <tr r="J1717" s="1"/>
      </tp>
      <tp>
        <v>0</v>
        <stp/>
        <stp>bse_cm|10SCL31A</stp>
        <stp>ATP</stp>
        <tr r="K865" s="1"/>
      </tp>
      <tp t="s">
        <v>BSE</v>
        <stp/>
        <stp>bse_cm|MFLZC25D</stp>
        <stp>Exchange</stp>
        <tr r="C1520" s="1"/>
      </tp>
      <tp t="s">
        <v>BSE</v>
        <stp/>
        <stp>bse_cm|KFLZC25D</stp>
        <stp>Exchange</stp>
        <tr r="C1735" s="1"/>
      </tp>
      <tp>
        <v>1019</v>
        <stp/>
        <stp>nse_cm|875SFL27-ZF</stp>
        <stp xml:space="preserve">Low </stp>
        <tr r="O379" s="1"/>
      </tp>
      <tp>
        <v>0</v>
        <stp/>
        <stp>nse_cm|1035UCL24-N6</stp>
        <stp>Ask Qty</stp>
        <tr r="G591" s="1"/>
      </tp>
      <tp>
        <v>0</v>
        <stp/>
        <stp>bse_cm|NIDO27</stp>
        <stp>Open</stp>
        <tr r="M1661" s="1"/>
      </tp>
      <tp>
        <v>990</v>
        <stp/>
        <stp>bse_cm|960IIFLS26</stp>
        <stp>Prev Close</stp>
        <tr r="P872" s="1"/>
      </tp>
      <tp>
        <v>826</v>
        <stp/>
        <stp>bse_cm|920IIFLS26</stp>
        <stp>Prev Close</stp>
        <tr r="P613" s="1"/>
      </tp>
      <tp>
        <v>0</v>
        <stp/>
        <stp>nse_cm|850IIFL27-NA</stp>
        <stp>Ask Qty</stp>
        <tr r="G608" s="1"/>
      </tp>
      <tp>
        <v>0</v>
        <stp/>
        <stp>nse_cm|940CAGL27-NB</stp>
        <stp>Ask Qty</stp>
        <tr r="G1367" s="1"/>
      </tp>
      <tp t="s">
        <v>BSE</v>
        <stp/>
        <stp>bse_cm|SCLZC25F</stp>
        <stp>Exchange</stp>
        <tr r="C1542" s="1"/>
      </tp>
      <tp>
        <v>55</v>
        <stp/>
        <stp>nse_cm|1015ECL29-NR</stp>
        <stp>Ask Qty</stp>
        <tr r="G204" s="1"/>
      </tp>
      <tp>
        <v>45</v>
        <stp/>
        <stp>nse_cm|1015SCL28-NR</stp>
        <stp>Ask Qty</stp>
        <tr r="G288" s="1"/>
      </tp>
      <tp>
        <v>850</v>
        <stp/>
        <stp>nse_cm|916SCL25-ZW</stp>
        <stp>High</stp>
        <tr r="N1576" s="1"/>
      </tp>
      <tp>
        <v>0</v>
        <stp/>
        <stp>bse_cm|NIDO25</stp>
        <stp>Open</stp>
        <tr r="M1726" s="1"/>
      </tp>
      <tp>
        <v>874</v>
        <stp/>
        <stp>bse_cm|96SFL24A</stp>
        <stp>Bid Rate</stp>
        <tr r="E633" s="1"/>
      </tp>
      <tp>
        <v>1084.2</v>
        <stp/>
        <stp>bse_cm|104ECL24</stp>
        <stp>High</stp>
        <tr r="N38" s="1"/>
      </tp>
      <tp>
        <v>50</v>
        <stp/>
        <stp>nse_cm|750IRFC35-NK</stp>
        <stp>Ask Qty</stp>
        <tr r="G485" s="1"/>
      </tp>
      <tp>
        <v>1000</v>
        <stp/>
        <stp>bse_cm|792TCH25</stp>
        <stp xml:space="preserve">Low </stp>
        <tr r="O1188" s="1"/>
      </tp>
      <tp>
        <v>0</v>
        <stp/>
        <stp>nse_cm|925SCL29-YZ</stp>
        <stp>High</stp>
        <tr r="N851" s="1"/>
      </tp>
      <tp>
        <v>13</v>
        <stp/>
        <stp>nse_cm|10IIFL28-N4</stp>
        <stp>Volume Traded Today</stp>
        <tr r="L42" s="1"/>
      </tp>
      <tp>
        <v>50</v>
        <stp/>
        <stp>nse_cm|10IIFL29-N6</stp>
        <stp>Volume Traded Today</stp>
        <tr r="L193" s="1"/>
      </tp>
      <tp>
        <v>0</v>
        <stp/>
        <stp>nse_cm|10ISFL26-N3</stp>
        <stp>Volume Traded Today</stp>
        <tr r="L1527" s="1"/>
      </tp>
      <tp>
        <v>0</v>
        <stp/>
        <stp>nse_cm|1030ICC26-NJ</stp>
        <stp>Ask Qty</stp>
        <tr r="G1514" s="1"/>
      </tp>
      <tp>
        <v>0</v>
        <stp/>
        <stp>nse_cm|1003SCL30-BW</stp>
        <stp>Ask Qty</stp>
        <tr r="G876" s="1"/>
      </tp>
      <tp>
        <v>0</v>
        <stp/>
        <stp>bse_cm|NIDO28</stp>
        <stp>Open</stp>
        <tr r="M1243" s="1"/>
      </tp>
      <tp>
        <v>0</v>
        <stp/>
        <stp>bse_cm|902SCL27</stp>
        <stp xml:space="preserve">Low </stp>
        <tr r="O902" s="1"/>
      </tp>
      <tp>
        <v>900.3</v>
        <stp/>
        <stp>bse_cm|93SCL24A</stp>
        <stp>Bid Rate</stp>
        <tr r="E1361" s="1"/>
      </tp>
      <tp>
        <v>825.4</v>
        <stp/>
        <stp>bse_cm|89SCL24A</stp>
        <stp>Bid Rate</stp>
        <tr r="E971" s="1"/>
      </tp>
      <tp>
        <v>960.1</v>
        <stp/>
        <stp>bse_cm|87SCL24A</stp>
        <stp>Bid Rate</stp>
        <tr r="E1141" s="1"/>
      </tp>
      <tp>
        <v>944.03</v>
        <stp/>
        <stp>bse_cm|944MFL28</stp>
        <stp>High</stp>
        <tr r="N677" s="1"/>
      </tp>
      <tp>
        <v>0</v>
        <stp/>
        <stp>bse_cm|884LTF29</stp>
        <stp>High</stp>
        <tr r="N1337" s="1"/>
      </tp>
      <tp>
        <v>9</v>
        <stp/>
        <stp>nse_cm|866SCFL25-Y8</stp>
        <stp>Bid Qty</stp>
        <tr r="D158" s="1"/>
      </tp>
      <tp>
        <v>0</v>
        <stp/>
        <stp>bse_cm|902SCL26</stp>
        <stp xml:space="preserve">Low </stp>
        <tr r="O969" s="1"/>
      </tp>
      <tp>
        <v>1201.0999999999999</v>
        <stp/>
        <stp>bse_cm|743REC35</stp>
        <stp xml:space="preserve">Low </stp>
        <tr r="O513" s="1"/>
      </tp>
      <tp t="s">
        <v>NSE</v>
        <stp/>
        <stp>nse_cm|905SC24B-Z9</stp>
        <stp>Exchange</stp>
        <tr r="C637" s="1"/>
      </tp>
      <tp>
        <v>100</v>
        <stp/>
        <stp>nse_cm|1025SCL34-Z8</stp>
        <stp>Ask Qty</stp>
        <tr r="G128" s="1"/>
      </tp>
      <tp>
        <v>100</v>
        <stp/>
        <stp>nse_cm|863IRFC29-NC</stp>
        <stp>Bid Qty</stp>
        <tr r="D554" s="1"/>
      </tp>
      <tp>
        <v>1020</v>
        <stp/>
        <stp>bse_cm|MFLVI31F</stp>
        <stp>Ask Rate</stp>
        <tr r="F354" s="1"/>
      </tp>
      <tp>
        <v>0</v>
        <stp/>
        <stp>nse_cm|950IIFL27-Y2</stp>
        <stp>Ask Qty</stp>
        <tr r="G995" s="1"/>
      </tp>
      <tp>
        <v>0</v>
        <stp/>
        <stp>nse_cm|850SCFL25-Y4</stp>
        <stp>Ask Qty</stp>
        <tr r="G924" s="1"/>
      </tp>
      <tp>
        <v>0</v>
        <stp/>
        <stp>nse_cm|1003SCL31-ZQ</stp>
        <stp>Ask Qty</stp>
        <tr r="G688" s="1"/>
      </tp>
      <tp>
        <v>1050</v>
        <stp/>
        <stp>bse_cm|922ONE25</stp>
        <stp xml:space="preserve">Low </stp>
        <tr r="O1111" s="1"/>
      </tp>
      <tp>
        <v>0</v>
        <stp/>
        <stp>nse_cm|1025SCL33-YJ</stp>
        <stp>Ask Qty</stp>
        <tr r="G836" s="1"/>
      </tp>
      <tp>
        <v>0</v>
        <stp/>
        <stp>nse_cm|1015SCL29-ZL</stp>
        <stp>Ask Qty</stp>
        <tr r="G1176" s="1"/>
      </tp>
      <tp>
        <v>0</v>
        <stp/>
        <stp>bse_cm|JMFPZC26</stp>
        <stp>LTP</stp>
        <tr r="H1323" s="1"/>
      </tp>
      <tp>
        <v>0</v>
        <stp/>
        <stp>bse_cm|JMFPZC25</stp>
        <stp>LTP</stp>
        <tr r="H1324" s="1"/>
      </tp>
      <tp t="s">
        <v>00:00:00</v>
        <stp/>
        <stp>bse_cm|JMFPZC26</stp>
        <stp>LTT</stp>
        <tr r="I1323" s="1"/>
      </tp>
      <tp t="s">
        <v>00:00:00</v>
        <stp/>
        <stp>bse_cm|JMFPZC25</stp>
        <stp>LTT</stp>
        <tr r="I1324" s="1"/>
      </tp>
      <tp t="s">
        <v>00:00:00</v>
        <stp/>
        <stp>bse_cm|MMFLZC27</stp>
        <stp>LTT</stp>
        <tr r="I1462" s="1"/>
      </tp>
      <tp t="s">
        <v>00:00:00</v>
        <stp/>
        <stp>bse_cm|MMFLZC26</stp>
        <stp>LTT</stp>
        <tr r="I1261" s="1"/>
      </tp>
      <tp t="s">
        <v>00:00:00</v>
        <stp/>
        <stp>bse_cm|MMFLZC25</stp>
        <stp>LTT</stp>
        <tr r="I1731" s="1"/>
      </tp>
      <tp>
        <v>0</v>
        <stp/>
        <stp>bse_cm|MMFLZC27</stp>
        <stp>LTP</stp>
        <tr r="H1462" s="1"/>
      </tp>
      <tp>
        <v>0</v>
        <stp/>
        <stp>bse_cm|MMFLZC26</stp>
        <stp>LTP</stp>
        <tr r="H1261" s="1"/>
      </tp>
      <tp>
        <v>0</v>
        <stp/>
        <stp>bse_cm|MMFLZC25</stp>
        <stp>LTP</stp>
        <tr r="H1731" s="1"/>
      </tp>
      <tp>
        <v>0</v>
        <stp/>
        <stp>bse_cm|MMFLZC28</stp>
        <stp>LTP</stp>
        <tr r="H1259" s="1"/>
      </tp>
      <tp t="s">
        <v>00:00:00</v>
        <stp/>
        <stp>bse_cm|MMFLZC28</stp>
        <stp>LTT</stp>
        <tr r="I1259" s="1"/>
      </tp>
      <tp>
        <v>0</v>
        <stp/>
        <stp>bse_cm|852LTF27</stp>
        <stp xml:space="preserve">Low </stp>
        <tr r="O983" s="1"/>
      </tp>
      <tp>
        <v>1205.03</v>
        <stp/>
        <stp>bse_cm|768IREDA36</stp>
        <stp>Prev Close</stp>
        <tr r="P543" s="1"/>
      </tp>
      <tp>
        <v>2584</v>
        <stp/>
        <stp>bse_cm|728IREDA26</stp>
        <stp>Prev Close</stp>
        <tr r="P1203" s="1"/>
      </tp>
      <tp>
        <v>0</v>
        <stp/>
        <stp>nse_cm|1075SCL34-ZR</stp>
        <stp>Ask Qty</stp>
        <tr r="G1366" s="1"/>
      </tp>
      <tp>
        <v>0</v>
        <stp/>
        <stp>nse_cm|940SCL27-YS</stp>
        <stp xml:space="preserve">Low </stp>
        <tr r="O842" s="1"/>
      </tp>
      <tp>
        <v>0</v>
        <stp/>
        <stp>nse_cm|1075SCL33-YK</stp>
        <stp>Ask Qty</stp>
        <tr r="G707" s="1"/>
      </tp>
      <tp>
        <v>0</v>
        <stp/>
        <stp>nse_cm|843SCL27-YS</stp>
        <stp xml:space="preserve">Low </stp>
        <tr r="O944" s="1"/>
      </tp>
      <tp>
        <v>9</v>
        <stp/>
        <stp>nse_cm|965SCFL25-AB</stp>
        <stp>Bid Qty</stp>
        <tr r="D664" s="1"/>
      </tp>
      <tp>
        <v>100</v>
        <stp/>
        <stp>nse_cm|865IRFC29-NA</stp>
        <stp>Bid Qty</stp>
        <tr r="D491" s="1"/>
      </tp>
      <tp>
        <v>0</v>
        <stp/>
        <stp>nse_cm|SCL310524-ZF</stp>
        <stp>Ask Qty</stp>
        <tr r="G593" s="1"/>
      </tp>
      <tp>
        <v>0</v>
        <stp/>
        <stp>nse_cm|1050SCL31-ZP</stp>
        <stp>Ask Qty</stp>
        <tr r="G891" s="1"/>
      </tp>
      <tp>
        <v>50</v>
        <stp/>
        <stp>nse_cm|764IRFC31-NO</stp>
        <stp>Bid Qty</stp>
        <tr r="D468" s="1"/>
      </tp>
      <tp>
        <v>970</v>
        <stp/>
        <stp>nse_cm|948SCL27-YV</stp>
        <stp xml:space="preserve">Low </stp>
        <tr r="O127" s="1"/>
      </tp>
      <tp t="s">
        <v>889SCL28-NU</v>
        <stp/>
        <stp>nse_cm|889SCL28-NU</stp>
        <stp>Trading Symbol</stp>
        <tr r="B989" s="1"/>
      </tp>
      <tp>
        <v>1000</v>
        <stp/>
        <stp>nse_cm|735PFCL35-N1</stp>
        <stp>Bid Qty</stp>
        <tr r="D26" s="1"/>
      </tp>
      <tp t="s">
        <v>965SCL28-AK</v>
        <stp/>
        <stp>nse_cm|965SCL28-AK</stp>
        <stp>Trading Symbol</stp>
        <tr r="B1137" s="1"/>
      </tp>
      <tp t="s">
        <v>971SCL28-AN</v>
        <stp/>
        <stp>nse_cm|971SCL28-AN</stp>
        <stp>Trading Symbol</stp>
        <tr r="B538" s="1"/>
      </tp>
      <tp t="s">
        <v>925SCL28-AM</v>
        <stp/>
        <stp>nse_cm|925SCL28-AM</stp>
        <stp>Trading Symbol</stp>
        <tr r="B939" s="1"/>
      </tp>
      <tp>
        <v>100</v>
        <stp/>
        <stp>nse_cm|865IIFL28-NS</stp>
        <stp>Bid Qty</stp>
        <tr r="D74" s="1"/>
      </tp>
      <tp t="s">
        <v>935SCL28-NV</v>
        <stp/>
        <stp>nse_cm|935SCL28-NV</stp>
        <stp>Trading Symbol</stp>
        <tr r="B986" s="1"/>
      </tp>
      <tp t="s">
        <v>975SCL28-NT</v>
        <stp/>
        <stp>nse_cm|975SCL28-NT</stp>
        <stp>Trading Symbol</stp>
        <tr r="B142" s="1"/>
      </tp>
      <tp>
        <v>0</v>
        <stp/>
        <stp>bse_cm|NWIL25</stp>
        <stp>Open</stp>
        <tr r="M1546" s="1"/>
      </tp>
      <tp>
        <v>0</v>
        <stp/>
        <stp>nse_cm|820SCL25-YO</stp>
        <stp>High</stp>
        <tr r="N932" s="1"/>
      </tp>
      <tp>
        <v>50</v>
        <stp/>
        <stp>nse_cm|736PFCL28-N2</stp>
        <stp>Bid Qty</stp>
        <tr r="D11" s="1"/>
      </tp>
      <tp>
        <v>1128</v>
        <stp/>
        <stp>bse_cm|935PEL33</stp>
        <stp>High</stp>
        <tr r="N368" s="1"/>
      </tp>
      <tp>
        <v>0</v>
        <stp/>
        <stp>bse_cm|NWIL27</stp>
        <stp>Open</stp>
        <tr r="M1439" s="1"/>
      </tp>
      <tp>
        <v>899.8</v>
        <stp/>
        <stp>bse_cm|894SCL27</stp>
        <stp>High</stp>
        <tr r="N962" s="1"/>
      </tp>
      <tp>
        <v>10</v>
        <stp/>
        <stp>nse_cm|960ISFL25-N1</stp>
        <stp>Bid Qty</stp>
        <tr r="D1695" s="1"/>
      </tp>
      <tp>
        <v>912</v>
        <stp/>
        <stp>bse_cm|1003SCL30A</stp>
        <stp>Prev Close</stp>
        <tr r="P875" s="1"/>
      </tp>
      <tp>
        <v>1</v>
        <stp/>
        <stp>nse_cm|830PFCL27-N5</stp>
        <stp>Bid Qty</stp>
        <tr r="D400" s="1"/>
      </tp>
      <tp>
        <v>1000</v>
        <stp/>
        <stp>nse_cm|970CAGL28-ND</stp>
        <stp>Bid Qty</stp>
        <tr r="D306" s="1"/>
      </tp>
      <tp t="s">
        <v>INE530B07369</v>
        <stp/>
        <stp>nse_cm|IIFLZC28B-Y1</stp>
        <stp>Isin code</stp>
        <tr r="R1491" s="1"/>
      </tp>
      <tp t="s">
        <v>930SFL28-YP</v>
        <stp/>
        <stp>nse_cm|930SFL28-YP</stp>
        <stp>Trading Symbol</stp>
        <tr r="B6" s="1"/>
      </tp>
      <tp t="s">
        <v>903SFL28-YI</v>
        <stp/>
        <stp>nse_cm|903SFL28-YI</stp>
        <stp>Trading Symbol</stp>
        <tr r="B372" s="1"/>
      </tp>
      <tp>
        <v>1151.57</v>
        <stp/>
        <stp>bse_cm|894SCL25</stp>
        <stp>High</stp>
        <tr r="N1517" s="1"/>
      </tp>
      <tp t="s">
        <v>863REC29-NC</v>
        <stp/>
        <stp>nse_cm|863REC29-NC</stp>
        <stp>Trading Symbol</stp>
        <tr r="B1633" s="1"/>
      </tp>
      <tp t="s">
        <v>888REC29-NF</v>
        <stp/>
        <stp>nse_cm|888REC29-NF</stp>
        <stp>Trading Symbol</stp>
        <tr r="B522" s="1"/>
      </tp>
      <tp>
        <v>1001</v>
        <stp/>
        <stp>bse_cm|932AEL27</stp>
        <stp xml:space="preserve">Low </stp>
        <tr r="O317" s="1"/>
      </tp>
      <tp>
        <v>950.2</v>
        <stp/>
        <stp>bse_cm|894SCL24</stp>
        <stp>High</stp>
        <tr r="N645" s="1"/>
      </tp>
      <tp>
        <v>1067.8</v>
        <stp/>
        <stp>bse_cm|714REC25</stp>
        <stp>High</stp>
        <tr r="N518" s="1"/>
      </tp>
      <tp t="s">
        <v>BSE</v>
        <stp/>
        <stp>bse_cm|10MFL24B</stp>
        <stp>Exchange</stp>
        <tr r="C185" s="1"/>
      </tp>
      <tp>
        <v>72</v>
        <stp/>
        <stp>bse_cm|1035UCL26</stp>
        <stp>Ask Qty</stp>
        <tr r="G1626" s="1"/>
      </tp>
      <tp>
        <v>0</v>
        <stp/>
        <stp>nse_cm|865LTF26-NN</stp>
        <stp>Open</stp>
        <tr r="M392" s="1"/>
      </tp>
      <tp>
        <v>0</v>
        <stp/>
        <stp>bse_cm|1035UCL24</stp>
        <stp>Ask Qty</stp>
        <tr r="G1580" s="1"/>
      </tp>
      <tp>
        <v>0</v>
        <stp/>
        <stp>bse_cm|1125KLM26</stp>
        <stp>Ask Qty</stp>
        <tr r="G1227" s="1"/>
      </tp>
      <tp>
        <v>992</v>
        <stp/>
        <stp>bse_cm|88NWIL25</stp>
        <stp>Ask Rate</stp>
        <tr r="F219" s="1"/>
      </tp>
      <tp>
        <v>0</v>
        <stp/>
        <stp>nse_cm|SCLZC26D-NO</stp>
        <stp>Open</stp>
        <tr r="M901" s="1"/>
      </tp>
      <tp>
        <v>-100</v>
        <stp/>
        <stp>nse_cm|875SCFL27-Y9</stp>
        <stp>% Change</stp>
        <tr r="J927" s="1"/>
      </tp>
      <tp>
        <v>100</v>
        <stp/>
        <stp>bse_cm|842IIFL26</stp>
        <stp>Ask Qty</stp>
        <tr r="G181" s="1"/>
      </tp>
      <tp>
        <v>75</v>
        <stp/>
        <stp>bse_cm|MFLIII25C</stp>
        <stp>Ask Qty</stp>
        <tr r="G213" s="1"/>
      </tp>
      <tp>
        <v>0</v>
        <stp/>
        <stp>nse_cm|SCLZC25D-NJ</stp>
        <stp>Open</stp>
        <tr r="M1699" s="1"/>
      </tp>
      <tp>
        <v>949.99</v>
        <stp/>
        <stp>bse_cm|9SCL26BA</stp>
        <stp xml:space="preserve">Low </stp>
        <tr r="O160" s="1"/>
      </tp>
      <tp>
        <v>404.33</v>
        <stp/>
        <stp>nse_cm|79NHIT47-N3</stp>
        <stp>ATP</stp>
        <tr r="K1585" s="1"/>
      </tp>
      <tp>
        <v>306.33</v>
        <stp/>
        <stp>nse_cm|79NHIT40-N2</stp>
        <stp>ATP</stp>
        <tr r="K1587" s="1"/>
      </tp>
      <tp>
        <v>303.92</v>
        <stp/>
        <stp>nse_cm|79NHIT35-N1</stp>
        <stp>ATP</stp>
        <tr r="K1589" s="1"/>
      </tp>
      <tp>
        <v>0</v>
        <stp/>
        <stp>nse_cm|792TCH25-N3</stp>
        <stp>Open</stp>
        <tr r="M1187" s="1"/>
      </tp>
      <tp>
        <v>0</v>
        <stp/>
        <stp>nse_cm|SCLZC25C-NI</stp>
        <stp>Open</stp>
        <tr r="M908" s="1"/>
      </tp>
      <tp>
        <v>0</v>
        <stp/>
        <stp>bse_cm|905SC24B</stp>
        <stp>ATP</stp>
        <tr r="K684" s="1"/>
      </tp>
      <tp>
        <v>0</v>
        <stp/>
        <stp>nse_cm|866SFL25-ZE</stp>
        <stp>ATP</stp>
        <tr r="K1389" s="1"/>
      </tp>
      <tp>
        <v>4000</v>
        <stp/>
        <stp>nse_cm|82HUDCO27-N2</stp>
        <stp>Bid Qty</stp>
        <tr r="D532" s="1"/>
      </tp>
      <tp>
        <v>0</v>
        <stp/>
        <stp>nse_cm|875SFL27-ZF</stp>
        <stp>ATP</stp>
        <tr r="K379" s="1"/>
      </tp>
      <tp>
        <v>0</v>
        <stp/>
        <stp>nse_cm|905SCL27-Z4</stp>
        <stp>High</stp>
        <tr r="N947" s="1"/>
      </tp>
      <tp t="s">
        <v>BSE</v>
        <stp/>
        <stp>bse_cm|99JFPL25</stp>
        <stp>Exchange</stp>
        <tr r="C1670" s="1"/>
      </tp>
      <tp>
        <v>0</v>
        <stp/>
        <stp>nse_cm|SCLZC26A-NF</stp>
        <stp>Open</stp>
        <tr r="M993" s="1"/>
      </tp>
      <tp>
        <v>1000</v>
        <stp/>
        <stp>nse_cm|935MOFSL29-N5</stp>
        <stp>Face Value</stp>
        <tr r="Q1601" s="1"/>
      </tp>
      <tp>
        <v>0</v>
        <stp/>
        <stp>bse_cm|IIFLZC26</stp>
        <stp>Volume Traded Today</stp>
        <tr r="L1236" s="1"/>
      </tp>
      <tp>
        <v>0</v>
        <stp/>
        <stp>bse_cm|CIFCZC28</stp>
        <stp>Volume Traded Today</stp>
        <tr r="L736" s="1"/>
      </tp>
      <tp>
        <v>0</v>
        <stp/>
        <stp>bse_cm|IIFLZC25</stp>
        <stp>Volume Traded Today</stp>
        <tr r="L1743" s="1"/>
      </tp>
      <tp>
        <v>0</v>
        <stp/>
        <stp>bse_cm|CIFCZC25</stp>
        <stp>Volume Traded Today</stp>
        <tr r="L1436" s="1"/>
      </tp>
      <tp>
        <v>95</v>
        <stp/>
        <stp>bse_cm|IIFLZC28</stp>
        <stp>Volume Traded Today</stp>
        <tr r="L1660" s="1"/>
      </tp>
      <tp>
        <v>0</v>
        <stp/>
        <stp>bse_cm|CIFCZC26</stp>
        <stp>Volume Traded Today</stp>
        <tr r="L738" s="1"/>
      </tp>
      <tp>
        <v>0</v>
        <stp/>
        <stp>nse_cm|SCLZC26C-NB</stp>
        <stp>Open</stp>
        <tr r="M1537" s="1"/>
      </tp>
      <tp>
        <v>0</v>
        <stp/>
        <stp>bse_cm|NIDOZC26</stp>
        <stp>Volume Traded Today</stp>
        <tr r="L27" s="1"/>
      </tp>
      <tp>
        <v>0</v>
        <stp/>
        <stp>nse_cm|85IIFL25-NO</stp>
        <stp>ATP</stp>
        <tr r="K110" s="1"/>
      </tp>
      <tp>
        <v>0</v>
        <stp/>
        <stp>nse_cm|865IFL28-NZ</stp>
        <stp>ATP</stp>
        <tr r="K103" s="1"/>
      </tp>
      <tp>
        <v>1007.1</v>
        <stp/>
        <stp>bse_cm|81TCHF28</stp>
        <stp>Bid Rate</stp>
        <tr r="E479" s="1"/>
      </tp>
      <tp>
        <v>885.3</v>
        <stp/>
        <stp>bse_cm|83TCHF28</stp>
        <stp>Bid Rate</stp>
        <tr r="E832" s="1"/>
      </tp>
      <tp>
        <v>1070.55</v>
        <stp/>
        <stp>bse_cm|84TCHF28</stp>
        <stp>Bid Rate</stp>
        <tr r="E403" s="1"/>
      </tp>
      <tp>
        <v>996</v>
        <stp/>
        <stp>nse_cm|81ABFL33-N5</stp>
        <stp>ATP</stp>
        <tr r="K1588" s="1"/>
      </tp>
      <tp>
        <v>180</v>
        <stp/>
        <stp>bse_cm|101EFSL28</stp>
        <stp>Bid Qty</stp>
        <tr r="D211" s="1"/>
      </tp>
      <tp>
        <v>0</v>
        <stp/>
        <stp>nse_cm|829PFL29-N6</stp>
        <stp>ATP</stp>
        <tr r="K1451" s="1"/>
      </tp>
      <tp>
        <v>0</v>
        <stp/>
        <stp>nse_cm|835IFL25-NV</stp>
        <stp>ATP</stp>
        <tr r="K98" s="1"/>
      </tp>
      <tp>
        <v>905.2</v>
        <stp/>
        <stp>bse_cm|82TCHF25</stp>
        <stp>Bid Rate</stp>
        <tr r="E1015" s="1"/>
      </tp>
      <tp>
        <v>1055</v>
        <stp/>
        <stp>bse_cm|83TCHF25</stp>
        <stp>Bid Rate</stp>
        <tr r="E489" s="1"/>
      </tp>
      <tp>
        <v>948</v>
        <stp/>
        <stp>bse_cm|905SC24B</stp>
        <stp xml:space="preserve">Low </stp>
        <tr r="O684" s="1"/>
      </tp>
      <tp>
        <v>1</v>
        <stp/>
        <stp>bse_cm|921ISFL25</stp>
        <stp>Bid Qty</stp>
        <tr r="D350" s="1"/>
      </tp>
      <tp>
        <v>107</v>
        <stp/>
        <stp>bse_cm|MFLVII25G</stp>
        <stp>Ask Qty</stp>
        <tr r="G1729" s="1"/>
      </tp>
      <tp>
        <v>50</v>
        <stp/>
        <stp>bse_cm|682PFCL31</stp>
        <stp>Ask Qty</stp>
        <tr r="G433" s="1"/>
      </tp>
      <tp>
        <v>0</v>
        <stp/>
        <stp>nse_cm|SCLZC26E-NP</stp>
        <stp>Open</stp>
        <tr r="M899" s="1"/>
      </tp>
      <tp>
        <v>0</v>
        <stp/>
        <stp>bse_cm|KFL26A</stp>
        <stp>Open</stp>
        <tr r="M1372" s="1"/>
      </tp>
      <tp>
        <v>0</v>
        <stp/>
        <stp>bse_cm|MFL30A</stp>
        <stp>Open</stp>
        <tr r="M1370" s="1"/>
      </tp>
      <tp>
        <v>0</v>
        <stp/>
        <stp>nse_cm|86CIFC29-NN</stp>
        <stp>ATP</stp>
        <tr r="K1340" s="1"/>
      </tp>
      <tp>
        <v>0</v>
        <stp/>
        <stp>bse_cm|10NIDO27</stp>
        <stp>Ask Rate</stp>
        <tr r="F597" s="1"/>
      </tp>
      <tp>
        <v>0</v>
        <stp/>
        <stp>nse_cm|85CIFC27-NL</stp>
        <stp>ATP</stp>
        <tr r="K973" s="1"/>
      </tp>
      <tp>
        <v>0</v>
        <stp/>
        <stp>bse_cm|SFL27A</stp>
        <stp>High</stp>
        <tr r="N804" s="1"/>
      </tp>
      <tp>
        <v>0</v>
        <stp/>
        <stp>bse_cm|KFL26C</stp>
        <stp>Open</stp>
        <tr r="M1304" s="1"/>
      </tp>
      <tp>
        <v>0</v>
        <stp/>
        <stp>bse_cm|704NHAI26</stp>
        <stp>Bid Qty</stp>
        <tr r="D1204" s="1"/>
      </tp>
      <tp>
        <v>100</v>
        <stp/>
        <stp>bse_cm|714NHAI26</stp>
        <stp>Bid Qty</stp>
        <tr r="D1662" s="1"/>
      </tp>
      <tp>
        <v>0</v>
        <stp/>
        <stp>bse_cm|95NIDO26</stp>
        <stp>Ask Rate</stp>
        <tr r="F670" s="1"/>
      </tp>
      <tp>
        <v>0</v>
        <stp/>
        <stp>bse_cm|10NHFL27</stp>
        <stp>Ask Rate</stp>
        <tr r="F658" s="1"/>
      </tp>
      <tp>
        <v>985</v>
        <stp/>
        <stp>bse_cm|10NIDO26</stp>
        <stp>Ask Rate</stp>
        <tr r="F62" s="1"/>
      </tp>
      <tp>
        <v>0</v>
        <stp/>
        <stp>bse_cm|KFL26B</stp>
        <stp>Open</stp>
        <tr r="M1305" s="1"/>
      </tp>
      <tp t="s">
        <v>925SCL26A-YN</v>
        <stp/>
        <stp>nse_cm|925SCL26A-YN</stp>
        <stp>Trading Symbol</stp>
        <tr r="B838" s="1"/>
      </tp>
      <tp t="s">
        <v>925SCL29A-ZM</v>
        <stp/>
        <stp>nse_cm|925SCL29A-ZM</stp>
        <stp>Trading Symbol</stp>
        <tr r="B1352" s="1"/>
      </tp>
      <tp t="s">
        <v>925SCL28A-NS</v>
        <stp/>
        <stp>nse_cm|925SCL28A-NS</stp>
        <stp>Trading Symbol</stp>
        <tr r="B895" s="1"/>
      </tp>
      <tp t="s">
        <v>925SCL25A-NH</v>
        <stp/>
        <stp>nse_cm|925SCL25A-NH</stp>
        <stp>Trading Symbol</stp>
        <tr r="B715" s="1"/>
      </tp>
      <tp t="s">
        <v>920SCL23A-AO</v>
        <stp/>
        <stp>nse_cm|920SCL23A-AO</stp>
        <stp>Trading Symbol</stp>
        <tr r="B1113" s="1"/>
      </tp>
      <tp>
        <v>0</v>
        <stp/>
        <stp>bse_cm|MFL29</stp>
        <stp>Open</stp>
        <tr r="M1598" s="1"/>
      </tp>
      <tp>
        <v>0</v>
        <stp/>
        <stp>bse_cm|CIF27</stp>
        <stp>Open</stp>
        <tr r="M745" s="1"/>
      </tp>
      <tp t="s">
        <v>INE244L07507</v>
        <stp/>
        <stp>bse_cm|1025ICCL26</stp>
        <stp>Isin code</stp>
        <tr r="R1175" s="1"/>
      </tp>
      <tp>
        <v>0</v>
        <stp/>
        <stp>bse_cm|MFL28</stp>
        <stp>Open</stp>
        <tr r="M1638" s="1"/>
      </tp>
      <tp>
        <v>0</v>
        <stp/>
        <stp>bse_cm|MML28</stp>
        <stp>Open</stp>
        <tr r="M584" s="1"/>
      </tp>
      <tp t="s">
        <v>902SCL27A-ZI</v>
        <stp/>
        <stp>nse_cm|902SCL27A-ZI</stp>
        <stp>Trading Symbol</stp>
        <tr r="B1353" s="1"/>
      </tp>
      <tp t="s">
        <v>902SCL26A-NM</v>
        <stp/>
        <stp>nse_cm|902SCL26A-NM</stp>
        <stp>Trading Symbol</stp>
        <tr r="B904" s="1"/>
      </tp>
      <tp t="s">
        <v>915SCL27A-ZL</v>
        <stp/>
        <stp>nse_cm|915SCL27A-ZL</stp>
        <stp>Trading Symbol</stp>
        <tr r="B966" s="1"/>
      </tp>
      <tp t="s">
        <v>INE121A07RO8</v>
        <stp/>
        <stp>bse_cm|850CIFCL26</stp>
        <stp>Isin code</stp>
        <tr r="R1164" s="1"/>
      </tp>
      <tp t="s">
        <v>965SCL26A-ZB</v>
        <stp/>
        <stp>nse_cm|965SCL26A-ZB</stp>
        <stp>Trading Symbol</stp>
        <tr r="B135" s="1"/>
      </tp>
      <tp t="s">
        <v>965SCL28A-NQ</v>
        <stp/>
        <stp>nse_cm|965SCL28A-NQ</stp>
        <stp>Trading Symbol</stp>
        <tr r="B897" s="1"/>
      </tp>
      <tp t="s">
        <v>965SCL25A-NF</v>
        <stp/>
        <stp>nse_cm|965SCL25A-NF</stp>
        <stp>Trading Symbol</stp>
        <tr r="B163" s="1"/>
      </tp>
      <tp>
        <v>0</v>
        <stp/>
        <stp>bse_cm|IML29</stp>
        <stp>Open</stp>
        <tr r="M1528" s="1"/>
      </tp>
      <tp t="s">
        <v>971SCL29A-ZN</v>
        <stp/>
        <stp>nse_cm|971SCL29A-ZN</stp>
        <stp>Trading Symbol</stp>
        <tr r="B861" s="1"/>
      </tp>
      <tp t="s">
        <v>971SCL28A-NT</v>
        <stp/>
        <stp>nse_cm|971SCL28A-NT</stp>
        <stp>Trading Symbol</stp>
        <tr r="B680" s="1"/>
      </tp>
      <tp>
        <v>0</v>
        <stp/>
        <stp>bse_cm|IML28</stp>
        <stp>Open</stp>
        <tr r="M1458" s="1"/>
      </tp>
      <tp t="s">
        <v>INE261F07032</v>
        <stp/>
        <stp>bse_cm|764NABAR31</stp>
        <stp>Isin code</stp>
        <tr r="R497" s="1"/>
      </tp>
      <tp t="s">
        <v>948SCL27A-ZJ</v>
        <stp/>
        <stp>nse_cm|948SCL27A-ZJ</stp>
        <stp>Trading Symbol</stp>
        <tr r="B845" s="1"/>
      </tp>
      <tp t="s">
        <v>940SCL26A-NK</v>
        <stp/>
        <stp>nse_cm|940SCL26A-NK</stp>
        <stp>Trading Symbol</stp>
        <tr r="B906" s="1"/>
      </tp>
      <tp t="s">
        <v>948SCL26A-NN</v>
        <stp/>
        <stp>nse_cm|948SCL26A-NN</stp>
        <stp>Trading Symbol</stp>
        <tr r="B526" s="1"/>
      </tp>
      <tp>
        <v>0</v>
        <stp/>
        <stp>bse_cm|KFL29</stp>
        <stp>Open</stp>
        <tr r="M1619" s="1"/>
      </tp>
      <tp t="s">
        <v>955SCL27A-ZJ</v>
        <stp/>
        <stp>nse_cm|955SCL27A-ZJ</stp>
        <stp>Trading Symbol</stp>
        <tr r="B1437" s="1"/>
      </tp>
      <tp t="s">
        <v>950SCL23A-AP</v>
        <stp/>
        <stp>nse_cm|950SCL23A-AP</stp>
        <stp>Trading Symbol</stp>
        <tr r="B1145" s="1"/>
      </tp>
      <tp>
        <v>0</v>
        <stp/>
        <stp>bse_cm|KFL27</stp>
        <stp>Open</stp>
        <tr r="M1303" s="1"/>
      </tp>
      <tp>
        <v>0</v>
        <stp/>
        <stp>bse_cm|IML25</stp>
        <stp>Open</stp>
        <tr r="M1326" s="1"/>
      </tp>
      <tp>
        <v>0</v>
        <stp/>
        <stp>bse_cm|KFL26</stp>
        <stp>Open</stp>
        <tr r="M1306" s="1"/>
      </tp>
      <tp t="e">
        <v>#N/A</v>
        <stp/>
        <stp>bse_cm|IML24</stp>
        <stp>Open</stp>
        <tr r="M34" s="1"/>
      </tp>
      <tp t="s">
        <v>984IFSL26</v>
        <stp/>
        <stp>bse_cm|984IFSL26</stp>
        <stp>Trading Symbol</stp>
        <tr r="B457" s="1"/>
      </tp>
      <tp t="s">
        <v>980SCL33A-N3</v>
        <stp/>
        <stp>nse_cm|980SCL33A-N3</stp>
        <stp>Trading Symbol</stp>
        <tr r="B1055" s="1"/>
      </tp>
      <tp>
        <v>0</v>
        <stp/>
        <stp>bse_cm|KFL25</stp>
        <stp>Open</stp>
        <tr r="M1309" s="1"/>
      </tp>
      <tp>
        <v>0</v>
        <stp/>
        <stp>bse_cm|MFL23</stp>
        <stp>Open</stp>
        <tr r="M1668" s="1"/>
      </tp>
      <tp>
        <v>0</v>
        <stp/>
        <stp>bse_cm|IML27</stp>
        <stp>Open</stp>
        <tr r="M1325" s="1"/>
      </tp>
      <tp t="s">
        <v>990SCL26A-NL</v>
        <stp/>
        <stp>nse_cm|990SCL26A-NL</stp>
        <stp>Trading Symbol</stp>
        <tr r="B1049" s="1"/>
      </tp>
      <tp>
        <v>0</v>
        <stp/>
        <stp>bse_cm|MFL25</stp>
        <stp>Open</stp>
        <tr r="M1733" s="1"/>
      </tp>
      <tp>
        <v>0</v>
        <stp/>
        <stp>bse_cm|MML25</stp>
        <stp>Open</stp>
        <tr r="M1253" s="1"/>
      </tp>
      <tp t="s">
        <v>INE202E07237</v>
        <stp/>
        <stp>bse_cm|768IREDA36</stp>
        <stp>Isin code</stp>
        <tr r="R543" s="1"/>
      </tp>
      <tp>
        <v>0</v>
        <stp/>
        <stp>bse_cm|MML24</stp>
        <stp>Open</stp>
        <tr r="M1740" s="1"/>
      </tp>
      <tp t="s">
        <v>INE051307AV6</v>
        <stp/>
        <stp>bse_cm|1075CCIL26</stp>
        <stp>Isin code</stp>
        <tr r="R1120" s="1"/>
      </tp>
      <tp t="s">
        <v>980IFSL25</v>
        <stp/>
        <stp>bse_cm|980IFSL25</stp>
        <stp>Trading Symbol</stp>
        <tr r="B474" s="1"/>
      </tp>
      <tp t="s">
        <v>NSE</v>
        <stp/>
        <stp>nse_cm|957IIFLS27-NA</stp>
        <stp>Exchange</stp>
        <tr r="C1495" s="1"/>
      </tp>
      <tp>
        <v>0</v>
        <stp/>
        <stp>bse_cm|MFL27</stp>
        <stp>Open</stp>
        <tr r="M1563" s="1"/>
      </tp>
      <tp>
        <v>0</v>
        <stp/>
        <stp>bse_cm|CIF29</stp>
        <stp>Open</stp>
        <tr r="M744" s="1"/>
      </tp>
      <tp>
        <v>0</v>
        <stp/>
        <stp>bse_cm|MFL26</stp>
        <stp>Open</stp>
        <tr r="M1666" s="1"/>
      </tp>
      <tp>
        <v>0</v>
        <stp/>
        <stp>bse_cm|MML26</stp>
        <stp>Open</stp>
        <tr r="M1410" s="1"/>
      </tp>
      <tp>
        <v>0</v>
        <stp/>
        <stp>bse_cm|SFL27</stp>
        <stp>Open</stp>
        <tr r="M809" s="1"/>
      </tp>
      <tp t="s">
        <v>INE774D08LT8</v>
        <stp/>
        <stp>bse_cm|853MMFSL26</stp>
        <stp>Isin code</stp>
        <tr r="R1005" s="1"/>
      </tp>
      <tp t="s">
        <v>INE523H07BQ9</v>
        <stp/>
        <stp>bse_cm|830JMFPL30</stp>
        <stp>Isin code</stp>
        <tr r="R251" s="1"/>
      </tp>
      <tp>
        <v>0</v>
        <stp/>
        <stp>bse_cm|SFL26</stp>
        <stp>Open</stp>
        <tr r="M811" s="1"/>
      </tp>
      <tp t="s">
        <v>9KFL26</v>
        <stp/>
        <stp>bse_cm|9KFL26</stp>
        <stp>Trading Symbol</stp>
        <tr r="B1084" s="1"/>
      </tp>
      <tp t="s">
        <v>9MFL25</v>
        <stp/>
        <stp>bse_cm|9MFL25</stp>
        <stp>Trading Symbol</stp>
        <tr r="B1082" s="1"/>
      </tp>
      <tp t="s">
        <v>9MFL27</v>
        <stp/>
        <stp>bse_cm|9MFL27</stp>
        <stp>Trading Symbol</stp>
        <tr r="B195" s="1"/>
      </tp>
      <tp t="s">
        <v>9SFL26</v>
        <stp/>
        <stp>bse_cm|9SFL26</stp>
        <stp>Trading Symbol</stp>
        <tr r="B1066" s="1"/>
      </tp>
      <tp t="s">
        <v>9SFL25</v>
        <stp/>
        <stp>bse_cm|9SFL25</stp>
        <stp>Trading Symbol</stp>
        <tr r="B340" s="1"/>
      </tp>
      <tp t="s">
        <v>9MFL30</v>
        <stp/>
        <stp>bse_cm|9MFL30</stp>
        <stp>Trading Symbol</stp>
        <tr r="B244" s="1"/>
      </tp>
      <tp t="s">
        <v>8MFL26</v>
        <stp/>
        <stp>bse_cm|8MFL26</stp>
        <stp>Trading Symbol</stp>
        <tr r="B654" s="1"/>
      </tp>
      <tp t="s">
        <v>0KFL31</v>
        <stp/>
        <stp>bse_cm|0KFL31</stp>
        <stp>Trading Symbol</stp>
        <tr r="B1044" s="1"/>
      </tp>
      <tp t="s">
        <v>0SFL31</v>
        <stp/>
        <stp>bse_cm|0SFL31</stp>
        <stp>Trading Symbol</stp>
        <tr r="B1032" s="1"/>
      </tp>
      <tp t="s">
        <v>0KFL28</v>
        <stp/>
        <stp>bse_cm|0KFL28</stp>
        <stp>Trading Symbol</stp>
        <tr r="B1045" s="1"/>
      </tp>
      <tp t="s">
        <v>0KFL26</v>
        <stp/>
        <stp>bse_cm|0KFL26</stp>
        <stp>Trading Symbol</stp>
        <tr r="B1047" s="1"/>
      </tp>
      <tp t="s">
        <v>0KFL27</v>
        <stp/>
        <stp>bse_cm|0KFL27</stp>
        <stp>Trading Symbol</stp>
        <tr r="B1046" s="1"/>
      </tp>
      <tp t="s">
        <v>0KFL25</v>
        <stp/>
        <stp>bse_cm|0KFL25</stp>
        <stp>Trading Symbol</stp>
        <tr r="B1604" s="1"/>
      </tp>
      <tp t="s">
        <v>0SFL26</v>
        <stp/>
        <stp>bse_cm|0SFL26</stp>
        <stp>Trading Symbol</stp>
        <tr r="B703" s="1"/>
      </tp>
      <tp t="s">
        <v>KAFL25</v>
        <stp/>
        <stp>bse_cm|KAFL25</stp>
        <stp>Trading Symbol</stp>
        <tr r="B1321" s="1"/>
      </tp>
      <tp t="s">
        <v>KAFL28</v>
        <stp/>
        <stp>bse_cm|KAFL28</stp>
        <stp>Trading Symbol</stp>
        <tr r="B1320" s="1"/>
      </tp>
      <tp t="s">
        <v>KAFL29</v>
        <stp/>
        <stp>bse_cm|KAFL29</stp>
        <stp>Trading Symbol</stp>
        <tr r="B1318" s="1"/>
      </tp>
      <tp t="s">
        <v>KAFL30</v>
        <stp/>
        <stp>bse_cm|KAFL30</stp>
        <stp>Trading Symbol</stp>
        <tr r="B1317" s="1"/>
      </tp>
      <tp t="s">
        <v>MMFL25</v>
        <stp/>
        <stp>bse_cm|MMFL25</stp>
        <stp>Trading Symbol</stp>
        <tr r="B1725" s="1"/>
      </tp>
      <tp t="s">
        <v>MMFL27</v>
        <stp/>
        <stp>bse_cm|MMFL27</stp>
        <stp>Trading Symbol</stp>
        <tr r="B1513" s="1"/>
      </tp>
      <tp t="s">
        <v>ABFL26</v>
        <stp/>
        <stp>bse_cm|ABFL26</stp>
        <stp>Trading Symbol</stp>
        <tr r="B1064" s="1"/>
      </tp>
      <tp t="s">
        <v>ABFL28</v>
        <stp/>
        <stp>bse_cm|ABFL28</stp>
        <stp>Trading Symbol</stp>
        <tr r="B1373" s="1"/>
      </tp>
      <tp>
        <v>0</v>
        <stp/>
        <stp>bse_cm|SFL25</stp>
        <stp>Open</stp>
        <tr r="M813" s="1"/>
      </tp>
      <tp>
        <v>0</v>
        <stp/>
        <stp>bse_cm|SCL25</stp>
        <stp>Open</stp>
        <tr r="M1234" s="1"/>
      </tp>
      <tp>
        <v>1017</v>
        <stp/>
        <stp>nse_cm|1050ISFL28-N5</stp>
        <stp>Open</stp>
        <tr r="M1591" s="1"/>
      </tp>
      <tp>
        <v>0</v>
        <stp/>
        <stp>bse_cm|SCL24</stp>
        <stp>Open</stp>
        <tr r="M1377" s="1"/>
      </tp>
      <tp>
        <v>0</v>
        <stp/>
        <stp>bse_cm|SCL22</stp>
        <stp>Open</stp>
        <tr r="M1239" s="1"/>
      </tp>
      <tp t="s">
        <v>INE148I07MR8</v>
        <stp/>
        <stp>nse_cm|93SCL25-ZH</stp>
        <stp>Isin code</stp>
        <tr r="R961" s="1"/>
      </tp>
      <tp t="s">
        <v>INE532F07EK1</v>
        <stp/>
        <stp>bse_cm|1045EFSL33</stp>
        <stp>Isin code</stp>
        <tr r="R1382" s="1"/>
      </tp>
      <tp t="s">
        <v>89EFSL25</v>
        <stp/>
        <stp>bse_cm|89EFSL25</stp>
        <stp>Symbol</stp>
        <tr r="A87" s="1"/>
      </tp>
      <tp t="s">
        <v>INE244L07556</v>
        <stp/>
        <stp>nse_cm|1003ICCL28-NX</stp>
        <stp>Isin code</stp>
        <tr r="R553" s="1"/>
      </tp>
      <tp t="s">
        <v>CIFC28</v>
        <stp/>
        <stp>bse_cm|CIFC28</stp>
        <stp>Trading Symbol</stp>
        <tr r="B1529" s="1"/>
      </tp>
      <tp t="s">
        <v>CIFC26</v>
        <stp/>
        <stp>bse_cm|CIFC26</stp>
        <stp>Trading Symbol</stp>
        <tr r="B742" s="1"/>
      </tp>
      <tp>
        <v>0</v>
        <stp/>
        <stp>bse_cm|CCI110324A</stp>
        <stp>ATP</stp>
        <tr r="K1590" s="1"/>
      </tp>
      <tp>
        <v>0</v>
        <stp/>
        <stp>bse_cm|AEL120924B</stp>
        <stp>ATP</stp>
        <tr r="K1641" s="1"/>
      </tp>
      <tp>
        <v>0</v>
        <stp/>
        <stp>bse_cm|AEL120924A</stp>
        <stp>ATP</stp>
        <tr r="K1524" s="1"/>
      </tp>
      <tp>
        <v>0</v>
        <stp/>
        <stp>bse_cm|SFL28</stp>
        <stp>Open</stp>
        <tr r="M803" s="1"/>
      </tp>
      <tp>
        <v>0</v>
        <stp/>
        <stp>nse_cm|1050IIFL29-ND</stp>
        <stp>Open</stp>
        <tr r="M585" s="1"/>
      </tp>
      <tp>
        <v>0</v>
        <stp/>
        <stp>bse_cm|1049DLS25A</stp>
        <stp>Volume Traded Today</stp>
        <tr r="L119" s="1"/>
      </tp>
      <tp>
        <v>1000</v>
        <stp/>
        <stp>bse_cm|9TCAP28</stp>
        <stp>Face Value</stp>
        <tr r="Q545" s="1"/>
      </tp>
      <tp t="s">
        <v>INE244L07523</v>
        <stp/>
        <stp>nse_cm|890ICCL23A-NZ</stp>
        <stp>Isin code</stp>
        <tr r="R1363" s="1"/>
      </tp>
      <tp>
        <v>0</v>
        <stp/>
        <stp>nse_cm|1030ICCL28-NM</stp>
        <stp>Open</stp>
        <tr r="M1596" s="1"/>
      </tp>
      <tp>
        <v>995</v>
        <stp/>
        <stp>nse_cm|105UCL2026-NB</stp>
        <stp>High</stp>
        <tr r="N130" s="1"/>
      </tp>
      <tp>
        <v>0</v>
        <stp/>
        <stp>nse_cm|1050ICCL28-NV</stp>
        <stp>Open</stp>
        <tr r="M764" s="1"/>
      </tp>
      <tp t="s">
        <v>INE414G07IC8</v>
        <stp/>
        <stp>bse_cm|810MFL2028</stp>
        <stp>Isin code</stp>
        <tr r="R651" s="1"/>
      </tp>
      <tp t="s">
        <v>88MMFSL26</v>
        <stp/>
        <stp>bse_cm|88MMFSL26</stp>
        <stp>Trading Symbol</stp>
        <tr r="B988" s="1"/>
      </tp>
      <tp t="s">
        <v>NSE</v>
        <stp/>
        <stp>nse_cm|960IIFLS26-N9</stp>
        <stp>Exchange</stp>
        <tr r="C1489" s="1"/>
      </tp>
      <tp t="s">
        <v>NSE</v>
        <stp/>
        <stp>nse_cm|920IIFLS26-N8</stp>
        <stp>Exchange</stp>
        <tr r="C208" s="1"/>
      </tp>
      <tp>
        <v>1108.1099999999999</v>
        <stp/>
        <stp>nse_cm|738REC27TF-N2</stp>
        <stp>High</stp>
        <tr r="N514" s="1"/>
      </tp>
      <tp>
        <v>984.8</v>
        <stp/>
        <stp>bse_cm|825MFL25</stp>
        <stp>High</stp>
        <tr r="N596" s="1"/>
      </tp>
      <tp>
        <v>962.2</v>
        <stp/>
        <stp>bse_cm|925MFL25</stp>
        <stp>High</stp>
        <tr r="N1466" s="1"/>
      </tp>
      <tp>
        <v>974</v>
        <stp/>
        <stp>bse_cm|915MFL25</stp>
        <stp>High</stp>
        <tr r="N105" s="1"/>
      </tp>
      <tp>
        <v>999.8</v>
        <stp/>
        <stp>bse_cm|975MFL25</stp>
        <stp>High</stp>
        <tr r="N855" s="1"/>
      </tp>
      <tp>
        <v>988</v>
        <stp/>
        <stp>bse_cm|105MML25</stp>
        <stp>High</stp>
        <tr r="N1170" s="1"/>
      </tp>
      <tp>
        <v>0</v>
        <stp/>
        <stp>bse_cm|955ONE27</stp>
        <stp>High</stp>
        <tr r="N1129" s="1"/>
      </tp>
      <tp>
        <v>990</v>
        <stp/>
        <stp>bse_cm|965MML25</stp>
        <stp>High</stp>
        <tr r="N1107" s="1"/>
      </tp>
      <tp>
        <v>979.8</v>
        <stp/>
        <stp>bse_cm|975MML25</stp>
        <stp>High</stp>
        <tr r="N852" s="1"/>
      </tp>
      <tp>
        <v>982</v>
        <stp/>
        <stp>bse_cm|735MFL25</stp>
        <stp>High</stp>
        <tr r="N308" s="1"/>
      </tp>
      <tp>
        <v>1032.8</v>
        <stp/>
        <stp>bse_cm|775MFL25</stp>
        <stp>High</stp>
        <tr r="N1369" s="1"/>
      </tp>
      <tp>
        <v>1055</v>
        <stp/>
        <stp>bse_cm|815LTF24</stp>
        <stp>High</stp>
        <tr r="N1167" s="1"/>
      </tp>
      <tp>
        <v>1030</v>
        <stp/>
        <stp>bse_cm|845LTF24</stp>
        <stp>High</stp>
        <tr r="N943" s="1"/>
      </tp>
      <tp>
        <v>982</v>
        <stp/>
        <stp>bse_cm|935ONE26</stp>
        <stp>High</stp>
        <tr r="N1173" s="1"/>
      </tp>
      <tp>
        <v>1048.8</v>
        <stp/>
        <stp>bse_cm|725MFL24</stp>
        <stp>High</stp>
        <tr r="N446" s="1"/>
      </tp>
      <tp>
        <v>1002</v>
        <stp/>
        <stp>bse_cm|825MFL27</stp>
        <stp>High</stp>
        <tr r="N344" s="1"/>
      </tp>
      <tp>
        <v>990</v>
        <stp/>
        <stp>bse_cm|915MFL27</stp>
        <stp>High</stp>
        <tr r="N614" s="1"/>
      </tp>
      <tp>
        <v>1005.01</v>
        <stp/>
        <stp>bse_cm|775MFL27</stp>
        <stp>High</stp>
        <tr r="N694" s="1"/>
      </tp>
      <tp>
        <v>1070</v>
        <stp/>
        <stp>bse_cm|865LTF26</stp>
        <stp>High</stp>
        <tr r="N391" s="1"/>
      </tp>
      <tp t="s">
        <v>BSE</v>
        <stp/>
        <stp>bse_cm|MFLZC24C</stp>
        <stp>Exchange</stp>
        <tr r="C1551" s="1"/>
      </tp>
      <tp>
        <v>0</v>
        <stp/>
        <stp>nse_cm|865SCL24-ZA</stp>
        <stp xml:space="preserve">Low </stp>
        <tr r="O954" s="1"/>
      </tp>
      <tp>
        <v>980</v>
        <stp/>
        <stp>bse_cm|825MFL26</stp>
        <stp>High</stp>
        <tr r="N418" s="1"/>
      </tp>
      <tp>
        <v>964.8</v>
        <stp/>
        <stp>bse_cm|835MFL26</stp>
        <stp>High</stp>
        <tr r="N169" s="1"/>
      </tp>
      <tp>
        <v>975</v>
        <stp/>
        <stp>bse_cm|875MFL26</stp>
        <stp>High</stp>
        <tr r="N161" s="1"/>
      </tp>
      <tp>
        <v>1015.8</v>
        <stp/>
        <stp>bse_cm|925MFL26</stp>
        <stp>High</stp>
        <tr r="N230" s="1"/>
      </tp>
      <tp>
        <v>985</v>
        <stp/>
        <stp>bse_cm|975NFL25</stp>
        <stp>High</stp>
        <tr r="N623" s="1"/>
      </tp>
      <tp>
        <v>990</v>
        <stp/>
        <stp>bse_cm|944ONE34</stp>
        <stp>High</stp>
        <tr r="N269" s="1"/>
      </tp>
      <tp>
        <v>975.2</v>
        <stp/>
        <stp>bse_cm|775MFL26</stp>
        <stp>High</stp>
        <tr r="N328" s="1"/>
      </tp>
      <tp t="s">
        <v>BSE</v>
        <stp/>
        <stp>bse_cm|ECLZC24B</stp>
        <stp>Exchange</stp>
        <tr r="C1767" s="1"/>
      </tp>
      <tp>
        <v>0</v>
        <stp/>
        <stp>bse_cm|885LTF27</stp>
        <stp>High</stp>
        <tr r="N1008" s="1"/>
      </tp>
      <tp>
        <v>1064.99</v>
        <stp/>
        <stp>bse_cm|905LTF27</stp>
        <stp>High</stp>
        <tr r="N394" s="1"/>
      </tp>
      <tp>
        <v>1022</v>
        <stp/>
        <stp>bse_cm|903SFL28</stp>
        <stp xml:space="preserve">Low </stp>
        <tr r="O397" s="1"/>
      </tp>
      <tp>
        <v>0</v>
        <stp/>
        <stp>bse_cm|960EFSLA</stp>
        <stp>Ask Rate</stp>
        <tr r="F699" s="1"/>
      </tp>
      <tp>
        <v>988</v>
        <stp/>
        <stp>bse_cm|835IFL25</stp>
        <stp>High</stp>
        <tr r="N668" s="1"/>
      </tp>
      <tp>
        <v>0</v>
        <stp/>
        <stp>bse_cm|925KFL27</stp>
        <stp>High</stp>
        <tr r="N313" s="1"/>
      </tp>
      <tp>
        <v>930.58</v>
        <stp/>
        <stp>bse_cm|995ECL29</stp>
        <stp>High</stp>
        <tr r="N198" s="1"/>
      </tp>
      <tp>
        <v>140</v>
        <stp/>
        <stp>nse_cm|842IIFL26-NL</stp>
        <stp>Ask Qty</stp>
        <tr r="G145" s="1"/>
      </tp>
      <tp>
        <v>975</v>
        <stp/>
        <stp>bse_cm|875KFL26</stp>
        <stp>High</stp>
        <tr r="N1156" s="1"/>
      </tp>
      <tp>
        <v>955</v>
        <stp/>
        <stp>bse_cm|925KFL26</stp>
        <stp>High</stp>
        <tr r="N775" s="1"/>
      </tp>
      <tp>
        <v>934</v>
        <stp/>
        <stp>bse_cm|985ECL28</stp>
        <stp>High</stp>
        <tr r="N56" s="1"/>
      </tp>
      <tp t="s">
        <v>INE342T07460</v>
        <stp/>
        <stp>nse_cm|1065NFL27-NC</stp>
        <stp>Isin code</stp>
        <tr r="R170" s="1"/>
      </tp>
      <tp t="s">
        <v>BSE</v>
        <stp/>
        <stp>bse_cm|MFLZC24D</stp>
        <stp>Exchange</stp>
        <tr r="C1550" s="1"/>
      </tp>
      <tp>
        <v>981.21</v>
        <stp/>
        <stp>nse_cm|866SFL25-ZE</stp>
        <stp xml:space="preserve">Low </stp>
        <tr r="O1389" s="1"/>
      </tp>
      <tp t="s">
        <v>BSE</v>
        <stp/>
        <stp>bse_cm|KFLZC24D</stp>
        <stp>Exchange</stp>
        <tr r="C1296" s="1"/>
      </tp>
      <tp>
        <v>95</v>
        <stp/>
        <stp>nse_cm|843IHFL29-NC</stp>
        <stp>Ask Qty</stp>
        <tr r="G123" s="1"/>
      </tp>
      <tp>
        <v>10</v>
        <stp/>
        <stp>bse_cm|1015SCL28</stp>
        <stp>Bid Qty</stp>
        <tr r="D327" s="1"/>
      </tp>
      <tp>
        <v>12</v>
        <stp/>
        <stp>bse_cm|1015SCL29</stp>
        <stp>Bid Qty</stp>
        <tr r="D1177" s="1"/>
      </tp>
      <tp>
        <v>10</v>
        <stp/>
        <stp>bse_cm|1015MML25</stp>
        <stp>Bid Qty</stp>
        <tr r="D1103" s="1"/>
      </tp>
      <tp>
        <v>10</v>
        <stp/>
        <stp>bse_cm|1015ECL29</stp>
        <stp>Bid Qty</stp>
        <tr r="D210" s="1"/>
      </tp>
      <tp>
        <v>992</v>
        <stp/>
        <stp>bse_cm|825KFL25</stp>
        <stp>High</stp>
        <tr r="N252" s="1"/>
      </tp>
      <tp>
        <v>980</v>
        <stp/>
        <stp>bse_cm|875KFL25</stp>
        <stp>High</stp>
        <tr r="N50" s="1"/>
      </tp>
      <tp>
        <v>0</v>
        <stp/>
        <stp>bse_cm|975KLM25</stp>
        <stp>High</stp>
        <tr r="N858" s="1"/>
      </tp>
      <tp>
        <v>1040</v>
        <stp/>
        <stp>nse_cm|930SFL28-YP</stp>
        <stp>High</stp>
        <tr r="N6" s="1"/>
      </tp>
      <tp>
        <v>0</v>
        <stp/>
        <stp>bse_cm|10KFL27A</stp>
        <stp>Ask Rate</stp>
        <tr r="F1092" s="1"/>
      </tp>
      <tp>
        <v>970</v>
        <stp/>
        <stp>bse_cm|95KFL27A</stp>
        <stp>Ask Rate</stp>
        <tr r="F132" s="1"/>
      </tp>
      <tp>
        <v>970</v>
        <stp/>
        <stp>bse_cm|975IML26</stp>
        <stp>High</stp>
        <tr r="N646" s="1"/>
      </tp>
      <tp>
        <v>0</v>
        <stp/>
        <stp>bse_cm|745IGT26</stp>
        <stp>High</stp>
        <tr r="N1202" s="1"/>
      </tp>
      <tp>
        <v>0</v>
        <stp/>
        <stp>nse_cm|905SCL25-ZT</stp>
        <stp>High</stp>
        <tr r="N977" s="1"/>
      </tp>
      <tp>
        <v>1000</v>
        <stp/>
        <stp>bse_cm|85PFL26A</stp>
        <stp>Bid Rate</stp>
        <tr r="E711" s="1"/>
      </tp>
      <tp>
        <v>989.8</v>
        <stp/>
        <stp>bse_cm|895EFS25</stp>
        <stp>High</stp>
        <tr r="N730" s="1"/>
      </tp>
      <tp>
        <v>921</v>
        <stp/>
        <stp>bse_cm|865IFL28</stp>
        <stp>High</stp>
        <tr r="N115" s="1"/>
      </tp>
      <tp>
        <v>1000</v>
        <stp/>
        <stp>bse_cm|995ECL24</stp>
        <stp>High</stp>
        <tr r="N427" s="1"/>
      </tp>
      <tp>
        <v>40</v>
        <stp/>
        <stp>nse_cm|840IRFC29-N8</stp>
        <stp>Ask Qty</stp>
        <tr r="G528" s="1"/>
      </tp>
      <tp>
        <v>1</v>
        <stp/>
        <stp>bse_cm|1119NFL27</stp>
        <stp>Bid Qty</stp>
        <tr r="D1140" s="1"/>
      </tp>
      <tp>
        <v>200</v>
        <stp/>
        <stp>nse_cm|10CAGL27-N5</stp>
        <stp>Volume Traded Today</stp>
        <tr r="L273" s="1"/>
      </tp>
      <tp>
        <v>0</v>
        <stp/>
        <stp>nse_cm|850SCL25-YL</stp>
        <stp xml:space="preserve">Low </stp>
        <tr r="O922" s="1"/>
      </tp>
      <tp>
        <v>836</v>
        <stp/>
        <stp>bse_cm|825MFL29</stp>
        <stp>High</stp>
        <tr r="N473" s="1"/>
      </tp>
      <tp>
        <v>955</v>
        <stp/>
        <stp>bse_cm|935MFL29</stp>
        <stp>High</stp>
        <tr r="N238" s="1"/>
      </tp>
      <tp>
        <v>980</v>
        <stp/>
        <stp>bse_cm|975MFL29</stp>
        <stp>High</stp>
        <tr r="N683" s="1"/>
      </tp>
      <tp>
        <v>849.4</v>
        <stp/>
        <stp>bse_cm|843SCL27</stp>
        <stp xml:space="preserve">Low </stp>
        <tr r="O928" s="1"/>
      </tp>
      <tp>
        <v>947.58</v>
        <stp/>
        <stp>bse_cm|875MFL28</stp>
        <stp>High</stp>
        <tr r="N689" s="1"/>
      </tp>
      <tp>
        <v>974</v>
        <stp/>
        <stp>bse_cm|905MFL28</stp>
        <stp>High</stp>
        <tr r="N207" s="1"/>
      </tp>
      <tp>
        <v>911.1</v>
        <stp/>
        <stp>bse_cm|915MFL28</stp>
        <stp>High</stp>
        <tr r="N283" s="1"/>
      </tp>
      <tp>
        <v>994.99</v>
        <stp/>
        <stp>bse_cm|785MFL28</stp>
        <stp>High</stp>
        <tr r="N439" s="1"/>
      </tp>
      <tp>
        <v>1082</v>
        <stp/>
        <stp>bse_cm|935LTF29</stp>
        <stp>High</stp>
        <tr r="N396" s="1"/>
      </tp>
      <tp>
        <v>1008.99</v>
        <stp/>
        <stp>bse_cm|965AEL27</stp>
        <stp>High</stp>
        <tr r="N370" s="1"/>
      </tp>
      <tp>
        <v>20</v>
        <stp/>
        <stp>nse_cm|875SCFL27-Y9</stp>
        <stp>Bid Qty</stp>
        <tr r="D927" s="1"/>
      </tp>
      <tp>
        <v>1000.5</v>
        <stp/>
        <stp>bse_cm|925AEL26</stp>
        <stp>High</stp>
        <tr r="N335" s="1"/>
      </tp>
      <tp>
        <v>0</v>
        <stp/>
        <stp>bse_cm|833SCL24</stp>
        <stp xml:space="preserve">Low </stp>
        <tr r="O1180" s="1"/>
      </tp>
      <tp>
        <v>0</v>
        <stp/>
        <stp>bse_cm|772IGT31</stp>
        <stp xml:space="preserve">Low </stp>
        <tr r="O1194" s="1"/>
      </tp>
      <tp>
        <v>951</v>
        <stp/>
        <stp>bse_cm|903ONE26</stp>
        <stp xml:space="preserve">Low </stp>
        <tr r="O843" s="1"/>
      </tp>
      <tp>
        <v>0</v>
        <stp/>
        <stp>bse_cm|925SCL29</stp>
        <stp>High</stp>
        <tr r="N820" s="1"/>
      </tp>
      <tp>
        <v>0</v>
        <stp/>
        <stp>bse_cm|965SCL29</stp>
        <stp>High</stp>
        <tr r="N816" s="1"/>
      </tp>
      <tp>
        <v>0</v>
        <stp/>
        <stp>nse_cm|843SCFL27-YB</stp>
        <stp>Ask Qty</stp>
        <tr r="G929" s="1"/>
      </tp>
      <tp>
        <v>0</v>
        <stp/>
        <stp>bse_cm|KAFLZC30</stp>
        <stp>ATP</stp>
        <tr r="K1314" s="1"/>
      </tp>
      <tp>
        <v>0</v>
        <stp/>
        <stp>bse_cm|925SCL28</stp>
        <stp>High</stp>
        <tr r="N940" s="1"/>
      </tp>
      <tp>
        <v>994.8</v>
        <stp/>
        <stp>bse_cm|935SCL28</stp>
        <stp>High</stp>
        <tr r="N284" s="1"/>
      </tp>
      <tp>
        <v>807.5</v>
        <stp/>
        <stp>bse_cm|965SCL28</stp>
        <stp>High</stp>
        <tr r="N1138" s="1"/>
      </tp>
      <tp>
        <v>970</v>
        <stp/>
        <stp>bse_cm|975SCL28</stp>
        <stp>High</stp>
        <tr r="N1485" s="1"/>
      </tp>
      <tp>
        <v>0</v>
        <stp/>
        <stp>bse_cm|KAFLZC26</stp>
        <stp>ATP</stp>
        <tr r="K1316" s="1"/>
      </tp>
      <tp>
        <v>0</v>
        <stp/>
        <stp>bse_cm|IIFLHF29</stp>
        <stp>LTP</stp>
        <tr r="H1631" s="1"/>
      </tp>
      <tp>
        <v>0</v>
        <stp/>
        <stp>bse_cm|KAFLZC28</stp>
        <stp>ATP</stp>
        <tr r="K1315" s="1"/>
      </tp>
      <tp t="s">
        <v>00:00:00</v>
        <stp/>
        <stp>bse_cm|IIFLHF29</stp>
        <stp>LTT</stp>
        <tr r="I1631" s="1"/>
      </tp>
      <tp>
        <v>0</v>
        <stp/>
        <stp>bse_cm|10KFL28A</stp>
        <stp>ATP</stp>
        <tr r="K1423" s="1"/>
      </tp>
      <tp>
        <v>1140</v>
        <stp/>
        <stp>bse_cm|749IREDA31</stp>
        <stp>Prev Close</stp>
        <tr r="P568" s="1"/>
      </tp>
      <tp>
        <v>940</v>
        <stp/>
        <stp>bse_cm|943ECL28</stp>
        <stp xml:space="preserve">Low </stp>
        <tr r="O124" s="1"/>
      </tp>
      <tp>
        <v>1</v>
        <stp/>
        <stp>nse_cm|925SFCL25-AC</stp>
        <stp>Bid Qty</stp>
        <tr r="D604" s="1"/>
      </tp>
      <tp>
        <v>15</v>
        <stp/>
        <stp>nse_cm|957NIDO26-N5</stp>
        <stp>Bid Qty</stp>
        <tr r="D255" s="1"/>
      </tp>
      <tp>
        <v>0</v>
        <stp/>
        <stp>bse_cm|10KFL24D</stp>
        <stp>ATP</stp>
        <tr r="K1424" s="1"/>
      </tp>
      <tp>
        <v>0</v>
        <stp/>
        <stp>bse_cm|SFL270224</stp>
        <stp>Ask Qty</stp>
        <tr r="G808" s="1"/>
      </tp>
      <tp t="s">
        <v>00:00:00</v>
        <stp/>
        <stp>bse_cm|MFLVII27</stp>
        <stp>LTT</stp>
        <tr r="I1397" s="1"/>
      </tp>
      <tp t="s">
        <v>00:00:00</v>
        <stp/>
        <stp>bse_cm|MFLTDI25</stp>
        <stp>LTT</stp>
        <tr r="I1476" s="1"/>
      </tp>
      <tp>
        <v>0</v>
        <stp/>
        <stp>bse_cm|MFLVII27</stp>
        <stp>LTP</stp>
        <tr r="H1397" s="1"/>
      </tp>
      <tp>
        <v>0</v>
        <stp/>
        <stp>bse_cm|MFLTDI25</stp>
        <stp>LTP</stp>
        <tr r="H1476" s="1"/>
      </tp>
      <tp>
        <v>0</v>
        <stp/>
        <stp>bse_cm|MFLIII25</stp>
        <stp>LTP</stp>
        <tr r="H1501" s="1"/>
      </tp>
      <tp>
        <v>9</v>
        <stp/>
        <stp>nse_cm|875IIFL26-NM</stp>
        <stp>Bid Qty</stp>
        <tr r="D640" s="1"/>
      </tp>
      <tp t="s">
        <v>00:00:00</v>
        <stp/>
        <stp>bse_cm|MFLIII25</stp>
        <stp>LTT</stp>
        <tr r="I1501" s="1"/>
      </tp>
      <tp t="s">
        <v>965SCL29-YX</v>
        <stp/>
        <stp>nse_cm|965SCL29-YX</stp>
        <stp>Trading Symbol</stp>
        <tr r="B847" s="1"/>
      </tp>
      <tp t="s">
        <v>971SCL29-Z0</v>
        <stp/>
        <stp>nse_cm|971SCL29-Z0</stp>
        <stp>Trading Symbol</stp>
        <tr r="B681" s="1"/>
      </tp>
      <tp t="s">
        <v>925SCL29-YZ</v>
        <stp/>
        <stp>nse_cm|925SCL29-YZ</stp>
        <stp>Trading Symbol</stp>
        <tr r="B851" s="1"/>
      </tp>
      <tp>
        <v>81</v>
        <stp/>
        <stp>nse_cm|875IHFL29-ND</stp>
        <stp>Bid Qty</stp>
        <tr r="D77" s="1"/>
      </tp>
      <tp>
        <v>10</v>
        <stp/>
        <stp>nse_cm|DLSL25-NW</stp>
        <stp>Ask Qty</stp>
        <tr r="G1745" s="1"/>
      </tp>
      <tp>
        <v>1126.6099999999999</v>
        <stp/>
        <stp>bse_cm|734REC30</stp>
        <stp>High</stp>
        <tr r="N524" s="1"/>
      </tp>
      <tp>
        <v>0</v>
        <stp/>
        <stp>bse_cm|KAF080824</stp>
        <stp>Ask Qty</stp>
        <tr r="G1322" s="1"/>
      </tp>
      <tp t="s">
        <v>NSE</v>
        <stp/>
        <stp>nse_cm|10SCL31A-ZO</stp>
        <stp>Exchange</stp>
        <tr r="C864" s="1"/>
      </tp>
      <tp>
        <v>820</v>
        <stp/>
        <stp>bse_cm|1015SCL28A</stp>
        <stp>Prev Close</stp>
        <tr r="P1386" s="1"/>
      </tp>
      <tp>
        <v>814</v>
        <stp/>
        <stp>bse_cm|1015SCL28B</stp>
        <stp>Prev Close</stp>
        <tr r="P1178" s="1"/>
      </tp>
      <tp>
        <v>628</v>
        <stp/>
        <stp>bse_cm|965VCL25</stp>
        <stp>High</stp>
        <tr r="N1543" s="1"/>
      </tp>
      <tp>
        <v>0</v>
        <stp/>
        <stp>bse_cm|10KFL27A</stp>
        <stp>ATP</stp>
        <tr r="K1092" s="1"/>
      </tp>
      <tp>
        <v>0</v>
        <stp/>
        <stp>nse_cm|925SCFL27-YA</stp>
        <stp>% Change</stp>
        <tr r="J113" s="1"/>
      </tp>
      <tp>
        <v>0</v>
        <stp/>
        <stp>bse_cm|IML160224</stp>
        <stp>Ask Qty</stp>
        <tr r="G1329" s="1"/>
      </tp>
      <tp>
        <v>350</v>
        <stp/>
        <stp>nse_cm|960CAGL25-N3</stp>
        <stp>Bid Qty</stp>
        <tr r="D305" s="1"/>
      </tp>
      <tp>
        <v>1014</v>
        <stp/>
        <stp>bse_cm|875SFL27</stp>
        <stp>High</stp>
        <tr r="N578" s="1"/>
      </tp>
      <tp>
        <v>1143.3</v>
        <stp/>
        <stp>bse_cm|925SFL27</stp>
        <stp>High</stp>
        <tr r="N849" s="1"/>
      </tp>
      <tp>
        <v>947.75</v>
        <stp/>
        <stp>bse_cm|925SCL27</stp>
        <stp>High</stp>
        <tr r="N1414" s="1"/>
      </tp>
      <tp>
        <v>0</v>
        <stp/>
        <stp>bse_cm|905SCL27</stp>
        <stp>High</stp>
        <tr r="N976" s="1"/>
      </tp>
      <tp>
        <v>814</v>
        <stp/>
        <stp>bse_cm|915SCL27</stp>
        <stp>High</stp>
        <tr r="N1127" s="1"/>
      </tp>
      <tp>
        <v>970</v>
        <stp/>
        <stp>bse_cm|955SCL27</stp>
        <stp>High</stp>
        <tr r="N621" s="1"/>
      </tp>
      <tp>
        <v>0</v>
        <stp/>
        <stp>bse_cm|875SCL27</stp>
        <stp>High</stp>
        <tr r="N722" s="1"/>
      </tp>
      <tp>
        <v>0</v>
        <stp/>
        <stp>nse_cm|925SCL28-AM</stp>
        <stp>Open</stp>
        <tr r="M939" s="1"/>
      </tp>
      <tp>
        <v>200</v>
        <stp/>
        <stp>bse_cm|MML11924C</stp>
        <stp>Ask Qty</stp>
        <tr r="G1623" s="1"/>
      </tp>
      <tp>
        <v>0</v>
        <stp/>
        <stp>bse_cm|MML11924B</stp>
        <stp>Ask Qty</stp>
        <tr r="G1255" s="1"/>
      </tp>
      <tp>
        <v>0</v>
        <stp/>
        <stp>bse_cm|MML11924A</stp>
        <stp>Ask Qty</stp>
        <tr r="G1256" s="1"/>
      </tp>
      <tp>
        <v>0</v>
        <stp/>
        <stp>bse_cm|IFL19424A</stp>
        <stp>Ask Qty</stp>
        <tr r="G1419" s="1"/>
      </tp>
      <tp>
        <v>1178.4000000000001</v>
        <stp/>
        <stp>bse_cm|925SFL26</stp>
        <stp>High</stp>
        <tr r="N850" s="1"/>
      </tp>
      <tp>
        <v>0</v>
        <stp/>
        <stp>bse_cm|925SCL26</stp>
        <stp>High</stp>
        <tr r="N913" s="1"/>
      </tp>
      <tp>
        <v>969</v>
        <stp/>
        <stp>bse_cm|915SCL26</stp>
        <stp>High</stp>
        <tr r="N148" s="1"/>
      </tp>
      <tp>
        <v>1009.8</v>
        <stp/>
        <stp>bse_cm|965SCL26</stp>
        <stp>High</stp>
        <tr r="N665" s="1"/>
      </tp>
      <tp>
        <v>944.2</v>
        <stp/>
        <stp>bse_cm|885SCL26</stp>
        <stp>High</stp>
        <tr r="N57" s="1"/>
      </tp>
      <tp>
        <v>965</v>
        <stp/>
        <stp>bse_cm|865SCL26</stp>
        <stp>High</stp>
        <tr r="N627" s="1"/>
      </tp>
      <tp>
        <v>0</v>
        <stp/>
        <stp>bse_cm|MML27524A</stp>
        <stp>Ask Qty</stp>
        <tr r="G1250" s="1"/>
      </tp>
      <tp>
        <v>0</v>
        <stp/>
        <stp>bse_cm|875SFL25</stp>
        <stp>High</stp>
        <tr r="N936" s="1"/>
      </tp>
      <tp>
        <v>1060.01</v>
        <stp/>
        <stp>bse_cm|905PEL26</stp>
        <stp>High</stp>
        <tr r="N1518" s="1"/>
      </tp>
      <tp>
        <v>1002.45</v>
        <stp/>
        <stp>bse_cm|925SCL25</stp>
        <stp>High</stp>
        <tr r="N104" s="1"/>
      </tp>
      <tp>
        <v>0</v>
        <stp/>
        <stp>bse_cm|905SCL25</stp>
        <stp>High</stp>
        <tr r="N1060" s="1"/>
      </tp>
      <tp>
        <v>1123</v>
        <stp/>
        <stp>bse_cm|965SCL25</stp>
        <stp>High</stp>
        <tr r="N1105" s="1"/>
      </tp>
      <tp>
        <v>710.1</v>
        <stp/>
        <stp>bse_cm|955SCL25</stp>
        <stp>High</stp>
        <tr r="N1128" s="1"/>
      </tp>
      <tp>
        <v>1079</v>
        <stp/>
        <stp>bse_cm|10MFL24B</stp>
        <stp>ATP</stp>
        <tr r="K185" s="1"/>
      </tp>
      <tp>
        <v>0</v>
        <stp/>
        <stp>nse_cm|738REC27TF-N2</stp>
        <stp>Volume Traded Today</stp>
        <tr r="L514" s="1"/>
      </tp>
      <tp t="s">
        <v>871REC28-N9</v>
        <stp/>
        <stp>nse_cm|871REC28-N9</stp>
        <stp>Trading Symbol</stp>
        <tr r="B542" s="1"/>
      </tp>
      <tp t="s">
        <v>846REC28-N6</v>
        <stp/>
        <stp>nse_cm|846REC28-N6</stp>
        <stp>Trading Symbol</stp>
        <tr r="B548" s="1"/>
      </tp>
      <tp>
        <v>61</v>
        <stp/>
        <stp>bse_cm|1025SCL34</stp>
        <stp>Ask Qty</stp>
        <tr r="G129" s="1"/>
      </tp>
      <tp>
        <v>0</v>
        <stp/>
        <stp>bse_cm|1025SCL33</stp>
        <stp>Ask Qty</stp>
        <tr r="G879" s="1"/>
      </tp>
      <tp>
        <v>0</v>
        <stp/>
        <stp>bse_cm|865SCL24</stp>
        <stp>High</stp>
        <tr r="N1165" s="1"/>
      </tp>
      <tp>
        <v>0</v>
        <stp/>
        <stp>bse_cm|1025SFL29</stp>
        <stp>Ask Qty</stp>
        <tr r="G1446" s="1"/>
      </tp>
      <tp>
        <v>35</v>
        <stp/>
        <stp>bse_cm|1025SFL28</stp>
        <stp>Ask Qty</stp>
        <tr r="G100" s="1"/>
      </tp>
      <tp>
        <v>0</v>
        <stp/>
        <stp>bse_cm|1025SFL25</stp>
        <stp>Ask Qty</stp>
        <tr r="G1071" s="1"/>
      </tp>
      <tp>
        <v>0</v>
        <stp/>
        <stp>bse_cm|1025UCL27</stp>
        <stp>Ask Qty</stp>
        <tr r="G1019" s="1"/>
      </tp>
      <tp>
        <v>31</v>
        <stp/>
        <stp>bse_cm|1025UCL25</stp>
        <stp>Ask Qty</stp>
        <tr r="G326" s="1"/>
      </tp>
      <tp>
        <v>0</v>
        <stp/>
        <stp>bse_cm|1225IFL27</stp>
        <stp>Ask Qty</stp>
        <tr r="G1216" s="1"/>
      </tp>
      <tp>
        <v>0</v>
        <stp/>
        <stp>bse_cm|1025KFL25</stp>
        <stp>Ask Qty</stp>
        <tr r="G638" s="1"/>
      </tp>
      <tp>
        <v>0</v>
        <stp/>
        <stp>bse_cm|1025KFL27</stp>
        <stp>Ask Qty</stp>
        <tr r="G767" s="1"/>
      </tp>
      <tp>
        <v>0</v>
        <stp/>
        <stp>bse_cm|1025KFL26</stp>
        <stp>Ask Qty</stp>
        <tr r="G768" s="1"/>
      </tp>
      <tp>
        <v>0</v>
        <stp/>
        <stp>bse_cm|1125MML27</stp>
        <stp>Ask Qty</stp>
        <tr r="G592" s="1"/>
      </tp>
      <tp>
        <v>0</v>
        <stp/>
        <stp>bse_cm|1025MML26</stp>
        <stp>Ask Qty</stp>
        <tr r="G765" s="1"/>
      </tp>
      <tp>
        <v>0</v>
        <stp/>
        <stp>bse_cm|1025NFL25</stp>
        <stp>Ask Qty</stp>
        <tr r="G624" s="1"/>
      </tp>
      <tp>
        <v>0</v>
        <stp/>
        <stp>bse_cm|1025MML25</stp>
        <stp>Ask Qty</stp>
        <tr r="G766" s="1"/>
      </tp>
      <tp>
        <v>0</v>
        <stp/>
        <stp>bse_cm|1075CCI26</stp>
        <stp>Ask Qty</stp>
        <tr r="G1425" s="1"/>
      </tp>
      <tp>
        <v>100</v>
        <stp/>
        <stp>bse_cm|1025KFL29</stp>
        <stp>Ask Qty</stp>
        <tr r="G196" s="1"/>
      </tp>
      <tp>
        <v>0</v>
        <stp/>
        <stp>bse_cm|1025KFL28</stp>
        <stp>Ask Qty</stp>
        <tr r="G626" s="1"/>
      </tp>
      <tp t="s">
        <v>BSE</v>
        <stp/>
        <stp>bse_cm|92ICCL28</stp>
        <stp>Exchange</stp>
        <tr r="C202" s="1"/>
      </tp>
      <tp t="s">
        <v>BSE</v>
        <stp/>
        <stp>bse_cm|CCILZC26</stp>
        <stp>Exchange</stp>
        <tr r="C748" s="1"/>
      </tp>
      <tp>
        <v>500</v>
        <stp/>
        <stp>bse_cm|682PFCL31</stp>
        <stp>Bid Qty</stp>
        <tr r="D433" s="1"/>
      </tp>
      <tp>
        <v>180</v>
        <stp/>
        <stp>bse_cm|MFLVII25G</stp>
        <stp>Bid Qty</stp>
        <tr r="D1729" s="1"/>
      </tp>
      <tp t="s">
        <v>BSE</v>
        <stp/>
        <stp>bse_cm|CCILZC25</stp>
        <stp>Exchange</stp>
        <tr r="C1376" s="1"/>
      </tp>
      <tp>
        <v>2080</v>
        <stp/>
        <stp>nse_cm|NIDOZC26-N7</stp>
        <stp>Bid Rate</stp>
        <tr r="E28" s="1"/>
      </tp>
      <tp>
        <v>0</v>
        <stp/>
        <stp>nse_cm|866SCFL25-Y8</stp>
        <stp>% Change</stp>
        <tr r="J158" s="1"/>
      </tp>
      <tp>
        <v>6620</v>
        <stp/>
        <stp>nse_cm|901NHB34-N6</stp>
        <stp>Open</stp>
        <tr r="M520" s="1"/>
      </tp>
      <tp>
        <v>1022</v>
        <stp/>
        <stp>nse_cm|931SFL26-Z5</stp>
        <stp>High</stp>
        <tr r="N519" s="1"/>
      </tp>
      <tp t="s">
        <v>BSE</v>
        <stp/>
        <stp>bse_cm|CCILZC24</stp>
        <stp>Exchange</stp>
        <tr r="C750" s="1"/>
      </tp>
      <tp>
        <v>1</v>
        <stp/>
        <stp>bse_cm|921ISFL25</stp>
        <stp>Ask Qty</stp>
        <tr r="G350" s="1"/>
      </tp>
      <tp>
        <v>0</v>
        <stp/>
        <stp>nse_cm|93SCL24A-ZN</stp>
        <stp>Volume Traded Today</stp>
        <tr r="L695" s="1"/>
      </tp>
      <tp>
        <v>0</v>
        <stp/>
        <stp>bse_cm|704NHAI26</stp>
        <stp>Ask Qty</stp>
        <tr r="G1204" s="1"/>
      </tp>
      <tp>
        <v>197</v>
        <stp/>
        <stp>bse_cm|714NHAI26</stp>
        <stp>Ask Qty</stp>
        <tr r="G1662" s="1"/>
      </tp>
      <tp>
        <v>985</v>
        <stp/>
        <stp>bse_cm|1075CCIL25</stp>
        <stp>Prev Close</stp>
        <tr r="P1121" s="1"/>
      </tp>
      <tp>
        <v>955</v>
        <stp/>
        <stp>bse_cm|1075CCIL26</stp>
        <stp>Prev Close</stp>
        <tr r="P1120" s="1"/>
      </tp>
      <tp t="s">
        <v/>
        <stp/>
        <stp>nse_cm|795IGT31-NI</stp>
        <stp>LTT</stp>
        <tr r="I1185" s="1"/>
      </tp>
      <tp>
        <v>1015.99</v>
        <stp/>
        <stp>nse_cm|797IGT31-NL</stp>
        <stp>LTP</stp>
        <tr r="H374" s="1"/>
      </tp>
      <tp>
        <v>0</v>
        <stp/>
        <stp>nse_cm|795IGT31-NI</stp>
        <stp>LTP</stp>
        <tr r="H1185" s="1"/>
      </tp>
      <tp t="s">
        <v/>
        <stp/>
        <stp>nse_cm|797IGT31-NL</stp>
        <stp>LTT</stp>
        <tr r="I374" s="1"/>
      </tp>
      <tp t="s">
        <v>BSE</v>
        <stp/>
        <stp>bse_cm|85IIFL25</stp>
        <stp>Exchange</stp>
        <tr r="C134" s="1"/>
      </tp>
      <tp t="s">
        <v/>
        <stp/>
        <stp>nse_cm|745IGT26-NC</stp>
        <stp>LTT</stp>
        <tr r="I1201" s="1"/>
      </tp>
      <tp>
        <v>0</v>
        <stp/>
        <stp>nse_cm|745IGT26-NC</stp>
        <stp>LTP</stp>
        <tr r="H1201" s="1"/>
      </tp>
      <tp t="s">
        <v/>
        <stp/>
        <stp>nse_cm|749IGT28-NG</stp>
        <stp>LTT</stp>
        <tr r="I1197" s="1"/>
      </tp>
      <tp t="s">
        <v>BSE</v>
        <stp/>
        <stp>bse_cm|94IFCI25</stp>
        <stp>Exchange</stp>
        <tr r="C228" s="1"/>
      </tp>
      <tp>
        <v>0</v>
        <stp/>
        <stp>nse_cm|749IGT28-NG</stp>
        <stp>LTP</stp>
        <tr r="H1197" s="1"/>
      </tp>
      <tp>
        <v>1000</v>
        <stp/>
        <stp>nse_cm|875TCAPS29-NB</stp>
        <stp>Face Value</stp>
        <tr r="Q934" s="1"/>
      </tp>
      <tp>
        <v>-100</v>
        <stp/>
        <stp>nse_cm|1050SCL31-ZP</stp>
        <stp>% Change</stp>
        <tr r="J891" s="1"/>
      </tp>
      <tp t="s">
        <v>BSE</v>
        <stp/>
        <stp>bse_cm|99IFCI24</stp>
        <stp>Exchange</stp>
        <tr r="C41" s="1"/>
      </tp>
      <tp>
        <v>970</v>
        <stp/>
        <stp>nse_cm|769IGT28-NH</stp>
        <stp>LTP</stp>
        <tr r="H1487" s="1"/>
      </tp>
      <tp t="s">
        <v>BSE</v>
        <stp/>
        <stp>bse_cm|10IIFL28</stp>
        <stp>Exchange</stp>
        <tr r="C68" s="1"/>
      </tp>
      <tp t="s">
        <v/>
        <stp/>
        <stp>nse_cm|769IGT28-NH</stp>
        <stp>LTT</stp>
        <tr r="I1487" s="1"/>
      </tp>
      <tp t="s">
        <v>BSE</v>
        <stp/>
        <stp>bse_cm|96IIFL28</stp>
        <stp>Exchange</stp>
        <tr r="C118" s="1"/>
      </tp>
      <tp t="s">
        <v>BSE</v>
        <stp/>
        <stp>bse_cm|10IIFL29</stp>
        <stp>Exchange</stp>
        <tr r="C307" s="1"/>
      </tp>
      <tp>
        <v>0</v>
        <stp/>
        <stp>nse_cm|772IGT31-NK</stp>
        <stp>LTP</stp>
        <tr r="H1193" s="1"/>
      </tp>
      <tp t="s">
        <v/>
        <stp/>
        <stp>nse_cm|772IGT31-NK</stp>
        <stp>LTT</stp>
        <tr r="I1193" s="1"/>
      </tp>
      <tp t="s">
        <v>BSE</v>
        <stp/>
        <stp>bse_cm|10IFSL26</stp>
        <stp>Exchange</stp>
        <tr r="C428" s="1"/>
      </tp>
      <tp>
        <v>1000</v>
        <stp/>
        <stp>bse_cm|SCL22</stp>
        <stp>Face Value</stp>
        <tr r="Q1239" s="1"/>
      </tp>
      <tp>
        <v>1000</v>
        <stp/>
        <stp>bse_cm|SCL24</stp>
        <stp>Face Value</stp>
        <tr r="Q1377" s="1"/>
      </tp>
      <tp>
        <v>1000</v>
        <stp/>
        <stp>bse_cm|SCL25</stp>
        <stp>Face Value</stp>
        <tr r="Q1234" s="1"/>
      </tp>
      <tp>
        <v>0</v>
        <stp/>
        <stp>bse_cm|8MFLTD26</stp>
        <stp>Volume Traded Today</stp>
        <tr r="L321" s="1"/>
      </tp>
      <tp>
        <v>0</v>
        <stp/>
        <stp>bse_cm|8MFLTD28</stp>
        <stp>Volume Traded Today</stp>
        <tr r="L366" s="1"/>
      </tp>
      <tp t="s">
        <v>BSE</v>
        <stp/>
        <stp>bse_cm|12ICFL25</stp>
        <stp>Exchange</stp>
        <tr r="C1213" s="1"/>
      </tp>
      <tp t="s">
        <v>BSE</v>
        <stp/>
        <stp>bse_cm|CCILZC29</stp>
        <stp>Exchange</stp>
        <tr r="C747" s="1"/>
      </tp>
      <tp t="s">
        <v>BSE</v>
        <stp/>
        <stp>bse_cm|98ICCL26</stp>
        <stp>Exchange</stp>
        <tr r="C1412" s="1"/>
      </tp>
      <tp>
        <v>1005.18</v>
        <stp/>
        <stp>bse_cm|1225ICLF26</stp>
        <stp>Prev Close</stp>
        <tr r="P1217" s="1"/>
      </tp>
      <tp>
        <v>10</v>
        <stp/>
        <stp>bse_cm|101EFSL28</stp>
        <stp>Ask Qty</stp>
        <tr r="G211" s="1"/>
      </tp>
      <tp>
        <v>1035</v>
        <stp/>
        <stp>bse_cm|9MMFSL26</stp>
        <stp>Ask Rate</stp>
        <tr r="F334" s="1"/>
      </tp>
      <tp>
        <v>0</v>
        <stp/>
        <stp>nse_cm|84TCHF28-NA</stp>
        <stp>Open</stp>
        <tr r="M402" s="1"/>
      </tp>
      <tp t="s">
        <v/>
        <stp/>
        <stp>nse_cm|888NHB29-N5</stp>
        <stp>LTT</stp>
        <tr r="I504" s="1"/>
      </tp>
      <tp>
        <v>5747.01</v>
        <stp/>
        <stp>nse_cm|888NHB29-N5</stp>
        <stp>LTP</stp>
        <tr r="H504" s="1"/>
      </tp>
      <tp>
        <v>0</v>
        <stp/>
        <stp>nse_cm|96SFL24A-NB</stp>
        <stp>Volume Traded Today</stp>
        <tr r="L162" s="1"/>
      </tp>
      <tp t="s">
        <v/>
        <stp/>
        <stp>nse_cm|893NHB29-N6</stp>
        <stp>LTT</stp>
        <tr r="I529" s="1"/>
      </tp>
      <tp t="s">
        <v/>
        <stp/>
        <stp>nse_cm|890NHB34-N7</stp>
        <stp>LTT</stp>
        <tr r="I537" s="1"/>
      </tp>
      <tp>
        <v>5950</v>
        <stp/>
        <stp>nse_cm|893NHB29-N6</stp>
        <stp>LTP</stp>
        <tr r="H529" s="1"/>
      </tp>
      <tp>
        <v>6000</v>
        <stp/>
        <stp>nse_cm|890NHB34-N7</stp>
        <stp>LTP</stp>
        <tr r="H537" s="1"/>
      </tp>
      <tp>
        <v>0</v>
        <stp/>
        <stp>nse_cm|957SCL31-Z3</stp>
        <stp xml:space="preserve">Low </stp>
        <tr r="O874" s="1"/>
      </tp>
      <tp>
        <v>0</v>
        <stp/>
        <stp>nse_cm|886REC34-NG</stp>
        <stp>ATP</stp>
        <tr r="K536" s="1"/>
      </tp>
      <tp>
        <v>0</v>
        <stp/>
        <stp>nse_cm|888REC29-NF</stp>
        <stp>ATP</stp>
        <tr r="K522" s="1"/>
      </tp>
      <tp>
        <v>0</v>
        <stp/>
        <stp>nse_cm|97SFL26A-NC</stp>
        <stp>Volume Traded Today</stp>
        <tr r="L784" s="1"/>
      </tp>
      <tp>
        <v>960</v>
        <stp/>
        <stp>nse_cm|955SCL27-Z5</stp>
        <stp xml:space="preserve">Low </stp>
        <tr r="O949" s="1"/>
      </tp>
      <tp>
        <v>0</v>
        <stp/>
        <stp>bse_cm|KFL25D</stp>
        <stp>Open</stp>
        <tr r="M1688" s="1"/>
      </tp>
      <tp>
        <v>30</v>
        <stp/>
        <stp>bse_cm|842IIFL26</stp>
        <stp>Bid Qty</stp>
        <tr r="D181" s="1"/>
      </tp>
      <tp>
        <v>0</v>
        <stp/>
        <stp>bse_cm|10MMFL27</stp>
        <stp>Ask Rate</stp>
        <tr r="F1090" s="1"/>
      </tp>
      <tp t="s">
        <v/>
        <stp/>
        <stp>nse_cm|84TCHF28-NA</stp>
        <stp>LTT</stp>
        <tr r="I402" s="1"/>
      </tp>
      <tp>
        <v>1070.1199999999999</v>
        <stp/>
        <stp>nse_cm|84TCHF28-NA</stp>
        <stp>LTP</stp>
        <tr r="H402" s="1"/>
      </tp>
      <tp>
        <v>0</v>
        <stp/>
        <stp>nse_cm|812REC27-NI</stp>
        <stp>ATP</stp>
        <tr r="K462" s="1"/>
      </tp>
      <tp>
        <v>1150</v>
        <stp/>
        <stp>bse_cm|SCL24A</stp>
        <stp>High</stp>
        <tr r="N1749" s="1"/>
      </tp>
      <tp>
        <v>6570</v>
        <stp/>
        <stp>nse_cm|865NHB34-N4</stp>
        <stp>LTP</stp>
        <tr r="H1166" s="1"/>
      </tp>
      <tp t="s">
        <v/>
        <stp/>
        <stp>nse_cm|865NHB34-N4</stp>
        <stp>LTT</stp>
        <tr r="I1166" s="1"/>
      </tp>
      <tp>
        <v>0</v>
        <stp/>
        <stp>nse_cm|871REC28-N9</stp>
        <stp>ATP</stp>
        <tr r="K542" s="1"/>
      </tp>
      <tp>
        <v>5885</v>
        <stp/>
        <stp>nse_cm|868NHB29-N3</stp>
        <stp>LTP</stp>
        <tr r="H1342" s="1"/>
      </tp>
      <tp t="s">
        <v/>
        <stp/>
        <stp>nse_cm|868NHB29-N3</stp>
        <stp>LTT</stp>
        <tr r="I1342" s="1"/>
      </tp>
      <tp>
        <v>0</v>
        <stp/>
        <stp>nse_cm|82TCHF25-N5</stp>
        <stp>LTP</stp>
        <tr r="H1014" s="1"/>
      </tp>
      <tp t="s">
        <v/>
        <stp/>
        <stp>nse_cm|82TCHF25-N5</stp>
        <stp>LTT</stp>
        <tr r="I1014" s="1"/>
      </tp>
      <tp>
        <v>0</v>
        <stp/>
        <stp>bse_cm|KFL25A</stp>
        <stp>Open</stp>
        <tr r="M1703" s="1"/>
      </tp>
      <tp>
        <v>0</v>
        <stp/>
        <stp>bse_cm|MFL23A</stp>
        <stp>Open</stp>
        <tr r="M1560" s="1"/>
      </tp>
      <tp>
        <v>0</v>
        <stp/>
        <stp>nse_cm|SCL310524-ZF</stp>
        <stp>% Change</stp>
        <tr r="J593" s="1"/>
      </tp>
      <tp>
        <v>400</v>
        <stp/>
        <stp>nse_cm|82HUDCO27-N2</stp>
        <stp>Ask Qty</stp>
        <tr r="G532" s="1"/>
      </tp>
      <tp>
        <v>0</v>
        <stp/>
        <stp>nse_cm|863REC29-NC</stp>
        <stp>ATP</stp>
        <tr r="K1633" s="1"/>
      </tp>
      <tp>
        <v>0</v>
        <stp/>
        <stp>nse_cm|862REC33-NA</stp>
        <stp>ATP</stp>
        <tr r="K563" s="1"/>
      </tp>
      <tp>
        <v>0</v>
        <stp/>
        <stp>nse_cm|861REC34-ND</stp>
        <stp>ATP</stp>
        <tr r="K583" s="1"/>
      </tp>
      <tp>
        <v>1060</v>
        <stp/>
        <stp>nse_cm|83TCHF25-N6</stp>
        <stp>LTP</stp>
        <tr r="H472" s="1"/>
      </tp>
      <tp t="s">
        <v/>
        <stp/>
        <stp>nse_cm|83TCHF25-N6</stp>
        <stp>LTT</stp>
        <tr r="I472" s="1"/>
      </tp>
      <tp t="s">
        <v/>
        <stp/>
        <stp>nse_cm|83TCHF28-N9</stp>
        <stp>LTT</stp>
        <tr r="I831" s="1"/>
      </tp>
      <tp>
        <v>0</v>
        <stp/>
        <stp>nse_cm|83TCHF28-N9</stp>
        <stp>LTP</stp>
        <tr r="H831" s="1"/>
      </tp>
      <tp t="s">
        <v>BSE</v>
        <stp/>
        <stp>bse_cm|10ISFL26</stp>
        <stp>Exchange</stp>
        <tr r="C1509" s="1"/>
      </tp>
      <tp>
        <v>0</v>
        <stp/>
        <stp>bse_cm|KFL25C</stp>
        <stp>Open</stp>
        <tr r="M1307" s="1"/>
      </tp>
      <tp>
        <v>380</v>
        <stp/>
        <stp>bse_cm|MFLIII25C</stp>
        <stp>Bid Qty</stp>
        <tr r="D213" s="1"/>
      </tp>
      <tp>
        <v>0</v>
        <stp/>
        <stp>nse_cm|846REC28-N6</stp>
        <stp>ATP</stp>
        <tr r="K548" s="1"/>
      </tp>
      <tp t="s">
        <v/>
        <stp/>
        <stp>nse_cm|81TCHF28-N8</stp>
        <stp>LTT</stp>
        <tr r="I467" s="1"/>
      </tp>
      <tp>
        <v>1022</v>
        <stp/>
        <stp>nse_cm|81TCHF28-N8</stp>
        <stp>LTP</stp>
        <tr r="H467" s="1"/>
      </tp>
      <tp>
        <v>0</v>
        <stp/>
        <stp>bse_cm|KFL25B</stp>
        <stp>Open</stp>
        <tr r="M1308" s="1"/>
      </tp>
      <tp t="s">
        <v>925SCL26B-YQ</v>
        <stp/>
        <stp>nse_cm|925SCL26B-YQ</stp>
        <stp>Trading Symbol</stp>
        <tr r="B90" s="1"/>
      </tp>
      <tp t="s">
        <v>925SCL28B-YC</v>
        <stp/>
        <stp>nse_cm|925SCL28B-YC</stp>
        <stp>Trading Symbol</stp>
        <tr r="B825" s="1"/>
      </tp>
      <tp t="s">
        <v>925SCL25B-Y3</v>
        <stp/>
        <stp>nse_cm|925SCL25B-Y3</stp>
        <stp>Trading Symbol</stp>
        <tr r="B600" s="1"/>
      </tp>
      <tp t="s">
        <v>INE549K07EB4</v>
        <stp/>
        <stp>bse_cm|1010MFCL30</stp>
        <stp>Isin code</stp>
        <tr r="R285" s="1"/>
      </tp>
      <tp t="s">
        <v>INE651J07697</v>
        <stp/>
        <stp>bse_cm|981JMFCS28</stp>
        <stp>Isin code</stp>
        <tr r="R295" s="1"/>
      </tp>
      <tp>
        <v>1124.05</v>
        <stp/>
        <stp>nse_cm|876HUDCO28-ND</stp>
        <stp>Bid Rate</stp>
        <tr r="E509" s="1"/>
      </tp>
      <tp t="s">
        <v>INE01I507AC4</v>
        <stp/>
        <stp>bse_cm|1050KAFL27</stp>
        <stp>Isin code</stp>
        <tr r="R1160" s="1"/>
      </tp>
      <tp t="s">
        <v>INE01CY077E1</v>
        <stp/>
        <stp>bse_cm|125ICLFL28</stp>
        <stp>Isin code</stp>
        <tr r="R264" s="1"/>
      </tp>
      <tp>
        <v>1324</v>
        <stp/>
        <stp>nse_cm|901HUDCO34-NE</stp>
        <stp>Bid Rate</stp>
        <tr r="E517" s="1"/>
      </tp>
      <tp t="s">
        <v>965SCL28B-YB</v>
        <stp/>
        <stp>nse_cm|965SCL28B-YB</stp>
        <stp>Trading Symbol</stp>
        <tr r="B819" s="1"/>
      </tp>
      <tp t="s">
        <v>965SCL25B-Y1</v>
        <stp/>
        <stp>nse_cm|965SCL25B-Y1</stp>
        <stp>Trading Symbol</stp>
        <tr r="B1502" s="1"/>
      </tp>
      <tp t="s">
        <v>INE01I507976</v>
        <stp/>
        <stp>bse_cm|1025KAFL27</stp>
        <stp>Isin code</stp>
        <tr r="R769" s="1"/>
      </tp>
      <tp>
        <v>1077.1099999999999</v>
        <stp/>
        <stp>nse_cm|851HUDCO28-NB</stp>
        <stp>Bid Rate</stp>
        <tr r="E502" s="1"/>
      </tp>
      <tp t="s">
        <v>971SCL28B-YD</v>
        <stp/>
        <stp>nse_cm|971SCL28B-YD</stp>
        <stp>Trading Symbol</stp>
        <tr r="B828" s="1"/>
      </tp>
      <tp>
        <v>1149.0999999999999</v>
        <stp/>
        <stp>nse_cm|858HUDCO29-NC</stp>
        <stp>Bid Rate</stp>
        <tr r="E1636" s="1"/>
      </tp>
      <tp t="s">
        <v>940SCL26B-Y6</v>
        <stp/>
        <stp>nse_cm|940SCL26B-Y6</stp>
        <stp>Trading Symbol</stp>
        <tr r="B795" s="1"/>
      </tp>
      <tp t="s">
        <v>948SCL26B-Y8</v>
        <stp/>
        <stp>nse_cm|948SCL26B-Y8</stp>
        <stp>Trading Symbol</stp>
        <tr r="B159" s="1"/>
      </tp>
      <tp t="s">
        <v>INE148I07TB7</v>
        <stp/>
        <stp>bse_cm|SCFL310524</stp>
        <stp>Isin code</stp>
        <tr r="R1241" s="1"/>
      </tp>
      <tp t="s">
        <v>INE202E07211</v>
        <stp/>
        <stp>bse_cm|753IREDA26</stp>
        <stp>Isin code</stp>
        <tr r="R487" s="1"/>
      </tp>
      <tp>
        <v>0</v>
        <stp/>
        <stp>bse_cm|SFL270224A</stp>
        <stp>ATP</stp>
        <tr r="K807" s="1"/>
      </tp>
      <tp t="s">
        <v>INE261F07024</v>
        <stp/>
        <stp>bse_cm|729NABAR26</stp>
        <stp>Isin code</stp>
        <tr r="R540" s="1"/>
      </tp>
      <tp t="s">
        <v>INE051307AS2</v>
        <stp/>
        <stp>bse_cm|CCIL110324</stp>
        <stp>Isin code</stp>
        <tr r="R754" s="1"/>
      </tp>
      <tp t="s">
        <v>980SCL33B-YL</v>
        <stp/>
        <stp>nse_cm|980SCL33B-YL</stp>
        <stp>Trading Symbol</stp>
        <tr r="B837" s="1"/>
      </tp>
      <tp t="s">
        <v>INE027E07BB0</v>
        <stp/>
        <stp>nse_cm|85LTF26-NM</stp>
        <stp>Isin code</stp>
        <tr r="R365" s="1"/>
      </tp>
      <tp>
        <v>0</v>
        <stp/>
        <stp>bse_cm|1003SCL30A</stp>
        <stp>ATP</stp>
        <tr r="K875" s="1"/>
      </tp>
      <tp t="s">
        <v>INE031A07AR8</v>
        <stp/>
        <stp>bse_cm|739HUDCO31</stp>
        <stp>Isin code</stp>
        <tr r="R569" s="1"/>
      </tp>
      <tp t="s">
        <v>990SCL26B-Y7</v>
        <stp/>
        <stp>nse_cm|990SCL26B-Y7</stp>
        <stp>Trading Symbol</stp>
        <tr r="B798" s="1"/>
      </tp>
      <tp t="s">
        <v>INE051307AO1</v>
        <stp/>
        <stp>bse_cm|1050CCIL25</stp>
        <stp>Isin code</stp>
        <tr r="R2" s="1"/>
      </tp>
      <tp t="s">
        <v>INE413U07335</v>
        <stp/>
        <stp>bse_cm|960IIFLS26</stp>
        <stp>Isin code</stp>
        <tr r="R872" s="1"/>
      </tp>
      <tp t="s">
        <v>INE051307994</v>
        <stp/>
        <stp>bse_cm|1075CCIL25</stp>
        <stp>Isin code</stp>
        <tr r="R1121" s="1"/>
      </tp>
      <tp t="s">
        <v>INE01CY077N2</v>
        <stp/>
        <stp>bse_cm|IFL1942024</stp>
        <stp>Isin code</stp>
        <tr r="R1594" s="1"/>
      </tp>
      <tp>
        <v>0</v>
        <stp/>
        <stp>bse_cm|EFS290424A</stp>
        <stp>ATP</stp>
        <tr r="K571" s="1"/>
      </tp>
      <tp t="s">
        <v>9PEL25</v>
        <stp/>
        <stp>bse_cm|9PEL25</stp>
        <stp>Trading Symbol</stp>
        <tr r="B315" s="1"/>
      </tp>
      <tp>
        <v>0</v>
        <stp/>
        <stp>nse_cm|1003ISFL28-N4</stp>
        <stp>Open</stp>
        <tr r="M197" s="1"/>
      </tp>
      <tp>
        <v>0</v>
        <stp/>
        <stp>nse_cm|875TCAPS29-NB</stp>
        <stp>Bid Rate</stp>
        <tr r="E934" s="1"/>
      </tp>
      <tp>
        <v>1041</v>
        <stp/>
        <stp>nse_cm|885TCAPS29-NC</stp>
        <stp>Bid Rate</stp>
        <tr r="E13" s="1"/>
      </tp>
      <tp t="s">
        <v>INE721A07PN1</v>
        <stp/>
        <stp>nse_cm|91SFL27-ZI</stp>
        <stp>Isin code</stp>
        <tr r="R533" s="1"/>
      </tp>
      <tp t="s">
        <v>INE338I07164</v>
        <stp/>
        <stp>bse_cm|897MOFSL29</stp>
        <stp>Isin code</stp>
        <tr r="R332" s="1"/>
      </tp>
      <tp>
        <v>0</v>
        <stp/>
        <stp>bse_cm|104SMCGS29</stp>
        <stp>ATP</stp>
        <tr r="K206" s="1"/>
      </tp>
      <tp>
        <v>0</v>
        <stp/>
        <stp>bse_cm|102SMCGS27</stp>
        <stp>ATP</stp>
        <tr r="K1017" s="1"/>
      </tp>
      <tp t="s">
        <v>INE721A07NX5</v>
        <stp/>
        <stp>bse_cm|94SFL28</stp>
        <stp>Isin code</stp>
        <tr r="R24" s="1"/>
      </tp>
      <tp t="s">
        <v>INE721A07OF0</v>
        <stp/>
        <stp>bse_cm|97SFL28</stp>
        <stp>Isin code</stp>
        <tr r="R23" s="1"/>
      </tp>
      <tp t="s">
        <v>INE721A07NX5</v>
        <stp/>
        <stp>nse_cm|94SFL28-YL</stp>
        <stp>Isin code</stp>
        <tr r="R5" s="1"/>
      </tp>
      <tp t="s">
        <v>0SCL27-YW</v>
        <stp/>
        <stp>nse_cm|0SCL27-YW</stp>
        <stp>Trading Symbol</stp>
        <tr r="B1616" s="1"/>
      </tp>
      <tp>
        <v>1005</v>
        <stp/>
        <stp>bse_cm|994SMCGS29</stp>
        <stp>ATP</stp>
        <tr r="K221" s="1"/>
      </tp>
      <tp t="s">
        <v>00:00:00</v>
        <stp/>
        <stp>bse_cm|925KLMAF25</stp>
        <stp>LTT</stp>
        <tr r="I612" s="1"/>
      </tp>
      <tp>
        <v>0</v>
        <stp/>
        <stp>bse_cm|975KLMAF26</stp>
        <stp>LTP</stp>
        <tr r="H857" s="1"/>
      </tp>
      <tp>
        <v>0</v>
        <stp/>
        <stp>bse_cm|950KLMAF25</stp>
        <stp>LTP</stp>
        <tr r="H1149" s="1"/>
      </tp>
      <tp>
        <v>0</v>
        <stp/>
        <stp>bse_cm|925KLMAF25</stp>
        <stp>LTP</stp>
        <tr r="H612" s="1"/>
      </tp>
      <tp t="s">
        <v>00:00:00</v>
        <stp/>
        <stp>bse_cm|975KLMAF26</stp>
        <stp>LTT</stp>
        <tr r="I857" s="1"/>
      </tp>
      <tp t="s">
        <v>00:00:00</v>
        <stp/>
        <stp>bse_cm|950KLMAF25</stp>
        <stp>LTT</stp>
        <tr r="I1149" s="1"/>
      </tp>
      <tp t="s">
        <v>INE244L07564</v>
        <stp/>
        <stp>nse_cm|866ICCL23A-NY</stp>
        <stp>Isin code</stp>
        <tr r="R759" s="1"/>
      </tp>
      <tp>
        <v>0</v>
        <stp/>
        <stp>nse_cm|1003IIFL29-NC</stp>
        <stp>Open</stp>
        <tr r="M1077" s="1"/>
      </tp>
      <tp>
        <v>0</v>
        <stp/>
        <stp>nse_cm|855TCAPS27-N7</stp>
        <stp>Bid Rate</stp>
        <tr r="E1003" s="1"/>
      </tp>
      <tp>
        <v>1026.21</v>
        <stp/>
        <stp>nse_cm|865TCAPS27-N8</stp>
        <stp>Bid Rate</stp>
        <tr r="E376" s="1"/>
      </tp>
      <tp>
        <v>0</v>
        <stp/>
        <stp>bse_cm|774IREDA31</stp>
        <stp>Volume Traded Today</stp>
        <tr r="L17" s="1"/>
      </tp>
      <tp>
        <v>0</v>
        <stp/>
        <stp>bse_cm|749IREDA31</stp>
        <stp>Volume Traded Today</stp>
        <tr r="L568" s="1"/>
      </tp>
      <tp>
        <v>0</v>
        <stp/>
        <stp>bse_cm|743IREDA36</stp>
        <stp>Volume Traded Today</stp>
        <tr r="L1441" s="1"/>
      </tp>
      <tp>
        <v>0</v>
        <stp/>
        <stp>bse_cm|768IREDA36</stp>
        <stp>Volume Traded Today</stp>
        <tr r="L543" s="1"/>
      </tp>
      <tp>
        <v>0</v>
        <stp/>
        <stp>bse_cm|728IREDA26</stp>
        <stp>Volume Traded Today</stp>
        <tr r="L1203" s="1"/>
      </tp>
      <tp>
        <v>0</v>
        <stp/>
        <stp>bse_cm|753IREDA26</stp>
        <stp>Volume Traded Today</stp>
        <tr r="L487" s="1"/>
      </tp>
      <tp>
        <v>1101.01</v>
        <stp/>
        <stp>nse_cm|751HUDCO28-N5</stp>
        <stp>Bid Rate</stp>
        <tr r="E492" s="1"/>
      </tp>
      <tp>
        <v>0</v>
        <stp/>
        <stp>nse_cm|1003ICCL28-NX</stp>
        <stp>Open</stp>
        <tr r="M553" s="1"/>
      </tp>
      <tp>
        <v>5</v>
        <stp/>
        <stp>nse_cm|DLSL25-NW</stp>
        <stp>Bid Qty</stp>
        <tr r="D1745" s="1"/>
      </tp>
      <tp>
        <v>1020</v>
        <stp/>
        <stp>bse_cm|956AEL29</stp>
        <stp>High</stp>
        <tr r="N311" s="1"/>
      </tp>
      <tp>
        <v>985</v>
        <stp/>
        <stp>bse_cm|916ONE27</stp>
        <stp>High</stp>
        <tr r="N267" s="1"/>
      </tp>
      <tp>
        <v>0</v>
        <stp/>
        <stp>bse_cm|93SCL24A</stp>
        <stp>ATP</stp>
        <tr r="K1361" s="1"/>
      </tp>
      <tp>
        <v>1000</v>
        <stp/>
        <stp>bse_cm|797IGT31</stp>
        <stp>High</stp>
        <tr r="N381" s="1"/>
      </tp>
      <tp t="s">
        <v>BSE</v>
        <stp/>
        <stp>bse_cm|MFLZC27A</stp>
        <stp>Exchange</stp>
        <tr r="C1270" s="1"/>
      </tp>
      <tp t="s">
        <v>BSE</v>
        <stp/>
        <stp>bse_cm|KFLZC27A</stp>
        <stp>Exchange</stp>
        <tr r="C1291" s="1"/>
      </tp>
      <tp>
        <v>1057.55</v>
        <stp/>
        <stp>bse_cm|920PEL28</stp>
        <stp xml:space="preserve">Low </stp>
        <tr r="O440" s="1"/>
      </tp>
      <tp>
        <v>24</v>
        <stp/>
        <stp>bse_cm|KAF080824</stp>
        <stp>Bid Qty</stp>
        <tr r="D1322" s="1"/>
      </tp>
      <tp>
        <v>0</v>
        <stp/>
        <stp>nse_cm|902SCL27-YU</stp>
        <stp>High</stp>
        <tr r="N844" s="1"/>
      </tp>
      <tp>
        <v>17</v>
        <stp/>
        <stp>bse_cm|IML160224</stp>
        <stp>Bid Qty</stp>
        <tr r="D1329" s="1"/>
      </tp>
      <tp>
        <v>0</v>
        <stp/>
        <stp>bse_cm|10KFL24D</stp>
        <stp>Ask Rate</stp>
        <tr r="F1424" s="1"/>
      </tp>
      <tp>
        <v>20</v>
        <stp/>
        <stp>nse_cm|957NIDO26-N5</stp>
        <stp>Ask Qty</stp>
        <tr r="G255" s="1"/>
      </tp>
      <tp>
        <v>995</v>
        <stp/>
        <stp>bse_cm|886ONE25</stp>
        <stp>High</stp>
        <tr r="N723" s="1"/>
      </tp>
      <tp>
        <v>996.79</v>
        <stp/>
        <stp>bse_cm|916ONE25</stp>
        <stp>High</stp>
        <tr r="N965" s="1"/>
      </tp>
      <tp t="s">
        <v>BSE</v>
        <stp/>
        <stp>bse_cm|MFLZC27C</stp>
        <stp>Exchange</stp>
        <tr r="C1411" s="1"/>
      </tp>
      <tp>
        <v>20</v>
        <stp/>
        <stp>bse_cm|SFL270224</stp>
        <stp>Bid Qty</stp>
        <tr r="D808" s="1"/>
      </tp>
      <tp t="s">
        <v>BSE</v>
        <stp/>
        <stp>bse_cm|MFLZC27B</stp>
        <stp>Exchange</stp>
        <tr r="C1697" s="1"/>
      </tp>
      <tp>
        <v>99</v>
        <stp/>
        <stp>nse_cm|875IHFL29-ND</stp>
        <stp>Ask Qty</stp>
        <tr r="G77" s="1"/>
      </tp>
      <tp>
        <v>0</v>
        <stp/>
        <stp>nse_cm|875IIFL26-NM</stp>
        <stp>Ask Qty</stp>
        <tr r="G640" s="1"/>
      </tp>
      <tp>
        <v>1023</v>
        <stp/>
        <stp>bse_cm|930SFL28</stp>
        <stp xml:space="preserve">Low </stp>
        <tr r="O10" s="1"/>
      </tp>
      <tp>
        <v>22</v>
        <stp/>
        <stp>bse_cm|MML27524A</stp>
        <stp>Bid Qty</stp>
        <tr r="D1250" s="1"/>
      </tp>
      <tp t="s">
        <v>BSE</v>
        <stp/>
        <stp>bse_cm|MFLZC27E</stp>
        <stp>Exchange</stp>
        <tr r="C1677" s="1"/>
      </tp>
      <tp>
        <v>20</v>
        <stp/>
        <stp>bse_cm|1025SCL33</stp>
        <stp>Bid Qty</stp>
        <tr r="D879" s="1"/>
      </tp>
      <tp>
        <v>0</v>
        <stp/>
        <stp>nse_cm|93SCFL25-Z1</stp>
        <stp>High</stp>
        <tr r="N946" s="1"/>
      </tp>
      <tp>
        <v>25</v>
        <stp/>
        <stp>bse_cm|1025SCL34</stp>
        <stp>Bid Qty</stp>
        <tr r="D129" s="1"/>
      </tp>
      <tp t="s">
        <v>BSE</v>
        <stp/>
        <stp>bse_cm|MFLZC27D</stp>
        <stp>Exchange</stp>
        <tr r="C1700" s="1"/>
      </tp>
      <tp>
        <v>12</v>
        <stp/>
        <stp>bse_cm|1025UCL25</stp>
        <stp>Bid Qty</stp>
        <tr r="D326" s="1"/>
      </tp>
      <tp>
        <v>2</v>
        <stp/>
        <stp>bse_cm|1025UCL27</stp>
        <stp>Bid Qty</stp>
        <tr r="D1019" s="1"/>
      </tp>
      <tp>
        <v>45</v>
        <stp/>
        <stp>bse_cm|1025SFL25</stp>
        <stp>Bid Qty</stp>
        <tr r="D1071" s="1"/>
      </tp>
      <tp>
        <v>5</v>
        <stp/>
        <stp>bse_cm|1025SFL28</stp>
        <stp>Bid Qty</stp>
        <tr r="D100" s="1"/>
      </tp>
      <tp>
        <v>20</v>
        <stp/>
        <stp>bse_cm|1025SFL29</stp>
        <stp>Bid Qty</stp>
        <tr r="D1446" s="1"/>
      </tp>
      <tp>
        <v>20</v>
        <stp/>
        <stp>bse_cm|1025KFL28</stp>
        <stp>Bid Qty</stp>
        <tr r="D626" s="1"/>
      </tp>
      <tp>
        <v>1</v>
        <stp/>
        <stp>bse_cm|1025KFL29</stp>
        <stp>Bid Qty</stp>
        <tr r="D196" s="1"/>
      </tp>
      <tp>
        <v>100</v>
        <stp/>
        <stp>bse_cm|1075CCI26</stp>
        <stp>Bid Qty</stp>
        <tr r="D1425" s="1"/>
      </tp>
      <tp>
        <v>850</v>
        <stp/>
        <stp>nse_cm|939SCL27-ZZ</stp>
        <stp>High</stp>
        <tr r="N982" s="1"/>
      </tp>
      <tp>
        <v>16</v>
        <stp/>
        <stp>bse_cm|1025MML25</stp>
        <stp>Bid Qty</stp>
        <tr r="D766" s="1"/>
      </tp>
      <tp>
        <v>10</v>
        <stp/>
        <stp>bse_cm|1025MML26</stp>
        <stp>Bid Qty</stp>
        <tr r="D765" s="1"/>
      </tp>
      <tp>
        <v>9</v>
        <stp/>
        <stp>bse_cm|1025NFL25</stp>
        <stp>Bid Qty</stp>
        <tr r="D624" s="1"/>
      </tp>
      <tp>
        <v>1</v>
        <stp/>
        <stp>bse_cm|1125MML27</stp>
        <stp>Bid Qty</stp>
        <tr r="D592" s="1"/>
      </tp>
      <tp>
        <v>15</v>
        <stp/>
        <stp>bse_cm|1025KFL26</stp>
        <stp>Bid Qty</stp>
        <tr r="D768" s="1"/>
      </tp>
      <tp>
        <v>100</v>
        <stp/>
        <stp>bse_cm|1025KFL27</stp>
        <stp>Bid Qty</stp>
        <tr r="D767" s="1"/>
      </tp>
      <tp>
        <v>11</v>
        <stp/>
        <stp>bse_cm|1225IFL27</stp>
        <stp>Bid Qty</stp>
        <tr r="D1216" s="1"/>
      </tp>
      <tp>
        <v>10</v>
        <stp/>
        <stp>bse_cm|1025KFL25</stp>
        <stp>Bid Qty</stp>
        <tr r="D638" s="1"/>
      </tp>
      <tp>
        <v>150</v>
        <stp/>
        <stp>nse_cm|960CAGL25-N3</stp>
        <stp>Ask Qty</stp>
        <tr r="G305" s="1"/>
      </tp>
      <tp>
        <v>25</v>
        <stp/>
        <stp>bse_cm|IFL19424A</stp>
        <stp>Bid Qty</stp>
        <tr r="D1419" s="1"/>
      </tp>
      <tp>
        <v>22</v>
        <stp/>
        <stp>bse_cm|MML11924A</stp>
        <stp>Bid Qty</stp>
        <tr r="D1256" s="1"/>
      </tp>
      <tp>
        <v>22</v>
        <stp/>
        <stp>bse_cm|MML11924B</stp>
        <stp>Bid Qty</stp>
        <tr r="D1255" s="1"/>
      </tp>
      <tp>
        <v>24</v>
        <stp/>
        <stp>bse_cm|MML11924C</stp>
        <stp>Bid Qty</stp>
        <tr r="D1623" s="1"/>
      </tp>
      <tp>
        <v>893.01</v>
        <stp/>
        <stp>nse_cm|10SCL30A-BV</stp>
        <stp>ATP</stp>
        <tr r="K445" s="1"/>
      </tp>
      <tp t="s">
        <v>BSE</v>
        <stp/>
        <stp>bse_cm|MFLZC27F</stp>
        <stp>Exchange</stp>
        <tr r="C1566" s="1"/>
      </tp>
      <tp>
        <v>840.2</v>
        <stp/>
        <stp>bse_cm|97SFL26A</stp>
        <stp>Bid Rate</stp>
        <tr r="E1089" s="1"/>
      </tp>
      <tp>
        <v>301.3</v>
        <stp/>
        <stp>nse_cm|79NHIT35-N1</stp>
        <stp xml:space="preserve">Low </stp>
        <tr r="O1589" s="1"/>
      </tp>
      <tp>
        <v>0</v>
        <stp/>
        <stp>nse_cm|843SCFL27-YB</stp>
        <stp>Bid Qty</stp>
        <tr r="D929" s="1"/>
      </tp>
      <tp>
        <v>0</v>
        <stp/>
        <stp>nse_cm|10NIDO26-N6</stp>
        <stp>Volume Traded Today</stp>
        <tr r="L66" s="1"/>
      </tp>
      <tp>
        <v>1005</v>
        <stp/>
        <stp>bse_cm|TCHF30</stp>
        <stp>High</stp>
        <tr r="N423" s="1"/>
      </tp>
      <tp>
        <v>0</v>
        <stp/>
        <stp>nse_cm|795IGT31-NI</stp>
        <stp xml:space="preserve">Low </stp>
        <tr r="O1185" s="1"/>
      </tp>
      <tp>
        <v>0</v>
        <stp/>
        <stp>bse_cm|12IML26A</stp>
        <stp>Ask Rate</stp>
        <tr r="F1212" s="1"/>
      </tp>
      <tp>
        <v>300.24</v>
        <stp/>
        <stp>nse_cm|79NHIT40-N2</stp>
        <stp xml:space="preserve">Low </stp>
        <tr r="O1587" s="1"/>
      </tp>
      <tp>
        <v>1015.99</v>
        <stp/>
        <stp>nse_cm|797IGT31-NL</stp>
        <stp xml:space="preserve">Low </stp>
        <tr r="O374" s="1"/>
      </tp>
      <tp>
        <v>930.2</v>
        <stp/>
        <stp>nse_cm|965SCL26-YO</stp>
        <stp xml:space="preserve">Low </stp>
        <tr r="O146" s="1"/>
      </tp>
      <tp>
        <v>0</v>
        <stp/>
        <stp>nse_cm|925SFCL25-AC</stp>
        <stp>Ask Qty</stp>
        <tr r="G604" s="1"/>
      </tp>
      <tp>
        <v>835.8</v>
        <stp/>
        <stp>bse_cm|950SFL27</stp>
        <stp xml:space="preserve">Low </stp>
        <tr r="O1144" s="1"/>
      </tp>
      <tp>
        <v>1010</v>
        <stp/>
        <stp>bse_cm|990SCL27</stp>
        <stp xml:space="preserve">Low </stp>
        <tr r="O796" s="1"/>
      </tp>
      <tp>
        <v>0</v>
        <stp/>
        <stp>bse_cm|940SCL27</stp>
        <stp xml:space="preserve">Low </stp>
        <tr r="O792" s="1"/>
      </tp>
      <tp>
        <v>200</v>
        <stp/>
        <stp>nse_cm|9ICCL23A-N0</stp>
        <stp>Volume Traded Today</stp>
        <tr r="L657" s="1"/>
      </tp>
      <tp>
        <v>400.38</v>
        <stp/>
        <stp>nse_cm|79NHIT47-N3</stp>
        <stp xml:space="preserve">Low </stp>
        <tr r="O1585" s="1"/>
      </tp>
      <tp>
        <v>680</v>
        <stp/>
        <stp>bse_cm|990SCL26</stp>
        <stp xml:space="preserve">Low </stp>
        <tr r="O421" s="1"/>
      </tp>
      <tp>
        <v>0</v>
        <stp/>
        <stp>bse_cm|940SCL26</stp>
        <stp xml:space="preserve">Low </stp>
        <tr r="O778" s="1"/>
      </tp>
      <tp>
        <v>405</v>
        <stp/>
        <stp>nse_cm|9IIFL28A-NT</stp>
        <stp>Volume Traded Today</stp>
        <tr r="L80" s="1"/>
      </tp>
      <tp>
        <v>990</v>
        <stp/>
        <stp>bse_cm|926ONE29</stp>
        <stp>High</stp>
        <tr r="N1467" s="1"/>
      </tp>
      <tp>
        <v>1056</v>
        <stp/>
        <stp>bse_cm|966ONE29</stp>
        <stp>High</stp>
        <tr r="N281" s="1"/>
      </tp>
      <tp>
        <v>0</v>
        <stp/>
        <stp>bse_cm|850SCL25</stp>
        <stp xml:space="preserve">Low </stp>
        <tr r="O923" s="1"/>
      </tp>
      <tp>
        <v>0</v>
        <stp/>
        <stp>bse_cm|820SCL25</stp>
        <stp xml:space="preserve">Low </stp>
        <tr r="O925" s="1"/>
      </tp>
      <tp t="s">
        <v>BSE</v>
        <stp/>
        <stp>bse_cm|MFLII27B</stp>
        <stp>Exchange</stp>
        <tr r="C359" s="1"/>
      </tp>
      <tp>
        <v>0</v>
        <stp/>
        <stp>nse_cm|857SCL24-ZQ</stp>
        <stp xml:space="preserve">Low </stp>
        <tr r="O975" s="1"/>
      </tp>
      <tp>
        <v>960</v>
        <stp/>
        <stp>nse_cm|866SCL25-YP</stp>
        <stp xml:space="preserve">Low </stp>
        <tr r="O933" s="1"/>
      </tp>
      <tp>
        <v>1225</v>
        <stp/>
        <stp>nse_cm|IIFLZC28-NG</stp>
        <stp>Bid Rate</stp>
        <tr r="E1659" s="1"/>
      </tp>
      <tp>
        <v>1035</v>
        <stp/>
        <stp>bse_cm|760MFL25</stp>
        <stp xml:space="preserve">Low </stp>
        <tr r="O482" s="1"/>
      </tp>
      <tp>
        <v>980</v>
        <stp/>
        <stp>bse_cm|810MFL25</stp>
        <stp xml:space="preserve">Low </stp>
        <tr r="O429" s="1"/>
      </tp>
      <tp>
        <v>0</v>
        <stp/>
        <stp>nse_cm|833SCL24-ZE</stp>
        <stp>High</stp>
        <tr r="N957" s="1"/>
      </tp>
      <tp>
        <v>921.2</v>
        <stp/>
        <stp>nse_cm|CIFCZC26-NF</stp>
        <stp>Bid Rate</stp>
        <tr r="E1561" s="1"/>
      </tp>
      <tp>
        <v>975</v>
        <stp/>
        <stp>bse_cm|950MML24</stp>
        <stp xml:space="preserve">Low </stp>
        <tr r="O304" s="1"/>
      </tp>
      <tp>
        <v>990</v>
        <stp/>
        <stp>bse_cm|850MFL24</stp>
        <stp xml:space="preserve">Low </stp>
        <tr r="O1100" s="1"/>
      </tp>
      <tp>
        <v>959.8</v>
        <stp/>
        <stp>bse_cm|750MFL27</stp>
        <stp xml:space="preserve">Low </stp>
        <tr r="O274" s="1"/>
      </tp>
      <tp>
        <v>952.2</v>
        <stp/>
        <stp>bse_cm|870MFL27</stp>
        <stp xml:space="preserve">Low </stp>
        <tr r="O399" s="1"/>
      </tp>
      <tp>
        <v>951</v>
        <stp/>
        <stp>bse_cm|840MFL27</stp>
        <stp xml:space="preserve">Low </stp>
        <tr r="O133" s="1"/>
      </tp>
      <tp>
        <v>838.25</v>
        <stp/>
        <stp>bse_cm|850MFL27</stp>
        <stp xml:space="preserve">Low </stp>
        <tr r="O265" s="1"/>
      </tp>
      <tp>
        <v>1020</v>
        <stp/>
        <stp>bse_cm|950MFL27</stp>
        <stp xml:space="preserve">Low </stp>
        <tr r="O1147" s="1"/>
      </tp>
      <tp>
        <v>200</v>
        <stp/>
        <stp>nse_cm|840IRFC29-N8</stp>
        <stp>Bid Qty</stp>
        <tr r="D528" s="1"/>
      </tp>
      <tp>
        <v>1035.01</v>
        <stp/>
        <stp>nse_cm|CIFCZC25-ND</stp>
        <stp>Bid Rate</stp>
        <tr r="E1435" s="1"/>
      </tp>
      <tp>
        <v>1640</v>
        <stp/>
        <stp>nse_cm|IIFLZC25-ND</stp>
        <stp>Bid Rate</stp>
        <tr r="E1742" s="1"/>
      </tp>
      <tp>
        <v>970</v>
        <stp/>
        <stp>bse_cm|890MFL26</stp>
        <stp xml:space="preserve">Low </stp>
        <tr r="O1478" s="1"/>
      </tp>
      <tp>
        <v>965.57</v>
        <stp/>
        <stp>bse_cm|910MFL26</stp>
        <stp xml:space="preserve">Low </stp>
        <tr r="O277" s="1"/>
      </tp>
      <tp>
        <v>0</v>
        <stp/>
        <stp>bse_cm|1119NFL27</stp>
        <stp>Ask Qty</stp>
        <tr r="G1140" s="1"/>
      </tp>
      <tp>
        <v>0</v>
        <stp/>
        <stp>nse_cm|875SCFL27-Y9</stp>
        <stp>Ask Qty</stp>
        <tr r="G927" s="1"/>
      </tp>
      <tp>
        <v>825.3</v>
        <stp/>
        <stp>bse_cm|950KFL27</stp>
        <stp xml:space="preserve">Low </stp>
        <tr r="O143" s="1"/>
      </tp>
      <tp t="s">
        <v>INE121A07RA7</v>
        <stp/>
        <stp>nse_cm|CIFCZC25A-N1</stp>
        <stp>Isin code</stp>
        <tr r="R1730" s="1"/>
      </tp>
      <tp t="s">
        <v>BSE</v>
        <stp/>
        <stp>bse_cm|MFLIV27D</stp>
        <stp>Exchange</stp>
        <tr r="C1452" s="1"/>
      </tp>
      <tp>
        <v>940</v>
        <stp/>
        <stp>nse_cm|955SCL25-ZU</stp>
        <stp xml:space="preserve">Low </stp>
        <tr r="O1391" s="1"/>
      </tp>
      <tp>
        <v>0</v>
        <stp/>
        <stp>bse_cm|950KLM25</stp>
        <stp xml:space="preserve">Low </stp>
        <tr r="O1150" s="1"/>
      </tp>
      <tp>
        <v>0</v>
        <stp/>
        <stp>bse_cm|9MMFSL26</stp>
        <stp>ATP</stp>
        <tr r="K334" s="1"/>
      </tp>
      <tp>
        <v>1069</v>
        <stp/>
        <stp>bse_cm|EFSLZC28</stp>
        <stp>Prev Close</stp>
        <tr r="P1637" s="1"/>
      </tp>
      <tp>
        <v>1354.3</v>
        <stp/>
        <stp>bse_cm|EFSLZC26</stp>
        <stp>Prev Close</stp>
        <tr r="P1712" s="1"/>
      </tp>
      <tp>
        <v>1145</v>
        <stp/>
        <stp>bse_cm|EFSLZC25</stp>
        <stp>Prev Close</stp>
        <tr r="P1741" s="1"/>
      </tp>
      <tp>
        <v>0</v>
        <stp/>
        <stp>nse_cm|845LTF24-NI</stp>
        <stp>Open</stp>
        <tr r="M942" s="1"/>
      </tp>
      <tp>
        <v>1186</v>
        <stp/>
        <stp>nse_cm|IIFLZC26-NN</stp>
        <stp>Bid Rate</stp>
        <tr r="E1696" s="1"/>
      </tp>
      <tp>
        <v>0</v>
        <stp/>
        <stp>bse_cm|957SCL31</stp>
        <stp>High</stp>
        <tr r="N1108" s="1"/>
      </tp>
      <tp>
        <v>900</v>
        <stp/>
        <stp>bse_cm|1025SCL33A</stp>
        <stp>Prev Close</stp>
        <tr r="P835" s="1"/>
      </tp>
      <tp>
        <v>905.2</v>
        <stp/>
        <stp>bse_cm|1025SCL34A</stp>
        <stp>Prev Close</stp>
        <tr r="P672" s="1"/>
      </tp>
      <tp>
        <v>0</v>
        <stp/>
        <stp>bse_cm|0MOFSL27</stp>
        <stp>ATP</stp>
        <tr r="K1039" s="1"/>
      </tp>
      <tp>
        <v>0</v>
        <stp/>
        <stp>bse_cm|0MOFSL26</stp>
        <stp>ATP</stp>
        <tr r="K1645" s="1"/>
      </tp>
      <tp t="s">
        <v>INE148I07TA9</v>
        <stp/>
        <stp>nse_cm|SCL310524-ZF</stp>
        <stp>Isin code</stp>
        <tr r="R593" s="1"/>
      </tp>
      <tp>
        <v>970</v>
        <stp/>
        <stp>bse_cm|957SCL30</stp>
        <stp>High</stp>
        <tr r="N1110" s="1"/>
      </tp>
      <tp>
        <v>1000</v>
        <stp/>
        <stp>bse_cm|1025SFL25A</stp>
        <stp>Prev Close</stp>
        <tr r="P1070" s="1"/>
      </tp>
      <tp>
        <v>0</v>
        <stp/>
        <stp>nse_cm|965SCL29-YX</stp>
        <stp xml:space="preserve">Low </stp>
        <tr r="O847" s="1"/>
      </tp>
      <tp>
        <v>965</v>
        <stp/>
        <stp>bse_cm|1025KFL26A</stp>
        <stp>Prev Close</stp>
        <tr r="P525" s="1"/>
      </tp>
      <tp>
        <v>901</v>
        <stp/>
        <stp>bse_cm|1025KFL26C</stp>
        <stp>Prev Close</stp>
        <tr r="P459" s="1"/>
      </tp>
      <tp>
        <v>970</v>
        <stp/>
        <stp>bse_cm|1025KFL26B</stp>
        <stp>Prev Close</stp>
        <tr r="P1422" s="1"/>
      </tp>
      <tp>
        <v>960</v>
        <stp/>
        <stp>bse_cm|1025KFL27A</stp>
        <stp>Prev Close</stp>
        <tr r="P89" s="1"/>
      </tp>
      <tp>
        <v>0</v>
        <stp/>
        <stp>nse_cm|SCL26-NA</stp>
        <stp xml:space="preserve">Low </stp>
        <tr r="O919" s="1"/>
      </tp>
      <tp>
        <v>843</v>
        <stp/>
        <stp>bse_cm|SFL270224A</stp>
        <stp>Prev Close</stp>
        <tr r="P807" s="1"/>
      </tp>
      <tp>
        <v>1030</v>
        <stp/>
        <stp>bse_cm|850MFL29</stp>
        <stp xml:space="preserve">Low </stp>
        <tr r="O356" s="1"/>
      </tp>
      <tp>
        <v>1030</v>
        <stp/>
        <stp>nse_cm|903SFL28-YI</stp>
        <stp>High</stp>
        <tr r="N372" s="1"/>
      </tp>
      <tp>
        <v>1010</v>
        <stp/>
        <stp>bse_cm|IML1622024</stp>
        <stp>Prev Close</stp>
        <tr r="P1328" s="1"/>
      </tp>
      <tp>
        <v>945.1</v>
        <stp/>
        <stp>bse_cm|IFL1942024</stp>
        <stp>Prev Close</stp>
        <tr r="P1594" s="1"/>
      </tp>
      <tp t="s">
        <v>829PFL29-N6</v>
        <stp/>
        <stp>nse_cm|829PFL29-N6</stp>
        <stp>Trading Symbol</stp>
        <tr r="B1451" s="1"/>
      </tp>
      <tp>
        <v>972</v>
        <stp/>
        <stp>bse_cm|880MFL28</stp>
        <stp xml:space="preserve">Low </stp>
        <tr r="O1338" s="1"/>
      </tp>
      <tp>
        <v>975</v>
        <stp/>
        <stp>bse_cm|850MFL28</stp>
        <stp xml:space="preserve">Low </stp>
        <tr r="O236" s="1"/>
      </tp>
      <tp>
        <v>1002</v>
        <stp/>
        <stp>bse_cm|866SFL25</stp>
        <stp>High</stp>
        <tr r="N1652" s="1"/>
      </tp>
      <tp>
        <v>900</v>
        <stp/>
        <stp>bse_cm|916SCL25</stp>
        <stp>High</stp>
        <tr r="N964" s="1"/>
      </tp>
      <tp>
        <v>984</v>
        <stp/>
        <stp>bse_cm|866SCL25</stp>
        <stp>High</stp>
        <tr r="N603" s="1"/>
      </tp>
      <tp>
        <v>1040</v>
        <stp/>
        <stp>bse_cm|SFL2722024</stp>
        <stp>Prev Close</stp>
        <tr r="P806" s="1"/>
      </tp>
      <tp>
        <v>163</v>
        <stp/>
        <stp>nse_cm|842IIFL26-NL</stp>
        <stp>Bid Qty</stp>
        <tr r="D145" s="1"/>
      </tp>
      <tp>
        <v>0</v>
        <stp/>
        <stp>nse_cm|10SCL31A-ZO</stp>
        <stp>ATP</stp>
        <tr r="K864" s="1"/>
      </tp>
      <tp>
        <v>1025</v>
        <stp/>
        <stp>nse_cm|CIFCZC28-NH</stp>
        <stp>Bid Rate</stp>
        <tr r="E1607" s="1"/>
      </tp>
      <tp>
        <v>14</v>
        <stp/>
        <stp>nse_cm|843IHFL29-NC</stp>
        <stp>Bid Qty</stp>
        <tr r="D123" s="1"/>
      </tp>
      <tp>
        <v>0</v>
        <stp/>
        <stp>bse_cm|1015SCL29</stp>
        <stp>Ask Qty</stp>
        <tr r="G1177" s="1"/>
      </tp>
      <tp>
        <v>45</v>
        <stp/>
        <stp>bse_cm|1015SCL28</stp>
        <stp>Ask Qty</stp>
        <tr r="G327" s="1"/>
      </tp>
      <tp>
        <v>0</v>
        <stp/>
        <stp>nse_cm|812REC27-NI</stp>
        <stp>Open</stp>
        <tr r="M462" s="1"/>
      </tp>
      <tp>
        <v>100</v>
        <stp/>
        <stp>bse_cm|1015ECL29</stp>
        <stp>Ask Qty</stp>
        <tr r="G210" s="1"/>
      </tp>
      <tp>
        <v>0</v>
        <stp/>
        <stp>bse_cm|1015MML25</stp>
        <stp>Ask Qty</stp>
        <tr r="G1103" s="1"/>
      </tp>
      <tp>
        <v>190</v>
        <stp/>
        <stp>bse_cm|683PFCL31</stp>
        <stp>Bid Qty</stp>
        <tr r="D449" s="1"/>
      </tp>
      <tp>
        <v>500</v>
        <stp/>
        <stp>bse_cm|663PFCL31</stp>
        <stp>Bid Qty</stp>
        <tr r="D1208" s="1"/>
      </tp>
      <tp>
        <v>50</v>
        <stp/>
        <stp>bse_cm|753PFCL33</stp>
        <stp>Bid Qty</stp>
        <tr r="D426" s="1"/>
      </tp>
      <tp>
        <v>20</v>
        <stp/>
        <stp>bse_cm|950KFIL26</stp>
        <stp>Ask Qty</stp>
        <tr r="G602" s="1"/>
      </tp>
      <tp>
        <v>0</v>
        <stp/>
        <stp>bse_cm|MFLTDI25</stp>
        <stp>Ask Rate</stp>
        <tr r="F1476" s="1"/>
      </tp>
      <tp>
        <v>0</v>
        <stp/>
        <stp>bse_cm|MFLVII27</stp>
        <stp>Ask Rate</stp>
        <tr r="F1397" s="1"/>
      </tp>
      <tp>
        <v>0</v>
        <stp/>
        <stp>bse_cm|960ISFL25</stp>
        <stp>Ask Qty</stp>
        <tr r="G871" s="1"/>
      </tp>
      <tp>
        <v>24</v>
        <stp/>
        <stp>bse_cm|980IFSL25</stp>
        <stp>Ask Qty</stp>
        <tr r="G474" s="1"/>
      </tp>
      <tp>
        <v>0</v>
        <stp/>
        <stp>bse_cm|850IIFL27</stp>
        <stp>Ask Qty</stp>
        <tr r="G1407" s="1"/>
      </tp>
      <tp>
        <v>10</v>
        <stp/>
        <stp>bse_cm|820IIFL27</stp>
        <stp>Ask Qty</stp>
        <tr r="G176" s="1"/>
      </tp>
      <tp>
        <v>11</v>
        <stp/>
        <stp>bse_cm|843SCFL27</stp>
        <stp>Bid Qty</stp>
        <tr r="D1074" s="1"/>
      </tp>
      <tp>
        <v>0</v>
        <stp/>
        <stp>bse_cm|980ICCL28</stp>
        <stp>Ask Qty</stp>
        <tr r="G783" s="1"/>
      </tp>
      <tp>
        <v>0</v>
        <stp/>
        <stp>bse_cm|940ICCL28</stp>
        <stp>Ask Qty</stp>
        <tr r="G1126" s="1"/>
      </tp>
      <tp>
        <v>1186</v>
        <stp/>
        <stp>bse_cm|875NHAI29</stp>
        <stp>Ask Qty</stp>
        <tr r="G496" s="1"/>
      </tp>
      <tp>
        <v>120</v>
        <stp/>
        <stp>bse_cm|950NHFL26</stp>
        <stp>Ask Qty</stp>
        <tr r="G582" s="1"/>
      </tp>
      <tp>
        <v>439</v>
        <stp/>
        <stp>bse_cm|735NHAI31</stp>
        <stp>Ask Qty</stp>
        <tr r="G565" s="1"/>
      </tp>
      <tp t="s">
        <v>BSE</v>
        <stp/>
        <stp>bse_cm|CCILZC30</stp>
        <stp>Exchange</stp>
        <tr r="C746" s="1"/>
      </tp>
      <tp>
        <v>1000</v>
        <stp/>
        <stp>bse_cm|913ICCL24A</stp>
        <stp>Prev Close</stp>
        <tr r="P1162" s="1"/>
      </tp>
      <tp>
        <v>75</v>
        <stp/>
        <stp>bse_cm|940MFCL26</stp>
        <stp>Ask Qty</stp>
        <tr r="G200" s="1"/>
      </tp>
      <tp>
        <v>5</v>
        <stp/>
        <stp>bse_cm|890MFCL26</stp>
        <stp>Ask Qty</stp>
        <tr r="G279" s="1"/>
      </tp>
      <tp>
        <v>0</v>
        <stp/>
        <stp>bse_cm|950MFCL27</stp>
        <stp>Ask Qty</stp>
        <tr r="G1148" s="1"/>
      </tp>
      <tp>
        <v>0</v>
        <stp/>
        <stp>nse_cm|87SCL24A-ZF</stp>
        <stp>Volume Traded Today</stp>
        <tr r="L959" s="1"/>
      </tp>
      <tp>
        <v>0</v>
        <stp/>
        <stp>bse_cm|990MFCL29</stp>
        <stp>Ask Qty</stp>
        <tr r="G1449" s="1"/>
      </tp>
      <tp>
        <v>20</v>
        <stp/>
        <stp>nse_cm|87SCL27A-ZK</stp>
        <stp>Volume Traded Today</stp>
        <tr r="L1416" s="1"/>
      </tp>
      <tp>
        <v>50</v>
        <stp/>
        <stp>bse_cm|950MMFL26</stp>
        <stp>Ask Qty</stp>
        <tr r="G291" s="1"/>
      </tp>
      <tp>
        <v>0</v>
        <stp/>
        <stp>bse_cm|950MMFL25</stp>
        <stp>Ask Qty</stp>
        <tr r="G1526" s="1"/>
      </tp>
      <tp>
        <v>10</v>
        <stp/>
        <stp>bse_cm|950CCIL25</stp>
        <stp>Ask Qty</stp>
        <tr r="G99" s="1"/>
      </tp>
      <tp>
        <v>20</v>
        <stp/>
        <stp>bse_cm|940CAGL27</stp>
        <stp>Ask Qty</stp>
        <tr r="G261" s="1"/>
      </tp>
      <tp>
        <v>150</v>
        <stp/>
        <stp>bse_cm|960CAGL25</stp>
        <stp>Ask Qty</stp>
        <tr r="G347" s="1"/>
      </tp>
      <tp>
        <v>45</v>
        <stp/>
        <stp>bse_cm|910CAGL25</stp>
        <stp>Ask Qty</stp>
        <tr r="G351" s="1"/>
      </tp>
      <tp>
        <v>0</v>
        <stp/>
        <stp>nse_cm|89SCL24A-ZM</stp>
        <stp>Volume Traded Today</stp>
        <tr r="L970" s="1"/>
      </tp>
      <tp>
        <v>111</v>
        <stp/>
        <stp>bse_cm|970CAGL28</stp>
        <stp>Ask Qty</stp>
        <tr r="G292" s="1"/>
      </tp>
      <tp>
        <v>31</v>
        <stp/>
        <stp>bse_cm|930EFSL31</stp>
        <stp>Ask Qty</stp>
        <tr r="G65" s="1"/>
      </tp>
      <tp>
        <v>10</v>
        <stp/>
        <stp>bse_cm|970EFSL31</stp>
        <stp>Ask Qty</stp>
        <tr r="G220" s="1"/>
      </tp>
      <tp>
        <v>25</v>
        <stp/>
        <stp>bse_cm|920EFSL26</stp>
        <stp>Ask Qty</stp>
        <tr r="G223" s="1"/>
      </tp>
      <tp>
        <v>0</v>
        <stp/>
        <stp>bse_cm|960EFSL26</stp>
        <stp>Ask Qty</stp>
        <tr r="G690" s="1"/>
      </tp>
      <tp>
        <v>94</v>
        <stp/>
        <stp>bse_cm|950EFSL26</stp>
        <stp>Ask Qty</stp>
        <tr r="G1493" s="1"/>
      </tp>
      <tp>
        <v>10</v>
        <stp/>
        <stp>bse_cm|920EFSL27</stp>
        <stp>Ask Qty</stp>
        <tr r="G55" s="1"/>
      </tp>
      <tp>
        <v>173</v>
        <stp/>
        <stp>bse_cm|960EFSL27</stp>
        <stp>Ask Qty</stp>
        <tr r="G70" s="1"/>
      </tp>
      <tp>
        <v>0</v>
        <stp/>
        <stp>nse_cm|85PFL26A-N7</stp>
        <stp>Volume Traded Today</stp>
        <tr r="L1519" s="1"/>
      </tp>
      <tp>
        <v>1020</v>
        <stp/>
        <stp>nse_cm|956AEL29-N6</stp>
        <stp>ATP</stp>
        <tr r="K298" s="1"/>
      </tp>
      <tp>
        <v>0</v>
        <stp/>
        <stp>nse_cm|965AEL27-N4</stp>
        <stp>ATP</stp>
        <tr r="K254" s="1"/>
      </tp>
      <tp>
        <v>1027</v>
        <stp/>
        <stp>nse_cm|847SCL25-Z2</stp>
        <stp xml:space="preserve">Low </stp>
        <tr r="O212" s="1"/>
      </tp>
      <tp>
        <v>0</v>
        <stp/>
        <stp>nse_cm|905PEL26-N1</stp>
        <stp>ATP</stp>
        <tr r="K500" s="1"/>
      </tp>
      <tp>
        <v>50</v>
        <stp/>
        <stp>bse_cm|953EFSL31</stp>
        <stp>Bid Qty</stp>
        <tr r="D191" s="1"/>
      </tp>
      <tp>
        <v>0</v>
        <stp/>
        <stp>bse_cm|10MFCL30</stp>
        <stp>Ask Rate</stp>
        <tr r="F1091" s="1"/>
      </tp>
      <tp>
        <v>0</v>
        <stp/>
        <stp>nse_cm|920PEL28-N2</stp>
        <stp>ATP</stp>
        <tr r="K373" s="1"/>
      </tp>
      <tp>
        <v>1001</v>
        <stp/>
        <stp>nse_cm|925AEL26-N1</stp>
        <stp>ATP</stp>
        <tr r="K330" s="1"/>
      </tp>
      <tp>
        <v>1010</v>
        <stp/>
        <stp>nse_cm|76IGT26-ND</stp>
        <stp>Prev Close</stp>
        <tr r="P527" s="1"/>
      </tp>
      <tp>
        <v>0</v>
        <stp/>
        <stp>nse_cm|1075SCL33-YK</stp>
        <stp>% Change</stp>
        <tr r="J707" s="1"/>
      </tp>
      <tp>
        <v>0</v>
        <stp/>
        <stp>nse_cm|932AEL27-N3</stp>
        <stp>ATP</stp>
        <tr r="K471" s="1"/>
      </tp>
      <tp>
        <v>0</v>
        <stp/>
        <stp>nse_cm|935PEL33-N3</stp>
        <stp>ATP</stp>
        <tr r="K1375" s="1"/>
      </tp>
      <tp>
        <v>989</v>
        <stp/>
        <stp>nse_cm|85IFL26-NX</stp>
        <stp>Prev Close</stp>
        <tr r="P1388" s="1"/>
      </tp>
      <tp>
        <v>1058.21</v>
        <stp/>
        <stp>bse_cm|SCL25B</stp>
        <stp>High</stp>
        <tr r="N1544" s="1"/>
      </tp>
      <tp>
        <v>-100</v>
        <stp/>
        <stp>bse_cm|975MVAFL25</stp>
        <stp>% Change</stp>
        <tr r="J458" s="1"/>
      </tp>
      <tp>
        <v>0</v>
        <stp/>
        <stp>bse_cm|850SCFL25</stp>
        <stp>Ask Qty</stp>
        <tr r="G1099" s="1"/>
      </tp>
      <tp>
        <v>0</v>
        <stp/>
        <stp>bse_cm|820SCFL25</stp>
        <stp>Ask Qty</stp>
        <tr r="G1059" s="1"/>
      </tp>
      <tp>
        <v>35</v>
        <stp/>
        <stp>bse_cm|990SCFL26</stp>
        <stp>Ask Qty</stp>
        <tr r="G1676" s="1"/>
      </tp>
      <tp>
        <v>1000</v>
        <stp/>
        <stp>bse_cm|MFLZC29A</stp>
        <stp>Face Value</stp>
        <tr r="Q1554" s="1"/>
      </tp>
      <tp>
        <v>1000</v>
        <stp/>
        <stp>bse_cm|MFLZC28F</stp>
        <stp>Face Value</stp>
        <tr r="Q1268" s="1"/>
      </tp>
      <tp>
        <v>1000</v>
        <stp/>
        <stp>bse_cm|MFLZC28E</stp>
        <stp>Face Value</stp>
        <tr r="Q1269" s="1"/>
      </tp>
      <tp>
        <v>1000</v>
        <stp/>
        <stp>bse_cm|MFLZC25D</stp>
        <stp>Face Value</stp>
        <tr r="Q1520" s="1"/>
      </tp>
      <tp>
        <v>1000</v>
        <stp/>
        <stp>bse_cm|MFLZC25C</stp>
        <stp>Face Value</stp>
        <tr r="Q1579" s="1"/>
      </tp>
      <tp>
        <v>1000</v>
        <stp/>
        <stp>bse_cm|MFLZC25B</stp>
        <stp>Face Value</stp>
        <tr r="Q1273" s="1"/>
      </tp>
      <tp>
        <v>1000</v>
        <stp/>
        <stp>bse_cm|MFLZC25A</stp>
        <stp>Face Value</stp>
        <tr r="Q1757" s="1"/>
      </tp>
      <tp>
        <v>5</v>
        <stp/>
        <stp>bse_cm|843IHFL29</stp>
        <stp>Bid Qty</stp>
        <tr r="D139" s="1"/>
      </tp>
      <tp>
        <v>1000</v>
        <stp/>
        <stp>bse_cm|MFLZC24D</stp>
        <stp>Face Value</stp>
        <tr r="Q1550" s="1"/>
      </tp>
      <tp>
        <v>1000</v>
        <stp/>
        <stp>bse_cm|MFLZC24C</stp>
        <stp>Face Value</stp>
        <tr r="Q1551" s="1"/>
      </tp>
      <tp>
        <v>1000</v>
        <stp/>
        <stp>bse_cm|MFLZC27F</stp>
        <stp>Face Value</stp>
        <tr r="Q1566" s="1"/>
      </tp>
      <tp>
        <v>1000</v>
        <stp/>
        <stp>bse_cm|MFLZC27E</stp>
        <stp>Face Value</stp>
        <tr r="Q1677" s="1"/>
      </tp>
      <tp>
        <v>1000</v>
        <stp/>
        <stp>bse_cm|MFLZC27D</stp>
        <stp>Face Value</stp>
        <tr r="Q1700" s="1"/>
      </tp>
      <tp>
        <v>1000</v>
        <stp/>
        <stp>bse_cm|MFLZC27C</stp>
        <stp>Face Value</stp>
        <tr r="Q1411" s="1"/>
      </tp>
      <tp>
        <v>1000</v>
        <stp/>
        <stp>bse_cm|MFLZC27B</stp>
        <stp>Face Value</stp>
        <tr r="Q1697" s="1"/>
      </tp>
      <tp>
        <v>1000</v>
        <stp/>
        <stp>bse_cm|MFLZC27A</stp>
        <stp>Face Value</stp>
        <tr r="Q1270" s="1"/>
      </tp>
      <tp>
        <v>1000</v>
        <stp/>
        <stp>bse_cm|MFLZC26E</stp>
        <stp>Face Value</stp>
        <tr r="Q1651" s="1"/>
      </tp>
      <tp>
        <v>1000</v>
        <stp/>
        <stp>bse_cm|MFLZC26D</stp>
        <stp>Face Value</stp>
        <tr r="Q1440" s="1"/>
      </tp>
      <tp>
        <v>1000</v>
        <stp/>
        <stp>bse_cm|MFLZC26C</stp>
        <stp>Face Value</stp>
        <tr r="Q1350" s="1"/>
      </tp>
      <tp>
        <v>1000</v>
        <stp/>
        <stp>bse_cm|MFLZC26B</stp>
        <stp>Face Value</stp>
        <tr r="Q1272" s="1"/>
      </tp>
      <tp>
        <v>1000</v>
        <stp/>
        <stp>bse_cm|MFLZC26A</stp>
        <stp>Face Value</stp>
        <tr r="Q1715" s="1"/>
      </tp>
      <tp t="s">
        <v>11:28:22</v>
        <stp/>
        <stp>nse_cm|901NHB34-N6</stp>
        <stp>LTT</stp>
        <tr r="I520" s="1"/>
      </tp>
      <tp>
        <v>6720</v>
        <stp/>
        <stp>nse_cm|901NHB34-N6</stp>
        <stp>LTP</stp>
        <tr r="H520" s="1"/>
      </tp>
      <tp>
        <v>10</v>
        <stp/>
        <stp>bse_cm|750PFCL26</stp>
        <stp>Ask Qty</stp>
        <tr r="G448" s="1"/>
      </tp>
      <tp>
        <v>0</v>
        <stp/>
        <stp>bse_cm|SCL25A</stp>
        <stp>High</stp>
        <tr r="N1238" s="1"/>
      </tp>
      <tp>
        <v>0</v>
        <stp/>
        <stp>bse_cm|750PFCL38</stp>
        <stp>Ask Qty</stp>
        <tr r="G1196" s="1"/>
      </tp>
      <tp>
        <v>100000</v>
        <stp/>
        <stp>nse_cm|810TCHFL27-ND</stp>
        <stp>Face Value</stp>
        <tr r="Q1016" s="1"/>
      </tp>
      <tp>
        <v>16</v>
        <stp/>
        <stp>nse_cm|85PCHFL26-N7</stp>
        <stp>Bid Qty</stp>
        <tr r="D712" s="1"/>
      </tp>
      <tp t="s">
        <v/>
        <stp/>
        <stp>nse_cm|78ABFL33-N4</stp>
        <stp>LTT</stp>
        <tr r="I371" s="1"/>
      </tp>
      <tp>
        <v>988.5</v>
        <stp/>
        <stp>nse_cm|78ABFL33-N4</stp>
        <stp>LTP</stp>
        <tr r="H371" s="1"/>
      </tp>
      <tp>
        <v>0</v>
        <stp/>
        <stp>bse_cm|MFLIII25</stp>
        <stp>Ask Rate</stp>
        <tr r="F1501" s="1"/>
      </tp>
      <tp>
        <v>1075.3599999999999</v>
        <stp/>
        <stp>bse_cm|SFL25B</stp>
        <stp>High</stp>
        <tr r="N1433" s="1"/>
      </tp>
      <tp>
        <v>1177</v>
        <stp/>
        <stp>bse_cm|SFL25A</stp>
        <stp>High</stp>
        <tr r="N812" s="1"/>
      </tp>
      <tp>
        <v>10</v>
        <stp/>
        <stp>bse_cm|870NIDO25</stp>
        <stp>Bid Qty</stp>
        <tr r="D86" s="1"/>
      </tp>
      <tp>
        <v>25</v>
        <stp/>
        <stp>bse_cm|960NIDO26</stp>
        <stp>Bid Qty</stp>
        <tr r="D870" s="1"/>
      </tp>
      <tp>
        <v>25</v>
        <stp/>
        <stp>bse_cm|920NIDO26</stp>
        <stp>Bid Qty</stp>
        <tr r="D166" s="1"/>
      </tp>
      <tp>
        <v>1000</v>
        <stp/>
        <stp>nse_cm|875PCHFL31-N9</stp>
        <stp>Face Value</stp>
        <tr r="Q1012" s="1"/>
      </tp>
      <tp>
        <v>100000</v>
        <stp/>
        <stp>nse_cm|1048IIFL27-N6</stp>
        <stp>Face Value</stp>
        <tr r="Q997" s="1"/>
      </tp>
      <tp>
        <v>109</v>
        <stp/>
        <stp>bse_cm|953NWIL32</stp>
        <stp>Bid Qty</stp>
        <tr r="D226" s="1"/>
      </tp>
      <tp>
        <v>120</v>
        <stp/>
        <stp>bse_cm|970NIDO32</stp>
        <stp>Bid Qty</stp>
        <tr r="D67" s="1"/>
      </tp>
      <tp>
        <v>50</v>
        <stp/>
        <stp>bse_cm|930NIDO32</stp>
        <stp>Bid Qty</stp>
        <tr r="D76" s="1"/>
      </tp>
      <tp t="s">
        <v>925SCL26C-ZA</v>
        <stp/>
        <stp>nse_cm|925SCL26C-ZA</stp>
        <stp>Trading Symbol</stp>
        <tr r="B724" s="1"/>
      </tp>
      <tp t="s">
        <v>925SCL25C-AR</v>
        <stp/>
        <stp>nse_cm|925SCL25C-AR</stp>
        <stp>Trading Symbol</stp>
        <tr r="B249" s="1"/>
      </tp>
      <tp t="s">
        <v>925SCL28C-BS</v>
        <stp/>
        <stp>nse_cm|925SCL28C-BS</stp>
        <stp>Trading Symbol</stp>
        <tr r="B823" s="1"/>
      </tp>
      <tp t="s">
        <v>NSE</v>
        <stp/>
        <stp>nse_cm|810TCHFL27-ND</stp>
        <stp>Exchange</stp>
        <tr r="C1016" s="1"/>
      </tp>
      <tp t="s">
        <v>835SCL23B-YM</v>
        <stp/>
        <stp>nse_cm|835SCL23B-YM</stp>
        <stp>Trading Symbol</stp>
        <tr r="B179" s="1"/>
      </tp>
      <tp t="s">
        <v>INE148I07SR5</v>
        <stp/>
        <stp>bse_cm|1075SCFL34</stp>
        <stp>Isin code</stp>
        <tr r="R1020" s="1"/>
      </tp>
      <tp t="s">
        <v>INE530B07377</v>
        <stp/>
        <stp>nse_cm|9IIFL28-Y0</stp>
        <stp>Isin code</stp>
        <tr r="R175" s="1"/>
      </tp>
      <tp t="s">
        <v>865SCL24B-Z8</v>
        <stp/>
        <stp>nse_cm|865SCL24B-Z8</stp>
        <stp>Trading Symbol</stp>
        <tr r="B952" s="1"/>
      </tp>
      <tp t="s">
        <v>INE148I07SV7</v>
        <stp/>
        <stp>bse_cm|1025SCFL34</stp>
        <stp>Isin code</stp>
        <tr r="R1025" s="1"/>
      </tp>
      <tp t="s">
        <v>INE01I507588</v>
        <stp/>
        <stp>bse_cm|1125KAFL27</stp>
        <stp>Isin code</stp>
        <tr r="R1228" s="1"/>
      </tp>
      <tp t="s">
        <v>965SCL25C-N0</v>
        <stp/>
        <stp>nse_cm|965SCL25C-N0</stp>
        <stp>Trading Symbol</stp>
        <tr r="B507" s="1"/>
      </tp>
      <tp t="s">
        <v>965SCL28C-BR</v>
        <stp/>
        <stp>nse_cm|965SCL28C-BR</stp>
        <stp>Trading Symbol</stp>
        <tr r="B817" s="1"/>
      </tp>
      <tp t="s">
        <v>971SCL28C-BU</v>
        <stp/>
        <stp>nse_cm|971SCL28C-BU</stp>
        <stp>Trading Symbol</stp>
        <tr r="B826" s="1"/>
      </tp>
      <tp>
        <v>0</v>
        <stp/>
        <stp>bse_cm|975MVAFL25</stp>
        <stp>ATP</stp>
        <tr r="K458" s="1"/>
      </tp>
      <tp t="s">
        <v>940SCL26C-AU</v>
        <stp/>
        <stp>nse_cm|940SCL26C-AU</stp>
        <stp>Trading Symbol</stp>
        <tr r="B793" s="1"/>
      </tp>
      <tp t="s">
        <v>INE202E07203</v>
        <stp/>
        <stp>bse_cm|743IREDA36</stp>
        <stp>Isin code</stp>
        <tr r="R1441" s="1"/>
      </tp>
      <tp t="s">
        <v>INE219X07264</v>
        <stp/>
        <stp>nse_cm|82IGT31-NJ</stp>
        <stp>Isin code</stp>
        <tr r="R375" s="1"/>
      </tp>
      <tp t="s">
        <v>888SCL25B-Y2</v>
        <stp/>
        <stp>nse_cm|888SCL25B-Y2</stp>
        <stp>Trading Symbol</stp>
        <tr r="B789" s="1"/>
      </tp>
      <tp t="s">
        <v>980SCL33C-ND</v>
        <stp/>
        <stp>nse_cm|980SCL33C-ND</stp>
        <stp>Trading Symbol</stp>
        <tr r="B1385" s="1"/>
      </tp>
      <tp t="s">
        <v>INE01CY077I2</v>
        <stp/>
        <stp>bse_cm|1175ICLF25</stp>
        <stp>Isin code</stp>
        <tr r="R1222" s="1"/>
      </tp>
      <tp t="s">
        <v>INE01CY077C5</v>
        <stp/>
        <stp>bse_cm|1225ICLF26</stp>
        <stp>Isin code</stp>
        <tr r="R1217" s="1"/>
      </tp>
      <tp>
        <v>0</v>
        <stp/>
        <stp>bse_cm|SCL310524A</stp>
        <stp>ATP</stp>
        <tr r="K918" s="1"/>
      </tp>
      <tp>
        <v>0</v>
        <stp/>
        <stp>bse_cm|790MMFSL27</stp>
        <stp>ATP</stp>
        <tr r="K1189" s="1"/>
      </tp>
      <tp t="s">
        <v>NIDO28</v>
        <stp/>
        <stp>bse_cm|NIDO28</stp>
        <stp>Trading Symbol</stp>
        <tr r="B1243" s="1"/>
      </tp>
      <tp t="s">
        <v>NIDO25</v>
        <stp/>
        <stp>bse_cm|NIDO25</stp>
        <stp>Trading Symbol</stp>
        <tr r="B1726" s="1"/>
      </tp>
      <tp t="s">
        <v>NIDO26</v>
        <stp/>
        <stp>bse_cm|NIDO26</stp>
        <stp>Trading Symbol</stp>
        <tr r="B1244" s="1"/>
      </tp>
      <tp t="s">
        <v>NIDO27</v>
        <stp/>
        <stp>bse_cm|NIDO27</stp>
        <stp>Trading Symbol</stp>
        <tr r="B1661" s="1"/>
      </tp>
      <tp>
        <v>1248</v>
        <stp/>
        <stp>bse_cm|MMFSL26</stp>
        <stp>Prev Close</stp>
        <tr r="P1258" s="1"/>
      </tp>
      <tp>
        <v>0</v>
        <stp/>
        <stp>bse_cm|795MMFSL32</stp>
        <stp>ATP</stp>
        <tr r="K1184" s="1"/>
      </tp>
      <tp t="s">
        <v>INE774D08LU6</v>
        <stp/>
        <stp>bse_cm|872MMFSL26</stp>
        <stp>Isin code</stp>
        <tr r="R406" s="1"/>
      </tp>
      <tp>
        <v>0</v>
        <stp/>
        <stp>bse_cm|IML1622024</stp>
        <stp>ATP</stp>
        <tr r="K1328" s="1"/>
      </tp>
      <tp t="s">
        <v>99JFPL25</v>
        <stp/>
        <stp>bse_cm|99JFPL25</stp>
        <stp>Symbol</stp>
        <tr r="A1670" s="1"/>
      </tp>
      <tp>
        <v>0</v>
        <stp/>
        <stp>bse_cm|10SMCGSL26</stp>
        <stp>ATP</stp>
        <tr r="K138" s="1"/>
      </tp>
      <tp t="s">
        <v>INE721A07OQ7</v>
        <stp/>
        <stp>bse_cm|97SFL29</stp>
        <stp>Isin code</stp>
        <tr r="R21" s="1"/>
      </tp>
      <tp>
        <v>0</v>
        <stp/>
        <stp>bse_cm|IFL1942024</stp>
        <stp>ATP</stp>
        <tr r="K1594" s="1"/>
      </tp>
      <tp t="s">
        <v>9PEL25-N0</v>
        <stp/>
        <stp>nse_cm|9PEL25-N0</stp>
        <stp>Trading Symbol</stp>
        <tr r="B341" s="1"/>
      </tp>
      <tp>
        <v>0</v>
        <stp/>
        <stp>bse_cm|935MOFSL29</stp>
        <stp>ATP</stp>
        <tr r="K1602" s="1"/>
      </tp>
      <tp t="s">
        <v>0SCL26-YR</v>
        <stp/>
        <stp>nse_cm|0SCL26-YR</stp>
        <stp>Trading Symbol</stp>
        <tr r="B1622" s="1"/>
      </tp>
      <tp>
        <v>0</v>
        <stp/>
        <stp>bse_cm|885MOFSL26</stp>
        <stp>ATP</stp>
        <tr r="K1643" s="1"/>
      </tp>
      <tp>
        <v>0</v>
        <stp/>
        <stp>bse_cm|897MOFSL29</stp>
        <stp>ATP</stp>
        <tr r="K332" s="1"/>
      </tp>
      <tp>
        <v>0</v>
        <stp/>
        <stp>bse_cm|935MMFSL29</stp>
        <stp>ATP</stp>
        <tr r="K1174" s="1"/>
      </tp>
      <tp>
        <v>0</v>
        <stp/>
        <stp>bse_cm|805MMFSL32</stp>
        <stp>ATP</stp>
        <tr r="K401" s="1"/>
      </tp>
      <tp>
        <v>819.65</v>
        <stp/>
        <stp>nse_cm|1075SCL33B-NW</stp>
        <stp>Bid Rate</stp>
        <tr r="E889" s="1"/>
      </tp>
      <tp>
        <v>0</v>
        <stp/>
        <stp>bse_cm|872MMFSL26</stp>
        <stp>ATP</stp>
        <tr r="K406" s="1"/>
      </tp>
      <tp>
        <v>0</v>
        <stp/>
        <stp>bse_cm|853MMFSL26</stp>
        <stp>ATP</stp>
        <tr r="K1005" s="1"/>
      </tp>
      <tp>
        <v>0</v>
        <stp/>
        <stp>bse_cm|800MMFSL27</stp>
        <stp>ATP</stp>
        <tr r="K436" s="1"/>
      </tp>
      <tp>
        <v>985</v>
        <stp/>
        <stp>nse_cm|1049DLS25A-Y5</stp>
        <stp>Ask Rate</stp>
        <tr r="F44" s="1"/>
      </tp>
      <tp>
        <v>0</v>
        <stp/>
        <stp>bse_cm|775MFLTD25</stp>
        <stp>Volume Traded Today</stp>
        <tr r="L649" s="1"/>
      </tp>
      <tp>
        <v>0</v>
        <stp/>
        <stp>bse_cm|775MFLTD26</stp>
        <stp>Volume Traded Today</stp>
        <tr r="L652" s="1"/>
      </tp>
      <tp>
        <v>0</v>
        <stp/>
        <stp>bse_cm|775MFLTD28</stp>
        <stp>Volume Traded Today</stp>
        <tr r="L1192" s="1"/>
      </tp>
      <tp>
        <v>1057.8</v>
        <stp/>
        <stp>bse_cm|9EFSL25</stp>
        <stp>Prev Close</stp>
        <tr r="P606" s="1"/>
      </tp>
      <tp>
        <v>987.57</v>
        <stp/>
        <stp>bse_cm|9EFSL26</stp>
        <stp>Prev Close</stp>
        <tr r="P581" s="1"/>
      </tp>
      <tp>
        <v>0</v>
        <stp/>
        <stp>nse_cm|875PCHFL31-N9</stp>
        <stp>Ask Rate</stp>
        <tr r="F1012" s="1"/>
      </tp>
      <tp>
        <v>1009</v>
        <stp/>
        <stp>nse_cm|875PCHFL26-N8</stp>
        <stp>Ask Rate</stp>
        <tr r="F271" s="1"/>
      </tp>
      <tp>
        <v>1079</v>
        <stp/>
        <stp>bse_cm|905SC24</stp>
        <stp>Prev Close</stp>
        <tr r="P573" s="1"/>
      </tp>
      <tp>
        <v>1000</v>
        <stp/>
        <stp>bse_cm|CIFC26A</stp>
        <stp>Face Value</stp>
        <tr r="Q740" s="1"/>
      </tp>
      <tp>
        <v>1000</v>
        <stp/>
        <stp>bse_cm|88SCL25</stp>
        <stp>Face Value</stp>
        <tr r="Q987" s="1"/>
      </tp>
      <tp>
        <v>1000</v>
        <stp/>
        <stp>bse_cm|89SCL24</stp>
        <stp>Face Value</stp>
        <tr r="Q1153" s="1"/>
      </tp>
      <tp>
        <v>1000</v>
        <stp/>
        <stp>bse_cm|87SCL27</stp>
        <stp>Face Value</stp>
        <tr r="Q978" s="1"/>
      </tp>
      <tp>
        <v>667</v>
        <stp/>
        <stp>bse_cm|87SCL25</stp>
        <stp>Face Value</stp>
        <tr r="Q958" s="1"/>
      </tp>
      <tp t="s">
        <v>INE414G07FX0</v>
        <stp/>
        <stp>bse_cm|MFLVIII26H</stp>
        <stp>Isin code</stp>
        <tr r="R1575" s="1"/>
      </tp>
      <tp t="s">
        <v>INE414G07GK5</v>
        <stp/>
        <stp>bse_cm|MFLVIII27H</stp>
        <stp>Isin code</stp>
        <tr r="R1274" s="1"/>
      </tp>
      <tp>
        <v>1000</v>
        <stp/>
        <stp>bse_cm|98SCL27</stp>
        <stp>Face Value</stp>
        <tr r="Q1545" s="1"/>
      </tp>
      <tp>
        <v>1000</v>
        <stp/>
        <stp>bse_cm|99SCL27</stp>
        <stp>Face Value</stp>
        <tr r="Q1169" s="1"/>
      </tp>
      <tp>
        <v>1000</v>
        <stp/>
        <stp>bse_cm|98SCL34</stp>
        <stp>Face Value</stp>
        <tr r="Q1053" s="1"/>
      </tp>
      <tp>
        <v>1000</v>
        <stp/>
        <stp>bse_cm|96SCL25</stp>
        <stp>Face Value</stp>
        <tr r="Q1068" s="1"/>
      </tp>
      <tp>
        <v>1000</v>
        <stp/>
        <stp>bse_cm|94SCL27</stp>
        <stp>Face Value</stp>
        <tr r="Q1152" s="1"/>
      </tp>
      <tp>
        <v>1000</v>
        <stp/>
        <stp>bse_cm|93SCL24</stp>
        <stp>Face Value</stp>
        <tr r="Q945" s="1"/>
      </tp>
      <tp>
        <v>1000</v>
        <stp/>
        <stp>bse_cm|93SCL25</stp>
        <stp>Face Value</stp>
        <tr r="Q729" s="1"/>
      </tp>
      <tp>
        <v>1000</v>
        <stp/>
        <stp>bse_cm|9MFCL26</stp>
        <stp>Face Value</stp>
        <tr r="Q156" s="1"/>
      </tp>
      <tp>
        <v>1000</v>
        <stp/>
        <stp>bse_cm|12CCI29</stp>
        <stp>Face Value</stp>
        <tr r="Q91" s="1"/>
      </tp>
      <tp>
        <v>1000</v>
        <stp/>
        <stp>bse_cm|11CCI26</stp>
        <stp>Face Value</stp>
        <tr r="Q1220" s="1"/>
      </tp>
      <tp>
        <v>750.2</v>
        <stp/>
        <stp>nse_cm|1025SCL33A-N1</stp>
        <stp>Bid Rate</stp>
        <tr r="E834" s="1"/>
      </tp>
      <tp>
        <v>810</v>
        <stp/>
        <stp>nse_cm|1075SCL33A-N2</stp>
        <stp>Bid Rate</stp>
        <tr r="E630" s="1"/>
      </tp>
      <tp>
        <v>1000</v>
        <stp/>
        <stp>bse_cm|7PFCL31</stp>
        <stp>Face Value</stp>
        <tr r="Q425" s="1"/>
      </tp>
      <tp>
        <v>1000</v>
        <stp/>
        <stp>bse_cm|10VCL25</stp>
        <stp>Face Value</stp>
        <tr r="Q1646" s="1"/>
      </tp>
      <tp>
        <v>1000</v>
        <stp/>
        <stp>bse_cm|11CCL26</stp>
        <stp>Face Value</stp>
        <tr r="Q1219" s="1"/>
      </tp>
      <tp>
        <v>1000</v>
        <stp/>
        <stp>bse_cm|11UCL26</stp>
        <stp>Face Value</stp>
        <tr r="Q323" s="1"/>
      </tp>
      <tp>
        <v>1000</v>
        <stp/>
        <stp>bse_cm|10SCL31</stp>
        <stp>Face Value</stp>
        <tr r="Q1085" s="1"/>
      </tp>
      <tp t="s">
        <v>INE741K07520</v>
        <stp/>
        <stp>nse_cm|910CAGL25-N7</stp>
        <stp>Isin code</stp>
        <tr r="R622" s="1"/>
      </tp>
      <tp t="s">
        <v>BSE</v>
        <stp/>
        <stp>bse_cm|SCLZC26A</stp>
        <stp>Exchange</stp>
        <tr r="C1343" s="1"/>
      </tp>
      <tp t="s">
        <v>BSE</v>
        <stp/>
        <stp>bse_cm|SFLZC26A</stp>
        <stp>Exchange</stp>
        <tr r="C1713" s="1"/>
      </tp>
      <tp t="s">
        <v>BSE</v>
        <stp/>
        <stp>bse_cm|MFLZC26A</stp>
        <stp>Exchange</stp>
        <tr r="C1715" s="1"/>
      </tp>
      <tp>
        <v>100</v>
        <stp/>
        <stp>nse_cm|736PFCL28-N2</stp>
        <stp>Ask Qty</stp>
        <tr r="G11" s="1"/>
      </tp>
      <tp t="s">
        <v>BSE</v>
        <stp/>
        <stp>bse_cm|KFLZC26A</stp>
        <stp>Exchange</stp>
        <tr r="C1442" s="1"/>
      </tp>
      <tp>
        <v>0</v>
        <stp/>
        <stp>bse_cm|IML23623</stp>
        <stp>Ask Rate</stp>
        <tr r="F1327" s="1"/>
      </tp>
      <tp>
        <v>0</v>
        <stp/>
        <stp>bse_cm|MMFL27</stp>
        <stp>Open</stp>
        <tr r="M1513" s="1"/>
      </tp>
      <tp t="s">
        <v>BSE</v>
        <stp/>
        <stp>bse_cm|SCLZC26C</stp>
        <stp>Exchange</stp>
        <tr r="C1399" s="1"/>
      </tp>
      <tp t="s">
        <v>BSE</v>
        <stp/>
        <stp>bse_cm|MFLZC26C</stp>
        <stp>Exchange</stp>
        <tr r="C1350" s="1"/>
      </tp>
      <tp t="s">
        <v>BSE</v>
        <stp/>
        <stp>bse_cm|KFLZC26C</stp>
        <stp>Exchange</stp>
        <tr r="C1744" s="1"/>
      </tp>
      <tp>
        <v>0</v>
        <stp/>
        <stp>bse_cm|971SCL29</stp>
        <stp xml:space="preserve">Low </stp>
        <tr r="O521" s="1"/>
      </tp>
      <tp>
        <v>1035.8</v>
        <stp/>
        <stp>bse_cm|927MFL26</stp>
        <stp>High</stp>
        <tr r="N1457" s="1"/>
      </tp>
      <tp t="s">
        <v>BSE</v>
        <stp/>
        <stp>bse_cm|SCLZC26B</stp>
        <stp>Exchange</stp>
        <tr r="C992" s="1"/>
      </tp>
      <tp>
        <v>964.34</v>
        <stp/>
        <stp>nse_cm|87SCL27A-ZK</stp>
        <stp>Ask Rate</stp>
        <tr r="F1416" s="1"/>
      </tp>
      <tp t="s">
        <v>BSE</v>
        <stp/>
        <stp>bse_cm|MFLZC26B</stp>
        <stp>Exchange</stp>
        <tr r="C1272" s="1"/>
      </tp>
      <tp t="s">
        <v>BSE</v>
        <stp/>
        <stp>bse_cm|KFLZC26B</stp>
        <stp>Exchange</stp>
        <tr r="C1711" s="1"/>
      </tp>
      <tp>
        <v>200</v>
        <stp/>
        <stp>nse_cm|735PFCL35-N1</stp>
        <stp>Ask Qty</stp>
        <tr r="G26" s="1"/>
      </tp>
      <tp>
        <v>13</v>
        <stp/>
        <stp>nse_cm|865IIFL28-NS</stp>
        <stp>Ask Qty</stp>
        <tr r="G74" s="1"/>
      </tp>
      <tp>
        <v>900</v>
        <stp/>
        <stp>bse_cm|971SCL28</stp>
        <stp xml:space="preserve">Low </stp>
        <tr r="O1028" s="1"/>
      </tp>
      <tp>
        <v>0</v>
        <stp/>
        <stp>bse_cm|MMFL25</stp>
        <stp>Open</stp>
        <tr r="M1725" s="1"/>
      </tp>
      <tp t="s">
        <v>BSE</v>
        <stp/>
        <stp>bse_cm|SCLZC26E</stp>
        <stp>Exchange</stp>
        <tr r="C900" s="1"/>
      </tp>
      <tp t="s">
        <v>BSE</v>
        <stp/>
        <stp>bse_cm|MFLZC26E</stp>
        <stp>Exchange</stp>
        <tr r="C1651" s="1"/>
      </tp>
      <tp t="s">
        <v>BSE</v>
        <stp/>
        <stp>bse_cm|KFLZC26E</stp>
        <stp>Exchange</stp>
        <tr r="C1293" s="1"/>
      </tp>
      <tp>
        <v>0</v>
        <stp/>
        <stp>bse_cm|801TCH28</stp>
        <stp xml:space="preserve">Low </stp>
        <tr r="O1182" s="1"/>
      </tp>
      <tp>
        <v>0</v>
        <stp/>
        <stp>bse_cm|MFLV29</stp>
        <stp>Open</stp>
        <tr r="M361" s="1"/>
      </tp>
      <tp>
        <v>0</v>
        <stp/>
        <stp>bse_cm|IML16224</stp>
        <stp>Ask Rate</stp>
        <tr r="F1499" s="1"/>
      </tp>
      <tp>
        <v>0</v>
        <stp/>
        <stp>bse_cm|MML11924</stp>
        <stp>Ask Rate</stp>
        <tr r="F1536" s="1"/>
      </tp>
      <tp>
        <v>0</v>
        <stp/>
        <stp>bse_cm|IFL19424</stp>
        <stp>Ask Rate</stp>
        <tr r="F1344" s="1"/>
      </tp>
      <tp>
        <v>940</v>
        <stp/>
        <stp>bse_cm|967EFS28</stp>
        <stp>High</stp>
        <tr r="N190" s="1"/>
      </tp>
      <tp t="s">
        <v>BSE</v>
        <stp/>
        <stp>bse_cm|SCLZC26D</stp>
        <stp>Exchange</stp>
        <tr r="C705" s="1"/>
      </tp>
      <tp t="s">
        <v>BSE</v>
        <stp/>
        <stp>bse_cm|MFLZC26D</stp>
        <stp>Exchange</stp>
        <tr r="C1440" s="1"/>
      </tp>
      <tp t="s">
        <v>BSE</v>
        <stp/>
        <stp>bse_cm|KFLZC26D</stp>
        <stp>Exchange</stp>
        <tr r="C1294" s="1"/>
      </tp>
      <tp>
        <v>15</v>
        <stp/>
        <stp>bse_cm|1035UCL24</stp>
        <stp>Bid Qty</stp>
        <tr r="D1580" s="1"/>
      </tp>
      <tp>
        <v>2</v>
        <stp/>
        <stp>bse_cm|1035UCL26</stp>
        <stp>Bid Qty</stp>
        <tr r="D1626" s="1"/>
      </tp>
      <tp>
        <v>3</v>
        <stp/>
        <stp>bse_cm|1125KLM26</stp>
        <stp>Bid Qty</stp>
        <tr r="D1227" s="1"/>
      </tp>
      <tp>
        <v>0</v>
        <stp/>
        <stp>bse_cm|MML27524</stp>
        <stp>Ask Rate</stp>
        <tr r="F1511" s="1"/>
      </tp>
      <tp>
        <v>0</v>
        <stp/>
        <stp>bse_cm|SFL27224</stp>
        <stp>Ask Rate</stp>
        <tr r="F805" s="1"/>
      </tp>
      <tp t="s">
        <v>BSE</v>
        <stp/>
        <stp>bse_cm|SCLZC26G</stp>
        <stp>Exchange</stp>
        <tr r="C799" s="1"/>
      </tp>
      <tp>
        <v>10</v>
        <stp/>
        <stp>nse_cm|960ISFL25-N1</stp>
        <stp>Ask Qty</stp>
        <tr r="G1695" s="1"/>
      </tp>
      <tp>
        <v>50</v>
        <stp/>
        <stp>nse_cm|830PFCL27-N5</stp>
        <stp>Ask Qty</stp>
        <tr r="G400" s="1"/>
      </tp>
      <tp>
        <v>258</v>
        <stp/>
        <stp>nse_cm|970CAGL28-ND</stp>
        <stp>Ask Qty</stp>
        <tr r="G306" s="1"/>
      </tp>
      <tp t="s">
        <v>BSE</v>
        <stp/>
        <stp>bse_cm|SCLZC26F</stp>
        <stp>Exchange</stp>
        <tr r="C898" s="1"/>
      </tp>
      <tp>
        <v>0</v>
        <stp/>
        <stp>nse_cm|792TCH25-N3</stp>
        <stp>Volume Traded Today</stp>
        <tr r="L1187" s="1"/>
      </tp>
      <tp>
        <v>7</v>
        <stp/>
        <stp>nse_cm|1003SCL31-ZQ</stp>
        <stp>Bid Qty</stp>
        <tr r="D688" s="1"/>
      </tp>
      <tp>
        <v>1002</v>
        <stp/>
        <stp>bse_cm|980SCL33</stp>
        <stp xml:space="preserve">Low </stp>
        <tr r="O998" s="1"/>
      </tp>
      <tp>
        <v>0</v>
        <stp/>
        <stp>bse_cm|MFLI25</stp>
        <stp>Open</stp>
        <tr r="M447" s="1"/>
      </tp>
      <tp t="s">
        <v>BSE</v>
        <stp/>
        <stp>bse_cm|SCLZC26H</stp>
        <stp>Exchange</stp>
        <tr r="C814" s="1"/>
      </tp>
      <tp>
        <v>6</v>
        <stp/>
        <stp>nse_cm|1015SCL29-ZL</stp>
        <stp>Bid Qty</stp>
        <tr r="D1176" s="1"/>
      </tp>
      <tp>
        <v>12</v>
        <stp/>
        <stp>nse_cm|1025SCL33-YJ</stp>
        <stp>Bid Qty</stp>
        <tr r="D836" s="1"/>
      </tp>
      <tp>
        <v>999.95</v>
        <stp/>
        <stp>bse_cm|801TCH25</stp>
        <stp xml:space="preserve">Low </stp>
        <tr r="O562" s="1"/>
      </tp>
      <tp>
        <v>10</v>
        <stp/>
        <stp>nse_cm|863IRFC29-NC</stp>
        <stp>Ask Qty</stp>
        <tr r="G554" s="1"/>
      </tp>
      <tp>
        <v>5</v>
        <stp/>
        <stp>nse_cm|1025SCL34-Z8</stp>
        <stp>Bid Qty</stp>
        <tr r="D128" s="1"/>
      </tp>
      <tp>
        <v>0</v>
        <stp/>
        <stp>bse_cm|MFLV27</stp>
        <stp>Open</stp>
        <tr r="M1508" s="1"/>
      </tp>
      <tp t="s">
        <v>INE516Y07360</v>
        <stp/>
        <stp>nse_cm|85PCHFL26-N7</stp>
        <stp>Isin code</stp>
        <tr r="R712" s="1"/>
      </tp>
      <tp>
        <v>0</v>
        <stp/>
        <stp>nse_cm|950IIFL27-Y2</stp>
        <stp>Bid Qty</stp>
        <tr r="D995" s="1"/>
      </tp>
      <tp>
        <v>13</v>
        <stp/>
        <stp>nse_cm|850SCFL25-Y4</stp>
        <stp>Bid Qty</stp>
        <tr r="D924" s="1"/>
      </tp>
      <tp>
        <v>8</v>
        <stp/>
        <stp>nse_cm|1075SCL33-YK</stp>
        <stp>Bid Qty</stp>
        <tr r="D707" s="1"/>
      </tp>
      <tp>
        <v>0</v>
        <stp/>
        <stp>nse_cm|965SCFL25-AB</stp>
        <stp>Ask Qty</stp>
        <tr r="G664" s="1"/>
      </tp>
      <tp>
        <v>5</v>
        <stp/>
        <stp>nse_cm|865IRFC29-NA</stp>
        <stp>Ask Qty</stp>
        <tr r="G491" s="1"/>
      </tp>
      <tp>
        <v>950.2</v>
        <stp/>
        <stp>bse_cm|87SCL27A</stp>
        <stp>Bid Rate</stp>
        <tr r="E644" s="1"/>
      </tp>
      <tp>
        <v>10</v>
        <stp/>
        <stp>nse_cm|SCL310524-ZF</stp>
        <stp>Bid Qty</stp>
        <tr r="D593" s="1"/>
      </tp>
      <tp>
        <v>0</v>
        <stp/>
        <stp>nse_cm|87SCL24A-ZF</stp>
        <stp>Ask Rate</stp>
        <tr r="F959" s="1"/>
      </tp>
      <tp>
        <v>20</v>
        <stp/>
        <stp>nse_cm|1050SCL31-ZP</stp>
        <stp>Bid Qty</stp>
        <tr r="D891" s="1"/>
      </tp>
      <tp>
        <v>50</v>
        <stp/>
        <stp>nse_cm|764IRFC31-NO</stp>
        <stp>Ask Qty</stp>
        <tr r="G468" s="1"/>
      </tp>
      <tp>
        <v>1019</v>
        <stp/>
        <stp>bse_cm|931SFL26</stp>
        <stp xml:space="preserve">Low </stp>
        <tr r="O1492" s="1"/>
      </tp>
      <tp>
        <v>10</v>
        <stp/>
        <stp>nse_cm|1075SCL34-ZR</stp>
        <stp>Bid Qty</stp>
        <tr r="D1366" s="1"/>
      </tp>
      <tp>
        <v>0</v>
        <stp/>
        <stp>bse_cm|980SCL34</stp>
        <stp xml:space="preserve">Low </stp>
        <tr r="O829" s="1"/>
      </tp>
      <tp>
        <v>10</v>
        <stp/>
        <stp>nse_cm|1030ICC26-NJ</stp>
        <stp>Bid Qty</stp>
        <tr r="D1514" s="1"/>
      </tp>
      <tp t="s">
        <v>BSE</v>
        <stp/>
        <stp>bse_cm|MFLII26B</stp>
        <stp>Exchange</stp>
        <tr r="C1454" s="1"/>
      </tp>
      <tp>
        <v>0</v>
        <stp/>
        <stp>nse_cm|1003SCL30-BW</stp>
        <stp>Bid Qty</stp>
        <tr r="D876" s="1"/>
      </tp>
      <tp>
        <v>1070.1099999999999</v>
        <stp/>
        <stp>bse_cm|961ONE27</stp>
        <stp xml:space="preserve">Low </stp>
        <tr r="O628" s="1"/>
      </tp>
      <tp>
        <v>985.05</v>
        <stp/>
        <stp>bse_cm|921ONE27</stp>
        <stp xml:space="preserve">Low </stp>
        <tr r="O1428" s="1"/>
      </tp>
      <tp>
        <v>0</v>
        <stp/>
        <stp>bse_cm|MFLVI32F</stp>
        <stp>Ask Rate</stp>
        <tr r="F704" s="1"/>
      </tp>
      <tp>
        <v>850.2</v>
        <stp/>
        <stp>bse_cm|941ONE26</stp>
        <stp xml:space="preserve">Low </stp>
        <tr r="O263" s="1"/>
      </tp>
      <tp>
        <v>0</v>
        <stp/>
        <stp>nse_cm|852LTF27-NG</stp>
        <stp>Open</stp>
        <tr r="M1006" s="1"/>
      </tp>
      <tp>
        <v>0</v>
        <stp/>
        <stp>nse_cm|875SCL27-YQ</stp>
        <stp xml:space="preserve">Low </stp>
        <tr r="O937" s="1"/>
      </tp>
      <tp>
        <v>975</v>
        <stp/>
        <stp>bse_cm|891ONE25</stp>
        <stp xml:space="preserve">Low </stp>
        <tr r="O1339" s="1"/>
      </tp>
      <tp>
        <v>100</v>
        <stp/>
        <stp>nse_cm|750IRFC35-NK</stp>
        <stp>Bid Qty</stp>
        <tr r="D485" s="1"/>
      </tp>
      <tp t="s">
        <v>INE121A07QZ6</v>
        <stp/>
        <stp>nse_cm|CIFCZC26A-N3</stp>
        <stp>Isin code</stp>
        <tr r="R1565" s="1"/>
      </tp>
      <tp>
        <v>8</v>
        <stp/>
        <stp>nse_cm|866SCFL25-Y8</stp>
        <stp>Ask Qty</stp>
        <tr r="G158" s="1"/>
      </tp>
      <tp>
        <v>0</v>
        <stp/>
        <stp>nse_cm|957ICCL25-YW</stp>
        <stp>% Change</stp>
        <tr r="J386" s="1"/>
      </tp>
      <tp>
        <v>0</v>
        <stp/>
        <stp>bse_cm|12IML26A</stp>
        <stp>ATP</stp>
        <tr r="K1212" s="1"/>
      </tp>
      <tp>
        <v>1</v>
        <stp/>
        <stp>nse_cm|1040UCL25-N4</stp>
        <stp>Bid Qty</stp>
        <tr r="D669" s="1"/>
      </tp>
      <tp>
        <v>0</v>
        <stp/>
        <stp>bse_cm|1003SCL31</stp>
        <stp>Ask Qty</stp>
        <tr r="G727" s="1"/>
      </tp>
      <tp>
        <v>0</v>
        <stp/>
        <stp>bse_cm|1003SCL30</stp>
        <stp>Ask Qty</stp>
        <tr r="G877" s="1"/>
      </tp>
      <tp>
        <v>34</v>
        <stp/>
        <stp>bse_cm|1102NFL26</stp>
        <stp>Ask Qty</stp>
        <tr r="G567" s="1"/>
      </tp>
      <tp>
        <v>100</v>
        <stp/>
        <stp>nse_cm|945CAGL24-N1</stp>
        <stp>Bid Qty</stp>
        <tr r="D1704" s="1"/>
      </tp>
      <tp>
        <v>31</v>
        <stp/>
        <stp>nse_cm|1050SCL30-NU</stp>
        <stp>Bid Qty</stp>
        <tr r="D893" s="1"/>
      </tp>
      <tp>
        <v>51</v>
        <stp/>
        <stp>nse_cm|1050UCL25-N7</stp>
        <stp>Bid Qty</stp>
        <tr r="D201" s="1"/>
      </tp>
      <tp>
        <v>10</v>
        <stp/>
        <stp>bse_cm|1003VCL25</stp>
        <stp>Ask Qty</stp>
        <tr r="G151" s="1"/>
      </tp>
      <tp>
        <v>15</v>
        <stp/>
        <stp>nse_cm|1060ECL29-NS</stp>
        <stp>Bid Qty</stp>
        <tr r="D144" s="1"/>
      </tp>
      <tp>
        <v>20</v>
        <stp/>
        <stp>nse_cm|910TCAP28-NA</stp>
        <stp>Ask Qty</stp>
        <tr r="G411" s="1"/>
      </tp>
      <tp>
        <v>100</v>
        <stp/>
        <stp>bse_cm|1050CCI25</stp>
        <stp>Ask Qty</stp>
        <tr r="G173" s="1"/>
      </tp>
      <tp>
        <v>0</v>
        <stp/>
        <stp>bse_cm|MVAF27</stp>
        <stp>Open</stp>
        <tr r="M1689" s="1"/>
      </tp>
      <tp>
        <v>977</v>
        <stp/>
        <stp>bse_cm|957VCL25</stp>
        <stp>High</stp>
        <tr r="N53" s="1"/>
      </tp>
      <tp>
        <v>190</v>
        <stp/>
        <stp>nse_cm|957ISFL26-N2</stp>
        <stp>Bid Qty</stp>
        <tr r="D245" s="1"/>
      </tp>
      <tp>
        <v>1000</v>
        <stp/>
        <stp>bse_cm|1125KLM26A</stp>
        <stp>Prev Close</stp>
        <tr r="P1226" s="1"/>
      </tp>
      <tp>
        <v>1</v>
        <stp/>
        <stp>nse_cm|1075UCL25-N9</stp>
        <stp>Bid Qty</stp>
        <tr r="D498" s="1"/>
      </tp>
      <tp t="s">
        <v>BSE</v>
        <stp/>
        <stp>bse_cm|94MFL27A</stp>
        <stp>Exchange</stp>
        <tr r="C420" s="1"/>
      </tp>
      <tp>
        <v>1000</v>
        <stp/>
        <stp>nse_cm|940CAGL27-NB</stp>
        <stp>Bid Qty</stp>
        <tr r="D1367" s="1"/>
      </tp>
      <tp>
        <v>0</v>
        <stp/>
        <stp>bse_cm|CCILZC26</stp>
        <stp>ATP</stp>
        <tr r="K748" s="1"/>
      </tp>
      <tp>
        <v>0</v>
        <stp/>
        <stp>bse_cm|CCILZC25</stp>
        <stp>ATP</stp>
        <tr r="K1376" s="1"/>
      </tp>
      <tp>
        <v>0</v>
        <stp/>
        <stp>bse_cm|CCILZC24</stp>
        <stp>ATP</stp>
        <tr r="K750" s="1"/>
      </tp>
      <tp>
        <v>3</v>
        <stp/>
        <stp>nse_cm|850IIFL27-NA</stp>
        <stp>Bid Qty</stp>
        <tr r="D608" s="1"/>
      </tp>
      <tp>
        <v>0</v>
        <stp/>
        <stp>bse_cm|CCILZC29</stp>
        <stp>ATP</stp>
        <tr r="K747" s="1"/>
      </tp>
      <tp>
        <v>100</v>
        <stp/>
        <stp>nse_cm|1015ECL29-NR</stp>
        <stp>Bid Qty</stp>
        <tr r="D204" s="1"/>
      </tp>
      <tp>
        <v>3</v>
        <stp/>
        <stp>nse_cm|1015SCL28-NR</stp>
        <stp>Bid Qty</stp>
        <tr r="D288" s="1"/>
      </tp>
      <tp>
        <v>0</v>
        <stp/>
        <stp>bse_cm|CCILZC30</stp>
        <stp>ATP</stp>
        <tr r="K746" s="1"/>
      </tp>
      <tp>
        <v>980.11</v>
        <stp/>
        <stp>bse_cm|847SCL25</stp>
        <stp>High</stp>
        <tr r="N941" s="1"/>
      </tp>
      <tp>
        <v>10</v>
        <stp/>
        <stp>nse_cm|1025UCL25-N8</stp>
        <stp>Bid Qty</stp>
        <tr r="D217" s="1"/>
      </tp>
      <tp>
        <v>823</v>
        <stp/>
        <stp>bse_cm|921ONE29</stp>
        <stp xml:space="preserve">Low </stp>
        <tr r="O1112" s="1"/>
      </tp>
      <tp t="s">
        <v>NSE</v>
        <stp/>
        <stp>nse_cm|93SCL24A-ZN</stp>
        <stp>Exchange</stp>
        <tr r="C695" s="1"/>
      </tp>
      <tp t="s">
        <v>INE583D07448</v>
        <stp/>
        <stp>nse_cm|1035UCL26-NA</stp>
        <stp>Isin code</stp>
        <tr r="R1627" s="1"/>
      </tp>
      <tp>
        <v>13</v>
        <stp/>
        <stp>nse_cm|1035UCL26-NA</stp>
        <stp>Bid Qty</stp>
        <tr r="D1627" s="1"/>
      </tp>
      <tp>
        <v>0</v>
        <stp/>
        <stp>bse_cm|857SCL24</stp>
        <stp>High</stp>
        <tr r="N1002" s="1"/>
      </tp>
      <tp t="s">
        <v>920PEL28-N2</v>
        <stp/>
        <stp>nse_cm|920PEL28-N2</stp>
        <stp>Trading Symbol</stp>
        <tr r="B373" s="1"/>
      </tp>
      <tp>
        <v>45</v>
        <stp/>
        <stp>nse_cm|1035UCL24-N6</stp>
        <stp>Bid Qty</stp>
        <tr r="D591" s="1"/>
      </tp>
      <tp>
        <v>0</v>
        <stp/>
        <stp>bse_cm|935SCL28</stp>
        <stp>ATP</stp>
        <tr r="K284" s="1"/>
      </tp>
      <tp t="s">
        <v>BSE</v>
        <stp/>
        <stp>bse_cm|927MFL26</stp>
        <stp>Exchange</stp>
        <tr r="C1457" s="1"/>
      </tp>
      <tp>
        <v>1015.5</v>
        <stp/>
        <stp>bse_cm|SCLZC26B</stp>
        <stp>High</stp>
        <tr r="N992" s="1"/>
      </tp>
      <tp>
        <v>1321</v>
        <stp/>
        <stp>bse_cm|MFLZC26B</stp>
        <stp>High</stp>
        <tr r="N1272" s="1"/>
      </tp>
      <tp>
        <v>0</v>
        <stp/>
        <stp>bse_cm|835IFL25</stp>
        <stp>ATP</stp>
        <tr r="K668" s="1"/>
      </tp>
      <tp t="s">
        <v>00:00:00</v>
        <stp/>
        <stp>bse_cm|845LTF24</stp>
        <stp>LTT</stp>
        <tr r="I943" s="1"/>
      </tp>
      <tp>
        <v>0</v>
        <stp/>
        <stp>bse_cm|835MFL26</stp>
        <stp>ATP</stp>
        <tr r="K169" s="1"/>
      </tp>
      <tp>
        <v>1530</v>
        <stp/>
        <stp>bse_cm|KFLZC26B</stp>
        <stp>High</stp>
        <tr r="N1711" s="1"/>
      </tp>
      <tp>
        <v>0</v>
        <stp/>
        <stp>bse_cm|735MFL25</stp>
        <stp>ATP</stp>
        <tr r="K308" s="1"/>
      </tp>
      <tp>
        <v>0</v>
        <stp/>
        <stp>bse_cm|845LTF24</stp>
        <stp>LTP</stp>
        <tr r="H943" s="1"/>
      </tp>
      <tp>
        <v>0</v>
        <stp/>
        <stp>bse_cm|935MFL29</stp>
        <stp>ATP</stp>
        <tr r="K238" s="1"/>
      </tp>
      <tp>
        <v>1067.8</v>
        <stp/>
        <stp>bse_cm|714REC25</stp>
        <stp>LTP</stp>
        <tr r="H518" s="1"/>
      </tp>
      <tp t="s">
        <v>15:11:34</v>
        <stp/>
        <stp>bse_cm|714REC25</stp>
        <stp>LTT</stp>
        <tr r="I518" s="1"/>
      </tp>
      <tp>
        <v>0</v>
        <stp/>
        <stp>bse_cm|935PEL33</stp>
        <stp>ATP</stp>
        <tr r="K368" s="1"/>
      </tp>
      <tp>
        <v>977</v>
        <stp/>
        <stp>bse_cm|SCLZC26C</stp>
        <stp>High</stp>
        <tr r="N1399" s="1"/>
      </tp>
      <tp>
        <v>1300</v>
        <stp/>
        <stp>bse_cm|MFLZC26C</stp>
        <stp>High</stp>
        <tr r="N1350" s="1"/>
      </tp>
      <tp>
        <v>1339</v>
        <stp/>
        <stp>bse_cm|KFLZC26C</stp>
        <stp>High</stp>
        <tr r="N1744" s="1"/>
      </tp>
      <tp>
        <v>1007</v>
        <stp/>
        <stp>bse_cm|10JFPL30</stp>
        <stp>Prev Close</stp>
        <tr r="P1097" s="1"/>
      </tp>
      <tp>
        <v>0</v>
        <stp/>
        <stp>nse_cm|850SCL25-YL</stp>
        <stp>Ask Rate</stp>
        <tr r="F922" s="1"/>
      </tp>
      <tp>
        <v>1583</v>
        <stp/>
        <stp>bse_cm|SFLZC26A</stp>
        <stp>High</stp>
        <tr r="N1713" s="1"/>
      </tp>
      <tp>
        <v>1850</v>
        <stp/>
        <stp>bse_cm|SCLZC26A</stp>
        <stp>High</stp>
        <tr r="N1343" s="1"/>
      </tp>
      <tp>
        <v>1657</v>
        <stp/>
        <stp>bse_cm|MFLZC26A</stp>
        <stp>High</stp>
        <tr r="N1715" s="1"/>
      </tp>
      <tp>
        <v>1435.81</v>
        <stp/>
        <stp>bse_cm|KFLZC26A</stp>
        <stp>High</stp>
        <tr r="N1442" s="1"/>
      </tp>
      <tp>
        <v>0</v>
        <stp/>
        <stp>bse_cm|843SCL27</stp>
        <stp>Ask Rate</stp>
        <tr r="F928" s="1"/>
      </tp>
      <tp>
        <v>0</v>
        <stp/>
        <stp>nse_cm|865SCL24B-Z8</stp>
        <stp>% Change</stp>
        <tr r="J952" s="1"/>
      </tp>
      <tp>
        <v>0</v>
        <stp/>
        <stp>bse_cm|931SFL26</stp>
        <stp>ATP</stp>
        <tr r="K1492" s="1"/>
      </tp>
      <tp>
        <v>999</v>
        <stp/>
        <stp>nse_cm|829LTF24-NL</stp>
        <stp>Bid Rate</stp>
        <tr r="E3" s="1"/>
      </tp>
      <tp>
        <v>0</v>
        <stp/>
        <stp>bse_cm|SCLZC26F</stp>
        <stp>High</stp>
        <tr r="N898" s="1"/>
      </tp>
      <tp>
        <v>989</v>
        <stp/>
        <stp>nse_cm|78ABFL33-N4</stp>
        <stp>Bid Rate</stp>
        <tr r="E371" s="1"/>
      </tp>
      <tp>
        <v>0</v>
        <stp/>
        <stp>bse_cm|930SFL28</stp>
        <stp>ATP</stp>
        <tr r="K10" s="1"/>
      </tp>
      <tp>
        <v>1000</v>
        <stp/>
        <stp>bse_cm|SCLZC26G</stp>
        <stp>High</stp>
        <tr r="N799" s="1"/>
      </tp>
      <tp>
        <v>10</v>
        <stp/>
        <stp>bse_cm|902SCL27A</stp>
        <stp>Bid Qty</stp>
        <tr r="D1354" s="1"/>
      </tp>
      <tp t="s">
        <v>BSE</v>
        <stp/>
        <stp>bse_cm|967EFS28</stp>
        <stp>Exchange</stp>
        <tr r="C190" s="1"/>
      </tp>
      <tp>
        <v>0</v>
        <stp/>
        <stp>bse_cm|833SCL24</stp>
        <stp>ATP</stp>
        <tr r="K1180" s="1"/>
      </tp>
      <tp>
        <v>0</v>
        <stp/>
        <stp>bse_cm|SCLZC26D</stp>
        <stp>High</stp>
        <tr r="N705" s="1"/>
      </tp>
      <tp>
        <v>1279.5</v>
        <stp/>
        <stp>bse_cm|MFLZC26D</stp>
        <stp>High</stp>
        <tr r="N1440" s="1"/>
      </tp>
      <tp>
        <v>781</v>
        <stp/>
        <stp>bse_cm|KFLZC26D</stp>
        <stp>High</stp>
        <tr r="N1294" s="1"/>
      </tp>
      <tp>
        <v>0</v>
        <stp/>
        <stp>bse_cm|902SCL26I</stp>
        <stp>Bid Qty</stp>
        <tr r="D903" s="1"/>
      </tp>
      <tp>
        <v>0</v>
        <stp/>
        <stp>bse_cm|833SCL24</stp>
        <stp>Ask Rate</stp>
        <tr r="F1180" s="1"/>
      </tp>
      <tp>
        <v>12</v>
        <stp/>
        <stp>bse_cm|902SCL26A</stp>
        <stp>Bid Qty</stp>
        <tr r="D967" s="1"/>
      </tp>
      <tp>
        <v>0</v>
        <stp/>
        <stp>bse_cm|SCLZC26E</stp>
        <stp>High</stp>
        <tr r="N900" s="1"/>
      </tp>
      <tp>
        <v>1051</v>
        <stp/>
        <stp>bse_cm|MFLZC26E</stp>
        <stp>High</stp>
        <tr r="N1651" s="1"/>
      </tp>
      <tp>
        <v>0</v>
        <stp/>
        <stp>bse_cm|KFLZC26E</stp>
        <stp>High</stp>
        <tr r="N1293" s="1"/>
      </tp>
      <tp>
        <v>0</v>
        <stp/>
        <stp>bse_cm|932AEL27</stp>
        <stp>ATP</stp>
        <tr r="K317" s="1"/>
      </tp>
      <tp>
        <v>0</v>
        <stp/>
        <stp>bse_cm|SCLZC26H</stp>
        <stp>High</stp>
        <tr r="N814" s="1"/>
      </tp>
      <tp>
        <v>0</v>
        <stp/>
        <stp>nse_cm|865SCL24-ZA</stp>
        <stp>Ask Rate</stp>
        <tr r="F954" s="1"/>
      </tp>
      <tp>
        <v>1044</v>
        <stp/>
        <stp>bse_cm|903SFL28</stp>
        <stp>Ask Rate</stp>
        <tr r="F397" s="1"/>
      </tp>
      <tp>
        <v>0</v>
        <stp/>
        <stp>bse_cm|718REC35</stp>
        <stp>LTP</stp>
        <tr r="H549" s="1"/>
      </tp>
      <tp>
        <v>0</v>
        <stp/>
        <stp>bse_cm|939SCL27</stp>
        <stp>ATP</stp>
        <tr r="K985" s="1"/>
      </tp>
      <tp t="s">
        <v>00:00:00</v>
        <stp/>
        <stp>bse_cm|718REC35</stp>
        <stp>LTT</stp>
        <tr r="I549" s="1"/>
      </tp>
      <tp>
        <v>1012.8</v>
        <stp/>
        <stp>bse_cm|960EFSLA</stp>
        <stp xml:space="preserve">Low </stp>
        <tr r="O699" s="1"/>
      </tp>
      <tp>
        <v>0</v>
        <stp/>
        <stp>nse_cm|866SFL25-ZE</stp>
        <stp>Ask Rate</stp>
        <tr r="F1389" s="1"/>
      </tp>
      <tp>
        <v>0</v>
        <stp/>
        <stp>bse_cm|898LTF29</stp>
        <stp>ATP</stp>
        <tr r="K416" s="1"/>
      </tp>
      <tp>
        <v>0</v>
        <stp/>
        <stp>nse_cm|888SCL25-NG</stp>
        <stp>Bid Rate</stp>
        <tr r="E912" s="1"/>
      </tp>
      <tp>
        <v>851</v>
        <stp/>
        <stp>nse_cm|971SCL28-AN</stp>
        <stp>Bid Rate</stp>
        <tr r="E538" s="1"/>
      </tp>
      <tp>
        <v>932.51</v>
        <stp/>
        <stp>nse_cm|985ECL28-NK</stp>
        <stp>Bid Rate</stp>
        <tr r="E52" s="1"/>
      </tp>
      <tp>
        <v>908</v>
        <stp/>
        <stp>bse_cm|95KFL27A</stp>
        <stp xml:space="preserve">Low </stp>
        <tr r="O132" s="1"/>
      </tp>
      <tp>
        <v>980</v>
        <stp/>
        <stp>bse_cm|10KFL27A</stp>
        <stp xml:space="preserve">Low </stp>
        <tr r="O1092" s="1"/>
      </tp>
      <tp>
        <v>925.2</v>
        <stp/>
        <stp>nse_cm|82TCHF25-N5</stp>
        <stp>Bid Rate</stp>
        <tr r="E1014" s="1"/>
      </tp>
      <tp>
        <v>800</v>
        <stp/>
        <stp>nse_cm|1015SCL28B-AZ</stp>
        <stp>Face Value</stp>
        <tr r="Q1614" s="1"/>
      </tp>
      <tp t="s">
        <v/>
        <stp/>
        <stp>nse_cm|1048IIFL27-N6</stp>
        <stp>LTT</stp>
        <tr r="I997" s="1"/>
      </tp>
      <tp>
        <v>0</v>
        <stp/>
        <stp>nse_cm|1048IIFL27-N6</stp>
        <stp>LTP</stp>
        <tr r="H997" s="1"/>
      </tp>
      <tp>
        <v>0</v>
        <stp/>
        <stp>bse_cm|971SCL29A</stp>
        <stp>Ask Qty</stp>
        <tr r="G862" s="1"/>
      </tp>
      <tp>
        <v>1000</v>
        <stp/>
        <stp>bse_cm|735MFL25</stp>
        <stp>Face Value</stp>
        <tr r="Q308" s="1"/>
      </tp>
      <tp>
        <v>0</v>
        <stp/>
        <stp>bse_cm|971SCL28A</stp>
        <stp>Ask Qty</stp>
        <tr r="G1027" s="1"/>
      </tp>
      <tp>
        <v>1000</v>
        <stp/>
        <stp>bse_cm|725MFL24</stp>
        <stp>Face Value</stp>
        <tr r="Q446" s="1"/>
      </tp>
      <tp>
        <v>0</v>
        <stp/>
        <stp>bse_cm|971SCL28C</stp>
        <stp>Ask Qty</stp>
        <tr r="G827" s="1"/>
      </tp>
      <tp>
        <v>0</v>
        <stp/>
        <stp>bse_cm|971SCL28B</stp>
        <stp>Ask Qty</stp>
        <tr r="G714" s="1"/>
      </tp>
      <tp>
        <v>0</v>
        <stp/>
        <stp>bse_cm|971SCL28I</stp>
        <stp>Ask Qty</stp>
        <tr r="G1471" s="1"/>
      </tp>
      <tp>
        <v>990</v>
        <stp/>
        <stp>bse_cm|MFLII26B</stp>
        <stp>High</stp>
        <tr r="N1454" s="1"/>
      </tp>
      <tp>
        <v>1000</v>
        <stp/>
        <stp>bse_cm|750MFL27</stp>
        <stp>Face Value</stp>
        <tr r="Q274" s="1"/>
      </tp>
      <tp>
        <v>1000</v>
        <stp/>
        <stp>nse_cm|925IHFL25E-N8</stp>
        <stp>Face Value</stp>
        <tr r="Q561" s="1"/>
      </tp>
      <tp t="s">
        <v>INE148I07PK6</v>
        <stp/>
        <stp>nse_cm|965SCL28C-BR</stp>
        <stp>Isin code</stp>
        <tr r="R817" s="1"/>
      </tp>
      <tp>
        <v>0</v>
        <stp/>
        <stp>nse_cm|824LTF27-NQ</stp>
        <stp>Bid Rate</stp>
        <tr r="E999" s="1"/>
      </tp>
      <tp>
        <v>1000</v>
        <stp/>
        <stp>bse_cm|775MFL25</stp>
        <stp>Face Value</stp>
        <tr r="Q1369" s="1"/>
      </tp>
      <tp>
        <v>1000</v>
        <stp/>
        <stp>bse_cm|775MFL26</stp>
        <stp>Face Value</stp>
        <tr r="Q328" s="1"/>
      </tp>
      <tp>
        <v>1000</v>
        <stp/>
        <stp>bse_cm|775MFL27</stp>
        <stp>Face Value</stp>
        <tr r="Q694" s="1"/>
      </tp>
      <tp>
        <v>1000</v>
        <stp/>
        <stp>nse_cm|1075SCL33B-NW</stp>
        <stp>Face Value</stp>
        <tr r="Q889" s="1"/>
      </tp>
      <tp>
        <v>1000</v>
        <stp/>
        <stp>bse_cm|760MFL25</stp>
        <stp>Face Value</stp>
        <tr r="Q482" s="1"/>
      </tp>
      <tp>
        <v>0</v>
        <stp/>
        <stp>bse_cm|980SCL33D</stp>
        <stp>Ask Qty</stp>
        <tr r="G1022" s="1"/>
      </tp>
      <tp>
        <v>0</v>
        <stp/>
        <stp>bse_cm|980SCL33A</stp>
        <stp>Ask Qty</stp>
        <tr r="G1056" s="1"/>
      </tp>
      <tp>
        <v>0</v>
        <stp/>
        <stp>bse_cm|980SCL33C</stp>
        <stp>Ask Qty</stp>
        <tr r="G1384" s="1"/>
      </tp>
      <tp>
        <v>0</v>
        <stp/>
        <stp>bse_cm|980SCL33B</stp>
        <stp>Ask Qty</stp>
        <tr r="G1054" s="1"/>
      </tp>
      <tp>
        <v>0</v>
        <stp/>
        <stp>bse_cm|772IGT31</stp>
        <stp>Ask Rate</stp>
        <tr r="F1194" s="1"/>
      </tp>
      <tp>
        <v>963</v>
        <stp/>
        <stp>bse_cm|10SCL30A</stp>
        <stp>Open</stp>
        <tr r="M444" s="1"/>
      </tp>
      <tp t="s">
        <v>BSE</v>
        <stp/>
        <stp>bse_cm|957VCL25</stp>
        <stp>Exchange</stp>
        <tr r="C53" s="1"/>
      </tp>
      <tp>
        <v>1002</v>
        <stp/>
        <stp>nse_cm|980SCL33-NX</stp>
        <stp>Bid Rate</stp>
        <tr r="E360" s="1"/>
      </tp>
      <tp>
        <v>1000</v>
        <stp/>
        <stp>bse_cm|785MFL28</stp>
        <stp>Face Value</stp>
        <tr r="Q439" s="1"/>
      </tp>
      <tp>
        <v>0</v>
        <stp/>
        <stp>bse_cm|903ONE26</stp>
        <stp>Ask Rate</stp>
        <tr r="F843" s="1"/>
      </tp>
      <tp>
        <v>1000</v>
        <stp/>
        <stp>bse_cm|78ABFL33</stp>
        <stp>Face Value</stp>
        <tr r="Q378" s="1"/>
      </tp>
      <tp>
        <v>1000</v>
        <stp/>
        <stp>bse_cm|88NWIL25</stp>
        <stp>Face Value</stp>
        <tr r="Q219" s="1"/>
      </tp>
      <tp>
        <v>905.7</v>
        <stp/>
        <stp>nse_cm|889SCL26-NS</stp>
        <stp>Bid Rate</stp>
        <tr r="E222" s="1"/>
      </tp>
      <tp t="s">
        <v>BSE</v>
        <stp/>
        <stp>bse_cm|857SCL24</stp>
        <stp>Exchange</stp>
        <tr r="C1002" s="1"/>
      </tp>
      <tp>
        <v>0</v>
        <stp/>
        <stp>bse_cm|931SFL26A</stp>
        <stp>Ask Qty</stp>
        <tr r="G1086" s="1"/>
      </tp>
      <tp>
        <v>952</v>
        <stp/>
        <stp>bse_cm|943ECL28</stp>
        <stp>Ask Rate</stp>
        <tr r="F124" s="1"/>
      </tp>
      <tp>
        <v>970</v>
        <stp/>
        <stp>nse_cm|93SCL24A-ZN</stp>
        <stp>High</stp>
        <tr r="N695" s="1"/>
      </tp>
      <tp>
        <v>0.48</v>
        <stp/>
        <stp>nse_cm|82IGT31-NJ</stp>
        <stp>% Change</stp>
        <tr r="J375" s="1"/>
      </tp>
      <tp t="s">
        <v>BSE</v>
        <stp/>
        <stp>bse_cm|847SCL25</stp>
        <stp>Exchange</stp>
        <tr r="C941" s="1"/>
      </tp>
      <tp>
        <v>820.2</v>
        <stp/>
        <stp>nse_cm|889SCL28-NU</stp>
        <stp>Bid Rate</stp>
        <tr r="E989" s="1"/>
      </tp>
      <tp>
        <v>0</v>
        <stp/>
        <stp>nse_cm|913ICCL24A-NF</stp>
        <stp>ATP</stp>
        <tr r="K781" s="1"/>
      </tp>
      <tp>
        <v>0</v>
        <stp/>
        <stp>bse_cm|81TCHF28</stp>
        <stp>Volume Traded Today</stp>
        <tr r="L479" s="1"/>
      </tp>
      <tp>
        <v>1194.9000000000001</v>
        <stp/>
        <stp>nse_cm|SCL22-ZC</stp>
        <stp>Prev Close</stp>
        <tr r="P955" s="1"/>
      </tp>
      <tp>
        <v>975.01</v>
        <stp/>
        <stp>bse_cm|94MFL27A</stp>
        <stp>High</stp>
        <tr r="N420" s="1"/>
      </tp>
      <tp>
        <v>875.2</v>
        <stp/>
        <stp>bse_cm|KAFL30</stp>
        <stp>Bid Rate</stp>
        <tr r="E1317" s="1"/>
      </tp>
      <tp t="s">
        <v>INE121A07RJ8</v>
        <stp/>
        <stp>bse_cm|888IHFL25F</stp>
        <stp>Isin code</stp>
        <tr r="R693" s="1"/>
      </tp>
      <tp t="s">
        <v>INE027E07964</v>
        <stp/>
        <stp>nse_cm|92LTF29-N4</stp>
        <stp>Isin code</stp>
        <tr r="R1087" s="1"/>
      </tp>
      <tp>
        <v>0</v>
        <stp/>
        <stp>nse_cm|1025ICCL26-NT</stp>
        <stp>Bid Rate</stp>
        <tr r="E771" s="1"/>
      </tp>
      <tp t="s">
        <v>INE244L07424</v>
        <stp/>
        <stp>bse_cm|925ICCL25I</stp>
        <stp>Isin code</stp>
        <tr r="R782" s="1"/>
      </tp>
      <tp t="s">
        <v>84CIFCL28-NA</v>
        <stp/>
        <stp>nse_cm|84CIFCL28-NA</stp>
        <stp>Trading Symbol</stp>
        <tr r="B388" s="1"/>
      </tp>
      <tp t="s">
        <v>820IIFL27-N9</v>
        <stp/>
        <stp>nse_cm|820IIFL27-N9</stp>
        <stp>Trading Symbol</stp>
        <tr r="B266" s="1"/>
      </tp>
      <tp t="s">
        <v>85PCHFL26-N7</v>
        <stp/>
        <stp>nse_cm|85PCHFL26-N7</stp>
        <stp>Trading Symbol</stp>
        <tr r="B712" s="1"/>
      </tp>
      <tp t="s">
        <v>850IIFL27-NA</v>
        <stp/>
        <stp>nse_cm|850IIFL27-NA</stp>
        <stp>Trading Symbol</stp>
        <tr r="B608" s="1"/>
      </tp>
      <tp t="s">
        <v>957NIDO26-N5</v>
        <stp/>
        <stp>nse_cm|957NIDO26-N5</stp>
        <stp>Trading Symbol</stp>
        <tr r="B255" s="1"/>
      </tp>
      <tp>
        <v>0</v>
        <stp/>
        <stp>bse_cm|MFCL16924B</stp>
        <stp>ATP</stp>
        <tr r="K1284" s="1"/>
      </tp>
      <tp>
        <v>0</v>
        <stp/>
        <stp>bse_cm|MFCL16924C</stp>
        <stp>ATP</stp>
        <tr r="K660" s="1"/>
      </tp>
      <tp>
        <v>0</v>
        <stp/>
        <stp>bse_cm|MFCL16924A</stp>
        <stp>ATP</stp>
        <tr r="K1285" s="1"/>
      </tp>
      <tp>
        <v>0</v>
        <stp/>
        <stp>bse_cm|MFCL30424A</stp>
        <stp>ATP</stp>
        <tr r="K1283" s="1"/>
      </tp>
      <tp>
        <v>0</v>
        <stp/>
        <stp>bse_cm|MFCL30424B</stp>
        <stp>ATP</stp>
        <tr r="K1282" s="1"/>
      </tp>
      <tp>
        <v>0</v>
        <stp/>
        <stp>bse_cm|MFCL30424C</stp>
        <stp>ATP</stp>
        <tr r="K1552" s="1"/>
      </tp>
      <tp>
        <v>0</v>
        <stp/>
        <stp>bse_cm|MFCL30424D</stp>
        <stp>ATP</stp>
        <tr r="K1281" s="1"/>
      </tp>
      <tp>
        <v>0</v>
        <stp/>
        <stp>bse_cm|1175ICLF25</stp>
        <stp>LTP</stp>
        <tr r="H1222" s="1"/>
      </tp>
      <tp>
        <v>0</v>
        <stp/>
        <stp>bse_cm|1225ICLF26</stp>
        <stp>LTP</stp>
        <tr r="H1217" s="1"/>
      </tp>
      <tp t="s">
        <v>00:00:00</v>
        <stp/>
        <stp>bse_cm|1175ICLF25</stp>
        <stp>LTT</stp>
        <tr r="I1222" s="1"/>
      </tp>
      <tp t="s">
        <v>00:00:00</v>
        <stp/>
        <stp>bse_cm|1225ICLF26</stp>
        <stp>LTT</stp>
        <tr r="I1217" s="1"/>
      </tp>
      <tp>
        <v>-100</v>
        <stp/>
        <stp>bse_cm|96IIFL28A</stp>
        <stp>% Change</stp>
        <tr r="J88" s="1"/>
      </tp>
      <tp t="s">
        <v>INE202E07153</v>
        <stp/>
        <stp>nse_cm|880IREDA34-N6</stp>
        <stp>Isin code</stp>
        <tr r="R511" s="1"/>
      </tp>
      <tp>
        <v>1007.6</v>
        <stp/>
        <stp>nse_cm|885MOFSL26-N0</stp>
        <stp>Open</stp>
        <tr r="M1635" s="1"/>
      </tp>
      <tp>
        <v>1020</v>
        <stp/>
        <stp>nse_cm|872MMFSL26-N1</stp>
        <stp>Open</stp>
        <tr r="M404" s="1"/>
      </tp>
      <tp t="s">
        <v>1015SCFL29</v>
        <stp/>
        <stp>bse_cm|1015SCFL29</stp>
        <stp>Symbol</stp>
        <tr r="A1355" s="1"/>
      </tp>
      <tp>
        <v>0</v>
        <stp/>
        <stp>bse_cm|EFSL26724A</stp>
        <stp>ATP</stp>
        <tr r="K1468" s="1"/>
      </tp>
      <tp>
        <v>0</v>
        <stp/>
        <stp>nse_cm|935MOFSL29-N5</stp>
        <stp>Open</stp>
        <tr r="M1601" s="1"/>
      </tp>
      <tp>
        <v>1001.02</v>
        <stp/>
        <stp>nse_cm|897MOFSL29-N4</stp>
        <stp>Open</stp>
        <tr r="M296" s="1"/>
      </tp>
      <tp t="s">
        <v>MFCL30424D</v>
        <stp/>
        <stp>bse_cm|MFCL30424D</stp>
        <stp>Symbol</stp>
        <tr r="A1281" s="1"/>
      </tp>
      <tp t="s">
        <v>MFCL30424A</v>
        <stp/>
        <stp>bse_cm|MFCL30424A</stp>
        <stp>Symbol</stp>
        <tr r="A1283" s="1"/>
      </tp>
      <tp t="s">
        <v>MFCL30424C</v>
        <stp/>
        <stp>bse_cm|MFCL30424C</stp>
        <stp>Symbol</stp>
        <tr r="A1552" s="1"/>
      </tp>
      <tp t="s">
        <v>MFCL30424B</v>
        <stp/>
        <stp>bse_cm|MFCL30424B</stp>
        <stp>Symbol</stp>
        <tr r="A1282" s="1"/>
      </tp>
      <tp>
        <v>0</v>
        <stp/>
        <stp>bse_cm|CCIL14824A</stp>
        <stp>ATP</stp>
        <tr r="K590" s="1"/>
      </tp>
      <tp>
        <v>0</v>
        <stp/>
        <stp>bse_cm|CCIL14824C</stp>
        <stp>ATP</stp>
        <tr r="K751" s="1"/>
      </tp>
      <tp>
        <v>0</v>
        <stp/>
        <stp>bse_cm|CCIL14824B</stp>
        <stp>ATP</stp>
        <tr r="K752" s="1"/>
      </tp>
      <tp>
        <v>-100</v>
        <stp/>
        <stp>bse_cm|10IIFL28A</stp>
        <stp>% Change</stp>
        <tr r="J101" s="1"/>
      </tp>
      <tp>
        <v>-0.09</v>
        <stp/>
        <stp>bse_cm|11ICLFL25</stp>
        <stp>% Change</stp>
        <tr r="J452" s="1"/>
      </tp>
      <tp>
        <v>-100</v>
        <stp/>
        <stp>bse_cm|12ICLFL26</stp>
        <stp>% Change</stp>
        <tr r="J547" s="1"/>
      </tp>
      <tp>
        <v>-100</v>
        <stp/>
        <stp>bse_cm|115CCIL28</stp>
        <stp>% Change</stp>
        <tr r="J382" s="1"/>
      </tp>
      <tp>
        <v>0</v>
        <stp/>
        <stp>nse_cm|810TCHFL27-ND</stp>
        <stp>High</stp>
        <tr r="N1016" s="1"/>
      </tp>
      <tp>
        <v>-100</v>
        <stp/>
        <stp>bse_cm|960CAGL25</stp>
        <stp>% Change</stp>
        <tr r="J347" s="1"/>
      </tp>
      <tp>
        <v>-100</v>
        <stp/>
        <stp>bse_cm|910CAGL25</stp>
        <stp>% Change</stp>
        <tr r="J351" s="1"/>
      </tp>
      <tp t="s">
        <v>764HUDCO31</v>
        <stp/>
        <stp>bse_cm|764HUDCO31</stp>
        <stp>Symbol</stp>
        <tr r="A16" s="1"/>
      </tp>
      <tp t="s">
        <v>704HUDCO26</v>
        <stp/>
        <stp>bse_cm|704HUDCO26</stp>
        <stp>Symbol</stp>
        <tr r="A1724" s="1"/>
      </tp>
      <tp>
        <v>-100</v>
        <stp/>
        <stp>bse_cm|945CAGL24</stp>
        <stp>% Change</stp>
        <tr r="J566" s="1"/>
      </tp>
      <tp>
        <v>-100</v>
        <stp/>
        <stp>bse_cm|950CCIL25</stp>
        <stp>% Change</stp>
        <tr r="J99" s="1"/>
      </tp>
      <tp>
        <v>-100</v>
        <stp/>
        <stp>bse_cm|940CAGL27</stp>
        <stp>% Change</stp>
        <tr r="J261" s="1"/>
      </tp>
      <tp>
        <v>-100</v>
        <stp/>
        <stp>bse_cm|925CAGL26</stp>
        <stp>% Change</stp>
        <tr r="J294" s="1"/>
      </tp>
      <tp>
        <v>-100</v>
        <stp/>
        <stp>bse_cm|0SMCGSL26</stp>
        <stp>% Change</stp>
        <tr r="J589" s="1"/>
      </tp>
      <tp>
        <v>-100</v>
        <stp/>
        <stp>bse_cm|970CAGL28</stp>
        <stp>% Change</stp>
        <tr r="J292" s="1"/>
      </tp>
      <tp>
        <v>-100</v>
        <stp/>
        <stp>bse_cm|0SMCGSL27</stp>
        <stp>% Change</stp>
        <tr r="J1532" s="1"/>
      </tp>
      <tp t="s">
        <v>753IREDA26</v>
        <stp/>
        <stp>bse_cm|753IREDA26</stp>
        <stp>Symbol</stp>
        <tr r="A487" s="1"/>
      </tp>
      <tp t="s">
        <v>743IREDA36</v>
        <stp/>
        <stp>bse_cm|743IREDA36</stp>
        <stp>Symbol</stp>
        <tr r="A1441" s="1"/>
      </tp>
      <tp t="s">
        <v>INE477L07AP4</v>
        <stp/>
        <stp>bse_cm|IIFLHFZC27</stp>
        <stp>Isin code</stp>
        <tr r="R1516" s="1"/>
      </tp>
      <tp>
        <v>-100</v>
        <stp/>
        <stp>bse_cm|830CIFC26</stp>
        <stp>% Change</stp>
        <tr r="J1013" s="1"/>
      </tp>
      <tp>
        <v>-100</v>
        <stp/>
        <stp>bse_cm|85PCHFL26</stp>
        <stp>% Change</stp>
        <tr r="J713" s="1"/>
      </tp>
      <tp>
        <v>0</v>
        <stp/>
        <stp>nse_cm|905SC24-ZB</stp>
        <stp>ATP</stp>
        <tr r="K1374" s="1"/>
      </tp>
      <tp t="s">
        <v>934JMFCS28</v>
        <stp/>
        <stp>bse_cm|934JMFCS28</stp>
        <stp>Symbol</stp>
        <tr r="A325" s="1"/>
      </tp>
      <tp t="s">
        <v/>
        <stp/>
        <stp>nse_cm|891IIFCL34-N4</stp>
        <stp>LTT</stp>
        <tr r="I516" s="1"/>
      </tp>
      <tp>
        <v>1313.21</v>
        <stp/>
        <stp>nse_cm|891IIFCL34-N4</stp>
        <stp>LTP</stp>
        <tr r="H516" s="1"/>
      </tp>
      <tp>
        <v>-100</v>
        <stp/>
        <stp>bse_cm|EFSL26D</stp>
        <stp>% Change</stp>
        <tr r="J1617" s="1"/>
      </tp>
      <tp>
        <v>878.85</v>
        <stp/>
        <stp>bse_cm|MML25C</stp>
        <stp>Bid Rate</stp>
        <tr r="E1251" s="1"/>
      </tp>
      <tp t="s">
        <v>00:00:00</v>
        <stp/>
        <stp>bse_cm|84TCHF28</stp>
        <stp>LTT</stp>
        <tr r="I403" s="1"/>
      </tp>
      <tp>
        <v>882.8</v>
        <stp/>
        <stp>bse_cm|MML25B</stp>
        <stp>Bid Rate</stp>
        <tr r="E1498" s="1"/>
      </tp>
      <tp>
        <v>0</v>
        <stp/>
        <stp>bse_cm|84TCHF28</stp>
        <stp>LTP</stp>
        <tr r="H403" s="1"/>
      </tp>
      <tp t="s">
        <v/>
        <stp/>
        <stp>nse_cm|751HUDCO28-N5</stp>
        <stp>LTT</stp>
        <tr r="I492" s="1"/>
      </tp>
      <tp>
        <v>1108</v>
        <stp/>
        <stp>nse_cm|751HUDCO28-N5</stp>
        <stp>LTP</stp>
        <tr r="H492" s="1"/>
      </tp>
      <tp>
        <v>880.2</v>
        <stp/>
        <stp>bse_cm|MML25A</stp>
        <stp>Bid Rate</stp>
        <tr r="E1252" s="1"/>
      </tp>
      <tp t="s">
        <v/>
        <stp/>
        <stp>nse_cm|851HUDCO28-NB</stp>
        <stp>LTT</stp>
        <tr r="I502" s="1"/>
      </tp>
      <tp>
        <v>1327</v>
        <stp/>
        <stp>nse_cm|901HUDCO34-NE</stp>
        <stp>LTP</stp>
        <tr r="H517" s="1"/>
      </tp>
      <tp>
        <v>1109.99</v>
        <stp/>
        <stp>nse_cm|851HUDCO28-NB</stp>
        <stp>LTP</stp>
        <tr r="H502" s="1"/>
      </tp>
      <tp t="s">
        <v/>
        <stp/>
        <stp>nse_cm|901HUDCO34-NE</stp>
        <stp>LTT</stp>
        <tr r="I517" s="1"/>
      </tp>
      <tp>
        <v>980</v>
        <stp/>
        <stp>bse_cm|CCILZC30</stp>
        <stp>High</stp>
        <tr r="N746" s="1"/>
      </tp>
      <tp>
        <v>-100</v>
        <stp/>
        <stp>bse_cm|EFSL26A</stp>
        <stp>% Change</stp>
        <tr r="J1567" s="1"/>
      </tp>
      <tp>
        <v>-100</v>
        <stp/>
        <stp>bse_cm|EFSL26B</stp>
        <stp>% Change</stp>
        <tr r="J1564" s="1"/>
      </tp>
      <tp>
        <v>0</v>
        <stp/>
        <stp>bse_cm|93SCFL25</stp>
        <stp>ATP</stp>
        <tr r="K980" s="1"/>
      </tp>
      <tp>
        <v>-100</v>
        <stp/>
        <stp>bse_cm|EFSL26C</stp>
        <stp>% Change</stp>
        <tr r="J1650" s="1"/>
      </tp>
      <tp>
        <v>1083</v>
        <stp/>
        <stp>bse_cm|MFL25A</stp>
        <stp>Bid Rate</stp>
        <tr r="E1692" s="1"/>
      </tp>
      <tp>
        <v>1050.2</v>
        <stp/>
        <stp>bse_cm|MFL25B</stp>
        <stp>Bid Rate</stp>
        <tr r="E1667" s="1"/>
      </tp>
      <tp>
        <v>980</v>
        <stp/>
        <stp>bse_cm|88NWIL25</stp>
        <stp xml:space="preserve">Low </stp>
        <tr r="O219" s="1"/>
      </tp>
      <tp>
        <v>1119</v>
        <stp/>
        <stp>bse_cm|MFL25C</stp>
        <stp>Bid Rate</stp>
        <tr r="E1571" s="1"/>
      </tp>
      <tp>
        <v>1103.5</v>
        <stp/>
        <stp>bse_cm|MFL25D</stp>
        <stp>Bid Rate</stp>
        <tr r="E1705" s="1"/>
      </tp>
      <tp>
        <v>0</v>
        <stp/>
        <stp>bse_cm|68PFCL31</stp>
        <stp>Open</stp>
        <tr r="M1205" s="1"/>
      </tp>
      <tp>
        <v>0</v>
        <stp/>
        <stp>nse_cm|98ICCL26-NU</stp>
        <stp>Bid Rate</stp>
        <tr r="E1569" s="1"/>
      </tp>
      <tp>
        <v>1045</v>
        <stp/>
        <stp>bse_cm|MFL25E</stp>
        <stp>Bid Rate</stp>
        <tr r="E1664" s="1"/>
      </tp>
      <tp>
        <v>973.98</v>
        <stp/>
        <stp>bse_cm|9SCL26BA</stp>
        <stp>Ask Rate</stp>
        <tr r="F160" s="1"/>
      </tp>
      <tp>
        <v>0</v>
        <stp/>
        <stp>bse_cm|905SC24B</stp>
        <stp>Ask Rate</stp>
        <tr r="F684" s="1"/>
      </tp>
      <tp>
        <v>6078</v>
        <stp/>
        <stp>nse_cm|865NHB34-N4</stp>
        <stp>Bid Rate</stp>
        <tr r="E1166" s="1"/>
      </tp>
      <tp>
        <v>0</v>
        <stp/>
        <stp>bse_cm|93EFSL31</stp>
        <stp>ATP</stp>
        <tr r="K83" s="1"/>
      </tp>
      <tp>
        <v>0</v>
        <stp/>
        <stp>bse_cm|79IGT28</stp>
        <stp>Ask Qty</stp>
        <tr r="G1183" s="1"/>
      </tp>
      <tp>
        <v>0</v>
        <stp/>
        <stp>nse_cm|915SCL27A-ZL</stp>
        <stp>% Change</stp>
        <tr r="J966" s="1"/>
      </tp>
      <tp>
        <v>0</v>
        <stp/>
        <stp>nse_cm|9SCL26BA-NA</stp>
        <stp>Volume Traded Today</stp>
        <tr r="L122" s="1"/>
      </tp>
      <tp>
        <v>0</v>
        <stp/>
        <stp>bse_cm|93ARKA25</stp>
        <stp>LTP</stp>
        <tr r="H1395" s="1"/>
      </tp>
      <tp>
        <v>0</v>
        <stp/>
        <stp>bse_cm|93ARKA26</stp>
        <stp>LTP</stp>
        <tr r="H981" s="1"/>
      </tp>
      <tp t="s">
        <v>00:00:00</v>
        <stp/>
        <stp>bse_cm|93ARKA25</stp>
        <stp>LTT</stp>
        <tr r="I1395" s="1"/>
      </tp>
      <tp t="s">
        <v>00:00:00</v>
        <stp/>
        <stp>bse_cm|93ARKA26</stp>
        <stp>LTT</stp>
        <tr r="I981" s="1"/>
      </tp>
      <tp>
        <v>0</v>
        <stp/>
        <stp>nse_cm|955SCL27A-ZJ</stp>
        <stp>% Change</stp>
        <tr r="J1437" s="1"/>
      </tp>
      <tp>
        <v>0</v>
        <stp/>
        <stp>nse_cm|1015SCFL29-YY</stp>
        <stp>Volume Traded Today</stp>
        <tr r="L1455" s="1"/>
      </tp>
      <tp>
        <v>996</v>
        <stp/>
        <stp>bse_cm|10NIDO27</stp>
        <stp xml:space="preserve">Low </stp>
        <tr r="O597" s="1"/>
      </tp>
      <tp>
        <v>0</v>
        <stp/>
        <stp>bse_cm|MMFSL26A</stp>
        <stp>ATP</stp>
        <tr r="K1722" s="1"/>
      </tp>
      <tp>
        <v>950</v>
        <stp/>
        <stp>bse_cm|10NHFL27</stp>
        <stp xml:space="preserve">Low </stp>
        <tr r="O658" s="1"/>
      </tp>
      <tp>
        <v>980</v>
        <stp/>
        <stp>bse_cm|10NIDO26</stp>
        <stp xml:space="preserve">Low </stp>
        <tr r="O62" s="1"/>
      </tp>
      <tp>
        <v>1005.2</v>
        <stp/>
        <stp>bse_cm|95NIDO26</stp>
        <stp xml:space="preserve">Low </stp>
        <tr r="O670" s="1"/>
      </tp>
      <tp t="s">
        <v>BSE</v>
        <stp/>
        <stp>bse_cm|SCL25A</stp>
        <stp>Exchange</stp>
        <tr r="C1238" s="1"/>
      </tp>
      <tp>
        <v>0</v>
        <stp/>
        <stp>bse_cm|922ONE25</stp>
        <stp>Volume Traded Today</stp>
        <tr r="L1111" s="1"/>
      </tp>
      <tp>
        <v>0</v>
        <stp/>
        <stp>bse_cm|743REC35</stp>
        <stp>Volume Traded Today</stp>
        <tr r="L513" s="1"/>
      </tp>
      <tp>
        <v>0</v>
        <stp/>
        <stp>bse_cm|IFL19424</stp>
        <stp>LTP</stp>
        <tr r="H1344" s="1"/>
      </tp>
      <tp>
        <v>0</v>
        <stp/>
        <stp>bse_cm|IML16224</stp>
        <stp>ATP</stp>
        <tr r="K1499" s="1"/>
      </tp>
      <tp t="s">
        <v>00:00:00</v>
        <stp/>
        <stp>bse_cm|IFL19424</stp>
        <stp>LTT</stp>
        <tr r="I1344" s="1"/>
      </tp>
      <tp>
        <v>1174.53</v>
        <stp/>
        <stp>nse_cm|871REC28-N9</stp>
        <stp>Bid Rate</stp>
        <tr r="E542" s="1"/>
      </tp>
      <tp>
        <v>0</v>
        <stp/>
        <stp>bse_cm|921ONE27</stp>
        <stp>Volume Traded Today</stp>
        <tr r="L1428" s="1"/>
      </tp>
      <tp>
        <v>0</v>
        <stp/>
        <stp>bse_cm|921ONE29</stp>
        <stp>Volume Traded Today</stp>
        <tr r="L1112" s="1"/>
      </tp>
      <tp>
        <v>0</v>
        <stp/>
        <stp>nse_cm|925SCL26D-ZD</stp>
        <stp>% Change</stp>
        <tr r="J1448" s="1"/>
      </tp>
      <tp>
        <v>5701</v>
        <stp/>
        <stp>nse_cm|868NHB29-N3</stp>
        <stp>Bid Rate</stp>
        <tr r="E1342" s="1"/>
      </tp>
      <tp>
        <v>0</v>
        <stp/>
        <stp>bse_cm|10NIDO33</stp>
        <stp>ATP</stp>
        <tr r="K1447" s="1"/>
      </tp>
      <tp>
        <v>1134.99</v>
        <stp/>
        <stp>bse_cm|76NHAI31</stp>
        <stp>ATP</stp>
        <tr r="K478" s="1"/>
      </tp>
      <tp t="s">
        <v>BSE</v>
        <stp/>
        <stp>bse_cm|SCL25B</stp>
        <stp>Exchange</stp>
        <tr r="C1544" s="1"/>
      </tp>
      <tp>
        <v>0</v>
        <stp/>
        <stp>bse_cm|10NIDO26</stp>
        <stp>ATP</stp>
        <tr r="K62" s="1"/>
      </tp>
      <tp>
        <v>0</v>
        <stp/>
        <stp>bse_cm|10NIDO27</stp>
        <stp>ATP</stp>
        <tr r="K597" s="1"/>
      </tp>
      <tp>
        <v>0</v>
        <stp/>
        <stp>nse_cm|965SCL26A-ZB</stp>
        <stp>% Change</stp>
        <tr r="J135" s="1"/>
      </tp>
      <tp>
        <v>0</v>
        <stp/>
        <stp>nse_cm|925SCL29A-ZM</stp>
        <stp>% Change</stp>
        <tr r="J1352" s="1"/>
      </tp>
      <tp>
        <v>0</v>
        <stp/>
        <stp>bse_cm|77IGT28</stp>
        <stp>Ask Qty</stp>
        <tr r="G1191" s="1"/>
      </tp>
      <tp>
        <v>0</v>
        <stp/>
        <stp>bse_cm|926ONE29</stp>
        <stp>Volume Traded Today</stp>
        <tr r="L1467" s="1"/>
      </tp>
      <tp t="s">
        <v>BSE</v>
        <stp/>
        <stp>bse_cm|SFL25A</stp>
        <stp>Exchange</stp>
        <tr r="C812" s="1"/>
      </tp>
      <tp>
        <v>999</v>
        <stp/>
        <stp>bse_cm|10SMCGSL26</stp>
        <stp>Prev Close</stp>
        <tr r="P138" s="1"/>
      </tp>
      <tp>
        <v>100</v>
        <stp/>
        <stp>bse_cm|76IGT26</stp>
        <stp>Ask Qty</stp>
        <tr r="G1608" s="1"/>
      </tp>
      <tp>
        <v>900</v>
        <stp/>
        <stp>nse_cm|885SCL26-N9</stp>
        <stp>Bid Rate</stp>
        <tr r="E686" s="1"/>
      </tp>
      <tp>
        <v>0</v>
        <stp/>
        <stp>bse_cm|815LTF24</stp>
        <stp>Volume Traded Today</stp>
        <tr r="L1167" s="1"/>
      </tp>
      <tp t="s">
        <v>BSE</v>
        <stp/>
        <stp>bse_cm|SFL25B</stp>
        <stp>Exchange</stp>
        <tr r="C1433" s="1"/>
      </tp>
      <tp>
        <v>-100</v>
        <stp/>
        <stp>bse_cm|MFLV26E</stp>
        <stp>% Change</stp>
        <tr r="J352" s="1"/>
      </tp>
      <tp>
        <v>-100</v>
        <stp/>
        <stp>nse_cm|925SCL26C-ZA</stp>
        <stp>% Change</stp>
        <tr r="J724" s="1"/>
      </tp>
      <tp>
        <v>1000</v>
        <stp/>
        <stp>bse_cm|797IGT31</stp>
        <stp>Face Value</stp>
        <tr r="Q381" s="1"/>
      </tp>
      <tp>
        <v>1000</v>
        <stp/>
        <stp>bse_cm|795IGT31</stp>
        <stp>Face Value</stp>
        <tr r="Q1186" s="1"/>
      </tp>
      <tp>
        <v>0</v>
        <stp/>
        <stp>bse_cm|925SCL28</stp>
        <stp>ATP</stp>
        <tr r="K940" s="1"/>
      </tp>
      <tp>
        <v>0</v>
        <stp/>
        <stp>bse_cm|925SCL29</stp>
        <stp>ATP</stp>
        <tr r="K820" s="1"/>
      </tp>
      <tp>
        <v>0</v>
        <stp/>
        <stp>bse_cm|925SCL25</stp>
        <stp>ATP</stp>
        <tr r="K104" s="1"/>
      </tp>
      <tp>
        <v>0</v>
        <stp/>
        <stp>bse_cm|925SCL26</stp>
        <stp>ATP</stp>
        <tr r="K913" s="1"/>
      </tp>
      <tp>
        <v>0</v>
        <stp/>
        <stp>bse_cm|925SFL26</stp>
        <stp>ATP</stp>
        <tr r="K850" s="1"/>
      </tp>
      <tp>
        <v>0</v>
        <stp/>
        <stp>bse_cm|925SCL27</stp>
        <stp>ATP</stp>
        <tr r="K1414" s="1"/>
      </tp>
      <tp>
        <v>0</v>
        <stp/>
        <stp>bse_cm|925SFL27</stp>
        <stp>ATP</stp>
        <tr r="K849" s="1"/>
      </tp>
      <tp>
        <v>1580</v>
        <stp/>
        <stp>bse_cm|MFLZC27B</stp>
        <stp>High</stp>
        <tr r="N1697" s="1"/>
      </tp>
      <tp>
        <v>0</v>
        <stp/>
        <stp>bse_cm|825KFL25</stp>
        <stp>ATP</stp>
        <tr r="K252" s="1"/>
      </tp>
      <tp>
        <v>0</v>
        <stp/>
        <stp>bse_cm|925KFL26</stp>
        <stp>ATP</stp>
        <tr r="K775" s="1"/>
      </tp>
      <tp>
        <v>0</v>
        <stp/>
        <stp>bse_cm|925KFL27</stp>
        <stp>ATP</stp>
        <tr r="K313" s="1"/>
      </tp>
      <tp>
        <v>0</v>
        <stp/>
        <stp>bse_cm|925MFL26</stp>
        <stp>ATP</stp>
        <tr r="K230" s="1"/>
      </tp>
      <tp>
        <v>0</v>
        <stp/>
        <stp>bse_cm|825MFL26</stp>
        <stp>ATP</stp>
        <tr r="K418" s="1"/>
      </tp>
      <tp>
        <v>0</v>
        <stp/>
        <stp>bse_cm|885LTF27</stp>
        <stp>ATP</stp>
        <tr r="K1008" s="1"/>
      </tp>
      <tp>
        <v>0</v>
        <stp/>
        <stp>bse_cm|825MFL27</stp>
        <stp>ATP</stp>
        <tr r="K344" s="1"/>
      </tp>
      <tp>
        <v>0</v>
        <stp/>
        <stp>bse_cm|725MFL24</stp>
        <stp>ATP</stp>
        <tr r="K446" s="1"/>
      </tp>
      <tp>
        <v>0</v>
        <stp/>
        <stp>bse_cm|925MFL25</stp>
        <stp>ATP</stp>
        <tr r="K1466" s="1"/>
      </tp>
      <tp>
        <v>0</v>
        <stp/>
        <stp>bse_cm|825MFL25</stp>
        <stp>ATP</stp>
        <tr r="K596" s="1"/>
      </tp>
      <tp>
        <v>1000.5</v>
        <stp/>
        <stp>bse_cm|925AEL26</stp>
        <stp>ATP</stp>
        <tr r="K335" s="1"/>
      </tp>
      <tp>
        <v>836</v>
        <stp/>
        <stp>bse_cm|825MFL29</stp>
        <stp>ATP</stp>
        <tr r="K473" s="1"/>
      </tp>
      <tp>
        <v>0</v>
        <stp/>
        <stp>bse_cm|792TCH25</stp>
        <stp>Ask Rate</stp>
        <tr r="F1188" s="1"/>
      </tp>
      <tp t="s">
        <v>MHLZC26</v>
        <stp/>
        <stp>bse_cm|MHLZC26</stp>
        <stp>Symbol</stp>
        <tr r="A1522" s="1"/>
      </tp>
      <tp t="s">
        <v>MFLZC32</v>
        <stp/>
        <stp>bse_cm|MFLZC32</stp>
        <stp>Symbol</stp>
        <tr r="A1266" s="1"/>
      </tp>
      <tp t="s">
        <v>MFLZC30</v>
        <stp/>
        <stp>bse_cm|MFLZC30</stp>
        <stp>Symbol</stp>
        <tr r="A1267" s="1"/>
      </tp>
      <tp t="s">
        <v>MFLZC26</v>
        <stp/>
        <stp>bse_cm|MFLZC26</stp>
        <stp>Symbol</stp>
        <tr r="A1720" s="1"/>
      </tp>
      <tp t="s">
        <v>MFLZC27</v>
        <stp/>
        <stp>bse_cm|MFLZC27</stp>
        <stp>Symbol</stp>
        <tr r="A1271" s="1"/>
      </tp>
      <tp t="s">
        <v>MFLZC25</v>
        <stp/>
        <stp>bse_cm|MFLZC25</stp>
        <stp>Symbol</stp>
        <tr r="A1683" s="1"/>
      </tp>
      <tp t="s">
        <v>BSE</v>
        <stp/>
        <stp>bse_cm|916ONE25</stp>
        <stp>Exchange</stp>
        <tr r="C965" s="1"/>
      </tp>
      <tp t="s">
        <v>BSE</v>
        <stp/>
        <stp>bse_cm|886ONE25</stp>
        <stp>Exchange</stp>
        <tr r="C723" s="1"/>
      </tp>
      <tp>
        <v>1405</v>
        <stp/>
        <stp>bse_cm|MFLZC27C</stp>
        <stp>High</stp>
        <tr r="N1411" s="1"/>
      </tp>
      <tp>
        <v>1186.0999999999999</v>
        <stp/>
        <stp>nse_cm|863REC29-NC</stp>
        <stp>Bid Rate</stp>
        <tr r="E1633" s="1"/>
      </tp>
      <tp>
        <v>0</v>
        <stp/>
        <stp>bse_cm|884LTF29</stp>
        <stp>ATP</stp>
        <tr r="K1337" s="1"/>
      </tp>
      <tp>
        <v>49</v>
        <stp/>
        <stp>bse_cm|850MFL27A</stp>
        <stp>Ask Qty</stp>
        <tr r="G355" s="1"/>
      </tp>
      <tp>
        <v>45</v>
        <stp/>
        <stp>bse_cm|950MFL27A</stp>
        <stp>Ask Qty</stp>
        <tr r="G241" s="1"/>
      </tp>
      <tp t="s">
        <v>NSE</v>
        <stp/>
        <stp>nse_cm|902SCL27-YU</stp>
        <stp>Exchange</stp>
        <tr r="C844" s="1"/>
      </tp>
      <tp>
        <v>0</v>
        <stp/>
        <stp>bse_cm|927MFL26</stp>
        <stp>ATP</stp>
        <tr r="K1457" s="1"/>
      </tp>
      <tp>
        <v>1077</v>
        <stp/>
        <stp>nse_cm|905SC24-ZB</stp>
        <stp>Prev Close</stp>
        <tr r="P1374" s="1"/>
      </tp>
      <tp>
        <v>0</v>
        <stp/>
        <stp>bse_cm|890MFL26A</stp>
        <stp>Ask Qty</stp>
        <tr r="G698" s="1"/>
      </tp>
      <tp>
        <v>0</v>
        <stp/>
        <stp>nse_cm|810TCHFL27-ND</stp>
        <stp>Volume Traded Today</stp>
        <tr r="L1016" s="1"/>
      </tp>
      <tp t="s">
        <v>BSE</v>
        <stp/>
        <stp>bse_cm|916ONE27</stp>
        <stp>Exchange</stp>
        <tr r="C267" s="1"/>
      </tp>
      <tp t="s">
        <v>BSE</v>
        <stp/>
        <stp>bse_cm|797IGT31</stp>
        <stp>Exchange</stp>
        <tr r="C381" s="1"/>
      </tp>
      <tp t="s">
        <v>BSE</v>
        <stp/>
        <stp>bse_cm|956AEL29</stp>
        <stp>Exchange</stp>
        <tr r="C311" s="1"/>
      </tp>
      <tp>
        <v>1170</v>
        <stp/>
        <stp>bse_cm|MFLZC27A</stp>
        <stp>High</stp>
        <tr r="N1270" s="1"/>
      </tp>
      <tp>
        <v>1259.01</v>
        <stp/>
        <stp>nse_cm|862REC33-NA</stp>
        <stp>Bid Rate</stp>
        <tr r="E563" s="1"/>
      </tp>
      <tp>
        <v>1100.0999999999999</v>
        <stp/>
        <stp>nse_cm|965SCL25-AG</stp>
        <stp>Bid Rate</stp>
        <tr r="E1577" s="1"/>
      </tp>
      <tp>
        <v>1005</v>
        <stp/>
        <stp>bse_cm|KFLZC27A</stp>
        <stp>High</stp>
        <tr r="N1291" s="1"/>
      </tp>
      <tp>
        <v>0</v>
        <stp/>
        <stp>bse_cm|966ONE29</stp>
        <stp>LTP</stp>
        <tr r="H281" s="1"/>
      </tp>
      <tp t="s">
        <v>00:00:00</v>
        <stp/>
        <stp>bse_cm|966ONE29</stp>
        <stp>LTT</stp>
        <tr r="I281" s="1"/>
      </tp>
      <tp>
        <v>0</v>
        <stp/>
        <stp>bse_cm|902SCL27</stp>
        <stp>Ask Rate</stp>
        <tr r="F902" s="1"/>
      </tp>
      <tp>
        <v>1010</v>
        <stp/>
        <stp>bse_cm|MFLZC27F</stp>
        <stp>High</stp>
        <tr r="N1566" s="1"/>
      </tp>
      <tp t="s">
        <v>00:00:00</v>
        <stp/>
        <stp>bse_cm|961ONE27</stp>
        <stp>LTT</stp>
        <tr r="I628" s="1"/>
      </tp>
      <tp>
        <v>0</v>
        <stp/>
        <stp>bse_cm|961ONE27</stp>
        <stp>LTP</stp>
        <tr r="H628" s="1"/>
      </tp>
      <tp>
        <v>0</v>
        <stp/>
        <stp>bse_cm|902SCL26</stp>
        <stp>Ask Rate</stp>
        <tr r="F969" s="1"/>
      </tp>
      <tp>
        <v>0</v>
        <stp/>
        <stp>bse_cm|920PEL28</stp>
        <stp>ATP</stp>
        <tr r="K440" s="1"/>
      </tp>
      <tp>
        <v>0</v>
        <stp/>
        <stp>bse_cm|820SCL25</stp>
        <stp>ATP</stp>
        <tr r="K925" s="1"/>
      </tp>
      <tp>
        <v>1279</v>
        <stp/>
        <stp>nse_cm|861REC34-ND</stp>
        <stp>Bid Rate</stp>
        <tr r="E583" s="1"/>
      </tp>
      <tp t="s">
        <v>NSE</v>
        <stp/>
        <stp>nse_cm|939SCL27-ZZ</stp>
        <stp>Exchange</stp>
        <tr r="C982" s="1"/>
      </tp>
      <tp>
        <v>1605</v>
        <stp/>
        <stp>bse_cm|MFLZC27D</stp>
        <stp>High</stp>
        <tr r="N1700" s="1"/>
      </tp>
      <tp>
        <v>150</v>
        <stp/>
        <stp>bse_cm|10MVAFL25</stp>
        <stp>Bid Qty</stp>
        <tr r="D1675" s="1"/>
      </tp>
      <tp t="s">
        <v>NSE</v>
        <stp/>
        <stp>nse_cm|93SCFL25-Z1</stp>
        <stp>Exchange</stp>
        <tr r="C946" s="1"/>
      </tp>
      <tp>
        <v>1248.5999999999999</v>
        <stp/>
        <stp>bse_cm|743REC35</stp>
        <stp>Ask Rate</stp>
        <tr r="F513" s="1"/>
      </tp>
      <tp t="s">
        <v>KFLZC31</v>
        <stp/>
        <stp>bse_cm|KFLZC31</stp>
        <stp>Symbol</stp>
        <tr r="A1286" s="1"/>
      </tp>
      <tp t="s">
        <v>KFLZC2A</v>
        <stp/>
        <stp>bse_cm|KFLZC2A</stp>
        <stp>Symbol</stp>
        <tr r="A1760" s="1"/>
      </tp>
      <tp t="s">
        <v>KFLZC26</v>
        <stp/>
        <stp>bse_cm|KFLZC26</stp>
        <stp>Symbol</stp>
        <tr r="A1709" s="1"/>
      </tp>
      <tp t="s">
        <v>KFLZC27</v>
        <stp/>
        <stp>bse_cm|KFLZC27</stp>
        <stp>Symbol</stp>
        <tr r="A1292" s="1"/>
      </tp>
      <tp t="s">
        <v>KFLZC24</v>
        <stp/>
        <stp>bse_cm|KFLZC24</stp>
        <stp>Symbol</stp>
        <tr r="A1766" s="1"/>
      </tp>
      <tp t="s">
        <v>KFLZC25</v>
        <stp/>
        <stp>bse_cm|KFLZC25</stp>
        <stp>Symbol</stp>
        <tr r="A1754" s="1"/>
      </tp>
      <tp t="s">
        <v>KFLZC28</v>
        <stp/>
        <stp>bse_cm|KFLZC28</stp>
        <stp>Symbol</stp>
        <tr r="A1290" s="1"/>
      </tp>
      <tp t="s">
        <v>KFLZC29</v>
        <stp/>
        <stp>bse_cm|KFLZC29</stp>
        <stp>Symbol</stp>
        <tr r="A1639" s="1"/>
      </tp>
      <tp>
        <v>1300</v>
        <stp/>
        <stp>bse_cm|MFLZC27E</stp>
        <stp>High</stp>
        <tr r="N1677" s="1"/>
      </tp>
      <tp t="s">
        <v>00:00:00</v>
        <stp/>
        <stp>bse_cm|852LTF27</stp>
        <stp>LTT</stp>
        <tr r="I983" s="1"/>
      </tp>
      <tp>
        <v>0</v>
        <stp/>
        <stp>bse_cm|852LTF27</stp>
        <stp>LTP</stp>
        <tr r="H983" s="1"/>
      </tp>
      <tp>
        <v>0</v>
        <stp/>
        <stp>bse_cm|85CIFC27</stp>
        <stp>Volume Traded Today</stp>
        <tr r="L974" s="1"/>
      </tp>
      <tp t="s">
        <v>BSE</v>
        <stp/>
        <stp>bse_cm|TCHF30</stp>
        <stp>Exchange</stp>
        <tr r="C423" s="1"/>
      </tp>
      <tp>
        <v>0</v>
        <stp/>
        <stp>bse_cm|829PFL29</stp>
        <stp>ATP</stp>
        <tr r="K930" s="1"/>
      </tp>
      <tp>
        <v>1000</v>
        <stp/>
        <stp>bse_cm|745IGT26</stp>
        <stp>Face Value</stp>
        <tr r="Q1202" s="1"/>
      </tp>
      <tp>
        <v>1000</v>
        <stp/>
        <stp>bse_cm|749IGT28</stp>
        <stp>Face Value</stp>
        <tr r="Q1198" s="1"/>
      </tp>
      <tp>
        <v>939</v>
        <stp/>
        <stp>nse_cm|1050SCFL31-Z2</stp>
        <stp>LTP</stp>
        <tr r="H868" s="1"/>
      </tp>
      <tp t="s">
        <v/>
        <stp/>
        <stp>nse_cm|1050SCFL31-Z2</stp>
        <stp>LTT</stp>
        <tr r="I868" s="1"/>
      </tp>
      <tp>
        <v>-100</v>
        <stp/>
        <stp>bse_cm|SCLZC26</stp>
        <stp>% Change</stp>
        <tr r="J1464" s="1"/>
      </tp>
      <tp t="s">
        <v>BSE</v>
        <stp/>
        <stp>bse_cm|966ONE29</stp>
        <stp>Exchange</stp>
        <tr r="C281" s="1"/>
      </tp>
      <tp t="s">
        <v>BSE</v>
        <stp/>
        <stp>bse_cm|926ONE29</stp>
        <stp>Exchange</stp>
        <tr r="C1467" s="1"/>
      </tp>
      <tp t="s">
        <v>00:00:00</v>
        <stp/>
        <stp>bse_cm|709REC30</stp>
        <stp>LTT</stp>
        <tr r="I564" s="1"/>
      </tp>
      <tp>
        <v>0</v>
        <stp/>
        <stp>bse_cm|709REC30</stp>
        <stp>LTP</stp>
        <tr r="H564" s="1"/>
      </tp>
      <tp>
        <v>1022.5</v>
        <stp/>
        <stp>nse_cm|875SFL27-ZF</stp>
        <stp>Ask Rate</stp>
        <tr r="F379" s="1"/>
      </tp>
      <tp>
        <v>1000</v>
        <stp/>
        <stp>bse_cm|772IGT31</stp>
        <stp>Face Value</stp>
        <tr r="Q1194" s="1"/>
      </tp>
      <tp>
        <v>-100</v>
        <stp/>
        <stp>bse_cm|SCLZC25</stp>
        <stp>% Change</stp>
        <tr r="J917" s="1"/>
      </tp>
      <tp>
        <v>1000</v>
        <stp/>
        <stp>bse_cm|769IGT28</stp>
        <stp>Face Value</stp>
        <tr r="Q1195" s="1"/>
      </tp>
      <tp>
        <v>0</v>
        <stp/>
        <stp>nse_cm|965SCL28-AK</stp>
        <stp>Bid Rate</stp>
        <tr r="E1137" s="1"/>
      </tp>
      <tp>
        <v>970</v>
        <stp/>
        <stp>nse_cm|948SCL27-YV</stp>
        <stp>Ask Rate</stp>
        <tr r="F127" s="1"/>
      </tp>
      <tp t="s">
        <v>NSE</v>
        <stp/>
        <stp>nse_cm|833SCL24-ZE</stp>
        <stp>Exchange</stp>
        <tr r="C957" s="1"/>
      </tp>
      <tp>
        <v>1058.01</v>
        <stp/>
        <stp>nse_cm|83TCHF25-N6</stp>
        <stp>Bid Rate</stp>
        <tr r="E472" s="1"/>
      </tp>
      <tp t="s">
        <v>INE516Y07428</v>
        <stp/>
        <stp>nse_cm|9PCHFL31A-NA</stp>
        <stp>Isin code</stp>
        <tr r="R435" s="1"/>
      </tp>
      <tp>
        <v>975</v>
        <stp/>
        <stp>bse_cm|MFLII27B</stp>
        <stp>High</stp>
        <tr r="N359" s="1"/>
      </tp>
      <tp>
        <v>17</v>
        <stp/>
        <stp>bse_cm|0SMCGSL27</stp>
        <stp>Bid Qty</stp>
        <tr r="D1532" s="1"/>
      </tp>
      <tp>
        <v>3</v>
        <stp/>
        <stp>bse_cm|0SMCGSL26</stp>
        <stp>Bid Qty</stp>
        <tr r="D589" s="1"/>
      </tp>
      <tp>
        <v>1000</v>
        <stp/>
        <stp>nse_cm|925ICCL24A-NE</stp>
        <stp>Face Value</stp>
        <tr r="Q1393" s="1"/>
      </tp>
      <tp>
        <v>1000</v>
        <stp/>
        <stp>nse_cm|875IIFL26A-NQ</stp>
        <stp>Face Value</stp>
        <tr r="Q634" s="1"/>
      </tp>
      <tp>
        <v>1000</v>
        <stp/>
        <stp>nse_cm|925IHFL25D-N6</stp>
        <stp>Face Value</stp>
        <tr r="Q575" s="1"/>
      </tp>
      <tp t="s">
        <v>INE148I07PL4</v>
        <stp/>
        <stp>nse_cm|925SCL28C-BS</stp>
        <stp>Isin code</stp>
        <tr r="R823" s="1"/>
      </tp>
      <tp>
        <v>1000</v>
        <stp/>
        <stp>bse_cm|95CCIL25</stp>
        <stp>Face Value</stp>
        <tr r="Q37" s="1"/>
      </tp>
      <tp>
        <v>960.1</v>
        <stp/>
        <stp>bse_cm|MFLIV27D</stp>
        <stp>High</stp>
        <tr r="N1452" s="1"/>
      </tp>
      <tp>
        <v>1020</v>
        <stp/>
        <stp>bse_cm|932AEL27</stp>
        <stp>Ask Rate</stp>
        <tr r="F317" s="1"/>
      </tp>
      <tp t="s">
        <v>INE148I07QS7</v>
        <stp/>
        <stp>nse_cm|925SCL28A-NS</stp>
        <stp>Isin code</stp>
        <tr r="R895" s="1"/>
      </tp>
      <tp>
        <v>905.2</v>
        <stp/>
        <stp>bse_cm|KAFL29</stp>
        <stp>Bid Rate</stp>
        <tr r="E1318" s="1"/>
      </tp>
      <tp>
        <v>950.2</v>
        <stp/>
        <stp>bse_cm|KAFL28</stp>
        <stp>Bid Rate</stp>
        <tr r="E1320" s="1"/>
      </tp>
      <tp>
        <v>1034.5</v>
        <stp/>
        <stp>nse_cm|9MMFSML-N2</stp>
        <stp>Prev Close</stp>
        <tr r="P339" s="1"/>
      </tp>
      <tp>
        <v>0</v>
        <stp/>
        <stp>bse_cm|950SCL23A</stp>
        <stp>Ask Qty</stp>
        <tr r="G1146" s="1"/>
      </tp>
      <tp>
        <v>0</v>
        <stp/>
        <stp>bse_cm|920SCL23A</stp>
        <stp>Ask Qty</stp>
        <tr r="G1114" s="1"/>
      </tp>
      <tp>
        <v>1024</v>
        <stp/>
        <stp>bse_cm|MFLVI31F</stp>
        <stp xml:space="preserve">Low </stp>
        <tr r="O354" s="1"/>
      </tp>
      <tp>
        <v>0</v>
        <stp/>
        <stp>bse_cm|10SCL31A</stp>
        <stp>Open</stp>
        <tr r="M865" s="1"/>
      </tp>
      <tp t="s">
        <v>BSE</v>
        <stp/>
        <stp>bse_cm|957SCL30</stp>
        <stp>Exchange</stp>
        <tr r="C1110" s="1"/>
      </tp>
      <tp>
        <v>1000</v>
        <stp/>
        <stp>bse_cm|83TCHF28</stp>
        <stp>Face Value</stp>
        <tr r="Q832" s="1"/>
      </tp>
      <tp>
        <v>1000</v>
        <stp/>
        <stp>bse_cm|83TCHF25</stp>
        <stp>Face Value</stp>
        <tr r="Q489" s="1"/>
      </tp>
      <tp t="s">
        <v>10:35:10</v>
        <stp/>
        <stp>nse_cm|1050ISFL28-N5</stp>
        <stp>LTT</stp>
        <tr r="I1591" s="1"/>
      </tp>
      <tp>
        <v>1011</v>
        <stp/>
        <stp>nse_cm|1050ISFL28-N5</stp>
        <stp>LTP</stp>
        <tr r="H1591" s="1"/>
      </tp>
      <tp t="s">
        <v>BSE</v>
        <stp/>
        <stp>bse_cm|957SCL31</stp>
        <stp>Exchange</stp>
        <tr r="C1108" s="1"/>
      </tp>
      <tp>
        <v>1000</v>
        <stp/>
        <stp>bse_cm|82TCHF25</stp>
        <stp>Face Value</stp>
        <tr r="Q1015" s="1"/>
      </tp>
      <tp t="s">
        <v/>
        <stp/>
        <stp>nse_cm|1050IIFL29-ND</stp>
        <stp>LTT</stp>
        <tr r="I585" s="1"/>
      </tp>
      <tp>
        <v>980</v>
        <stp/>
        <stp>nse_cm|1050IIFL29-ND</stp>
        <stp>LTP</stp>
        <tr r="H585" s="1"/>
      </tp>
      <tp>
        <v>0</v>
        <stp/>
        <stp>bse_cm|922ONE25</stp>
        <stp>Ask Rate</stp>
        <tr r="F1111" s="1"/>
      </tp>
      <tp>
        <v>905.8</v>
        <stp/>
        <stp>bse_cm|KAFL25</stp>
        <stp>Bid Rate</stp>
        <tr r="E1321" s="1"/>
      </tp>
      <tp>
        <v>1000</v>
        <stp/>
        <stp>bse_cm|81TCHF28</stp>
        <stp>Face Value</stp>
        <tr r="Q479" s="1"/>
      </tp>
      <tp>
        <v>970</v>
        <stp/>
        <stp>nse_cm|1003ICCL28-NX</stp>
        <stp>LTP</stp>
        <tr r="H553" s="1"/>
      </tp>
      <tp t="s">
        <v/>
        <stp/>
        <stp>nse_cm|1003ICCL28-NX</stp>
        <stp>LTT</stp>
        <tr r="I553" s="1"/>
      </tp>
      <tp>
        <v>0</v>
        <stp/>
        <stp>bse_cm|852LTF27</stp>
        <stp>Ask Rate</stp>
        <tr r="F983" s="1"/>
      </tp>
      <tp>
        <v>0</v>
        <stp/>
        <stp>nse_cm|83TCHF28-N9</stp>
        <stp>Bid Rate</stp>
        <tr r="E831" s="1"/>
      </tp>
      <tp>
        <v>0</v>
        <stp/>
        <stp>bse_cm|990SCL26D</stp>
        <stp>Ask Qty</stp>
        <tr r="G1534" s="1"/>
      </tp>
      <tp>
        <v>0</v>
        <stp/>
        <stp>bse_cm|940SCL26A</stp>
        <stp>Ask Qty</stp>
        <tr r="G920" s="1"/>
      </tp>
      <tp>
        <v>0</v>
        <stp/>
        <stp>bse_cm|990SCL26A</stp>
        <stp>Ask Qty</stp>
        <tr r="G1057" s="1"/>
      </tp>
      <tp>
        <v>0</v>
        <stp/>
        <stp>bse_cm|940SCL26C</stp>
        <stp>Ask Qty</stp>
        <tr r="G794" s="1"/>
      </tp>
      <tp>
        <v>0</v>
        <stp/>
        <stp>bse_cm|940SCL26B</stp>
        <stp>Ask Qty</stp>
        <tr r="G905" s="1"/>
      </tp>
      <tp>
        <v>0</v>
        <stp/>
        <stp>bse_cm|990SCL26B</stp>
        <stp>Ask Qty</stp>
        <tr r="G1048" s="1"/>
      </tp>
      <tp>
        <v>0</v>
        <stp/>
        <stp>bse_cm|990SCL26I</stp>
        <stp>Ask Qty</stp>
        <tr r="G797" s="1"/>
      </tp>
      <tp>
        <v>1000</v>
        <stp/>
        <stp>nse_cm|9SCL26B-ND</stp>
        <stp>Prev Close</stp>
        <tr r="P994" s="1"/>
      </tp>
      <tp t="s">
        <v>BSE</v>
        <stp/>
        <stp>bse_cm|866SFL25</stp>
        <stp>Exchange</stp>
        <tr r="C1652" s="1"/>
      </tp>
      <tp t="s">
        <v>BSE</v>
        <stp/>
        <stp>bse_cm|866SCL25</stp>
        <stp>Exchange</stp>
        <tr r="C603" s="1"/>
      </tp>
      <tp t="s">
        <v>BSE</v>
        <stp/>
        <stp>bse_cm|916SCL25</stp>
        <stp>Exchange</stp>
        <tr r="C964" s="1"/>
      </tp>
      <tp>
        <v>0</v>
        <stp/>
        <stp>nse_cm|940SCL27-YS</stp>
        <stp>Ask Rate</stp>
        <tr r="F842" s="1"/>
      </tp>
      <tp>
        <v>20</v>
        <stp/>
        <stp>bse_cm|95MMFSL29</stp>
        <stp>Bid Qty</stp>
        <tr r="D353" s="1"/>
      </tp>
      <tp>
        <v>20</v>
        <stp/>
        <stp>bse_cm|88MMFSL26</stp>
        <stp>Bid Qty</stp>
        <tr r="D988" s="1"/>
      </tp>
      <tp>
        <v>5</v>
        <stp/>
        <stp>bse_cm|92MMFSL27</stp>
        <stp>Bid Qty</stp>
        <tr r="D384" s="1"/>
      </tp>
      <tp>
        <v>1</v>
        <stp/>
        <stp>bse_cm|93MMFSL27</stp>
        <stp>Bid Qty</stp>
        <tr r="D333" s="1"/>
      </tp>
      <tp>
        <v>0</v>
        <stp/>
        <stp>bse_cm|850SCL25A</stp>
        <stp>Ask Qty</stp>
        <tr r="G1387" s="1"/>
      </tp>
      <tp>
        <v>0</v>
        <stp/>
        <stp>nse_cm|843SCL27-YS</stp>
        <stp>Ask Rate</stp>
        <tr r="F944" s="1"/>
      </tp>
      <tp>
        <v>39</v>
        <stp/>
        <stp>bse_cm|93MOFSL34</stp>
        <stp>Bid Qty</stp>
        <tr r="D312" s="1"/>
      </tp>
      <tp>
        <v>10</v>
        <stp/>
        <stp>bse_cm|97MOFSL34</stp>
        <stp>Bid Qty</stp>
        <tr r="D1600" s="1"/>
      </tp>
      <tp t="s">
        <v>NSE</v>
        <stp/>
        <stp>nse_cm|903SFL28-YI</stp>
        <stp>Exchange</stp>
        <tr r="C372" s="1"/>
      </tp>
      <tp t="s">
        <v>SCLZC26</v>
        <stp/>
        <stp>bse_cm|SCLZC26</stp>
        <stp>Symbol</stp>
        <tr r="A1464" s="1"/>
      </tp>
      <tp t="s">
        <v>SCLZC25</v>
        <stp/>
        <stp>bse_cm|SCLZC25</stp>
        <stp>Symbol</stp>
        <tr r="A917" s="1"/>
      </tp>
      <tp t="s">
        <v>SFLZC26</v>
        <stp/>
        <stp>bse_cm|SFLZC26</stp>
        <stp>Symbol</stp>
        <tr r="A801" s="1"/>
      </tp>
      <tp t="e">
        <v>#N/A</v>
        <stp/>
        <stp>bse_cm|SFLZC24</stp>
        <stp>Symbol</stp>
        <tr r="A30" s="1"/>
      </tp>
      <tp t="s">
        <v>SFLZC25</v>
        <stp/>
        <stp>bse_cm|SFLZC25</stp>
        <stp>Symbol</stp>
        <tr r="A802" s="1"/>
      </tp>
      <tp>
        <v>0</v>
        <stp/>
        <stp>nse_cm|957SCL30-BX</stp>
        <stp>Bid Rate</stp>
        <tr r="E1109" s="1"/>
      </tp>
      <tp>
        <v>1000</v>
        <stp/>
        <stp>bse_cm|84TCHF28</stp>
        <stp>Face Value</stp>
        <tr r="Q403" s="1"/>
      </tp>
      <tp>
        <v>100</v>
        <stp/>
        <stp>bse_cm|91MOFSL27</stp>
        <stp>Bid Qty</stp>
        <tr r="D1558" s="1"/>
      </tp>
      <tp>
        <v>1000</v>
        <stp/>
        <stp>bse_cm|IFL19424</stp>
        <stp>Face Value</stp>
        <tr r="Q1344" s="1"/>
      </tp>
      <tp>
        <v>0</v>
        <stp/>
        <stp>nse_cm|SCL25B-BI</stp>
        <stp>% Change</stp>
        <tr r="J1403" s="1"/>
      </tp>
      <tp>
        <v>-100</v>
        <stp/>
        <stp>nse_cm|SCL25A-BH</stp>
        <stp>% Change</stp>
        <tr r="J1237" s="1"/>
      </tp>
      <tp t="s">
        <v>9SCFL25</v>
        <stp/>
        <stp>nse_cm|9SCFL25-Y5</stp>
        <stp>Symbol</stp>
        <tr r="A389" s="1"/>
      </tp>
      <tp>
        <v>0</v>
        <stp/>
        <stp>bse_cm|1003SCFL31</stp>
        <stp>ATP</stp>
        <tr r="K1076" s="1"/>
      </tp>
      <tp t="s">
        <v>AEL120924-N2</v>
        <stp/>
        <stp>nse_cm|AEL120924-N2</stp>
        <stp>Trading Symbol</stp>
        <tr r="B1673" s="1"/>
      </tp>
      <tp t="s">
        <v>830CIFC26-N2</v>
        <stp/>
        <stp>nse_cm|830CIFC26-N2</stp>
        <stp>Trading Symbol</stp>
        <tr r="B1625" s="1"/>
      </tp>
      <tp t="s">
        <v>842IIFL26-NL</v>
        <stp/>
        <stp>nse_cm|842IIFL26-NL</stp>
        <stp>Trading Symbol</stp>
        <tr r="B145" s="1"/>
      </tp>
      <tp t="s">
        <v>950IIFL27-Y2</v>
        <stp/>
        <stp>nse_cm|950IIFL27-Y2</stp>
        <stp>Trading Symbol</stp>
        <tr r="B995" s="1"/>
      </tp>
      <tp t="s">
        <v>875IIFL26-NM</v>
        <stp/>
        <stp>nse_cm|875IIFL26-NM</stp>
        <stp>Trading Symbol</stp>
        <tr r="B640" s="1"/>
      </tp>
      <tp>
        <v>0</v>
        <stp/>
        <stp>bse_cm|875MFCL26C</stp>
        <stp>ATP</stp>
        <tr r="K309" s="1"/>
      </tp>
      <tp>
        <v>0</v>
        <stp/>
        <stp>bse_cm|950MFCL27D</stp>
        <stp>ATP</stp>
        <tr r="K1496" s="1"/>
      </tp>
      <tp>
        <v>0</v>
        <stp/>
        <stp>bse_cm|105MMFL25A</stp>
        <stp>ATP</stp>
        <tr r="K1364" s="1"/>
      </tp>
      <tp>
        <v>0</v>
        <stp/>
        <stp>bse_cm|105MMFL25B</stp>
        <stp>ATP</stp>
        <tr r="K1390" s="1"/>
      </tp>
      <tp>
        <v>0</v>
        <stp/>
        <stp>bse_cm|105MMFL25C</stp>
        <stp>ATP</stp>
        <tr r="K480" s="1"/>
      </tp>
      <tp>
        <v>0</v>
        <stp/>
        <stp>bse_cm|1003ICCL28</stp>
        <stp>ATP</stp>
        <tr r="K655" s="1"/>
      </tp>
      <tp>
        <v>0</v>
        <stp/>
        <stp>bse_cm|1003IIFL29</stp>
        <stp>ATP</stp>
        <tr r="K1078" s="1"/>
      </tp>
      <tp>
        <v>0</v>
        <stp/>
        <stp>bse_cm|1003ISFL28</stp>
        <stp>ATP</stp>
        <tr r="K1456" s="1"/>
      </tp>
      <tp t="s">
        <v>875CIFC23B</v>
        <stp/>
        <stp>bse_cm|875CIFC23B</stp>
        <stp>Symbol</stp>
        <tr r="A1394" s="1"/>
      </tp>
      <tp>
        <v>0</v>
        <stp/>
        <stp>bse_cm|1050NIDO29</stp>
        <stp>ATP</stp>
        <tr r="K1124" s="1"/>
      </tp>
      <tp>
        <v>0</v>
        <stp/>
        <stp>bse_cm|1010NIDO28</stp>
        <stp>ATP</stp>
        <tr r="K199" s="1"/>
      </tp>
      <tp>
        <v>0</v>
        <stp/>
        <stp>bse_cm|1003NHFL29</stp>
        <stp>ATP</stp>
        <tr r="K605" s="1"/>
      </tp>
      <tp t="s">
        <v>KAFL080824</v>
        <stp/>
        <stp>bse_cm|KAFL080824</stp>
        <stp>Symbol</stp>
        <tr r="A1417" s="1"/>
      </tp>
      <tp>
        <v>0</v>
        <stp/>
        <stp>bse_cm|CCIL110324</stp>
        <stp>ATP</stp>
        <tr r="K754" s="1"/>
      </tp>
      <tp t="s">
        <v>SCFL310524</v>
        <stp/>
        <stp>bse_cm|SCFL310524</stp>
        <stp>Symbol</stp>
        <tr r="A1241" s="1"/>
      </tp>
      <tp t="s">
        <v>1026NIDO34</v>
        <stp/>
        <stp>bse_cm|1026NIDO34</stp>
        <stp>Symbol</stp>
        <tr r="A1018" s="1"/>
      </tp>
      <tp t="s">
        <v>1003SCFL31</v>
        <stp/>
        <stp>bse_cm|1003SCFL31</stp>
        <stp>Symbol</stp>
        <tr r="A1076" s="1"/>
      </tp>
      <tp t="s">
        <v>1003ISFL28</v>
        <stp/>
        <stp>bse_cm|1003ISFL28</stp>
        <stp>Symbol</stp>
        <tr r="A1456" s="1"/>
      </tp>
      <tp t="s">
        <v>1003IIFL29</v>
        <stp/>
        <stp>bse_cm|1003IIFL29</stp>
        <stp>Symbol</stp>
        <tr r="A1078" s="1"/>
      </tp>
      <tp t="s">
        <v>1003NHFL29</v>
        <stp/>
        <stp>bse_cm|1003NHFL29</stp>
        <stp>Symbol</stp>
        <tr r="A605" s="1"/>
      </tp>
      <tp>
        <v>0</v>
        <stp/>
        <stp>bse_cm|975MFCL28E</stp>
        <stp>ATP</stp>
        <tr r="K303" s="1"/>
      </tp>
      <tp t="s">
        <v>1050ICCL28</v>
        <stp/>
        <stp>bse_cm|1050ICCL28</stp>
        <stp>Symbol</stp>
        <tr r="A1133" s="1"/>
      </tp>
      <tp>
        <v>80</v>
        <stp/>
        <stp>bse_cm|967EFSL29A</stp>
        <stp>Volume Traded Today</stp>
        <tr r="L180" s="1"/>
      </tp>
      <tp>
        <v>0</v>
        <stp/>
        <stp>bse_cm|967EFSL28D</stp>
        <stp>Volume Traded Today</stp>
        <tr r="L168" s="1"/>
      </tp>
      <tp>
        <v>2500</v>
        <stp/>
        <stp>bse_cm|967EFSL28A</stp>
        <stp>Volume Traded Today</stp>
        <tr r="L172" s="1"/>
      </tp>
      <tp>
        <v>0</v>
        <stp/>
        <stp>nse_cm|1003SCL30A-NV</stp>
        <stp>Open</stp>
        <tr r="M728" s="1"/>
      </tp>
      <tp t="s">
        <v>MHFLZC26</v>
        <stp/>
        <stp>bse_cm|MHFLZC26</stp>
        <stp>Symbol</stp>
        <tr r="A1714" s="1"/>
      </tp>
      <tp t="e">
        <v>#N/A</v>
        <stp/>
        <stp>bse_cm|MHFLZC24</stp>
        <stp>Symbol</stp>
        <tr r="A35" s="1"/>
      </tp>
      <tp t="s">
        <v>MMFLZC28</v>
        <stp/>
        <stp>bse_cm|MMFLZC28</stp>
        <stp>Symbol</stp>
        <tr r="A1259" s="1"/>
      </tp>
      <tp t="s">
        <v>MMFLZC26</v>
        <stp/>
        <stp>bse_cm|MMFLZC26</stp>
        <stp>Symbol</stp>
        <tr r="A1261" s="1"/>
      </tp>
      <tp t="s">
        <v>MMFLZC27</v>
        <stp/>
        <stp>bse_cm|MMFLZC27</stp>
        <stp>Symbol</stp>
        <tr r="A1462" s="1"/>
      </tp>
      <tp t="s">
        <v>MMFLZC25</v>
        <stp/>
        <stp>bse_cm|MMFLZC25</stp>
        <stp>Symbol</stp>
        <tr r="A1731" s="1"/>
      </tp>
      <tp>
        <v>200</v>
        <stp/>
        <stp>bse_cm|875EFSL24A</stp>
        <stp>Volume Traded Today</stp>
        <tr r="L229" s="1"/>
      </tp>
      <tp>
        <v>0</v>
        <stp/>
        <stp>bse_cm|895EFSL25A</stp>
        <stp>Volume Traded Today</stp>
        <tr r="L594" s="1"/>
      </tp>
      <tp>
        <v>0</v>
        <stp/>
        <stp>bse_cm|920EFSL27A</stp>
        <stp>Volume Traded Today</stp>
        <tr r="L685" s="1"/>
      </tp>
      <tp>
        <v>0</v>
        <stp/>
        <stp>nse_cm|SCLZC25-YN</stp>
        <stp>Volume Traded Today</stp>
        <tr r="L1727" s="1"/>
      </tp>
      <tp>
        <v>0</v>
        <stp/>
        <stp>bse_cm|915EFSL26A</stp>
        <stp>Volume Traded Today</stp>
        <tr r="L187" s="1"/>
      </tp>
      <tp>
        <v>0</v>
        <stp/>
        <stp>bse_cm|920EFSL26B</stp>
        <stp>Volume Traded Today</stp>
        <tr r="L247" s="1"/>
      </tp>
      <tp>
        <v>210</v>
        <stp/>
        <stp>bse_cm|920EFSL26A</stp>
        <stp>Volume Traded Today</stp>
        <tr r="L61" s="1"/>
      </tp>
      <tp>
        <v>0</v>
        <stp/>
        <stp>bse_cm|955EFSL26A</stp>
        <stp>Volume Traded Today</stp>
        <tr r="L214" s="1"/>
      </tp>
      <tp>
        <v>0</v>
        <stp/>
        <stp>bse_cm|960EFSL26C</stp>
        <stp>Volume Traded Today</stp>
        <tr r="L137" s="1"/>
      </tp>
      <tp>
        <v>0</v>
        <stp/>
        <stp>bse_cm|955EFSL26B</stp>
        <stp>Volume Traded Today</stp>
        <tr r="L666" s="1"/>
      </tp>
      <tp t="s">
        <v>INE414G07EJ2</v>
        <stp/>
        <stp>bse_cm|975MFL24BB</stp>
        <stp>Isin code</stp>
        <tr r="R552" s="1"/>
      </tp>
      <tp t="s">
        <v>MVAFZC25</v>
        <stp/>
        <stp>bse_cm|MVAFZC25</stp>
        <stp>Symbol</stp>
        <tr r="A1746" s="1"/>
      </tp>
      <tp>
        <v>0</v>
        <stp/>
        <stp>nse_cm|SCLZC26-NB</stp>
        <stp>Volume Traded Today</stp>
        <tr r="L1717" s="1"/>
      </tp>
      <tp t="s">
        <v>975JMFCS28</v>
        <stp/>
        <stp>bse_cm|975JMFCS28</stp>
        <stp>Symbol</stp>
        <tr r="A275" s="1"/>
      </tp>
      <tp>
        <v>1030</v>
        <stp/>
        <stp>bse_cm|CCILZC24</stp>
        <stp>High</stp>
        <tr r="N750" s="1"/>
      </tp>
      <tp t="s">
        <v>NSE</v>
        <stp/>
        <stp>nse_cm|931SFL26-Z5</stp>
        <stp>Exchange</stp>
        <tr r="C519" s="1"/>
      </tp>
      <tp>
        <v>1150</v>
        <stp/>
        <stp>bse_cm|CCILZC25</stp>
        <stp>High</stp>
        <tr r="N1376" s="1"/>
      </tp>
      <tp>
        <v>1137.32</v>
        <stp/>
        <stp>bse_cm|CCILZC26</stp>
        <stp>High</stp>
        <tr r="N748" s="1"/>
      </tp>
      <tp>
        <v>1010.1</v>
        <stp/>
        <stp>bse_cm|MML24A</stp>
        <stp>Bid Rate</stp>
        <tr r="E1254" s="1"/>
      </tp>
      <tp>
        <v>0</v>
        <stp/>
        <stp>nse_cm|1025SCL33A-N1</stp>
        <stp>ATP</stp>
        <tr r="K834" s="1"/>
      </tp>
      <tp>
        <v>825.21</v>
        <stp/>
        <stp>bse_cm|92ICCL28</stp>
        <stp>High</stp>
        <tr r="N202" s="1"/>
      </tp>
      <tp t="s">
        <v>INE906B07EP5</v>
        <stp/>
        <stp>nse_cm|769NHAI31-NE</stp>
        <stp>Isin code</stp>
        <tr r="R461" s="1"/>
      </tp>
      <tp>
        <v>1038.2</v>
        <stp/>
        <stp>bse_cm|85IIFL25</stp>
        <stp>High</stp>
        <tr r="N134" s="1"/>
      </tp>
      <tp t="s">
        <v>INE477L07AQ2</v>
        <stp/>
        <stp>nse_cm|843IHFL29-NC</stp>
        <stp>Isin code</stp>
        <tr r="R123" s="1"/>
      </tp>
      <tp t="s">
        <v>INE342T07403</v>
        <stp/>
        <stp>nse_cm|1102NFL26-N8</stp>
        <stp>Isin code</stp>
        <tr r="R587" s="1"/>
      </tp>
      <tp>
        <v>0</v>
        <stp/>
        <stp>nse_cm|1003IIFL29-NC</stp>
        <stp>Volume Traded Today</stp>
        <tr r="L1077" s="1"/>
      </tp>
      <tp>
        <v>0</v>
        <stp/>
        <stp>nse_cm|1003ISFL28-N4</stp>
        <stp>Volume Traded Today</stp>
        <tr r="L197" s="1"/>
      </tp>
      <tp>
        <v>1.33</v>
        <stp/>
        <stp>bse_cm|EFSL27A</stp>
        <stp>% Change</stp>
        <tr r="J1649" s="1"/>
      </tp>
      <tp>
        <v>0</v>
        <stp/>
        <stp>nse_cm|1050ICCL28-NV</stp>
        <stp>Volume Traded Today</stp>
        <tr r="L764" s="1"/>
      </tp>
      <tp>
        <v>1000</v>
        <stp/>
        <stp>bse_cm|10IIFL29</stp>
        <stp>High</stp>
        <tr r="N307" s="1"/>
      </tp>
      <tp>
        <v>1080</v>
        <stp/>
        <stp>bse_cm|10IFSL26</stp>
        <stp>High</stp>
        <tr r="N428" s="1"/>
      </tp>
      <tp>
        <v>933.57</v>
        <stp/>
        <stp>bse_cm|96IIFL28</stp>
        <stp>High</stp>
        <tr r="N118" s="1"/>
      </tp>
      <tp>
        <v>906.1</v>
        <stp/>
        <stp>bse_cm|10IIFL28</stp>
        <stp>High</stp>
        <tr r="N68" s="1"/>
      </tp>
      <tp>
        <v>1250.2</v>
        <stp/>
        <stp>bse_cm|MFL24A</stp>
        <stp>Bid Rate</stp>
        <tr r="E1759" s="1"/>
      </tp>
      <tp t="s">
        <v>15:11:25</v>
        <stp/>
        <stp>nse_cm|840CIFCL28-N4</stp>
        <stp>LTT</stp>
        <tr r="I556" s="1"/>
      </tp>
      <tp>
        <v>1015</v>
        <stp/>
        <stp>nse_cm|840CIFCL28-N4</stp>
        <stp>LTP</stp>
        <tr r="H556" s="1"/>
      </tp>
      <tp>
        <v>1076.5</v>
        <stp/>
        <stp>bse_cm|99IFCI24</stp>
        <stp>High</stp>
        <tr r="N41" s="1"/>
      </tp>
      <tp>
        <v>0</v>
        <stp/>
        <stp>nse_cm|875CIFC23B-NJ</stp>
        <stp>Volume Traded Today</stp>
        <tr r="L346" s="1"/>
      </tp>
      <tp>
        <v>0</v>
        <stp/>
        <stp>bse_cm|58PFCL26</stp>
        <stp>Open</stp>
        <tr r="M369" s="1"/>
      </tp>
      <tp>
        <v>1169</v>
        <stp/>
        <stp>bse_cm|MFL24B</stp>
        <stp>Bid Rate</stp>
        <tr r="E1756" s="1"/>
      </tp>
      <tp t="s">
        <v/>
        <stp/>
        <stp>nse_cm|860CIFCL28-NG</stp>
        <stp>LTT</stp>
        <tr r="I647" s="1"/>
      </tp>
      <tp t="s">
        <v/>
        <stp/>
        <stp>nse_cm|850CIFCL26-NE</stp>
        <stp>LTT</stp>
        <tr r="I450" s="1"/>
      </tp>
      <tp>
        <v>1053</v>
        <stp/>
        <stp>nse_cm|860CIFCL28-NG</stp>
        <stp>LTP</stp>
        <tr r="H647" s="1"/>
      </tp>
      <tp>
        <v>1041.0999999999999</v>
        <stp/>
        <stp>nse_cm|850CIFCL26-NE</stp>
        <stp>LTP</stp>
        <tr r="H450" s="1"/>
      </tp>
      <tp>
        <v>1044.2</v>
        <stp/>
        <stp>bse_cm|94IFCI25</stp>
        <stp>High</stp>
        <tr r="N228" s="1"/>
      </tp>
      <tp>
        <v>0</v>
        <stp/>
        <stp>bse_cm|1025SF29</stp>
        <stp>Ask Rate</stp>
        <tr r="F1409" s="1"/>
      </tp>
      <tp>
        <v>802</v>
        <stp/>
        <stp>bse_cm|98ICCL26</stp>
        <stp>High</stp>
        <tr r="N1412" s="1"/>
      </tp>
      <tp>
        <v>1100</v>
        <stp/>
        <stp>bse_cm|CCILZC29</stp>
        <stp>High</stp>
        <tr r="N747" s="1"/>
      </tp>
      <tp>
        <v>1068</v>
        <stp/>
        <stp>bse_cm|12ICFL25</stp>
        <stp>High</stp>
        <tr r="N1213" s="1"/>
      </tp>
      <tp t="s">
        <v>INE866I08303</v>
        <stp/>
        <stp>nse_cm|985IIFL22-NC</stp>
        <stp>Isin code</stp>
        <tr r="R114" s="1"/>
      </tp>
      <tp>
        <v>955.15</v>
        <stp/>
        <stp>bse_cm|98NWFL30</stp>
        <stp xml:space="preserve">Low </stp>
        <tr r="O231" s="1"/>
      </tp>
      <tp>
        <v>0</v>
        <stp/>
        <stp>nse_cm|1003SCFL31-Z4</stp>
        <stp>Volume Traded Today</stp>
        <tr r="L878" s="1"/>
      </tp>
      <tp>
        <v>0</v>
        <stp/>
        <stp>bse_cm|92EFSL26</stp>
        <stp>ATP</stp>
        <tr r="K186" s="1"/>
      </tp>
      <tp>
        <v>1091</v>
        <stp/>
        <stp>nse_cm|935LTF29-N5</stp>
        <stp>Bid Rate</stp>
        <tr r="E395" s="1"/>
      </tp>
      <tp>
        <v>1134.99</v>
        <stp/>
        <stp>bse_cm|76NHAI31</stp>
        <stp xml:space="preserve">Low </stp>
        <tr r="O478" s="1"/>
      </tp>
      <tp>
        <v>0</v>
        <stp/>
        <stp>nse_cm|975SCL27-Z9</stp>
        <stp>Ask Rate</stp>
        <tr r="F885" s="1"/>
      </tp>
      <tp>
        <v>880</v>
        <stp/>
        <stp>bse_cm|10NIDO33</stp>
        <stp xml:space="preserve">Low </stp>
        <tr r="O1447" s="1"/>
      </tp>
      <tp>
        <v>-100</v>
        <stp/>
        <stp>nse_cm|894SCL25A-ZI</stp>
        <stp>% Change</stp>
        <tr r="J963" s="1"/>
      </tp>
      <tp>
        <v>0</v>
        <stp/>
        <stp>nse_cm|SCFL310524-ZE</stp>
        <stp>Volume Traded Today</stp>
        <tr r="L1240" s="1"/>
      </tp>
      <tp>
        <v>676</v>
        <stp/>
        <stp>nse_cm|990SCL26-N7</stp>
        <stp>Bid Rate</stp>
        <tr r="E422" s="1"/>
      </tp>
      <tp>
        <v>0</v>
        <stp/>
        <stp>nse_cm|1025SCL34A-ZT</stp>
        <stp>ATP</stp>
        <tr r="K171" s="1"/>
      </tp>
      <tp t="s">
        <v>BSE</v>
        <stp/>
        <stp>bse_cm|SCL24A</stp>
        <stp>Exchange</stp>
        <tr r="C1749" s="1"/>
      </tp>
      <tp>
        <v>1020</v>
        <stp/>
        <stp>bse_cm|0MOFSL26</stp>
        <stp xml:space="preserve">Low </stp>
        <tr r="O1645" s="1"/>
      </tp>
      <tp>
        <v>1001</v>
        <stp/>
        <stp>nse_cm|875PCHFL26-N8</stp>
        <stp>LTP</stp>
        <tr r="H271" s="1"/>
      </tp>
      <tp>
        <v>0</v>
        <stp/>
        <stp>nse_cm|875PCHFL31-N9</stp>
        <stp>LTP</stp>
        <tr r="H1012" s="1"/>
      </tp>
      <tp t="s">
        <v/>
        <stp/>
        <stp>nse_cm|875PCHFL26-N8</stp>
        <stp>LTT</stp>
        <tr r="I271" s="1"/>
      </tp>
      <tp t="s">
        <v/>
        <stp/>
        <stp>nse_cm|875PCHFL31-N9</stp>
        <stp>LTT</stp>
        <tr r="I1012" s="1"/>
      </tp>
      <tp>
        <v>1010</v>
        <stp/>
        <stp>bse_cm|0MOFSL27</stp>
        <stp xml:space="preserve">Low </stp>
        <tr r="O1039" s="1"/>
      </tp>
      <tp>
        <v>0</v>
        <stp/>
        <stp>bse_cm|1025SF29</stp>
        <stp>Volume Traded Today</stp>
        <tr r="L1409" s="1"/>
      </tp>
      <tp>
        <v>20</v>
        <stp/>
        <stp>bse_cm|10EFS33</stp>
        <stp>Ask Qty</stp>
        <tr r="G112" s="1"/>
      </tp>
      <tp>
        <v>855</v>
        <stp/>
        <stp>nse_cm|86CIFC29-NN</stp>
        <stp>Bid Rate</stp>
        <tr r="E1340" s="1"/>
      </tp>
      <tp>
        <v>0</v>
        <stp/>
        <stp>bse_cm|92ICCL28</stp>
        <stp>ATP</stp>
        <tr r="K202" s="1"/>
      </tp>
      <tp>
        <v>0</v>
        <stp/>
        <stp>bse_cm|12ICFL25</stp>
        <stp>ATP</stp>
        <tr r="K1213" s="1"/>
      </tp>
      <tp>
        <v>1000</v>
        <stp/>
        <stp>bse_cm|10ISFL26</stp>
        <stp>High</stp>
        <tr r="N1509" s="1"/>
      </tp>
      <tp>
        <v>0</v>
        <stp/>
        <stp>bse_cm|905LTF27</stp>
        <stp>Volume Traded Today</stp>
        <tr r="L394" s="1"/>
      </tp>
      <tp>
        <v>0</v>
        <stp/>
        <stp>bse_cm|935ONE26</stp>
        <stp>Volume Traded Today</stp>
        <tr r="L1173" s="1"/>
      </tp>
      <tp t="s">
        <v>INE053F07728</v>
        <stp/>
        <stp>nse_cm|863IRFC29-NC</stp>
        <stp>Isin code</stp>
        <tr r="R554" s="1"/>
      </tp>
      <tp>
        <v>0</v>
        <stp/>
        <stp>nse_cm|971SCL29-Z0</stp>
        <stp>Ask Rate</stp>
        <tr r="F681" s="1"/>
      </tp>
      <tp>
        <v>0</v>
        <stp/>
        <stp>bse_cm|980SCL33</stp>
        <stp>Ask Rate</stp>
        <tr r="F998" s="1"/>
      </tp>
      <tp t="s">
        <v>BSE</v>
        <stp/>
        <stp>bse_cm|944ONE34</stp>
        <stp>Exchange</stp>
        <tr r="C269" s="1"/>
      </tp>
      <tp t="s">
        <v>BSE</v>
        <stp/>
        <stp>bse_cm|775MFL26</stp>
        <stp>Exchange</stp>
        <tr r="C328" s="1"/>
      </tp>
      <tp t="s">
        <v>BSE</v>
        <stp/>
        <stp>bse_cm|975NFL25</stp>
        <stp>Exchange</stp>
        <tr r="C623" s="1"/>
      </tp>
      <tp t="s">
        <v>BSE</v>
        <stp/>
        <stp>bse_cm|925MFL26</stp>
        <stp>Exchange</stp>
        <tr r="C230" s="1"/>
      </tp>
      <tp t="s">
        <v>BSE</v>
        <stp/>
        <stp>bse_cm|875MFL26</stp>
        <stp>Exchange</stp>
        <tr r="C161" s="1"/>
      </tp>
      <tp t="s">
        <v>BSE</v>
        <stp/>
        <stp>bse_cm|825MFL26</stp>
        <stp>Exchange</stp>
        <tr r="C418" s="1"/>
      </tp>
      <tp t="s">
        <v>BSE</v>
        <stp/>
        <stp>bse_cm|835MFL26</stp>
        <stp>Exchange</stp>
        <tr r="C169" s="1"/>
      </tp>
      <tp t="s">
        <v>00:00:00</v>
        <stp/>
        <stp>bse_cm|734REC30</stp>
        <stp>LTT</stp>
        <tr r="I524" s="1"/>
      </tp>
      <tp>
        <v>0</v>
        <stp/>
        <stp>bse_cm|915SCL26</stp>
        <stp>ATP</stp>
        <tr r="K148" s="1"/>
      </tp>
      <tp>
        <v>0</v>
        <stp/>
        <stp>bse_cm|915SCL27</stp>
        <stp>ATP</stp>
        <tr r="K1127" s="1"/>
      </tp>
      <tp>
        <v>0</v>
        <stp/>
        <stp>bse_cm|734REC30</stp>
        <stp>LTP</stp>
        <tr r="H524" s="1"/>
      </tp>
      <tp t="s">
        <v>00:00:00</v>
        <stp/>
        <stp>bse_cm|865LTF26</stp>
        <stp>LTT</stp>
        <tr r="I391" s="1"/>
      </tp>
      <tp t="s">
        <v>00:00:00</v>
        <stp/>
        <stp>bse_cm|955ONE27</stp>
        <stp>LTT</stp>
        <tr r="I1129" s="1"/>
      </tp>
      <tp>
        <v>0</v>
        <stp/>
        <stp>bse_cm|915MFL27</stp>
        <stp>ATP</stp>
        <tr r="K614" s="1"/>
      </tp>
      <tp>
        <v>0</v>
        <stp/>
        <stp>bse_cm|865LTF26</stp>
        <stp>LTP</stp>
        <tr r="H391" s="1"/>
      </tp>
      <tp>
        <v>0</v>
        <stp/>
        <stp>bse_cm|955ONE27</stp>
        <stp>LTP</stp>
        <tr r="H1129" s="1"/>
      </tp>
      <tp>
        <v>971.8</v>
        <stp/>
        <stp>bse_cm|915MFL25</stp>
        <stp>ATP</stp>
        <tr r="K105" s="1"/>
      </tp>
      <tp>
        <v>1598.99</v>
        <stp/>
        <stp>bse_cm|ECLZC24B</stp>
        <stp>High</stp>
        <tr r="N1767" s="1"/>
      </tp>
      <tp t="s">
        <v>BSE</v>
        <stp/>
        <stp>bse_cm|905LTF27</stp>
        <stp>Exchange</stp>
        <tr r="C394" s="1"/>
      </tp>
      <tp>
        <v>0</v>
        <stp/>
        <stp>bse_cm|915MFL28</stp>
        <stp>ATP</stp>
        <tr r="K283" s="1"/>
      </tp>
      <tp t="s">
        <v>BSE</v>
        <stp/>
        <stp>bse_cm|885LTF27</stp>
        <stp>Exchange</stp>
        <tr r="C1008" s="1"/>
      </tp>
      <tp>
        <v>1015</v>
        <stp/>
        <stp>bse_cm|801TCH25</stp>
        <stp>Ask Rate</stp>
        <tr r="F562" s="1"/>
      </tp>
      <tp>
        <v>0</v>
        <stp/>
        <stp>bse_cm|99JFPL25</stp>
        <stp>Volume Traded Today</stp>
        <tr r="L1670" s="1"/>
      </tp>
      <tp>
        <v>950</v>
        <stp/>
        <stp>bse_cm|810MFL2028</stp>
        <stp>Prev Close</stp>
        <tr r="P651" s="1"/>
      </tp>
      <tp t="s">
        <v>BSE</v>
        <stp/>
        <stp>bse_cm|775MFL27</stp>
        <stp>Exchange</stp>
        <tr r="C694" s="1"/>
      </tp>
      <tp t="s">
        <v>BSE</v>
        <stp/>
        <stp>bse_cm|915MFL27</stp>
        <stp>Exchange</stp>
        <tr r="C614" s="1"/>
      </tp>
      <tp t="s">
        <v>BSE</v>
        <stp/>
        <stp>bse_cm|825MFL27</stp>
        <stp>Exchange</stp>
        <tr r="C344" s="1"/>
      </tp>
      <tp>
        <v>1576.68</v>
        <stp/>
        <stp>bse_cm|MFLZC24C</stp>
        <stp>High</stp>
        <tr r="N1551" s="1"/>
      </tp>
      <tp>
        <v>0</v>
        <stp/>
        <stp>bse_cm|985ONE34</stp>
        <stp>ATP</stp>
        <tr r="K1101" s="1"/>
      </tp>
      <tp t="s">
        <v>BSE</v>
        <stp/>
        <stp>bse_cm|865LTF26</stp>
        <stp>Exchange</stp>
        <tr r="C391" s="1"/>
      </tp>
      <tp>
        <v>12</v>
        <stp/>
        <stp>bse_cm|950SCL23A</stp>
        <stp>Bid Qty</stp>
        <tr r="D1146" s="1"/>
      </tp>
      <tp>
        <v>20</v>
        <stp/>
        <stp>bse_cm|920SCL23A</stp>
        <stp>Bid Qty</stp>
        <tr r="D1114" s="1"/>
      </tp>
      <tp t="s">
        <v>BSE</v>
        <stp/>
        <stp>bse_cm|935ONE26</stp>
        <stp>Exchange</stp>
        <tr r="C1173" s="1"/>
      </tp>
      <tp t="s">
        <v>BSE</v>
        <stp/>
        <stp>bse_cm|725MFL24</stp>
        <stp>Exchange</stp>
        <tr r="C446" s="1"/>
      </tp>
      <tp>
        <v>1061.0999999999999</v>
        <stp/>
        <stp>nse_cm|905LTF27-NF</stp>
        <stp>Bid Rate</stp>
        <tr r="E393" s="1"/>
      </tp>
      <tp t="s">
        <v>BSE</v>
        <stp/>
        <stp>bse_cm|955ONE27</stp>
        <stp>Exchange</stp>
        <tr r="C1129" s="1"/>
      </tp>
      <tp t="s">
        <v>BSE</v>
        <stp/>
        <stp>bse_cm|965MML25</stp>
        <stp>Exchange</stp>
        <tr r="C1107" s="1"/>
      </tp>
      <tp t="s">
        <v>BSE</v>
        <stp/>
        <stp>bse_cm|975MML25</stp>
        <stp>Exchange</stp>
        <tr r="C852" s="1"/>
      </tp>
      <tp t="s">
        <v>BSE</v>
        <stp/>
        <stp>bse_cm|775MFL25</stp>
        <stp>Exchange</stp>
        <tr r="C1369" s="1"/>
      </tp>
      <tp t="s">
        <v>BSE</v>
        <stp/>
        <stp>bse_cm|735MFL25</stp>
        <stp>Exchange</stp>
        <tr r="C308" s="1"/>
      </tp>
      <tp t="s">
        <v>BSE</v>
        <stp/>
        <stp>bse_cm|975MFL25</stp>
        <stp>Exchange</stp>
        <tr r="C855" s="1"/>
      </tp>
      <tp t="s">
        <v>BSE</v>
        <stp/>
        <stp>bse_cm|925MFL25</stp>
        <stp>Exchange</stp>
        <tr r="C1466" s="1"/>
      </tp>
      <tp t="s">
        <v>BSE</v>
        <stp/>
        <stp>bse_cm|915MFL25</stp>
        <stp>Exchange</stp>
        <tr r="C105" s="1"/>
      </tp>
      <tp t="s">
        <v>BSE</v>
        <stp/>
        <stp>bse_cm|825MFL25</stp>
        <stp>Exchange</stp>
        <tr r="C596" s="1"/>
      </tp>
      <tp>
        <v>900</v>
        <stp/>
        <stp>bse_cm|916SCL25</stp>
        <stp>ATP</stp>
        <tr r="K964" s="1"/>
      </tp>
      <tp t="s">
        <v>BSE</v>
        <stp/>
        <stp>bse_cm|105MML25</stp>
        <stp>Exchange</stp>
        <tr r="C1170" s="1"/>
      </tp>
      <tp>
        <v>0</v>
        <stp/>
        <stp>bse_cm|886ONE25</stp>
        <stp>ATP</stp>
        <tr r="K723" s="1"/>
      </tp>
      <tp t="s">
        <v>BSE</v>
        <stp/>
        <stp>bse_cm|845LTF24</stp>
        <stp>Exchange</stp>
        <tr r="C943" s="1"/>
      </tp>
      <tp t="s">
        <v>BSE</v>
        <stp/>
        <stp>bse_cm|815LTF24</stp>
        <stp>Exchange</stp>
        <tr r="C1167" s="1"/>
      </tp>
      <tp>
        <v>9</v>
        <stp/>
        <stp>bse_cm|850SCL25A</stp>
        <stp>Bid Qty</stp>
        <tr r="D1387" s="1"/>
      </tp>
      <tp t="s">
        <v>NSE</v>
        <stp/>
        <stp>nse_cm|905SCL25-ZT</stp>
        <stp>Exchange</stp>
        <tr r="C977" s="1"/>
      </tp>
      <tp t="s">
        <v>BSE</v>
        <stp/>
        <stp>bse_cm|975IML26</stp>
        <stp>Exchange</stp>
        <tr r="C646" s="1"/>
      </tp>
      <tp t="s">
        <v>BSE</v>
        <stp/>
        <stp>bse_cm|745IGT26</stp>
        <stp>Exchange</stp>
        <tr r="C1202" s="1"/>
      </tp>
      <tp>
        <v>0</v>
        <stp/>
        <stp>bse_cm|MFLVI31F</stp>
        <stp>Volume Traded Today</stp>
        <tr r="L354" s="1"/>
      </tp>
      <tp>
        <v>19</v>
        <stp/>
        <stp>bse_cm|93MOFSL34</stp>
        <stp>Ask Qty</stp>
        <tr r="G312" s="1"/>
      </tp>
      <tp>
        <v>5</v>
        <stp/>
        <stp>bse_cm|97MOFSL34</stp>
        <stp>Ask Qty</stp>
        <tr r="G1600" s="1"/>
      </tp>
      <tp>
        <v>0</v>
        <stp/>
        <stp>bse_cm|931SFL26</stp>
        <stp>Ask Rate</stp>
        <tr r="F1492" s="1"/>
      </tp>
      <tp t="s">
        <v>NSE</v>
        <stp/>
        <stp>nse_cm|930SFL28-YP</stp>
        <stp>Exchange</stp>
        <tr r="C6" s="1"/>
      </tp>
      <tp t="s">
        <v>BSE</v>
        <stp/>
        <stp>bse_cm|975KLM25</stp>
        <stp>Exchange</stp>
        <tr r="C858" s="1"/>
      </tp>
      <tp t="s">
        <v>BSE</v>
        <stp/>
        <stp>bse_cm|875KFL25</stp>
        <stp>Exchange</stp>
        <tr r="C50" s="1"/>
      </tp>
      <tp t="s">
        <v>BSE</v>
        <stp/>
        <stp>bse_cm|825KFL25</stp>
        <stp>Exchange</stp>
        <tr r="C252" s="1"/>
      </tp>
      <tp>
        <v>0</v>
        <stp/>
        <stp>bse_cm|910MFL26</stp>
        <stp>ATP</stp>
        <tr r="K277" s="1"/>
      </tp>
      <tp>
        <v>0</v>
        <stp/>
        <stp>bse_cm|810MFL25</stp>
        <stp>ATP</stp>
        <tr r="K429" s="1"/>
      </tp>
      <tp>
        <v>990</v>
        <stp/>
        <stp>nse_cm|87SCL24A-ZF</stp>
        <stp xml:space="preserve">Low </stp>
        <tr r="O959" s="1"/>
      </tp>
      <tp>
        <v>0</v>
        <stp/>
        <stp>bse_cm|91MOFSL27</stp>
        <stp>Ask Qty</stp>
        <tr r="G1558" s="1"/>
      </tp>
      <tp t="s">
        <v>BSE</v>
        <stp/>
        <stp>bse_cm|925KFL26</stp>
        <stp>Exchange</stp>
        <tr r="C775" s="1"/>
      </tp>
      <tp t="s">
        <v>BSE</v>
        <stp/>
        <stp>bse_cm|875KFL26</stp>
        <stp>Exchange</stp>
        <tr r="C1156" s="1"/>
      </tp>
      <tp t="s">
        <v>BSE</v>
        <stp/>
        <stp>bse_cm|985ECL28</stp>
        <stp>Exchange</stp>
        <tr r="C56" s="1"/>
      </tp>
      <tp>
        <v>1589</v>
        <stp/>
        <stp>bse_cm|MFLZC24D</stp>
        <stp>High</stp>
        <tr r="N1550" s="1"/>
      </tp>
      <tp>
        <v>1353</v>
        <stp/>
        <stp>bse_cm|KFLZC24D</stp>
        <stp>High</stp>
        <tr r="N1296" s="1"/>
      </tp>
      <tp>
        <v>0</v>
        <stp/>
        <stp>bse_cm|990SCL26I</stp>
        <stp>Bid Qty</stp>
        <tr r="D797" s="1"/>
      </tp>
      <tp>
        <v>0</v>
        <stp/>
        <stp>bse_cm|980SCL34</stp>
        <stp>Ask Rate</stp>
        <tr r="F829" s="1"/>
      </tp>
      <tp>
        <v>4</v>
        <stp/>
        <stp>bse_cm|940SCL26B</stp>
        <stp>Bid Qty</stp>
        <tr r="D905" s="1"/>
      </tp>
      <tp>
        <v>7</v>
        <stp/>
        <stp>bse_cm|990SCL26B</stp>
        <stp>Bid Qty</stp>
        <tr r="D1048" s="1"/>
      </tp>
      <tp>
        <v>20</v>
        <stp/>
        <stp>bse_cm|940SCL26C</stp>
        <stp>Bid Qty</stp>
        <tr r="D794" s="1"/>
      </tp>
      <tp>
        <v>11</v>
        <stp/>
        <stp>bse_cm|940SCL26A</stp>
        <stp>Bid Qty</stp>
        <tr r="D920" s="1"/>
      </tp>
      <tp>
        <v>25</v>
        <stp/>
        <stp>bse_cm|990SCL26A</stp>
        <stp>Bid Qty</stp>
        <tr r="D1057" s="1"/>
      </tp>
      <tp>
        <v>20</v>
        <stp/>
        <stp>bse_cm|990SCL26D</stp>
        <stp>Bid Qty</stp>
        <tr r="D1534" s="1"/>
      </tp>
      <tp t="s">
        <v>BSE</v>
        <stp/>
        <stp>bse_cm|925KFL27</stp>
        <stp>Exchange</stp>
        <tr r="C313" s="1"/>
      </tp>
      <tp t="s">
        <v>BSE</v>
        <stp/>
        <stp>bse_cm|835IFL25</stp>
        <stp>Exchange</stp>
        <tr r="C668" s="1"/>
      </tp>
      <tp t="s">
        <v>BSE</v>
        <stp/>
        <stp>bse_cm|995ECL29</stp>
        <stp>Exchange</stp>
        <tr r="C198" s="1"/>
      </tp>
      <tp>
        <v>0</v>
        <stp/>
        <stp>bse_cm|MFLVI32F</stp>
        <stp>Volume Traded Today</stp>
        <tr r="L704" s="1"/>
      </tp>
      <tp>
        <v>0</v>
        <stp/>
        <stp>bse_cm|88MMFSL26</stp>
        <stp>Ask Qty</stp>
        <tr r="G988" s="1"/>
      </tp>
      <tp>
        <v>9</v>
        <stp/>
        <stp>bse_cm|92MMFSL27</stp>
        <stp>Ask Qty</stp>
        <tr r="G384" s="1"/>
      </tp>
      <tp>
        <v>1</v>
        <stp/>
        <stp>bse_cm|93MMFSL27</stp>
        <stp>Ask Qty</stp>
        <tr r="G333" s="1"/>
      </tp>
      <tp>
        <v>10</v>
        <stp/>
        <stp>bse_cm|95MMFSL29</stp>
        <stp>Ask Qty</stp>
        <tr r="G353" s="1"/>
      </tp>
      <tp>
        <v>0</v>
        <stp/>
        <stp>bse_cm|86CIFC29</stp>
        <stp>Volume Traded Today</stp>
        <tr r="L1341" s="1"/>
      </tp>
      <tp>
        <v>1185</v>
        <stp/>
        <stp>bse_cm|IML23623</stp>
        <stp xml:space="preserve">Low </stp>
        <tr r="O1327" s="1"/>
      </tp>
      <tp>
        <v>50</v>
        <stp/>
        <stp>bse_cm|0SMCGSL26</stp>
        <stp>Ask Qty</stp>
        <tr r="G589" s="1"/>
      </tp>
      <tp>
        <v>0</v>
        <stp/>
        <stp>bse_cm|0SMCGSL27</stp>
        <stp>Ask Qty</stp>
        <tr r="G1532" s="1"/>
      </tp>
      <tp>
        <v>1200</v>
        <stp/>
        <stp>bse_cm|971SCL29</stp>
        <stp>Ask Rate</stp>
        <tr r="F521" s="1"/>
      </tp>
      <tp t="s">
        <v>BSE</v>
        <stp/>
        <stp>bse_cm|865IFL28</stp>
        <stp>Exchange</stp>
        <tr r="C115" s="1"/>
      </tp>
      <tp t="s">
        <v>BSE</v>
        <stp/>
        <stp>bse_cm|995ECL24</stp>
        <stp>Exchange</stp>
        <tr r="C427" s="1"/>
      </tp>
      <tp>
        <v>0</v>
        <stp/>
        <stp>bse_cm|971SCL28</stp>
        <stp>Ask Rate</stp>
        <tr r="F1028" s="1"/>
      </tp>
      <tp t="s">
        <v>BSE</v>
        <stp/>
        <stp>bse_cm|895EFS25</stp>
        <stp>Exchange</stp>
        <tr r="C730" s="1"/>
      </tp>
      <tp>
        <v>945</v>
        <stp/>
        <stp>nse_cm|87SCL27A-ZK</stp>
        <stp xml:space="preserve">Low </stp>
        <tr r="O1416" s="1"/>
      </tp>
      <tp>
        <v>0</v>
        <stp/>
        <stp>bse_cm|801TCH28</stp>
        <stp>Ask Rate</stp>
        <tr r="F1182" s="1"/>
      </tp>
      <tp t="s">
        <v>BSE</v>
        <stp/>
        <stp>bse_cm|925AEL26</stp>
        <stp>Exchange</stp>
        <tr r="C335" s="1"/>
      </tp>
      <tp t="s">
        <v>BSE</v>
        <stp/>
        <stp>bse_cm|965AEL27</stp>
        <stp>Exchange</stp>
        <tr r="C370" s="1"/>
      </tp>
      <tp>
        <v>1000</v>
        <stp/>
        <stp>nse_cm|DLSL25A-Y4</stp>
        <stp>Face Value</stp>
        <tr r="Q1732" s="1"/>
      </tp>
      <tp>
        <v>0</v>
        <stp/>
        <stp>bse_cm|IFL19424</stp>
        <stp xml:space="preserve">Low </stp>
        <tr r="O1344" s="1"/>
      </tp>
      <tp>
        <v>1000</v>
        <stp/>
        <stp>bse_cm|IML16224</stp>
        <stp xml:space="preserve">Low </stp>
        <tr r="O1499" s="1"/>
      </tp>
      <tp>
        <v>0</v>
        <stp/>
        <stp>bse_cm|MML11924</stp>
        <stp xml:space="preserve">Low </stp>
        <tr r="O1536" s="1"/>
      </tp>
      <tp>
        <v>200</v>
        <stp/>
        <stp>bse_cm|89EFSL25</stp>
        <stp>Volume Traded Today</stp>
        <tr r="L87" s="1"/>
      </tp>
      <tp t="s">
        <v>BSE</v>
        <stp/>
        <stp>bse_cm|785MFL28</stp>
        <stp>Exchange</stp>
        <tr r="C439" s="1"/>
      </tp>
      <tp t="s">
        <v>BSE</v>
        <stp/>
        <stp>bse_cm|905MFL28</stp>
        <stp>Exchange</stp>
        <tr r="C207" s="1"/>
      </tp>
      <tp t="s">
        <v>BSE</v>
        <stp/>
        <stp>bse_cm|915MFL28</stp>
        <stp>Exchange</stp>
        <tr r="C283" s="1"/>
      </tp>
      <tp t="s">
        <v>BSE</v>
        <stp/>
        <stp>bse_cm|875MFL28</stp>
        <stp>Exchange</stp>
        <tr r="C689" s="1"/>
      </tp>
      <tp t="s">
        <v>BSE</v>
        <stp/>
        <stp>bse_cm|935LTF29</stp>
        <stp>Exchange</stp>
        <tr r="C396" s="1"/>
      </tp>
      <tp>
        <v>901</v>
        <stp/>
        <stp>bse_cm|MML27524</stp>
        <stp xml:space="preserve">Low </stp>
        <tr r="O1511" s="1"/>
      </tp>
      <tp>
        <v>0</v>
        <stp/>
        <stp>bse_cm|SFL27224</stp>
        <stp xml:space="preserve">Low </stp>
        <tr r="O805" s="1"/>
      </tp>
      <tp t="s">
        <v>BSE</v>
        <stp/>
        <stp>bse_cm|975MFL29</stp>
        <stp>Exchange</stp>
        <tr r="C683" s="1"/>
      </tp>
      <tp t="s">
        <v>BSE</v>
        <stp/>
        <stp>bse_cm|935MFL29</stp>
        <stp>Exchange</stp>
        <tr r="C238" s="1"/>
      </tp>
      <tp t="s">
        <v>BSE</v>
        <stp/>
        <stp>bse_cm|825MFL29</stp>
        <stp>Exchange</stp>
        <tr r="C473" s="1"/>
      </tp>
      <tp t="s">
        <v>BSE</v>
        <stp/>
        <stp>bse_cm|965SCL28</stp>
        <stp>Exchange</stp>
        <tr r="C1138" s="1"/>
      </tp>
      <tp t="s">
        <v>BSE</v>
        <stp/>
        <stp>bse_cm|975SCL28</stp>
        <stp>Exchange</stp>
        <tr r="C1485" s="1"/>
      </tp>
      <tp t="s">
        <v>BSE</v>
        <stp/>
        <stp>bse_cm|925SCL28</stp>
        <stp>Exchange</stp>
        <tr r="C940" s="1"/>
      </tp>
      <tp t="s">
        <v>BSE</v>
        <stp/>
        <stp>bse_cm|935SCL28</stp>
        <stp>Exchange</stp>
        <tr r="C284" s="1"/>
      </tp>
      <tp t="s">
        <v>BSE</v>
        <stp/>
        <stp>bse_cm|965SCL29</stp>
        <stp>Exchange</stp>
        <tr r="C816" s="1"/>
      </tp>
      <tp t="s">
        <v>BSE</v>
        <stp/>
        <stp>bse_cm|925SCL29</stp>
        <stp>Exchange</stp>
        <tr r="C820" s="1"/>
      </tp>
      <tp>
        <v>1000</v>
        <stp/>
        <stp>nse_cm|913ICCL24A-NF</stp>
        <stp>Face Value</stp>
        <tr r="Q781" s="1"/>
      </tp>
      <tp>
        <v>0</v>
        <stp/>
        <stp>bse_cm|921ONE29</stp>
        <stp>Ask Rate</stp>
        <tr r="F1112" s="1"/>
      </tp>
      <tp>
        <v>0</v>
        <stp/>
        <stp>nse_cm|905SC24-ZB</stp>
        <stp>% Change</stp>
        <tr r="J1374" s="1"/>
      </tp>
      <tp>
        <v>0</v>
        <stp/>
        <stp>bse_cm|921ONE27</stp>
        <stp>Ask Rate</stp>
        <tr r="F1428" s="1"/>
      </tp>
      <tp>
        <v>0</v>
        <stp/>
        <stp>bse_cm|961ONE27</stp>
        <stp>Ask Rate</stp>
        <tr r="F628" s="1"/>
      </tp>
      <tp>
        <v>16</v>
        <stp/>
        <stp>bse_cm|950MFL27A</stp>
        <stp>Bid Qty</stp>
        <tr r="D241" s="1"/>
      </tp>
      <tp>
        <v>21</v>
        <stp/>
        <stp>bse_cm|850MFL27A</stp>
        <stp>Bid Qty</stp>
        <tr r="D355" s="1"/>
      </tp>
      <tp>
        <v>951</v>
        <stp/>
        <stp>bse_cm|MFLVI32F</stp>
        <stp xml:space="preserve">Low </stp>
        <tr r="O704" s="1"/>
      </tp>
      <tp t="s">
        <v>BSE</v>
        <stp/>
        <stp>bse_cm|965VCL25</stp>
        <stp>Exchange</stp>
        <tr r="C1543" s="1"/>
      </tp>
      <tp>
        <v>0</v>
        <stp/>
        <stp>nse_cm|AEL120924B-N8</stp>
        <stp>Volume Traded Today</stp>
        <tr r="L1640" s="1"/>
      </tp>
      <tp>
        <v>0</v>
        <stp/>
        <stp>nse_cm|AEL120924A-N5</stp>
        <stp>Volume Traded Today</stp>
        <tr r="L1555" s="1"/>
      </tp>
      <tp>
        <v>1062</v>
        <stp/>
        <stp>bse_cm|941ONE26</stp>
        <stp>Ask Rate</stp>
        <tr r="F263" s="1"/>
      </tp>
      <tp>
        <v>180</v>
        <stp/>
        <stp>bse_cm|890MFL26A</stp>
        <stp>Bid Qty</stp>
        <tr r="D698" s="1"/>
      </tp>
      <tp>
        <v>0</v>
        <stp/>
        <stp>nse_cm|10SCL31A-ZO</stp>
        <stp>High</stp>
        <tr r="N864" s="1"/>
      </tp>
      <tp t="s">
        <v>BSE</v>
        <stp/>
        <stp>bse_cm|734REC30</stp>
        <stp>Exchange</stp>
        <tr r="C524" s="1"/>
      </tp>
      <tp t="s">
        <v/>
        <stp/>
        <stp>nse_cm|1030ICCL28-NM</stp>
        <stp>LTT</stp>
        <tr r="I1596" s="1"/>
      </tp>
      <tp>
        <v>999.32</v>
        <stp/>
        <stp>nse_cm|1030ICCL28-NM</stp>
        <stp>LTP</stp>
        <tr r="H1596" s="1"/>
      </tp>
      <tp>
        <v>0</v>
        <stp/>
        <stp>bse_cm|891ONE25</stp>
        <stp>Ask Rate</stp>
        <tr r="F1339" s="1"/>
      </tp>
      <tp>
        <v>0</v>
        <stp/>
        <stp>nse_cm|875SCL27-YQ</stp>
        <stp>Ask Rate</stp>
        <tr r="F937" s="1"/>
      </tp>
      <tp>
        <v>1000</v>
        <stp/>
        <stp>nse_cm|875CIFC23B-NJ</stp>
        <stp>Face Value</stp>
        <tr r="Q346" s="1"/>
      </tp>
      <tp>
        <v>0</v>
        <stp/>
        <stp>nse_cm|876HUDCO28-ND</stp>
        <stp>Volume Traded Today</stp>
        <tr r="L509" s="1"/>
      </tp>
      <tp t="s">
        <v>BSE</v>
        <stp/>
        <stp>bse_cm|865SCL24</stp>
        <stp>Exchange</stp>
        <tr r="C1165" s="1"/>
      </tp>
      <tp>
        <v>315</v>
        <stp/>
        <stp>bse_cm|10MVAFL25</stp>
        <stp>Ask Qty</stp>
        <tr r="G1675" s="1"/>
      </tp>
      <tp t="s">
        <v>BSE</v>
        <stp/>
        <stp>bse_cm|875SFL25</stp>
        <stp>Exchange</stp>
        <tr r="C936" s="1"/>
      </tp>
      <tp t="s">
        <v>BSE</v>
        <stp/>
        <stp>bse_cm|905PEL26</stp>
        <stp>Exchange</stp>
        <tr r="C1518" s="1"/>
      </tp>
      <tp t="s">
        <v>BSE</v>
        <stp/>
        <stp>bse_cm|965SCL25</stp>
        <stp>Exchange</stp>
        <tr r="C1105" s="1"/>
      </tp>
      <tp t="s">
        <v>BSE</v>
        <stp/>
        <stp>bse_cm|955SCL25</stp>
        <stp>Exchange</stp>
        <tr r="C1128" s="1"/>
      </tp>
      <tp t="s">
        <v>BSE</v>
        <stp/>
        <stp>bse_cm|925SCL25</stp>
        <stp>Exchange</stp>
        <tr r="C104" s="1"/>
      </tp>
      <tp t="s">
        <v>BSE</v>
        <stp/>
        <stp>bse_cm|905SCL25</stp>
        <stp>Exchange</stp>
        <tr r="C1060" s="1"/>
      </tp>
      <tp t="s">
        <v>BSE</v>
        <stp/>
        <stp>bse_cm|925SFL26</stp>
        <stp>Exchange</stp>
        <tr r="C850" s="1"/>
      </tp>
      <tp t="s">
        <v>BSE</v>
        <stp/>
        <stp>bse_cm|865SCL26</stp>
        <stp>Exchange</stp>
        <tr r="C627" s="1"/>
      </tp>
      <tp t="s">
        <v>BSE</v>
        <stp/>
        <stp>bse_cm|885SCL26</stp>
        <stp>Exchange</stp>
        <tr r="C57" s="1"/>
      </tp>
      <tp t="s">
        <v>BSE</v>
        <stp/>
        <stp>bse_cm|965SCL26</stp>
        <stp>Exchange</stp>
        <tr r="C665" s="1"/>
      </tp>
      <tp t="s">
        <v>BSE</v>
        <stp/>
        <stp>bse_cm|925SCL26</stp>
        <stp>Exchange</stp>
        <tr r="C913" s="1"/>
      </tp>
      <tp t="s">
        <v>BSE</v>
        <stp/>
        <stp>bse_cm|915SCL26</stp>
        <stp>Exchange</stp>
        <tr r="C148" s="1"/>
      </tp>
      <tp>
        <v>0</v>
        <stp/>
        <stp>bse_cm|83TCHF28</stp>
        <stp>Volume Traded Today</stp>
        <tr r="L832" s="1"/>
      </tp>
      <tp>
        <v>0</v>
        <stp/>
        <stp>bse_cm|83TCHF25</stp>
        <stp>Volume Traded Today</stp>
        <tr r="L489" s="1"/>
      </tp>
      <tp t="s">
        <v>BSE</v>
        <stp/>
        <stp>bse_cm|925SFL27</stp>
        <stp>Exchange</stp>
        <tr r="C849" s="1"/>
      </tp>
      <tp t="s">
        <v>BSE</v>
        <stp/>
        <stp>bse_cm|875SFL27</stp>
        <stp>Exchange</stp>
        <tr r="C578" s="1"/>
      </tp>
      <tp t="s">
        <v>BSE</v>
        <stp/>
        <stp>bse_cm|875SCL27</stp>
        <stp>Exchange</stp>
        <tr r="C722" s="1"/>
      </tp>
      <tp t="s">
        <v>BSE</v>
        <stp/>
        <stp>bse_cm|955SCL27</stp>
        <stp>Exchange</stp>
        <tr r="C621" s="1"/>
      </tp>
      <tp t="s">
        <v>BSE</v>
        <stp/>
        <stp>bse_cm|925SCL27</stp>
        <stp>Exchange</stp>
        <tr r="C1414" s="1"/>
      </tp>
      <tp t="s">
        <v>BSE</v>
        <stp/>
        <stp>bse_cm|905SCL27</stp>
        <stp>Exchange</stp>
        <tr r="C976" s="1"/>
      </tp>
      <tp t="s">
        <v>BSE</v>
        <stp/>
        <stp>bse_cm|915SCL27</stp>
        <stp>Exchange</stp>
        <tr r="C1127" s="1"/>
      </tp>
      <tp>
        <v>835.2</v>
        <stp/>
        <stp>nse_cm|925ICCL25I-NP</stp>
        <stp>Bid Rate</stp>
        <tr r="E777" s="1"/>
      </tp>
      <tp>
        <v>0</v>
        <stp/>
        <stp>nse_cm|965ICCL25I-NQ</stp>
        <stp>Bid Rate</stp>
        <tr r="E696" s="1"/>
      </tp>
      <tp t="s">
        <v>INE244L07390</v>
        <stp/>
        <stp>bse_cm|984ICCL26A</stp>
        <stp>Isin code</stp>
        <tr r="R883" s="1"/>
      </tp>
      <tp>
        <v>0</v>
        <stp/>
        <stp>nse_cm|866ICCL23A-NY</stp>
        <stp>Bid Rate</stp>
        <tr r="E759" s="1"/>
      </tp>
      <tp>
        <v>0</v>
        <stp/>
        <stp>bse_cm|1050SCFL31</stp>
        <stp>ATP</stp>
        <tr r="K1123" s="1"/>
      </tp>
      <tp t="s">
        <v>825IIFL25-N7</v>
        <stp/>
        <stp>nse_cm|825IIFL25-N7</stp>
        <stp>Trading Symbol</stp>
        <tr r="B49" s="1"/>
      </tp>
      <tp>
        <v>901.2</v>
        <stp/>
        <stp>nse_cm|890ICCL23A-NZ</stp>
        <stp>Bid Rate</stp>
        <tr r="E1363" s="1"/>
      </tp>
      <tp t="s">
        <v>760PFCL35-N3</v>
        <stp/>
        <stp>nse_cm|760PFCL35-N3</stp>
        <stp>Trading Symbol</stp>
        <tr r="B22" s="1"/>
      </tp>
      <tp>
        <v>963.35</v>
        <stp/>
        <stp>nse_cm|1049DLS25A-Y5</stp>
        <stp xml:space="preserve">Low </stp>
        <tr r="O44" s="1"/>
      </tp>
      <tp>
        <v>972.3</v>
        <stp/>
        <stp>nse_cm|888IHFL25C-NR</stp>
        <stp>Bid Rate</stp>
        <tr r="E1426" s="1"/>
      </tp>
      <tp t="s">
        <v>735PFCL35-N1</v>
        <stp/>
        <stp>nse_cm|735PFCL35-N1</stp>
        <stp>Trading Symbol</stp>
        <tr r="B26" s="1"/>
      </tp>
      <tp>
        <v>1029.81</v>
        <stp/>
        <stp>nse_cm|875IIFL26A-NQ</stp>
        <stp>Bid Rate</stp>
        <tr r="E634" s="1"/>
      </tp>
      <tp>
        <v>0</v>
        <stp/>
        <stp>nse_cm|875PCHFL31-N9</stp>
        <stp xml:space="preserve">Low </stp>
        <tr r="O1012" s="1"/>
      </tp>
      <tp>
        <v>1001</v>
        <stp/>
        <stp>nse_cm|875PCHFL26-N8</stp>
        <stp xml:space="preserve">Low </stp>
        <tr r="O271" s="1"/>
      </tp>
      <tp t="s">
        <v>NSE</v>
        <stp/>
        <stp>nse_cm|105UCL2026-NB</stp>
        <stp>Exchange</stp>
        <tr r="C130" s="1"/>
      </tp>
      <tp t="s">
        <v>INE05F407BJ9</v>
        <stp/>
        <stp>bse_cm|MML28</stp>
        <stp>Isin code</stp>
        <tr r="R584" s="1"/>
      </tp>
      <tp t="s">
        <v>INE532F07EV8</v>
        <stp/>
        <stp>bse_cm|EFSL26D</stp>
        <stp>Isin code</stp>
        <tr r="R1617" s="1"/>
      </tp>
      <tp>
        <v>0</v>
        <stp/>
        <stp>bse_cm|1050KAFL28</stp>
        <stp>ATP</stp>
        <tr r="K610" s="1"/>
      </tp>
      <tp>
        <v>0</v>
        <stp/>
        <stp>bse_cm|1050KAFL27</stp>
        <stp>ATP</stp>
        <tr r="K1160" s="1"/>
      </tp>
      <tp>
        <v>0</v>
        <stp/>
        <stp>bse_cm|1050KAFL25</stp>
        <stp>ATP</stp>
        <tr r="K1161" s="1"/>
      </tp>
      <tp>
        <v>0</v>
        <stp/>
        <stp>bse_cm|1050KLMA28</stp>
        <stp>LTP</stp>
        <tr r="H611" s="1"/>
      </tp>
      <tp t="s">
        <v>00:00:00</v>
        <stp/>
        <stp>bse_cm|1050KLMA28</stp>
        <stp>LTT</stp>
        <tr r="I611" s="1"/>
      </tp>
      <tp>
        <v>1100.0999999999999</v>
        <stp/>
        <stp>nse_cm|948ICCL25A-NG</stp>
        <stp>Bid Rate</stp>
        <tr r="E1736" s="1"/>
      </tp>
      <tp>
        <v>872.8</v>
        <stp/>
        <stp>nse_cm|913ICCL24A-NF</stp>
        <stp>Bid Rate</stp>
        <tr r="E781" s="1"/>
      </tp>
      <tp>
        <v>1018.5</v>
        <stp/>
        <stp>nse_cm|925ICCL24A-NE</stp>
        <stp>Bid Rate</stp>
        <tr r="E1393" s="1"/>
      </tp>
      <tp>
        <v>0</v>
        <stp/>
        <stp>bse_cm|1030ICCL28</stp>
        <stp>ATP</stp>
        <tr r="K1521" s="1"/>
      </tp>
      <tp>
        <v>0</v>
        <stp/>
        <stp>bse_cm|1050ICCL28</stp>
        <stp>ATP</stp>
        <tr r="K1133" s="1"/>
      </tp>
      <tp>
        <v>0</v>
        <stp/>
        <stp>bse_cm|1050IIFL29</stp>
        <stp>ATP</stp>
        <tr r="K763" s="1"/>
      </tp>
      <tp>
        <v>1035.8800000000001</v>
        <stp/>
        <stp>bse_cm|1030IFSL26</stp>
        <stp>ATP</stp>
        <tr r="K1654" s="1"/>
      </tp>
      <tp>
        <v>0</v>
        <stp/>
        <stp>bse_cm|1050ISFL28</stp>
        <stp>ATP</stp>
        <tr r="K1497" s="1"/>
      </tp>
      <tp>
        <v>0</v>
        <stp/>
        <stp>nse_cm|AEL120924B-N8</stp>
        <stp>Open</stp>
        <tr r="M1640" s="1"/>
      </tp>
      <tp>
        <v>826</v>
        <stp/>
        <stp>nse_cm|920IIFLS26-N8</stp>
        <stp>High</stp>
        <tr r="N208" s="1"/>
      </tp>
      <tp>
        <v>0</v>
        <stp/>
        <stp>bse_cm|NIDO010326</stp>
        <stp>ATP</stp>
        <tr r="K1248" s="1"/>
      </tp>
      <tp>
        <v>0</v>
        <stp/>
        <stp>bse_cm|NIDO010327</stp>
        <stp>ATP</stp>
        <tr r="K1247" s="1"/>
      </tp>
      <tp>
        <v>0</v>
        <stp/>
        <stp>bse_cm|NIDO010329</stp>
        <stp>ATP</stp>
        <tr r="K1246" s="1"/>
      </tp>
      <tp t="s">
        <v>INE202E07138</v>
        <stp/>
        <stp>nse_cm|880IREDA29-N5</stp>
        <stp>Isin code</stp>
        <tr r="R510" s="1"/>
      </tp>
      <tp>
        <v>1001</v>
        <stp/>
        <stp>nse_cm|960IIFLS26-N9</stp>
        <stp>High</stp>
        <tr r="N1489" s="1"/>
      </tp>
      <tp>
        <v>0</v>
        <stp/>
        <stp>bse_cm|1003NIDO29</stp>
        <stp>ATP</stp>
        <tr r="K679" s="1"/>
      </tp>
      <tp>
        <v>0</v>
        <stp/>
        <stp>bse_cm|1050NHFL29</stp>
        <stp>ATP</stp>
        <tr r="K1125" s="1"/>
      </tp>
      <tp>
        <v>0</v>
        <stp/>
        <stp>bse_cm|1010MFCL30</stp>
        <stp>ATP</stp>
        <tr r="K285" s="1"/>
      </tp>
      <tp>
        <v>0</v>
        <stp/>
        <stp>bse_cm|1150CCIL28</stp>
        <stp>ATP</stp>
        <tr r="K460" s="1"/>
      </tp>
      <tp>
        <v>0</v>
        <stp/>
        <stp>bse_cm|1150CCIL29</stp>
        <stp>ATP</stp>
        <tr r="K424" s="1"/>
      </tp>
      <tp>
        <v>0</v>
        <stp/>
        <stp>bse_cm|1050CCIL25</stp>
        <stp>ATP</stp>
        <tr r="K2" s="1"/>
      </tp>
      <tp t="s">
        <v>NSE</v>
        <stp/>
        <stp>nse_cm|738REC27TF-N2</stp>
        <stp>Exchange</stp>
        <tr r="C514" s="1"/>
      </tp>
      <tp t="s">
        <v>92LTF29</v>
        <stp/>
        <stp>nse_cm|92LTF29-N4</stp>
        <stp>Symbol</stp>
        <tr r="A1087" s="1"/>
      </tp>
      <tp t="s">
        <v>00:00:00</v>
        <stp/>
        <stp>bse_cm|875CIFC23B</stp>
        <stp>LTT</stp>
        <tr r="I1394" s="1"/>
      </tp>
      <tp>
        <v>0</v>
        <stp/>
        <stp>bse_cm|875CIFC23B</stp>
        <stp>LTP</stp>
        <tr r="H1394" s="1"/>
      </tp>
      <tp t="s">
        <v>INE414G07IE4</v>
        <stp/>
        <stp>bse_cm|MFL28</stp>
        <stp>Isin code</stp>
        <tr r="R1638" s="1"/>
      </tp>
      <tp t="s">
        <v>1010NIDO28</v>
        <stp/>
        <stp>bse_cm|1010NIDO28</stp>
        <stp>Symbol</stp>
        <tr r="A199" s="1"/>
      </tp>
      <tp>
        <v>0</v>
        <stp/>
        <stp>nse_cm|984ICCL26A-NK</stp>
        <stp>Bid Rate</stp>
        <tr r="E716" s="1"/>
      </tp>
      <tp>
        <v>979</v>
        <stp/>
        <stp>nse_cm|955ICCL25A-NH</stp>
        <stp>Bid Rate</stp>
        <tr r="E486" s="1"/>
      </tp>
      <tp>
        <v>0</v>
        <stp/>
        <stp>nse_cm|AEL120924A-N5</stp>
        <stp>Open</stp>
        <tr r="M1555" s="1"/>
      </tp>
      <tp>
        <v>0</v>
        <stp/>
        <stp>bse_cm|1010EFSL28</stp>
        <stp>ATP</stp>
        <tr r="K663" s="1"/>
      </tp>
      <tp>
        <v>0</v>
        <stp/>
        <stp>bse_cm|1010EFSL29</stp>
        <stp>ATP</stp>
        <tr r="K1459" s="1"/>
      </tp>
      <tp>
        <v>0</v>
        <stp/>
        <stp>bse_cm|1050EFSL29</stp>
        <stp>ATP</stp>
        <tr r="K1484" s="1"/>
      </tp>
      <tp>
        <v>1050</v>
        <stp/>
        <stp>nse_cm|888IHFL25F-NC</stp>
        <stp>Bid Rate</stp>
        <tr r="E343" s="1"/>
      </tp>
      <tp>
        <v>0</v>
        <stp/>
        <stp>nse_cm|966ICCL25A-NI</stp>
        <stp>Bid Rate</stp>
        <tr r="E1461" s="1"/>
      </tp>
      <tp>
        <v>0</v>
        <stp/>
        <stp>bse_cm|1010EFSL32</stp>
        <stp>ATP</stp>
        <tr r="K631" s="1"/>
      </tp>
      <tp>
        <v>-13.11</v>
        <stp/>
        <stp>bse_cm|975AHFL28</stp>
        <stp>% Change</stp>
        <tr r="J324" s="1"/>
      </tp>
      <tp>
        <v>-100</v>
        <stp/>
        <stp>bse_cm|935AHFL28</stp>
        <stp>% Change</stp>
        <tr r="J456" s="1"/>
      </tp>
      <tp t="s">
        <v>AEL120924B</v>
        <stp/>
        <stp>bse_cm|AEL120924B</stp>
        <stp>Symbol</stp>
        <tr r="A1641" s="1"/>
      </tp>
      <tp t="s">
        <v>AEL120924A</v>
        <stp/>
        <stp>bse_cm|AEL120924A</stp>
        <stp>Symbol</stp>
        <tr r="A1524" s="1"/>
      </tp>
      <tp t="s">
        <v>102SMCGS27</v>
        <stp/>
        <stp>bse_cm|102SMCGS27</stp>
        <stp>Symbol</stp>
        <tr r="A1017" s="1"/>
      </tp>
      <tp>
        <v>967.1</v>
        <stp/>
        <stp>nse_cm|925IHFL25E-N8</stp>
        <stp>Bid Rate</stp>
        <tr r="E561" s="1"/>
      </tp>
      <tp>
        <v>0</v>
        <stp/>
        <stp>nse_cm|1077IIFL30-N7</stp>
        <stp>Bid Rate</stp>
        <tr r="E996" s="1"/>
      </tp>
      <tp t="s">
        <v>NIDOZC26</v>
        <stp/>
        <stp>bse_cm|NIDOZC26</stp>
        <stp>Symbol</stp>
        <tr r="A27" s="1"/>
      </tp>
      <tp>
        <v>1051.2</v>
        <stp/>
        <stp>nse_cm|965IHFL25D-N7</stp>
        <stp>Bid Rate</stp>
        <tr r="E1469" s="1"/>
      </tp>
      <tp>
        <v>-100</v>
        <stp/>
        <stp>bse_cm|805ABFL28</stp>
        <stp>% Change</stp>
        <tr r="J1371" s="1"/>
      </tp>
      <tp>
        <v>990</v>
        <stp/>
        <stp>nse_cm|925IHFL25D-N6</stp>
        <stp>Bid Rate</stp>
        <tr r="E575" s="1"/>
      </tp>
      <tp>
        <v>940</v>
        <stp/>
        <stp>nse_cm|957IIFLS27-NA</stp>
        <stp>High</stp>
        <tr r="N1495" s="1"/>
      </tp>
      <tp>
        <v>0</v>
        <stp/>
        <stp>bse_cm|1075KLMA28</stp>
        <stp>Volume Traded Today</stp>
        <tr r="L1116" s="1"/>
      </tp>
      <tp>
        <v>0</v>
        <stp/>
        <stp>bse_cm|KAFL080824</stp>
        <stp>Volume Traded Today</stp>
        <tr r="L1417" s="1"/>
      </tp>
      <tp>
        <v>-100</v>
        <stp/>
        <stp>bse_cm|965ARKA26</stp>
        <stp>% Change</stp>
        <tr r="J869" s="1"/>
      </tp>
      <tp t="s">
        <v>NWFLZC25</v>
        <stp/>
        <stp>bse_cm|NWFLZC25</stp>
        <stp>Symbol</stp>
        <tr r="A1758" s="1"/>
      </tp>
      <tp>
        <v>-100</v>
        <stp/>
        <stp>bse_cm|965ARKA28</stp>
        <stp>% Change</stp>
        <tr r="J1349" s="1"/>
      </tp>
      <tp t="s">
        <v>INE523H07BN6</v>
        <stp/>
        <stp>bse_cm|JMFPTBIL25</stp>
        <stp>Isin code</stp>
        <tr r="R9" s="1"/>
      </tp>
      <tp t="s">
        <v>764NABAR31</v>
        <stp/>
        <stp>bse_cm|764NABAR31</stp>
        <stp>Symbol</stp>
        <tr r="A497" s="1"/>
      </tp>
      <tp t="s">
        <v>704NABAR26</v>
        <stp/>
        <stp>bse_cm|704NABAR26</stp>
        <stp>Symbol</stp>
        <tr r="A1702" s="1"/>
      </tp>
      <tp>
        <v>50</v>
        <stp/>
        <stp>bse_cm|10EFS33</stp>
        <stp>Bid Qty</stp>
        <tr r="D112" s="1"/>
      </tp>
      <tp>
        <v>0</v>
        <stp/>
        <stp>bse_cm|EFSLZC26</stp>
        <stp>Open</stp>
        <tr r="M1712" s="1"/>
      </tp>
      <tp>
        <v>0</v>
        <stp/>
        <stp>nse_cm|866IIFC34B-N3</stp>
        <stp>Volume Traded Today</stp>
        <tr r="L25" s="1"/>
      </tp>
      <tp>
        <v>0</v>
        <stp/>
        <stp>bse_cm|0MML27</stp>
        <stp>Open</stp>
        <tr r="M1043" s="1"/>
      </tp>
      <tp>
        <v>0</v>
        <stp/>
        <stp>bse_cm|EFSLZC25</stp>
        <stp>Open</stp>
        <tr r="M1741" s="1"/>
      </tp>
      <tp t="s">
        <v>NSE</v>
        <stp/>
        <stp>nse_cm|905SCL27-Z4</stp>
        <stp>Exchange</stp>
        <tr r="C947" s="1"/>
      </tp>
      <tp>
        <v>0</v>
        <stp/>
        <stp>bse_cm|0KFL25</stp>
        <stp>Open</stp>
        <tr r="M1604" s="1"/>
      </tp>
      <tp>
        <v>0</v>
        <stp/>
        <stp>bse_cm|0KFL26</stp>
        <stp>Open</stp>
        <tr r="M1047" s="1"/>
      </tp>
      <tp>
        <v>0</v>
        <stp/>
        <stp>nse_cm|IIFLHF29-NE</stp>
        <stp>ATP</stp>
        <tr r="K1630" s="1"/>
      </tp>
      <tp>
        <v>-100</v>
        <stp/>
        <stp>bse_cm|EFSL24C</stp>
        <stp>% Change</stp>
        <tr r="J1755" s="1"/>
      </tp>
      <tp>
        <v>0</v>
        <stp/>
        <stp>bse_cm|0KFL27</stp>
        <stp>Open</stp>
        <tr r="M1046" s="1"/>
      </tp>
      <tp>
        <v>0</v>
        <stp/>
        <stp>bse_cm|0KFL28</stp>
        <stp>Open</stp>
        <tr r="M1045" s="1"/>
      </tp>
      <tp>
        <v>1110</v>
        <stp/>
        <stp>bse_cm|MFLVII27</stp>
        <stp xml:space="preserve">Low </stp>
        <tr r="O1397" s="1"/>
      </tp>
      <tp>
        <v>952.8</v>
        <stp/>
        <stp>bse_cm|MFLTDI25</stp>
        <stp xml:space="preserve">Low </stp>
        <tr r="O1476" s="1"/>
      </tp>
      <tp>
        <v>0</v>
        <stp/>
        <stp>nse_cm|850NIRMA27-N7</stp>
        <stp>ATP</stp>
        <tr r="K1010" s="1"/>
      </tp>
      <tp>
        <v>1020.2</v>
        <stp/>
        <stp>bse_cm|99JFPL25</stp>
        <stp>High</stp>
        <tr r="N1670" s="1"/>
      </tp>
      <tp>
        <v>0</v>
        <stp/>
        <stp>bse_cm|93SCFL25</stp>
        <stp>Open</stp>
        <tr r="M980" s="1"/>
      </tp>
      <tp>
        <v>1150</v>
        <stp/>
        <stp>nse_cm|774IREDA31-N7</stp>
        <stp>LTP</stp>
        <tr r="H18" s="1"/>
      </tp>
      <tp t="s">
        <v>10:05:00</v>
        <stp/>
        <stp>nse_cm|774IREDA31-N7</stp>
        <stp>LTT</stp>
        <tr r="I18" s="1"/>
      </tp>
      <tp>
        <v>0</v>
        <stp/>
        <stp>nse_cm|1015SCL28A-AL</stp>
        <stp>ATP</stp>
        <tr r="K1443" s="1"/>
      </tp>
      <tp>
        <v>0</v>
        <stp/>
        <stp>nse_cm|1015SCL28B-AZ</stp>
        <stp>ATP</stp>
        <tr r="K1614" s="1"/>
      </tp>
      <tp>
        <v>0</v>
        <stp/>
        <stp>bse_cm|EFSLZC28</stp>
        <stp>Open</stp>
        <tr r="M1637" s="1"/>
      </tp>
      <tp>
        <v>0</v>
        <stp/>
        <stp>bse_cm|0MML29</stp>
        <stp>Open</stp>
        <tr r="M1041" s="1"/>
      </tp>
      <tp>
        <v>0</v>
        <stp/>
        <stp>bse_cm|11DLSL25</stp>
        <stp>ATP</stp>
        <tr r="K1539" s="1"/>
      </tp>
      <tp>
        <v>0</v>
        <stp/>
        <stp>bse_cm|11EFSL34</stp>
        <stp>ATP</stp>
        <tr r="K1429" s="1"/>
      </tp>
      <tp>
        <v>0</v>
        <stp/>
        <stp>bse_cm|8MFL2026</stp>
        <stp>ATP</stp>
        <tr r="K451" s="1"/>
      </tp>
      <tp>
        <v>976.21</v>
        <stp/>
        <stp>bse_cm|MFLIII25</stp>
        <stp xml:space="preserve">Low </stp>
        <tr r="O1501" s="1"/>
      </tp>
      <tp>
        <v>0</v>
        <stp/>
        <stp>bse_cm|81ABFL33</stp>
        <stp>ATP</stp>
        <tr r="K1603" s="1"/>
      </tp>
      <tp>
        <v>0</v>
        <stp/>
        <stp>bse_cm|11CCIL26</stp>
        <stp>ATP</stp>
        <tr r="K625" s="1"/>
      </tp>
      <tp>
        <v>0</v>
        <stp/>
        <stp>bse_cm|11CCIL27</stp>
        <stp>ATP</stp>
        <tr r="K691" s="1"/>
      </tp>
      <tp>
        <v>0</v>
        <stp/>
        <stp>bse_cm|903ONE26</stp>
        <stp>Volume Traded Today</stp>
        <tr r="L843" s="1"/>
      </tp>
      <tp>
        <v>0</v>
        <stp/>
        <stp>bse_cm|890MFL26</stp>
        <stp>Volume Traded Today</stp>
        <tr r="L1478" s="1"/>
      </tp>
      <tp>
        <v>0</v>
        <stp/>
        <stp>bse_cm|990SCL27</stp>
        <stp>Volume Traded Today</stp>
        <tr r="L796" s="1"/>
      </tp>
      <tp>
        <v>471</v>
        <stp/>
        <stp>bse_cm|990SCL26</stp>
        <stp>Volume Traded Today</stp>
        <tr r="L421" s="1"/>
      </tp>
      <tp>
        <v>997.55</v>
        <stp/>
        <stp>nse_cm|847SCL25-Z2</stp>
        <stp>Ask Rate</stp>
        <tr r="F212" s="1"/>
      </tp>
      <tp t="s">
        <v>15:09:22</v>
        <stp/>
        <stp>bse_cm|99IFCI24</stp>
        <stp>LTT</stp>
        <tr r="I41" s="1"/>
      </tp>
      <tp>
        <v>0</v>
        <stp/>
        <stp>bse_cm|94IFCI25</stp>
        <stp>ATP</stp>
        <tr r="K228" s="1"/>
      </tp>
      <tp>
        <v>1076.2</v>
        <stp/>
        <stp>bse_cm|99IFCI24</stp>
        <stp>LTP</stp>
        <tr r="H41" s="1"/>
      </tp>
      <tp>
        <v>1020</v>
        <stp/>
        <stp>bse_cm|0MOFSL26</stp>
        <stp>Prev Close</stp>
        <tr r="P1645" s="1"/>
      </tp>
      <tp>
        <v>1010</v>
        <stp/>
        <stp>bse_cm|0MOFSL27</stp>
        <stp>Prev Close</stp>
        <tr r="P1039" s="1"/>
      </tp>
      <tp t="s">
        <v>BSE</v>
        <stp/>
        <stp>bse_cm|SFL27A</stp>
        <stp>Exchange</stp>
        <tr r="C804" s="1"/>
      </tp>
      <tp>
        <v>11</v>
        <stp/>
        <stp>bse_cm|995ECL29</stp>
        <stp>Volume Traded Today</stp>
        <tr r="L198" s="1"/>
      </tp>
      <tp>
        <v>1438</v>
        <stp/>
        <stp>bse_cm|995ECL24</stp>
        <stp>Volume Traded Today</stp>
        <tr r="L427" s="1"/>
      </tp>
      <tp>
        <v>0</v>
        <stp/>
        <stp>bse_cm|935LTF29</stp>
        <stp>Volume Traded Today</stp>
        <tr r="L396" s="1"/>
      </tp>
      <tp>
        <v>1021.01</v>
        <stp/>
        <stp>nse_cm|85CIFC27-NL</stp>
        <stp>Bid Rate</stp>
        <tr r="E973" s="1"/>
      </tp>
      <tp>
        <v>0</v>
        <stp/>
        <stp>bse_cm|11KAFL29</stp>
        <stp>ATP</stp>
        <tr r="K662" s="1"/>
      </tp>
      <tp>
        <v>0</v>
        <stp/>
        <stp>bse_cm|11KAFL26</stp>
        <stp>ATP</stp>
        <tr r="K671" s="1"/>
      </tp>
      <tp>
        <v>0</v>
        <stp/>
        <stp>bse_cm|11KAFL27</stp>
        <stp>ATP</stp>
        <tr r="K184" s="1"/>
      </tp>
      <tp>
        <v>995.99</v>
        <stp/>
        <stp>bse_cm|10MFCL30</stp>
        <stp xml:space="preserve">Low </stp>
        <tr r="O1091" s="1"/>
      </tp>
      <tp>
        <v>0</v>
        <stp/>
        <stp>bse_cm|0SCL26</stp>
        <stp>Open</stp>
        <tr r="M1359" s="1"/>
      </tp>
      <tp>
        <v>0</v>
        <stp/>
        <stp>bse_cm|0SFL26</stp>
        <stp>Open</stp>
        <tr r="M703" s="1"/>
      </tp>
      <tp>
        <v>0</v>
        <stp/>
        <stp>bse_cm|894SCL25</stp>
        <stp>Volume Traded Today</stp>
        <tr r="L1517" s="1"/>
      </tp>
      <tp>
        <v>0</v>
        <stp/>
        <stp>bse_cm|894SCL24</stp>
        <stp>Volume Traded Today</stp>
        <tr r="L645" s="1"/>
      </tp>
      <tp>
        <v>0</v>
        <stp/>
        <stp>bse_cm|894SCL27</stp>
        <stp>Volume Traded Today</stp>
        <tr r="L962" s="1"/>
      </tp>
      <tp>
        <v>0</v>
        <stp/>
        <stp>bse_cm|0SCL27</stp>
        <stp>Open</stp>
        <tr r="M721" s="1"/>
      </tp>
      <tp t="s">
        <v>BSE</v>
        <stp/>
        <stp>bse_cm|985ONE34</stp>
        <stp>Exchange</stp>
        <tr r="C1101" s="1"/>
      </tp>
      <tp>
        <v>0</v>
        <stp/>
        <stp>bse_cm|905SCL25</stp>
        <stp>ATP</stp>
        <tr r="K1060" s="1"/>
      </tp>
      <tp>
        <v>0</v>
        <stp/>
        <stp>bse_cm|905PEL26</stp>
        <stp>ATP</stp>
        <tr r="K1518" s="1"/>
      </tp>
      <tp>
        <v>0</v>
        <stp/>
        <stp>bse_cm|905SCL27</stp>
        <stp>ATP</stp>
        <tr r="K976" s="1"/>
      </tp>
      <tp>
        <v>1089.8499999999999</v>
        <stp/>
        <stp>bse_cm|SCLZC25B</stp>
        <stp>High</stp>
        <tr r="N1540" s="1"/>
      </tp>
      <tp>
        <v>305</v>
        <stp/>
        <stp>nse_cm|79NHIT35-N1</stp>
        <stp>Ask Rate</stp>
        <tr r="F1589" s="1"/>
      </tp>
      <tp>
        <v>1503.54</v>
        <stp/>
        <stp>bse_cm|MFLZC25B</stp>
        <stp>High</stp>
        <tr r="N1273" s="1"/>
      </tp>
      <tp t="s">
        <v>00:00:00</v>
        <stp/>
        <stp>bse_cm|944ONE34</stp>
        <stp>LTT</stp>
        <tr r="I269" s="1"/>
      </tp>
      <tp>
        <v>0</v>
        <stp/>
        <stp>bse_cm|944ONE34</stp>
        <stp>LTP</stp>
        <tr r="H269" s="1"/>
      </tp>
      <tp>
        <v>1762.11</v>
        <stp/>
        <stp>bse_cm|KFLZC25B</stp>
        <stp>High</stp>
        <tr r="N1739" s="1"/>
      </tp>
      <tp>
        <v>0</v>
        <stp/>
        <stp>bse_cm|105MML25</stp>
        <stp>ATP</stp>
        <tr r="K1170" s="1"/>
      </tp>
      <tp>
        <v>0</v>
        <stp/>
        <stp>bse_cm|905MFL28</stp>
        <stp>ATP</stp>
        <tr r="K207" s="1"/>
      </tp>
      <tp>
        <v>0</v>
        <stp/>
        <stp>bse_cm|KFLZC25A</stp>
        <stp>Volume Traded Today</stp>
        <tr r="L1738" s="1"/>
      </tp>
      <tp>
        <v>0</v>
        <stp/>
        <stp>bse_cm|MFLZC25A</stp>
        <stp>Volume Traded Today</stp>
        <tr r="L1757" s="1"/>
      </tp>
      <tp>
        <v>0</v>
        <stp/>
        <stp>bse_cm|SFLZC25A</stp>
        <stp>Volume Traded Today</stp>
        <tr r="L1583" s="1"/>
      </tp>
      <tp>
        <v>0</v>
        <stp/>
        <stp>bse_cm|KFLZC25B</stp>
        <stp>Volume Traded Today</stp>
        <tr r="L1739" s="1"/>
      </tp>
      <tp>
        <v>0</v>
        <stp/>
        <stp>bse_cm|MFLZC25B</stp>
        <stp>Volume Traded Today</stp>
        <tr r="L1273" s="1"/>
      </tp>
      <tp>
        <v>0</v>
        <stp/>
        <stp>bse_cm|KFLZC25C</stp>
        <stp>Volume Traded Today</stp>
        <tr r="L1295" s="1"/>
      </tp>
      <tp>
        <v>0</v>
        <stp/>
        <stp>bse_cm|MFLZC25C</stp>
        <stp>Volume Traded Today</stp>
        <tr r="L1579" s="1"/>
      </tp>
      <tp>
        <v>0</v>
        <stp/>
        <stp>bse_cm|KFLZC25D</stp>
        <stp>Volume Traded Today</stp>
        <tr r="L1735" s="1"/>
      </tp>
      <tp>
        <v>0</v>
        <stp/>
        <stp>bse_cm|MFLZC25D</stp>
        <stp>Volume Traded Today</stp>
        <tr r="L1520" s="1"/>
      </tp>
      <tp>
        <v>0</v>
        <stp/>
        <stp>bse_cm|KFLZC25E</stp>
        <stp>Volume Traded Today</stp>
        <tr r="L1530" s="1"/>
      </tp>
      <tp>
        <v>981</v>
        <stp/>
        <stp>bse_cm|11EFSL34</stp>
        <stp>Prev Close</stp>
        <tr r="P1429" s="1"/>
      </tp>
      <tp>
        <v>1056.7</v>
        <stp/>
        <stp>bse_cm|11DLSL25</stp>
        <stp>Prev Close</stp>
        <tr r="P1539" s="1"/>
      </tp>
      <tp>
        <v>0</v>
        <stp/>
        <stp>bse_cm|SCLZC25C</stp>
        <stp>High</stp>
        <tr r="N1231" s="1"/>
      </tp>
      <tp>
        <v>1271</v>
        <stp/>
        <stp>bse_cm|MFLZC25C</stp>
        <stp>High</stp>
        <tr r="N1579" s="1"/>
      </tp>
      <tp>
        <v>0</v>
        <stp/>
        <stp>bse_cm|104ECL29</stp>
        <stp>ATP</stp>
        <tr r="K149" s="1"/>
      </tp>
      <tp>
        <v>1290</v>
        <stp/>
        <stp>bse_cm|KFLZC25C</stp>
        <stp>High</stp>
        <tr r="N1295" s="1"/>
      </tp>
      <tp>
        <v>1081.77</v>
        <stp/>
        <stp>bse_cm|104ECL24</stp>
        <stp>ATP</stp>
        <tr r="K38" s="1"/>
      </tp>
      <tp>
        <v>0</v>
        <stp/>
        <stp>bse_cm|MFLZC24C</stp>
        <stp>Volume Traded Today</stp>
        <tr r="L1551" s="1"/>
      </tp>
      <tp>
        <v>0</v>
        <stp/>
        <stp>bse_cm|KFLZC24D</stp>
        <stp>Volume Traded Today</stp>
        <tr r="L1296" s="1"/>
      </tp>
      <tp>
        <v>0</v>
        <stp/>
        <stp>bse_cm|MFLZC24D</stp>
        <stp>Volume Traded Today</stp>
        <tr r="L1550" s="1"/>
      </tp>
      <tp>
        <v>917</v>
        <stp/>
        <stp>bse_cm|10EFSL27</stp>
        <stp>Prev Close</stp>
        <tr r="P1139" s="1"/>
      </tp>
      <tp>
        <v>950</v>
        <stp/>
        <stp>bse_cm|10EFSL33</stp>
        <stp>Prev Close</stp>
        <tr r="P150" s="1"/>
      </tp>
      <tp>
        <v>990</v>
        <stp/>
        <stp>bse_cm|10EFSL34</stp>
        <stp>Prev Close</stp>
        <tr r="P164" s="1"/>
      </tp>
      <tp>
        <v>1008.99</v>
        <stp/>
        <stp>bse_cm|10IFSL26</stp>
        <stp>Prev Close</stp>
        <tr r="P428" s="1"/>
      </tp>
      <tp>
        <v>4</v>
        <stp/>
        <stp>bse_cm|980SCL33B</stp>
        <stp>Bid Qty</stp>
        <tr r="D1054" s="1"/>
      </tp>
      <tp>
        <v>8</v>
        <stp/>
        <stp>bse_cm|980SCL33C</stp>
        <stp>Bid Qty</stp>
        <tr r="D1384" s="1"/>
      </tp>
      <tp>
        <v>9</v>
        <stp/>
        <stp>bse_cm|980SCL33A</stp>
        <stp>Bid Qty</stp>
        <tr r="D1056" s="1"/>
      </tp>
      <tp>
        <v>7</v>
        <stp/>
        <stp>bse_cm|980SCL33D</stp>
        <stp>Bid Qty</stp>
        <tr r="D1022" s="1"/>
      </tp>
      <tp>
        <v>0</v>
        <stp/>
        <stp>bse_cm|98ICCL26</stp>
        <stp>Volume Traded Today</stp>
        <tr r="L1412" s="1"/>
      </tp>
      <tp t="s">
        <v>NSE</v>
        <stp/>
        <stp>nse_cm|925SCL27-YR</stp>
        <stp>Exchange</stp>
        <tr r="C1415" s="1"/>
      </tp>
      <tp>
        <v>0</v>
        <stp/>
        <stp>bse_cm|KFLZC27A</stp>
        <stp>Volume Traded Today</stp>
        <tr r="L1291" s="1"/>
      </tp>
      <tp>
        <v>0</v>
        <stp/>
        <stp>bse_cm|MFLZC27A</stp>
        <stp>Volume Traded Today</stp>
        <tr r="L1270" s="1"/>
      </tp>
      <tp>
        <v>0</v>
        <stp/>
        <stp>bse_cm|MFLZC27B</stp>
        <stp>Volume Traded Today</stp>
        <tr r="L1697" s="1"/>
      </tp>
      <tp>
        <v>0</v>
        <stp/>
        <stp>bse_cm|MFLZC27C</stp>
        <stp>Volume Traded Today</stp>
        <tr r="L1411" s="1"/>
      </tp>
      <tp>
        <v>0</v>
        <stp/>
        <stp>bse_cm|MFLZC27D</stp>
        <stp>Volume Traded Today</stp>
        <tr r="L1700" s="1"/>
      </tp>
      <tp>
        <v>0</v>
        <stp/>
        <stp>bse_cm|MFLZC27E</stp>
        <stp>Volume Traded Today</stp>
        <tr r="L1677" s="1"/>
      </tp>
      <tp>
        <v>0</v>
        <stp/>
        <stp>bse_cm|MFLZC27F</stp>
        <stp>Volume Traded Today</stp>
        <tr r="L1566" s="1"/>
      </tp>
      <tp>
        <v>0</v>
        <stp/>
        <stp>bse_cm|MFLII27B</stp>
        <stp>Volume Traded Today</stp>
        <tr r="L359" s="1"/>
      </tp>
      <tp>
        <v>0</v>
        <stp/>
        <stp>bse_cm|MFLIV27D</stp>
        <stp>Volume Traded Today</stp>
        <tr r="L1452" s="1"/>
      </tp>
      <tp>
        <v>963</v>
        <stp/>
        <stp>nse_cm|10SCL30A-BV</stp>
        <stp>Open</stp>
        <tr r="M445" s="1"/>
      </tp>
      <tp>
        <v>-100</v>
        <stp/>
        <stp>bse_cm|8ABFL26</stp>
        <stp>% Change</stp>
        <tr r="J539" s="1"/>
      </tp>
      <tp t="s">
        <v>BSE</v>
        <stp/>
        <stp>bse_cm|795IGT31</stp>
        <stp>Exchange</stp>
        <tr r="C1186" s="1"/>
      </tp>
      <tp>
        <v>0</v>
        <stp/>
        <stp>nse_cm|795IGT31-NI</stp>
        <stp>Ask Rate</stp>
        <tr r="F1185" s="1"/>
      </tp>
      <tp>
        <v>1472.3</v>
        <stp/>
        <stp>bse_cm|SFLZC25A</stp>
        <stp>High</stp>
        <tr r="N1583" s="1"/>
      </tp>
      <tp>
        <v>0</v>
        <stp/>
        <stp>bse_cm|SCLZC25A</stp>
        <stp>High</stp>
        <tr r="N1233" s="1"/>
      </tp>
      <tp>
        <v>1546.8</v>
        <stp/>
        <stp>bse_cm|MFLZC25A</stp>
        <stp>High</stp>
        <tr r="N1757" s="1"/>
      </tp>
      <tp>
        <v>1655.45</v>
        <stp/>
        <stp>bse_cm|KFLZC25A</stp>
        <stp>High</stp>
        <tr r="N1738" s="1"/>
      </tp>
      <tp>
        <v>0</v>
        <stp/>
        <stp>bse_cm|KFLZC26A</stp>
        <stp>Volume Traded Today</stp>
        <tr r="L1442" s="1"/>
      </tp>
      <tp>
        <v>0</v>
        <stp/>
        <stp>bse_cm|MFLZC26A</stp>
        <stp>Volume Traded Today</stp>
        <tr r="L1715" s="1"/>
      </tp>
      <tp>
        <v>0</v>
        <stp/>
        <stp>bse_cm|SFLZC26A</stp>
        <stp>Volume Traded Today</stp>
        <tr r="L1713" s="1"/>
      </tp>
      <tp>
        <v>0</v>
        <stp/>
        <stp>bse_cm|KFLZC26B</stp>
        <stp>Volume Traded Today</stp>
        <tr r="L1711" s="1"/>
      </tp>
      <tp>
        <v>0</v>
        <stp/>
        <stp>bse_cm|MFLZC26B</stp>
        <stp>Volume Traded Today</stp>
        <tr r="L1272" s="1"/>
      </tp>
      <tp>
        <v>0</v>
        <stp/>
        <stp>bse_cm|KFLZC26C</stp>
        <stp>Volume Traded Today</stp>
        <tr r="L1744" s="1"/>
      </tp>
      <tp>
        <v>0</v>
        <stp/>
        <stp>bse_cm|MFLZC26C</stp>
        <stp>Volume Traded Today</stp>
        <tr r="L1350" s="1"/>
      </tp>
      <tp>
        <v>0</v>
        <stp/>
        <stp>bse_cm|KFLZC26D</stp>
        <stp>Volume Traded Today</stp>
        <tr r="L1294" s="1"/>
      </tp>
      <tp>
        <v>0</v>
        <stp/>
        <stp>bse_cm|MFLZC26D</stp>
        <stp>Volume Traded Today</stp>
        <tr r="L1440" s="1"/>
      </tp>
      <tp>
        <v>0</v>
        <stp/>
        <stp>bse_cm|KFLZC26E</stp>
        <stp>Volume Traded Today</stp>
        <tr r="L1293" s="1"/>
      </tp>
      <tp>
        <v>0</v>
        <stp/>
        <stp>bse_cm|MFLZC26E</stp>
        <stp>Volume Traded Today</stp>
        <tr r="L1651" s="1"/>
      </tp>
      <tp>
        <v>0</v>
        <stp/>
        <stp>bse_cm|MFLII26B</stp>
        <stp>Volume Traded Today</stp>
        <tr r="L1454" s="1"/>
      </tp>
      <tp>
        <v>0</v>
        <stp/>
        <stp>bse_cm|950SFL27</stp>
        <stp>Ask Rate</stp>
        <tr r="F1144" s="1"/>
      </tp>
      <tp>
        <v>0</v>
        <stp/>
        <stp>bse_cm|940SCL27</stp>
        <stp>Ask Rate</stp>
        <tr r="F792" s="1"/>
      </tp>
      <tp>
        <v>0</v>
        <stp/>
        <stp>bse_cm|990SCL27</stp>
        <stp>Ask Rate</stp>
        <tr r="F796" s="1"/>
      </tp>
      <tp t="s">
        <v>NSE</v>
        <stp/>
        <stp>nse_cm|916SCL25-ZW</stp>
        <stp>Exchange</stp>
        <tr r="C1576" s="1"/>
      </tp>
      <tp>
        <v>0</v>
        <stp/>
        <stp>bse_cm|98NWFL30</stp>
        <stp>Volume Traded Today</stp>
        <tr r="L231" s="1"/>
      </tp>
      <tp>
        <v>1015.99</v>
        <stp/>
        <stp>nse_cm|797IGT31-NL</stp>
        <stp>Ask Rate</stp>
        <tr r="F374" s="1"/>
      </tp>
      <tp>
        <v>306.56</v>
        <stp/>
        <stp>nse_cm|79NHIT40-N2</stp>
        <stp>Ask Rate</stp>
        <tr r="F1587" s="1"/>
      </tp>
      <tp>
        <v>1031.5999999999999</v>
        <stp/>
        <stp>bse_cm|SCLZC25F</stp>
        <stp>High</stp>
        <tr r="N1542" s="1"/>
      </tp>
      <tp t="s">
        <v>00:00:00</v>
        <stp/>
        <stp>bse_cm|941ONE26</stp>
        <stp>LTT</stp>
        <tr r="I263" s="1"/>
      </tp>
      <tp>
        <v>0</v>
        <stp/>
        <stp>bse_cm|891ONE25</stp>
        <stp>ATP</stp>
        <tr r="K1339" s="1"/>
      </tp>
      <tp>
        <v>0</v>
        <stp/>
        <stp>bse_cm|941ONE26</stp>
        <stp>LTP</stp>
        <tr r="H263" s="1"/>
      </tp>
      <tp>
        <v>1030</v>
        <stp/>
        <stp>nse_cm|965SCL26-YO</stp>
        <stp>Ask Rate</stp>
        <tr r="F146" s="1"/>
      </tp>
      <tp>
        <v>881</v>
        <stp/>
        <stp>bse_cm|12IML26A</stp>
        <stp xml:space="preserve">Low </stp>
        <tr r="O1212" s="1"/>
      </tp>
      <tp>
        <v>0</v>
        <stp/>
        <stp>bse_cm|940SCL26</stp>
        <stp>Ask Rate</stp>
        <tr r="F778" s="1"/>
      </tp>
      <tp>
        <v>700</v>
        <stp/>
        <stp>bse_cm|990SCL26</stp>
        <stp>Ask Rate</stp>
        <tr r="F421" s="1"/>
      </tp>
      <tp>
        <v>0</v>
        <stp/>
        <stp>bse_cm|88NWIL25</stp>
        <stp>Volume Traded Today</stp>
        <tr r="L219" s="1"/>
      </tp>
      <tp>
        <v>406.45</v>
        <stp/>
        <stp>nse_cm|79NHIT47-N3</stp>
        <stp>Ask Rate</stp>
        <tr r="F1585" s="1"/>
      </tp>
      <tp>
        <v>0</v>
        <stp/>
        <stp>bse_cm|820SCL25</stp>
        <stp>Ask Rate</stp>
        <tr r="F925" s="1"/>
      </tp>
      <tp>
        <v>0</v>
        <stp/>
        <stp>bse_cm|850SCL25</stp>
        <stp>Ask Rate</stp>
        <tr r="F923" s="1"/>
      </tp>
      <tp>
        <v>0</v>
        <stp/>
        <stp>bse_cm|903SFL28</stp>
        <stp>ATP</stp>
        <tr r="K397" s="1"/>
      </tp>
      <tp>
        <v>1037.3800000000001</v>
        <stp/>
        <stp>bse_cm|SCLZC25D</stp>
        <stp>High</stp>
        <tr r="N1573" s="1"/>
      </tp>
      <tp>
        <v>1387.8</v>
        <stp/>
        <stp>bse_cm|MFLZC25D</stp>
        <stp>High</stp>
        <tr r="N1520" s="1"/>
      </tp>
      <tp>
        <v>1223</v>
        <stp/>
        <stp>bse_cm|KFLZC25D</stp>
        <stp>High</stp>
        <tr r="N1735" s="1"/>
      </tp>
      <tp>
        <v>20</v>
        <stp/>
        <stp>bse_cm|931SFL26A</stp>
        <stp>Bid Qty</stp>
        <tr r="D1086" s="1"/>
      </tp>
      <tp t="s">
        <v>BSE</v>
        <stp/>
        <stp>bse_cm|104ECL29</stp>
        <stp>Exchange</stp>
        <tr r="C149" s="1"/>
      </tp>
      <tp t="s">
        <v>00:00:00</v>
        <stp/>
        <stp>bse_cm|792TCH25</stp>
        <stp>LTT</stp>
        <tr r="I1188" s="1"/>
      </tp>
      <tp>
        <v>0</v>
        <stp/>
        <stp>bse_cm|902SCL26</stp>
        <stp>ATP</stp>
        <tr r="K969" s="1"/>
      </tp>
      <tp>
        <v>0</v>
        <stp/>
        <stp>bse_cm|902SCL27</stp>
        <stp>ATP</stp>
        <tr r="K902" s="1"/>
      </tp>
      <tp>
        <v>0</v>
        <stp/>
        <stp>bse_cm|792TCH25</stp>
        <stp>LTP</stp>
        <tr r="H1188" s="1"/>
      </tp>
      <tp>
        <v>0</v>
        <stp/>
        <stp>bse_cm|SCLZC25E</stp>
        <stp>High</stp>
        <tr r="N907" s="1"/>
      </tp>
      <tp>
        <v>1039</v>
        <stp/>
        <stp>bse_cm|KFLZC25E</stp>
        <stp>High</stp>
        <tr r="N1530" s="1"/>
      </tp>
      <tp>
        <v>0</v>
        <stp/>
        <stp>nse_cm|IIFLHF29-NE</stp>
        <stp>Open</stp>
        <tr r="M1630" s="1"/>
      </tp>
      <tp>
        <v>0</v>
        <stp/>
        <stp>bse_cm|SFL27224</stp>
        <stp>Volume Traded Today</stp>
        <tr r="L805" s="1"/>
      </tp>
      <tp>
        <v>0</v>
        <stp/>
        <stp>bse_cm|MML11924</stp>
        <stp>Volume Traded Today</stp>
        <tr r="L1536" s="1"/>
      </tp>
      <tp>
        <v>1144</v>
        <stp/>
        <stp>bse_cm|920PEL28</stp>
        <stp>Ask Rate</stp>
        <tr r="F440" s="1"/>
      </tp>
      <tp>
        <v>50</v>
        <stp/>
        <stp>bse_cm|971SCL29A</stp>
        <stp>Bid Qty</stp>
        <tr r="D862" s="1"/>
      </tp>
      <tp t="s">
        <v/>
        <stp/>
        <stp>nse_cm|1075SCFL34-Z6</stp>
        <stp>LTT</stp>
        <tr r="I882" s="1"/>
      </tp>
      <tp>
        <v>960</v>
        <stp/>
        <stp>nse_cm|1075SCFL34-Z6</stp>
        <stp>LTP</stp>
        <tr r="H882" s="1"/>
      </tp>
      <tp>
        <v>5</v>
        <stp/>
        <stp>bse_cm|971SCL28I</stp>
        <stp>Bid Qty</stp>
        <tr r="D1471" s="1"/>
      </tp>
      <tp>
        <v>20</v>
        <stp/>
        <stp>bse_cm|971SCL28B</stp>
        <stp>Bid Qty</stp>
        <tr r="D714" s="1"/>
      </tp>
      <tp>
        <v>20</v>
        <stp/>
        <stp>bse_cm|971SCL28C</stp>
        <stp>Bid Qty</stp>
        <tr r="D827" s="1"/>
      </tp>
      <tp>
        <v>10</v>
        <stp/>
        <stp>bse_cm|971SCL28A</stp>
        <stp>Bid Qty</stp>
        <tr r="D1027" s="1"/>
      </tp>
      <tp t="s">
        <v>NSE</v>
        <stp/>
        <stp>nse_cm|925SCL29-YZ</stp>
        <stp>Exchange</stp>
        <tr r="C851" s="1"/>
      </tp>
      <tp t="s">
        <v>BSE</v>
        <stp/>
        <stp>bse_cm|104ECL24</stp>
        <stp>Exchange</stp>
        <tr r="C38" s="1"/>
      </tp>
      <tp>
        <v>1000</v>
        <stp/>
        <stp>bse_cm|10KFL24D</stp>
        <stp xml:space="preserve">Low </stp>
        <tr r="O1424" s="1"/>
      </tp>
      <tp>
        <v>1099</v>
        <stp/>
        <stp>bse_cm|930SFL28</stp>
        <stp>Ask Rate</stp>
        <tr r="F10" s="1"/>
      </tp>
      <tp>
        <v>980</v>
        <stp/>
        <stp>bse_cm|1025SF29</stp>
        <stp>Prev Close</stp>
        <tr r="P1409" s="1"/>
      </tp>
      <tp>
        <v>0</v>
        <stp/>
        <stp>bse_cm|78ABFL33</stp>
        <stp>Volume Traded Today</stp>
        <tr r="L378" s="1"/>
      </tp>
      <tp>
        <v>0</v>
        <stp/>
        <stp>nse_cm|815LTF27-NO</stp>
        <stp>Bid Rate</stp>
        <tr r="E1001" s="1"/>
      </tp>
      <tp>
        <v>945</v>
        <stp/>
        <stp>nse_cm|905SC24B-Z9</stp>
        <stp>High</stp>
        <tr r="N637" s="1"/>
      </tp>
      <tp>
        <v>0</v>
        <stp/>
        <stp>nse_cm|965SCL25B-Y1</stp>
        <stp>% Change</stp>
        <tr r="J1502" s="1"/>
      </tp>
      <tp>
        <v>0</v>
        <stp/>
        <stp>bse_cm|MFLZC29A</stp>
        <stp>Volume Traded Today</stp>
        <tr r="L1554" s="1"/>
      </tp>
      <tp>
        <v>-100</v>
        <stp/>
        <stp>nse_cm|925SCL25H-Y0</stp>
        <stp>% Change</stp>
        <tr r="J791" s="1"/>
      </tp>
      <tp>
        <v>0</v>
        <stp/>
        <stp>bse_cm|898ONE26</stp>
        <stp>ATP</stp>
        <tr r="K1154" s="1"/>
      </tp>
      <tp>
        <v>0</v>
        <stp/>
        <stp>bse_cm|KFLZC28A</stp>
        <stp>Volume Traded Today</stp>
        <tr r="L1289" s="1"/>
      </tp>
      <tp>
        <v>0</v>
        <stp/>
        <stp>bse_cm|KFLZC28B</stp>
        <stp>Volume Traded Today</stp>
        <tr r="L1288" s="1"/>
      </tp>
      <tp>
        <v>0</v>
        <stp/>
        <stp>bse_cm|KFLZC28C</stp>
        <stp>Volume Traded Today</stp>
        <tr r="L1287" s="1"/>
      </tp>
      <tp>
        <v>0</v>
        <stp/>
        <stp>bse_cm|MFLZC28E</stp>
        <stp>Volume Traded Today</stp>
        <tr r="L1269" s="1"/>
      </tp>
      <tp>
        <v>0</v>
        <stp/>
        <stp>bse_cm|MFLZC28F</stp>
        <stp>Volume Traded Today</stp>
        <tr r="L1268" s="1"/>
      </tp>
      <tp>
        <v>1</v>
        <stp/>
        <stp>bse_cm|98EFSL26</stp>
        <stp>Volume Traded Today</stp>
        <tr r="L82" s="1"/>
      </tp>
      <tp>
        <v>0</v>
        <stp/>
        <stp>nse_cm|925SCL25B-Y3</stp>
        <stp>% Change</stp>
        <tr r="J600" s="1"/>
      </tp>
      <tp t="s">
        <v>BSE</v>
        <stp/>
        <stp>bse_cm|944MFL28</stp>
        <stp>Exchange</stp>
        <tr r="C677" s="1"/>
      </tp>
      <tp t="s">
        <v>BSE</v>
        <stp/>
        <stp>bse_cm|884LTF29</stp>
        <stp>Exchange</stp>
        <tr r="C1337" s="1"/>
      </tp>
      <tp>
        <v>0</v>
        <stp/>
        <stp>nse_cm|815LTF24-NK</stp>
        <stp>Bid Rate</stp>
        <tr r="E1693" s="1"/>
      </tp>
      <tp>
        <v>-100</v>
        <stp/>
        <stp>bse_cm|9ARKA25</stp>
        <stp>% Change</stp>
        <tr r="J1365" s="1"/>
      </tp>
      <tp>
        <v>800</v>
        <stp/>
        <stp>nse_cm|1015SCL28A-AL</stp>
        <stp>Face Value</stp>
        <tr r="Q1443" s="1"/>
      </tp>
      <tp>
        <v>1000</v>
        <stp/>
        <stp>bse_cm|104ECL29</stp>
        <stp>Face Value</stp>
        <tr r="Q149" s="1"/>
      </tp>
      <tp>
        <v>1000</v>
        <stp/>
        <stp>bse_cm|104ECL24</stp>
        <stp>Face Value</stp>
        <tr r="Q38" s="1"/>
      </tp>
      <tp>
        <v>1000</v>
        <stp/>
        <stp>nse_cm|1003SCL30A-NV</stp>
        <stp>Face Value</stp>
        <tr r="Q728" s="1"/>
      </tp>
      <tp>
        <v>1000</v>
        <stp/>
        <stp>bse_cm|10MFCL30</stp>
        <stp>Face Value</stp>
        <tr r="Q1091" s="1"/>
      </tp>
      <tp>
        <v>0</v>
        <stp/>
        <stp>nse_cm|813LTF29-NP</stp>
        <stp>Bid Rate</stp>
        <tr r="E1000" s="1"/>
      </tp>
      <tp>
        <v>0</v>
        <stp/>
        <stp>nse_cm|SCL26-NA</stp>
        <stp>Ask Rate</stp>
        <tr r="F919" s="1"/>
      </tp>
      <tp>
        <v>350</v>
        <stp/>
        <stp>nse_cm|880IREDA29-N5</stp>
        <stp>Volume Traded Today</stp>
        <tr r="L510" s="1"/>
      </tp>
      <tp>
        <v>0</v>
        <stp/>
        <stp>nse_cm|880IREDA34-N6</stp>
        <stp>Volume Traded Today</stp>
        <tr r="L511" s="1"/>
      </tp>
      <tp>
        <v>0</v>
        <stp/>
        <stp>nse_cm|965SCL29-YX</stp>
        <stp>Ask Rate</stp>
        <tr r="F847" s="1"/>
      </tp>
      <tp>
        <v>900</v>
        <stp/>
        <stp>nse_cm|1025SCL33A-N1</stp>
        <stp>Face Value</stp>
        <tr r="Q834" s="1"/>
      </tp>
      <tp>
        <v>1000</v>
        <stp/>
        <stp>nse_cm|1025SCL34A-ZT</stp>
        <stp>Face Value</stp>
        <tr r="Q171" s="1"/>
      </tp>
      <tp>
        <v>1059</v>
        <stp/>
        <stp>bse_cm|850MFL29</stp>
        <stp>Ask Rate</stp>
        <tr r="F356" s="1"/>
      </tp>
      <tp>
        <v>1000</v>
        <stp/>
        <stp>nse_cm|SCL310524A-ZK</stp>
        <stp>Face Value</stp>
        <tr r="Q1445" s="1"/>
      </tp>
      <tp>
        <v>969.99</v>
        <stp/>
        <stp>bse_cm|850MFL28</stp>
        <stp>Ask Rate</stp>
        <tr r="F236" s="1"/>
      </tp>
      <tp>
        <v>0</v>
        <stp/>
        <stp>bse_cm|880MFL28</stp>
        <stp>Ask Rate</stp>
        <tr r="F1338" s="1"/>
      </tp>
      <tp t="s">
        <v>INE148I07QQ1</v>
        <stp/>
        <stp>nse_cm|965SCL28A-NQ</stp>
        <stp>Isin code</stp>
        <tr r="R897" s="1"/>
      </tp>
      <tp>
        <v>900</v>
        <stp/>
        <stp>nse_cm|1075SCL33A-N2</stp>
        <stp>Face Value</stp>
        <tr r="Q630" s="1"/>
      </tp>
      <tp>
        <v>1008</v>
        <stp/>
        <stp>bse_cm|810MFL25</stp>
        <stp>Ask Rate</stp>
        <tr r="F429" s="1"/>
      </tp>
      <tp>
        <v>1081.75</v>
        <stp/>
        <stp>bse_cm|760MFL25</stp>
        <stp>Ask Rate</stp>
        <tr r="F482" s="1"/>
      </tp>
      <tp>
        <v>1000</v>
        <stp/>
        <stp>nse_cm|866IIFC34B-N3</stp>
        <stp>Face Value</stp>
        <tr r="Q25" s="1"/>
      </tp>
      <tp t="s">
        <v>BSE</v>
        <stp/>
        <stp>bse_cm|935PEL33</stp>
        <stp>Exchange</stp>
        <tr r="C368" s="1"/>
      </tp>
      <tp>
        <v>0</v>
        <stp/>
        <stp>nse_cm|866SCL25-YP</stp>
        <stp>Ask Rate</stp>
        <tr r="F933" s="1"/>
      </tp>
      <tp>
        <v>0</v>
        <stp/>
        <stp>nse_cm|857SCL24-ZQ</stp>
        <stp>Ask Rate</stp>
        <tr r="F975" s="1"/>
      </tp>
      <tp>
        <v>1100.2</v>
        <stp/>
        <stp>bse_cm|ICCL25</stp>
        <stp>Bid Rate</stp>
        <tr r="E1330" s="1"/>
      </tp>
      <tp>
        <v>0</v>
        <stp/>
        <stp>bse_cm|850MFL24</stp>
        <stp>Ask Rate</stp>
        <tr r="F1100" s="1"/>
      </tp>
      <tp>
        <v>999.99</v>
        <stp/>
        <stp>bse_cm|950MML24</stp>
        <stp>Ask Rate</stp>
        <tr r="F304" s="1"/>
      </tp>
      <tp>
        <v>0</v>
        <stp/>
        <stp>bse_cm|950MFL27</stp>
        <stp>Ask Rate</stp>
        <tr r="F1147" s="1"/>
      </tp>
      <tp>
        <v>984.8</v>
        <stp/>
        <stp>bse_cm|850MFL27</stp>
        <stp>Ask Rate</stp>
        <tr r="F265" s="1"/>
      </tp>
      <tp>
        <v>951</v>
        <stp/>
        <stp>bse_cm|840MFL27</stp>
        <stp>Ask Rate</stp>
        <tr r="F133" s="1"/>
      </tp>
      <tp>
        <v>1074.8</v>
        <stp/>
        <stp>bse_cm|870MFL27</stp>
        <stp>Ask Rate</stp>
        <tr r="F399" s="1"/>
      </tp>
      <tp>
        <v>1000</v>
        <stp/>
        <stp>bse_cm|743REC35</stp>
        <stp>Face Value</stp>
        <tr r="Q513" s="1"/>
      </tp>
      <tp>
        <v>0</v>
        <stp/>
        <stp>bse_cm|68PFCL31</stp>
        <stp>Volume Traded Today</stp>
        <tr r="L1205" s="1"/>
      </tp>
      <tp>
        <v>959.8</v>
        <stp/>
        <stp>bse_cm|750MFL27</stp>
        <stp>Ask Rate</stp>
        <tr r="F274" s="1"/>
      </tp>
      <tp t="s">
        <v>NSE</v>
        <stp/>
        <stp>nse_cm|820SCL25-YO</stp>
        <stp>Exchange</stp>
        <tr r="C932" s="1"/>
      </tp>
      <tp>
        <v>994.7</v>
        <stp/>
        <stp>bse_cm|910MFL26</stp>
        <stp>Ask Rate</stp>
        <tr r="F277" s="1"/>
      </tp>
      <tp>
        <v>0</v>
        <stp/>
        <stp>bse_cm|890MFL26</stp>
        <stp>Ask Rate</stp>
        <tr r="F1478" s="1"/>
      </tp>
      <tp>
        <v>0</v>
        <stp/>
        <stp>bse_cm|58PFCL26</stp>
        <stp>Volume Traded Today</stp>
        <tr r="L369" s="1"/>
      </tp>
      <tp>
        <v>974.8</v>
        <stp/>
        <stp>bse_cm|950KFL27</stp>
        <stp>Ask Rate</stp>
        <tr r="F143" s="1"/>
      </tp>
      <tp>
        <v>0</v>
        <stp/>
        <stp>bse_cm|902SCL27A</stp>
        <stp>Ask Qty</stp>
        <tr r="G1354" s="1"/>
      </tp>
      <tp>
        <v>1079.0999999999999</v>
        <stp/>
        <stp>bse_cm|10MFL24B</stp>
        <stp>High</stp>
        <tr r="N185" s="1"/>
      </tp>
      <tp t="s">
        <v>BSE</v>
        <stp/>
        <stp>bse_cm|714REC25</stp>
        <stp>Exchange</stp>
        <tr r="C518" s="1"/>
      </tp>
      <tp t="s">
        <v>BSE</v>
        <stp/>
        <stp>bse_cm|894SCL24</stp>
        <stp>Exchange</stp>
        <tr r="C645" s="1"/>
      </tp>
      <tp t="s">
        <v/>
        <stp/>
        <stp>nse_cm|1025ICCL26-NT</stp>
        <stp>LTT</stp>
        <tr r="I771" s="1"/>
      </tp>
      <tp>
        <v>940</v>
        <stp/>
        <stp>nse_cm|1025ICCL26-NT</stp>
        <stp>LTP</stp>
        <tr r="H771" s="1"/>
      </tp>
      <tp>
        <v>0</v>
        <stp/>
        <stp>bse_cm|902SCL26A</stp>
        <stp>Ask Qty</stp>
        <tr r="G967" s="1"/>
      </tp>
      <tp>
        <v>1000</v>
        <stp/>
        <stp>bse_cm|734REC30</stp>
        <stp>Face Value</stp>
        <tr r="Q524" s="1"/>
      </tp>
      <tp>
        <v>0</v>
        <stp/>
        <stp>bse_cm|902SCL26I</stp>
        <stp>Ask Qty</stp>
        <tr r="G903" s="1"/>
      </tp>
      <tp>
        <v>1006</v>
        <stp/>
        <stp>nse_cm|81TCHF28-N8</stp>
        <stp>Bid Rate</stp>
        <tr r="E467" s="1"/>
      </tp>
      <tp t="s">
        <v>BSE</v>
        <stp/>
        <stp>bse_cm|894SCL25</stp>
        <stp>Exchange</stp>
        <tr r="C1517" s="1"/>
      </tp>
      <tp t="s">
        <v/>
        <stp/>
        <stp>nse_cm|1077IIFL30-N7</stp>
        <stp>LTT</stp>
        <tr r="I996" s="1"/>
      </tp>
      <tp>
        <v>0</v>
        <stp/>
        <stp>nse_cm|1077IIFL30-N7</stp>
        <stp>LTP</stp>
        <tr r="H996" s="1"/>
      </tp>
      <tp>
        <v>0</v>
        <stp/>
        <stp>bse_cm|950KLM25</stp>
        <stp>Ask Rate</stp>
        <tr r="F1150" s="1"/>
      </tp>
      <tp>
        <v>1000</v>
        <stp/>
        <stp>bse_cm|709REC30</stp>
        <stp>Face Value</stp>
        <tr r="Q564" s="1"/>
      </tp>
      <tp>
        <v>0</v>
        <stp/>
        <stp>nse_cm|955SCL25-ZU</stp>
        <stp>Ask Rate</stp>
        <tr r="F1391" s="1"/>
      </tp>
      <tp>
        <v>0</v>
        <stp/>
        <stp>nse_cm|890ICCL23A-NZ</stp>
        <stp>ATP</stp>
        <tr r="K1363" s="1"/>
      </tp>
      <tp>
        <v>1000</v>
        <stp/>
        <stp>bse_cm|714REC25</stp>
        <stp>Face Value</stp>
        <tr r="Q518" s="1"/>
      </tp>
      <tp>
        <v>1000</v>
        <stp/>
        <stp>bse_cm|718REC35</stp>
        <stp>Face Value</stp>
        <tr r="Q549" s="1"/>
      </tp>
      <tp>
        <v>0</v>
        <stp/>
        <stp>bse_cm|82TCHF25</stp>
        <stp>Volume Traded Today</stp>
        <tr r="L1015" s="1"/>
      </tp>
      <tp t="s">
        <v>BSE</v>
        <stp/>
        <stp>bse_cm|894SCL27</stp>
        <stp>Exchange</stp>
        <tr r="C962" s="1"/>
      </tp>
      <tp>
        <v>1000</v>
        <stp/>
        <stp>bse_cm|93ARKA26</stp>
        <stp>Face Value</stp>
        <tr r="Q981" s="1"/>
      </tp>
      <tp>
        <v>1000</v>
        <stp/>
        <stp>bse_cm|93ARKA25</stp>
        <stp>Face Value</stp>
        <tr r="Q1395" s="1"/>
      </tp>
      <tp>
        <v>-100</v>
        <stp/>
        <stp>bse_cm|91EFSL24A</stp>
        <stp>% Change</stp>
        <tr r="J46" s="1"/>
      </tp>
      <tp t="s">
        <v>8ABFL26</v>
        <stp/>
        <stp>nse_cm|8ABFL26-N0</stp>
        <stp>Symbol</stp>
        <tr r="A358" s="1"/>
      </tp>
      <tp>
        <v>-100</v>
        <stp/>
        <stp>bse_cm|11EFSL34A</stp>
        <stp>% Change</stp>
        <tr r="J1408" s="1"/>
      </tp>
      <tp>
        <v>-100</v>
        <stp/>
        <stp>bse_cm|10EFSL34A</stp>
        <stp>% Change</stp>
        <tr r="J131" s="1"/>
      </tp>
      <tp t="s">
        <v>INE244L07523</v>
        <stp/>
        <stp>bse_cm|890ICCL23A</stp>
        <stp>Isin code</stp>
        <tr r="R1486" s="1"/>
      </tp>
      <tp t="s">
        <v>INE121A07RS9</v>
        <stp/>
        <stp>bse_cm|CIF27</stp>
        <stp>Isin code</stp>
        <tr r="R745" s="1"/>
      </tp>
      <tp>
        <v>0</v>
        <stp/>
        <stp>bse_cm|825MFL2026</stp>
        <stp>ATP</stp>
        <tr r="K318" s="1"/>
      </tp>
      <tp>
        <v>0</v>
        <stp/>
        <stp>bse_cm|810MFL2028</stp>
        <stp>ATP</stp>
        <tr r="K651" s="1"/>
      </tp>
      <tp>
        <v>1095</v>
        <stp/>
        <stp>bse_cm|739NHAI31A</stp>
        <stp>ATP</stp>
        <tr r="K546" s="1"/>
      </tp>
      <tp t="s">
        <v>948IFSL25B</v>
        <stp/>
        <stp>bse_cm|948IFSL25B</stp>
        <stp>Symbol</stp>
        <tr r="A599" s="1"/>
      </tp>
      <tp t="s">
        <v>948ICCL25A</v>
        <stp/>
        <stp>bse_cm|948ICCL25A</stp>
        <stp>Symbol</stp>
        <tr r="A1398" s="1"/>
      </tp>
      <tp t="s">
        <v>888IHFL25F</v>
        <stp/>
        <stp>bse_cm|888IHFL25F</stp>
        <stp>Symbol</stp>
        <tr r="A693" s="1"/>
      </tp>
      <tp t="s">
        <v>888IHFL25C</v>
        <stp/>
        <stp>bse_cm|888IHFL25C</stp>
        <stp>Symbol</stp>
        <tr r="A1058" s="1"/>
      </tp>
      <tp t="s">
        <v>1026NHFL34</v>
        <stp/>
        <stp>bse_cm|1026NHFL34</stp>
        <stp>Symbol</stp>
        <tr r="A155" s="1"/>
      </tp>
      <tp t="s">
        <v>1025SCFL34</v>
        <stp/>
        <stp>bse_cm|1025SCFL34</stp>
        <stp>Symbol</stp>
        <tr r="A1025" s="1"/>
      </tp>
      <tp t="s">
        <v>1125KAFL27</v>
        <stp/>
        <stp>bse_cm|1125KAFL27</stp>
        <stp>Symbol</stp>
        <tr r="A1228" s="1"/>
      </tp>
      <tp t="s">
        <v>1025KAFL27</v>
        <stp/>
        <stp>bse_cm|1025KAFL27</stp>
        <stp>Symbol</stp>
        <tr r="A769" s="1"/>
      </tp>
      <tp t="s">
        <v>1025KAFL25</v>
        <stp/>
        <stp>bse_cm|1025KAFL25</stp>
        <stp>Symbol</stp>
        <tr r="A770" s="1"/>
      </tp>
      <tp t="s">
        <v>1025NWFL25</v>
        <stp/>
        <stp>bse_cm|1025NWFL25</stp>
        <stp>Symbol</stp>
        <tr r="A154" s="1"/>
      </tp>
      <tp t="s">
        <v>1025NWFL30</v>
        <stp/>
        <stp>bse_cm|1025NWFL30</stp>
        <stp>Symbol</stp>
        <tr r="A1026" s="1"/>
      </tp>
      <tp t="s">
        <v>1025MMFL26</v>
        <stp/>
        <stp>bse_cm|1025MMFL26</stp>
        <stp>Symbol</stp>
        <tr r="A320" s="1"/>
      </tp>
      <tp t="e">
        <v>#N/A</v>
        <stp/>
        <stp>bse_cm|1025MHFL24</stp>
        <stp>Symbol</stp>
        <tr r="A29" s="1"/>
      </tp>
      <tp t="s">
        <v>INE414G07IX4</v>
        <stp/>
        <stp>bse_cm|MFL29</stp>
        <stp>Isin code</stp>
        <tr r="R1598" s="1"/>
      </tp>
      <tp>
        <v>0</v>
        <stp/>
        <stp>bse_cm|775MFL2025</stp>
        <stp>ATP</stp>
        <tr r="K336" s="1"/>
      </tp>
      <tp>
        <v>0</v>
        <stp/>
        <stp>bse_cm|785MFL2028</stp>
        <stp>ATP</stp>
        <tr r="K357" s="1"/>
      </tp>
      <tp>
        <v>975</v>
        <stp/>
        <stp>bse_cm|775MFL2026</stp>
        <stp>ATP</stp>
        <tr r="K240" s="1"/>
      </tp>
      <tp t="s">
        <v>1003NIDO29</v>
        <stp/>
        <stp>bse_cm|1003NIDO29</stp>
        <stp>Symbol</stp>
        <tr r="A679" s="1"/>
      </tp>
      <tp t="s">
        <v>NIDO010329</v>
        <stp/>
        <stp>bse_cm|NIDO010329</stp>
        <stp>Symbol</stp>
        <tr r="A1246" s="1"/>
      </tp>
      <tp t="s">
        <v>NIDO010327</v>
        <stp/>
        <stp>bse_cm|NIDO010327</stp>
        <stp>Symbol</stp>
        <tr r="A1247" s="1"/>
      </tp>
      <tp t="s">
        <v>NIDO010326</v>
        <stp/>
        <stp>bse_cm|NIDO010326</stp>
        <stp>Symbol</stp>
        <tr r="A1248" s="1"/>
      </tp>
      <tp>
        <v>0</v>
        <stp/>
        <stp>bse_cm|1049DLSL25</stp>
        <stp>Volume Traded Today</stp>
        <tr r="L84" s="1"/>
      </tp>
      <tp>
        <v>100</v>
        <stp/>
        <stp>bse_cm|1049EFSL34</stp>
        <stp>Volume Traded Today</stp>
        <tr r="L1584" s="1"/>
      </tp>
      <tp t="s">
        <v>KFL070824D</v>
        <stp/>
        <stp>bse_cm|KFL070824D</stp>
        <stp>Symbol</stp>
        <tr r="A1310" s="1"/>
      </tp>
      <tp t="s">
        <v>KFL070824A</v>
        <stp/>
        <stp>bse_cm|KFL070824A</stp>
        <stp>Symbol</stp>
        <tr r="A1313" s="1"/>
      </tp>
      <tp t="s">
        <v>KFL070824C</v>
        <stp/>
        <stp>bse_cm|KFL070824C</stp>
        <stp>Symbol</stp>
        <tr r="A1311" s="1"/>
      </tp>
      <tp t="s">
        <v>KFL070824B</v>
        <stp/>
        <stp>bse_cm|KFL070824B</stp>
        <stp>Symbol</stp>
        <tr r="A1312" s="1"/>
      </tp>
      <tp t="s">
        <v>727HUDCO26</v>
        <stp/>
        <stp>bse_cm|727HUDCO26</stp>
        <stp>Symbol</stp>
        <tr r="A481" s="1"/>
      </tp>
      <tp t="s">
        <v>1025MMF26A</v>
        <stp/>
        <stp>bse_cm|1025MMF26A</stp>
        <stp>Symbol</stp>
        <tr r="A290" s="1"/>
      </tp>
      <tp>
        <v>86</v>
        <stp/>
        <stp>bse_cm|MFCL160924</stp>
        <stp>Volume Traded Today</stp>
        <tr r="L572" s="1"/>
      </tp>
      <tp t="s">
        <v>925KLMAF25</v>
        <stp/>
        <stp>bse_cm|925KLMAF25</stp>
        <stp>Symbol</stp>
        <tr r="A612" s="1"/>
      </tp>
      <tp t="s">
        <v>975KLMAF26</v>
        <stp/>
        <stp>bse_cm|975KLMAF26</stp>
        <stp>Symbol</stp>
        <tr r="A857" s="1"/>
      </tp>
      <tp>
        <v>1228.0999999999999</v>
        <stp/>
        <stp>nse_cm|866IIFC34B-N3</stp>
        <stp>Bid Rate</stp>
        <tr r="E25" s="1"/>
      </tp>
      <tp t="s">
        <v>INE414G07GW0</v>
        <stp/>
        <stp>bse_cm|MFLTDIII24</stp>
        <stp>Isin code</stp>
        <tr r="R1721" s="1"/>
      </tp>
      <tp t="s">
        <v>735NABAR31</v>
        <stp/>
        <stp>bse_cm|735NABAR31</stp>
        <stp>Symbol</stp>
        <tr r="A14" s="1"/>
      </tp>
      <tp>
        <v>15</v>
        <stp/>
        <stp>nse_cm|948ICCL25A-NG</stp>
        <stp>Volume Traded Today</stp>
        <tr r="L1736" s="1"/>
      </tp>
      <tp>
        <v>0</v>
        <stp/>
        <stp>bse_cm|11KAFL29</stp>
        <stp>High</stp>
        <tr r="N662" s="1"/>
      </tp>
      <tp>
        <v>0</v>
        <stp/>
        <stp>nse_cm|888IHFL25F-NC</stp>
        <stp>Volume Traded Today</stp>
        <tr r="L343" s="1"/>
      </tp>
      <tp>
        <v>0</v>
        <stp/>
        <stp>nse_cm|888IHFL25C-NR</stp>
        <stp>Volume Traded Today</stp>
        <tr r="L1426" s="1"/>
      </tp>
      <tp>
        <v>0</v>
        <stp/>
        <stp>bse_cm|0KFL31</stp>
        <stp>Open</stp>
        <tr r="M1044" s="1"/>
      </tp>
      <tp>
        <v>850.2</v>
        <stp/>
        <stp>bse_cm|MML26A</stp>
        <stp>Bid Rate</stp>
        <tr r="E1642" s="1"/>
      </tp>
      <tp>
        <v>-100</v>
        <stp/>
        <stp>bse_cm|EFSL25A</stp>
        <stp>% Change</stp>
        <tr r="J1706" s="1"/>
      </tp>
      <tp>
        <v>0</v>
        <stp/>
        <stp>nse_cm|1003SCL30A-NV</stp>
        <stp>ATP</stp>
        <tr r="K728" s="1"/>
      </tp>
      <tp>
        <v>-100</v>
        <stp/>
        <stp>bse_cm|EFSL25B</stp>
        <stp>% Change</stp>
        <tr r="J1682" s="1"/>
      </tp>
      <tp>
        <v>18</v>
        <stp/>
        <stp>bse_cm|77IGT28</stp>
        <stp>Bid Qty</stp>
        <tr r="D1191" s="1"/>
      </tp>
      <tp t="s">
        <v>NSE</v>
        <stp/>
        <stp>nse_cm|915SCL27-Z7</stp>
        <stp>Exchange</stp>
        <tr r="C1475" s="1"/>
      </tp>
      <tp>
        <v>20</v>
        <stp/>
        <stp>bse_cm|76IGT26</stp>
        <stp>Bid Qty</stp>
        <tr r="D1608" s="1"/>
      </tp>
      <tp>
        <v>500</v>
        <stp/>
        <stp>bse_cm|79IGT28</stp>
        <stp>Bid Qty</stp>
        <tr r="D1183" s="1"/>
      </tp>
      <tp>
        <v>980</v>
        <stp/>
        <stp>bse_cm|10KFIL27</stp>
        <stp>High</stp>
        <tr r="N183" s="1"/>
      </tp>
      <tp>
        <v>875.25</v>
        <stp/>
        <stp>bse_cm|KFL30A</stp>
        <stp>Bid Rate</stp>
        <tr r="E1592" s="1"/>
      </tp>
      <tp>
        <v>1050</v>
        <stp/>
        <stp>bse_cm|MFL26A</stp>
        <stp>Bid Rate</stp>
        <tr r="E1557" s="1"/>
      </tp>
      <tp>
        <v>1211.82</v>
        <stp/>
        <stp>bse_cm|MFL26B</stp>
        <stp>Bid Rate</stp>
        <tr r="E1280" s="1"/>
      </tp>
      <tp t="s">
        <v>INE477L07AO7</v>
        <stp/>
        <stp>nse_cm|850IIFL27-NA</stp>
        <stp>Isin code</stp>
        <tr r="R608" s="1"/>
      </tp>
      <tp t="s">
        <v>INE121A07RE9</v>
        <stp/>
        <stp>nse_cm|84CIFCL28-NA</stp>
        <stp>Isin code</stp>
        <tr r="R388" s="1"/>
      </tp>
      <tp>
        <v>1067.2</v>
        <stp/>
        <stp>bse_cm|MFL26C</stp>
        <stp>Bid Rate</stp>
        <tr r="E1669" s="1"/>
      </tp>
      <tp>
        <v>936</v>
        <stp/>
        <stp>bse_cm|95KAFL25</stp>
        <stp>High</stp>
        <tr r="N40" s="1"/>
      </tp>
      <tp>
        <v>1012.1</v>
        <stp/>
        <stp>bse_cm|MFL26D</stp>
        <stp>Bid Rate</stp>
        <tr r="E1279" s="1"/>
      </tp>
      <tp>
        <v>1245.72</v>
        <stp/>
        <stp>nse_cm|855IREDA34-N3</stp>
        <stp>LTP</stp>
        <tr r="H558" s="1"/>
      </tp>
      <tp>
        <v>1165.5</v>
        <stp/>
        <stp>nse_cm|855IREDA29-N2</stp>
        <stp>LTP</stp>
        <tr r="H505" s="1"/>
      </tp>
      <tp t="s">
        <v/>
        <stp/>
        <stp>nse_cm|855IREDA34-N3</stp>
        <stp>LTT</stp>
        <tr r="I558" s="1"/>
      </tp>
      <tp t="s">
        <v>10:05:21</v>
        <stp/>
        <stp>nse_cm|855IREDA29-N2</stp>
        <stp>LTT</stp>
        <tr r="I505" s="1"/>
      </tp>
      <tp>
        <v>1100.0999999999999</v>
        <stp/>
        <stp>bse_cm|MFL26E</stp>
        <stp>Bid Rate</stp>
        <tr r="E1533" s="1"/>
      </tp>
      <tp>
        <v>998</v>
        <stp/>
        <stp>bse_cm|11KAFL27</stp>
        <stp>High</stp>
        <tr r="N184" s="1"/>
      </tp>
      <tp>
        <v>1007</v>
        <stp/>
        <stp>bse_cm|10JFPL30</stp>
        <stp>High</stp>
        <tr r="N1097" s="1"/>
      </tp>
      <tp>
        <v>1031</v>
        <stp/>
        <stp>bse_cm|MFL26F</stp>
        <stp>Bid Rate</stp>
        <tr r="E1278" s="1"/>
      </tp>
      <tp>
        <v>0</v>
        <stp/>
        <stp>nse_cm|925SCL26B-YQ</stp>
        <stp>% Change</stp>
        <tr r="J90" s="1"/>
      </tp>
      <tp>
        <v>0</v>
        <stp/>
        <stp>bse_cm|10KAFL26</stp>
        <stp>High</stp>
        <tr r="N1096" s="1"/>
      </tp>
      <tp>
        <v>991</v>
        <stp/>
        <stp>bse_cm|11KAFL26</stp>
        <stp>High</stp>
        <tr r="N671" s="1"/>
      </tp>
      <tp>
        <v>-100</v>
        <stp/>
        <stp>nse_cm|925SCL26A-YN</stp>
        <stp>% Change</stp>
        <tr r="J838" s="1"/>
      </tp>
      <tp>
        <v>0</v>
        <stp/>
        <stp>bse_cm|10EFSL27</stp>
        <stp>ATP</stp>
        <tr r="K1139" s="1"/>
      </tp>
      <tp>
        <v>1164.3</v>
        <stp/>
        <stp>nse_cm|846REC28-N6</stp>
        <stp>Bid Rate</stp>
        <tr r="E548" s="1"/>
      </tp>
      <tp>
        <v>0</v>
        <stp/>
        <stp>bse_cm|10EFSL33</stp>
        <stp>ATP</stp>
        <tr r="K150" s="1"/>
      </tp>
      <tp>
        <v>0</v>
        <stp/>
        <stp>bse_cm|10EFSL34</stp>
        <stp>ATP</stp>
        <tr r="K164" s="1"/>
      </tp>
      <tp>
        <v>6</v>
        <stp/>
        <stp>bse_cm|829LTF24</stp>
        <stp>Volume Traded Today</stp>
        <tr r="L4" s="1"/>
      </tp>
      <tp>
        <v>0</v>
        <stp/>
        <stp>nse_cm|875SCL23A-YI</stp>
        <stp>% Change</stp>
        <tr r="J1477" s="1"/>
      </tp>
      <tp>
        <v>0</v>
        <stp/>
        <stp>bse_cm|889SCL28</stp>
        <stp>Volume Traded Today</stp>
        <tr r="L1069" s="1"/>
      </tp>
      <tp>
        <v>-100</v>
        <stp/>
        <stp>nse_cm|965SCL28B-YB</stp>
        <stp>% Change</stp>
        <tr r="J819" s="1"/>
      </tp>
      <tp>
        <v>0</v>
        <stp/>
        <stp>bse_cm|889SCL27</stp>
        <stp>Volume Traded Today</stp>
        <tr r="L121" s="1"/>
      </tp>
      <tp>
        <v>0</v>
        <stp/>
        <stp>bse_cm|889SCL26</stp>
        <stp>Volume Traded Today</stp>
        <tr r="L237" s="1"/>
      </tp>
      <tp>
        <v>1021.22</v>
        <stp/>
        <stp>bse_cm|MFL26Z</stp>
        <stp>Bid Rate</stp>
        <tr r="E1655" s="1"/>
      </tp>
      <tp>
        <v>979</v>
        <stp/>
        <stp>bse_cm|10MMFL27</stp>
        <stp xml:space="preserve">Low </stp>
        <tr r="O1090" s="1"/>
      </tp>
      <tp>
        <v>-100</v>
        <stp/>
        <stp>nse_cm|835SCL23A-YH</stp>
        <stp>% Change</stp>
        <tr r="J833" s="1"/>
      </tp>
      <tp>
        <v>0</v>
        <stp/>
        <stp>nse_cm|925SCL28B-YC</stp>
        <stp>% Change</stp>
        <tr r="J825" s="1"/>
      </tp>
      <tp>
        <v>0</v>
        <stp/>
        <stp>bse_cm|888SCL25</stp>
        <stp>Volume Traded Today</stp>
        <tr r="L1134" s="1"/>
      </tp>
      <tp>
        <v>0</v>
        <stp/>
        <stp>bse_cm|888SCL26</stp>
        <stp>Volume Traded Today</stp>
        <tr r="L915" s="1"/>
      </tp>
      <tp t="s">
        <v>00:00:00</v>
        <stp/>
        <stp>bse_cm|10ARKA28</stp>
        <stp>LTT</stp>
        <tr r="I1400" s="1"/>
      </tp>
      <tp>
        <v>0</v>
        <stp/>
        <stp>bse_cm|10ARKA28</stp>
        <stp>LTP</stp>
        <tr r="H1400" s="1"/>
      </tp>
      <tp>
        <v>1.28</v>
        <stp/>
        <stp>nse_cm|835SCL23B-YM</stp>
        <stp>% Change</stp>
        <tr r="J179" s="1"/>
      </tp>
      <tp>
        <v>0</v>
        <stp/>
        <stp>nse_cm|1025SCFL34-Z5</stp>
        <stp>Volume Traded Today</stp>
        <tr r="L880" s="1"/>
      </tp>
      <tp>
        <v>1009</v>
        <stp/>
        <stp>bse_cm|10CAGL27</stp>
        <stp>ATP</stp>
        <tr r="K282" s="1"/>
      </tp>
      <tp>
        <v>0</v>
        <stp/>
        <stp>bse_cm|10MMFL27</stp>
        <stp>ATP</stp>
        <tr r="K1090" s="1"/>
      </tp>
      <tp>
        <v>1034</v>
        <stp/>
        <stp>bse_cm|9MMFSL26</stp>
        <stp xml:space="preserve">Low </stp>
        <tr r="O334" s="1"/>
      </tp>
      <tp>
        <v>0</v>
        <stp/>
        <stp>bse_cm|10MFCL30</stp>
        <stp>ATP</stp>
        <tr r="K1091" s="1"/>
      </tp>
      <tp>
        <v>0</v>
        <stp/>
        <stp>bse_cm|0SFL31</stp>
        <stp>Open</stp>
        <tr r="M1032" s="1"/>
      </tp>
      <tp>
        <v>0</v>
        <stp/>
        <stp>bse_cm|980SCL33</stp>
        <stp>Volume Traded Today</stp>
        <tr r="L998" s="1"/>
      </tp>
      <tp>
        <v>0</v>
        <stp/>
        <stp>bse_cm|980SCL34</stp>
        <stp>Volume Traded Today</stp>
        <tr r="L829" s="1"/>
      </tp>
      <tp>
        <v>0.12</v>
        <stp/>
        <stp>bse_cm|MFLI25A</stp>
        <stp>% Change</stp>
        <tr r="J362" s="1"/>
      </tp>
      <tp>
        <v>0</v>
        <stp/>
        <stp>bse_cm|880MFL28</stp>
        <stp>Volume Traded Today</stp>
        <tr r="L1338" s="1"/>
      </tp>
      <tp>
        <v>0</v>
        <stp/>
        <stp>bse_cm|10NHFL27</stp>
        <stp>ATP</stp>
        <tr r="K658" s="1"/>
      </tp>
      <tp>
        <v>0</v>
        <stp/>
        <stp>nse_cm|957SCL31-Z3</stp>
        <stp>Ask Rate</stp>
        <tr r="F874" s="1"/>
      </tp>
      <tp>
        <v>0</v>
        <stp/>
        <stp>bse_cm|10ISFL26</stp>
        <stp>ATP</stp>
        <tr r="K1509" s="1"/>
      </tp>
      <tp>
        <v>0</v>
        <stp/>
        <stp>bse_cm|10IIFL28</stp>
        <stp>ATP</stp>
        <tr r="K68" s="1"/>
      </tp>
      <tp>
        <v>0</v>
        <stp/>
        <stp>bse_cm|10IIFL29</stp>
        <stp>ATP</stp>
        <tr r="K307" s="1"/>
      </tp>
      <tp>
        <v>0</v>
        <stp/>
        <stp>bse_cm|10IFSL26</stp>
        <stp>ATP</stp>
        <tr r="K428" s="1"/>
      </tp>
      <tp>
        <v>0</v>
        <stp/>
        <stp>bse_cm|916ONE25</stp>
        <stp>Volume Traded Today</stp>
        <tr r="L965" s="1"/>
      </tp>
      <tp>
        <v>0</v>
        <stp/>
        <stp>bse_cm|916ONE27</stp>
        <stp>Volume Traded Today</stp>
        <tr r="L267" s="1"/>
      </tp>
      <tp t="s">
        <v>BSE</v>
        <stp/>
        <stp>bse_cm|SFL26A</stp>
        <stp>Exchange</stp>
        <tr r="C810" s="1"/>
      </tp>
      <tp t="s">
        <v>00:00:00</v>
        <stp/>
        <stp>bse_cm|SCLZC26A</stp>
        <stp>LTT</stp>
        <tr r="I1343" s="1"/>
      </tp>
      <tp>
        <v>0</v>
        <stp/>
        <stp>bse_cm|SCLZC26E</stp>
        <stp>LTP</stp>
        <tr r="H900" s="1"/>
      </tp>
      <tp>
        <v>0</v>
        <stp/>
        <stp>bse_cm|SCLZC26D</stp>
        <stp>LTP</stp>
        <tr r="H705" s="1"/>
      </tp>
      <tp t="s">
        <v>00:00:00</v>
        <stp/>
        <stp>bse_cm|SCLZC26C</stp>
        <stp>LTT</stp>
        <tr r="I1399" s="1"/>
      </tp>
      <tp>
        <v>0</v>
        <stp/>
        <stp>bse_cm|SCLZC26G</stp>
        <stp>LTP</stp>
        <tr r="H799" s="1"/>
      </tp>
      <tp t="s">
        <v>00:00:00</v>
        <stp/>
        <stp>bse_cm|SCLZC26B</stp>
        <stp>LTT</stp>
        <tr r="I992" s="1"/>
      </tp>
      <tp>
        <v>0</v>
        <stp/>
        <stp>bse_cm|SCLZC26F</stp>
        <stp>LTP</stp>
        <tr r="H898" s="1"/>
      </tp>
      <tp>
        <v>0</v>
        <stp/>
        <stp>bse_cm|SCLZC26A</stp>
        <stp>LTP</stp>
        <tr r="H1343" s="1"/>
      </tp>
      <tp t="s">
        <v>00:00:00</v>
        <stp/>
        <stp>bse_cm|SCLZC26E</stp>
        <stp>LTT</stp>
        <tr r="I900" s="1"/>
      </tp>
      <tp t="s">
        <v>00:00:00</v>
        <stp/>
        <stp>bse_cm|SCLZC26D</stp>
        <stp>LTT</stp>
        <tr r="I705" s="1"/>
      </tp>
      <tp>
        <v>0</v>
        <stp/>
        <stp>bse_cm|SCLZC26C</stp>
        <stp>LTP</stp>
        <tr r="H1399" s="1"/>
      </tp>
      <tp t="s">
        <v>00:00:00</v>
        <stp/>
        <stp>bse_cm|SCLZC26G</stp>
        <stp>LTT</stp>
        <tr r="I799" s="1"/>
      </tp>
      <tp>
        <v>0</v>
        <stp/>
        <stp>bse_cm|SCLZC26B</stp>
        <stp>LTP</stp>
        <tr r="H992" s="1"/>
      </tp>
      <tp t="s">
        <v>00:00:00</v>
        <stp/>
        <stp>bse_cm|SCLZC26F</stp>
        <stp>LTT</stp>
        <tr r="I898" s="1"/>
      </tp>
      <tp t="s">
        <v>00:00:00</v>
        <stp/>
        <stp>bse_cm|SCLZC26H</stp>
        <stp>LTT</stp>
        <tr r="I814" s="1"/>
      </tp>
      <tp>
        <v>0</v>
        <stp/>
        <stp>bse_cm|SCLZC26H</stp>
        <stp>LTP</stp>
        <tr r="H814" s="1"/>
      </tp>
      <tp>
        <v>0</v>
        <stp/>
        <stp>bse_cm|985ECL28</stp>
        <stp>Volume Traded Today</stp>
        <tr r="L56" s="1"/>
      </tp>
      <tp>
        <v>0</v>
        <stp/>
        <stp>bse_cm|785MFL28</stp>
        <stp>Volume Traded Today</stp>
        <tr r="L439" s="1"/>
      </tp>
      <tp>
        <v>10</v>
        <stp/>
        <stp>bse_cm|885SCL26</stp>
        <stp>Volume Traded Today</stp>
        <tr r="L57" s="1"/>
      </tp>
      <tp t="s">
        <v>INE053F07686</v>
        <stp/>
        <stp>nse_cm|865IRFC29-NA</stp>
        <stp>Isin code</stp>
        <tr r="R491" s="1"/>
      </tp>
      <tp>
        <v>960</v>
        <stp/>
        <stp>bse_cm|10KSFL25</stp>
        <stp>High</stp>
        <tr r="N107" s="1"/>
      </tp>
      <tp t="s">
        <v>00:00:00</v>
        <stp/>
        <stp>bse_cm|SCLZC25A</stp>
        <stp>LTT</stp>
        <tr r="I1233" s="1"/>
      </tp>
      <tp>
        <v>0</v>
        <stp/>
        <stp>bse_cm|SCLZC25E</stp>
        <stp>LTP</stp>
        <tr r="H907" s="1"/>
      </tp>
      <tp>
        <v>0</v>
        <stp/>
        <stp>bse_cm|SCLZC25D</stp>
        <stp>LTP</stp>
        <tr r="H1573" s="1"/>
      </tp>
      <tp t="s">
        <v>00:00:00</v>
        <stp/>
        <stp>bse_cm|SCLZC25C</stp>
        <stp>LTT</stp>
        <tr r="I1231" s="1"/>
      </tp>
      <tp t="s">
        <v>00:00:00</v>
        <stp/>
        <stp>bse_cm|SCLZC25B</stp>
        <stp>LTT</stp>
        <tr r="I1540" s="1"/>
      </tp>
      <tp>
        <v>0</v>
        <stp/>
        <stp>bse_cm|SCLZC25F</stp>
        <stp>LTP</stp>
        <tr r="H1542" s="1"/>
      </tp>
      <tp>
        <v>0</v>
        <stp/>
        <stp>bse_cm|SCLZC25A</stp>
        <stp>LTP</stp>
        <tr r="H1233" s="1"/>
      </tp>
      <tp t="s">
        <v>00:00:00</v>
        <stp/>
        <stp>bse_cm|SCLZC25E</stp>
        <stp>LTT</stp>
        <tr r="I907" s="1"/>
      </tp>
      <tp t="s">
        <v>00:00:00</v>
        <stp/>
        <stp>bse_cm|SCLZC25D</stp>
        <stp>LTT</stp>
        <tr r="I1573" s="1"/>
      </tp>
      <tp>
        <v>0</v>
        <stp/>
        <stp>bse_cm|SCLZC25C</stp>
        <stp>LTP</stp>
        <tr r="H1231" s="1"/>
      </tp>
      <tp>
        <v>0</v>
        <stp/>
        <stp>bse_cm|SCLZC25B</stp>
        <stp>LTP</stp>
        <tr r="H1540" s="1"/>
      </tp>
      <tp t="s">
        <v>00:00:00</v>
        <stp/>
        <stp>bse_cm|SCLZC25F</stp>
        <stp>LTT</stp>
        <tr r="I1542" s="1"/>
      </tp>
      <tp>
        <v>0</v>
        <stp/>
        <stp>bse_cm|10KSFL25</stp>
        <stp>ATP</stp>
        <tr r="K107" s="1"/>
      </tp>
      <tp>
        <v>0</v>
        <stp/>
        <stp>nse_cm|955SCL27-Z5</stp>
        <stp>Ask Rate</stp>
        <tr r="F949" s="1"/>
      </tp>
      <tp>
        <v>0</v>
        <stp/>
        <stp>bse_cm|10KAFL26</stp>
        <stp>ATP</stp>
        <tr r="K1096" s="1"/>
      </tp>
      <tp>
        <v>0</v>
        <stp/>
        <stp>bse_cm|10JFPL30</stp>
        <stp>ATP</stp>
        <tr r="K1097" s="1"/>
      </tp>
      <tp>
        <v>0</v>
        <stp/>
        <stp>bse_cm|10KFIL27</stp>
        <stp>ATP</stp>
        <tr r="K183" s="1"/>
      </tp>
      <tp>
        <v>0</v>
        <stp/>
        <stp>nse_cm|960IIFLS26-N9</stp>
        <stp>ATP</stp>
        <tr r="K1489" s="1"/>
      </tp>
      <tp>
        <v>0</v>
        <stp/>
        <stp>nse_cm|920IIFLS26-N8</stp>
        <stp>ATP</stp>
        <tr r="K208" s="1"/>
      </tp>
      <tp t="s">
        <v>15:10:17</v>
        <stp/>
        <stp>bse_cm|ECLZC24B</stp>
        <stp>LTT</stp>
        <tr r="I1767" s="1"/>
      </tp>
      <tp>
        <v>1593.88</v>
        <stp/>
        <stp>bse_cm|ECLZC24B</stp>
        <stp>LTP</stp>
        <tr r="H1767" s="1"/>
      </tp>
      <tp>
        <v>180</v>
        <stp/>
        <stp>bse_cm|865MFL25A</stp>
        <stp>Ask Qty</stp>
        <tr r="G153" s="1"/>
      </tp>
      <tp>
        <v>0</v>
        <stp/>
        <stp>bse_cm|825MFL25A</stp>
        <stp>Ask Qty</stp>
        <tr r="G931" s="1"/>
      </tp>
      <tp>
        <v>0</v>
        <stp/>
        <stp>bse_cm|975SCL28</stp>
        <stp>ATP</stp>
        <tr r="K1485" s="1"/>
      </tp>
      <tp>
        <v>0</v>
        <stp/>
        <stp>bse_cm|875SFL25</stp>
        <stp>ATP</stp>
        <tr r="K936" s="1"/>
      </tp>
      <tp>
        <v>0</v>
        <stp/>
        <stp>bse_cm|875SCL27</stp>
        <stp>ATP</stp>
        <tr r="K722" s="1"/>
      </tp>
      <tp>
        <v>0</v>
        <stp/>
        <stp>bse_cm|875SFL27</stp>
        <stp>ATP</stp>
        <tr r="K578" s="1"/>
      </tp>
      <tp>
        <v>0</v>
        <stp/>
        <stp>bse_cm|975IML26</stp>
        <stp>ATP</stp>
        <tr r="K646" s="1"/>
      </tp>
      <tp t="s">
        <v>00:00:00</v>
        <stp/>
        <stp>bse_cm|905LTF27</stp>
        <stp>LTT</stp>
        <tr r="I394" s="1"/>
      </tp>
      <tp>
        <v>0</v>
        <stp/>
        <stp>bse_cm|875KFL25</stp>
        <stp>ATP</stp>
        <tr r="K50" s="1"/>
      </tp>
      <tp t="s">
        <v>00:00:00</v>
        <stp/>
        <stp>bse_cm|935ONE26</stp>
        <stp>LTT</stp>
        <tr r="I1173" s="1"/>
      </tp>
      <tp>
        <v>0</v>
        <stp/>
        <stp>bse_cm|875KFL26</stp>
        <stp>ATP</stp>
        <tr r="K1156" s="1"/>
      </tp>
      <tp>
        <v>975.07</v>
        <stp/>
        <stp>bse_cm|775MFL26</stp>
        <stp>ATP</stp>
        <tr r="K328" s="1"/>
      </tp>
      <tp>
        <v>0</v>
        <stp/>
        <stp>bse_cm|975NFL25</stp>
        <stp>ATP</stp>
        <tr r="K623" s="1"/>
      </tp>
      <tp>
        <v>0</v>
        <stp/>
        <stp>bse_cm|875MFL26</stp>
        <stp>ATP</stp>
        <tr r="K161" s="1"/>
      </tp>
      <tp>
        <v>0</v>
        <stp/>
        <stp>bse_cm|905LTF27</stp>
        <stp>LTP</stp>
        <tr r="H394" s="1"/>
      </tp>
      <tp>
        <v>0</v>
        <stp/>
        <stp>bse_cm|775MFL27</stp>
        <stp>ATP</stp>
        <tr r="K694" s="1"/>
      </tp>
      <tp>
        <v>0</v>
        <stp/>
        <stp>bse_cm|935ONE26</stp>
        <stp>LTP</stp>
        <tr r="H1173" s="1"/>
      </tp>
      <tp>
        <v>0</v>
        <stp/>
        <stp>bse_cm|775MFL25</stp>
        <stp>ATP</stp>
        <tr r="K1369" s="1"/>
      </tp>
      <tp>
        <v>0</v>
        <stp/>
        <stp>bse_cm|975MML25</stp>
        <stp>ATP</stp>
        <tr r="K852" s="1"/>
      </tp>
      <tp>
        <v>0</v>
        <stp/>
        <stp>bse_cm|975MFL25</stp>
        <stp>ATP</stp>
        <tr r="K855" s="1"/>
      </tp>
      <tp>
        <v>0</v>
        <stp/>
        <stp>bse_cm|875MFL28</stp>
        <stp>ATP</stp>
        <tr r="K689" s="1"/>
      </tp>
      <tp>
        <v>0</v>
        <stp/>
        <stp>bse_cm|975MFL29</stp>
        <stp>ATP</stp>
        <tr r="K683" s="1"/>
      </tp>
      <tp>
        <v>10</v>
        <stp/>
        <stp>bse_cm|975MFL24B</stp>
        <stp>Ask Qty</stp>
        <tr r="G415" s="1"/>
      </tp>
      <tp>
        <v>-100</v>
        <stp/>
        <stp>bse_cm|KFLZC29</stp>
        <stp>% Change</stp>
        <tr r="J1639" s="1"/>
      </tp>
      <tp t="s">
        <v>BSE</v>
        <stp/>
        <stp>bse_cm|903ONE26</stp>
        <stp>Exchange</stp>
        <tr r="C843" s="1"/>
      </tp>
      <tp>
        <v>300</v>
        <stp/>
        <stp>bse_cm|875MFL26A</stp>
        <stp>Ask Qty</stp>
        <tr r="G286" s="1"/>
      </tp>
      <tp>
        <v>50</v>
        <stp/>
        <stp>bse_cm|865MFL26A</stp>
        <stp>Ask Qty</stp>
        <tr r="G242" s="1"/>
      </tp>
      <tp>
        <v>981.95</v>
        <stp/>
        <stp>bse_cm|957VCL25</stp>
        <stp>Ask Rate</stp>
        <tr r="F53" s="1"/>
      </tp>
      <tp>
        <v>-100</v>
        <stp/>
        <stp>bse_cm|KFLZC28</stp>
        <stp>% Change</stp>
        <tr r="J1290" s="1"/>
      </tp>
      <tp t="s">
        <v>BSE</v>
        <stp/>
        <stp>bse_cm|772IGT31</stp>
        <stp>Exchange</stp>
        <tr r="C1194" s="1"/>
      </tp>
      <tp>
        <v>270</v>
        <stp/>
        <stp>bse_cm|995ECL29A</stp>
        <stp>Ask Qty</stp>
        <tr r="G152" s="1"/>
      </tp>
      <tp>
        <v>0</v>
        <stp/>
        <stp>bse_cm|971SCL28</stp>
        <stp>ATP</stp>
        <tr r="K1028" s="1"/>
      </tp>
      <tp>
        <v>0</v>
        <stp/>
        <stp>bse_cm|971SCL29</stp>
        <stp>ATP</stp>
        <tr r="K521" s="1"/>
      </tp>
      <tp>
        <v>0</v>
        <stp/>
        <stp>bse_cm|875KFL26A</stp>
        <stp>Ask Qty</stp>
        <tr r="G1155" s="1"/>
      </tp>
      <tp>
        <v>0</v>
        <stp/>
        <stp>bse_cm|925KFL26A</stp>
        <stp>Ask Qty</stp>
        <tr r="G1479" s="1"/>
      </tp>
      <tp>
        <v>0</v>
        <stp/>
        <stp>bse_cm|870MFL27</stp>
        <stp>ATP</stp>
        <tr r="K399" s="1"/>
      </tp>
      <tp>
        <v>0</v>
        <stp/>
        <stp>bse_cm|875KFL25A</stp>
        <stp>Ask Qty</stp>
        <tr r="G1157" s="1"/>
      </tp>
      <tp>
        <v>0</v>
        <stp/>
        <stp>bse_cm|847SCL25</stp>
        <stp>Ask Rate</stp>
        <tr r="F941" s="1"/>
      </tp>
      <tp t="s">
        <v>BSE</v>
        <stp/>
        <stp>bse_cm|943ECL28</stp>
        <stp>Exchange</stp>
        <tr r="C124" s="1"/>
      </tp>
      <tp>
        <v>0</v>
        <stp/>
        <stp>bse_cm|857SCL24</stp>
        <stp>Ask Rate</stp>
        <tr r="F1002" s="1"/>
      </tp>
      <tp>
        <v>0</v>
        <stp/>
        <stp>bse_cm|1025SF29</stp>
        <stp>LTP</stp>
        <tr r="H1409" s="1"/>
      </tp>
      <tp t="s">
        <v>00:00:00</v>
        <stp/>
        <stp>bse_cm|1025SF29</stp>
        <stp>LTT</stp>
        <tr r="I1409" s="1"/>
      </tp>
      <tp>
        <v>0</v>
        <stp/>
        <stp>nse_cm|875PCHFL26-N8</stp>
        <stp>Volume Traded Today</stp>
        <tr r="L271" s="1"/>
      </tp>
      <tp>
        <v>0</v>
        <stp/>
        <stp>nse_cm|875PCHFL31-N9</stp>
        <stp>Volume Traded Today</stp>
        <tr r="L1012" s="1"/>
      </tp>
      <tp>
        <v>951</v>
        <stp/>
        <stp>bse_cm|MFLVI32F</stp>
        <stp>High</stp>
        <tr r="N704" s="1"/>
      </tp>
      <tp t="s">
        <v/>
        <stp/>
        <stp>nse_cm|SCFL310524-ZE</stp>
        <stp>LTT</stp>
        <tr r="I1240" s="1"/>
      </tp>
      <tp>
        <v>0</v>
        <stp/>
        <stp>nse_cm|SCFL310524-ZE</stp>
        <stp>LTP</stp>
        <tr r="H1240" s="1"/>
      </tp>
      <tp>
        <v>0</v>
        <stp/>
        <stp>nse_cm|10SCL31A-ZO</stp>
        <stp xml:space="preserve">Low </stp>
        <tr r="O864" s="1"/>
      </tp>
      <tp>
        <v>1074</v>
        <stp/>
        <stp>nse_cm|865LTF26-NN</stp>
        <stp>Bid Rate</stp>
        <tr r="E392" s="1"/>
      </tp>
      <tp>
        <v>0</v>
        <stp/>
        <stp>bse_cm|975MFL29A</stp>
        <stp>Ask Qty</stp>
        <tr r="G854" s="1"/>
      </tp>
      <tp>
        <v>-100</v>
        <stp/>
        <stp>bse_cm|MFLZC27</stp>
        <stp>% Change</stp>
        <tr r="J1271" s="1"/>
      </tp>
      <tp>
        <v>-100</v>
        <stp/>
        <stp>bse_cm|KFLZC27</stp>
        <stp>% Change</stp>
        <tr r="J1292" s="1"/>
      </tp>
      <tp>
        <v>-100</v>
        <stp/>
        <stp>bse_cm|MFLII27</stp>
        <stp>% Change</stp>
        <tr r="J648" s="1"/>
      </tp>
      <tp>
        <v>0</v>
        <stp/>
        <stp>bse_cm|879SCL26</stp>
        <stp>ATP</stp>
        <tr r="K1351" s="1"/>
      </tp>
      <tp>
        <v>1158.8499999999999</v>
        <stp/>
        <stp>bse_cm|NWIL25</stp>
        <stp>Bid Rate</stp>
        <tr r="E1546" s="1"/>
      </tp>
      <tp>
        <v>205</v>
        <stp/>
        <stp>bse_cm|905MFL28A</stp>
        <stp>Ask Qty</stp>
        <tr r="G224" s="1"/>
      </tp>
      <tp>
        <v>-100</v>
        <stp/>
        <stp>bse_cm|SFLZC26</stp>
        <stp>% Change</stp>
        <tr r="J801" s="1"/>
      </tp>
      <tp>
        <v>-100</v>
        <stp/>
        <stp>bse_cm|MFLZC26</stp>
        <stp>% Change</stp>
        <tr r="J1720" s="1"/>
      </tp>
      <tp>
        <v>-100</v>
        <stp/>
        <stp>bse_cm|KFLZC26</stp>
        <stp>% Change</stp>
        <tr r="J1709" s="1"/>
      </tp>
      <tp>
        <v>0.06</v>
        <stp/>
        <stp>bse_cm|MFLVI26</stp>
        <stp>% Change</stp>
        <tr r="J1719" s="1"/>
      </tp>
      <tp>
        <v>-100</v>
        <stp/>
        <stp>bse_cm|MFLIV26</stp>
        <stp>% Change</stp>
        <tr r="J1500" s="1"/>
      </tp>
      <tp>
        <v>-100</v>
        <stp/>
        <stp>bse_cm|MFLII26</stp>
        <stp>% Change</stp>
        <tr r="J390" s="1"/>
      </tp>
      <tp t="s">
        <v/>
        <stp/>
        <stp>nse_cm|1003SCFL31-Z4</stp>
        <stp>LTT</stp>
        <tr r="I878" s="1"/>
      </tp>
      <tp>
        <v>0</v>
        <stp/>
        <stp>nse_cm|1003SCFL31-Z4</stp>
        <stp>LTP</stp>
        <tr r="H878" s="1"/>
      </tp>
      <tp>
        <v>-100</v>
        <stp/>
        <stp>bse_cm|SFLZC25</stp>
        <stp>% Change</stp>
        <tr r="J802" s="1"/>
      </tp>
      <tp>
        <v>-100</v>
        <stp/>
        <stp>bse_cm|MFLZC25</stp>
        <stp>% Change</stp>
        <tr r="J1683" s="1"/>
      </tp>
      <tp>
        <v>-100</v>
        <stp/>
        <stp>bse_cm|KFLZC25</stp>
        <stp>% Change</stp>
        <tr r="J1754" s="1"/>
      </tp>
      <tp>
        <v>-100</v>
        <stp/>
        <stp>bse_cm|MFLVI25</stp>
        <stp>% Change</stp>
        <tr r="J1707" s="1"/>
      </tp>
      <tp>
        <v>3.59</v>
        <stp/>
        <stp>bse_cm|MFLIV25</stp>
        <stp>% Change</stp>
        <tr r="J280" s="1"/>
      </tp>
      <tp>
        <v>1063.55</v>
        <stp/>
        <stp>bse_cm|NWIL27</stp>
        <stp>Bid Rate</stp>
        <tr r="E1439" s="1"/>
      </tp>
      <tp t="e">
        <v>#N/A</v>
        <stp/>
        <stp>bse_cm|SFLZC24</stp>
        <stp>% Change</stp>
        <tr r="J30" s="1"/>
      </tp>
      <tp>
        <v>-100</v>
        <stp/>
        <stp>bse_cm|KFLZC24</stp>
        <stp>% Change</stp>
        <tr r="J1766" s="1"/>
      </tp>
      <tp>
        <v>1593.88</v>
        <stp/>
        <stp>bse_cm|ECLZC24B</stp>
        <stp xml:space="preserve">Low </stp>
        <tr r="O1767" s="1"/>
      </tp>
      <tp t="s">
        <v>BSE</v>
        <stp/>
        <stp>bse_cm|903SFL28</stp>
        <stp>Exchange</stp>
        <tr r="C397" s="1"/>
      </tp>
      <tp>
        <v>1087</v>
        <stp/>
        <stp>bse_cm|NIDO27</stp>
        <stp>Bid Rate</stp>
        <tr r="E1661" s="1"/>
      </tp>
      <tp>
        <v>1560</v>
        <stp/>
        <stp>bse_cm|MFLZC24C</stp>
        <stp xml:space="preserve">Low </stp>
        <tr r="O1551" s="1"/>
      </tp>
      <tp t="s">
        <v>NSE</v>
        <stp/>
        <stp>nse_cm|865SCL24-ZA</stp>
        <stp>Exchange</stp>
        <tr r="C954" s="1"/>
      </tp>
      <tp>
        <v>920.2</v>
        <stp/>
        <stp>bse_cm|NIDO26</stp>
        <stp>Bid Rate</stp>
        <tr r="E1244" s="1"/>
      </tp>
      <tp>
        <v>141</v>
        <stp/>
        <stp>bse_cm|925SCL29A</stp>
        <stp>Ask Qty</stp>
        <tr r="G268" s="1"/>
      </tp>
      <tp>
        <v>1183.2</v>
        <stp/>
        <stp>bse_cm|NIDO25</stp>
        <stp>Bid Rate</stp>
        <tr r="E1726" s="1"/>
      </tp>
      <tp>
        <v>1000</v>
        <stp/>
        <stp>bse_cm|10NIDO33</stp>
        <stp>Face Value</stp>
        <tr r="Q1447" s="1"/>
      </tp>
      <tp>
        <v>1000</v>
        <stp/>
        <stp>bse_cm|10NIDO26</stp>
        <stp>Face Value</stp>
        <tr r="Q62" s="1"/>
      </tp>
      <tp>
        <v>1000</v>
        <stp/>
        <stp>bse_cm|10NIDO27</stp>
        <stp>Face Value</stp>
        <tr r="Q597" s="1"/>
      </tp>
      <tp>
        <v>0</v>
        <stp/>
        <stp>bse_cm|965SCL28A</stp>
        <stp>Ask Qty</stp>
        <tr r="G1136" s="1"/>
      </tp>
      <tp>
        <v>0</v>
        <stp/>
        <stp>bse_cm|925SCL28A</stp>
        <stp>Ask Qty</stp>
        <tr r="G938" s="1"/>
      </tp>
      <tp>
        <v>0</v>
        <stp/>
        <stp>bse_cm|965SCL28C</stp>
        <stp>Ask Qty</stp>
        <tr r="G818" s="1"/>
      </tp>
      <tp>
        <v>0</v>
        <stp/>
        <stp>bse_cm|925SCL28C</stp>
        <stp>Ask Qty</stp>
        <tr r="G824" s="1"/>
      </tp>
      <tp>
        <v>0</v>
        <stp/>
        <stp>bse_cm|965SCL28B</stp>
        <stp>Ask Qty</stp>
        <tr r="G896" s="1"/>
      </tp>
      <tp>
        <v>0</v>
        <stp/>
        <stp>bse_cm|925SCL28B</stp>
        <stp>Ask Qty</stp>
        <tr r="G894" s="1"/>
      </tp>
      <tp>
        <v>0</v>
        <stp/>
        <stp>bse_cm|925SCL28I</stp>
        <stp>Ask Qty</stp>
        <tr r="G822" s="1"/>
      </tp>
      <tp>
        <v>0</v>
        <stp/>
        <stp>nse_cm|860CIFCL28-NG</stp>
        <stp>Volume Traded Today</stp>
        <tr r="L647" s="1"/>
      </tp>
      <tp>
        <v>0</v>
        <stp/>
        <stp>nse_cm|850CIFCL26-NE</stp>
        <stp>Volume Traded Today</stp>
        <tr r="L450" s="1"/>
      </tp>
      <tp>
        <v>120</v>
        <stp/>
        <stp>nse_cm|840CIFCL28-N4</stp>
        <stp>Volume Traded Today</stp>
        <tr r="L556" s="1"/>
      </tp>
      <tp>
        <v>1055</v>
        <stp/>
        <stp>nse_cm|875CIFC23B-NJ</stp>
        <stp>LTP</stp>
        <tr r="H346" s="1"/>
      </tp>
      <tp t="s">
        <v/>
        <stp/>
        <stp>nse_cm|875CIFC23B-NJ</stp>
        <stp>LTT</stp>
        <tr r="I346" s="1"/>
      </tp>
      <tp>
        <v>1000</v>
        <stp/>
        <stp>bse_cm|950KLM25</stp>
        <stp>Face Value</stp>
        <tr r="Q1150" s="1"/>
      </tp>
      <tp>
        <v>990</v>
        <stp/>
        <stp>nse_cm|87SCL24A-ZF</stp>
        <stp>High</stp>
        <tr r="N959" s="1"/>
      </tp>
      <tp>
        <v>1589</v>
        <stp/>
        <stp>bse_cm|MFLZC24D</stp>
        <stp xml:space="preserve">Low </stp>
        <tr r="O1550" s="1"/>
      </tp>
      <tp t="s">
        <v>NSE</v>
        <stp/>
        <stp>nse_cm|866SFL25-ZE</stp>
        <stp>Exchange</stp>
        <tr r="C1389" s="1"/>
      </tp>
      <tp>
        <v>1353</v>
        <stp/>
        <stp>bse_cm|KFLZC24D</stp>
        <stp xml:space="preserve">Low </stp>
        <tr r="O1296" s="1"/>
      </tp>
      <tp>
        <v>1000</v>
        <stp/>
        <stp>bse_cm|9IIFL28A</stp>
        <stp>Face Value</stp>
        <tr r="Q218" s="1"/>
      </tp>
      <tp>
        <v>1000</v>
        <stp/>
        <stp>bse_cm|9ICCL23A</stp>
        <stp>Face Value</stp>
        <tr r="Q1434" s="1"/>
      </tp>
      <tp>
        <v>1000</v>
        <stp/>
        <stp>bse_cm|975KLM25</stp>
        <stp>Face Value</stp>
        <tr r="Q858" s="1"/>
      </tp>
      <tp>
        <v>19</v>
        <stp/>
        <stp>bse_cm|875SCL23A</stp>
        <stp>Ask Qty</stp>
        <tr r="G194" s="1"/>
      </tp>
      <tp>
        <v>0</v>
        <stp/>
        <stp>bse_cm|835SCL23A</stp>
        <stp>Ask Qty</stp>
        <tr r="G1104" s="1"/>
      </tp>
      <tp>
        <v>12</v>
        <stp/>
        <stp>bse_cm|835SCL23B</stp>
        <stp>Ask Qty</stp>
        <tr r="G167" s="1"/>
      </tp>
      <tp>
        <v>0</v>
        <stp/>
        <stp>bse_cm|87SCL24A</stp>
        <stp>Open</stp>
        <tr r="M1141" s="1"/>
      </tp>
      <tp>
        <v>0</v>
        <stp/>
        <stp>bse_cm|89SCL24A</stp>
        <stp>Open</stp>
        <tr r="M971" s="1"/>
      </tp>
      <tp>
        <v>0</v>
        <stp/>
        <stp>bse_cm|93SCL24A</stp>
        <stp>Open</stp>
        <tr r="M1361" s="1"/>
      </tp>
      <tp t="s">
        <v>NSE</v>
        <stp/>
        <stp>nse_cm|850SCL25-YL</stp>
        <stp>Exchange</stp>
        <tr r="C922" s="1"/>
      </tp>
      <tp>
        <v>1185</v>
        <stp/>
        <stp>bse_cm|IML23623</stp>
        <stp>High</stp>
        <tr r="N1327" s="1"/>
      </tp>
      <tp t="s">
        <v/>
        <stp/>
        <stp>nse_cm|1050ICCL28-NV</stp>
        <stp>LTT</stp>
        <tr r="I764" s="1"/>
      </tp>
      <tp>
        <v>1000</v>
        <stp/>
        <stp>bse_cm|68PFCL31</stp>
        <stp>Face Value</stp>
        <tr r="Q1205" s="1"/>
      </tp>
      <tp>
        <v>0</v>
        <stp/>
        <stp>nse_cm|1050ICCL28-NV</stp>
        <stp>LTP</stp>
        <tr r="H764" s="1"/>
      </tp>
      <tp t="s">
        <v/>
        <stp/>
        <stp>nse_cm|1003ISFL28-N4</stp>
        <stp>LTT</stp>
        <tr r="I197" s="1"/>
      </tp>
      <tp>
        <v>993</v>
        <stp/>
        <stp>nse_cm|1003ISFL28-N4</stp>
        <stp>LTP</stp>
        <tr r="H197" s="1"/>
      </tp>
      <tp>
        <v>950</v>
        <stp/>
        <stp>nse_cm|1003IIFL29-NC</stp>
        <stp>LTP</stp>
        <tr r="H1077" s="1"/>
      </tp>
      <tp t="s">
        <v/>
        <stp/>
        <stp>nse_cm|1003IIFL29-NC</stp>
        <stp>LTT</stp>
        <tr r="I1077" s="1"/>
      </tp>
      <tp>
        <v>0</v>
        <stp/>
        <stp>bse_cm|927MFL26</stp>
        <stp>Ask Rate</stp>
        <tr r="F1457" s="1"/>
      </tp>
      <tp>
        <v>950.2</v>
        <stp/>
        <stp>nse_cm|87SCL27A-ZK</stp>
        <stp>High</stp>
        <tr r="N1416" s="1"/>
      </tp>
      <tp>
        <v>0</v>
        <stp/>
        <stp>bse_cm|925SFL27A</stp>
        <stp>Ask Qty</stp>
        <tr r="G848" s="1"/>
      </tp>
      <tp>
        <v>0</v>
        <stp/>
        <stp>bse_cm|955SCL27A</stp>
        <stp>Ask Qty</stp>
        <tr r="G948" s="1"/>
      </tp>
      <tp>
        <v>0</v>
        <stp/>
        <stp>bse_cm|915SCL27A</stp>
        <stp>Ask Qty</stp>
        <tr r="G951" s="1"/>
      </tp>
      <tp t="s">
        <v>BSE</v>
        <stp/>
        <stp>bse_cm|833SCL24</stp>
        <stp>Exchange</stp>
        <tr r="C1180" s="1"/>
      </tp>
      <tp>
        <v>985</v>
        <stp/>
        <stp>bse_cm|967EFS28</stp>
        <stp>Ask Rate</stp>
        <tr r="F190" s="1"/>
      </tp>
      <tp>
        <v>0</v>
        <stp/>
        <stp>bse_cm|925SCL26D</stp>
        <stp>Ask Qty</stp>
        <tr r="G619" s="1"/>
      </tp>
      <tp>
        <v>0</v>
        <stp/>
        <stp>bse_cm|965SCL26A</stp>
        <stp>Ask Qty</stp>
        <tr r="G1481" s="1"/>
      </tp>
      <tp>
        <v>0</v>
        <stp/>
        <stp>bse_cm|925SCL26A</stp>
        <stp>Ask Qty</stp>
        <tr r="G990" s="1"/>
      </tp>
      <tp>
        <v>0</v>
        <stp/>
        <stp>bse_cm|925SCL26C</stp>
        <stp>Ask Qty</stp>
        <tr r="G725" s="1"/>
      </tp>
      <tp>
        <v>0</v>
        <stp/>
        <stp>bse_cm|925SCL26B</stp>
        <stp>Ask Qty</stp>
        <tr r="G1360" s="1"/>
      </tp>
      <tp>
        <v>1014.96</v>
        <stp/>
        <stp>bse_cm|IML16224</stp>
        <stp>High</stp>
        <tr r="N1499" s="1"/>
      </tp>
      <tp>
        <v>0</v>
        <stp/>
        <stp>bse_cm|MML11924</stp>
        <stp>High</stp>
        <tr r="N1536" s="1"/>
      </tp>
      <tp>
        <v>0</v>
        <stp/>
        <stp>bse_cm|96SFL24A</stp>
        <stp>Open</stp>
        <tr r="M633" s="1"/>
      </tp>
      <tp>
        <v>0</v>
        <stp/>
        <stp>bse_cm|IFL19424</stp>
        <stp>High</stp>
        <tr r="N1344" s="1"/>
      </tp>
      <tp>
        <v>25</v>
        <stp/>
        <stp>bse_cm|965SCL25E</stp>
        <stp>Ask Qty</stp>
        <tr r="G414" s="1"/>
      </tp>
      <tp>
        <v>0</v>
        <stp/>
        <stp>bse_cm|925SCL25G</stp>
        <stp>Ask Qty</stp>
        <tr r="G717" s="1"/>
      </tp>
      <tp>
        <v>0</v>
        <stp/>
        <stp>bse_cm|965SCL25F</stp>
        <stp>Ask Qty</stp>
        <tr r="G673" s="1"/>
      </tp>
      <tp>
        <v>0</v>
        <stp/>
        <stp>bse_cm|925SCL25F</stp>
        <stp>Ask Qty</stp>
        <tr r="G719" s="1"/>
      </tp>
      <tp>
        <v>1</v>
        <stp/>
        <stp>bse_cm|965SCL25A</stp>
        <stp>Ask Qty</stp>
        <tr r="G234" s="1"/>
      </tp>
      <tp>
        <v>0</v>
        <stp/>
        <stp>bse_cm|925SCL25A</stp>
        <stp>Ask Qty</stp>
        <tr r="G1515" s="1"/>
      </tp>
      <tp>
        <v>100</v>
        <stp/>
        <stp>bse_cm|965SCL25C</stp>
        <stp>Ask Qty</stp>
        <tr r="G506" s="1"/>
      </tp>
      <tp>
        <v>0</v>
        <stp/>
        <stp>bse_cm|925SCL25C</stp>
        <stp>Ask Qty</stp>
        <tr r="G676" s="1"/>
      </tp>
      <tp>
        <v>0</v>
        <stp/>
        <stp>bse_cm|965SCL25B</stp>
        <stp>Ask Qty</stp>
        <tr r="G1507" s="1"/>
      </tp>
      <tp>
        <v>0</v>
        <stp/>
        <stp>bse_cm|925SCL25B</stp>
        <stp>Ask Qty</stp>
        <tr r="G1490" s="1"/>
      </tp>
      <tp>
        <v>0</v>
        <stp/>
        <stp>bse_cm|925SCL25H</stp>
        <stp>Ask Qty</stp>
        <tr r="G886" s="1"/>
      </tp>
      <tp>
        <v>0</v>
        <stp/>
        <stp>bse_cm|925SCL25Z</stp>
        <stp>Ask Qty</stp>
        <tr r="G790" s="1"/>
      </tp>
      <tp>
        <v>901</v>
        <stp/>
        <stp>bse_cm|MML27524</stp>
        <stp>High</stp>
        <tr r="N1511" s="1"/>
      </tp>
      <tp t="s">
        <v>INE148I07OP8</v>
        <stp/>
        <stp>nse_cm|948SCL26I-AX</stp>
        <stp>Isin code</stp>
        <tr r="R1708" s="1"/>
      </tp>
      <tp>
        <v>0</v>
        <stp/>
        <stp>bse_cm|SFL27224</stp>
        <stp>High</stp>
        <tr r="N805" s="1"/>
      </tp>
      <tp>
        <v>1000</v>
        <stp/>
        <stp>nse_cm|SCL26-NA</stp>
        <stp>Prev Close</stp>
        <tr r="P919" s="1"/>
      </tp>
      <tp>
        <v>0</v>
        <stp/>
        <stp>bse_cm|865SCL24B</stp>
        <stp>Ask Qty</stp>
        <tr r="G953" s="1"/>
      </tp>
      <tp t="s">
        <v>BSE</v>
        <stp/>
        <stp>bse_cm|843SCL27</stp>
        <stp>Exchange</stp>
        <tr r="C928" s="1"/>
      </tp>
      <tp>
        <v>905.8</v>
        <stp/>
        <stp>bse_cm|NIDO28</stp>
        <stp>Bid Rate</stp>
        <tr r="E1243" s="1"/>
      </tp>
      <tp t="s">
        <v>985IIFL22-NC</v>
        <stp/>
        <stp>nse_cm|985IIFL22-NC</stp>
        <stp>Trading Symbol</stp>
        <tr r="B114" s="1"/>
      </tp>
      <tp>
        <v>826</v>
        <stp/>
        <stp>nse_cm|920IIFLS26-N8</stp>
        <stp xml:space="preserve">Low </stp>
        <tr r="O208" s="1"/>
      </tp>
      <tp t="s">
        <v>INE101Q08134</v>
        <stp/>
        <stp>bse_cm|1025MMF26A</stp>
        <stp>Isin code</stp>
        <tr r="R290" s="1"/>
      </tp>
      <tp>
        <v>1001</v>
        <stp/>
        <stp>nse_cm|960IIFLS26-N9</stp>
        <stp xml:space="preserve">Low </stp>
        <tr r="O1489" s="1"/>
      </tp>
      <tp t="s">
        <v>980ICCL28-NL</v>
        <stp/>
        <stp>nse_cm|980ICCL28-NL</stp>
        <stp>Trading Symbol</stp>
        <tr r="B780" s="1"/>
      </tp>
      <tp t="s">
        <v>985ICCL28-NO</v>
        <stp/>
        <stp>nse_cm|985ICCL28-NO</stp>
        <stp>Trading Symbol</stp>
        <tr r="B1605" s="1"/>
      </tp>
      <tp>
        <v>1890.55</v>
        <stp/>
        <stp>nse_cm|SCLZC26-NB</stp>
        <stp>LTP</stp>
        <tr r="H1717" s="1"/>
      </tp>
      <tp t="s">
        <v/>
        <stp/>
        <stp>nse_cm|SCLZC26-NB</stp>
        <stp>LTT</stp>
        <tr r="I1717" s="1"/>
      </tp>
      <tp t="s">
        <v>805ABFL28-N2</v>
        <stp/>
        <stp>nse_cm|805ABFL28-N2</stp>
        <stp>Trading Symbol</stp>
        <tr r="B477" s="1"/>
      </tp>
      <tp t="s">
        <v>957ICCL28-NW</v>
        <stp/>
        <stp>nse_cm|957ICCL28-NW</stp>
        <stp>Trading Symbol</stp>
        <tr r="B762" s="1"/>
      </tp>
      <tp>
        <v>-1.98</v>
        <stp/>
        <stp>bse_cm|10EFSL33B</stp>
        <stp>% Change</stp>
        <tr r="J136" s="1"/>
      </tp>
      <tp t="s">
        <v>INE244L07457</v>
        <stp/>
        <stp>bse_cm|965ICCL25I</stp>
        <stp>Isin code</stp>
        <tr r="R1430" s="1"/>
      </tp>
      <tp t="s">
        <v>940ICCL28-NN</v>
        <stp/>
        <stp>nse_cm|940ICCL28-NN</stp>
        <stp>Trading Symbol</stp>
        <tr r="B779" s="1"/>
      </tp>
      <tp>
        <v>-100</v>
        <stp/>
        <stp>bse_cm|10EFSL33A</stp>
        <stp>% Change</stp>
        <tr r="J140" s="1"/>
      </tp>
      <tp t="e">
        <v>#N/A</v>
        <stp/>
        <stp>bse_cm|1075IML24A</stp>
        <stp>Isin code</stp>
        <tr r="R32" s="1"/>
      </tp>
      <tp t="s">
        <v>910TCAP28-NA</v>
        <stp/>
        <stp>nse_cm|910TCAP28-NA</stp>
        <stp>Trading Symbol</stp>
        <tr r="B411" s="1"/>
      </tp>
      <tp t="s">
        <v>INE01I507489</v>
        <stp/>
        <stp>bse_cm|1125KLM26A</stp>
        <stp>Isin code</stp>
        <tr r="R1226" s="1"/>
      </tp>
      <tp t="s">
        <v>00:00:00</v>
        <stp/>
        <stp>bse_cm|920EFSL27A</stp>
        <stp>LTT</stp>
        <tr r="I685" s="1"/>
      </tp>
      <tp>
        <v>0</v>
        <stp/>
        <stp>bse_cm|920EFSL27A</stp>
        <stp>LTP</stp>
        <tr r="H685" s="1"/>
      </tp>
      <tp t="s">
        <v>INE532F07EB0</v>
        <stp/>
        <stp>bse_cm|EFSL25B</stp>
        <stp>Isin code</stp>
        <tr r="R1682" s="1"/>
      </tp>
      <tp t="s">
        <v>INE532F07DU2</v>
        <stp/>
        <stp>bse_cm|EFSL26B</stp>
        <stp>Isin code</stp>
        <tr r="R1564" s="1"/>
      </tp>
      <tp>
        <v>0</v>
        <stp/>
        <stp>bse_cm|960EFSL26C</stp>
        <stp>LTP</stp>
        <tr r="H137" s="1"/>
      </tp>
      <tp t="s">
        <v>00:00:00</v>
        <stp/>
        <stp>bse_cm|915EFSL26A</stp>
        <stp>LTT</stp>
        <tr r="I187" s="1"/>
      </tp>
      <tp>
        <v>0</v>
        <stp/>
        <stp>bse_cm|955EFSL26A</stp>
        <stp>LTP</stp>
        <tr r="H214" s="1"/>
      </tp>
      <tp t="s">
        <v>00:00:00</v>
        <stp/>
        <stp>bse_cm|920EFSL26B</stp>
        <stp>LTT</stp>
        <tr r="I247" s="1"/>
      </tp>
      <tp>
        <v>0</v>
        <stp/>
        <stp>bse_cm|955EFSL26B</stp>
        <stp>LTP</stp>
        <tr r="H666" s="1"/>
      </tp>
      <tp t="s">
        <v>11:13:32</v>
        <stp/>
        <stp>bse_cm|920EFSL26A</stp>
        <stp>LTT</stp>
        <tr r="I61" s="1"/>
      </tp>
      <tp t="s">
        <v>00:00:00</v>
        <stp/>
        <stp>bse_cm|960EFSL26C</stp>
        <stp>LTT</stp>
        <tr r="I137" s="1"/>
      </tp>
      <tp>
        <v>0</v>
        <stp/>
        <stp>bse_cm|915EFSL26A</stp>
        <stp>LTP</stp>
        <tr r="H187" s="1"/>
      </tp>
      <tp t="s">
        <v>00:00:00</v>
        <stp/>
        <stp>bse_cm|955EFSL26A</stp>
        <stp>LTT</stp>
        <tr r="I214" s="1"/>
      </tp>
      <tp>
        <v>0</v>
        <stp/>
        <stp>bse_cm|920EFSL26B</stp>
        <stp>LTP</stp>
        <tr r="H247" s="1"/>
      </tp>
      <tp t="s">
        <v>00:00:00</v>
        <stp/>
        <stp>bse_cm|955EFSL26B</stp>
        <stp>LTT</stp>
        <tr r="I666" s="1"/>
      </tp>
      <tp>
        <v>945</v>
        <stp/>
        <stp>bse_cm|920EFSL26A</stp>
        <stp>LTP</stp>
        <tr r="H61" s="1"/>
      </tp>
      <tp t="s">
        <v/>
        <stp/>
        <stp>nse_cm|SCLZC25-YN</stp>
        <stp>LTT</stp>
        <tr r="I1727" s="1"/>
      </tp>
      <tp>
        <v>1152.55</v>
        <stp/>
        <stp>nse_cm|SCLZC25-YN</stp>
        <stp>LTP</stp>
        <tr r="H1727" s="1"/>
      </tp>
      <tp>
        <v>993.8</v>
        <stp/>
        <stp>bse_cm|875EFSL24A</stp>
        <stp>LTP</stp>
        <tr r="H229" s="1"/>
      </tp>
      <tp t="s">
        <v>11:14:44</v>
        <stp/>
        <stp>bse_cm|875EFSL24A</stp>
        <stp>LTT</stp>
        <tr r="I229" s="1"/>
      </tp>
      <tp t="s">
        <v>00:00:00</v>
        <stp/>
        <stp>bse_cm|895EFSL25A</stp>
        <stp>LTT</stp>
        <tr r="I594" s="1"/>
      </tp>
      <tp>
        <v>0</v>
        <stp/>
        <stp>bse_cm|895EFSL25A</stp>
        <stp>LTP</stp>
        <tr r="H594" s="1"/>
      </tp>
      <tp>
        <v>889</v>
        <stp/>
        <stp>bse_cm|1026NHFL34</stp>
        <stp>ATP</stp>
        <tr r="K155" s="1"/>
      </tp>
      <tp>
        <v>0</v>
        <stp/>
        <stp>bse_cm|1075NIDO34</stp>
        <stp>ATP</stp>
        <tr r="K1021" s="1"/>
      </tp>
      <tp>
        <v>903.1</v>
        <stp/>
        <stp>bse_cm|1045NIDO33</stp>
        <stp>ATP</stp>
        <tr r="K71" s="1"/>
      </tp>
      <tp t="s">
        <v>MFCL160924</v>
        <stp/>
        <stp>bse_cm|MFCL160924</stp>
        <stp>Symbol</stp>
        <tr r="A572" s="1"/>
      </tp>
      <tp>
        <v>-100</v>
        <stp/>
        <stp>bse_cm|944MFL28A</stp>
        <stp>% Change</stp>
        <tr r="J1073" s="1"/>
      </tp>
      <tp>
        <v>-100</v>
        <stp/>
        <stp>bse_cm|905MFL28A</stp>
        <stp>% Change</stp>
        <tr r="J224" s="1"/>
      </tp>
      <tp t="s">
        <v>1075NIDO34</v>
        <stp/>
        <stp>bse_cm|1075NIDO34</stp>
        <stp>Symbol</stp>
        <tr r="A1021" s="1"/>
      </tp>
      <tp>
        <v>0</v>
        <stp/>
        <stp>nse_cm|891IIFCL34-N4</stp>
        <stp>Open</stp>
        <tr r="M516" s="1"/>
      </tp>
      <tp>
        <v>989</v>
        <stp/>
        <stp>nse_cm|1049DLS25A-Y5</stp>
        <stp>High</stp>
        <tr r="N44" s="1"/>
      </tp>
      <tp t="s">
        <v>1003ICCL28</v>
        <stp/>
        <stp>bse_cm|1003ICCL28</stp>
        <stp>Symbol</stp>
        <tr r="A655" s="1"/>
      </tp>
      <tp>
        <v>980</v>
        <stp/>
        <stp>bse_cm|967EFSL29A</stp>
        <stp>LTP</stp>
        <tr r="H180" s="1"/>
      </tp>
      <tp t="s">
        <v>09:17:27</v>
        <stp/>
        <stp>bse_cm|967EFSL29A</stp>
        <stp>LTT</stp>
        <tr r="I180" s="1"/>
      </tp>
      <tp>
        <v>931.1</v>
        <stp/>
        <stp>bse_cm|967EFSL28A</stp>
        <stp>LTP</stp>
        <tr r="H172" s="1"/>
      </tp>
      <tp t="s">
        <v>00:00:00</v>
        <stp/>
        <stp>bse_cm|967EFSL28D</stp>
        <stp>LTT</stp>
        <tr r="I168" s="1"/>
      </tp>
      <tp t="s">
        <v>10:23:34</v>
        <stp/>
        <stp>bse_cm|967EFSL28A</stp>
        <stp>LTT</stp>
        <tr r="I172" s="1"/>
      </tp>
      <tp>
        <v>0</v>
        <stp/>
        <stp>bse_cm|967EFSL28D</stp>
        <stp>LTP</stp>
        <tr r="H168" s="1"/>
      </tp>
      <tp>
        <v>0</v>
        <stp/>
        <stp>nse_cm|875PCHFL31-N9</stp>
        <stp>High</stp>
        <tr r="N1012" s="1"/>
      </tp>
      <tp>
        <v>1001.1</v>
        <stp/>
        <stp>nse_cm|875PCHFL26-N8</stp>
        <stp>High</stp>
        <tr r="N271" s="1"/>
      </tp>
      <tp t="s">
        <v>1050SCFL31</v>
        <stp/>
        <stp>bse_cm|1050SCFL31</stp>
        <stp>Symbol</stp>
        <tr r="A1123" s="1"/>
      </tp>
      <tp t="s">
        <v>1050KAFL27</v>
        <stp/>
        <stp>bse_cm|1050KAFL27</stp>
        <stp>Symbol</stp>
        <tr r="A1160" s="1"/>
      </tp>
      <tp t="s">
        <v>1050KAFL25</v>
        <stp/>
        <stp>bse_cm|1050KAFL25</stp>
        <stp>Symbol</stp>
        <tr r="A1161" s="1"/>
      </tp>
      <tp t="s">
        <v>1050KAFL28</v>
        <stp/>
        <stp>bse_cm|1050KAFL28</stp>
        <stp>Symbol</stp>
        <tr r="A610" s="1"/>
      </tp>
      <tp t="s">
        <v>1050ISFL28</v>
        <stp/>
        <stp>bse_cm|1050ISFL28</stp>
        <stp>Symbol</stp>
        <tr r="A1497" s="1"/>
      </tp>
      <tp t="s">
        <v>1050IIFL29</v>
        <stp/>
        <stp>bse_cm|1050IIFL29</stp>
        <stp>Symbol</stp>
        <tr r="A763" s="1"/>
      </tp>
      <tp t="s">
        <v>1050NHFL29</v>
        <stp/>
        <stp>bse_cm|1050NHFL29</stp>
        <stp>Symbol</stp>
        <tr r="A1125" s="1"/>
      </tp>
      <tp t="s">
        <v>975MVAFL25</v>
        <stp/>
        <stp>bse_cm|975MVAFL25</stp>
        <stp>Symbol</stp>
        <tr r="A458" s="1"/>
      </tp>
      <tp>
        <v>980</v>
        <stp/>
        <stp>bse_cm|SFL30</stp>
        <stp>Bid Rate</stp>
        <tr r="E1597" s="1"/>
      </tp>
      <tp t="s">
        <v>104SMCGS29</v>
        <stp/>
        <stp>bse_cm|104SMCGS29</stp>
        <stp>Symbol</stp>
        <tr r="A206" s="1"/>
      </tp>
      <tp t="s">
        <v>994SMCGS29</v>
        <stp/>
        <stp>bse_cm|994SMCGS29</stp>
        <stp>Symbol</stp>
        <tr r="A221" s="1"/>
      </tp>
      <tp t="s">
        <v>125ICLFL28</v>
        <stp/>
        <stp>bse_cm|125ICLFL28</stp>
        <stp>Symbol</stp>
        <tr r="A264" s="1"/>
      </tp>
      <tp t="s">
        <v>115ICLFL25</v>
        <stp/>
        <stp>bse_cm|115ICLFL25</stp>
        <stp>Symbol</stp>
        <tr r="A1223" s="1"/>
      </tp>
      <tp t="s">
        <v>850CIFCL26</v>
        <stp/>
        <stp>bse_cm|850CIFCL26</stp>
        <stp>Symbol</stp>
        <tr r="A1164" s="1"/>
      </tp>
      <tp t="s">
        <v>840CIFCL28</v>
        <stp/>
        <stp>bse_cm|840CIFCL28</stp>
        <stp>Symbol</stp>
        <tr r="A419" s="1"/>
      </tp>
      <tp t="s">
        <v>860CIFCL28</v>
        <stp/>
        <stp>bse_cm|860CIFCL28</stp>
        <stp>Symbol</stp>
        <tr r="A1431" s="1"/>
      </tp>
      <tp>
        <v>-100</v>
        <stp/>
        <stp>bse_cm|CIFCZC26A</stp>
        <stp>% Change</stp>
        <tr r="J737" s="1"/>
      </tp>
      <tp>
        <v>910.2</v>
        <stp/>
        <stp>bse_cm|KFL30</stp>
        <stp>Bid Rate</stp>
        <tr r="E1298" s="1"/>
      </tp>
      <tp>
        <v>860.2</v>
        <stp/>
        <stp>bse_cm|KFL31</stp>
        <stp>Bid Rate</stp>
        <tr r="E1297" s="1"/>
      </tp>
      <tp>
        <v>1050.02</v>
        <stp/>
        <stp>bse_cm|MFL30</stp>
        <stp>Bid Rate</stp>
        <tr r="E1460" s="1"/>
      </tp>
      <tp>
        <v>854.2</v>
        <stp/>
        <stp>bse_cm|MML30</stp>
        <stp>Bid Rate</stp>
        <tr r="E1525" s="1"/>
      </tp>
      <tp>
        <v>939</v>
        <stp/>
        <stp>nse_cm|957IIFLS27-NA</stp>
        <stp xml:space="preserve">Low </stp>
        <tr r="O1495" s="1"/>
      </tp>
      <tp>
        <v>980.02</v>
        <stp/>
        <stp>bse_cm|MFL31</stp>
        <stp>Bid Rate</stp>
        <tr r="E701" s="1"/>
      </tp>
      <tp t="s">
        <v>875PCHFL26</v>
        <stp/>
        <stp>bse_cm|875PCHFL26</stp>
        <stp>Symbol</stp>
        <tr r="A331" s="1"/>
      </tp>
      <tp t="s">
        <v>875PCHFL31</v>
        <stp/>
        <stp>bse_cm|875PCHFL31</stp>
        <stp>Symbol</stp>
        <tr r="A1172" s="1"/>
      </tp>
      <tp>
        <v>0</v>
        <stp/>
        <stp>bse_cm|SCL25B</stp>
        <stp>Ask Rate</stp>
        <tr r="F1544" s="1"/>
      </tp>
      <tp>
        <v>0</v>
        <stp/>
        <stp>nse_cm|858HUDCO29-NC</stp>
        <stp>ATP</stp>
        <tr r="K1636" s="1"/>
      </tp>
      <tp>
        <v>0</v>
        <stp/>
        <stp>nse_cm|1075SCL33A-N2</stp>
        <stp>ATP</stp>
        <tr r="K630" s="1"/>
      </tp>
      <tp>
        <v>0</v>
        <stp/>
        <stp>bse_cm|SCL25A</stp>
        <stp>Ask Rate</stp>
        <tr r="F1238" s="1"/>
      </tp>
      <tp>
        <v>0</v>
        <stp/>
        <stp>nse_cm|1075SCL33B-NW</stp>
        <stp>ATP</stp>
        <tr r="K889" s="1"/>
      </tp>
      <tp>
        <v>0</v>
        <stp/>
        <stp>nse_cm|1003ICCL28-NX</stp>
        <stp>Volume Traded Today</stp>
        <tr r="L553" s="1"/>
      </tp>
      <tp>
        <v>976.21</v>
        <stp/>
        <stp>bse_cm|MFLIII25</stp>
        <stp>High</stp>
        <tr r="N1501" s="1"/>
      </tp>
      <tp>
        <v>0</v>
        <stp/>
        <stp>bse_cm|SFL25B</stp>
        <stp>Ask Rate</stp>
        <tr r="F1433" s="1"/>
      </tp>
      <tp>
        <v>0</v>
        <stp/>
        <stp>bse_cm|SFL25A</stp>
        <stp>Ask Rate</stp>
        <tr r="F812" s="1"/>
      </tp>
      <tp>
        <v>0</v>
        <stp/>
        <stp>nse_cm|1050IIFL29-ND</stp>
        <stp>Volume Traded Today</stp>
        <tr r="L585" s="1"/>
      </tp>
      <tp>
        <v>70</v>
        <stp/>
        <stp>nse_cm|1050ISFL28-N5</stp>
        <stp>Volume Traded Today</stp>
        <tr r="L1591" s="1"/>
      </tp>
      <tp>
        <v>1000</v>
        <stp/>
        <stp>bse_cm|97SFL26A</stp>
        <stp>Face Value</stp>
        <tr r="Q1089" s="1"/>
      </tp>
      <tp>
        <v>882.8</v>
        <stp/>
        <stp>bse_cm|MFL31A</stp>
        <stp>Bid Rate</stp>
        <tr r="E1275" s="1"/>
      </tp>
      <tp>
        <v>977.8</v>
        <stp/>
        <stp>bse_cm|KFL27A</stp>
        <stp>Bid Rate</stp>
        <tr r="E1302" s="1"/>
      </tp>
      <tp>
        <v>1000</v>
        <stp/>
        <stp>bse_cm|96SFL24A</stp>
        <stp>Face Value</stp>
        <tr r="Q633" s="1"/>
      </tp>
      <tp t="s">
        <v>BSE</v>
        <stp/>
        <stp>bse_cm|905SC24B</stp>
        <stp>Exchange</stp>
        <tr r="C684" s="1"/>
      </tp>
      <tp>
        <v>932.8</v>
        <stp/>
        <stp>bse_cm|KFL27B</stp>
        <stp>Bid Rate</stp>
        <tr r="E1301" s="1"/>
      </tp>
      <tp>
        <v>1000</v>
        <stp/>
        <stp>bse_cm|95KFL27A</stp>
        <stp>Face Value</stp>
        <tr r="Q132" s="1"/>
      </tp>
      <tp>
        <v>911</v>
        <stp/>
        <stp>bse_cm|KFL27C</stp>
        <stp>Bid Rate</stp>
        <tr r="E1300" s="1"/>
      </tp>
      <tp>
        <v>1000</v>
        <stp/>
        <stp>bse_cm|94MFL27A</stp>
        <stp>Face Value</stp>
        <tr r="Q420" s="1"/>
      </tp>
      <tp>
        <v>1000</v>
        <stp/>
        <stp>bse_cm|93SCL24A</stp>
        <stp>Face Value</stp>
        <tr r="Q1361" s="1"/>
      </tp>
      <tp>
        <v>995.99</v>
        <stp/>
        <stp>bse_cm|10MFCL30</stp>
        <stp>High</stp>
        <tr r="N1091" s="1"/>
      </tp>
      <tp>
        <v>1076</v>
        <stp/>
        <stp>nse_cm|99IFCI24-NH</stp>
        <stp>Bid Rate</stp>
        <tr r="E39" s="1"/>
      </tp>
      <tp>
        <v>-100</v>
        <stp/>
        <stp>bse_cm|CAGL25A</stp>
        <stp>% Change</stp>
        <tr r="J1701" s="1"/>
      </tp>
      <tp>
        <v>0</v>
        <stp/>
        <stp>bse_cm|97EFSL31</stp>
        <stp>ATP</stp>
        <tr r="K635" s="1"/>
      </tp>
      <tp>
        <v>0</v>
        <stp/>
        <stp>bse_cm|709REC30</stp>
        <stp>Volume Traded Today</stp>
        <tr r="L564" s="1"/>
      </tp>
      <tp>
        <v>0</v>
        <stp/>
        <stp>nse_cm|1050SCFL31-Z2</stp>
        <stp>Volume Traded Today</stp>
        <tr r="L868" s="1"/>
      </tp>
      <tp>
        <v>0</v>
        <stp/>
        <stp>bse_cm|9IIFL28A</stp>
        <stp>ATP</stp>
        <tr r="K218" s="1"/>
      </tp>
      <tp t="s">
        <v>BSE</v>
        <stp/>
        <stp>bse_cm|9SCL26BA</stp>
        <stp>Exchange</stp>
        <tr r="C160" s="1"/>
      </tp>
      <tp>
        <v>0</v>
        <stp/>
        <stp>bse_cm|85CIFC27</stp>
        <stp>LTP</stp>
        <tr r="H974" s="1"/>
      </tp>
      <tp t="s">
        <v>00:00:00</v>
        <stp/>
        <stp>bse_cm|85CIFC27</stp>
        <stp>LTT</stp>
        <tr r="I974" s="1"/>
      </tp>
      <tp>
        <v>0</v>
        <stp/>
        <stp>bse_cm|9ICCL23A</stp>
        <stp>ATP</stp>
        <tr r="K1434" s="1"/>
      </tp>
      <tp>
        <v>0</v>
        <stp/>
        <stp>bse_cm|852LTF27</stp>
        <stp>Volume Traded Today</stp>
        <tr r="L983" s="1"/>
      </tp>
      <tp>
        <v>0</v>
        <stp/>
        <stp>bse_cm|IML23623</stp>
        <stp>ATP</stp>
        <tr r="K1327" s="1"/>
      </tp>
      <tp>
        <v>952.8</v>
        <stp/>
        <stp>bse_cm|MFLTDI25</stp>
        <stp>High</stp>
        <tr r="N1476" s="1"/>
      </tp>
      <tp>
        <v>1110</v>
        <stp/>
        <stp>bse_cm|MFLVII27</stp>
        <stp>High</stp>
        <tr r="N1397" s="1"/>
      </tp>
      <tp>
        <v>0</v>
        <stp/>
        <stp>bse_cm|961ONE27</stp>
        <stp>Volume Traded Today</stp>
        <tr r="L628" s="1"/>
      </tp>
      <tp>
        <v>-100</v>
        <stp/>
        <stp>bse_cm|KFLZC2A</stp>
        <stp>% Change</stp>
        <tr r="J1760" s="1"/>
      </tp>
      <tp>
        <v>-100</v>
        <stp/>
        <stp>bse_cm|0MML29A</stp>
        <stp>% Change</stp>
        <tr r="J1040" s="1"/>
      </tp>
      <tp>
        <v>1020.2</v>
        <stp/>
        <stp>bse_cm|99JFPL25</stp>
        <stp xml:space="preserve">Low </stp>
        <tr r="O1670" s="1"/>
      </tp>
      <tp>
        <v>0</v>
        <stp/>
        <stp>bse_cm|966ONE29</stp>
        <stp>Volume Traded Today</stp>
        <tr r="L281" s="1"/>
      </tp>
      <tp t="s">
        <v/>
        <stp/>
        <stp>nse_cm|810TCHFL27-ND</stp>
        <stp>LTT</stp>
        <tr r="I1016" s="1"/>
      </tp>
      <tp>
        <v>0</v>
        <stp/>
        <stp>nse_cm|810TCHFL27-ND</stp>
        <stp>LTP</stp>
        <tr r="H1016" s="1"/>
      </tp>
      <tp>
        <v>0</v>
        <stp/>
        <stp>nse_cm|971SCL29A-ZN</stp>
        <stp>% Change</stp>
        <tr r="J861" s="1"/>
      </tp>
      <tp>
        <v>0</v>
        <stp/>
        <stp>nse_cm|957IIFLS27-NA</stp>
        <stp>ATP</stp>
        <tr r="K1495" s="1"/>
      </tp>
      <tp>
        <v>0</v>
        <stp/>
        <stp>bse_cm|965SCL28</stp>
        <stp>ATP</stp>
        <tr r="K1138" s="1"/>
      </tp>
      <tp>
        <v>0</v>
        <stp/>
        <stp>bse_cm|965SCL29</stp>
        <stp>ATP</stp>
        <tr r="K816" s="1"/>
      </tp>
      <tp>
        <v>0</v>
        <stp/>
        <stp>bse_cm|865SCL24</stp>
        <stp>ATP</stp>
        <tr r="K1165" s="1"/>
      </tp>
      <tp>
        <v>0</v>
        <stp/>
        <stp>bse_cm|965SCL25</stp>
        <stp>ATP</stp>
        <tr r="K1105" s="1"/>
      </tp>
      <tp>
        <v>0</v>
        <stp/>
        <stp>bse_cm|865SCL26</stp>
        <stp>ATP</stp>
        <tr r="K627" s="1"/>
      </tp>
      <tp>
        <v>0</v>
        <stp/>
        <stp>bse_cm|965SCL26</stp>
        <stp>ATP</stp>
        <tr r="K665" s="1"/>
      </tp>
      <tp>
        <v>0</v>
        <stp/>
        <stp>bse_cm|965VCL25</stp>
        <stp>ATP</stp>
        <tr r="K1543" s="1"/>
      </tp>
      <tp>
        <v>0</v>
        <stp/>
        <stp>bse_cm|975KLM25</stp>
        <stp>ATP</stp>
        <tr r="K858" s="1"/>
      </tp>
      <tp t="s">
        <v>00:00:00</v>
        <stp/>
        <stp>bse_cm|815LTF24</stp>
        <stp>LTT</stp>
        <tr r="I1167" s="1"/>
      </tp>
      <tp>
        <v>0</v>
        <stp/>
        <stp>bse_cm|965MML25</stp>
        <stp>ATP</stp>
        <tr r="K1107" s="1"/>
      </tp>
      <tp>
        <v>0</v>
        <stp/>
        <stp>bse_cm|815LTF24</stp>
        <stp>LTP</stp>
        <tr r="H1167" s="1"/>
      </tp>
      <tp>
        <v>0</v>
        <stp/>
        <stp>bse_cm|965AEL27</stp>
        <stp>ATP</stp>
        <tr r="K370" s="1"/>
      </tp>
      <tp t="s">
        <v>BSE</v>
        <stp/>
        <stp>bse_cm|852LTF27</stp>
        <stp>Exchange</stp>
        <tr r="C983" s="1"/>
      </tp>
      <tp>
        <v>0</v>
        <stp/>
        <stp>bse_cm|865IFL28</stp>
        <stp>ATP</stp>
        <tr r="K115" s="1"/>
      </tp>
      <tp t="s">
        <v>BSE</v>
        <stp/>
        <stp>bse_cm|922ONE25</stp>
        <stp>Exchange</stp>
        <tr r="C1111" s="1"/>
      </tp>
      <tp>
        <v>0</v>
        <stp/>
        <stp>bse_cm|957SCL31</stp>
        <stp>Ask Rate</stp>
        <tr r="F1108" s="1"/>
      </tp>
      <tp>
        <v>0</v>
        <stp/>
        <stp>bse_cm|957SCL30</stp>
        <stp>Ask Rate</stp>
        <tr r="F1110" s="1"/>
      </tp>
      <tp>
        <v>984</v>
        <stp/>
        <stp>bse_cm|866SCL25</stp>
        <stp>ATP</stp>
        <tr r="K603" s="1"/>
      </tp>
      <tp>
        <v>0</v>
        <stp/>
        <stp>bse_cm|866SFL25</stp>
        <stp>ATP</stp>
        <tr r="K1652" s="1"/>
      </tp>
      <tp>
        <v>0</v>
        <stp/>
        <stp>bse_cm|926ONE29</stp>
        <stp>LTP</stp>
        <tr r="H1467" s="1"/>
      </tp>
      <tp t="s">
        <v>00:00:00</v>
        <stp/>
        <stp>bse_cm|926ONE29</stp>
        <stp>LTT</stp>
        <tr r="I1467" s="1"/>
      </tp>
      <tp t="e">
        <v>#N/A</v>
        <stp/>
        <stp>bse_cm|975SFL024</stp>
        <stp>Bid Qty</stp>
        <tr r="D31" s="1"/>
      </tp>
      <tp>
        <v>100</v>
        <stp/>
        <stp>bse_cm|104ECL29A</stp>
        <stp>Ask Qty</stp>
        <tr r="G79" s="1"/>
      </tp>
      <tp>
        <v>25</v>
        <stp/>
        <stp>bse_cm|MFLTDVI25</stp>
        <stp>Bid Qty</stp>
        <tr r="D1686" s="1"/>
      </tp>
      <tp>
        <v>170</v>
        <stp/>
        <stp>bse_cm|MFLTDII27</stp>
        <stp>Bid Qty</stp>
        <tr r="D297" s="1"/>
      </tp>
      <tp t="s">
        <v>00:00:00</v>
        <stp/>
        <stp>bse_cm|921ONE27</stp>
        <stp>LTT</stp>
        <tr r="I1428" s="1"/>
      </tp>
      <tp>
        <v>0</v>
        <stp/>
        <stp>bse_cm|921ONE27</stp>
        <stp>LTP</stp>
        <tr r="H1428" s="1"/>
      </tp>
      <tp>
        <v>0</v>
        <stp/>
        <stp>bse_cm|921ONE29</stp>
        <stp>LTP</stp>
        <tr r="H1112" s="1"/>
      </tp>
      <tp>
        <v>1030</v>
        <stp/>
        <stp>nse_cm|903SFL28-YI</stp>
        <stp>Ask Rate</stp>
        <tr r="F372" s="1"/>
      </tp>
      <tp t="s">
        <v>00:00:00</v>
        <stp/>
        <stp>bse_cm|921ONE29</stp>
        <stp>LTT</stp>
        <tr r="I1112" s="1"/>
      </tp>
      <tp>
        <v>1000</v>
        <stp/>
        <stp>nse_cm|CIF27-NM</stp>
        <stp>Face Value</stp>
        <tr r="Q1665" s="1"/>
      </tp>
      <tp t="s">
        <v>NSE</v>
        <stp/>
        <stp>nse_cm|843SCL27-YS</stp>
        <stp>Exchange</stp>
        <tr r="C944" s="1"/>
      </tp>
      <tp>
        <v>0</v>
        <stp/>
        <stp>bse_cm|760MFL25</stp>
        <stp>ATP</stp>
        <tr r="K482" s="1"/>
      </tp>
      <tp>
        <v>1035</v>
        <stp/>
        <stp>bse_cm|866SFL25</stp>
        <stp>Ask Rate</stp>
        <tr r="F1652" s="1"/>
      </tp>
      <tp>
        <v>0</v>
        <stp/>
        <stp>bse_cm|866SCL25</stp>
        <stp>Ask Rate</stp>
        <tr r="F603" s="1"/>
      </tp>
      <tp>
        <v>0</v>
        <stp/>
        <stp>bse_cm|916SCL25</stp>
        <stp>Ask Rate</stp>
        <tr r="F964" s="1"/>
      </tp>
      <tp t="s">
        <v>NSE</v>
        <stp/>
        <stp>nse_cm|940SCL27-YS</stp>
        <stp>Exchange</stp>
        <tr r="C842" s="1"/>
      </tp>
      <tp>
        <v>0</v>
        <stp/>
        <stp>bse_cm|743REC35</stp>
        <stp>LTP</stp>
        <tr r="H513" s="1"/>
      </tp>
      <tp t="s">
        <v>00:00:00</v>
        <stp/>
        <stp>bse_cm|743REC35</stp>
        <stp>LTT</stp>
        <tr r="I513" s="1"/>
      </tp>
      <tp t="s">
        <v>00:00:00</v>
        <stp/>
        <stp>bse_cm|922ONE25</stp>
        <stp>LTT</stp>
        <tr r="I1111" s="1"/>
      </tp>
      <tp>
        <v>0</v>
        <stp/>
        <stp>bse_cm|922ONE25</stp>
        <stp>LTP</stp>
        <tr r="H1111" s="1"/>
      </tp>
      <tp>
        <v>0</v>
        <stp/>
        <stp>bse_cm|IFL19424</stp>
        <stp>Volume Traded Today</stp>
        <tr r="L1344" s="1"/>
      </tp>
      <tp>
        <v>0</v>
        <stp/>
        <stp>nse_cm|833SCL24-ZE</stp>
        <stp>Ask Rate</stp>
        <tr r="F957" s="1"/>
      </tp>
      <tp>
        <v>-100</v>
        <stp/>
        <stp>bse_cm|MFLZC32</stp>
        <stp>% Change</stp>
        <tr r="J1266" s="1"/>
      </tp>
      <tp>
        <v>0</v>
        <stp/>
        <stp>nse_cm|9TCAP28-N9</stp>
        <stp>% Change</stp>
        <tr r="J544" s="1"/>
      </tp>
      <tp>
        <v>655.4</v>
        <stp/>
        <stp>nse_cm|925SCL28-AM</stp>
        <stp>Bid Rate</stp>
        <tr r="E939" s="1"/>
      </tp>
      <tp>
        <v>1000</v>
        <stp/>
        <stp>bse_cm|SFL27224</stp>
        <stp>Prev Close</stp>
        <tr r="P805" s="1"/>
      </tp>
      <tp>
        <v>0</v>
        <stp/>
        <stp>bse_cm|93ARKA25</stp>
        <stp>Volume Traded Today</stp>
        <tr r="L1395" s="1"/>
      </tp>
      <tp>
        <v>0</v>
        <stp/>
        <stp>bse_cm|93ARKA26</stp>
        <stp>Volume Traded Today</stp>
        <tr r="L981" s="1"/>
      </tp>
      <tp>
        <v>-100</v>
        <stp/>
        <stp>bse_cm|KFLZC31</stp>
        <stp>% Change</stp>
        <tr r="J1286" s="1"/>
      </tp>
      <tp t="s">
        <v>NSE</v>
        <stp/>
        <stp>nse_cm|948SCL27-YV</stp>
        <stp>Exchange</stp>
        <tr r="C127" s="1"/>
      </tp>
      <tp>
        <v>-100</v>
        <stp/>
        <stp>bse_cm|MFLZC30</stp>
        <stp>% Change</stp>
        <tr r="J1267" s="1"/>
      </tp>
      <tp>
        <v>945</v>
        <stp/>
        <stp>nse_cm|1015SCFL29-YY</stp>
        <stp>LTP</stp>
        <tr r="H1455" s="1"/>
      </tp>
      <tp t="s">
        <v/>
        <stp/>
        <stp>nse_cm|1015SCFL29-YY</stp>
        <stp>LTT</stp>
        <tr r="I1455" s="1"/>
      </tp>
      <tp>
        <v>1079</v>
        <stp/>
        <stp>bse_cm|10MFL24B</stp>
        <stp xml:space="preserve">Low </stp>
        <tr r="O185" s="1"/>
      </tp>
      <tp>
        <v>0</v>
        <stp/>
        <stp>bse_cm|944MFL28A</stp>
        <stp>Ask Qty</stp>
        <tr r="G1073" s="1"/>
      </tp>
      <tp>
        <v>950</v>
        <stp/>
        <stp>nse_cm|9SCL26BA-NA</stp>
        <stp>LTP</stp>
        <tr r="H122" s="1"/>
      </tp>
      <tp t="s">
        <v/>
        <stp/>
        <stp>nse_cm|9SCL26BA-NA</stp>
        <stp>LTT</stp>
        <tr r="I122" s="1"/>
      </tp>
      <tp t="s">
        <v>BSE</v>
        <stp/>
        <stp>bse_cm|932AEL27</stp>
        <stp>Exchange</stp>
        <tr r="C317" s="1"/>
      </tp>
      <tp>
        <v>1089.8499999999999</v>
        <stp/>
        <stp>bse_cm|SCLZC25B</stp>
        <stp xml:space="preserve">Low </stp>
        <tr r="O1540" s="1"/>
      </tp>
      <tp>
        <v>1503.54</v>
        <stp/>
        <stp>bse_cm|MFLZC25B</stp>
        <stp xml:space="preserve">Low </stp>
        <tr r="O1273" s="1"/>
      </tp>
      <tp>
        <v>1696.5</v>
        <stp/>
        <stp>bse_cm|KFLZC25B</stp>
        <stp xml:space="preserve">Low </stp>
        <tr r="O1739" s="1"/>
      </tp>
      <tp>
        <v>0</v>
        <stp/>
        <stp>bse_cm|SCLZC25C</stp>
        <stp xml:space="preserve">Low </stp>
        <tr r="O1231" s="1"/>
      </tp>
      <tp>
        <v>1271</v>
        <stp/>
        <stp>bse_cm|MFLZC25C</stp>
        <stp xml:space="preserve">Low </stp>
        <tr r="O1579" s="1"/>
      </tp>
      <tp>
        <v>1284</v>
        <stp/>
        <stp>bse_cm|KFLZC25C</stp>
        <stp xml:space="preserve">Low </stp>
        <tr r="O1295" s="1"/>
      </tp>
      <tp t="s">
        <v>INE148I07RB1</v>
        <stp/>
        <stp>nse_cm|965SCL25F-NZ</stp>
        <stp>Isin code</stp>
        <tr r="R1362" s="1"/>
      </tp>
      <tp>
        <v>1095</v>
        <stp/>
        <stp>bse_cm|TCHF30</stp>
        <stp>Ask Rate</stp>
        <tr r="F423" s="1"/>
      </tp>
      <tp>
        <v>0</v>
        <stp/>
        <stp>bse_cm|SCLZC25A</stp>
        <stp xml:space="preserve">Low </stp>
        <tr r="O1233" s="1"/>
      </tp>
      <tp>
        <v>1472.3</v>
        <stp/>
        <stp>bse_cm|SFLZC25A</stp>
        <stp xml:space="preserve">Low </stp>
        <tr r="O1583" s="1"/>
      </tp>
      <tp>
        <v>1535</v>
        <stp/>
        <stp>bse_cm|MFLZC25A</stp>
        <stp xml:space="preserve">Low </stp>
        <tr r="O1757" s="1"/>
      </tp>
      <tp>
        <v>1655.45</v>
        <stp/>
        <stp>bse_cm|KFLZC25A</stp>
        <stp xml:space="preserve">Low </stp>
        <tr r="O1738" s="1"/>
      </tp>
      <tp>
        <v>15</v>
        <stp/>
        <stp>bse_cm|11ICLFL25</stp>
        <stp>Bid Qty</stp>
        <tr r="D452" s="1"/>
      </tp>
      <tp>
        <v>50</v>
        <stp/>
        <stp>bse_cm|12ICLFL26</stp>
        <stp>Bid Qty</stp>
        <tr r="D547" s="1"/>
      </tp>
      <tp>
        <v>1000</v>
        <stp/>
        <stp>bse_cm|950MML24</stp>
        <stp>Face Value</stp>
        <tr r="Q304" s="1"/>
      </tp>
      <tp>
        <v>1031.5999999999999</v>
        <stp/>
        <stp>bse_cm|SCLZC25F</stp>
        <stp xml:space="preserve">Low </stp>
        <tr r="O1542" s="1"/>
      </tp>
      <tp>
        <v>1000</v>
        <stp/>
        <stp>nse_cm|965IHFL25D-N7</stp>
        <stp>Face Value</stp>
        <tr r="Q1469" s="1"/>
      </tp>
      <tp>
        <v>881</v>
        <stp/>
        <stp>bse_cm|12IML26A</stp>
        <stp>High</stp>
        <tr r="N1212" s="1"/>
      </tp>
      <tp>
        <v>1000</v>
        <stp/>
        <stp>bse_cm|975IML26</stp>
        <stp>Face Value</stp>
        <tr r="Q646" s="1"/>
      </tp>
      <tp>
        <v>1000</v>
        <stp/>
        <stp>bse_cm|975MML25</stp>
        <stp>Face Value</stp>
        <tr r="Q852" s="1"/>
      </tp>
      <tp>
        <v>1035.58</v>
        <stp/>
        <stp>bse_cm|SCLZC25D</stp>
        <stp xml:space="preserve">Low </stp>
        <tr r="O1573" s="1"/>
      </tp>
      <tp>
        <v>0</v>
        <stp/>
        <stp>bse_cm|926ONE29</stp>
        <stp>Ask Rate</stp>
        <tr r="F1467" s="1"/>
      </tp>
      <tp>
        <v>1065</v>
        <stp/>
        <stp>bse_cm|966ONE29</stp>
        <stp>Ask Rate</stp>
        <tr r="F281" s="1"/>
      </tp>
      <tp>
        <v>1387.8</v>
        <stp/>
        <stp>bse_cm|MFLZC25D</stp>
        <stp xml:space="preserve">Low </stp>
        <tr r="O1520" s="1"/>
      </tp>
      <tp>
        <v>1223</v>
        <stp/>
        <stp>bse_cm|KFLZC25D</stp>
        <stp xml:space="preserve">Low </stp>
        <tr r="O1735" s="1"/>
      </tp>
      <tp t="s">
        <v>NSE</v>
        <stp/>
        <stp>nse_cm|875SFL27-ZF</stp>
        <stp>Exchange</stp>
        <tr r="C379" s="1"/>
      </tp>
      <tp>
        <v>625</v>
        <stp/>
        <stp>bse_cm|965MML25</stp>
        <stp>Face Value</stp>
        <tr r="Q1107" s="1"/>
      </tp>
      <tp>
        <v>0</v>
        <stp/>
        <stp>bse_cm|SCLZC25E</stp>
        <stp xml:space="preserve">Low </stp>
        <tr r="O907" s="1"/>
      </tp>
      <tp>
        <v>667</v>
        <stp/>
        <stp>nse_cm|966ICCL25A-NI</stp>
        <stp>Face Value</stp>
        <tr r="Q1461" s="1"/>
      </tp>
      <tp>
        <v>800</v>
        <stp/>
        <stp>nse_cm|866ICCL23A-NY</stp>
        <stp>Face Value</stp>
        <tr r="Q759" s="1"/>
      </tp>
      <tp>
        <v>1039</v>
        <stp/>
        <stp>bse_cm|KFLZC25E</stp>
        <stp xml:space="preserve">Low </stp>
        <tr r="O1530" s="1"/>
      </tp>
      <tp>
        <v>1029</v>
        <stp/>
        <stp>bse_cm|956AEL29</stp>
        <stp>Ask Rate</stp>
        <tr r="F311" s="1"/>
      </tp>
      <tp>
        <v>997</v>
        <stp/>
        <stp>bse_cm|916ONE27</stp>
        <stp>Ask Rate</stp>
        <tr r="F267" s="1"/>
      </tp>
      <tp>
        <v>1020</v>
        <stp/>
        <stp>bse_cm|797IGT31</stp>
        <stp>Ask Rate</stp>
        <tr r="F381" s="1"/>
      </tp>
      <tp>
        <v>1234</v>
        <stp/>
        <stp>bse_cm|MFLVIII26H</stp>
        <stp>Prev Close</stp>
        <tr r="P1575" s="1"/>
      </tp>
      <tp>
        <v>1105</v>
        <stp/>
        <stp>bse_cm|MFLVIII27H</stp>
        <stp>Prev Close</stp>
        <tr r="P1274" s="1"/>
      </tp>
      <tp>
        <v>1000</v>
        <stp/>
        <stp>nse_cm|AEL120924A-N5</stp>
        <stp>Face Value</stp>
        <tr r="Q1555" s="1"/>
      </tp>
      <tp>
        <v>13</v>
        <stp/>
        <stp>bse_cm|927MFL26A</stp>
        <stp>Bid Qty</stp>
        <tr r="D617" s="1"/>
      </tp>
      <tp>
        <v>0</v>
        <stp/>
        <stp>nse_cm|902SCL27-YU</stp>
        <stp>Ask Rate</stp>
        <tr r="F844" s="1"/>
      </tp>
      <tp>
        <v>0</v>
        <stp/>
        <stp>bse_cm|916ONE25</stp>
        <stp>Ask Rate</stp>
        <tr r="F965" s="1"/>
      </tp>
      <tp>
        <v>0</v>
        <stp/>
        <stp>bse_cm|886ONE25</stp>
        <stp>Ask Rate</stp>
        <tr r="F723" s="1"/>
      </tp>
      <tp>
        <v>0</v>
        <stp/>
        <stp>bse_cm|MFOPTVI24</stp>
        <stp>Ask Qty</stp>
        <tr r="G1547" s="1"/>
      </tp>
      <tp>
        <v>1000</v>
        <stp/>
        <stp>bse_cm|10KFL24D</stp>
        <stp>High</stp>
        <tr r="N1424" s="1"/>
      </tp>
      <tp t="s">
        <v>BSE</v>
        <stp/>
        <stp>bse_cm|792TCH25</stp>
        <stp>Exchange</stp>
        <tr r="C1188" s="1"/>
      </tp>
      <tp>
        <v>1000</v>
        <stp/>
        <stp>bse_cm|792TCH25</stp>
        <stp>Face Value</stp>
        <tr r="Q1188" s="1"/>
      </tp>
      <tp>
        <v>0</v>
        <stp/>
        <stp>nse_cm|851HUDCO28-NB</stp>
        <stp>Volume Traded Today</stp>
        <tr r="L502" s="1"/>
      </tp>
      <tp>
        <v>0</v>
        <stp/>
        <stp>nse_cm|901HUDCO34-NE</stp>
        <stp>Volume Traded Today</stp>
        <tr r="L517" s="1"/>
      </tp>
      <tp>
        <v>0</v>
        <stp/>
        <stp>nse_cm|93SCFL25-Z1</stp>
        <stp>Ask Rate</stp>
        <tr r="F946" s="1"/>
      </tp>
      <tp t="s">
        <v>BSE</v>
        <stp/>
        <stp>bse_cm|743REC35</stp>
        <stp>Exchange</stp>
        <tr r="C513" s="1"/>
      </tp>
      <tp>
        <v>0</v>
        <stp/>
        <stp>nse_cm|751HUDCO28-N5</stp>
        <stp>Volume Traded Today</stp>
        <tr r="L492" s="1"/>
      </tp>
      <tp>
        <v>945</v>
        <stp/>
        <stp>nse_cm|905SC24B-Z9</stp>
        <stp xml:space="preserve">Low </stp>
        <tr r="O637" s="1"/>
      </tp>
      <tp>
        <v>0</v>
        <stp/>
        <stp>bse_cm|85PFL26A</stp>
        <stp>Open</stp>
        <tr r="M711" s="1"/>
      </tp>
      <tp>
        <v>0</v>
        <stp/>
        <stp>nse_cm|939SCL27-ZZ</stp>
        <stp>Ask Rate</stp>
        <tr r="F982" s="1"/>
      </tp>
      <tp>
        <v>0</v>
        <stp/>
        <stp>bse_cm|894SCL25A</stp>
        <stp>Ask Qty</stp>
        <tr r="G1235" s="1"/>
      </tp>
      <tp t="s">
        <v>BSE</v>
        <stp/>
        <stp>bse_cm|902SCL26</stp>
        <stp>Exchange</stp>
        <tr r="C969" s="1"/>
      </tp>
      <tp>
        <v>0</v>
        <stp/>
        <stp>nse_cm|891IIFCL34-N4</stp>
        <stp>Volume Traded Today</stp>
        <tr r="L516" s="1"/>
      </tp>
      <tp>
        <v>0</v>
        <stp/>
        <stp>nse_cm|866ICCL23A-NY</stp>
        <stp>ATP</stp>
        <tr r="K759" s="1"/>
      </tp>
      <tp>
        <v>0</v>
        <stp/>
        <stp>nse_cm|966ICCL25A-NI</stp>
        <stp>ATP</stp>
        <tr r="K1461" s="1"/>
      </tp>
      <tp>
        <v>0</v>
        <stp/>
        <stp>bse_cm|84TCHF28</stp>
        <stp>Volume Traded Today</stp>
        <tr r="L403" s="1"/>
      </tp>
      <tp t="s">
        <v>BSE</v>
        <stp/>
        <stp>bse_cm|902SCL27</stp>
        <stp>Exchange</stp>
        <tr r="C902" s="1"/>
      </tp>
      <tp t="s">
        <v>INE244L07432</v>
        <stp/>
        <stp>bse_cm|888IHFL25C</stp>
        <stp>Isin code</stp>
        <tr r="R1058" s="1"/>
      </tp>
      <tp>
        <v>0</v>
        <stp/>
        <stp>nse_cm|1050ICCL28-NV</stp>
        <stp>Bid Rate</stp>
        <tr r="E764" s="1"/>
      </tp>
      <tp t="s">
        <v>816ABFL29-NC</v>
        <stp/>
        <stp>nse_cm|816ABFL29-NC</stp>
        <stp>Trading Symbol</stp>
        <tr r="B732" s="1"/>
      </tp>
      <tp>
        <v>0</v>
        <stp/>
        <stp>bse_cm|890ICCL23A</stp>
        <stp>ATP</stp>
        <tr r="K1486" s="1"/>
      </tp>
      <tp>
        <v>0</v>
        <stp/>
        <stp>bse_cm|866ICCL23A</stp>
        <stp>ATP</stp>
        <tr r="K1075" s="1"/>
      </tp>
      <tp t="s">
        <v>INE532F07CP4</v>
        <stp/>
        <stp>bse_cm|EFSL24C</stp>
        <stp>Isin code</stp>
        <tr r="R1755" s="1"/>
      </tp>
      <tp t="s">
        <v>INE532F07EE4</v>
        <stp/>
        <stp>bse_cm|EFSL26C</stp>
        <stp>Isin code</stp>
        <tr r="R1650" s="1"/>
      </tp>
      <tp>
        <v>990</v>
        <stp/>
        <stp>bse_cm|948IFSL25B</stp>
        <stp>ATP</stp>
        <tr r="K599" s="1"/>
      </tp>
      <tp>
        <v>0</v>
        <stp/>
        <stp>bse_cm|984ICCL26A</stp>
        <stp>ATP</stp>
        <tr r="K883" s="1"/>
      </tp>
      <tp>
        <v>0</v>
        <stp/>
        <stp>bse_cm|875KFL2025</stp>
        <stp>ATP</stp>
        <tr r="K1158" s="1"/>
      </tp>
      <tp t="s">
        <v>INE202E07146</v>
        <stp/>
        <stp>nse_cm|855IREDA34-N3</stp>
        <stp>Isin code</stp>
        <tr r="R558" s="1"/>
      </tp>
      <tp>
        <v>-100</v>
        <stp/>
        <stp>bse_cm|ICLFLZC29</stp>
        <stp>% Change</stp>
        <tr r="J1613" s="1"/>
      </tp>
      <tp>
        <v>0</v>
        <stp/>
        <stp>bse_cm|913ICCL24A</stp>
        <stp>ATP</stp>
        <tr r="K1162" s="1"/>
      </tp>
      <tp>
        <v>0</v>
        <stp/>
        <stp>bse_cm|925ICCL24A</stp>
        <stp>ATP</stp>
        <tr r="K1072" s="1"/>
      </tp>
      <tp>
        <v>-100</v>
        <stp/>
        <stp>bse_cm|975MFL29A</stp>
        <stp>% Change</stp>
        <tr r="J854" s="1"/>
      </tp>
      <tp>
        <v>0</v>
        <stp/>
        <stp>bse_cm|965ICCL25I</stp>
        <stp>ATP</stp>
        <tr r="K1430" s="1"/>
      </tp>
      <tp>
        <v>0</v>
        <stp/>
        <stp>bse_cm|925ICCL25I</stp>
        <stp>ATP</stp>
        <tr r="K782" s="1"/>
      </tp>
      <tp>
        <v>0</v>
        <stp/>
        <stp>bse_cm|948ICCL25A</stp>
        <stp>ATP</stp>
        <tr r="K1398" s="1"/>
      </tp>
      <tp>
        <v>0</v>
        <stp/>
        <stp>bse_cm|955ICCL25A</stp>
        <stp>ATP</stp>
        <tr r="K1143" s="1"/>
      </tp>
      <tp>
        <v>0</v>
        <stp/>
        <stp>bse_cm|966ICCL25A</stp>
        <stp>ATP</stp>
        <tr r="K846" s="1"/>
      </tp>
      <tp t="s">
        <v>892NHPC33-N6</v>
        <stp/>
        <stp>nse_cm|892NHPC33-N6</stp>
        <stp>Trading Symbol</stp>
        <tr r="B534" s="1"/>
      </tp>
      <tp t="s">
        <v>INE614X07456</v>
        <stp/>
        <stp>bse_cm|1049DLS25A</stp>
        <stp>Isin code</stp>
        <tr r="R119" s="1"/>
      </tp>
      <tp>
        <v>889</v>
        <stp/>
        <stp>nse_cm|1050IIFL29-ND</stp>
        <stp>Bid Rate</stp>
        <tr r="E585" s="1"/>
      </tp>
      <tp t="s">
        <v>INE202E07120</v>
        <stp/>
        <stp>nse_cm|855IREDA29-N2</stp>
        <stp>Isin code</stp>
        <tr r="R505" s="1"/>
      </tp>
      <tp t="s">
        <v>INE403Q07CX9</v>
        <stp/>
        <stp>bse_cm|KFL29</stp>
        <stp>Isin code</stp>
        <tr r="R1619" s="1"/>
      </tp>
      <tp>
        <v>0</v>
        <stp/>
        <stp>bse_cm|965IHFL25D</stp>
        <stp>ATP</stp>
        <tr r="K1432" s="1"/>
      </tp>
      <tp>
        <v>0</v>
        <stp/>
        <stp>bse_cm|925IHFL25D</stp>
        <stp>ATP</stp>
        <tr r="K1671" s="1"/>
      </tp>
      <tp>
        <v>0</v>
        <stp/>
        <stp>bse_cm|925IHFL25E</stp>
        <stp>ATP</stp>
        <tr r="K398" s="1"/>
      </tp>
      <tp>
        <v>0</v>
        <stp/>
        <stp>bse_cm|888IHFL25C</stp>
        <stp>ATP</stp>
        <tr r="K1058" s="1"/>
      </tp>
      <tp>
        <v>0</v>
        <stp/>
        <stp>bse_cm|888IHFL25F</stp>
        <stp>ATP</stp>
        <tr r="K693" s="1"/>
      </tp>
      <tp>
        <v>0</v>
        <stp/>
        <stp>bse_cm|EFSL260724</stp>
        <stp>ATP</stp>
        <tr r="K586" s="1"/>
      </tp>
      <tp>
        <v>820.2</v>
        <stp/>
        <stp>nse_cm|1030ICCL28-NM</stp>
        <stp>Bid Rate</stp>
        <tr r="E1596" s="1"/>
      </tp>
      <tp>
        <v>0</v>
        <stp/>
        <stp>bse_cm|875IIFL26A</stp>
        <stp>ATP</stp>
        <tr r="K232" s="1"/>
      </tp>
      <tp t="s">
        <v>1010MFCL30</v>
        <stp/>
        <stp>bse_cm|1010MFCL30</stp>
        <stp>Symbol</stp>
        <tr r="A285" s="1"/>
      </tp>
      <tp>
        <v>960.2</v>
        <stp/>
        <stp>bse_cm|SCL22</stp>
        <stp>Bid Rate</stp>
        <tr r="E1239" s="1"/>
      </tp>
      <tp>
        <v>935.2</v>
        <stp/>
        <stp>bse_cm|SFL26</stp>
        <stp>Bid Rate</stp>
        <tr r="E811" s="1"/>
      </tp>
      <tp>
        <v>915.2</v>
        <stp/>
        <stp>bse_cm|SFL27</stp>
        <stp>Bid Rate</stp>
        <tr r="E809" s="1"/>
      </tp>
      <tp>
        <v>952</v>
        <stp/>
        <stp>nse_cm|1050ISFL28-N5</stp>
        <stp>Bid Rate</stp>
        <tr r="E1591" s="1"/>
      </tp>
      <tp>
        <v>977</v>
        <stp/>
        <stp>bse_cm|SCL24</stp>
        <stp>Bid Rate</stp>
        <tr r="E1377" s="1"/>
      </tp>
      <tp t="s">
        <v>IFCIZC25</v>
        <stp/>
        <stp>bse_cm|IFCIZC25</stp>
        <stp>Symbol</stp>
        <tr r="A1764" s="1"/>
      </tp>
      <tp t="s">
        <v>IFCIZC24</v>
        <stp/>
        <stp>bse_cm|IFCIZC24</stp>
        <stp>Symbol</stp>
        <tr r="A1769" s="1"/>
      </tp>
      <tp>
        <v>1224.25</v>
        <stp/>
        <stp>bse_cm|SCL25</stp>
        <stp>Bid Rate</stp>
        <tr r="E1234" s="1"/>
      </tp>
      <tp>
        <v>1280.01</v>
        <stp/>
        <stp>bse_cm|SFL25</stp>
        <stp>Bid Rate</stp>
        <tr r="E813" s="1"/>
      </tp>
      <tp t="s">
        <v>IIFLZC28</v>
        <stp/>
        <stp>bse_cm|IIFLZC28</stp>
        <stp>Symbol</stp>
        <tr r="A1660" s="1"/>
      </tp>
      <tp t="s">
        <v>IIFLZC26</v>
        <stp/>
        <stp>bse_cm|IIFLZC26</stp>
        <stp>Symbol</stp>
        <tr r="A1236" s="1"/>
      </tp>
      <tp t="s">
        <v>IIFLZC25</v>
        <stp/>
        <stp>bse_cm|IIFLZC25</stp>
        <stp>Symbol</stp>
        <tr r="A1743" s="1"/>
      </tp>
      <tp>
        <v>897.2</v>
        <stp/>
        <stp>bse_cm|SFL28</stp>
        <stp>Bid Rate</stp>
        <tr r="E803" s="1"/>
      </tp>
      <tp>
        <v>0</v>
        <stp/>
        <stp>bse_cm|1175ICLF25</stp>
        <stp>Volume Traded Today</stp>
        <tr r="L1222" s="1"/>
      </tp>
      <tp>
        <v>0</v>
        <stp/>
        <stp>bse_cm|1225ICLF26</stp>
        <stp>Volume Traded Today</stp>
        <tr r="L1217" s="1"/>
      </tp>
      <tp>
        <v>895.2</v>
        <stp/>
        <stp>bse_cm|IML28</stp>
        <stp>Bid Rate</stp>
        <tr r="E1458" s="1"/>
      </tp>
      <tp>
        <v>1070</v>
        <stp/>
        <stp>bse_cm|IML29</stp>
        <stp>Bid Rate</stp>
        <tr r="E1528" s="1"/>
      </tp>
      <tp>
        <v>975.4</v>
        <stp/>
        <stp>bse_cm|KFL29</stp>
        <stp>Bid Rate</stp>
        <tr r="E1619" s="1"/>
      </tp>
      <tp>
        <v>1065</v>
        <stp/>
        <stp>bse_cm|MFL28</stp>
        <stp>Bid Rate</stp>
        <tr r="E1638" s="1"/>
      </tp>
      <tp>
        <v>835.2</v>
        <stp/>
        <stp>bse_cm|MML28</stp>
        <stp>Bid Rate</stp>
        <tr r="E584" s="1"/>
      </tp>
      <tp>
        <v>1010.01</v>
        <stp/>
        <stp>bse_cm|MFL29</stp>
        <stp>Bid Rate</stp>
        <tr r="E1598" s="1"/>
      </tp>
      <tp>
        <v>885.8</v>
        <stp/>
        <stp>bse_cm|CIF27</stp>
        <stp>Bid Rate</stp>
        <tr r="E745" s="1"/>
      </tp>
      <tp>
        <v>-100</v>
        <stp/>
        <stp>bse_cm|EFSLZC28C</stp>
        <stp>% Change</stp>
        <tr r="J1331" s="1"/>
      </tp>
      <tp>
        <v>-100</v>
        <stp/>
        <stp>bse_cm|IIFLZC28B</stp>
        <stp>% Change</stp>
        <tr r="J1595" s="1"/>
      </tp>
      <tp>
        <v>1010.15</v>
        <stp/>
        <stp>bse_cm|MML24</stp>
        <stp>Bid Rate</stp>
        <tr r="E1740" s="1"/>
      </tp>
      <tp>
        <v>-100</v>
        <stp/>
        <stp>bse_cm|IIFLZC28C</stp>
        <stp>% Change</stp>
        <tr r="J1404" s="1"/>
      </tp>
      <tp>
        <v>1773.25</v>
        <stp/>
        <stp>bse_cm|MFL25</stp>
        <stp>Bid Rate</stp>
        <tr r="E1733" s="1"/>
      </tp>
      <tp>
        <v>885.2</v>
        <stp/>
        <stp>bse_cm|MML25</stp>
        <stp>Bid Rate</stp>
        <tr r="E1253" s="1"/>
      </tp>
      <tp>
        <v>1084.7</v>
        <stp/>
        <stp>bse_cm|MFL26</stp>
        <stp>Bid Rate</stp>
        <tr r="E1666" s="1"/>
      </tp>
      <tp>
        <v>860.2</v>
        <stp/>
        <stp>bse_cm|MML26</stp>
        <stp>Bid Rate</stp>
        <tr r="E1410" s="1"/>
      </tp>
      <tp t="s">
        <v>981JMFCS28</v>
        <stp/>
        <stp>bse_cm|981JMFCS28</stp>
        <stp>Symbol</stp>
        <tr r="A295" s="1"/>
      </tp>
      <tp>
        <v>-100</v>
        <stp/>
        <stp>bse_cm|IIFLZC28A</stp>
        <stp>% Change</stp>
        <tr r="J1628" s="1"/>
      </tp>
      <tp>
        <v>1015</v>
        <stp/>
        <stp>bse_cm|MFL27</stp>
        <stp>Bid Rate</stp>
        <tr r="E1563" s="1"/>
      </tp>
      <tp>
        <v>890.25</v>
        <stp/>
        <stp>bse_cm|CIF29</stp>
        <stp>Bid Rate</stp>
        <tr r="E744" s="1"/>
      </tp>
      <tp>
        <v>970.2</v>
        <stp/>
        <stp>bse_cm|KFL26</stp>
        <stp>Bid Rate</stp>
        <tr r="E1306" s="1"/>
      </tp>
      <tp>
        <v>-100</v>
        <stp/>
        <stp>bse_cm|MMFLZC28B</stp>
        <stp>% Change</stp>
        <tr r="J1535" s="1"/>
      </tp>
      <tp t="e">
        <v>#N/A</v>
        <stp/>
        <stp>bse_cm|IML24</stp>
        <stp>Bid Rate</stp>
        <tr r="E34" s="1"/>
      </tp>
      <tp>
        <v>1182.8</v>
        <stp/>
        <stp>bse_cm|KFL27</stp>
        <stp>Bid Rate</stp>
        <tr r="E1303" s="1"/>
      </tp>
      <tp>
        <v>888.85</v>
        <stp/>
        <stp>bse_cm|IML25</stp>
        <stp>Bid Rate</stp>
        <tr r="E1326" s="1"/>
      </tp>
      <tp>
        <v>1365.01</v>
        <stp/>
        <stp>bse_cm|KFL25</stp>
        <stp>Bid Rate</stp>
        <tr r="E1309" s="1"/>
      </tp>
      <tp>
        <v>1095</v>
        <stp/>
        <stp>bse_cm|MFL23</stp>
        <stp>Bid Rate</stp>
        <tr r="E1668" s="1"/>
      </tp>
      <tp>
        <v>-100</v>
        <stp/>
        <stp>bse_cm|MMFLZC28A</stp>
        <stp>% Change</stp>
        <tr r="J1348" s="1"/>
      </tp>
      <tp>
        <v>1137.8</v>
        <stp/>
        <stp>bse_cm|IML27</stp>
        <stp>Bid Rate</stp>
        <tr r="E1325" s="1"/>
      </tp>
      <tp>
        <v>0</v>
        <stp/>
        <stp>bse_cm|84TCHF28</stp>
        <stp>Open</stp>
        <tr r="M403" s="1"/>
      </tp>
      <tp>
        <v>0</v>
        <stp/>
        <stp>bse_cm|83TCHF28</stp>
        <stp>Open</stp>
        <tr r="M832" s="1"/>
      </tp>
      <tp>
        <v>0</v>
        <stp/>
        <stp>bse_cm|81TCHF28</stp>
        <stp>Open</stp>
        <tr r="M479" s="1"/>
      </tp>
      <tp>
        <v>1052</v>
        <stp/>
        <stp>bse_cm|MFLTDIII24</stp>
        <stp>Prev Close</stp>
        <tr r="P1721" s="1"/>
      </tp>
      <tp>
        <v>1090</v>
        <stp/>
        <stp>bse_cm|MFLTDVII27</stp>
        <stp>Prev Close</stp>
        <tr r="P1562" s="1"/>
      </tp>
      <tp t="s">
        <v>00:00:00</v>
        <stp/>
        <stp>bse_cm|81TCHF28</stp>
        <stp>LTT</stp>
        <tr r="I479" s="1"/>
      </tp>
      <tp>
        <v>0</v>
        <stp/>
        <stp>bse_cm|81TCHF28</stp>
        <stp>LTP</stp>
        <tr r="H479" s="1"/>
      </tp>
      <tp>
        <v>990</v>
        <stp/>
        <stp>bse_cm|10MMFL27</stp>
        <stp>High</stp>
        <tr r="N1090" s="1"/>
      </tp>
      <tp>
        <v>1210.1500000000001</v>
        <stp/>
        <stp>bse_cm|SCL24A</stp>
        <stp>Ask Rate</stp>
        <tr r="F1749" s="1"/>
      </tp>
      <tp t="s">
        <v>NSE</v>
        <stp/>
        <stp>nse_cm|971SCL29-Z0</stp>
        <stp>Exchange</stp>
        <tr r="C681" s="1"/>
      </tp>
      <tp>
        <v>-100</v>
        <stp/>
        <stp>nse_cm|10SCL31-Z1</stp>
        <stp>% Change</stp>
        <tr r="J866" s="1"/>
      </tp>
      <tp>
        <v>1000</v>
        <stp/>
        <stp>bse_cm|89SCL24A</stp>
        <stp>Face Value</stp>
        <tr r="Q971" s="1"/>
      </tp>
      <tp>
        <v>1034.5</v>
        <stp/>
        <stp>bse_cm|9MMFSL26</stp>
        <stp>High</stp>
        <tr r="N334" s="1"/>
      </tp>
      <tp>
        <v>1000</v>
        <stp/>
        <stp>bse_cm|87SCL27A</stp>
        <stp>Face Value</stp>
        <tr r="Q644" s="1"/>
      </tp>
      <tp>
        <v>1000</v>
        <stp/>
        <stp>bse_cm|87SCL24A</stp>
        <stp>Face Value</stp>
        <tr r="Q1141" s="1"/>
      </tp>
      <tp t="s">
        <v>NSE</v>
        <stp/>
        <stp>nse_cm|975SCL27-Z9</stp>
        <stp>Exchange</stp>
        <tr r="C885" s="1"/>
      </tp>
      <tp>
        <v>819.3</v>
        <stp/>
        <stp>nse_cm|SCLZC26E-NP</stp>
        <stp>Bid Rate</stp>
        <tr r="E899" s="1"/>
      </tp>
      <tp>
        <v>1020.02</v>
        <stp/>
        <stp>bse_cm|MFL30A</stp>
        <stp>Bid Rate</stp>
        <tr r="E1370" s="1"/>
      </tp>
      <tp>
        <v>902.45</v>
        <stp/>
        <stp>bse_cm|KFL26A</stp>
        <stp>Bid Rate</stp>
        <tr r="E1372" s="1"/>
      </tp>
      <tp>
        <v>888.8</v>
        <stp/>
        <stp>bse_cm|KFL26B</stp>
        <stp>Bid Rate</stp>
        <tr r="E1305" s="1"/>
      </tp>
      <tp>
        <v>1000</v>
        <stp/>
        <stp>bse_cm|85PFL26A</stp>
        <stp>Face Value</stp>
        <tr r="Q711" s="1"/>
      </tp>
      <tp>
        <v>870.2</v>
        <stp/>
        <stp>bse_cm|KFL26C</stp>
        <stp>Bid Rate</stp>
        <tr r="E1304" s="1"/>
      </tp>
      <tp>
        <v>0</v>
        <stp/>
        <stp>bse_cm|83TCHF25</stp>
        <stp>Open</stp>
        <tr r="M489" s="1"/>
      </tp>
      <tp>
        <v>0</v>
        <stp/>
        <stp>bse_cm|82TCHF25</stp>
        <stp>Open</stp>
        <tr r="M1015" s="1"/>
      </tp>
      <tp>
        <v>0</v>
        <stp/>
        <stp>nse_cm|CIFCZC28A-N5</stp>
        <stp>Ask Qty</stp>
        <tr r="G1559" s="1"/>
      </tp>
      <tp>
        <v>50</v>
        <stp/>
        <stp>nse_cm|CIFCZC25A-N1</stp>
        <stp>Ask Qty</stp>
        <tr r="G1730" s="1"/>
      </tp>
      <tp>
        <v>0</v>
        <stp/>
        <stp>nse_cm|CIFCZC26A-N3</stp>
        <stp>Ask Qty</stp>
        <tr r="G1565" s="1"/>
      </tp>
      <tp>
        <v>25</v>
        <stp/>
        <stp>nse_cm|IIFLZC25C-N8</stp>
        <stp>Ask Qty</stp>
        <tr r="G1748" s="1"/>
      </tp>
      <tp>
        <v>25</v>
        <stp/>
        <stp>nse_cm|IIFLZC28C-N6</stp>
        <stp>Ask Qty</stp>
        <tr r="G1656" s="1"/>
      </tp>
      <tp>
        <v>200</v>
        <stp/>
        <stp>nse_cm|IIFLZC25B-NW</stp>
        <stp>Ask Qty</stp>
        <tr r="G1684" s="1"/>
      </tp>
      <tp>
        <v>0</v>
        <stp/>
        <stp>nse_cm|IIFLZC25A-NP</stp>
        <stp>Ask Qty</stp>
        <tr r="G1578" s="1"/>
      </tp>
      <tp>
        <v>25</v>
        <stp/>
        <stp>nse_cm|IIFLZC26A-NR</stp>
        <stp>Ask Qty</stp>
        <tr r="G1680" s="1"/>
      </tp>
      <tp>
        <v>100</v>
        <stp/>
        <stp>nse_cm|IIFLZC28A-NU</stp>
        <stp>Ask Qty</stp>
        <tr r="G1624" s="1"/>
      </tp>
      <tp>
        <v>10</v>
        <stp/>
        <stp>nse_cm|IIFLZC26B-NY</stp>
        <stp>Ask Qty</stp>
        <tr r="G1629" s="1"/>
      </tp>
      <tp>
        <v>960</v>
        <stp/>
        <stp>bse_cm|10KSFL25</stp>
        <stp xml:space="preserve">Low </stp>
        <tr r="O107" s="1"/>
      </tp>
      <tp>
        <v>0</v>
        <stp/>
        <stp>nse_cm|1048IIFL27-N6</stp>
        <stp>Volume Traded Today</stp>
        <tr r="L997" s="1"/>
      </tp>
      <tp>
        <v>0</v>
        <stp/>
        <stp>nse_cm|SCLZC25D-NJ</stp>
        <stp>Bid Rate</stp>
        <tr r="E1699" s="1"/>
      </tp>
      <tp>
        <v>871.2</v>
        <stp/>
        <stp>nse_cm|792TCH25-N3</stp>
        <stp>Bid Rate</stp>
        <tr r="E1187" s="1"/>
      </tp>
      <tp>
        <v>0</v>
        <stp/>
        <stp>bse_cm|96EFSL27</stp>
        <stp>ATP</stp>
        <tr r="K1050" s="1"/>
      </tp>
      <tp>
        <v>0</v>
        <stp/>
        <stp>bse_cm|96EFSL26</stp>
        <stp>ATP</stp>
        <tr r="K1465" s="1"/>
      </tp>
      <tp>
        <v>0</v>
        <stp/>
        <stp>bse_cm|11KAFL29</stp>
        <stp xml:space="preserve">Low </stp>
        <tr r="O662" s="1"/>
      </tp>
      <tp>
        <v>0</v>
        <stp/>
        <stp>bse_cm|718REC35</stp>
        <stp>Volume Traded Today</stp>
        <tr r="L549" s="1"/>
      </tp>
      <tp>
        <v>819</v>
        <stp/>
        <stp>nse_cm|SCLZC25C-NI</stp>
        <stp>Bid Rate</stp>
        <tr r="E908" s="1"/>
      </tp>
      <tp>
        <v>0</v>
        <stp/>
        <stp>nse_cm|SCLZC26D-NO</stp>
        <stp>Bid Rate</stp>
        <tr r="E901" s="1"/>
      </tp>
      <tp t="s">
        <v>BSE</v>
        <stp/>
        <stp>bse_cm|1025SF29</stp>
        <stp>Exchange</stp>
        <tr r="C1409" s="1"/>
      </tp>
      <tp>
        <v>840</v>
        <stp/>
        <stp>nse_cm|IIFLZC28B-Y1</stp>
        <stp>Ask Qty</stp>
        <tr r="G1491" s="1"/>
      </tp>
      <tp>
        <v>980</v>
        <stp/>
        <stp>bse_cm|10KFIL27</stp>
        <stp xml:space="preserve">Low </stp>
        <tr r="O183" s="1"/>
      </tp>
      <tp>
        <v>980</v>
        <stp/>
        <stp>bse_cm|MFLOPTII24</stp>
        <stp>Prev Close</stp>
        <tr r="P559" s="1"/>
      </tp>
      <tp>
        <v>1080</v>
        <stp/>
        <stp>nse_cm|931SFL26-Z5</stp>
        <stp>Ask Rate</stp>
        <tr r="F519" s="1"/>
      </tp>
      <tp>
        <v>0</v>
        <stp/>
        <stp>nse_cm|SCLZC26C-NB</stp>
        <stp>Bid Rate</stp>
        <tr r="E1537" s="1"/>
      </tp>
      <tp>
        <v>0</v>
        <stp/>
        <stp>bse_cm|95NIDO26</stp>
        <stp>ATP</stp>
        <tr r="K670" s="1"/>
      </tp>
      <tp>
        <v>0</v>
        <stp/>
        <stp>bse_cm|96IIFL28</stp>
        <stp>ATP</stp>
        <tr r="K118" s="1"/>
      </tp>
      <tp>
        <v>936</v>
        <stp/>
        <stp>bse_cm|95KAFL25</stp>
        <stp xml:space="preserve">Low </stp>
        <tr r="O40" s="1"/>
      </tp>
      <tp>
        <v>0</v>
        <stp/>
        <stp>bse_cm|845LTF24</stp>
        <stp>Volume Traded Today</stp>
        <tr r="L943" s="1"/>
      </tp>
      <tp>
        <v>998</v>
        <stp/>
        <stp>bse_cm|11KAFL27</stp>
        <stp xml:space="preserve">Low </stp>
        <tr r="O184" s="1"/>
      </tp>
      <tp>
        <v>1007</v>
        <stp/>
        <stp>bse_cm|10JFPL30</stp>
        <stp xml:space="preserve">Low </stp>
        <tr r="O1097" s="1"/>
      </tp>
      <tp>
        <v>21</v>
        <stp/>
        <stp>bse_cm|714REC25</stp>
        <stp>Volume Traded Today</stp>
        <tr r="L518" s="1"/>
      </tp>
      <tp>
        <v>1435.4</v>
        <stp/>
        <stp>nse_cm|SCLZC26A-NF</stp>
        <stp>Bid Rate</stp>
        <tr r="E993" s="1"/>
      </tp>
      <tp>
        <v>0</v>
        <stp/>
        <stp>bse_cm|10KAFL26</stp>
        <stp xml:space="preserve">Low </stp>
        <tr r="O1096" s="1"/>
      </tp>
      <tp>
        <v>991</v>
        <stp/>
        <stp>bse_cm|11KAFL26</stp>
        <stp xml:space="preserve">Low </stp>
        <tr r="O671" s="1"/>
      </tp>
      <tp>
        <v>190</v>
        <stp/>
        <stp>bse_cm|MFOPTVI24</stp>
        <stp>Bid Qty</stp>
        <tr r="D1547" s="1"/>
      </tp>
      <tp>
        <v>0</v>
        <stp/>
        <stp>bse_cm|955SCL25</stp>
        <stp>ATP</stp>
        <tr r="K1128" s="1"/>
      </tp>
      <tp>
        <v>944.2</v>
        <stp/>
        <stp>bse_cm|885SCL26</stp>
        <stp>LTP</stp>
        <tr r="H57" s="1"/>
      </tp>
      <tp>
        <v>0</v>
        <stp/>
        <stp>bse_cm|955SCL27</stp>
        <stp>ATP</stp>
        <tr r="K621" s="1"/>
      </tp>
      <tp t="s">
        <v>11:09:34</v>
        <stp/>
        <stp>bse_cm|885SCL26</stp>
        <stp>LTT</stp>
        <tr r="I57" s="1"/>
      </tp>
      <tp>
        <v>933.9</v>
        <stp/>
        <stp>bse_cm|985ECL28</stp>
        <stp>LTP</stp>
        <tr r="H56" s="1"/>
      </tp>
      <tp t="s">
        <v>00:00:00</v>
        <stp/>
        <stp>bse_cm|985ECL28</stp>
        <stp>LTT</stp>
        <tr r="I56" s="1"/>
      </tp>
      <tp>
        <v>0</v>
        <stp/>
        <stp>bse_cm|785MFL28</stp>
        <stp>LTP</stp>
        <tr r="H439" s="1"/>
      </tp>
      <tp t="s">
        <v>00:00:00</v>
        <stp/>
        <stp>bse_cm|785MFL28</stp>
        <stp>LTT</stp>
        <tr r="I439" s="1"/>
      </tp>
      <tp>
        <v>0</v>
        <stp/>
        <stp>bse_cm|SCLZC25A</stp>
        <stp>Volume Traded Today</stp>
        <tr r="L1233" s="1"/>
      </tp>
      <tp>
        <v>0</v>
        <stp/>
        <stp>bse_cm|SCLZC25B</stp>
        <stp>Volume Traded Today</stp>
        <tr r="L1540" s="1"/>
      </tp>
      <tp>
        <v>0</v>
        <stp/>
        <stp>bse_cm|SCLZC25C</stp>
        <stp>Volume Traded Today</stp>
        <tr r="L1231" s="1"/>
      </tp>
      <tp>
        <v>0</v>
        <stp/>
        <stp>bse_cm|SCLZC25D</stp>
        <stp>Volume Traded Today</stp>
        <tr r="L1573" s="1"/>
      </tp>
      <tp>
        <v>0</v>
        <stp/>
        <stp>bse_cm|SCLZC25E</stp>
        <stp>Volume Traded Today</stp>
        <tr r="L907" s="1"/>
      </tp>
      <tp>
        <v>0</v>
        <stp/>
        <stp>bse_cm|SCLZC25F</stp>
        <stp>Volume Traded Today</stp>
        <tr r="L1542" s="1"/>
      </tp>
      <tp t="s">
        <v>NSE</v>
        <stp/>
        <stp>nse_cm|875SCL27-YQ</stp>
        <stp>Exchange</stp>
        <tr r="C937" s="1"/>
      </tp>
      <tp t="s">
        <v>BSE</v>
        <stp/>
        <stp>bse_cm|891ONE25</stp>
        <stp>Exchange</stp>
        <tr r="C1339" s="1"/>
      </tp>
      <tp>
        <v>121</v>
        <stp/>
        <stp>bse_cm|ECLZC24B</stp>
        <stp>Volume Traded Today</stp>
        <tr r="L1767" s="1"/>
      </tp>
      <tp>
        <v>1198.78</v>
        <stp/>
        <stp>bse_cm|734REC30</stp>
        <stp>Ask Rate</stp>
        <tr r="F524" s="1"/>
      </tp>
      <tp t="s">
        <v>BSE</v>
        <stp/>
        <stp>bse_cm|941ONE26</stp>
        <stp>Exchange</stp>
        <tr r="C263" s="1"/>
      </tp>
      <tp>
        <v>0</v>
        <stp/>
        <stp>bse_cm|857SCL24</stp>
        <stp>ATP</stp>
        <tr r="K1002" s="1"/>
      </tp>
      <tp>
        <v>977</v>
        <stp/>
        <stp>bse_cm|957VCL25</stp>
        <stp>ATP</stp>
        <tr r="K53" s="1"/>
      </tp>
      <tp>
        <v>0</v>
        <stp/>
        <stp>bse_cm|927MFL26A</stp>
        <stp>Ask Qty</stp>
        <tr r="G617" s="1"/>
      </tp>
      <tp>
        <v>0</v>
        <stp/>
        <stp>bse_cm|965VCL25</stp>
        <stp>Ask Rate</stp>
        <tr r="F1543" s="1"/>
      </tp>
      <tp>
        <v>990</v>
        <stp/>
        <stp>bse_cm|MFLII26B</stp>
        <stp xml:space="preserve">Low </stp>
        <tr r="O1454" s="1"/>
      </tp>
      <tp t="s">
        <v>BSE</v>
        <stp/>
        <stp>bse_cm|961ONE27</stp>
        <stp>Exchange</stp>
        <tr r="C628" s="1"/>
      </tp>
      <tp t="s">
        <v>BSE</v>
        <stp/>
        <stp>bse_cm|921ONE27</stp>
        <stp>Exchange</stp>
        <tr r="C1428" s="1"/>
      </tp>
      <tp>
        <v>0</v>
        <stp/>
        <stp>bse_cm|957SCL30</stp>
        <stp>ATP</stp>
        <tr r="K1110" s="1"/>
      </tp>
      <tp>
        <v>0</v>
        <stp/>
        <stp>bse_cm|957SCL31</stp>
        <stp>ATP</stp>
        <tr r="K1108" s="1"/>
      </tp>
      <tp t="s">
        <v>00:00:00</v>
        <stp/>
        <stp>bse_cm|916ONE25</stp>
        <stp>LTT</stp>
        <tr r="I965" s="1"/>
      </tp>
      <tp t="s">
        <v>00:00:00</v>
        <stp/>
        <stp>bse_cm|916ONE27</stp>
        <stp>LTT</stp>
        <tr r="I267" s="1"/>
      </tp>
      <tp>
        <v>0</v>
        <stp/>
        <stp>bse_cm|916ONE25</stp>
        <stp>LTP</stp>
        <tr r="H965" s="1"/>
      </tp>
      <tp>
        <v>0</v>
        <stp/>
        <stp>bse_cm|916ONE27</stp>
        <stp>LTP</stp>
        <tr r="H267" s="1"/>
      </tp>
      <tp>
        <v>0</v>
        <stp/>
        <stp>bse_cm|956AEL29</stp>
        <stp>ATP</stp>
        <tr r="K311" s="1"/>
      </tp>
      <tp>
        <v>0</v>
        <stp/>
        <stp>bse_cm|SCLZC26A</stp>
        <stp>Volume Traded Today</stp>
        <tr r="L1343" s="1"/>
      </tp>
      <tp>
        <v>0</v>
        <stp/>
        <stp>bse_cm|SCLZC26B</stp>
        <stp>Volume Traded Today</stp>
        <tr r="L992" s="1"/>
      </tp>
      <tp>
        <v>0</v>
        <stp/>
        <stp>bse_cm|SCLZC26C</stp>
        <stp>Volume Traded Today</stp>
        <tr r="L1399" s="1"/>
      </tp>
      <tp>
        <v>0</v>
        <stp/>
        <stp>bse_cm|SCLZC26D</stp>
        <stp>Volume Traded Today</stp>
        <tr r="L705" s="1"/>
      </tp>
      <tp>
        <v>0</v>
        <stp/>
        <stp>bse_cm|SCLZC26E</stp>
        <stp>Volume Traded Today</stp>
        <tr r="L900" s="1"/>
      </tp>
      <tp>
        <v>0</v>
        <stp/>
        <stp>bse_cm|SCLZC26F</stp>
        <stp>Volume Traded Today</stp>
        <tr r="L898" s="1"/>
      </tp>
      <tp>
        <v>0</v>
        <stp/>
        <stp>bse_cm|SCLZC26G</stp>
        <stp>Volume Traded Today</stp>
        <tr r="L799" s="1"/>
      </tp>
      <tp>
        <v>0</v>
        <stp/>
        <stp>bse_cm|SCLZC26H</stp>
        <stp>Volume Traded Today</stp>
        <tr r="L814" s="1"/>
      </tp>
      <tp>
        <v>0</v>
        <stp/>
        <stp>bse_cm|925SFL27</stp>
        <stp>Ask Rate</stp>
        <tr r="F849" s="1"/>
      </tp>
      <tp>
        <v>1180</v>
        <stp/>
        <stp>bse_cm|875SFL27</stp>
        <stp>Ask Rate</stp>
        <tr r="F578" s="1"/>
      </tp>
      <tp>
        <v>0</v>
        <stp/>
        <stp>bse_cm|875SCL27</stp>
        <stp>Ask Rate</stp>
        <tr r="F722" s="1"/>
      </tp>
      <tp>
        <v>0</v>
        <stp/>
        <stp>bse_cm|915SCL27</stp>
        <stp>Ask Rate</stp>
        <tr r="F1127" s="1"/>
      </tp>
      <tp>
        <v>0</v>
        <stp/>
        <stp>bse_cm|905SCL27</stp>
        <stp>Ask Rate</stp>
        <tr r="F976" s="1"/>
      </tp>
      <tp>
        <v>0</v>
        <stp/>
        <stp>bse_cm|925SCL27</stp>
        <stp>Ask Rate</stp>
        <tr r="F1414" s="1"/>
      </tp>
      <tp>
        <v>0</v>
        <stp/>
        <stp>bse_cm|955SCL27</stp>
        <stp>Ask Rate</stp>
        <tr r="F621" s="1"/>
      </tp>
      <tp>
        <v>10</v>
        <stp/>
        <stp>bse_cm|894SCL25A</stp>
        <stp>Bid Qty</stp>
        <tr r="D1235" s="1"/>
      </tp>
      <tp>
        <v>0</v>
        <stp/>
        <stp>bse_cm|980SCL34</stp>
        <stp>LTP</stp>
        <tr r="H829" s="1"/>
      </tp>
      <tp t="s">
        <v>00:00:00</v>
        <stp/>
        <stp>bse_cm|980SCL33</stp>
        <stp>LTT</stp>
        <tr r="I998" s="1"/>
      </tp>
      <tp t="s">
        <v>00:00:00</v>
        <stp/>
        <stp>bse_cm|980SCL34</stp>
        <stp>LTT</stp>
        <tr r="I829" s="1"/>
      </tp>
      <tp>
        <v>0</v>
        <stp/>
        <stp>bse_cm|980SCL33</stp>
        <stp>LTP</stp>
        <tr r="H998" s="1"/>
      </tp>
      <tp>
        <v>0</v>
        <stp/>
        <stp>nse_cm|CIFCZC26-NF</stp>
        <stp>Open</stp>
        <tr r="M1561" s="1"/>
      </tp>
      <tp>
        <v>0</v>
        <stp/>
        <stp>bse_cm|925SFL26</stp>
        <stp>Ask Rate</stp>
        <tr r="F850" s="1"/>
      </tp>
      <tp>
        <v>0</v>
        <stp/>
        <stp>bse_cm|865SCL26</stp>
        <stp>Ask Rate</stp>
        <tr r="F627" s="1"/>
      </tp>
      <tp>
        <v>944.2</v>
        <stp/>
        <stp>bse_cm|885SCL26</stp>
        <stp>Ask Rate</stp>
        <tr r="F57" s="1"/>
      </tp>
      <tp>
        <v>975</v>
        <stp/>
        <stp>bse_cm|915SCL26</stp>
        <stp>Ask Rate</stp>
        <tr r="F148" s="1"/>
      </tp>
      <tp>
        <v>0</v>
        <stp/>
        <stp>bse_cm|925SCL26</stp>
        <stp>Ask Rate</stp>
        <tr r="F913" s="1"/>
      </tp>
      <tp>
        <v>0</v>
        <stp/>
        <stp>bse_cm|965SCL26</stp>
        <stp>Ask Rate</stp>
        <tr r="F665" s="1"/>
      </tp>
      <tp>
        <v>0</v>
        <stp/>
        <stp>bse_cm|850SCL25</stp>
        <stp>ATP</stp>
        <tr r="K923" s="1"/>
      </tp>
      <tp>
        <v>0</v>
        <stp/>
        <stp>bse_cm|950SFL27</stp>
        <stp>ATP</stp>
        <tr r="K1144" s="1"/>
      </tp>
      <tp>
        <v>0</v>
        <stp/>
        <stp>bse_cm|950KFL27</stp>
        <stp>ATP</stp>
        <tr r="K143" s="1"/>
      </tp>
      <tp>
        <v>0</v>
        <stp/>
        <stp>bse_cm|750MFL27</stp>
        <stp>ATP</stp>
        <tr r="K274" s="1"/>
      </tp>
      <tp>
        <v>0</v>
        <stp/>
        <stp>bse_cm|950MFL27</stp>
        <stp>ATP</stp>
        <tr r="K1147" s="1"/>
      </tp>
      <tp>
        <v>0</v>
        <stp/>
        <stp>bse_cm|850MFL27</stp>
        <stp>ATP</stp>
        <tr r="K265" s="1"/>
      </tp>
      <tp>
        <v>0</v>
        <stp/>
        <stp>bse_cm|950MML24</stp>
        <stp>ATP</stp>
        <tr r="K304" s="1"/>
      </tp>
      <tp>
        <v>0</v>
        <stp/>
        <stp>bse_cm|850MFL24</stp>
        <stp>ATP</stp>
        <tr r="K1100" s="1"/>
      </tp>
      <tp>
        <v>0</v>
        <stp/>
        <stp>bse_cm|850MFL28</stp>
        <stp>ATP</stp>
        <tr r="K236" s="1"/>
      </tp>
      <tp>
        <v>0</v>
        <stp/>
        <stp>bse_cm|880MFL28</stp>
        <stp>LTP</stp>
        <tr r="H1338" s="1"/>
      </tp>
      <tp>
        <v>0</v>
        <stp/>
        <stp>bse_cm|850MFL29</stp>
        <stp>ATP</stp>
        <tr r="K356" s="1"/>
      </tp>
      <tp t="s">
        <v>00:00:00</v>
        <stp/>
        <stp>bse_cm|880MFL28</stp>
        <stp>LTT</stp>
        <tr r="I1338" s="1"/>
      </tp>
      <tp>
        <v>0</v>
        <stp/>
        <stp>nse_cm|IIFLZC28-NG</stp>
        <stp>Open</stp>
        <tr r="M1659" s="1"/>
      </tp>
      <tp>
        <v>0</v>
        <stp/>
        <stp>bse_cm|875SFL25</stp>
        <stp>Ask Rate</stp>
        <tr r="F936" s="1"/>
      </tp>
      <tp>
        <v>0</v>
        <stp/>
        <stp>bse_cm|905PEL26</stp>
        <stp>Ask Rate</stp>
        <tr r="F1518" s="1"/>
      </tp>
      <tp>
        <v>0</v>
        <stp/>
        <stp>bse_cm|905SCL25</stp>
        <stp>Ask Rate</stp>
        <tr r="F1060" s="1"/>
      </tp>
      <tp>
        <v>977.34</v>
        <stp/>
        <stp>bse_cm|925SCL25</stp>
        <stp>Ask Rate</stp>
        <tr r="F104" s="1"/>
      </tp>
      <tp>
        <v>0</v>
        <stp/>
        <stp>bse_cm|955SCL25</stp>
        <stp>Ask Rate</stp>
        <tr r="F1128" s="1"/>
      </tp>
      <tp>
        <v>0</v>
        <stp/>
        <stp>bse_cm|965SCL25</stp>
        <stp>Ask Rate</stp>
        <tr r="F1105" s="1"/>
      </tp>
      <tp>
        <v>0</v>
        <stp/>
        <stp>nse_cm|CIFCZC25-ND</stp>
        <stp>Open</stp>
        <tr r="M1435" s="1"/>
      </tp>
      <tp>
        <v>0</v>
        <stp/>
        <stp>nse_cm|IIFLZC25-ND</stp>
        <stp>Open</stp>
        <tr r="M1742" s="1"/>
      </tp>
      <tp>
        <v>0</v>
        <stp/>
        <stp>bse_cm|865SCL24</stp>
        <stp>Ask Rate</stp>
        <tr r="F1165" s="1"/>
      </tp>
      <tp>
        <v>-100</v>
        <stp/>
        <stp>nse_cm|940SCL26B-Y6</stp>
        <stp>% Change</stp>
        <tr r="J795" s="1"/>
      </tp>
      <tp t="s">
        <v/>
        <stp/>
        <stp>nse_cm|1025SCFL34-Z5</stp>
        <stp>LTT</stp>
        <tr r="I880" s="1"/>
      </tp>
      <tp>
        <v>0</v>
        <stp/>
        <stp>nse_cm|1025SCFL34-Z5</stp>
        <stp>LTP</stp>
        <tr r="H880" s="1"/>
      </tp>
      <tp>
        <v>0</v>
        <stp/>
        <stp>nse_cm|990SCL26B-Y7</stp>
        <stp>% Change</stp>
        <tr r="J798" s="1"/>
      </tp>
      <tp>
        <v>1</v>
        <stp/>
        <stp>bse_cm|12ICLFL26</stp>
        <stp>Ask Qty</stp>
        <tr r="G547" s="1"/>
      </tp>
      <tp>
        <v>11</v>
        <stp/>
        <stp>bse_cm|11ICLFL25</stp>
        <stp>Ask Qty</stp>
        <tr r="G452" s="1"/>
      </tp>
      <tp>
        <v>0</v>
        <stp/>
        <stp>bse_cm|925SCL29</stp>
        <stp>Ask Rate</stp>
        <tr r="F820" s="1"/>
      </tp>
      <tp>
        <v>0</v>
        <stp/>
        <stp>bse_cm|965SCL29</stp>
        <stp>Ask Rate</stp>
        <tr r="F816" s="1"/>
      </tp>
      <tp>
        <v>0</v>
        <stp/>
        <stp>bse_cm|10ARKA28</stp>
        <stp>Volume Traded Today</stp>
        <tr r="L1400" s="1"/>
      </tp>
      <tp>
        <v>1075.1099999999999</v>
        <stp/>
        <stp>nse_cm|812REC27-NI</stp>
        <stp>Bid Rate</stp>
        <tr r="E462" s="1"/>
      </tp>
      <tp>
        <v>1020</v>
        <stp/>
        <stp>nse_cm|CIFCZC28-NH</stp>
        <stp>Open</stp>
        <tr r="M1607" s="1"/>
      </tp>
      <tp>
        <v>994.8</v>
        <stp/>
        <stp>bse_cm|935SCL28</stp>
        <stp>Ask Rate</stp>
        <tr r="F284" s="1"/>
      </tp>
      <tp>
        <v>0</v>
        <stp/>
        <stp>bse_cm|925SCL28</stp>
        <stp>Ask Rate</stp>
        <tr r="F940" s="1"/>
      </tp>
      <tp>
        <v>0</v>
        <stp/>
        <stp>bse_cm|975SCL28</stp>
        <stp>Ask Rate</stp>
        <tr r="F1485" s="1"/>
      </tp>
      <tp>
        <v>0</v>
        <stp/>
        <stp>bse_cm|965SCL28</stp>
        <stp>Ask Rate</stp>
        <tr r="F1138" s="1"/>
      </tp>
      <tp t="s">
        <v>00:00:00</v>
        <stp/>
        <stp>bse_cm|889SCL28</stp>
        <stp>LTT</stp>
        <tr r="I1069" s="1"/>
      </tp>
      <tp>
        <v>0</v>
        <stp/>
        <stp>bse_cm|889SCL28</stp>
        <stp>LTP</stp>
        <tr r="H1069" s="1"/>
      </tp>
      <tp>
        <v>0</v>
        <stp/>
        <stp>bse_cm|889SCL26</stp>
        <stp>LTP</stp>
        <tr r="H237" s="1"/>
      </tp>
      <tp>
        <v>0</v>
        <stp/>
        <stp>bse_cm|889SCL27</stp>
        <stp>LTP</stp>
        <tr r="H121" s="1"/>
      </tp>
      <tp t="s">
        <v>00:00:00</v>
        <stp/>
        <stp>bse_cm|889SCL26</stp>
        <stp>LTT</stp>
        <tr r="I237" s="1"/>
      </tp>
      <tp t="s">
        <v>00:00:00</v>
        <stp/>
        <stp>bse_cm|889SCL27</stp>
        <stp>LTT</stp>
        <tr r="I121" s="1"/>
      </tp>
      <tp t="s">
        <v>09:41:00</v>
        <stp/>
        <stp>bse_cm|829LTF24</stp>
        <stp>LTT</stp>
        <tr r="I4" s="1"/>
      </tp>
      <tp>
        <v>999</v>
        <stp/>
        <stp>bse_cm|829LTF24</stp>
        <stp>LTP</stp>
        <tr r="H4" s="1"/>
      </tp>
      <tp>
        <v>0</v>
        <stp/>
        <stp>nse_cm|IIFLZC26-NN</stp>
        <stp>Open</stp>
        <tr r="M1696" s="1"/>
      </tp>
      <tp t="s">
        <v>BSE</v>
        <stp/>
        <stp>bse_cm|921ONE29</stp>
        <stp>Exchange</stp>
        <tr r="C1112" s="1"/>
      </tp>
      <tp>
        <v>0</v>
        <stp/>
        <stp>bse_cm|888SCL25</stp>
        <stp>LTP</stp>
        <tr r="H1134" s="1"/>
      </tp>
      <tp>
        <v>0</v>
        <stp/>
        <stp>bse_cm|888SCL26</stp>
        <stp>LTP</stp>
        <tr r="H915" s="1"/>
      </tp>
      <tp>
        <v>0</v>
        <stp/>
        <stp>nse_cm|845LTF24-NI</stp>
        <stp>Bid Rate</stp>
        <tr r="E942" s="1"/>
      </tp>
      <tp t="s">
        <v>00:00:00</v>
        <stp/>
        <stp>bse_cm|888SCL25</stp>
        <stp>LTT</stp>
        <tr r="I1134" s="1"/>
      </tp>
      <tp t="s">
        <v>00:00:00</v>
        <stp/>
        <stp>bse_cm|888SCL26</stp>
        <stp>LTT</stp>
        <tr r="I915" s="1"/>
      </tp>
      <tp>
        <v>950</v>
        <stp/>
        <stp>nse_cm|93SCL24A-ZN</stp>
        <stp xml:space="preserve">Low </stp>
        <tr r="O695" s="1"/>
      </tp>
      <tp>
        <v>950.22</v>
        <stp/>
        <stp>bse_cm|94MFL27A</stp>
        <stp xml:space="preserve">Low </stp>
        <tr r="O420" s="1"/>
      </tp>
      <tp>
        <v>0</v>
        <stp/>
        <stp>bse_cm|895EFS25</stp>
        <stp>Ask Rate</stp>
        <tr r="F730" s="1"/>
      </tp>
      <tp>
        <v>1015.5</v>
        <stp/>
        <stp>bse_cm|SCLZC26B</stp>
        <stp xml:space="preserve">Low </stp>
        <tr r="O992" s="1"/>
      </tp>
      <tp>
        <v>1000</v>
        <stp/>
        <stp>bse_cm|985ONE34</stp>
        <stp>Face Value</stp>
        <tr r="Q1101" s="1"/>
      </tp>
      <tp>
        <v>1321</v>
        <stp/>
        <stp>bse_cm|MFLZC26B</stp>
        <stp xml:space="preserve">Low </stp>
        <tr r="O1272" s="1"/>
      </tp>
      <tp>
        <v>1530</v>
        <stp/>
        <stp>bse_cm|KFLZC26B</stp>
        <stp xml:space="preserve">Low </stp>
        <tr r="O1711" s="1"/>
      </tp>
      <tp t="s">
        <v>INE148I07RA3</v>
        <stp/>
        <stp>nse_cm|925SCL25G-NY</stp>
        <stp>Isin code</stp>
        <tr r="R887" s="1"/>
      </tp>
      <tp t="s">
        <v>BSE</v>
        <stp/>
        <stp>bse_cm|971SCL28</stp>
        <stp>Exchange</stp>
        <tr r="C1028" s="1"/>
      </tp>
      <tp>
        <v>1000</v>
        <stp/>
        <stp>bse_cm|11KAFL29</stp>
        <stp>Face Value</stp>
        <tr r="Q662" s="1"/>
      </tp>
      <tp>
        <v>1000</v>
        <stp/>
        <stp>bse_cm|11KAFL26</stp>
        <stp>Face Value</stp>
        <tr r="Q671" s="1"/>
      </tp>
      <tp>
        <v>1000</v>
        <stp/>
        <stp>bse_cm|11KAFL27</stp>
        <stp>Face Value</stp>
        <tr r="Q184" s="1"/>
      </tp>
      <tp>
        <v>929</v>
        <stp/>
        <stp>bse_cm|865IFL28</stp>
        <stp>Ask Rate</stp>
        <tr r="F115" s="1"/>
      </tp>
      <tp>
        <v>1008</v>
        <stp/>
        <stp>bse_cm|995ECL24</stp>
        <stp>Ask Rate</stp>
        <tr r="F427" s="1"/>
      </tp>
      <tp>
        <v>950</v>
        <stp/>
        <stp>bse_cm|SCLZC26C</stp>
        <stp xml:space="preserve">Low </stp>
        <tr r="O1399" s="1"/>
      </tp>
      <tp>
        <v>1300</v>
        <stp/>
        <stp>bse_cm|MFLZC26C</stp>
        <stp xml:space="preserve">Low </stp>
        <tr r="O1350" s="1"/>
      </tp>
      <tp>
        <v>1319.2</v>
        <stp/>
        <stp>bse_cm|KFLZC26C</stp>
        <stp xml:space="preserve">Low </stp>
        <tr r="O1744" s="1"/>
      </tp>
      <tp t="s">
        <v>BSE</v>
        <stp/>
        <stp>bse_cm|971SCL29</stp>
        <stp>Exchange</stp>
        <tr r="C521" s="1"/>
      </tp>
      <tp>
        <v>1000</v>
        <stp/>
        <stp>bse_cm|10KAFL26</stp>
        <stp>Face Value</stp>
        <tr r="Q1096" s="1"/>
      </tp>
      <tp>
        <v>1000</v>
        <stp/>
        <stp>bse_cm|10KSFL25</stp>
        <stp>Face Value</stp>
        <tr r="Q107" s="1"/>
      </tp>
      <tp>
        <v>1000</v>
        <stp/>
        <stp>bse_cm|10IIFL28</stp>
        <stp>Face Value</stp>
        <tr r="Q68" s="1"/>
      </tp>
      <tp>
        <v>1000</v>
        <stp/>
        <stp>bse_cm|10IIFL29</stp>
        <stp>Face Value</stp>
        <tr r="Q307" s="1"/>
      </tp>
      <tp>
        <v>1000</v>
        <stp/>
        <stp>bse_cm|10ISFL26</stp>
        <stp>Face Value</stp>
        <tr r="Q1509" s="1"/>
      </tp>
      <tp>
        <v>1000</v>
        <stp/>
        <stp>bse_cm|10NHFL27</stp>
        <stp>Face Value</stp>
        <tr r="Q658" s="1"/>
      </tp>
      <tp>
        <v>1000</v>
        <stp/>
        <stp>bse_cm|10MMFL27</stp>
        <stp>Face Value</stp>
        <tr r="Q1090" s="1"/>
      </tp>
      <tp>
        <v>1850</v>
        <stp/>
        <stp>bse_cm|SCLZC26A</stp>
        <stp xml:space="preserve">Low </stp>
        <tr r="O1343" s="1"/>
      </tp>
      <tp>
        <v>1583</v>
        <stp/>
        <stp>bse_cm|SFLZC26A</stp>
        <stp xml:space="preserve">Low </stp>
        <tr r="O1713" s="1"/>
      </tp>
      <tp>
        <v>1602.02</v>
        <stp/>
        <stp>bse_cm|MFLZC26A</stp>
        <stp xml:space="preserve">Low </stp>
        <tr r="O1715" s="1"/>
      </tp>
      <tp>
        <v>1435.81</v>
        <stp/>
        <stp>bse_cm|KFLZC26A</stp>
        <stp xml:space="preserve">Low </stp>
        <tr r="O1442" s="1"/>
      </tp>
      <tp>
        <v>200</v>
        <stp/>
        <stp>nse_cm|855IREDA29-N2</stp>
        <stp>Volume Traded Today</stp>
        <tr r="L505" s="1"/>
      </tp>
      <tp>
        <v>0</v>
        <stp/>
        <stp>nse_cm|855IREDA34-N3</stp>
        <stp>Volume Traded Today</stp>
        <tr r="L558" s="1"/>
      </tp>
      <tp>
        <v>1000</v>
        <stp/>
        <stp>bse_cm|12ICFL25</stp>
        <stp>Face Value</stp>
        <tr r="Q1213" s="1"/>
      </tp>
      <tp>
        <v>990</v>
        <stp/>
        <stp>bse_cm|935MFL29</stp>
        <stp>Ask Rate</stp>
        <tr r="F238" s="1"/>
      </tp>
      <tp>
        <v>1009.9</v>
        <stp/>
        <stp>bse_cm|975MFL29</stp>
        <stp>Ask Rate</stp>
        <tr r="F683" s="1"/>
      </tp>
      <tp>
        <v>1090</v>
        <stp/>
        <stp>bse_cm|825MFL29</stp>
        <stp>Ask Rate</stp>
        <tr r="F473" s="1"/>
      </tp>
      <tp>
        <v>0</v>
        <stp/>
        <stp>bse_cm|SCLZC26F</stp>
        <stp xml:space="preserve">Low </stp>
        <tr r="O898" s="1"/>
      </tp>
      <tp>
        <v>1000</v>
        <stp/>
        <stp>nse_cm|955ICCL25A-NH</stp>
        <stp>Face Value</stp>
        <tr r="Q486" s="1"/>
      </tp>
      <tp>
        <v>1030</v>
        <stp/>
        <stp>bse_cm|915MFL28</stp>
        <stp>Ask Rate</stp>
        <tr r="F283" s="1"/>
      </tp>
      <tp>
        <v>970</v>
        <stp/>
        <stp>bse_cm|905MFL28</stp>
        <stp>Ask Rate</stp>
        <tr r="F207" s="1"/>
      </tp>
      <tp>
        <v>0</v>
        <stp/>
        <stp>bse_cm|875MFL28</stp>
        <stp>Ask Rate</stp>
        <tr r="F689" s="1"/>
      </tp>
      <tp>
        <v>1000</v>
        <stp/>
        <stp>bse_cm|SCLZC26G</stp>
        <stp xml:space="preserve">Low </stp>
        <tr r="O799" s="1"/>
      </tp>
      <tp>
        <v>1030</v>
        <stp/>
        <stp>bse_cm|785MFL28</stp>
        <stp>Ask Rate</stp>
        <tr r="F439" s="1"/>
      </tp>
      <tp>
        <v>1100</v>
        <stp/>
        <stp>bse_cm|935LTF29</stp>
        <stp>Ask Rate</stp>
        <tr r="F396" s="1"/>
      </tp>
      <tp>
        <v>1050</v>
        <stp/>
        <stp>bse_cm|965AEL27</stp>
        <stp>Ask Rate</stp>
        <tr r="F370" s="1"/>
      </tp>
      <tp>
        <v>0</v>
        <stp/>
        <stp>bse_cm|SCLZC26D</stp>
        <stp xml:space="preserve">Low </stp>
        <tr r="O705" s="1"/>
      </tp>
      <tp>
        <v>1279.5</v>
        <stp/>
        <stp>bse_cm|MFLZC26D</stp>
        <stp xml:space="preserve">Low </stp>
        <tr r="O1440" s="1"/>
      </tp>
      <tp>
        <v>760</v>
        <stp/>
        <stp>bse_cm|KFLZC26D</stp>
        <stp xml:space="preserve">Low </stp>
        <tr r="O1294" s="1"/>
      </tp>
      <tp t="s">
        <v>INE148I07QT5</v>
        <stp/>
        <stp>nse_cm|971SCL28A-NT</stp>
        <stp>Isin code</stp>
        <tr r="R680" s="1"/>
      </tp>
      <tp>
        <v>1020</v>
        <stp/>
        <stp>bse_cm|925AEL26</stp>
        <stp>Ask Rate</stp>
        <tr r="F335" s="1"/>
      </tp>
      <tp>
        <v>0</v>
        <stp/>
        <stp>bse_cm|SCLZC26E</stp>
        <stp xml:space="preserve">Low </stp>
        <tr r="O900" s="1"/>
      </tp>
      <tp>
        <v>1</v>
        <stp/>
        <stp>bse_cm|944MFL28A</stp>
        <stp>Bid Qty</stp>
        <tr r="D1073" s="1"/>
      </tp>
      <tp>
        <v>1005.1</v>
        <stp/>
        <stp>bse_cm|MFLZC26E</stp>
        <stp xml:space="preserve">Low </stp>
        <tr r="O1651" s="1"/>
      </tp>
      <tp>
        <v>0</v>
        <stp/>
        <stp>bse_cm|KFLZC26E</stp>
        <stp xml:space="preserve">Low </stp>
        <tr r="O1293" s="1"/>
      </tp>
      <tp t="s">
        <v>BSE</v>
        <stp/>
        <stp>bse_cm|801TCH28</stp>
        <stp>Exchange</stp>
        <tr r="C1182" s="1"/>
      </tp>
      <tp>
        <v>1000</v>
        <stp/>
        <stp>bse_cm|903ONE26</stp>
        <stp>Face Value</stp>
        <tr r="Q843" s="1"/>
      </tp>
      <tp>
        <v>981</v>
        <stp/>
        <stp>bse_cm|915MFL25</stp>
        <stp>Ask Rate</stp>
        <tr r="F105" s="1"/>
      </tp>
      <tp>
        <v>0</v>
        <stp/>
        <stp>bse_cm|925MFL25</stp>
        <stp>Ask Rate</stp>
        <tr r="F1466" s="1"/>
      </tp>
      <tp>
        <v>0</v>
        <stp/>
        <stp>bse_cm|975MFL25</stp>
        <stp>Ask Rate</stp>
        <tr r="F855" s="1"/>
      </tp>
      <tp>
        <v>0</v>
        <stp/>
        <stp>bse_cm|825MFL25</stp>
        <stp>Ask Rate</stp>
        <tr r="F596" s="1"/>
      </tp>
      <tp>
        <v>0</v>
        <stp/>
        <stp>bse_cm|105MML25</stp>
        <stp>Ask Rate</stp>
        <tr r="F1170" s="1"/>
      </tp>
      <tp>
        <v>0</v>
        <stp/>
        <stp>bse_cm|955ONE27</stp>
        <stp>Ask Rate</stp>
        <tr r="F1129" s="1"/>
      </tp>
      <tp>
        <v>0</v>
        <stp/>
        <stp>bse_cm|975MML25</stp>
        <stp>Ask Rate</stp>
        <tr r="F852" s="1"/>
      </tp>
      <tp>
        <v>0</v>
        <stp/>
        <stp>bse_cm|965MML25</stp>
        <stp>Ask Rate</stp>
        <tr r="F1107" s="1"/>
      </tp>
      <tp>
        <v>982</v>
        <stp/>
        <stp>bse_cm|735MFL25</stp>
        <stp>Ask Rate</stp>
        <tr r="F308" s="1"/>
      </tp>
      <tp>
        <v>0</v>
        <stp/>
        <stp>bse_cm|775MFL25</stp>
        <stp>Ask Rate</stp>
        <tr r="F1369" s="1"/>
      </tp>
      <tp>
        <v>0</v>
        <stp/>
        <stp>bse_cm|815LTF24</stp>
        <stp>Ask Rate</stp>
        <tr r="F1167" s="1"/>
      </tp>
      <tp>
        <v>0</v>
        <stp/>
        <stp>bse_cm|845LTF24</stp>
        <stp>Ask Rate</stp>
        <tr r="F943" s="1"/>
      </tp>
      <tp>
        <v>1000</v>
        <stp/>
        <stp>nse_cm|AEL120924B-N8</stp>
        <stp>Face Value</stp>
        <tr r="Q1640" s="1"/>
      </tp>
      <tp>
        <v>1000</v>
        <stp/>
        <stp>bse_cm|916ONE27</stp>
        <stp>Face Value</stp>
        <tr r="Q267" s="1"/>
      </tp>
      <tp>
        <v>1000</v>
        <stp/>
        <stp>bse_cm|916ONE25</stp>
        <stp>Face Value</stp>
        <tr r="Q965" s="1"/>
      </tp>
      <tp>
        <v>0</v>
        <stp/>
        <stp>bse_cm|935ONE26</stp>
        <stp>Ask Rate</stp>
        <tr r="F1173" s="1"/>
      </tp>
      <tp>
        <v>1059.8</v>
        <stp/>
        <stp>bse_cm|725MFL24</stp>
        <stp>Ask Rate</stp>
        <tr r="F446" s="1"/>
      </tp>
      <tp t="e">
        <v>#N/A</v>
        <stp/>
        <stp>bse_cm|975SFL024</stp>
        <stp>Ask Qty</stp>
        <tr r="G31" s="1"/>
      </tp>
      <tp>
        <v>0</v>
        <stp/>
        <stp>bse_cm|915MFL27</stp>
        <stp>Ask Rate</stp>
        <tr r="F614" s="1"/>
      </tp>
      <tp>
        <v>1000</v>
        <stp/>
        <stp>bse_cm|922ONE25</stp>
        <stp>Face Value</stp>
        <tr r="Q1111" s="1"/>
      </tp>
      <tp>
        <v>1002</v>
        <stp/>
        <stp>bse_cm|825MFL27</stp>
        <stp>Ask Rate</stp>
        <tr r="F344" s="1"/>
      </tp>
      <tp>
        <v>1000</v>
        <stp/>
        <stp>bse_cm|921ONE27</stp>
        <stp>Face Value</stp>
        <tr r="Q1428" s="1"/>
      </tp>
      <tp>
        <v>1000</v>
        <stp/>
        <stp>bse_cm|921ONE29</stp>
        <stp>Face Value</stp>
        <tr r="Q1112" s="1"/>
      </tp>
      <tp>
        <v>1000</v>
        <stp/>
        <stp>bse_cm|926ONE29</stp>
        <stp>Face Value</stp>
        <tr r="Q1467" s="1"/>
      </tp>
      <tp>
        <v>0</v>
        <stp/>
        <stp>bse_cm|SCLZC26H</stp>
        <stp xml:space="preserve">Low </stp>
        <tr r="O814" s="1"/>
      </tp>
      <tp>
        <v>0</v>
        <stp/>
        <stp>bse_cm|775MFL27</stp>
        <stp>Ask Rate</stp>
        <tr r="F694" s="1"/>
      </tp>
      <tp>
        <v>1079.9000000000001</v>
        <stp/>
        <stp>bse_cm|865LTF26</stp>
        <stp>Ask Rate</stp>
        <tr r="F391" s="1"/>
      </tp>
      <tp t="s">
        <v>BSE</v>
        <stp/>
        <stp>bse_cm|801TCH25</stp>
        <stp>Exchange</stp>
        <tr r="C562" s="1"/>
      </tp>
      <tp>
        <v>1051</v>
        <stp/>
        <stp>bse_cm|925MFL26</stp>
        <stp>Ask Rate</stp>
        <tr r="F230" s="1"/>
      </tp>
      <tp>
        <v>0</v>
        <stp/>
        <stp>bse_cm|975NFL25</stp>
        <stp>Ask Rate</stp>
        <tr r="F623" s="1"/>
      </tp>
      <tp>
        <v>964.8</v>
        <stp/>
        <stp>bse_cm|835MFL26</stp>
        <stp>Ask Rate</stp>
        <tr r="F169" s="1"/>
      </tp>
      <tp>
        <v>1015</v>
        <stp/>
        <stp>bse_cm|825MFL26</stp>
        <stp>Ask Rate</stp>
        <tr r="F418" s="1"/>
      </tp>
      <tp>
        <v>979.8</v>
        <stp/>
        <stp>bse_cm|875MFL26</stp>
        <stp>Ask Rate</stp>
        <tr r="F161" s="1"/>
      </tp>
      <tp>
        <v>1000</v>
        <stp/>
        <stp>bse_cm|935ONE26</stp>
        <stp>Face Value</stp>
        <tr r="Q1173" s="1"/>
      </tp>
      <tp>
        <v>1015</v>
        <stp/>
        <stp>bse_cm|944ONE34</stp>
        <stp>Ask Rate</stp>
        <tr r="F269" s="1"/>
      </tp>
      <tp>
        <v>989.8</v>
        <stp/>
        <stp>bse_cm|775MFL26</stp>
        <stp>Ask Rate</stp>
        <tr r="F328" s="1"/>
      </tp>
      <tp>
        <v>1068.9000000000001</v>
        <stp/>
        <stp>bse_cm|905LTF27</stp>
        <stp>Ask Rate</stp>
        <tr r="F394" s="1"/>
      </tp>
      <tp>
        <v>0</v>
        <stp/>
        <stp>bse_cm|885LTF27</stp>
        <stp>Ask Rate</stp>
        <tr r="F1008" s="1"/>
      </tp>
      <tp t="s">
        <v>BSE</v>
        <stp/>
        <stp>bse_cm|980SCL33</stp>
        <stp>Exchange</stp>
        <tr r="C998" s="1"/>
      </tp>
      <tp>
        <v>1010</v>
        <stp/>
        <stp>bse_cm|925KFL27</stp>
        <stp>Ask Rate</stp>
        <tr r="F313" s="1"/>
      </tp>
      <tp>
        <v>0</v>
        <stp/>
        <stp>bse_cm|835IFL25</stp>
        <stp>Ask Rate</stp>
        <tr r="F668" s="1"/>
      </tp>
      <tp>
        <v>1000</v>
        <stp/>
        <stp>bse_cm|941ONE26</stp>
        <stp>Face Value</stp>
        <tr r="Q263" s="1"/>
      </tp>
      <tp>
        <v>990</v>
        <stp/>
        <stp>bse_cm|995ECL29</stp>
        <stp>Ask Rate</stp>
        <tr r="F198" s="1"/>
      </tp>
      <tp>
        <v>1000</v>
        <stp/>
        <stp>bse_cm|944ONE34</stp>
        <stp>Face Value</stp>
        <tr r="Q269" s="1"/>
      </tp>
      <tp>
        <v>1029.8</v>
        <stp/>
        <stp>bse_cm|960EFSLA</stp>
        <stp>High</stp>
        <tr r="N699" s="1"/>
      </tp>
      <tp t="s">
        <v>BSE</v>
        <stp/>
        <stp>bse_cm|980SCL34</stp>
        <stp>Exchange</stp>
        <tr r="C829" s="1"/>
      </tp>
      <tp>
        <v>0</v>
        <stp/>
        <stp>bse_cm|925KFL26</stp>
        <stp>Ask Rate</stp>
        <tr r="F775" s="1"/>
      </tp>
      <tp>
        <v>0</v>
        <stp/>
        <stp>bse_cm|875KFL26</stp>
        <stp>Ask Rate</stp>
        <tr r="F1156" s="1"/>
      </tp>
      <tp>
        <v>939.89</v>
        <stp/>
        <stp>bse_cm|985ECL28</stp>
        <stp>Ask Rate</stp>
        <tr r="F56" s="1"/>
      </tp>
      <tp>
        <v>1000</v>
        <stp/>
        <stp>bse_cm|955ONE27</stp>
        <stp>Face Value</stp>
        <tr r="Q1129" s="1"/>
      </tp>
      <tp>
        <v>0</v>
        <stp/>
        <stp>bse_cm|97SFL26A</stp>
        <stp>Open</stp>
        <tr r="M1089" s="1"/>
      </tp>
      <tp>
        <v>1160</v>
        <stp/>
        <stp>nse_cm|CAGL25A-N4</stp>
        <stp>Prev Close</stp>
        <tr r="P709" s="1"/>
      </tp>
      <tp>
        <v>1100</v>
        <stp/>
        <stp>nse_cm|CAGL27A-N6</stp>
        <stp>Prev Close</stp>
        <tr r="P758" s="1"/>
      </tp>
      <tp>
        <v>997</v>
        <stp/>
        <stp>bse_cm|825KFL25</stp>
        <stp>Ask Rate</stp>
        <tr r="F252" s="1"/>
      </tp>
      <tp>
        <v>980</v>
        <stp/>
        <stp>bse_cm|875KFL25</stp>
        <stp>Ask Rate</stp>
        <tr r="F50" s="1"/>
      </tp>
      <tp>
        <v>44</v>
        <stp/>
        <stp>bse_cm|MFLTDII27</stp>
        <stp>Ask Qty</stp>
        <tr r="G297" s="1"/>
      </tp>
      <tp>
        <v>1000</v>
        <stp/>
        <stp>bse_cm|961ONE27</stp>
        <stp>Face Value</stp>
        <tr r="Q628" s="1"/>
      </tp>
      <tp>
        <v>110</v>
        <stp/>
        <stp>bse_cm|104ECL29A</stp>
        <stp>Bid Qty</stp>
        <tr r="D79" s="1"/>
      </tp>
      <tp>
        <v>100</v>
        <stp/>
        <stp>bse_cm|MFLTDVI25</stp>
        <stp>Ask Qty</stp>
        <tr r="G1686" s="1"/>
      </tp>
      <tp>
        <v>1000</v>
        <stp/>
        <stp>bse_cm|966ONE29</stp>
        <stp>Face Value</stp>
        <tr r="Q281" s="1"/>
      </tp>
      <tp>
        <v>0</v>
        <stp/>
        <stp>nse_cm|925IHFL25E-N8</stp>
        <stp>ATP</stp>
        <tr r="K561" s="1"/>
      </tp>
      <tp>
        <v>0</v>
        <stp/>
        <stp>bse_cm|975KLM25</stp>
        <stp>Ask Rate</stp>
        <tr r="F858" s="1"/>
      </tp>
      <tp>
        <v>0</v>
        <stp/>
        <stp>nse_cm|965IHFL25D-N7</stp>
        <stp>ATP</stp>
        <tr r="K1469" s="1"/>
      </tp>
      <tp>
        <v>0</v>
        <stp/>
        <stp>nse_cm|925IHFL25D-N6</stp>
        <stp>ATP</stp>
        <tr r="K575" s="1"/>
      </tp>
      <tp t="s">
        <v>BSE</v>
        <stp/>
        <stp>bse_cm|931SFL26</stp>
        <stp>Exchange</stp>
        <tr r="C1492" s="1"/>
      </tp>
      <tp>
        <v>1040</v>
        <stp/>
        <stp>nse_cm|930SFL28-YP</stp>
        <stp>Ask Rate</stp>
        <tr r="F6" s="1"/>
      </tp>
      <tp>
        <v>0</v>
        <stp/>
        <stp>nse_cm|925ICCL25I-NP</stp>
        <stp>ATP</stp>
        <tr r="K777" s="1"/>
      </tp>
      <tp>
        <v>0</v>
        <stp/>
        <stp>nse_cm|965ICCL25I-NQ</stp>
        <stp>ATP</stp>
        <tr r="K696" s="1"/>
      </tp>
      <tp t="s">
        <v/>
        <stp/>
        <stp>nse_cm|888IHFL25C-NR</stp>
        <stp>LTT</stp>
        <tr r="I1426" s="1"/>
      </tp>
      <tp>
        <v>960</v>
        <stp/>
        <stp>nse_cm|888IHFL25C-NR</stp>
        <stp>LTP</stp>
        <tr r="H1426" s="1"/>
      </tp>
      <tp>
        <v>0</v>
        <stp/>
        <stp>nse_cm|875IIFL26A-NQ</stp>
        <stp>ATP</stp>
        <tr r="K634" s="1"/>
      </tp>
      <tp>
        <v>1136.7</v>
        <stp/>
        <stp>nse_cm|948ICCL25A-NG</stp>
        <stp>LTP</stp>
        <tr r="H1736" s="1"/>
      </tp>
      <tp>
        <v>0</v>
        <stp/>
        <stp>nse_cm|925ICCL24A-NE</stp>
        <stp>ATP</stp>
        <tr r="K1393" s="1"/>
      </tp>
      <tp t="s">
        <v>11:08:50</v>
        <stp/>
        <stp>nse_cm|948ICCL25A-NG</stp>
        <stp>LTT</stp>
        <tr r="I1736" s="1"/>
      </tp>
      <tp t="s">
        <v/>
        <stp/>
        <stp>nse_cm|888IHFL25F-NC</stp>
        <stp>LTT</stp>
        <tr r="I343" s="1"/>
      </tp>
      <tp>
        <v>0</v>
        <stp/>
        <stp>nse_cm|955ICCL25A-NH</stp>
        <stp>ATP</stp>
        <tr r="K486" s="1"/>
      </tp>
      <tp>
        <v>1040</v>
        <stp/>
        <stp>nse_cm|888IHFL25F-NC</stp>
        <stp>LTP</stp>
        <tr r="H343" s="1"/>
      </tp>
      <tp>
        <v>0</v>
        <stp/>
        <stp>bse_cm|975IML26</stp>
        <stp>Ask Rate</stp>
        <tr r="F646" s="1"/>
      </tp>
      <tp>
        <v>0</v>
        <stp/>
        <stp>bse_cm|745IGT26</stp>
        <stp>Ask Rate</stp>
        <tr r="F1202" s="1"/>
      </tp>
      <tp>
        <v>1165</v>
        <stp/>
        <stp>nse_cm|SCL24-ZD</stp>
        <stp>Prev Close</stp>
        <tr r="P956" s="1"/>
      </tp>
      <tp>
        <v>980</v>
        <stp/>
        <stp>bse_cm|10KFL27A</stp>
        <stp>High</stp>
        <tr r="N1092" s="1"/>
      </tp>
      <tp>
        <v>908</v>
        <stp/>
        <stp>bse_cm|95KFL27A</stp>
        <stp>High</stp>
        <tr r="N132" s="1"/>
      </tp>
      <tp>
        <v>0</v>
        <stp/>
        <stp>nse_cm|905SCL25-ZT</stp>
        <stp>Ask Rate</stp>
        <tr r="F977" s="1"/>
      </tp>
      <tp>
        <v>-100</v>
        <stp/>
        <stp>bse_cm|97EFSL31A</stp>
        <stp>% Change</stp>
        <tr r="J598" s="1"/>
      </tp>
      <tp>
        <v>1.26</v>
        <stp/>
        <stp>bse_cm|93EFSL31A</stp>
        <stp>% Change</stp>
        <tr r="J85" s="1"/>
      </tp>
      <tp>
        <v>1129</v>
        <stp/>
        <stp>nse_cm|738REC27TF-N2</stp>
        <stp>Ask Rate</stp>
        <tr r="F514" s="1"/>
      </tp>
      <tp t="s">
        <v>1025JFCS28</v>
        <stp/>
        <stp>bse_cm|1025JFCS28</stp>
        <stp>Symbol</stp>
        <tr r="A363" s="1"/>
      </tp>
      <tp t="s">
        <v>9IIFL28</v>
        <stp/>
        <stp>nse_cm|9IIFL28-Y0</stp>
        <stp>Symbol</stp>
        <tr r="A175" s="1"/>
      </tp>
      <tp t="s">
        <v>79IGT28</v>
        <stp/>
        <stp>nse_cm|79IGT28-NF</stp>
        <stp>Symbol</stp>
        <tr r="A692" s="1"/>
      </tp>
      <tp t="s">
        <v>77IGT28</v>
        <stp/>
        <stp>nse_cm|77IGT28-NE</stp>
        <stp>Symbol</stp>
        <tr r="A1190" s="1"/>
      </tp>
      <tp>
        <v>0</v>
        <stp/>
        <stp>nse_cm|751HUDCO28-N5</stp>
        <stp>Open</stp>
        <tr r="M492" s="1"/>
      </tp>
      <tp>
        <v>904</v>
        <stp/>
        <stp>nse_cm|1003ICCL28-NX</stp>
        <stp>Bid Rate</stp>
        <tr r="E553" s="1"/>
      </tp>
      <tp t="s">
        <v>970CAGL28-ND</v>
        <stp/>
        <stp>nse_cm|970CAGL28-ND</stp>
        <stp>Trading Symbol</stp>
        <tr r="B306" s="1"/>
      </tp>
      <tp t="s">
        <v>INE0BUS07957</v>
        <stp/>
        <stp>bse_cm|IML28</stp>
        <stp>Isin code</stp>
        <tr r="R1458" s="1"/>
      </tp>
      <tp>
        <v>940</v>
        <stp/>
        <stp>nse_cm|1003IIFL29-NC</stp>
        <stp>Bid Rate</stp>
        <tr r="E1077" s="1"/>
      </tp>
      <tp t="s">
        <v>INE148I07SU9</v>
        <stp/>
        <stp>nse_cm|10SCL31-Z1</stp>
        <stp>Isin code</stp>
        <tr r="R866" s="1"/>
      </tp>
      <tp>
        <v>0</v>
        <stp/>
        <stp>nse_cm|855TCAPS27-N7</stp>
        <stp>Open</stp>
        <tr r="M1003" s="1"/>
      </tp>
      <tp t="s">
        <v>SCLZC26H</v>
        <stp/>
        <stp>bse_cm|SCLZC26H</stp>
        <stp>Symbol</stp>
        <tr r="A814" s="1"/>
      </tp>
      <tp t="s">
        <v>SCLZC26A</v>
        <stp/>
        <stp>bse_cm|SCLZC26A</stp>
        <stp>Symbol</stp>
        <tr r="A1343" s="1"/>
      </tp>
      <tp t="s">
        <v>SCLZC26B</v>
        <stp/>
        <stp>bse_cm|SCLZC26B</stp>
        <stp>Symbol</stp>
        <tr r="A992" s="1"/>
      </tp>
      <tp t="s">
        <v>SCLZC26C</v>
        <stp/>
        <stp>bse_cm|SCLZC26C</stp>
        <stp>Symbol</stp>
        <tr r="A1399" s="1"/>
      </tp>
      <tp t="s">
        <v>SCLZC26D</v>
        <stp/>
        <stp>bse_cm|SCLZC26D</stp>
        <stp>Symbol</stp>
        <tr r="A705" s="1"/>
      </tp>
      <tp t="s">
        <v>SCLZC26E</v>
        <stp/>
        <stp>bse_cm|SCLZC26E</stp>
        <stp>Symbol</stp>
        <tr r="A900" s="1"/>
      </tp>
      <tp t="s">
        <v>SCLZC26F</v>
        <stp/>
        <stp>bse_cm|SCLZC26F</stp>
        <stp>Symbol</stp>
        <tr r="A898" s="1"/>
      </tp>
      <tp t="s">
        <v>SCLZC26G</v>
        <stp/>
        <stp>bse_cm|SCLZC26G</stp>
        <stp>Symbol</stp>
        <tr r="A799" s="1"/>
      </tp>
      <tp t="s">
        <v>SCLZC25A</v>
        <stp/>
        <stp>bse_cm|SCLZC25A</stp>
        <stp>Symbol</stp>
        <tr r="A1233" s="1"/>
      </tp>
      <tp t="s">
        <v>SCLZC25B</v>
        <stp/>
        <stp>bse_cm|SCLZC25B</stp>
        <stp>Symbol</stp>
        <tr r="A1540" s="1"/>
      </tp>
      <tp t="s">
        <v>SCLZC25C</v>
        <stp/>
        <stp>bse_cm|SCLZC25C</stp>
        <stp>Symbol</stp>
        <tr r="A1231" s="1"/>
      </tp>
      <tp t="s">
        <v>SCLZC25D</v>
        <stp/>
        <stp>bse_cm|SCLZC25D</stp>
        <stp>Symbol</stp>
        <tr r="A1573" s="1"/>
      </tp>
      <tp t="s">
        <v>SCLZC25E</v>
        <stp/>
        <stp>bse_cm|SCLZC25E</stp>
        <stp>Symbol</stp>
        <tr r="A907" s="1"/>
      </tp>
      <tp t="s">
        <v>SCLZC25F</v>
        <stp/>
        <stp>bse_cm|SCLZC25F</stp>
        <stp>Symbol</stp>
        <tr r="A1542" s="1"/>
      </tp>
      <tp>
        <v>995</v>
        <stp/>
        <stp>nse_cm|105UCL2026-NB</stp>
        <stp>Ask Rate</stp>
        <tr r="F130" s="1"/>
      </tp>
      <tp t="s">
        <v>SFLZC26A</v>
        <stp/>
        <stp>bse_cm|SFLZC26A</stp>
        <stp>Symbol</stp>
        <tr r="A1713" s="1"/>
      </tp>
      <tp t="s">
        <v>SFLZC25A</v>
        <stp/>
        <stp>bse_cm|SFLZC25A</stp>
        <stp>Symbol</stp>
        <tr r="A1583" s="1"/>
      </tp>
      <tp>
        <v>952.02</v>
        <stp/>
        <stp>bse_cm|MFCL160924</stp>
        <stp>LTP</stp>
        <tr r="H572" s="1"/>
      </tp>
      <tp t="s">
        <v>15:07:06</v>
        <stp/>
        <stp>bse_cm|MFCL160924</stp>
        <stp>LTT</stp>
        <tr r="I572" s="1"/>
      </tp>
      <tp>
        <v>-100</v>
        <stp/>
        <stp>bse_cm|95CCIL24A</stp>
        <stp>% Change</stp>
        <tr r="J873" s="1"/>
      </tp>
      <tp t="s">
        <v>1075SCFL34</v>
        <stp/>
        <stp>bse_cm|1075SCFL34</stp>
        <stp>Symbol</stp>
        <tr r="A1020" s="1"/>
      </tp>
      <tp t="s">
        <v>1075KAFL28</v>
        <stp/>
        <stp>bse_cm|1075KAFL28</stp>
        <stp>Symbol</stp>
        <tr r="A1118" s="1"/>
      </tp>
      <tp t="s">
        <v>1075KAFL29</v>
        <stp/>
        <stp>bse_cm|1075KAFL29</stp>
        <stp>Symbol</stp>
        <tr r="A125" s="1"/>
      </tp>
      <tp t="s">
        <v>1025ICCL26</v>
        <stp/>
        <stp>bse_cm|1025ICCL26</stp>
        <stp>Symbol</stp>
        <tr r="A1175" s="1"/>
      </tp>
      <tp t="s">
        <v>1075NHFL34</v>
        <stp/>
        <stp>bse_cm|1075NHFL34</stp>
        <stp>Symbol</stp>
        <tr r="A1553" s="1"/>
      </tp>
      <tp>
        <v>-100</v>
        <stp/>
        <stp>bse_cm|10KAFL26B</stp>
        <stp>% Change</stp>
        <tr r="J1094" s="1"/>
      </tp>
      <tp t="s">
        <v>1050NIDO29</v>
        <stp/>
        <stp>bse_cm|1050NIDO29</stp>
        <stp>Symbol</stp>
        <tr r="A1124" s="1"/>
      </tp>
      <tp>
        <v>0</v>
        <stp/>
        <stp>nse_cm|865TCAPS27-N8</stp>
        <stp>Open</stp>
        <tr r="M376" s="1"/>
      </tp>
      <tp>
        <v>0</v>
        <stp/>
        <stp>bse_cm|EFSL290424</stp>
        <stp>ATP</stp>
        <tr r="K1334" s="1"/>
      </tp>
      <tp t="s">
        <v>CCIL14824A</v>
        <stp/>
        <stp>bse_cm|CCIL14824A</stp>
        <stp>Symbol</stp>
        <tr r="A590" s="1"/>
      </tp>
      <tp t="s">
        <v>CCIL14824B</v>
        <stp/>
        <stp>bse_cm|CCIL14824B</stp>
        <stp>Symbol</stp>
        <tr r="A752" s="1"/>
      </tp>
      <tp t="s">
        <v>CCIL14824C</v>
        <stp/>
        <stp>bse_cm|CCIL14824C</stp>
        <stp>Symbol</stp>
        <tr r="A751" s="1"/>
      </tp>
      <tp>
        <v>951</v>
        <stp/>
        <stp>bse_cm|1004EFSL29</stp>
        <stp>ATP</stp>
        <tr r="K1586" s="1"/>
      </tp>
      <tp>
        <v>-100</v>
        <stp/>
        <stp>bse_cm|10KAFL26A</stp>
        <stp>% Change</stp>
        <tr r="J1095" s="1"/>
      </tp>
      <tp t="s">
        <v>850NIRMA27</v>
        <stp/>
        <stp>nse_cm|850NIRMA27-N7</stp>
        <stp>Symbol</stp>
        <tr r="A1010" s="1"/>
      </tp>
      <tp t="s">
        <v>00:00:00</v>
        <stp/>
        <stp>bse_cm|1049DLSL25</stp>
        <stp>LTT</stp>
        <tr r="I84" s="1"/>
      </tp>
      <tp>
        <v>0</v>
        <stp/>
        <stp>bse_cm|1049DLSL25</stp>
        <stp>LTP</stp>
        <tr r="H84" s="1"/>
      </tp>
      <tp t="s">
        <v>11:27:42</v>
        <stp/>
        <stp>bse_cm|1049EFSL34</stp>
        <stp>LTT</stp>
        <tr r="I1584" s="1"/>
      </tp>
      <tp>
        <v>995</v>
        <stp/>
        <stp>bse_cm|1049EFSL34</stp>
        <stp>LTP</stp>
        <tr r="H1584" s="1"/>
      </tp>
      <tp>
        <v>-1.38</v>
        <stp/>
        <stp>bse_cm|916EFSL26</stp>
        <stp>% Change</stp>
        <tr r="J69" s="1"/>
      </tp>
      <tp>
        <v>-100</v>
        <stp/>
        <stp>bse_cm|915EFSL26</stp>
        <stp>% Change</stp>
        <tr r="J93" s="1"/>
      </tp>
      <tp>
        <v>-100</v>
        <stp/>
        <stp>bse_cm|920EFSL26</stp>
        <stp>% Change</stp>
        <tr r="J223" s="1"/>
      </tp>
      <tp>
        <v>-100</v>
        <stp/>
        <stp>bse_cm|939EFSL26</stp>
        <stp>% Change</stp>
        <tr r="J188" s="1"/>
      </tp>
      <tp>
        <v>-100</v>
        <stp/>
        <stp>bse_cm|950EFSL26</stp>
        <stp>% Change</stp>
        <tr r="J1493" s="1"/>
      </tp>
      <tp>
        <v>-100</v>
        <stp/>
        <stp>bse_cm|955EFSL26</stp>
        <stp>% Change</stp>
        <tr r="J503" s="1"/>
      </tp>
      <tp>
        <v>-100</v>
        <stp/>
        <stp>bse_cm|960EFSL26</stp>
        <stp>% Change</stp>
        <tr r="J690" s="1"/>
      </tp>
      <tp>
        <v>-100</v>
        <stp/>
        <stp>bse_cm|895EFSL26</stp>
        <stp>% Change</stp>
        <tr r="J109" s="1"/>
      </tp>
      <tp>
        <v>-1.05</v>
        <stp/>
        <stp>bse_cm|920EFSL27</stp>
        <stp>% Change</stp>
        <tr r="J55" s="1"/>
      </tp>
      <tp>
        <v>-100</v>
        <stp/>
        <stp>bse_cm|935EFSL27</stp>
        <stp>% Change</stp>
        <tr r="J157" s="1"/>
      </tp>
      <tp>
        <v>-100</v>
        <stp/>
        <stp>bse_cm|957EFSL27</stp>
        <stp>% Change</stp>
        <tr r="J576" s="1"/>
      </tp>
      <tp>
        <v>-100</v>
        <stp/>
        <stp>bse_cm|960EFSL27</stp>
        <stp>% Change</stp>
        <tr r="J70" s="1"/>
      </tp>
      <tp>
        <v>0.18</v>
        <stp/>
        <stp>bse_cm|975EFSL27</stp>
        <stp>% Change</stp>
        <tr r="J45" s="1"/>
      </tp>
      <tp>
        <v>-100</v>
        <stp/>
        <stp>bse_cm|895EFSL25</stp>
        <stp>% Change</stp>
        <tr r="J700" s="1"/>
      </tp>
      <tp>
        <v>-100</v>
        <stp/>
        <stp>bse_cm|925EFSL25</stp>
        <stp>% Change</stp>
        <tr r="J632" s="1"/>
      </tp>
      <tp t="s">
        <v>702HUDCO26</v>
        <stp/>
        <stp>bse_cm|702HUDCO26</stp>
        <stp>Symbol</stp>
        <tr r="A1718" s="1"/>
      </tp>
      <tp>
        <v>-100</v>
        <stp/>
        <stp>bse_cm|101EFSL28</stp>
        <stp>% Change</stp>
        <tr r="J211" s="1"/>
      </tp>
      <tp>
        <v>0</v>
        <stp/>
        <stp>nse_cm|885TCAPS29-NC</stp>
        <stp>Open</stp>
        <tr r="M13" s="1"/>
      </tp>
      <tp>
        <v>-100</v>
        <stp/>
        <stp>bse_cm|105EFSL29</stp>
        <stp>% Change</stp>
        <tr r="J1358" s="1"/>
      </tp>
      <tp>
        <v>0</v>
        <stp/>
        <stp>nse_cm|875TCAPS29-NB</stp>
        <stp>Open</stp>
        <tr r="M934" s="1"/>
      </tp>
      <tp>
        <v>975.3</v>
        <stp/>
        <stp>nse_cm|1003ISFL28-N4</stp>
        <stp>Bid Rate</stp>
        <tr r="E197" s="1"/>
      </tp>
      <tp t="s">
        <v>JMFPZC26</v>
        <stp/>
        <stp>bse_cm|JMFPZC26</stp>
        <stp>Symbol</stp>
        <tr r="A1323" s="1"/>
      </tp>
      <tp t="s">
        <v>JMFPZC25</v>
        <stp/>
        <stp>bse_cm|JMFPZC25</stp>
        <stp>Symbol</stp>
        <tr r="A1324" s="1"/>
      </tp>
      <tp>
        <v>-100</v>
        <stp/>
        <stp>bse_cm|967EFSL28</stp>
        <stp>% Change</stp>
        <tr r="J205" s="1"/>
      </tp>
      <tp t="s">
        <v>950KLMAF25</v>
        <stp/>
        <stp>bse_cm|950KLMAF25</stp>
        <stp>Symbol</stp>
        <tr r="A1149" s="1"/>
      </tp>
      <tp>
        <v>-0.53</v>
        <stp/>
        <stp>bse_cm|967EFSL29</stp>
        <stp>% Change</stp>
        <tr r="J102" s="1"/>
      </tp>
      <tp>
        <v>0</v>
        <stp/>
        <stp>nse_cm|858HUDCO29-NC</stp>
        <stp>Open</stp>
        <tr r="M1636" s="1"/>
      </tp>
      <tp t="s">
        <v>INE774D08MA6</v>
        <stp/>
        <stp>nse_cm|9MMFSML-N2</stp>
        <stp>Isin code</stp>
        <tr r="R339" s="1"/>
      </tp>
      <tp>
        <v>0</v>
        <stp/>
        <stp>nse_cm|851HUDCO28-NB</stp>
        <stp>Open</stp>
        <tr r="M502" s="1"/>
      </tp>
      <tp>
        <v>0</v>
        <stp/>
        <stp>nse_cm|810TCHFL27-ND</stp>
        <stp xml:space="preserve">Low </stp>
        <tr r="O1016" s="1"/>
      </tp>
      <tp t="s">
        <v>MFOPTVI24</v>
        <stp/>
        <stp>bse_cm|MFOPTVI24</stp>
        <stp>Trading Symbol</stp>
        <tr r="B1547" s="1"/>
      </tp>
      <tp>
        <v>0</v>
        <stp/>
        <stp>nse_cm|901HUDCO34-NE</stp>
        <stp>Open</stp>
        <tr r="M517" s="1"/>
      </tp>
      <tp t="s">
        <v>MFLTDVI25</v>
        <stp/>
        <stp>bse_cm|MFLTDVI25</stp>
        <stp>Trading Symbol</stp>
        <tr r="B1686" s="1"/>
      </tp>
      <tp>
        <v>0</v>
        <stp/>
        <stp>nse_cm|876HUDCO28-ND</stp>
        <stp>Open</stp>
        <tr r="M509" s="1"/>
      </tp>
      <tp>
        <v>-100</v>
        <stp/>
        <stp>bse_cm|925ERFL28</stp>
        <stp>% Change</stp>
        <tr r="J147" s="1"/>
      </tp>
      <tp>
        <v>-100</v>
        <stp/>
        <stp>bse_cm|888ERFL28</stp>
        <stp>% Change</stp>
        <tr r="J216" s="1"/>
      </tp>
      <tp t="s">
        <v>NSE</v>
        <stp/>
        <stp>nse_cm|847SCL25-Z2</stp>
        <stp>Exchange</stp>
        <tr r="C212" s="1"/>
      </tp>
      <tp>
        <v>0</v>
        <stp/>
        <stp>nse_cm|1077IIFL30-N7</stp>
        <stp>Volume Traded Today</stp>
        <tr r="L996" s="1"/>
      </tp>
      <tp>
        <v>0</v>
        <stp/>
        <stp>bse_cm|82TCHF25</stp>
        <stp>LTP</stp>
        <tr r="H1015" s="1"/>
      </tp>
      <tp t="s">
        <v>00:00:00</v>
        <stp/>
        <stp>bse_cm|82TCHF25</stp>
        <stp>LTT</stp>
        <tr r="I1015" s="1"/>
      </tp>
      <tp>
        <v>0</v>
        <stp/>
        <stp>nse_cm|1025ICCL26-NT</stp>
        <stp>Volume Traded Today</stp>
        <tr r="L771" s="1"/>
      </tp>
      <tp>
        <v>15</v>
        <stp/>
        <stp>nse_cm|IIFLZC28B-Y1</stp>
        <stp>Bid Qty</stp>
        <tr r="D1491" s="1"/>
      </tp>
      <tp t="s">
        <v>INE477L07AR0</v>
        <stp/>
        <stp>nse_cm|875IHFL29-ND</stp>
        <stp>Isin code</stp>
        <tr r="R77" s="1"/>
      </tp>
      <tp>
        <v>1070.55</v>
        <stp/>
        <stp>nse_cm|84TCHF28-NA</stp>
        <stp>Bid Rate</stp>
        <tr r="E402" s="1"/>
      </tp>
      <tp>
        <v>0.14000000000000001</v>
        <stp/>
        <stp>nse_cm|9MMFSML-N2</stp>
        <stp>% Change</stp>
        <tr r="J339" s="1"/>
      </tp>
      <tp>
        <v>0</v>
        <stp/>
        <stp>bse_cm|68PFCL31</stp>
        <stp>LTP</stp>
        <tr r="H1205" s="1"/>
      </tp>
      <tp t="s">
        <v>00:00:00</v>
        <stp/>
        <stp>bse_cm|68PFCL31</stp>
        <stp>LTT</stp>
        <tr r="I1205" s="1"/>
      </tp>
      <tp t="s">
        <v>00:00:00</v>
        <stp/>
        <stp>bse_cm|58PFCL26</stp>
        <stp>LTT</stp>
        <tr r="I369" s="1"/>
      </tp>
      <tp>
        <v>0</v>
        <stp/>
        <stp>bse_cm|58PFCL26</stp>
        <stp>LTP</stp>
        <tr r="H369" s="1"/>
      </tp>
      <tp>
        <v>999.33</v>
        <stp/>
        <stp>bse_cm|10NIDO27</stp>
        <stp>High</stp>
        <tr r="N597" s="1"/>
      </tp>
      <tp>
        <v>0</v>
        <stp/>
        <stp>bse_cm|SFL27A</stp>
        <stp>Ask Rate</stp>
        <tr r="F804" s="1"/>
      </tp>
      <tp>
        <v>1005.2</v>
        <stp/>
        <stp>bse_cm|95NIDO26</stp>
        <stp>High</stp>
        <tr r="N670" s="1"/>
      </tp>
      <tp>
        <v>950</v>
        <stp/>
        <stp>bse_cm|10NHFL27</stp>
        <stp>High</stp>
        <tr r="N658" s="1"/>
      </tp>
      <tp>
        <v>980</v>
        <stp/>
        <stp>bse_cm|10NIDO26</stp>
        <stp>High</stp>
        <tr r="N62" s="1"/>
      </tp>
      <tp>
        <v>1020.55</v>
        <stp/>
        <stp>bse_cm|KFL25A</stp>
        <stp>Bid Rate</stp>
        <tr r="E1703" s="1"/>
      </tp>
      <tp>
        <v>1067</v>
        <stp/>
        <stp>bse_cm|MFL23A</stp>
        <stp>Bid Rate</stp>
        <tr r="E1560" s="1"/>
      </tp>
      <tp>
        <v>1018.8</v>
        <stp/>
        <stp>bse_cm|KFL25B</stp>
        <stp>Bid Rate</stp>
        <tr r="E1308" s="1"/>
      </tp>
      <tp>
        <v>952.85</v>
        <stp/>
        <stp>bse_cm|KFL25C</stp>
        <stp>Bid Rate</stp>
        <tr r="E1307" s="1"/>
      </tp>
      <tp>
        <v>912.81</v>
        <stp/>
        <stp>bse_cm|KFL25D</stp>
        <stp>Bid Rate</stp>
        <tr r="E1688" s="1"/>
      </tp>
      <tp t="s">
        <v>10:35:34</v>
        <stp/>
        <stp>nse_cm|880IREDA29-N5</stp>
        <stp>LTT</stp>
        <tr r="I510" s="1"/>
      </tp>
      <tp t="s">
        <v/>
        <stp/>
        <stp>nse_cm|880IREDA34-N6</stp>
        <stp>LTT</stp>
        <tr r="I511" s="1"/>
      </tp>
      <tp>
        <v>1170</v>
        <stp/>
        <stp>nse_cm|880IREDA29-N5</stp>
        <stp>LTP</stp>
        <tr r="H510" s="1"/>
      </tp>
      <tp>
        <v>1292</v>
        <stp/>
        <stp>nse_cm|880IREDA34-N6</stp>
        <stp>LTP</stp>
        <tr r="H511" s="1"/>
      </tp>
      <tp t="s">
        <v>11:14:41</v>
        <stp/>
        <stp>bse_cm|98EFSL26</stp>
        <stp>LTT</stp>
        <tr r="I82" s="1"/>
      </tp>
      <tp>
        <v>1041</v>
        <stp/>
        <stp>bse_cm|98EFSL26</stp>
        <stp>LTP</stp>
        <tr r="H82" s="1"/>
      </tp>
      <tp>
        <v>0</v>
        <stp/>
        <stp>nse_cm|SCL310524A-ZK</stp>
        <stp>ATP</stp>
        <tr r="K1445" s="1"/>
      </tp>
      <tp>
        <v>-100</v>
        <stp/>
        <stp>bse_cm|CAGL27A</stp>
        <stp>% Change</stp>
        <tr r="J1379" s="1"/>
      </tp>
      <tp t="s">
        <v>00:00:00</v>
        <stp/>
        <stp>bse_cm|MFLZC29A</stp>
        <stp>LTT</stp>
        <tr r="I1554" s="1"/>
      </tp>
      <tp>
        <v>0</v>
        <stp/>
        <stp>bse_cm|MFLZC29A</stp>
        <stp>LTP</stp>
        <tr r="H1554" s="1"/>
      </tp>
      <tp t="s">
        <v>00:00:00</v>
        <stp/>
        <stp>bse_cm|KFLZC28A</stp>
        <stp>LTT</stp>
        <tr r="I1289" s="1"/>
      </tp>
      <tp>
        <v>0</v>
        <stp/>
        <stp>bse_cm|MFLZC28E</stp>
        <stp>LTP</stp>
        <tr r="H1269" s="1"/>
      </tp>
      <tp t="s">
        <v>00:00:00</v>
        <stp/>
        <stp>bse_cm|KFLZC28C</stp>
        <stp>LTT</stp>
        <tr r="I1287" s="1"/>
      </tp>
      <tp t="s">
        <v>00:00:00</v>
        <stp/>
        <stp>bse_cm|KFLZC28B</stp>
        <stp>LTT</stp>
        <tr r="I1288" s="1"/>
      </tp>
      <tp>
        <v>0</v>
        <stp/>
        <stp>bse_cm|MFLZC28F</stp>
        <stp>LTP</stp>
        <tr r="H1268" s="1"/>
      </tp>
      <tp>
        <v>0</v>
        <stp/>
        <stp>bse_cm|KFLZC28A</stp>
        <stp>LTP</stp>
        <tr r="H1289" s="1"/>
      </tp>
      <tp t="s">
        <v>00:00:00</v>
        <stp/>
        <stp>bse_cm|MFLZC28E</stp>
        <stp>LTT</stp>
        <tr r="I1269" s="1"/>
      </tp>
      <tp>
        <v>0</v>
        <stp/>
        <stp>bse_cm|KFLZC28C</stp>
        <stp>LTP</stp>
        <tr r="H1287" s="1"/>
      </tp>
      <tp>
        <v>0</v>
        <stp/>
        <stp>bse_cm|KFLZC28B</stp>
        <stp>LTP</stp>
        <tr r="H1288" s="1"/>
      </tp>
      <tp t="s">
        <v>00:00:00</v>
        <stp/>
        <stp>bse_cm|MFLZC28F</stp>
        <stp>LTT</stp>
        <tr r="I1268" s="1"/>
      </tp>
      <tp>
        <v>845.8</v>
        <stp/>
        <stp>bse_cm|CCILZC30</stp>
        <stp xml:space="preserve">Low </stp>
        <tr r="O746" s="1"/>
      </tp>
      <tp>
        <v>50</v>
        <stp/>
        <stp>nse_cm|IIFLZC28C-N6</stp>
        <stp>Bid Qty</stp>
        <tr r="D1656" s="1"/>
      </tp>
      <tp>
        <v>60</v>
        <stp/>
        <stp>nse_cm|IIFLZC25C-N8</stp>
        <stp>Bid Qty</stp>
        <tr r="D1748" s="1"/>
      </tp>
      <tp>
        <v>10</v>
        <stp/>
        <stp>nse_cm|CIFCZC26A-N3</stp>
        <stp>Bid Qty</stp>
        <tr r="D1565" s="1"/>
      </tp>
      <tp>
        <v>10</v>
        <stp/>
        <stp>nse_cm|CIFCZC25A-N1</stp>
        <stp>Bid Qty</stp>
        <tr r="D1730" s="1"/>
      </tp>
      <tp>
        <v>5</v>
        <stp/>
        <stp>nse_cm|CIFCZC28A-N5</stp>
        <stp>Bid Qty</stp>
        <tr r="D1559" s="1"/>
      </tp>
      <tp>
        <v>5</v>
        <stp/>
        <stp>nse_cm|IIFLZC26B-NY</stp>
        <stp>Bid Qty</stp>
        <tr r="D1629" s="1"/>
      </tp>
      <tp>
        <v>20</v>
        <stp/>
        <stp>nse_cm|IIFLZC28A-NU</stp>
        <stp>Bid Qty</stp>
        <tr r="D1624" s="1"/>
      </tp>
      <tp>
        <v>10</v>
        <stp/>
        <stp>nse_cm|IIFLZC26A-NR</stp>
        <stp>Bid Qty</stp>
        <tr r="D1680" s="1"/>
      </tp>
      <tp>
        <v>10</v>
        <stp/>
        <stp>nse_cm|IIFLZC25A-NP</stp>
        <stp>Bid Qty</stp>
        <tr r="D1578" s="1"/>
      </tp>
      <tp>
        <v>200</v>
        <stp/>
        <stp>nse_cm|IIFLZC25B-NW</stp>
        <stp>Bid Qty</stp>
        <tr r="D1684" s="1"/>
      </tp>
      <tp t="s">
        <v>00:00:00</v>
        <stp/>
        <stp>bse_cm|78ABFL33</stp>
        <stp>LTT</stp>
        <tr r="I378" s="1"/>
      </tp>
      <tp>
        <v>0</v>
        <stp/>
        <stp>bse_cm|78ABFL33</stp>
        <stp>LTP</stp>
        <tr r="H378" s="1"/>
      </tp>
      <tp>
        <v>0</v>
        <stp/>
        <stp>nse_cm|1075SCFL34-Z6</stp>
        <stp>Volume Traded Today</stp>
        <tr r="L882" s="1"/>
      </tp>
      <tp>
        <v>0</v>
        <stp/>
        <stp>bse_cm|95CCIL25</stp>
        <stp>ATP</stp>
        <tr r="K37" s="1"/>
      </tp>
      <tp>
        <v>6660</v>
        <stp/>
        <stp>nse_cm|901NHB34-N6</stp>
        <stp>Bid Rate</stp>
        <tr r="E520" s="1"/>
      </tp>
      <tp>
        <v>0</v>
        <stp/>
        <stp>nse_cm|NIDOZC26-N7</stp>
        <stp>Open</stp>
        <tr r="M28" s="1"/>
      </tp>
      <tp>
        <v>0</v>
        <stp/>
        <stp>bse_cm|792TCH25</stp>
        <stp>Volume Traded Today</stp>
        <tr r="L1188" s="1"/>
      </tp>
      <tp t="s">
        <v>905SC24B-Z9</v>
        <stp/>
        <stp>nse_cm|905SC24B-Z9</stp>
        <stp>Trading Symbol</stp>
        <tr r="B637" s="1"/>
      </tp>
      <tp>
        <v>0</v>
        <stp/>
        <stp>bse_cm|SFL27224</stp>
        <stp>LTP</stp>
        <tr r="H805" s="1"/>
      </tp>
      <tp>
        <v>0</v>
        <stp/>
        <stp>bse_cm|MML11924</stp>
        <stp>LTP</stp>
        <tr r="H1536" s="1"/>
      </tp>
      <tp t="s">
        <v>00:00:00</v>
        <stp/>
        <stp>bse_cm|SFL27224</stp>
        <stp>LTT</stp>
        <tr r="I805" s="1"/>
      </tp>
      <tp t="s">
        <v>00:00:00</v>
        <stp/>
        <stp>bse_cm|MML11924</stp>
        <stp>LTT</stp>
        <tr r="I1536" s="1"/>
      </tp>
      <tp>
        <v>0</v>
        <stp/>
        <stp>bse_cm|941ONE26</stp>
        <stp>Volume Traded Today</stp>
        <tr r="L263" s="1"/>
      </tp>
      <tp>
        <v>980</v>
        <stp/>
        <stp>bse_cm|88NWIL25</stp>
        <stp>High</stp>
        <tr r="N219" s="1"/>
      </tp>
      <tp>
        <v>0</v>
        <stp/>
        <stp>bse_cm|98NWFL30</stp>
        <stp>LTP</stp>
        <tr r="H231" s="1"/>
      </tp>
      <tp t="s">
        <v>00:00:00</v>
        <stp/>
        <stp>bse_cm|98NWFL30</stp>
        <stp>LTT</stp>
        <tr r="I231" s="1"/>
      </tp>
      <tp t="s">
        <v>00:00:00</v>
        <stp/>
        <stp>bse_cm|88NWIL25</stp>
        <stp>LTT</stp>
        <tr r="I219" s="1"/>
      </tp>
      <tp>
        <v>0</v>
        <stp/>
        <stp>bse_cm|88NWIL25</stp>
        <stp>LTP</stp>
        <tr r="H219" s="1"/>
      </tp>
      <tp t="s">
        <v>00:00:00</v>
        <stp/>
        <stp>bse_cm|MFLII27B</stp>
        <stp>LTT</stp>
        <tr r="I359" s="1"/>
      </tp>
      <tp t="s">
        <v>INE583D07414</v>
        <stp/>
        <stp>nse_cm|1025UCL25-N8</stp>
        <stp>Isin code</stp>
        <tr r="R217" s="1"/>
      </tp>
      <tp>
        <v>0</v>
        <stp/>
        <stp>bse_cm|MFLIV27D</stp>
        <stp>LTP</stp>
        <tr r="H1452" s="1"/>
      </tp>
      <tp>
        <v>0</v>
        <stp/>
        <stp>bse_cm|MFLII27B</stp>
        <stp>LTP</stp>
        <tr r="H359" s="1"/>
      </tp>
      <tp t="s">
        <v>00:00:00</v>
        <stp/>
        <stp>bse_cm|MFLIV27D</stp>
        <stp>LTT</stp>
        <tr r="I1452" s="1"/>
      </tp>
      <tp t="s">
        <v>00:00:00</v>
        <stp/>
        <stp>bse_cm|KFLZC27A</stp>
        <stp>LTT</stp>
        <tr r="I1291" s="1"/>
      </tp>
      <tp t="s">
        <v>00:00:00</v>
        <stp/>
        <stp>bse_cm|MFLZC27A</stp>
        <stp>LTT</stp>
        <tr r="I1270" s="1"/>
      </tp>
      <tp>
        <v>0</v>
        <stp/>
        <stp>bse_cm|MFLZC27E</stp>
        <stp>LTP</stp>
        <tr r="H1677" s="1"/>
      </tp>
      <tp>
        <v>0</v>
        <stp/>
        <stp>bse_cm|MFLZC27D</stp>
        <stp>LTP</stp>
        <tr r="H1700" s="1"/>
      </tp>
      <tp t="s">
        <v>00:00:00</v>
        <stp/>
        <stp>bse_cm|MFLZC27C</stp>
        <stp>LTT</stp>
        <tr r="I1411" s="1"/>
      </tp>
      <tp t="s">
        <v>00:00:00</v>
        <stp/>
        <stp>bse_cm|MFLZC27B</stp>
        <stp>LTT</stp>
        <tr r="I1697" s="1"/>
      </tp>
      <tp>
        <v>0</v>
        <stp/>
        <stp>bse_cm|MFLZC27F</stp>
        <stp>LTP</stp>
        <tr r="H1566" s="1"/>
      </tp>
      <tp>
        <v>0</v>
        <stp/>
        <stp>bse_cm|KFLZC27A</stp>
        <stp>LTP</stp>
        <tr r="H1291" s="1"/>
      </tp>
      <tp>
        <v>0</v>
        <stp/>
        <stp>bse_cm|MFLZC27A</stp>
        <stp>LTP</stp>
        <tr r="H1270" s="1"/>
      </tp>
      <tp t="s">
        <v>00:00:00</v>
        <stp/>
        <stp>bse_cm|MFLZC27E</stp>
        <stp>LTT</stp>
        <tr r="I1677" s="1"/>
      </tp>
      <tp t="s">
        <v>00:00:00</v>
        <stp/>
        <stp>bse_cm|MFLZC27D</stp>
        <stp>LTT</stp>
        <tr r="I1700" s="1"/>
      </tp>
      <tp>
        <v>0</v>
        <stp/>
        <stp>bse_cm|MFLZC27C</stp>
        <stp>LTP</stp>
        <tr r="H1411" s="1"/>
      </tp>
      <tp>
        <v>0</v>
        <stp/>
        <stp>bse_cm|MFLZC27B</stp>
        <stp>LTP</stp>
        <tr r="H1697" s="1"/>
      </tp>
      <tp t="s">
        <v>00:00:00</v>
        <stp/>
        <stp>bse_cm|MFLZC27F</stp>
        <stp>LTT</stp>
        <tr r="I1566" s="1"/>
      </tp>
      <tp>
        <v>0</v>
        <stp/>
        <stp>bse_cm|85IIFL25</stp>
        <stp>ATP</stp>
        <tr r="K134" s="1"/>
      </tp>
      <tp>
        <v>0</v>
        <stp/>
        <stp>bse_cm|98ICCL26</stp>
        <stp>LTP</stp>
        <tr r="H1412" s="1"/>
      </tp>
      <tp t="s">
        <v>00:00:00</v>
        <stp/>
        <stp>bse_cm|98ICCL26</stp>
        <stp>LTT</stp>
        <tr r="I1412" s="1"/>
      </tp>
      <tp t="s">
        <v>00:00:00</v>
        <stp/>
        <stp>bse_cm|MFLII26B</stp>
        <stp>LTT</stp>
        <tr r="I1454" s="1"/>
      </tp>
      <tp>
        <v>0</v>
        <stp/>
        <stp>bse_cm|MFLII26B</stp>
        <stp>LTP</stp>
        <tr r="H1454" s="1"/>
      </tp>
      <tp t="s">
        <v>00:00:00</v>
        <stp/>
        <stp>bse_cm|SFLZC26A</stp>
        <stp>LTT</stp>
        <tr r="I1713" s="1"/>
      </tp>
      <tp t="s">
        <v>00:00:00</v>
        <stp/>
        <stp>bse_cm|KFLZC26A</stp>
        <stp>LTT</stp>
        <tr r="I1442" s="1"/>
      </tp>
      <tp>
        <v>0</v>
        <stp/>
        <stp>bse_cm|KFLZC26E</stp>
        <stp>LTP</stp>
        <tr r="H1293" s="1"/>
      </tp>
      <tp t="s">
        <v>00:00:00</v>
        <stp/>
        <stp>bse_cm|MFLZC26A</stp>
        <stp>LTT</stp>
        <tr r="I1715" s="1"/>
      </tp>
      <tp>
        <v>0</v>
        <stp/>
        <stp>bse_cm|MFLZC26E</stp>
        <stp>LTP</stp>
        <tr r="H1651" s="1"/>
      </tp>
      <tp>
        <v>0</v>
        <stp/>
        <stp>bse_cm|KFLZC26D</stp>
        <stp>LTP</stp>
        <tr r="H1294" s="1"/>
      </tp>
      <tp>
        <v>0</v>
        <stp/>
        <stp>bse_cm|MFLZC26D</stp>
        <stp>LTP</stp>
        <tr r="H1440" s="1"/>
      </tp>
      <tp t="s">
        <v>00:00:00</v>
        <stp/>
        <stp>bse_cm|KFLZC26C</stp>
        <stp>LTT</stp>
        <tr r="I1744" s="1"/>
      </tp>
      <tp t="s">
        <v>00:00:00</v>
        <stp/>
        <stp>bse_cm|MFLZC26C</stp>
        <stp>LTT</stp>
        <tr r="I1350" s="1"/>
      </tp>
      <tp t="s">
        <v>00:00:00</v>
        <stp/>
        <stp>bse_cm|KFLZC26B</stp>
        <stp>LTT</stp>
        <tr r="I1711" s="1"/>
      </tp>
      <tp t="s">
        <v>00:00:00</v>
        <stp/>
        <stp>bse_cm|MFLZC26B</stp>
        <stp>LTT</stp>
        <tr r="I1272" s="1"/>
      </tp>
      <tp>
        <v>0</v>
        <stp/>
        <stp>bse_cm|SFLZC26A</stp>
        <stp>LTP</stp>
        <tr r="H1713" s="1"/>
      </tp>
      <tp>
        <v>0</v>
        <stp/>
        <stp>bse_cm|KFLZC26A</stp>
        <stp>LTP</stp>
        <tr r="H1442" s="1"/>
      </tp>
      <tp t="s">
        <v>00:00:00</v>
        <stp/>
        <stp>bse_cm|KFLZC26E</stp>
        <stp>LTT</stp>
        <tr r="I1293" s="1"/>
      </tp>
      <tp>
        <v>0</v>
        <stp/>
        <stp>bse_cm|MFLZC26A</stp>
        <stp>LTP</stp>
        <tr r="H1715" s="1"/>
      </tp>
      <tp t="s">
        <v>00:00:00</v>
        <stp/>
        <stp>bse_cm|MFLZC26E</stp>
        <stp>LTT</stp>
        <tr r="I1651" s="1"/>
      </tp>
      <tp t="s">
        <v>00:00:00</v>
        <stp/>
        <stp>bse_cm|KFLZC26D</stp>
        <stp>LTT</stp>
        <tr r="I1294" s="1"/>
      </tp>
      <tp t="s">
        <v>00:00:00</v>
        <stp/>
        <stp>bse_cm|MFLZC26D</stp>
        <stp>LTT</stp>
        <tr r="I1440" s="1"/>
      </tp>
      <tp>
        <v>0</v>
        <stp/>
        <stp>bse_cm|KFLZC26C</stp>
        <stp>LTP</stp>
        <tr r="H1744" s="1"/>
      </tp>
      <tp>
        <v>0</v>
        <stp/>
        <stp>bse_cm|MFLZC26C</stp>
        <stp>LTP</stp>
        <tr r="H1350" s="1"/>
      </tp>
      <tp>
        <v>0</v>
        <stp/>
        <stp>bse_cm|KFLZC26B</stp>
        <stp>LTP</stp>
        <tr r="H1711" s="1"/>
      </tp>
      <tp>
        <v>0</v>
        <stp/>
        <stp>bse_cm|MFLZC26B</stp>
        <stp>LTP</stp>
        <tr r="H1272" s="1"/>
      </tp>
      <tp>
        <v>0</v>
        <stp/>
        <stp>bse_cm|944ONE34</stp>
        <stp>Volume Traded Today</stp>
        <tr r="L269" s="1"/>
      </tp>
      <tp t="s">
        <v>00:00:00</v>
        <stp/>
        <stp>bse_cm|SFLZC25A</stp>
        <stp>LTT</stp>
        <tr r="I1583" s="1"/>
      </tp>
      <tp t="s">
        <v>00:00:00</v>
        <stp/>
        <stp>bse_cm|KFLZC25A</stp>
        <stp>LTT</stp>
        <tr r="I1738" s="1"/>
      </tp>
      <tp>
        <v>0</v>
        <stp/>
        <stp>bse_cm|KFLZC25E</stp>
        <stp>LTP</stp>
        <tr r="H1530" s="1"/>
      </tp>
      <tp t="s">
        <v>00:00:00</v>
        <stp/>
        <stp>bse_cm|MFLZC25A</stp>
        <stp>LTT</stp>
        <tr r="I1757" s="1"/>
      </tp>
      <tp>
        <v>0</v>
        <stp/>
        <stp>bse_cm|KFLZC25D</stp>
        <stp>LTP</stp>
        <tr r="H1735" s="1"/>
      </tp>
      <tp>
        <v>0</v>
        <stp/>
        <stp>bse_cm|MFLZC25D</stp>
        <stp>LTP</stp>
        <tr r="H1520" s="1"/>
      </tp>
      <tp t="s">
        <v>00:00:00</v>
        <stp/>
        <stp>bse_cm|KFLZC25C</stp>
        <stp>LTT</stp>
        <tr r="I1295" s="1"/>
      </tp>
      <tp t="s">
        <v>00:00:00</v>
        <stp/>
        <stp>bse_cm|MFLZC25C</stp>
        <stp>LTT</stp>
        <tr r="I1579" s="1"/>
      </tp>
      <tp t="s">
        <v>00:00:00</v>
        <stp/>
        <stp>bse_cm|KFLZC25B</stp>
        <stp>LTT</stp>
        <tr r="I1739" s="1"/>
      </tp>
      <tp t="s">
        <v>00:00:00</v>
        <stp/>
        <stp>bse_cm|MFLZC25B</stp>
        <stp>LTT</stp>
        <tr r="I1273" s="1"/>
      </tp>
      <tp>
        <v>0</v>
        <stp/>
        <stp>bse_cm|SFLZC25A</stp>
        <stp>LTP</stp>
        <tr r="H1583" s="1"/>
      </tp>
      <tp>
        <v>0</v>
        <stp/>
        <stp>bse_cm|KFLZC25A</stp>
        <stp>LTP</stp>
        <tr r="H1738" s="1"/>
      </tp>
      <tp t="s">
        <v>00:00:00</v>
        <stp/>
        <stp>bse_cm|KFLZC25E</stp>
        <stp>LTT</stp>
        <tr r="I1530" s="1"/>
      </tp>
      <tp>
        <v>0</v>
        <stp/>
        <stp>bse_cm|MFLZC25A</stp>
        <stp>LTP</stp>
        <tr r="H1757" s="1"/>
      </tp>
      <tp t="s">
        <v>00:00:00</v>
        <stp/>
        <stp>bse_cm|KFLZC25D</stp>
        <stp>LTT</stp>
        <tr r="I1735" s="1"/>
      </tp>
      <tp t="s">
        <v>00:00:00</v>
        <stp/>
        <stp>bse_cm|MFLZC25D</stp>
        <stp>LTT</stp>
        <tr r="I1520" s="1"/>
      </tp>
      <tp>
        <v>0</v>
        <stp/>
        <stp>bse_cm|KFLZC25C</stp>
        <stp>LTP</stp>
        <tr r="H1295" s="1"/>
      </tp>
      <tp>
        <v>0</v>
        <stp/>
        <stp>bse_cm|MFLZC25C</stp>
        <stp>LTP</stp>
        <tr r="H1579" s="1"/>
      </tp>
      <tp>
        <v>0</v>
        <stp/>
        <stp>bse_cm|KFLZC25B</stp>
        <stp>LTP</stp>
        <tr r="H1739" s="1"/>
      </tp>
      <tp>
        <v>0</v>
        <stp/>
        <stp>bse_cm|MFLZC25B</stp>
        <stp>LTP</stp>
        <tr r="H1273" s="1"/>
      </tp>
      <tp>
        <v>0</v>
        <stp/>
        <stp>bse_cm|95KAFL25</stp>
        <stp>ATP</stp>
        <tr r="K40" s="1"/>
      </tp>
      <tp>
        <v>0</v>
        <stp/>
        <stp>bse_cm|KFLZC24D</stp>
        <stp>LTP</stp>
        <tr r="H1296" s="1"/>
      </tp>
      <tp>
        <v>1589</v>
        <stp/>
        <stp>bse_cm|MFLZC24D</stp>
        <stp>LTP</stp>
        <tr r="H1550" s="1"/>
      </tp>
      <tp t="s">
        <v>00:00:00</v>
        <stp/>
        <stp>bse_cm|MFLZC24C</stp>
        <stp>LTT</stp>
        <tr r="I1551" s="1"/>
      </tp>
      <tp t="s">
        <v>00:00:00</v>
        <stp/>
        <stp>bse_cm|KFLZC24D</stp>
        <stp>LTT</stp>
        <tr r="I1296" s="1"/>
      </tp>
      <tp t="s">
        <v>00:00:00</v>
        <stp/>
        <stp>bse_cm|MFLZC24D</stp>
        <stp>LTT</stp>
        <tr r="I1550" s="1"/>
      </tp>
      <tp>
        <v>0</v>
        <stp/>
        <stp>bse_cm|MFLZC24C</stp>
        <stp>LTP</stp>
        <tr r="H1551" s="1"/>
      </tp>
      <tp>
        <v>0</v>
        <stp/>
        <stp>nse_cm|905SCL27-Z4</stp>
        <stp>Ask Rate</stp>
        <tr r="F947" s="1"/>
      </tp>
      <tp t="s">
        <v>BSE</v>
        <stp/>
        <stp>bse_cm|910MFL26</stp>
        <stp>Exchange</stp>
        <tr r="C277" s="1"/>
      </tp>
      <tp t="s">
        <v>BSE</v>
        <stp/>
        <stp>bse_cm|890MFL26</stp>
        <stp>Exchange</stp>
        <tr r="C1478" s="1"/>
      </tp>
      <tp>
        <v>930.58</v>
        <stp/>
        <stp>bse_cm|995ECL29</stp>
        <stp>LTP</stp>
        <tr r="H198" s="1"/>
      </tp>
      <tp t="s">
        <v>09:47:09</v>
        <stp/>
        <stp>bse_cm|995ECL29</stp>
        <stp>LTT</stp>
        <tr r="I198" s="1"/>
      </tp>
      <tp t="s">
        <v>10:08:42</v>
        <stp/>
        <stp>bse_cm|995ECL24</stp>
        <stp>LTT</stp>
        <tr r="I427" s="1"/>
      </tp>
      <tp>
        <v>0</v>
        <stp/>
        <stp>bse_cm|935LTF29</stp>
        <stp>LTP</stp>
        <tr r="H396" s="1"/>
      </tp>
      <tp>
        <v>999</v>
        <stp/>
        <stp>bse_cm|995ECL24</stp>
        <stp>LTP</stp>
        <tr r="H427" s="1"/>
      </tp>
      <tp t="s">
        <v>00:00:00</v>
        <stp/>
        <stp>bse_cm|935LTF29</stp>
        <stp>LTT</stp>
        <tr r="I396" s="1"/>
      </tp>
      <tp>
        <v>1047.58</v>
        <stp/>
        <stp>bse_cm|825MFL2026</stp>
        <stp>Prev Close</stp>
        <tr r="P318" s="1"/>
      </tp>
      <tp>
        <v>1009.8</v>
        <stp/>
        <stp>bse_cm|775MFL2025</stp>
        <stp>Prev Close</stp>
        <tr r="P336" s="1"/>
      </tp>
      <tp>
        <v>975</v>
        <stp/>
        <stp>bse_cm|775MFL2026</stp>
        <stp>Prev Close</stp>
        <tr r="P240" s="1"/>
      </tp>
      <tp>
        <v>980</v>
        <stp/>
        <stp>bse_cm|785MFL2028</stp>
        <stp>Prev Close</stp>
        <tr r="P357" s="1"/>
      </tp>
      <tp t="s">
        <v>BSE</v>
        <stp/>
        <stp>bse_cm|750MFL27</stp>
        <stp>Exchange</stp>
        <tr r="C274" s="1"/>
      </tp>
      <tp t="s">
        <v>BSE</v>
        <stp/>
        <stp>bse_cm|950MFL27</stp>
        <stp>Exchange</stp>
        <tr r="C1147" s="1"/>
      </tp>
      <tp>
        <v>0</v>
        <stp/>
        <stp>bse_cm|894SCL24</stp>
        <stp>LTP</stp>
        <tr r="H645" s="1"/>
      </tp>
      <tp t="s">
        <v>BSE</v>
        <stp/>
        <stp>bse_cm|870MFL27</stp>
        <stp>Exchange</stp>
        <tr r="C399" s="1"/>
      </tp>
      <tp t="s">
        <v>BSE</v>
        <stp/>
        <stp>bse_cm|840MFL27</stp>
        <stp>Exchange</stp>
        <tr r="C133" s="1"/>
      </tp>
      <tp t="s">
        <v>BSE</v>
        <stp/>
        <stp>bse_cm|850MFL27</stp>
        <stp>Exchange</stp>
        <tr r="C265" s="1"/>
      </tp>
      <tp>
        <v>0</v>
        <stp/>
        <stp>bse_cm|894SCL25</stp>
        <stp>LTP</stp>
        <tr r="H1517" s="1"/>
      </tp>
      <tp>
        <v>0</v>
        <stp/>
        <stp>bse_cm|894SCL27</stp>
        <stp>LTP</stp>
        <tr r="H962" s="1"/>
      </tp>
      <tp t="s">
        <v>00:00:00</v>
        <stp/>
        <stp>bse_cm|894SCL24</stp>
        <stp>LTT</stp>
        <tr r="I645" s="1"/>
      </tp>
      <tp t="s">
        <v>00:00:00</v>
        <stp/>
        <stp>bse_cm|894SCL25</stp>
        <stp>LTT</stp>
        <tr r="I1517" s="1"/>
      </tp>
      <tp t="s">
        <v>00:00:00</v>
        <stp/>
        <stp>bse_cm|894SCL27</stp>
        <stp>LTT</stp>
        <tr r="I962" s="1"/>
      </tp>
      <tp>
        <v>0</v>
        <stp/>
        <stp>nse_cm|820SCL25-YO</stp>
        <stp>Ask Rate</stp>
        <tr r="F932" s="1"/>
      </tp>
      <tp>
        <v>0</v>
        <stp/>
        <stp>bse_cm|944MFL28</stp>
        <stp>ATP</stp>
        <tr r="K677" s="1"/>
      </tp>
      <tp>
        <v>200</v>
        <stp/>
        <stp>bse_cm|99IFCI24</stp>
        <stp>Volume Traded Today</stp>
        <tr r="L41" s="1"/>
      </tp>
      <tp>
        <v>9</v>
        <stp/>
        <stp>bse_cm|835SCL23B</stp>
        <stp>Bid Qty</stp>
        <tr r="D167" s="1"/>
      </tp>
      <tp>
        <v>5</v>
        <stp/>
        <stp>bse_cm|875SCL23A</stp>
        <stp>Bid Qty</stp>
        <tr r="D194" s="1"/>
      </tp>
      <tp>
        <v>20</v>
        <stp/>
        <stp>bse_cm|835SCL23A</stp>
        <stp>Bid Qty</stp>
        <tr r="D1104" s="1"/>
      </tp>
      <tp t="s">
        <v>BSE</v>
        <stp/>
        <stp>bse_cm|950MML24</stp>
        <stp>Exchange</stp>
        <tr r="C304" s="1"/>
      </tp>
      <tp t="s">
        <v>BSE</v>
        <stp/>
        <stp>bse_cm|850MFL24</stp>
        <stp>Exchange</stp>
        <tr r="C1100" s="1"/>
      </tp>
      <tp>
        <v>0</v>
        <stp/>
        <stp>bse_cm|847SCL25</stp>
        <stp>ATP</stp>
        <tr r="K941" s="1"/>
      </tp>
      <tp>
        <v>1130</v>
        <stp/>
        <stp>bse_cm|935PEL33</stp>
        <stp>Ask Rate</stp>
        <tr r="F368" s="1"/>
      </tp>
      <tp>
        <v>954</v>
        <stp/>
        <stp>bse_cm|MFLII27B</stp>
        <stp xml:space="preserve">Low </stp>
        <tr r="O359" s="1"/>
      </tp>
      <tp t="s">
        <v>NSE</v>
        <stp/>
        <stp>nse_cm|866SCL25-YP</stp>
        <stp>Exchange</stp>
        <tr r="C933" s="1"/>
      </tp>
      <tp t="s">
        <v>NSE</v>
        <stp/>
        <stp>nse_cm|857SCL24-ZQ</stp>
        <stp>Exchange</stp>
        <tr r="C975" s="1"/>
      </tp>
      <tp t="s">
        <v>BSE</v>
        <stp/>
        <stp>bse_cm|760MFL25</stp>
        <stp>Exchange</stp>
        <tr r="C482" s="1"/>
      </tp>
      <tp t="s">
        <v>BSE</v>
        <stp/>
        <stp>bse_cm|810MFL25</stp>
        <stp>Exchange</stp>
        <tr r="C429" s="1"/>
      </tp>
      <tp>
        <v>20</v>
        <stp/>
        <stp>bse_cm|925SCL25H</stp>
        <stp>Bid Qty</stp>
        <tr r="D886" s="1"/>
      </tp>
      <tp>
        <v>0</v>
        <stp/>
        <stp>bse_cm|894SCL27</stp>
        <stp>Ask Rate</stp>
        <tr r="F962" s="1"/>
      </tp>
      <tp>
        <v>6</v>
        <stp/>
        <stp>bse_cm|965SCL25B</stp>
        <stp>Bid Qty</stp>
        <tr r="D1507" s="1"/>
      </tp>
      <tp>
        <v>9</v>
        <stp/>
        <stp>bse_cm|925SCL25B</stp>
        <stp>Bid Qty</stp>
        <tr r="D1490" s="1"/>
      </tp>
      <tp>
        <v>12</v>
        <stp/>
        <stp>bse_cm|965SCL25C</stp>
        <stp>Bid Qty</stp>
        <tr r="D506" s="1"/>
      </tp>
      <tp>
        <v>12</v>
        <stp/>
        <stp>bse_cm|925SCL25C</stp>
        <stp>Bid Qty</stp>
        <tr r="D676" s="1"/>
      </tp>
      <tp>
        <v>140</v>
        <stp/>
        <stp>bse_cm|965SCL25A</stp>
        <stp>Bid Qty</stp>
        <tr r="D234" s="1"/>
      </tp>
      <tp>
        <v>20</v>
        <stp/>
        <stp>bse_cm|925SCL25A</stp>
        <stp>Bid Qty</stp>
        <tr r="D1515" s="1"/>
      </tp>
      <tp>
        <v>10</v>
        <stp/>
        <stp>bse_cm|965SCL25F</stp>
        <stp>Bid Qty</stp>
        <tr r="D673" s="1"/>
      </tp>
      <tp>
        <v>20</v>
        <stp/>
        <stp>bse_cm|925SCL25F</stp>
        <stp>Bid Qty</stp>
        <tr r="D719" s="1"/>
      </tp>
      <tp>
        <v>20</v>
        <stp/>
        <stp>bse_cm|925SCL25G</stp>
        <stp>Bid Qty</stp>
        <tr r="D717" s="1"/>
      </tp>
      <tp>
        <v>15</v>
        <stp/>
        <stp>bse_cm|965SCL25E</stp>
        <stp>Bid Qty</stp>
        <tr r="D414" s="1"/>
      </tp>
      <tp>
        <v>20</v>
        <stp/>
        <stp>bse_cm|925SCL25Z</stp>
        <stp>Bid Qty</stp>
        <tr r="D790" s="1"/>
      </tp>
      <tp>
        <v>-100</v>
        <stp/>
        <stp>bse_cm|9EFSL25</stp>
        <stp>% Change</stp>
        <tr r="J606" s="1"/>
      </tp>
      <tp>
        <v>0</v>
        <stp/>
        <stp>bse_cm|801TCH28</stp>
        <stp>ATP</stp>
        <tr r="K1182" s="1"/>
      </tp>
      <tp>
        <v>0</v>
        <stp/>
        <stp>nse_cm|852LTF27-NG</stp>
        <stp>Bid Rate</stp>
        <tr r="E1006" s="1"/>
      </tp>
      <tp>
        <v>0</v>
        <stp/>
        <stp>bse_cm|801TCH25</stp>
        <stp>ATP</stp>
        <tr r="K562" s="1"/>
      </tp>
      <tp>
        <v>20</v>
        <stp/>
        <stp>bse_cm|865SCL24B</stp>
        <stp>Bid Qty</stp>
        <tr r="D953" s="1"/>
      </tp>
      <tp>
        <v>960.1</v>
        <stp/>
        <stp>bse_cm|MFLIV27D</stp>
        <stp xml:space="preserve">Low </stp>
        <tr r="O1452" s="1"/>
      </tp>
      <tp t="s">
        <v>NSE</v>
        <stp/>
        <stp>nse_cm|955SCL25-ZU</stp>
        <stp>Exchange</stp>
        <tr r="C1391" s="1"/>
      </tp>
      <tp t="s">
        <v>BSE</v>
        <stp/>
        <stp>bse_cm|950KLM25</stp>
        <stp>Exchange</stp>
        <tr r="C1150" s="1"/>
      </tp>
      <tp>
        <v>1000</v>
        <stp/>
        <stp>bse_cm|975MFL24BB</stp>
        <stp>Prev Close</stp>
        <tr r="P552" s="1"/>
      </tp>
      <tp>
        <v>0</v>
        <stp/>
        <stp>bse_cm|940SCL26</stp>
        <stp>ATP</stp>
        <tr r="K778" s="1"/>
      </tp>
      <tp>
        <v>680</v>
        <stp/>
        <stp>bse_cm|990SCL26</stp>
        <stp>LTP</stp>
        <tr r="H421" s="1"/>
      </tp>
      <tp>
        <v>0</v>
        <stp/>
        <stp>bse_cm|940SCL27</stp>
        <stp>ATP</stp>
        <tr r="K792" s="1"/>
      </tp>
      <tp>
        <v>0</v>
        <stp/>
        <stp>bse_cm|990SCL27</stp>
        <stp>LTP</stp>
        <tr r="H796" s="1"/>
      </tp>
      <tp t="s">
        <v>15:11:49</v>
        <stp/>
        <stp>bse_cm|990SCL26</stp>
        <stp>LTT</stp>
        <tr r="I421" s="1"/>
      </tp>
      <tp t="s">
        <v>00:00:00</v>
        <stp/>
        <stp>bse_cm|990SCL27</stp>
        <stp>LTT</stp>
        <tr r="I796" s="1"/>
      </tp>
      <tp t="s">
        <v>00:00:00</v>
        <stp/>
        <stp>bse_cm|890MFL26</stp>
        <stp>LTT</stp>
        <tr r="I1478" s="1"/>
      </tp>
      <tp>
        <v>0</v>
        <stp/>
        <stp>bse_cm|950KLM25</stp>
        <stp>ATP</stp>
        <tr r="K1150" s="1"/>
      </tp>
      <tp>
        <v>0</v>
        <stp/>
        <stp>bse_cm|890MFL26</stp>
        <stp>LTP</stp>
        <tr r="H1478" s="1"/>
      </tp>
      <tp>
        <v>0</v>
        <stp/>
        <stp>bse_cm|840MFL27</stp>
        <stp>ATP</stp>
        <tr r="K133" s="1"/>
      </tp>
      <tp>
        <v>0</v>
        <stp/>
        <stp>bse_cm|894SCL25</stp>
        <stp>Ask Rate</stp>
        <tr r="F1517" s="1"/>
      </tp>
      <tp>
        <v>10</v>
        <stp/>
        <stp>bse_cm|955SCL27A</stp>
        <stp>Bid Qty</stp>
        <tr r="D948" s="1"/>
      </tp>
      <tp>
        <v>9</v>
        <stp/>
        <stp>bse_cm|915SCL27A</stp>
        <stp>Bid Qty</stp>
        <tr r="D951" s="1"/>
      </tp>
      <tp>
        <v>14</v>
        <stp/>
        <stp>bse_cm|925SFL27A</stp>
        <stp>Bid Qty</stp>
        <tr r="D848" s="1"/>
      </tp>
      <tp>
        <v>0</v>
        <stp/>
        <stp>bse_cm|843SCL27</stp>
        <stp>ATP</stp>
        <tr r="K928" s="1"/>
      </tp>
      <tp t="s">
        <v>00:00:00</v>
        <stp/>
        <stp>bse_cm|903ONE26</stp>
        <stp>LTT</stp>
        <tr r="I843" s="1"/>
      </tp>
      <tp>
        <v>0</v>
        <stp/>
        <stp>bse_cm|943ECL28</stp>
        <stp>ATP</stp>
        <tr r="K124" s="1"/>
      </tp>
      <tp>
        <v>0</v>
        <stp/>
        <stp>bse_cm|903ONE26</stp>
        <stp>LTP</stp>
        <tr r="H843" s="1"/>
      </tp>
      <tp>
        <v>0</v>
        <stp/>
        <stp>bse_cm|894SCL24</stp>
        <stp>Ask Rate</stp>
        <tr r="F645" s="1"/>
      </tp>
      <tp>
        <v>5</v>
        <stp/>
        <stp>bse_cm|925SCL26B</stp>
        <stp>Bid Qty</stp>
        <tr r="D1360" s="1"/>
      </tp>
      <tp>
        <v>2</v>
        <stp/>
        <stp>bse_cm|925SCL26C</stp>
        <stp>Bid Qty</stp>
        <tr r="D725" s="1"/>
      </tp>
      <tp>
        <v>9</v>
        <stp/>
        <stp>bse_cm|965SCL26A</stp>
        <stp>Bid Qty</stp>
        <tr r="D1481" s="1"/>
      </tp>
      <tp>
        <v>40</v>
        <stp/>
        <stp>bse_cm|925SCL26A</stp>
        <stp>Bid Qty</stp>
        <tr r="D990" s="1"/>
      </tp>
      <tp>
        <v>1090.3900000000001</v>
        <stp/>
        <stp>bse_cm|714REC25</stp>
        <stp>Ask Rate</stp>
        <tr r="F518" s="1"/>
      </tp>
      <tp>
        <v>12</v>
        <stp/>
        <stp>bse_cm|925SCL26D</stp>
        <stp>Bid Qty</stp>
        <tr r="D619" s="1"/>
      </tp>
      <tp>
        <v>0</v>
        <stp/>
        <stp>bse_cm|9EFSL26</stp>
        <stp>% Change</stp>
        <tr r="J581" s="1"/>
      </tp>
      <tp>
        <v>970</v>
        <stp/>
        <stp>bse_cm|875KFL2025</stp>
        <stp>Prev Close</stp>
        <tr r="P1158" s="1"/>
      </tp>
      <tp t="s">
        <v>BSE</v>
        <stp/>
        <stp>bse_cm|950KFL27</stp>
        <stp>Exchange</stp>
        <tr r="C143" s="1"/>
      </tp>
      <tp>
        <v>250</v>
        <stp/>
        <stp>bse_cm|925SCL29A</stp>
        <stp>Bid Qty</stp>
        <tr r="D268" s="1"/>
      </tp>
      <tp t="s">
        <v>NSE</v>
        <stp/>
        <stp>nse_cm|965SCL29-YX</stp>
        <stp>Exchange</stp>
        <tr r="C847" s="1"/>
      </tp>
      <tp t="s">
        <v>NSE</v>
        <stp/>
        <stp>nse_cm|SCL26-NA</stp>
        <stp>Exchange</stp>
        <tr r="C919" s="1"/>
      </tp>
      <tp>
        <v>1025</v>
        <stp/>
        <stp>bse_cm|MFLVI31F</stp>
        <stp>High</stp>
        <tr r="N354" s="1"/>
      </tp>
      <tp>
        <v>0</v>
        <stp/>
        <stp>bse_cm|925SCL28I</stp>
        <stp>Bid Qty</stp>
        <tr r="D822" s="1"/>
      </tp>
      <tp>
        <v>10</v>
        <stp/>
        <stp>bse_cm|965SCL28B</stp>
        <stp>Bid Qty</stp>
        <tr r="D896" s="1"/>
      </tp>
      <tp>
        <v>20</v>
        <stp/>
        <stp>bse_cm|925SCL28B</stp>
        <stp>Bid Qty</stp>
        <tr r="D894" s="1"/>
      </tp>
      <tp>
        <v>20</v>
        <stp/>
        <stp>bse_cm|965SCL28C</stp>
        <stp>Bid Qty</stp>
        <tr r="D818" s="1"/>
      </tp>
      <tp>
        <v>12</v>
        <stp/>
        <stp>bse_cm|925SCL28C</stp>
        <stp>Bid Qty</stp>
        <tr r="D824" s="1"/>
      </tp>
      <tp>
        <v>20</v>
        <stp/>
        <stp>bse_cm|965SCL28A</stp>
        <stp>Bid Qty</stp>
        <tr r="D1136" s="1"/>
      </tp>
      <tp>
        <v>8</v>
        <stp/>
        <stp>bse_cm|925SCL28A</stp>
        <stp>Bid Qty</stp>
        <tr r="D938" s="1"/>
      </tp>
      <tp>
        <v>0</v>
        <stp/>
        <stp>bse_cm|948SCL26</stp>
        <stp>ATP</stp>
        <tr r="K1647" s="1"/>
      </tp>
      <tp>
        <v>0</v>
        <stp/>
        <stp>bse_cm|948SCL27</stp>
        <stp>ATP</stp>
        <tr r="K1079" s="1"/>
      </tp>
      <tp t="s">
        <v>BSE</v>
        <stp/>
        <stp>bse_cm|850MFL28</stp>
        <stp>Exchange</stp>
        <tr r="C236" s="1"/>
      </tp>
      <tp t="s">
        <v>BSE</v>
        <stp/>
        <stp>bse_cm|880MFL28</stp>
        <stp>Exchange</stp>
        <tr r="C1338" s="1"/>
      </tp>
      <tp t="s">
        <v>BSE</v>
        <stp/>
        <stp>bse_cm|850MFL29</stp>
        <stp>Exchange</stp>
        <tr r="C356" s="1"/>
      </tp>
      <tp>
        <v>1339.95</v>
        <stp/>
        <stp>bse_cm|MVAF27</stp>
        <stp>Bid Rate</stp>
        <tr r="E1689" s="1"/>
      </tp>
      <tp>
        <v>1000</v>
        <stp/>
        <stp>bse_cm|886ONE25</stp>
        <stp>Face Value</stp>
        <tr r="Q723" s="1"/>
      </tp>
      <tp>
        <v>1560</v>
        <stp/>
        <stp>bse_cm|MFLZC27B</stp>
        <stp xml:space="preserve">Low </stp>
        <tr r="O1697" s="1"/>
      </tp>
      <tp t="s">
        <v>BSE</v>
        <stp/>
        <stp>bse_cm|930SFL28</stp>
        <stp>Exchange</stp>
        <tr r="C10" s="1"/>
      </tp>
      <tp>
        <v>1000</v>
        <stp/>
        <stp>bse_cm|891ONE25</stp>
        <stp>Face Value</stp>
        <tr r="Q1339" s="1"/>
      </tp>
      <tp>
        <v>1000</v>
        <stp/>
        <stp>bse_cm|898ONE26</stp>
        <stp>Face Value</stp>
        <tr r="Q1154" s="1"/>
      </tp>
      <tp>
        <v>1084</v>
        <stp/>
        <stp>bse_cm|104ECL24</stp>
        <stp>Ask Rate</stp>
        <tr r="F38" s="1"/>
      </tp>
      <tp>
        <v>1405</v>
        <stp/>
        <stp>bse_cm|MFLZC27C</stp>
        <stp xml:space="preserve">Low </stp>
        <tr r="O1411" s="1"/>
      </tp>
      <tp>
        <v>925.2</v>
        <stp/>
        <stp>bse_cm|MFLV29</stp>
        <stp>Bid Rate</stp>
        <tr r="E361" s="1"/>
      </tp>
      <tp>
        <v>0</v>
        <stp/>
        <stp>nse_cm|925SCL29-YZ</stp>
        <stp>Ask Rate</stp>
        <tr r="F851" s="1"/>
      </tp>
      <tp>
        <v>1000</v>
        <stp/>
        <stp>bse_cm|10CAGL27</stp>
        <stp>Face Value</stp>
        <tr r="Q282" s="1"/>
      </tp>
      <tp>
        <v>1030.3</v>
        <stp/>
        <stp>nse_cm|CIFC26A-N9</stp>
        <stp>Prev Close</stp>
        <tr r="P739" s="1"/>
      </tp>
      <tp>
        <v>1000</v>
        <stp/>
        <stp>bse_cm|76NHAI31</stp>
        <stp>Face Value</stp>
        <tr r="Q478" s="1"/>
      </tp>
      <tp>
        <v>1133</v>
        <stp/>
        <stp>bse_cm|MFLZC27A</stp>
        <stp xml:space="preserve">Low </stp>
        <tr r="O1270" s="1"/>
      </tp>
      <tp>
        <v>1005</v>
        <stp/>
        <stp>bse_cm|KFLZC27A</stp>
        <stp xml:space="preserve">Low </stp>
        <tr r="O1291" s="1"/>
      </tp>
      <tp t="s">
        <v>BSE</v>
        <stp/>
        <stp>bse_cm|920PEL28</stp>
        <stp>Exchange</stp>
        <tr r="C440" s="1"/>
      </tp>
      <tp>
        <v>10</v>
        <stp/>
        <stp>nse_cm|774IREDA31-N7</stp>
        <stp>Volume Traded Today</stp>
        <tr r="L18" s="1"/>
      </tp>
      <tp>
        <v>1010</v>
        <stp/>
        <stp>bse_cm|MFLZC27F</stp>
        <stp xml:space="preserve">Low </stp>
        <tr r="O1566" s="1"/>
      </tp>
      <tp t="s">
        <v>INE148I07PM2</v>
        <stp/>
        <stp>nse_cm|971SCL28C-BU</stp>
        <stp>Isin code</stp>
        <tr r="R826" s="1"/>
      </tp>
      <tp>
        <v>975.2</v>
        <stp/>
        <stp>bse_cm|MMFL27</stp>
        <stp>Bid Rate</stp>
        <tr r="E1513" s="1"/>
      </tp>
      <tp>
        <v>0</v>
        <stp/>
        <stp>bse_cm|944MFL28</stp>
        <stp>Ask Rate</stp>
        <tr r="F677" s="1"/>
      </tp>
      <tp>
        <v>0</v>
        <stp/>
        <stp>bse_cm|884LTF29</stp>
        <stp>Ask Rate</stp>
        <tr r="F1337" s="1"/>
      </tp>
      <tp>
        <v>18</v>
        <stp/>
        <stp>bse_cm|975MFL29A</stp>
        <stp>Bid Qty</stp>
        <tr r="D854" s="1"/>
      </tp>
      <tp>
        <v>1580</v>
        <stp/>
        <stp>bse_cm|MFLZC27D</stp>
        <stp xml:space="preserve">Low </stp>
        <tr r="O1700" s="1"/>
      </tp>
      <tp>
        <v>1052.8</v>
        <stp/>
        <stp>bse_cm|MMFL25</stp>
        <stp>Bid Rate</stp>
        <tr r="E1725" s="1"/>
      </tp>
      <tp>
        <v>39</v>
        <stp/>
        <stp>bse_cm|905MFL28A</stp>
        <stp>Bid Qty</stp>
        <tr r="D224" s="1"/>
      </tp>
      <tp>
        <v>1300</v>
        <stp/>
        <stp>bse_cm|MFLZC27E</stp>
        <stp xml:space="preserve">Low </stp>
        <tr r="O1677" s="1"/>
      </tp>
      <tp t="s">
        <v>NSE</v>
        <stp/>
        <stp>nse_cm|795IGT31-NI</stp>
        <stp>Exchange</stp>
        <tr r="C1185" s="1"/>
      </tp>
      <tp>
        <v>0</v>
        <stp/>
        <stp>bse_cm|795IGT31</stp>
        <stp>Ask Rate</stp>
        <tr r="F1186" s="1"/>
      </tp>
      <tp>
        <v>0</v>
        <stp/>
        <stp>bse_cm|87SCL27A</stp>
        <stp>Open</stp>
        <tr r="M644" s="1"/>
      </tp>
      <tp>
        <v>339</v>
        <stp/>
        <stp>bse_cm|875MFL26A</stp>
        <stp>Bid Qty</stp>
        <tr r="D286" s="1"/>
      </tp>
      <tp>
        <v>10</v>
        <stp/>
        <stp>bse_cm|865MFL26A</stp>
        <stp>Bid Qty</stp>
        <tr r="D242" s="1"/>
      </tp>
      <tp>
        <v>1000</v>
        <stp/>
        <stp>nse_cm|948ICCL25A-NG</stp>
        <stp>Face Value</stp>
        <tr r="Q1736" s="1"/>
      </tp>
      <tp>
        <v>995</v>
        <stp/>
        <stp>bse_cm|105UCL2026</stp>
        <stp>Prev Close</stp>
        <tr r="P319" s="1"/>
      </tp>
      <tp>
        <v>0</v>
        <stp/>
        <stp>nse_cm|925SCL27-YR</stp>
        <stp>Ask Rate</stp>
        <tr r="F1415" s="1"/>
      </tp>
      <tp>
        <v>1000</v>
        <stp/>
        <stp>bse_cm|58PFCL26</stp>
        <stp>Face Value</stp>
        <tr r="Q369" s="1"/>
      </tp>
      <tp>
        <v>25</v>
        <stp/>
        <stp>bse_cm|865MFL25A</stp>
        <stp>Bid Qty</stp>
        <tr r="D153" s="1"/>
      </tp>
      <tp>
        <v>190</v>
        <stp/>
        <stp>bse_cm|825MFL25A</stp>
        <stp>Bid Qty</stp>
        <tr r="D931" s="1"/>
      </tp>
      <tp t="s">
        <v>NSE</v>
        <stp/>
        <stp>nse_cm|79NHIT35-N1</stp>
        <stp>Exchange</stp>
        <tr r="C1589" s="1"/>
      </tp>
      <tp>
        <v>0</v>
        <stp/>
        <stp>bse_cm|985ONE34</stp>
        <stp>Ask Rate</stp>
        <tr r="F1101" s="1"/>
      </tp>
      <tp>
        <v>1</v>
        <stp/>
        <stp>bse_cm|975MFL24B</stp>
        <stp>Bid Qty</stp>
        <tr r="D415" s="1"/>
      </tp>
      <tp>
        <v>1040</v>
        <stp/>
        <stp>bse_cm|104ECL29</stp>
        <stp>Ask Rate</stp>
        <tr r="F149" s="1"/>
      </tp>
      <tp>
        <v>45</v>
        <stp/>
        <stp>bse_cm|875KFL25A</stp>
        <stp>Bid Qty</stp>
        <tr r="D1157" s="1"/>
      </tp>
      <tp>
        <v>1072.99</v>
        <stp/>
        <stp>nse_cm|9SFL25A-ZH</stp>
        <stp>Prev Close</stp>
        <tr r="P463" s="1"/>
      </tp>
      <tp t="s">
        <v>BSE</v>
        <stp/>
        <stp>bse_cm|850SCL25</stp>
        <stp>Exchange</stp>
        <tr r="C923" s="1"/>
      </tp>
      <tp t="s">
        <v>BSE</v>
        <stp/>
        <stp>bse_cm|820SCL25</stp>
        <stp>Exchange</stp>
        <tr r="C925" s="1"/>
      </tp>
      <tp>
        <v>956.2</v>
        <stp/>
        <stp>bse_cm|MFLI25</stp>
        <stp>Bid Rate</stp>
        <tr r="E447" s="1"/>
      </tp>
      <tp t="s">
        <v>NSE</v>
        <stp/>
        <stp>nse_cm|79NHIT47-N3</stp>
        <stp>Exchange</stp>
        <tr r="C1585" s="1"/>
      </tp>
      <tp>
        <v>31</v>
        <stp/>
        <stp>bse_cm|995ECL29A</stp>
        <stp>Bid Qty</stp>
        <tr r="D152" s="1"/>
      </tp>
      <tp t="s">
        <v>BSE</v>
        <stp/>
        <stp>bse_cm|940SCL26</stp>
        <stp>Exchange</stp>
        <tr r="C778" s="1"/>
      </tp>
      <tp t="s">
        <v>BSE</v>
        <stp/>
        <stp>bse_cm|990SCL26</stp>
        <stp>Exchange</stp>
        <tr r="C421" s="1"/>
      </tp>
      <tp>
        <v>0</v>
        <stp/>
        <stp>nse_cm|984ICCL26A-NK</stp>
        <stp>ATP</stp>
        <tr r="K716" s="1"/>
      </tp>
      <tp t="s">
        <v>NSE</v>
        <stp/>
        <stp>nse_cm|797IGT31-NL</stp>
        <stp>Exchange</stp>
        <tr r="C374" s="1"/>
      </tp>
      <tp t="s">
        <v>NSE</v>
        <stp/>
        <stp>nse_cm|79NHIT40-N2</stp>
        <stp>Exchange</stp>
        <tr r="C1587" s="1"/>
      </tp>
      <tp t="s">
        <v/>
        <stp/>
        <stp>nse_cm|866IIFC34B-N3</stp>
        <stp>LTT</stp>
        <tr r="I25" s="1"/>
      </tp>
      <tp>
        <v>70</v>
        <stp/>
        <stp>bse_cm|925KFL26A</stp>
        <stp>Bid Qty</stp>
        <tr r="D1479" s="1"/>
      </tp>
      <tp>
        <v>20</v>
        <stp/>
        <stp>bse_cm|875KFL26A</stp>
        <stp>Bid Qty</stp>
        <tr r="D1155" s="1"/>
      </tp>
      <tp>
        <v>1283</v>
        <stp/>
        <stp>nse_cm|866IIFC34B-N3</stp>
        <stp>LTP</stp>
        <tr r="H25" s="1"/>
      </tp>
      <tp>
        <v>1259</v>
        <stp/>
        <stp>nse_cm|SCL25-Y6</stp>
        <stp>Prev Close</stp>
        <tr r="P1753" s="1"/>
      </tp>
      <tp t="s">
        <v>NSE</v>
        <stp/>
        <stp>nse_cm|965SCL26-YO</stp>
        <stp>Exchange</stp>
        <tr r="C146" s="1"/>
      </tp>
      <tp t="s">
        <v>BSE</v>
        <stp/>
        <stp>bse_cm|950SFL27</stp>
        <stp>Exchange</stp>
        <tr r="C1144" s="1"/>
      </tp>
      <tp t="s">
        <v>BSE</v>
        <stp/>
        <stp>bse_cm|940SCL27</stp>
        <stp>Exchange</stp>
        <tr r="C792" s="1"/>
      </tp>
      <tp t="s">
        <v>BSE</v>
        <stp/>
        <stp>bse_cm|990SCL27</stp>
        <stp>Exchange</stp>
        <tr r="C796" s="1"/>
      </tp>
      <tp>
        <v>1007.5</v>
        <stp/>
        <stp>bse_cm|MFLV27</stp>
        <stp>Bid Rate</stp>
        <tr r="E1508" s="1"/>
      </tp>
      <tp>
        <v>0</v>
        <stp/>
        <stp>nse_cm|916SCL25-ZW</stp>
        <stp>Ask Rate</stp>
        <tr r="F1576" s="1"/>
      </tp>
      <tp>
        <v>0</v>
        <stp/>
        <stp>bse_cm|1015SCFL29</stp>
        <stp>ATP</stp>
        <tr r="K1355" s="1"/>
      </tp>
      <tp t="s">
        <v>105IIFL29-N7</v>
        <stp/>
        <stp>nse_cm|105IIFL29-N7</stp>
        <stp>Trading Symbol</stp>
        <tr r="B270" s="1"/>
      </tp>
      <tp>
        <v>0</v>
        <stp/>
        <stp>bse_cm|1075SCFL34</stp>
        <stp>ATP</stp>
        <tr r="K1020" s="1"/>
      </tp>
      <tp>
        <v>0</v>
        <stp/>
        <stp>bse_cm|1025SCFL34</stp>
        <stp>ATP</stp>
        <tr r="K1025" s="1"/>
      </tp>
      <tp t="s">
        <v>INE148I07GN9</v>
        <stp/>
        <stp>nse_cm|SCLZC26-NB</stp>
        <stp>Isin code</stp>
        <tr r="R1717" s="1"/>
      </tp>
      <tp>
        <v>0</v>
        <stp/>
        <stp>bse_cm|SCFL310524</stp>
        <stp>ATP</stp>
        <tr r="K1241" s="1"/>
      </tp>
      <tp>
        <v>0</v>
        <stp/>
        <stp>nse_cm|1025SCL33A-N1</stp>
        <stp>Open</stp>
        <tr r="M834" s="1"/>
      </tp>
      <tp>
        <v>0</v>
        <stp/>
        <stp>nse_cm|1075SCL33A-N2</stp>
        <stp>Open</stp>
        <tr r="M630" s="1"/>
      </tp>
      <tp t="s">
        <v>INE0BUS07965</v>
        <stp/>
        <stp>bse_cm|IML29</stp>
        <stp>Isin code</stp>
        <tr r="R1528" s="1"/>
      </tp>
      <tp t="s">
        <v>INE532F07EF1</v>
        <stp/>
        <stp>bse_cm|EFSL28A</stp>
        <stp>Isin code</stp>
        <tr r="R1335" s="1"/>
      </tp>
      <tp t="s">
        <v>INE532F07DR8</v>
        <stp/>
        <stp>bse_cm|EFSL25A</stp>
        <stp>Isin code</stp>
        <tr r="R1706" s="1"/>
      </tp>
      <tp t="s">
        <v>INE532F07CS8</v>
        <stp/>
        <stp>bse_cm|EFSL26A</stp>
        <stp>Isin code</stp>
        <tr r="R1567" s="1"/>
      </tp>
      <tp t="s">
        <v>INE532F07EX4</v>
        <stp/>
        <stp>bse_cm|EFSL27A</stp>
        <stp>Isin code</stp>
        <tr r="R1649" s="1"/>
      </tp>
      <tp t="s">
        <v>INE614X07431</v>
        <stp/>
        <stp>bse_cm|DLSL25A</stp>
        <stp>Isin code</stp>
        <tr r="R1734" s="1"/>
      </tp>
      <tp>
        <v>0</v>
        <stp/>
        <stp>bse_cm|1075KAFL29</stp>
        <stp>ATP</stp>
        <tr r="K125" s="1"/>
      </tp>
      <tp>
        <v>0</v>
        <stp/>
        <stp>bse_cm|1075KAFL28</stp>
        <stp>ATP</stp>
        <tr r="K1118" s="1"/>
      </tp>
      <tp>
        <v>0</v>
        <stp/>
        <stp>bse_cm|1025KAFL27</stp>
        <stp>ATP</stp>
        <tr r="K769" s="1"/>
      </tp>
      <tp>
        <v>0</v>
        <stp/>
        <stp>bse_cm|1125KAFL27</stp>
        <stp>ATP</stp>
        <tr r="K1228" s="1"/>
      </tp>
      <tp>
        <v>0</v>
        <stp/>
        <stp>bse_cm|1025KAFL25</stp>
        <stp>ATP</stp>
        <tr r="K770" s="1"/>
      </tp>
      <tp>
        <v>0</v>
        <stp/>
        <stp>bse_cm|1075KLMA28</stp>
        <stp>LTP</stp>
        <tr r="H1116" s="1"/>
      </tp>
      <tp t="s">
        <v>00:00:00</v>
        <stp/>
        <stp>bse_cm|1075KLMA28</stp>
        <stp>LTT</stp>
        <tr r="I1116" s="1"/>
      </tp>
      <tp>
        <v>0</v>
        <stp/>
        <stp>bse_cm|KAFL080824</stp>
        <stp>LTP</stp>
        <tr r="H1417" s="1"/>
      </tp>
      <tp t="s">
        <v>00:00:00</v>
        <stp/>
        <stp>bse_cm|KAFL080824</stp>
        <stp>LTT</stp>
        <tr r="I1417" s="1"/>
      </tp>
      <tp>
        <v>0</v>
        <stp/>
        <stp>bse_cm|1025ICCL26</stp>
        <stp>ATP</stp>
        <tr r="K1175" s="1"/>
      </tp>
      <tp t="s">
        <v>INE148I07MD8</v>
        <stp/>
        <stp>nse_cm|87SCL27-Z6</stp>
        <stp>Isin code</stp>
        <tr r="R950" s="1"/>
      </tp>
      <tp>
        <v>0</v>
        <stp/>
        <stp>bse_cm|1075NHFL34</stp>
        <stp>ATP</stp>
        <tr r="K1553" s="1"/>
      </tp>
      <tp>
        <v>0</v>
        <stp/>
        <stp>bse_cm|1026NIDO34</stp>
        <stp>ATP</stp>
        <tr r="K1018" s="1"/>
      </tp>
      <tp>
        <v>0</v>
        <stp/>
        <stp>bse_cm|1025NWFL30</stp>
        <stp>ATP</stp>
        <tr r="K1026" s="1"/>
      </tp>
      <tp>
        <v>0</v>
        <stp/>
        <stp>bse_cm|1025NWFL25</stp>
        <stp>ATP</stp>
        <tr r="K154" s="1"/>
      </tp>
      <tp t="e">
        <v>#N/A</v>
        <stp/>
        <stp>bse_cm|1065MHFL24</stp>
        <stp>ATP</stp>
        <tr r="K36" s="1"/>
      </tp>
      <tp t="e">
        <v>#N/A</v>
        <stp/>
        <stp>bse_cm|1025MHFL24</stp>
        <stp>ATP</stp>
        <tr r="K29" s="1"/>
      </tp>
      <tp>
        <v>0</v>
        <stp/>
        <stp>bse_cm|1025MMFL26</stp>
        <stp>ATP</stp>
        <tr r="K320" s="1"/>
      </tp>
      <tp>
        <v>0</v>
        <stp/>
        <stp>bse_cm|1075CCIL25</stp>
        <stp>ATP</stp>
        <tr r="K1121" s="1"/>
      </tp>
      <tp>
        <v>0</v>
        <stp/>
        <stp>bse_cm|1075CCIL26</stp>
        <stp>ATP</stp>
        <tr r="K1120" s="1"/>
      </tp>
      <tp t="s">
        <v>1045NIDO33</v>
        <stp/>
        <stp>bse_cm|1045NIDO33</stp>
        <stp>Symbol</stp>
        <tr r="A71" s="1"/>
      </tp>
      <tp t="e">
        <v>#N/A</v>
        <stp/>
        <stp>bse_cm|1065MHFL24</stp>
        <stp>Symbol</stp>
        <tr r="A36" s="1"/>
      </tp>
      <tp t="s">
        <v>739NHAI31A</v>
        <stp/>
        <stp>bse_cm|739NHAI31A</stp>
        <stp>Symbol</stp>
        <tr r="A546" s="1"/>
      </tp>
      <tp>
        <v>0</v>
        <stp/>
        <stp>bse_cm|1045EFSL33</stp>
        <stp>ATP</stp>
        <tr r="K1382" s="1"/>
      </tp>
      <tp>
        <v>0</v>
        <stp/>
        <stp>bse_cm|1045EFSL34</stp>
        <stp>ATP</stp>
        <tr r="K1413" s="1"/>
      </tp>
      <tp t="s">
        <v>1030ICCL28</v>
        <stp/>
        <stp>bse_cm|1030ICCL28</stp>
        <stp>Symbol</stp>
        <tr r="A1521" s="1"/>
      </tp>
      <tp t="s">
        <v>KAFLZC28</v>
        <stp/>
        <stp>bse_cm|KAFLZC28</stp>
        <stp>Symbol</stp>
        <tr r="A1315" s="1"/>
      </tp>
      <tp t="s">
        <v>KAFLZC26</v>
        <stp/>
        <stp>bse_cm|KAFLZC26</stp>
        <stp>Symbol</stp>
        <tr r="A1316" s="1"/>
      </tp>
      <tp t="s">
        <v>KAFLZC30</v>
        <stp/>
        <stp>bse_cm|KAFLZC30</stp>
        <stp>Symbol</stp>
        <tr r="A1314" s="1"/>
      </tp>
      <tp>
        <v>-100</v>
        <stp/>
        <stp>bse_cm|965EFSL32</stp>
        <stp>% Change</stp>
        <tr r="J141" s="1"/>
      </tp>
      <tp>
        <v>0</v>
        <stp/>
        <stp>bse_cm|875CIFC23B</stp>
        <stp>Volume Traded Today</stp>
        <tr r="L1394" s="1"/>
      </tp>
      <tp>
        <v>0</v>
        <stp/>
        <stp>bse_cm|975MFL24BB</stp>
        <stp>ATP</stp>
        <tr r="K552" s="1"/>
      </tp>
      <tp>
        <v>-100</v>
        <stp/>
        <stp>bse_cm|995EFSL31</stp>
        <stp>% Change</stp>
        <tr r="J192" s="1"/>
      </tp>
      <tp>
        <v>-0.02</v>
        <stp/>
        <stp>bse_cm|930EFSL31</stp>
        <stp>% Change</stp>
        <tr r="J65" s="1"/>
      </tp>
      <tp>
        <v>-100</v>
        <stp/>
        <stp>bse_cm|953EFSL31</stp>
        <stp>% Change</stp>
        <tr r="J191" s="1"/>
      </tp>
      <tp>
        <v>-100</v>
        <stp/>
        <stp>bse_cm|970EFSL31</stp>
        <stp>% Change</stp>
        <tr r="J220" s="1"/>
      </tp>
      <tp>
        <v>0</v>
        <stp/>
        <stp>nse_cm|85LTF26-NM</stp>
        <stp>ATP</stp>
        <tr r="K365" s="1"/>
      </tp>
      <tp>
        <v>0</v>
        <stp/>
        <stp>nse_cm|86LTF24-NJ</stp>
        <stp>ATP</stp>
        <tr r="K7" s="1"/>
      </tp>
      <tp>
        <v>1025.76</v>
        <stp/>
        <stp>nse_cm|87LTF27-NH</stp>
        <stp>ATP</stp>
        <tr r="K407" s="1"/>
      </tp>
      <tp>
        <v>0</v>
        <stp/>
        <stp>nse_cm|92LTF29-N4</stp>
        <stp>ATP</stp>
        <tr r="K1087" s="1"/>
      </tp>
      <tp>
        <v>0</v>
        <stp/>
        <stp>nse_cm|1075SCL33B-NW</stp>
        <stp>Open</stp>
        <tr r="M889" s="1"/>
      </tp>
      <tp t="s">
        <v>774IREDA31</v>
        <stp/>
        <stp>bse_cm|774IREDA31</stp>
        <stp>Symbol</stp>
        <tr r="A17" s="1"/>
      </tp>
      <tp>
        <v>0</v>
        <stp/>
        <stp>bse_cm|1050KLMA28</stp>
        <stp>Volume Traded Today</stp>
        <tr r="L611" s="1"/>
      </tp>
      <tp>
        <v>-100</v>
        <stp/>
        <stp>bse_cm|CIFCZC25A</stp>
        <stp>% Change</stp>
        <tr r="J1728" s="1"/>
      </tp>
      <tp t="s">
        <v>NSE</v>
        <stp/>
        <stp>nse_cm|957SCL31-Z3</stp>
        <stp>Exchange</stp>
        <tr r="C874" s="1"/>
      </tp>
      <tp>
        <v>1134.99</v>
        <stp/>
        <stp>bse_cm|76NHAI31</stp>
        <stp>High</stp>
        <tr r="N478" s="1"/>
      </tp>
      <tp t="s">
        <v>00:00:00</v>
        <stp/>
        <stp>bse_cm|83TCHF28</stp>
        <stp>LTT</stp>
        <tr r="I832" s="1"/>
      </tp>
      <tp>
        <v>0</v>
        <stp/>
        <stp>bse_cm|83TCHF28</stp>
        <stp>LTP</stp>
        <tr r="H832" s="1"/>
      </tp>
      <tp>
        <v>0</v>
        <stp/>
        <stp>bse_cm|83TCHF25</stp>
        <stp>LTP</stp>
        <tr r="H489" s="1"/>
      </tp>
      <tp t="s">
        <v>00:00:00</v>
        <stp/>
        <stp>bse_cm|83TCHF25</stp>
        <stp>LTT</stp>
        <tr r="I489" s="1"/>
      </tp>
      <tp>
        <v>880.01</v>
        <stp/>
        <stp>bse_cm|10NIDO33</stp>
        <stp>High</stp>
        <tr r="N1447" s="1"/>
      </tp>
      <tp>
        <v>1124.24</v>
        <stp/>
        <stp>nse_cm|876HUDCO28-ND</stp>
        <stp>LTP</stp>
        <tr r="H509" s="1"/>
      </tp>
      <tp t="s">
        <v/>
        <stp/>
        <stp>nse_cm|876HUDCO28-ND</stp>
        <stp>LTT</stp>
        <tr r="I509" s="1"/>
      </tp>
      <tp t="s">
        <v>NSE</v>
        <stp/>
        <stp>nse_cm|955SCL27-Z5</stp>
        <stp>Exchange</stp>
        <tr r="C949" s="1"/>
      </tp>
      <tp t="s">
        <v/>
        <stp/>
        <stp>nse_cm|AEL120924B-N8</stp>
        <stp>LTT</stp>
        <tr r="I1640" s="1"/>
      </tp>
      <tp>
        <v>1015</v>
        <stp/>
        <stp>nse_cm|AEL120924B-N8</stp>
        <stp>LTP</stp>
        <tr r="H1640" s="1"/>
      </tp>
      <tp>
        <v>1025</v>
        <stp/>
        <stp>nse_cm|AEL120924A-N5</stp>
        <stp>LTP</stp>
        <tr r="H1555" s="1"/>
      </tp>
      <tp t="s">
        <v/>
        <stp/>
        <stp>nse_cm|AEL120924A-N5</stp>
        <stp>LTT</stp>
        <tr r="I1555" s="1"/>
      </tp>
      <tp>
        <v>0</v>
        <stp/>
        <stp>bse_cm|SFL26A</stp>
        <stp>Ask Rate</stp>
        <tr r="F810" s="1"/>
      </tp>
      <tp>
        <v>1000</v>
        <stp/>
        <stp>nse_cm|738REC27TF-N2</stp>
        <stp>Face Value</stp>
        <tr r="Q514" s="1"/>
      </tp>
      <tp>
        <v>0</v>
        <stp/>
        <stp>nse_cm|1030ICCL28-NM</stp>
        <stp>Volume Traded Today</stp>
        <tr r="L1596" s="1"/>
      </tp>
      <tp>
        <v>1020</v>
        <stp/>
        <stp>bse_cm|0MOFSL26</stp>
        <stp>High</stp>
        <tr r="N1645" s="1"/>
      </tp>
      <tp>
        <v>1010</v>
        <stp/>
        <stp>bse_cm|0MOFSL27</stp>
        <stp>High</stp>
        <tr r="N1039" s="1"/>
      </tp>
      <tp>
        <v>1000</v>
        <stp/>
        <stp>bse_cm|10ISFL26</stp>
        <stp xml:space="preserve">Low </stp>
        <tr r="O1509" s="1"/>
      </tp>
      <tp>
        <v>1000</v>
        <stp/>
        <stp>bse_cm|CCILZC24</stp>
        <stp xml:space="preserve">Low </stp>
        <tr r="O750" s="1"/>
      </tp>
      <tp t="s">
        <v>11:12:15</v>
        <stp/>
        <stp>bse_cm|89EFSL25</stp>
        <stp>LTT</stp>
        <tr r="I87" s="1"/>
      </tp>
      <tp>
        <v>971.2</v>
        <stp/>
        <stp>bse_cm|89EFSL25</stp>
        <stp>LTP</stp>
        <tr r="H87" s="1"/>
      </tp>
      <tp>
        <v>1150</v>
        <stp/>
        <stp>bse_cm|CCILZC25</stp>
        <stp xml:space="preserve">Low </stp>
        <tr r="O1376" s="1"/>
      </tp>
      <tp>
        <v>1010</v>
        <stp/>
        <stp>bse_cm|CCILZC26</stp>
        <stp xml:space="preserve">Low </stp>
        <tr r="O748" s="1"/>
      </tp>
      <tp>
        <v>825.2</v>
        <stp/>
        <stp>bse_cm|92ICCL28</stp>
        <stp xml:space="preserve">Low </stp>
        <tr r="O202" s="1"/>
      </tp>
      <tp>
        <v>-100</v>
        <stp/>
        <stp>nse_cm|971SCL28B-YD</stp>
        <stp>% Change</stp>
        <tr r="J828" s="1"/>
      </tp>
      <tp>
        <v>1038.2</v>
        <stp/>
        <stp>bse_cm|85IIFL25</stp>
        <stp xml:space="preserve">Low </stp>
        <tr r="O134" s="1"/>
      </tp>
      <tp>
        <v>-100</v>
        <stp/>
        <stp>nse_cm|902SCL27A-ZI</stp>
        <stp>% Change</stp>
        <tr r="J1353" s="1"/>
      </tp>
      <tp t="s">
        <v>00:00:00</v>
        <stp/>
        <stp>bse_cm|86CIFC29</stp>
        <stp>LTT</stp>
        <tr r="I1341" s="1"/>
      </tp>
      <tp>
        <v>0</v>
        <stp/>
        <stp>bse_cm|86CIFC29</stp>
        <stp>LTP</stp>
        <tr r="H1341" s="1"/>
      </tp>
      <tp>
        <v>0</v>
        <stp/>
        <stp>nse_cm|980SCL33B-YL</stp>
        <stp>% Change</stp>
        <tr r="J837" s="1"/>
      </tp>
      <tp>
        <v>1000</v>
        <stp/>
        <stp>bse_cm|10IIFL29</stp>
        <stp xml:space="preserve">Low </stp>
        <tr r="O307" s="1"/>
      </tp>
      <tp>
        <v>1008.99</v>
        <stp/>
        <stp>bse_cm|10IFSL26</stp>
        <stp xml:space="preserve">Low </stp>
        <tr r="O428" s="1"/>
      </tp>
      <tp>
        <v>0</v>
        <stp/>
        <stp>bse_cm|MML27524</stp>
        <stp>ATP</stp>
        <tr r="K1511" s="1"/>
      </tp>
      <tp t="s">
        <v>00:00:00</v>
        <stp/>
        <stp>bse_cm|MFLVI32F</stp>
        <stp>LTT</stp>
        <tr r="I704" s="1"/>
      </tp>
      <tp>
        <v>0</v>
        <stp/>
        <stp>bse_cm|MFLVI32F</stp>
        <stp>LTP</stp>
        <tr r="H704" s="1"/>
      </tp>
      <tp>
        <v>906.1</v>
        <stp/>
        <stp>bse_cm|10IIFL28</stp>
        <stp xml:space="preserve">Low </stp>
        <tr r="O68" s="1"/>
      </tp>
      <tp>
        <v>933.57</v>
        <stp/>
        <stp>bse_cm|96IIFL28</stp>
        <stp xml:space="preserve">Low </stp>
        <tr r="O118" s="1"/>
      </tp>
      <tp t="s">
        <v>00:00:00</v>
        <stp/>
        <stp>bse_cm|MFLVI31F</stp>
        <stp>LTT</stp>
        <tr r="I354" s="1"/>
      </tp>
      <tp>
        <v>0</v>
        <stp/>
        <stp>bse_cm|MFLVI31F</stp>
        <stp>LTP</stp>
        <tr r="H354" s="1"/>
      </tp>
      <tp>
        <v>1076.2</v>
        <stp/>
        <stp>bse_cm|99IFCI24</stp>
        <stp xml:space="preserve">Low </stp>
        <tr r="O41" s="1"/>
      </tp>
      <tp t="s">
        <v>INE148I07SQ7</v>
        <stp/>
        <stp>nse_cm|1025SCL34-Z8</stp>
        <stp>Isin code</stp>
        <tr r="R128" s="1"/>
      </tp>
      <tp>
        <v>1044.2</v>
        <stp/>
        <stp>bse_cm|94IFCI25</stp>
        <stp xml:space="preserve">Low </stp>
        <tr r="O228" s="1"/>
      </tp>
      <tp>
        <v>0</v>
        <stp/>
        <stp>nse_cm|980SCL33D-YG</stp>
        <stp>% Change</stp>
        <tr r="J830" s="1"/>
      </tp>
      <tp t="s">
        <v>INE583D07430</v>
        <stp/>
        <stp>nse_cm|1075UCL25-N9</stp>
        <stp>Isin code</stp>
        <tr r="R498" s="1"/>
      </tp>
      <tp>
        <v>0</v>
        <stp/>
        <stp>nse_cm|915SCL27-Z7</stp>
        <stp>Ask Rate</stp>
        <tr r="F1475" s="1"/>
      </tp>
      <tp>
        <v>1100</v>
        <stp/>
        <stp>bse_cm|CCILZC29</stp>
        <stp xml:space="preserve">Low </stp>
        <tr r="O747" s="1"/>
      </tp>
      <tp>
        <v>802</v>
        <stp/>
        <stp>bse_cm|98ICCL26</stp>
        <stp xml:space="preserve">Low </stp>
        <tr r="O1412" s="1"/>
      </tp>
      <tp>
        <v>0</v>
        <stp/>
        <stp>bse_cm|865LTF26</stp>
        <stp>Volume Traded Today</stp>
        <tr r="L391" s="1"/>
      </tp>
      <tp>
        <v>0</v>
        <stp/>
        <stp>bse_cm|955ONE27</stp>
        <stp>Volume Traded Today</stp>
        <tr r="L1129" s="1"/>
      </tp>
      <tp>
        <v>0</v>
        <stp/>
        <stp>bse_cm|734REC30</stp>
        <stp>Volume Traded Today</stp>
        <tr r="L524" s="1"/>
      </tp>
      <tp t="s">
        <v>INE053F07744</v>
        <stp/>
        <stp>nse_cm|888IRFC29-NE</stp>
        <stp>Isin code</stp>
        <tr r="R508" s="1"/>
      </tp>
      <tp>
        <v>965.25</v>
        <stp/>
        <stp>bse_cm|12ICFL25</stp>
        <stp xml:space="preserve">Low </stp>
        <tr r="O1213" s="1"/>
      </tp>
      <tp>
        <v>960.01</v>
        <stp/>
        <stp>bse_cm|98NWFL30</stp>
        <stp>High</stp>
        <tr r="N231" s="1"/>
      </tp>
      <tp t="s">
        <v>00:00:00</v>
        <stp/>
        <stp>bse_cm|99JFPL25</stp>
        <stp>LTT</stp>
        <tr r="I1670" s="1"/>
      </tp>
      <tp>
        <v>0</v>
        <stp/>
        <stp>bse_cm|99JFPL25</stp>
        <stp>LTP</stp>
        <tr r="H1670" s="1"/>
      </tp>
      <tp>
        <v>0</v>
        <stp/>
        <stp>nse_cm|SCLZC25F-Y5</stp>
        <stp>Ask Rate</stp>
        <tr r="F1512" s="1"/>
      </tp>
      <tp t="s">
        <v>00:00:00</v>
        <stp/>
        <stp>bse_cm|965SCL28</stp>
        <stp>LTT</stp>
        <tr r="I1138" s="1"/>
      </tp>
      <tp t="s">
        <v>00:00:00</v>
        <stp/>
        <stp>bse_cm|965SCL29</stp>
        <stp>LTT</stp>
        <tr r="I816" s="1"/>
      </tp>
      <tp>
        <v>0</v>
        <stp/>
        <stp>bse_cm|965SCL28</stp>
        <stp>LTP</stp>
        <tr r="H1138" s="1"/>
      </tp>
      <tp>
        <v>0</v>
        <stp/>
        <stp>bse_cm|965SCL29</stp>
        <stp>LTP</stp>
        <tr r="H816" s="1"/>
      </tp>
      <tp>
        <v>0</v>
        <stp/>
        <stp>bse_cm|865SCL24</stp>
        <stp>LTP</stp>
        <tr r="H1165" s="1"/>
      </tp>
      <tp t="s">
        <v>00:00:00</v>
        <stp/>
        <stp>bse_cm|965VCL25</stp>
        <stp>LTT</stp>
        <tr r="I1543" s="1"/>
      </tp>
      <tp>
        <v>0</v>
        <stp/>
        <stp>bse_cm|965SCL25</stp>
        <stp>LTP</stp>
        <tr r="H1105" s="1"/>
      </tp>
      <tp>
        <v>0</v>
        <stp/>
        <stp>bse_cm|865SCL26</stp>
        <stp>LTP</stp>
        <tr r="H627" s="1"/>
      </tp>
      <tp>
        <v>0</v>
        <stp/>
        <stp>bse_cm|965SCL26</stp>
        <stp>LTP</stp>
        <tr r="H665" s="1"/>
      </tp>
      <tp t="s">
        <v>00:00:00</v>
        <stp/>
        <stp>bse_cm|865SCL24</stp>
        <stp>LTT</stp>
        <tr r="I1165" s="1"/>
      </tp>
      <tp>
        <v>0</v>
        <stp/>
        <stp>bse_cm|965VCL25</stp>
        <stp>LTP</stp>
        <tr r="H1543" s="1"/>
      </tp>
      <tp t="s">
        <v>00:00:00</v>
        <stp/>
        <stp>bse_cm|965SCL25</stp>
        <stp>LTT</stp>
        <tr r="I1105" s="1"/>
      </tp>
      <tp t="s">
        <v>00:00:00</v>
        <stp/>
        <stp>bse_cm|865SCL26</stp>
        <stp>LTT</stp>
        <tr r="I627" s="1"/>
      </tp>
      <tp t="s">
        <v>00:00:00</v>
        <stp/>
        <stp>bse_cm|965SCL26</stp>
        <stp>LTT</stp>
        <tr r="I665" s="1"/>
      </tp>
      <tp>
        <v>0</v>
        <stp/>
        <stp>bse_cm|975KLM25</stp>
        <stp>LTP</stp>
        <tr r="H858" s="1"/>
      </tp>
      <tp t="s">
        <v>00:00:00</v>
        <stp/>
        <stp>bse_cm|965MML25</stp>
        <stp>LTT</stp>
        <tr r="I1107" s="1"/>
      </tp>
      <tp t="s">
        <v>00:00:00</v>
        <stp/>
        <stp>bse_cm|975KLM25</stp>
        <stp>LTT</stp>
        <tr r="I858" s="1"/>
      </tp>
      <tp>
        <v>0</v>
        <stp/>
        <stp>bse_cm|965MML25</stp>
        <stp>LTP</stp>
        <tr r="H1107" s="1"/>
      </tp>
      <tp>
        <v>0</v>
        <stp/>
        <stp>bse_cm|815LTF24</stp>
        <stp>ATP</stp>
        <tr r="K1167" s="1"/>
      </tp>
      <tp>
        <v>0</v>
        <stp/>
        <stp>bse_cm|965AEL27</stp>
        <stp>LTP</stp>
        <tr r="H370" s="1"/>
      </tp>
      <tp t="s">
        <v>00:00:00</v>
        <stp/>
        <stp>bse_cm|865IFL28</stp>
        <stp>LTT</stp>
        <tr r="I115" s="1"/>
      </tp>
      <tp t="s">
        <v>00:00:00</v>
        <stp/>
        <stp>bse_cm|965AEL27</stp>
        <stp>LTT</stp>
        <tr r="I370" s="1"/>
      </tp>
      <tp>
        <v>0</v>
        <stp/>
        <stp>bse_cm|865IFL28</stp>
        <stp>LTP</stp>
        <tr r="H115" s="1"/>
      </tp>
      <tp t="s">
        <v>NSE</v>
        <stp/>
        <stp>nse_cm|990SCL27-YT</stp>
        <stp>Exchange</stp>
        <tr r="C1024" s="1"/>
      </tp>
      <tp>
        <v>0</v>
        <stp/>
        <stp>nse_cm|SCLZC25E-Y4</stp>
        <stp>Ask Rate</stp>
        <tr r="F787" s="1"/>
      </tp>
      <tp>
        <v>984</v>
        <stp/>
        <stp>bse_cm|866SCL25</stp>
        <stp>LTP</stp>
        <tr r="H603" s="1"/>
      </tp>
      <tp>
        <v>0</v>
        <stp/>
        <stp>bse_cm|866SFL25</stp>
        <stp>LTP</stp>
        <tr r="H1652" s="1"/>
      </tp>
      <tp t="s">
        <v>09:36:32</v>
        <stp/>
        <stp>bse_cm|866SCL25</stp>
        <stp>LTT</stp>
        <tr r="I603" s="1"/>
      </tp>
      <tp t="s">
        <v>00:00:00</v>
        <stp/>
        <stp>bse_cm|866SFL25</stp>
        <stp>LTT</stp>
        <tr r="I1652" s="1"/>
      </tp>
      <tp>
        <v>0</v>
        <stp/>
        <stp>bse_cm|926ONE29</stp>
        <stp>ATP</stp>
        <tr r="K1467" s="1"/>
      </tp>
      <tp>
        <v>0</v>
        <stp/>
        <stp>bse_cm|10NIDO33</stp>
        <stp>Volume Traded Today</stp>
        <tr r="L1447" s="1"/>
      </tp>
      <tp>
        <v>5</v>
        <stp/>
        <stp>bse_cm|76NHAI31</stp>
        <stp>Volume Traded Today</stp>
        <tr r="L478" s="1"/>
      </tp>
      <tp>
        <v>0</v>
        <stp/>
        <stp>bse_cm|921ONE27</stp>
        <stp>ATP</stp>
        <tr r="K1428" s="1"/>
      </tp>
      <tp>
        <v>0</v>
        <stp/>
        <stp>bse_cm|921ONE29</stp>
        <stp>ATP</stp>
        <tr r="K1112" s="1"/>
      </tp>
      <tp>
        <v>0</v>
        <stp/>
        <stp>bse_cm|10NIDO27</stp>
        <stp>Volume Traded Today</stp>
        <tr r="L597" s="1"/>
      </tp>
      <tp>
        <v>0</v>
        <stp/>
        <stp>bse_cm|10NIDO26</stp>
        <stp>Volume Traded Today</stp>
        <tr r="L62" s="1"/>
      </tp>
      <tp t="s">
        <v>00:00:00</v>
        <stp/>
        <stp>bse_cm|760MFL25</stp>
        <stp>LTT</stp>
        <tr r="I482" s="1"/>
      </tp>
      <tp>
        <v>0</v>
        <stp/>
        <stp>bse_cm|760MFL25</stp>
        <stp>LTP</stp>
        <tr r="H482" s="1"/>
      </tp>
      <tp>
        <v>1010</v>
        <stp/>
        <stp>nse_cm|10CAGL27-N5</stp>
        <stp>Bid Rate</stp>
        <tr r="E273" s="1"/>
      </tp>
      <tp>
        <v>0</v>
        <stp/>
        <stp>bse_cm|743REC35</stp>
        <stp>ATP</stp>
        <tr r="K513" s="1"/>
      </tp>
      <tp>
        <v>0</v>
        <stp/>
        <stp>bse_cm|922ONE25</stp>
        <stp>ATP</stp>
        <tr r="K1111" s="1"/>
      </tp>
      <tp>
        <v>0</v>
        <stp/>
        <stp>bse_cm|IML16224</stp>
        <stp>Volume Traded Today</stp>
        <tr r="L1499" s="1"/>
      </tp>
      <tp>
        <v>1020.2</v>
        <stp/>
        <stp>bse_cm|99JFPL25</stp>
        <stp>Prev Close</stp>
        <tr r="P1670" s="1"/>
      </tp>
      <tp>
        <v>0</v>
        <stp/>
        <stp>bse_cm|MMFSL26A</stp>
        <stp>Volume Traded Today</stp>
        <tr r="L1722" s="1"/>
      </tp>
      <tp>
        <v>1021</v>
        <stp/>
        <stp>nse_cm|10ISFL26-N3</stp>
        <stp>Bid Rate</stp>
        <tr r="E1527" s="1"/>
      </tp>
      <tp>
        <v>0</v>
        <stp/>
        <stp>nse_cm|1015SCFL29-YY</stp>
        <stp>ATP</stp>
        <tr r="K1455" s="1"/>
      </tp>
      <tp>
        <v>953.5</v>
        <stp/>
        <stp>nse_cm|10IIFL28-N4</stp>
        <stp>Bid Rate</stp>
        <tr r="E42" s="1"/>
      </tp>
      <tp>
        <v>0</v>
        <stp/>
        <stp>nse_cm|9SCL26BA-NA</stp>
        <stp>ATP</stp>
        <tr r="K122" s="1"/>
      </tp>
      <tp t="s">
        <v>MMFSL26</v>
        <stp/>
        <stp>bse_cm|MMFSL26</stp>
        <stp>Symbol</stp>
        <tr r="A1258" s="1"/>
      </tp>
      <tp>
        <v>956</v>
        <stp/>
        <stp>nse_cm|10IIFL29-N6</stp>
        <stp>Bid Rate</stp>
        <tr r="E193" s="1"/>
      </tp>
      <tp>
        <v>0</v>
        <stp/>
        <stp>bse_cm|93EFSL31</stp>
        <stp>Volume Traded Today</stp>
        <tr r="L83" s="1"/>
      </tp>
      <tp>
        <v>0</v>
        <stp/>
        <stp>nse_cm|SCLZC26F-Y9</stp>
        <stp>Ask Rate</stp>
        <tr r="F800" s="1"/>
      </tp>
      <tp>
        <v>1018.5</v>
        <stp/>
        <stp>nse_cm|10IFSL26-N7</stp>
        <stp>Bid Rate</stp>
        <tr r="E293" s="1"/>
      </tp>
      <tp>
        <v>1185</v>
        <stp/>
        <stp>bse_cm|KFLZC28B</stp>
        <stp xml:space="preserve">Low </stp>
        <tr r="O1288" s="1"/>
      </tp>
      <tp>
        <v>985</v>
        <stp/>
        <stp>bse_cm|KFLZC28C</stp>
        <stp xml:space="preserve">Low </stp>
        <tr r="O1287" s="1"/>
      </tp>
      <tp>
        <v>0</v>
        <stp/>
        <stp>nse_cm|96SFL24A-NB</stp>
        <stp>Open</stp>
        <tr r="M162" s="1"/>
      </tp>
      <tp>
        <v>1218.75</v>
        <stp/>
        <stp>bse_cm|KFLZC28A</stp>
        <stp xml:space="preserve">Low </stp>
        <tr r="O1289" s="1"/>
      </tp>
      <tp t="s">
        <v>SCLZC26E-NP</v>
        <stp/>
        <stp>nse_cm|SCLZC26E-NP</stp>
        <stp>Trading Symbol</stp>
        <tr r="B899" s="1"/>
      </tp>
      <tp t="s">
        <v>SCLZC25E-Y4</v>
        <stp/>
        <stp>nse_cm|SCLZC25E-Y4</stp>
        <stp>Trading Symbol</stp>
        <tr r="B787" s="1"/>
      </tp>
      <tp t="s">
        <v>NSE</v>
        <stp/>
        <stp>nse_cm|769IGT28-NH</stp>
        <stp>Exchange</stp>
        <tr r="C1487" s="1"/>
      </tp>
      <tp>
        <v>1199</v>
        <stp/>
        <stp>bse_cm|MFLZC28F</stp>
        <stp xml:space="preserve">Low </stp>
        <tr r="O1268" s="1"/>
      </tp>
      <tp>
        <v>1402</v>
        <stp/>
        <stp>bse_cm|MFLZC28E</stp>
        <stp xml:space="preserve">Low </stp>
        <tr r="O1269" s="1"/>
      </tp>
      <tp t="s">
        <v>INE148I08348</v>
        <stp/>
        <stp>nse_cm|850SCL25A-NW</stp>
        <stp>Isin code</stp>
        <tr r="R984" s="1"/>
      </tp>
      <tp>
        <v>0</v>
        <stp/>
        <stp>bse_cm|93SCFL25</stp>
        <stp>Volume Traded Today</stp>
        <tr r="L980" s="1"/>
      </tp>
      <tp>
        <v>0</v>
        <stp/>
        <stp>nse_cm|866ICCL23A-NY</stp>
        <stp>LTP</stp>
        <tr r="H759" s="1"/>
      </tp>
      <tp t="s">
        <v/>
        <stp/>
        <stp>nse_cm|866ICCL23A-NY</stp>
        <stp>LTT</stp>
        <tr r="I759" s="1"/>
      </tp>
      <tp t="s">
        <v/>
        <stp/>
        <stp>nse_cm|966ICCL25A-NI</stp>
        <stp>LTT</stp>
        <tr r="I1461" s="1"/>
      </tp>
      <tp>
        <v>1019.83</v>
        <stp/>
        <stp>nse_cm|966ICCL25A-NI</stp>
        <stp>LTP</stp>
        <tr r="H1461" s="1"/>
      </tp>
      <tp>
        <v>0</v>
        <stp/>
        <stp>nse_cm|905SC24-ZB</stp>
        <stp>Volume Traded Today</stp>
        <tr r="L1374" s="1"/>
      </tp>
      <tp t="s">
        <v>85IFL26</v>
        <stp/>
        <stp>nse_cm|85IFL26-NX</stp>
        <stp>Symbol</stp>
        <tr r="A1388" s="1"/>
      </tp>
      <tp t="s">
        <v>INE423A07344</v>
        <stp/>
        <stp>nse_cm|99AEL29-N7</stp>
        <stp>Isin code</stp>
        <tr r="R246" s="1"/>
      </tp>
      <tp t="s">
        <v>INE244L07275</v>
        <stp/>
        <stp>bse_cm|925ICCL24A</stp>
        <stp>Isin code</stp>
        <tr r="R1072" s="1"/>
      </tp>
      <tp t="s">
        <v>INE121A07RH2</v>
        <stp/>
        <stp>bse_cm|925IHFL25D</stp>
        <stp>Isin code</stp>
        <tr r="R1671" s="1"/>
      </tp>
      <tp t="s">
        <v>INE530B07294</v>
        <stp/>
        <stp>bse_cm|875IIFL26A</stp>
        <stp>Isin code</stp>
        <tr r="R232" s="1"/>
      </tp>
      <tp t="s">
        <v>76IGT26</v>
        <stp/>
        <stp>nse_cm|76IGT26-ND</stp>
        <stp>Symbol</stp>
        <tr r="A527" s="1"/>
      </tp>
      <tp t="s">
        <v>769NHAI31-NE</v>
        <stp/>
        <stp>nse_cm|769NHAI31-NE</stp>
        <stp>Trading Symbol</stp>
        <tr r="B461" s="1"/>
      </tp>
      <tp>
        <v>-100</v>
        <stp/>
        <stp>bse_cm|11DLSL25A</stp>
        <stp>% Change</stp>
        <tr r="J300" s="1"/>
      </tp>
      <tp t="s">
        <v>820SCFL25-Y7</v>
        <stp/>
        <stp>nse_cm|820SCFL25-Y7</stp>
        <stp>Trading Symbol</stp>
        <tr r="B926" s="1"/>
      </tp>
      <tp t="s">
        <v>925CAGL26-N9</v>
        <stp/>
        <stp>nse_cm|925CAGL26-N9</stp>
        <stp>Trading Symbol</stp>
        <tr r="B639" s="1"/>
      </tp>
      <tp t="s">
        <v>1030ICC26-NJ</v>
        <stp/>
        <stp>nse_cm|1030ICC26-NJ</stp>
        <stp>Trading Symbol</stp>
        <tr r="B1514" s="1"/>
      </tp>
      <tp t="s">
        <v>850SCFL25-Y4</v>
        <stp/>
        <stp>nse_cm|850SCFL25-Y4</stp>
        <stp>Trading Symbol</stp>
        <tr r="B924" s="1"/>
      </tp>
      <tp t="s">
        <v>866SCFL25-Y8</v>
        <stp/>
        <stp>nse_cm|866SCFL25-Y8</stp>
        <stp>Trading Symbol</stp>
        <tr r="B158" s="1"/>
      </tp>
      <tp t="s">
        <v>00:00:00</v>
        <stp/>
        <stp>bse_cm|890ICCL23A</stp>
        <stp>LTT</stp>
        <tr r="I1486" s="1"/>
      </tp>
      <tp>
        <v>0</v>
        <stp/>
        <stp>bse_cm|890ICCL23A</stp>
        <stp>LTP</stp>
        <tr r="H1486" s="1"/>
      </tp>
      <tp>
        <v>0</v>
        <stp/>
        <stp>bse_cm|866ICCL23A</stp>
        <stp>LTP</stp>
        <tr r="H1075" s="1"/>
      </tp>
      <tp t="s">
        <v>00:00:00</v>
        <stp/>
        <stp>bse_cm|866ICCL23A</stp>
        <stp>LTT</stp>
        <tr r="I1075" s="1"/>
      </tp>
      <tp>
        <v>865</v>
        <stp/>
        <stp>nse_cm|875CIFC23B-NJ</stp>
        <stp>Bid Rate</stp>
        <tr r="E346" s="1"/>
      </tp>
      <tp>
        <v>990</v>
        <stp/>
        <stp>bse_cm|948IFSL25B</stp>
        <stp>LTP</stp>
        <tr r="H599" s="1"/>
      </tp>
      <tp t="s">
        <v>09:38:24</v>
        <stp/>
        <stp>bse_cm|948IFSL25B</stp>
        <stp>LTT</stp>
        <tr r="I599" s="1"/>
      </tp>
      <tp>
        <v>-100</v>
        <stp/>
        <stp>bse_cm|975MFL24B</stp>
        <stp>% Change</stp>
        <tr r="J415" s="1"/>
      </tp>
      <tp t="s">
        <v>00:00:00</v>
        <stp/>
        <stp>bse_cm|984ICCL26A</stp>
        <stp>LTT</stp>
        <tr r="I883" s="1"/>
      </tp>
      <tp>
        <v>0</v>
        <stp/>
        <stp>bse_cm|984ICCL26A</stp>
        <stp>LTP</stp>
        <tr r="H883" s="1"/>
      </tp>
      <tp>
        <v>0</v>
        <stp/>
        <stp>bse_cm|875KFL2025</stp>
        <stp>LTP</stp>
        <tr r="H1158" s="1"/>
      </tp>
      <tp t="s">
        <v>00:00:00</v>
        <stp/>
        <stp>bse_cm|875KFL2025</stp>
        <stp>LTT</stp>
        <tr r="I1158" s="1"/>
      </tp>
      <tp t="s">
        <v>INE721A07PE0</v>
        <stp/>
        <stp>nse_cm|97SFL26-Z9</stp>
        <stp>Isin code</stp>
        <tr r="R438" s="1"/>
      </tp>
      <tp t="s">
        <v>INE148I07SR5</v>
        <stp/>
        <stp>nse_cm|1075SCFL34-Z6</stp>
        <stp>Isin code</stp>
        <tr r="R882" s="1"/>
      </tp>
      <tp t="s">
        <v>00:00:00</v>
        <stp/>
        <stp>bse_cm|913ICCL24A</stp>
        <stp>LTT</stp>
        <tr r="I1162" s="1"/>
      </tp>
      <tp t="s">
        <v>00:00:00</v>
        <stp/>
        <stp>bse_cm|925ICCL24A</stp>
        <stp>LTT</stp>
        <tr r="I1072" s="1"/>
      </tp>
      <tp>
        <v>0</v>
        <stp/>
        <stp>bse_cm|913ICCL24A</stp>
        <stp>LTP</stp>
        <tr r="H1162" s="1"/>
      </tp>
      <tp>
        <v>0</v>
        <stp/>
        <stp>bse_cm|925ICCL24A</stp>
        <stp>LTP</stp>
        <tr r="H1072" s="1"/>
      </tp>
      <tp t="s">
        <v>00:00:00</v>
        <stp/>
        <stp>bse_cm|925ICCL25I</stp>
        <stp>LTT</stp>
        <tr r="I782" s="1"/>
      </tp>
      <tp>
        <v>0</v>
        <stp/>
        <stp>bse_cm|965ICCL25I</stp>
        <stp>LTP</stp>
        <tr r="H1430" s="1"/>
      </tp>
      <tp>
        <v>0</v>
        <stp/>
        <stp>bse_cm|925ICCL25I</stp>
        <stp>LTP</stp>
        <tr r="H782" s="1"/>
      </tp>
      <tp t="s">
        <v>00:00:00</v>
        <stp/>
        <stp>bse_cm|965ICCL25I</stp>
        <stp>LTT</stp>
        <tr r="I1430" s="1"/>
      </tp>
      <tp>
        <v>0</v>
        <stp/>
        <stp>bse_cm|948ICCL25A</stp>
        <stp>LTP</stp>
        <tr r="H1398" s="1"/>
      </tp>
      <tp>
        <v>0</v>
        <stp/>
        <stp>bse_cm|955ICCL25A</stp>
        <stp>LTP</stp>
        <tr r="H1143" s="1"/>
      </tp>
      <tp>
        <v>0</v>
        <stp/>
        <stp>bse_cm|966ICCL25A</stp>
        <stp>LTP</stp>
        <tr r="H846" s="1"/>
      </tp>
      <tp t="s">
        <v>00:00:00</v>
        <stp/>
        <stp>bse_cm|948ICCL25A</stp>
        <stp>LTT</stp>
        <tr r="I1398" s="1"/>
      </tp>
      <tp t="s">
        <v>00:00:00</v>
        <stp/>
        <stp>bse_cm|955ICCL25A</stp>
        <stp>LTT</stp>
        <tr r="I1143" s="1"/>
      </tp>
      <tp t="s">
        <v>00:00:00</v>
        <stp/>
        <stp>bse_cm|966ICCL25A</stp>
        <stp>LTT</stp>
        <tr r="I846" s="1"/>
      </tp>
      <tp>
        <v>0.88</v>
        <stp/>
        <stp>bse_cm|9PCHFL31A</stp>
        <stp>% Change</stp>
        <tr r="J301" s="1"/>
      </tp>
      <tp t="s">
        <v>913ICCL24A</v>
        <stp/>
        <stp>bse_cm|913ICCL24A</stp>
        <stp>Symbol</stp>
        <tr r="A1162" s="1"/>
      </tp>
      <tp t="s">
        <v>00:00:00</v>
        <stp/>
        <stp>bse_cm|925IHFL25D</stp>
        <stp>LTT</stp>
        <tr r="I1671" s="1"/>
      </tp>
      <tp>
        <v>0</v>
        <stp/>
        <stp>bse_cm|965IHFL25D</stp>
        <stp>LTP</stp>
        <tr r="H1432" s="1"/>
      </tp>
      <tp t="s">
        <v>00:00:00</v>
        <stp/>
        <stp>bse_cm|925IHFL25E</stp>
        <stp>LTT</stp>
        <tr r="I398" s="1"/>
      </tp>
      <tp>
        <v>0</v>
        <stp/>
        <stp>bse_cm|925IHFL25D</stp>
        <stp>LTP</stp>
        <tr r="H1671" s="1"/>
      </tp>
      <tp t="s">
        <v>00:00:00</v>
        <stp/>
        <stp>bse_cm|965IHFL25D</stp>
        <stp>LTT</stp>
        <tr r="I1432" s="1"/>
      </tp>
      <tp>
        <v>0</v>
        <stp/>
        <stp>bse_cm|925IHFL25E</stp>
        <stp>LTP</stp>
        <tr r="H398" s="1"/>
      </tp>
      <tp t="s">
        <v>00:00:00</v>
        <stp/>
        <stp>bse_cm|888IHFL25F</stp>
        <stp>LTT</stp>
        <tr r="I693" s="1"/>
      </tp>
      <tp>
        <v>0</v>
        <stp/>
        <stp>bse_cm|888IHFL25C</stp>
        <stp>LTP</stp>
        <tr r="H1058" s="1"/>
      </tp>
      <tp>
        <v>0</v>
        <stp/>
        <stp>bse_cm|888IHFL25F</stp>
        <stp>LTP</stp>
        <tr r="H693" s="1"/>
      </tp>
      <tp t="s">
        <v>00:00:00</v>
        <stp/>
        <stp>bse_cm|888IHFL25C</stp>
        <stp>LTT</stp>
        <tr r="I1058" s="1"/>
      </tp>
      <tp>
        <v>0</v>
        <stp/>
        <stp>bse_cm|EFSL260724</stp>
        <stp>LTP</stp>
        <tr r="H586" s="1"/>
      </tp>
      <tp t="s">
        <v>00:00:00</v>
        <stp/>
        <stp>bse_cm|EFSL260724</stp>
        <stp>LTT</stp>
        <tr r="I586" s="1"/>
      </tp>
      <tp t="s">
        <v>00:00:00</v>
        <stp/>
        <stp>bse_cm|875IIFL26A</stp>
        <stp>LTT</stp>
        <tr r="I232" s="1"/>
      </tp>
      <tp>
        <v>0</v>
        <stp/>
        <stp>bse_cm|875IIFL26A</stp>
        <stp>LTP</stp>
        <tr r="H232" s="1"/>
      </tp>
      <tp>
        <v>-2.0499999999999998</v>
        <stp/>
        <stp>bse_cm|950KFIL26</stp>
        <stp>% Change</stp>
        <tr r="J602" s="1"/>
      </tp>
      <tp>
        <v>0</v>
        <stp/>
        <stp>bse_cm|CCIL14824A</stp>
        <stp>Volume Traded Today</stp>
        <tr r="L590" s="1"/>
      </tp>
      <tp>
        <v>0</v>
        <stp/>
        <stp>bse_cm|CCIL14824B</stp>
        <stp>Volume Traded Today</stp>
        <tr r="L752" s="1"/>
      </tp>
      <tp>
        <v>0</v>
        <stp/>
        <stp>bse_cm|CCIL14824C</stp>
        <stp>Volume Traded Today</stp>
        <tr r="L751" s="1"/>
      </tp>
      <tp>
        <v>-100</v>
        <stp/>
        <stp>bse_cm|925KFIL25</stp>
        <stp>% Change</stp>
        <tr r="J776" s="1"/>
      </tp>
      <tp>
        <v>-100</v>
        <stp/>
        <stp>bse_cm|975KAFL25</stp>
        <stp>% Change</stp>
        <tr r="J860" s="1"/>
      </tp>
      <tp>
        <v>-100</v>
        <stp/>
        <stp>bse_cm|935KAFL25</stp>
        <stp>% Change</stp>
        <tr r="J785" s="1"/>
      </tp>
      <tp t="s">
        <v>1125KLM26A</v>
        <stp/>
        <stp>bse_cm|1125KLM26A</stp>
        <stp>Symbol</stp>
        <tr r="A1226" s="1"/>
      </tp>
      <tp>
        <v>0</v>
        <stp/>
        <stp>bse_cm|EFSL26724A</stp>
        <stp>Volume Traded Today</stp>
        <tr r="L1468" s="1"/>
      </tp>
      <tp>
        <v>-100</v>
        <stp/>
        <stp>bse_cm|957JFPL30</stp>
        <stp>% Change</stp>
        <tr r="J760" s="1"/>
      </tp>
      <tp>
        <v>-100</v>
        <stp/>
        <stp>bse_cm|985KAFL26</stp>
        <stp>% Change</stp>
        <tr r="J1102" s="1"/>
      </tp>
      <tp>
        <v>-100</v>
        <stp/>
        <stp>bse_cm|975KAFL26</stp>
        <stp>% Change</stp>
        <tr r="J859" s="1"/>
      </tp>
      <tp>
        <v>-100</v>
        <stp/>
        <stp>bse_cm|950KLMF26</stp>
        <stp>% Change</stp>
        <tr r="J278" s="1"/>
      </tp>
      <tp>
        <v>0</v>
        <stp/>
        <stp>bse_cm|MFCL30424D</stp>
        <stp>Volume Traded Today</stp>
        <tr r="L1281" s="1"/>
      </tp>
      <tp>
        <v>0</v>
        <stp/>
        <stp>bse_cm|MFCL30424A</stp>
        <stp>Volume Traded Today</stp>
        <tr r="L1283" s="1"/>
      </tp>
      <tp>
        <v>0</v>
        <stp/>
        <stp>bse_cm|MFCL30424C</stp>
        <stp>Volume Traded Today</stp>
        <tr r="L1552" s="1"/>
      </tp>
      <tp>
        <v>0</v>
        <stp/>
        <stp>bse_cm|MFCL30424B</stp>
        <stp>Volume Traded Today</stp>
        <tr r="L1282" s="1"/>
      </tp>
      <tp>
        <v>0</v>
        <stp/>
        <stp>bse_cm|MFCL16924C</stp>
        <stp>Volume Traded Today</stp>
        <tr r="L660" s="1"/>
      </tp>
      <tp>
        <v>0</v>
        <stp/>
        <stp>bse_cm|MFCL16924B</stp>
        <stp>Volume Traded Today</stp>
        <tr r="L1284" s="1"/>
      </tp>
      <tp>
        <v>0</v>
        <stp/>
        <stp>bse_cm|MFCL16924A</stp>
        <stp>Volume Traded Today</stp>
        <tr r="L1285" s="1"/>
      </tp>
      <tp>
        <v>-100</v>
        <stp/>
        <stp>bse_cm|CCILZC25A</stp>
        <stp>% Change</stp>
        <tr r="J749" s="1"/>
      </tp>
      <tp>
        <v>0</v>
        <stp/>
        <stp>nse_cm|1003SCFL31-Z4</stp>
        <stp>Ask Rate</stp>
        <tr r="F878" s="1"/>
      </tp>
      <tp>
        <v>-100</v>
        <stp/>
        <stp>bse_cm|EFSLZC25A</stp>
        <stp>% Change</stp>
        <tr r="J1333" s="1"/>
      </tp>
      <tp>
        <v>-100</v>
        <stp/>
        <stp>bse_cm|IIFLZC25B</stp>
        <stp>% Change</stp>
        <tr r="J1685" s="1"/>
      </tp>
      <tp>
        <v>-100</v>
        <stp/>
        <stp>bse_cm|IIFLZC25C</stp>
        <stp>% Change</stp>
        <tr r="J1750" s="1"/>
      </tp>
      <tp>
        <v>-100</v>
        <stp/>
        <stp>bse_cm|MMFLZC25D</stp>
        <stp>% Change</stp>
        <tr r="J1262" s="1"/>
      </tp>
      <tp>
        <v>-100</v>
        <stp/>
        <stp>bse_cm|IIFLZC25A</stp>
        <stp>% Change</stp>
        <tr r="J1737" s="1"/>
      </tp>
      <tp>
        <v>-100</v>
        <stp/>
        <stp>bse_cm|MMFLZC25B</stp>
        <stp>% Change</stp>
        <tr r="J1581" s="1"/>
      </tp>
      <tp>
        <v>-100</v>
        <stp/>
        <stp>bse_cm|MMFLZC25C</stp>
        <stp>% Change</stp>
        <tr r="J1263" s="1"/>
      </tp>
      <tp>
        <v>-100</v>
        <stp/>
        <stp>bse_cm|MMFLZC25A</stp>
        <stp>% Change</stp>
        <tr r="J1264" s="1"/>
      </tp>
      <tp>
        <v>0</v>
        <stp/>
        <stp>nse_cm|913ICCL24A-NF</stp>
        <stp>Volume Traded Today</stp>
        <tr r="L781" s="1"/>
      </tp>
      <tp>
        <v>0</v>
        <stp/>
        <stp>bse_cm|81TCHF28</stp>
        <stp>ATP</stp>
        <tr r="K479" s="1"/>
      </tp>
      <tp t="s">
        <v>INE342T07395</v>
        <stp/>
        <stp>nse_cm|1075NFL25-N6</stp>
        <stp>Isin code</stp>
        <tr r="R1438" s="1"/>
      </tp>
      <tp>
        <v>1083.5</v>
        <stp/>
        <stp>bse_cm|81ABFL33</stp>
        <stp>High</stp>
        <tr r="N1603" s="1"/>
      </tp>
      <tp>
        <v>990</v>
        <stp/>
        <stp>bse_cm|78ABFL33</stp>
        <stp>High</stp>
        <tr r="N378" s="1"/>
      </tp>
      <tp t="s">
        <v>INE423A07369</v>
        <stp/>
        <stp>nse_cm|AEL120924-N2</stp>
        <stp>Isin code</stp>
        <tr r="R1673" s="1"/>
      </tp>
      <tp>
        <v>1490</v>
        <stp/>
        <stp>bse_cm|JMFPZC25</stp>
        <stp xml:space="preserve">Low </stp>
        <tr r="O1324" s="1"/>
      </tp>
      <tp>
        <v>1610</v>
        <stp/>
        <stp>bse_cm|JMFPZC26</stp>
        <stp xml:space="preserve">Low </stp>
        <tr r="O1323" s="1"/>
      </tp>
      <tp t="e">
        <v>#N/A</v>
        <stp/>
        <stp>bse_cm|MHFLZC24</stp>
        <stp xml:space="preserve">Low </stp>
        <tr r="O35" s="1"/>
      </tp>
      <tp>
        <v>-100</v>
        <stp/>
        <stp>bse_cm|9MFL25A</stp>
        <stp>% Change</stp>
        <tr r="J702" s="1"/>
      </tp>
      <tp t="s">
        <v>00:00:00</v>
        <stp/>
        <stp>bse_cm|96EFSL27</stp>
        <stp>LTT</stp>
        <tr r="I1050" s="1"/>
      </tp>
      <tp t="s">
        <v>00:00:00</v>
        <stp/>
        <stp>bse_cm|96EFSL26</stp>
        <stp>LTT</stp>
        <tr r="I1465" s="1"/>
      </tp>
      <tp>
        <v>0</v>
        <stp/>
        <stp>bse_cm|96EFSL27</stp>
        <stp>LTP</stp>
        <tr r="H1050" s="1"/>
      </tp>
      <tp>
        <v>0</v>
        <stp/>
        <stp>bse_cm|96EFSL26</stp>
        <stp>LTP</stp>
        <tr r="H1465" s="1"/>
      </tp>
      <tp>
        <v>1317</v>
        <stp/>
        <stp>bse_cm|MMFLZC25</stp>
        <stp xml:space="preserve">Low </stp>
        <tr r="O1731" s="1"/>
      </tp>
      <tp>
        <v>1565</v>
        <stp/>
        <stp>bse_cm|NWFLZC25</stp>
        <stp xml:space="preserve">Low </stp>
        <tr r="O1758" s="1"/>
      </tp>
      <tp>
        <v>1640</v>
        <stp/>
        <stp>bse_cm|IIFLZC25</stp>
        <stp xml:space="preserve">Low </stp>
        <tr r="O1743" s="1"/>
      </tp>
      <tp>
        <v>1546.21</v>
        <stp/>
        <stp>bse_cm|MHFLZC26</stp>
        <stp xml:space="preserve">Low </stp>
        <tr r="O1714" s="1"/>
      </tp>
      <tp>
        <v>1495</v>
        <stp/>
        <stp>bse_cm|MMFLZC26</stp>
        <stp xml:space="preserve">Low </stp>
        <tr r="O1261" s="1"/>
      </tp>
      <tp>
        <v>1200</v>
        <stp/>
        <stp>bse_cm|IIFLZC26</stp>
        <stp xml:space="preserve">Low </stp>
        <tr r="O1236" s="1"/>
      </tp>
      <tp>
        <v>1612.18</v>
        <stp/>
        <stp>bse_cm|KAFLZC26</stp>
        <stp xml:space="preserve">Low </stp>
        <tr r="O1316" s="1"/>
      </tp>
      <tp>
        <v>999.8</v>
        <stp/>
        <stp>bse_cm|8MFL2026</stp>
        <stp xml:space="preserve">Low </stp>
        <tr r="O451" s="1"/>
      </tp>
      <tp>
        <v>971.5</v>
        <stp/>
        <stp>bse_cm|9SFL2026</stp>
        <stp xml:space="preserve">Low </stp>
        <tr r="O1473" s="1"/>
      </tp>
      <tp>
        <v>0</v>
        <stp/>
        <stp>bse_cm|939SCL27</stp>
        <stp>Volume Traded Today</stp>
        <tr r="L985" s="1"/>
      </tp>
      <tp>
        <v>990</v>
        <stp/>
        <stp>bse_cm|8MFLTD26</stp>
        <stp xml:space="preserve">Low </stp>
        <tr r="O321" s="1"/>
      </tp>
      <tp>
        <v>1380</v>
        <stp/>
        <stp>bse_cm|MMFLZC27</stp>
        <stp xml:space="preserve">Low </stp>
        <tr r="O1462" s="1"/>
      </tp>
      <tp>
        <v>982</v>
        <stp/>
        <stp>bse_cm|CIFCZC28</stp>
        <stp xml:space="preserve">Low </stp>
        <tr r="O736" s="1"/>
      </tp>
      <tp>
        <v>0</v>
        <stp/>
        <stp>bse_cm|898LTF29</stp>
        <stp>Volume Traded Today</stp>
        <tr r="L416" s="1"/>
      </tp>
      <tp>
        <v>1001.1</v>
        <stp/>
        <stp>nse_cm|905PEL26-N1</stp>
        <stp>Bid Rate</stp>
        <tr r="E500" s="1"/>
      </tp>
      <tp t="s">
        <v>905SC24</v>
        <stp/>
        <stp>bse_cm|905SC24</stp>
        <stp>Symbol</stp>
        <tr r="A573" s="1"/>
      </tp>
      <tp>
        <v>0</v>
        <stp/>
        <stp>nse_cm|SCLZC26G-YA</stp>
        <stp>Ask Rate</stp>
        <tr r="F815" s="1"/>
      </tp>
      <tp>
        <v>0</v>
        <stp/>
        <stp>bse_cm|833SCL24</stp>
        <stp>Volume Traded Today</stp>
        <tr r="L1180" s="1"/>
      </tp>
      <tp>
        <v>0</v>
        <stp/>
        <stp>bse_cm|932AEL27</stp>
        <stp>Volume Traded Today</stp>
        <tr r="L317" s="1"/>
      </tp>
      <tp t="s">
        <v>9EFSL25</v>
        <stp/>
        <stp>bse_cm|9EFSL25</stp>
        <stp>Symbol</stp>
        <tr r="A606" s="1"/>
      </tp>
      <tp t="s">
        <v>9EFSL26</v>
        <stp/>
        <stp>bse_cm|9EFSL26</stp>
        <stp>Symbol</stp>
        <tr r="A581" s="1"/>
      </tp>
      <tp>
        <v>0</v>
        <stp/>
        <stp>bse_cm|931SFL26</stp>
        <stp>Volume Traded Today</stp>
        <tr r="L1492" s="1"/>
      </tp>
      <tp>
        <v>0</v>
        <stp/>
        <stp>bse_cm|930SFL28</stp>
        <stp>Volume Traded Today</stp>
        <tr r="L10" s="1"/>
      </tp>
      <tp>
        <v>0</v>
        <stp/>
        <stp>bse_cm|95NIDO26</stp>
        <stp>LTP</stp>
        <tr r="H670" s="1"/>
      </tp>
      <tp t="s">
        <v>00:00:00</v>
        <stp/>
        <stp>bse_cm|95NIDO26</stp>
        <stp>LTT</stp>
        <tr r="I670" s="1"/>
      </tp>
      <tp>
        <v>0</v>
        <stp/>
        <stp>nse_cm|902SCL26-N8</stp>
        <stp>Bid Rate</stp>
        <tr r="E968" s="1"/>
      </tp>
      <tp>
        <v>1280</v>
        <stp/>
        <stp>bse_cm|MMFLZC28</stp>
        <stp xml:space="preserve">Low </stp>
        <tr r="O1259" s="1"/>
      </tp>
      <tp>
        <v>1245</v>
        <stp/>
        <stp>bse_cm|IIFLZC28</stp>
        <stp xml:space="preserve">Low </stp>
        <tr r="O1660" s="1"/>
      </tp>
      <tp>
        <v>1105</v>
        <stp/>
        <stp>bse_cm|KAFLZC28</stp>
        <stp xml:space="preserve">Low </stp>
        <tr r="O1315" s="1"/>
      </tp>
      <tp t="s">
        <v>00:00:00</v>
        <stp/>
        <stp>bse_cm|96IIFL28</stp>
        <stp>LTT</stp>
        <tr r="I118" s="1"/>
      </tp>
      <tp>
        <v>0</v>
        <stp/>
        <stp>bse_cm|96IIFL28</stp>
        <stp>LTP</stp>
        <tr r="H118" s="1"/>
      </tp>
      <tp>
        <v>990</v>
        <stp/>
        <stp>bse_cm|8MFLTD28</stp>
        <stp xml:space="preserve">Low </stp>
        <tr r="O366" s="1"/>
      </tp>
      <tp>
        <v>841</v>
        <stp/>
        <stp>bse_cm|CIFCZC26</stp>
        <stp xml:space="preserve">Low </stp>
        <tr r="O738" s="1"/>
      </tp>
      <tp>
        <v>1026</v>
        <stp/>
        <stp>bse_cm|IIFLHF29</stp>
        <stp xml:space="preserve">Low </stp>
        <tr r="O1631" s="1"/>
      </tp>
      <tp t="s">
        <v>INE583D07307</v>
        <stp/>
        <stp>nse_cm|1035UCL24-N6</stp>
        <stp>Isin code</stp>
        <tr r="R591" s="1"/>
      </tp>
      <tp t="s">
        <v>INE053F07843</v>
        <stp/>
        <stp>nse_cm|750IRFC35-NK</stp>
        <stp>Isin code</stp>
        <tr r="R485" s="1"/>
      </tp>
      <tp>
        <v>0</v>
        <stp/>
        <stp>bse_cm|835MFL26</stp>
        <stp>Volume Traded Today</stp>
        <tr r="L169" s="1"/>
      </tp>
      <tp>
        <v>0</v>
        <stp/>
        <stp>bse_cm|735MFL25</stp>
        <stp>Volume Traded Today</stp>
        <tr r="L308" s="1"/>
      </tp>
      <tp>
        <v>0</v>
        <stp/>
        <stp>bse_cm|835IFL25</stp>
        <stp>Volume Traded Today</stp>
        <tr r="L668" s="1"/>
      </tp>
      <tp>
        <v>0</v>
        <stp/>
        <stp>bse_cm|935MFL29</stp>
        <stp>Volume Traded Today</stp>
        <tr r="L238" s="1"/>
      </tp>
      <tp>
        <v>1011</v>
        <stp/>
        <stp>bse_cm|CIFCZC25</stp>
        <stp xml:space="preserve">Low </stp>
        <tr r="O1436" s="1"/>
      </tp>
      <tp>
        <v>0</v>
        <stp/>
        <stp>bse_cm|935SCL28</stp>
        <stp>Volume Traded Today</stp>
        <tr r="L284" s="1"/>
      </tp>
      <tp>
        <v>0</v>
        <stp/>
        <stp>bse_cm|935PEL33</stp>
        <stp>Volume Traded Today</stp>
        <tr r="L368" s="1"/>
      </tp>
      <tp t="s">
        <v>00:00:00</v>
        <stp/>
        <stp>bse_cm|975SCL28</stp>
        <stp>LTT</stp>
        <tr r="I1485" s="1"/>
      </tp>
      <tp>
        <v>0</v>
        <stp/>
        <stp>bse_cm|975SCL28</stp>
        <stp>LTP</stp>
        <tr r="H1485" s="1"/>
      </tp>
      <tp>
        <v>0</v>
        <stp/>
        <stp>bse_cm|875SFL25</stp>
        <stp>LTP</stp>
        <tr r="H936" s="1"/>
      </tp>
      <tp>
        <v>0</v>
        <stp/>
        <stp>bse_cm|875SCL27</stp>
        <stp>LTP</stp>
        <tr r="H722" s="1"/>
      </tp>
      <tp>
        <v>0</v>
        <stp/>
        <stp>bse_cm|875SFL27</stp>
        <stp>LTP</stp>
        <tr r="H578" s="1"/>
      </tp>
      <tp t="s">
        <v>00:00:00</v>
        <stp/>
        <stp>bse_cm|875SFL25</stp>
        <stp>LTT</stp>
        <tr r="I936" s="1"/>
      </tp>
      <tp t="s">
        <v>00:00:00</v>
        <stp/>
        <stp>bse_cm|875SCL27</stp>
        <stp>LTT</stp>
        <tr r="I722" s="1"/>
      </tp>
      <tp t="s">
        <v>00:00:00</v>
        <stp/>
        <stp>bse_cm|875SFL27</stp>
        <stp>LTT</stp>
        <tr r="I578" s="1"/>
      </tp>
      <tp t="s">
        <v>09:21:01</v>
        <stp/>
        <stp>bse_cm|775MFL26</stp>
        <stp>LTT</stp>
        <tr r="I328" s="1"/>
      </tp>
      <tp>
        <v>0</v>
        <stp/>
        <stp>bse_cm|975IML26</stp>
        <stp>LTP</stp>
        <tr r="H646" s="1"/>
      </tp>
      <tp t="s">
        <v>00:00:00</v>
        <stp/>
        <stp>bse_cm|975NFL25</stp>
        <stp>LTT</stp>
        <tr r="I623" s="1"/>
      </tp>
      <tp t="s">
        <v>00:00:00</v>
        <stp/>
        <stp>bse_cm|875MFL26</stp>
        <stp>LTT</stp>
        <tr r="I161" s="1"/>
      </tp>
      <tp t="s">
        <v>00:00:00</v>
        <stp/>
        <stp>bse_cm|775MFL27</stp>
        <stp>LTT</stp>
        <tr r="I694" s="1"/>
      </tp>
      <tp>
        <v>0</v>
        <stp/>
        <stp>bse_cm|875KFL25</stp>
        <stp>LTP</stp>
        <tr r="H50" s="1"/>
      </tp>
      <tp>
        <v>0</v>
        <stp/>
        <stp>bse_cm|875KFL26</stp>
        <stp>LTP</stp>
        <tr r="H1156" s="1"/>
      </tp>
      <tp t="s">
        <v>00:00:00</v>
        <stp/>
        <stp>bse_cm|775MFL25</stp>
        <stp>LTT</stp>
        <tr r="I1369" s="1"/>
      </tp>
      <tp t="s">
        <v>00:00:00</v>
        <stp/>
        <stp>bse_cm|975MML25</stp>
        <stp>LTT</stp>
        <tr r="I852" s="1"/>
      </tp>
      <tp t="s">
        <v>00:00:00</v>
        <stp/>
        <stp>bse_cm|975MFL25</stp>
        <stp>LTT</stp>
        <tr r="I855" s="1"/>
      </tp>
      <tp>
        <v>975</v>
        <stp/>
        <stp>bse_cm|775MFL26</stp>
        <stp>LTP</stp>
        <tr r="H328" s="1"/>
      </tp>
      <tp t="s">
        <v>00:00:00</v>
        <stp/>
        <stp>bse_cm|975IML26</stp>
        <stp>LTT</stp>
        <tr r="I646" s="1"/>
      </tp>
      <tp>
        <v>0</v>
        <stp/>
        <stp>bse_cm|975NFL25</stp>
        <stp>LTP</stp>
        <tr r="H623" s="1"/>
      </tp>
      <tp>
        <v>0</v>
        <stp/>
        <stp>bse_cm|875MFL26</stp>
        <stp>LTP</stp>
        <tr r="H161" s="1"/>
      </tp>
      <tp>
        <v>0</v>
        <stp/>
        <stp>bse_cm|905LTF27</stp>
        <stp>ATP</stp>
        <tr r="K394" s="1"/>
      </tp>
      <tp>
        <v>0</v>
        <stp/>
        <stp>bse_cm|775MFL27</stp>
        <stp>LTP</stp>
        <tr r="H694" s="1"/>
      </tp>
      <tp t="s">
        <v>00:00:00</v>
        <stp/>
        <stp>bse_cm|875KFL25</stp>
        <stp>LTT</stp>
        <tr r="I50" s="1"/>
      </tp>
      <tp>
        <v>0</v>
        <stp/>
        <stp>bse_cm|935ONE26</stp>
        <stp>ATP</stp>
        <tr r="K1173" s="1"/>
      </tp>
      <tp t="s">
        <v>00:00:00</v>
        <stp/>
        <stp>bse_cm|875KFL26</stp>
        <stp>LTT</stp>
        <tr r="I1156" s="1"/>
      </tp>
      <tp>
        <v>0</v>
        <stp/>
        <stp>bse_cm|775MFL25</stp>
        <stp>LTP</stp>
        <tr r="H1369" s="1"/>
      </tp>
      <tp>
        <v>0</v>
        <stp/>
        <stp>bse_cm|975MML25</stp>
        <stp>LTP</stp>
        <tr r="H852" s="1"/>
      </tp>
      <tp>
        <v>0</v>
        <stp/>
        <stp>bse_cm|975MFL25</stp>
        <stp>LTP</stp>
        <tr r="H855" s="1"/>
      </tp>
      <tp>
        <v>0</v>
        <stp/>
        <stp>bse_cm|875MFL28</stp>
        <stp>LTP</stp>
        <tr r="H689" s="1"/>
      </tp>
      <tp>
        <v>0</v>
        <stp/>
        <stp>bse_cm|975MFL29</stp>
        <stp>LTP</stp>
        <tr r="H683" s="1"/>
      </tp>
      <tp t="s">
        <v>00:00:00</v>
        <stp/>
        <stp>bse_cm|875MFL28</stp>
        <stp>LTT</stp>
        <tr r="I689" s="1"/>
      </tp>
      <tp t="s">
        <v>00:00:00</v>
        <stp/>
        <stp>bse_cm|975MFL29</stp>
        <stp>LTT</stp>
        <tr r="I683" s="1"/>
      </tp>
      <tp>
        <v>881.01</v>
        <stp/>
        <stp>nse_cm|915SCL26-NE</stp>
        <stp>Bid Rate</stp>
        <tr r="E58" s="1"/>
      </tp>
      <tp>
        <v>0</v>
        <stp/>
        <stp>bse_cm|92ICCL28</stp>
        <stp>Volume Traded Today</stp>
        <tr r="L202" s="1"/>
      </tp>
      <tp>
        <v>0</v>
        <stp/>
        <stp>bse_cm|12ICFL25</stp>
        <stp>Volume Traded Today</stp>
        <tr r="L1213" s="1"/>
      </tp>
      <tp t="s">
        <v>00:00:00</v>
        <stp/>
        <stp>bse_cm|971SCL28</stp>
        <stp>LTT</stp>
        <tr r="I1028" s="1"/>
      </tp>
      <tp t="s">
        <v>00:00:00</v>
        <stp/>
        <stp>bse_cm|971SCL29</stp>
        <stp>LTT</stp>
        <tr r="I521" s="1"/>
      </tp>
      <tp>
        <v>1001</v>
        <stp/>
        <stp>nse_cm|81ABFL33-N5</stp>
        <stp>Bid Rate</stp>
        <tr r="E1588" s="1"/>
      </tp>
      <tp>
        <v>0</v>
        <stp/>
        <stp>bse_cm|971SCL28</stp>
        <stp>LTP</stp>
        <tr r="H1028" s="1"/>
      </tp>
      <tp>
        <v>0</v>
        <stp/>
        <stp>bse_cm|971SCL29</stp>
        <stp>LTP</stp>
        <tr r="H521" s="1"/>
      </tp>
      <tp>
        <v>20</v>
        <stp/>
        <stp>bse_cm|9TCAP28</stp>
        <stp>Bid Qty</stp>
        <tr r="D545" s="1"/>
      </tp>
      <tp t="s">
        <v>00:00:00</v>
        <stp/>
        <stp>bse_cm|870MFL27</stp>
        <stp>LTT</stp>
        <tr r="I399" s="1"/>
      </tp>
      <tp>
        <v>0</v>
        <stp/>
        <stp>bse_cm|870MFL27</stp>
        <stp>LTP</stp>
        <tr r="H399" s="1"/>
      </tp>
      <tp>
        <v>0</v>
        <stp/>
        <stp>bse_cm|1025SF29</stp>
        <stp>ATP</stp>
        <tr r="K1409" s="1"/>
      </tp>
      <tp t="s">
        <v>NSE</v>
        <stp/>
        <stp>nse_cm|889SCL27-YT</stp>
        <stp>Exchange</stp>
        <tr r="C120" s="1"/>
      </tp>
      <tp>
        <v>0</v>
        <stp/>
        <stp>nse_cm|SCFL310524-ZE</stp>
        <stp>ATP</stp>
        <tr r="K1240" s="1"/>
      </tp>
      <tp>
        <v>0</v>
        <stp/>
        <stp>nse_cm|1025SCL34A-ZT</stp>
        <stp>Volume Traded Today</stp>
        <tr r="L171" s="1"/>
      </tp>
      <tp>
        <v>0</v>
        <stp/>
        <stp>nse_cm|IFCIZC25-NM</stp>
        <stp>Open</stp>
        <tr r="M1765" s="1"/>
      </tp>
      <tp>
        <v>0</v>
        <stp/>
        <stp>bse_cm|879SCL26</stp>
        <stp>LTP</stp>
        <tr r="H1351" s="1"/>
      </tp>
      <tp t="s">
        <v>00:00:00</v>
        <stp/>
        <stp>bse_cm|879SCL26</stp>
        <stp>LTT</stp>
        <tr r="I1351" s="1"/>
      </tp>
      <tp t="s">
        <v>NSE</v>
        <stp/>
        <stp>nse_cm|888SCL26-YP</stp>
        <stp>Exchange</stp>
        <tr r="C841" s="1"/>
      </tp>
      <tp>
        <v>0</v>
        <stp/>
        <stp>bse_cm|92EFSL26</stp>
        <stp>Volume Traded Today</stp>
        <tr r="L186" s="1"/>
      </tp>
      <tp>
        <v>0</v>
        <stp/>
        <stp>nse_cm|1003SCFL31-Z4</stp>
        <stp>ATP</stp>
        <tr r="K878" s="1"/>
      </tp>
      <tp>
        <v>0</v>
        <stp/>
        <stp>nse_cm|IFCIZC24-NI</stp>
        <stp>Open</stp>
        <tr r="M1768" s="1"/>
      </tp>
      <tp>
        <v>0</v>
        <stp/>
        <stp>nse_cm|97SFL26A-NC</stp>
        <stp>Open</stp>
        <tr r="M784" s="1"/>
      </tp>
      <tp>
        <v>1000</v>
        <stp/>
        <stp>bse_cm|11CCIL26</stp>
        <stp>Face Value</stp>
        <tr r="Q625" s="1"/>
      </tp>
      <tp>
        <v>1000</v>
        <stp/>
        <stp>bse_cm|11CCIL27</stp>
        <stp>Face Value</stp>
        <tr r="Q691" s="1"/>
      </tp>
      <tp>
        <v>1005.1</v>
        <stp/>
        <stp>bse_cm|CIFC26</stp>
        <stp>Bid Rate</stp>
        <tr r="E742" s="1"/>
      </tp>
      <tp>
        <v>1000</v>
        <stp/>
        <stp>bse_cm|10KFIL27</stp>
        <stp>Face Value</stp>
        <tr r="Q183" s="1"/>
      </tp>
      <tp>
        <v>1025</v>
        <stp/>
        <stp>bse_cm|MFLZC29A</stp>
        <stp xml:space="preserve">Low </stp>
        <tr r="O1554" s="1"/>
      </tp>
      <tp>
        <v>-100</v>
        <stp/>
        <stp>bse_cm|9KSFL27</stp>
        <stp>% Change</stp>
        <tr r="J1418" s="1"/>
      </tp>
      <tp t="s">
        <v>SCLZC25D-NJ</v>
        <stp/>
        <stp>nse_cm|SCLZC25D-NJ</stp>
        <stp>Trading Symbol</stp>
        <tr r="B1699" s="1"/>
      </tp>
      <tp t="s">
        <v>SCLZC26D-NO</v>
        <stp/>
        <stp>nse_cm|SCLZC26D-NO</stp>
        <stp>Trading Symbol</stp>
        <tr r="B901" s="1"/>
      </tp>
      <tp>
        <v>1000</v>
        <stp/>
        <stp>nse_cm|925ICCL25I-NP</stp>
        <stp>Face Value</stp>
        <tr r="Q777" s="1"/>
      </tp>
      <tp t="s">
        <v>INE148I07ON3</v>
        <stp/>
        <stp>nse_cm|940SCL26C-AU</stp>
        <stp>Isin code</stp>
        <tr r="R793" s="1"/>
      </tp>
      <tp>
        <v>0</v>
        <stp/>
        <stp>nse_cm|875CIFC23B-NJ</stp>
        <stp>ATP</stp>
        <tr r="K346" s="1"/>
      </tp>
      <tp t="s">
        <v>INE148I07OM5</v>
        <stp/>
        <stp>nse_cm|950SCL23A-AP</stp>
        <stp>Isin code</stp>
        <tr r="R1145" s="1"/>
      </tp>
      <tp>
        <v>877.85</v>
        <stp/>
        <stp>bse_cm|CAGL28</stp>
        <stp>Bid Rate</stp>
        <tr r="E757" s="1"/>
      </tp>
      <tp>
        <v>880.2</v>
        <stp/>
        <stp>bse_cm|CAGL27</stp>
        <stp>Bid Rate</stp>
        <tr r="E734" s="1"/>
      </tp>
      <tp>
        <v>1000</v>
        <stp/>
        <stp>nse_cm|888IHFL25F-NC</stp>
        <stp>Face Value</stp>
        <tr r="Q343" s="1"/>
      </tp>
      <tp>
        <v>882.8</v>
        <stp/>
        <stp>bse_cm|CAGL26</stp>
        <stp>Bid Rate</stp>
        <tr r="E708" s="1"/>
      </tp>
      <tp>
        <v>0</v>
        <stp/>
        <stp>nse_cm|1050ICCL28-NV</stp>
        <stp>ATP</stp>
        <tr r="K764" s="1"/>
      </tp>
      <tp>
        <v>0</v>
        <stp/>
        <stp>nse_cm|1003ISFL28-N4</stp>
        <stp>ATP</stp>
        <tr r="K197" s="1"/>
      </tp>
      <tp>
        <v>912.8</v>
        <stp/>
        <stp>bse_cm|CAGL25</stp>
        <stp>Bid Rate</stp>
        <tr r="E1061" s="1"/>
      </tp>
      <tp>
        <v>0</v>
        <stp/>
        <stp>nse_cm|1003IIFL29-NC</stp>
        <stp>ATP</stp>
        <tr r="K1077" s="1"/>
      </tp>
      <tp>
        <v>1109.2</v>
        <stp/>
        <stp>bse_cm|CAGL24</stp>
        <stp>Bid Rate</stp>
        <tr r="E1761" s="1"/>
      </tp>
      <tp>
        <v>0</v>
        <stp/>
        <stp>bse_cm|948SCL27A</stp>
        <stp>Ask Qty</stp>
        <tr r="G697" s="1"/>
      </tp>
      <tp>
        <v>0</v>
        <stp/>
        <stp>bse_cm|948SCL26D</stp>
        <stp>Ask Qty</stp>
        <tr r="G1081" s="1"/>
      </tp>
      <tp t="s">
        <v>NSE</v>
        <stp/>
        <stp>nse_cm|772IGT31-NK</stp>
        <stp>Exchange</stp>
        <tr r="C1193" s="1"/>
      </tp>
      <tp>
        <v>18</v>
        <stp/>
        <stp>bse_cm|948SCL26A</stp>
        <stp>Ask Qty</stp>
        <tr r="G494" s="1"/>
      </tp>
      <tp>
        <v>0</v>
        <stp/>
        <stp>nse_cm|CIF29-NO</stp>
        <stp>Ask Rate</stp>
        <tr r="F743" s="1"/>
      </tp>
      <tp>
        <v>0</v>
        <stp/>
        <stp>bse_cm|888SCL26A</stp>
        <stp>Ask Qty</stp>
        <tr r="G840" s="1"/>
      </tp>
      <tp>
        <v>100</v>
        <stp/>
        <stp>bse_cm|948SCL26B</stp>
        <stp>Ask Qty</stp>
        <tr r="G470" s="1"/>
      </tp>
      <tp>
        <v>0</v>
        <stp/>
        <stp>bse_cm|948SCL26I</stp>
        <stp>Ask Qty</stp>
        <tr r="G1080" s="1"/>
      </tp>
      <tp>
        <v>0</v>
        <stp/>
        <stp>nse_cm|1025SCL33A-N1</stp>
        <stp>Volume Traded Today</stp>
        <tr r="L834" s="1"/>
      </tp>
      <tp>
        <v>11</v>
        <stp/>
        <stp>bse_cm|10MMLTD24</stp>
        <stp>Bid Qty</stp>
        <tr r="D1615" s="1"/>
      </tp>
      <tp>
        <v>0</v>
        <stp/>
        <stp>bse_cm|888SCL25D</stp>
        <stp>Ask Qty</stp>
        <tr r="G788" s="1"/>
      </tp>
      <tp>
        <v>0</v>
        <stp/>
        <stp>bse_cm|888SCL25E</stp>
        <stp>Ask Qty</stp>
        <tr r="G1356" s="1"/>
      </tp>
      <tp>
        <v>0</v>
        <stp/>
        <stp>bse_cm|888SCL25A</stp>
        <stp>Ask Qty</stp>
        <tr r="G911" s="1"/>
      </tp>
      <tp>
        <v>0</v>
        <stp/>
        <stp>bse_cm|888SCL25B</stp>
        <stp>Ask Qty</stp>
        <tr r="G909" s="1"/>
      </tp>
      <tp>
        <v>1190</v>
        <stp/>
        <stp>nse_cm|CIF27-NM</stp>
        <stp>Ask Rate</stp>
        <tr r="F1665" s="1"/>
      </tp>
      <tp>
        <v>901.5</v>
        <stp/>
        <stp>bse_cm|10KFL28A</stp>
        <stp>High</stp>
        <tr r="N1423" s="1"/>
      </tp>
      <tp>
        <v>1010.1</v>
        <stp/>
        <stp>bse_cm|CIFC28</stp>
        <stp>Bid Rate</stp>
        <tr r="E1529" s="1"/>
      </tp>
      <tp>
        <v>1165</v>
        <stp/>
        <stp>nse_cm|880IREDA29-N5</stp>
        <stp>Open</stp>
        <tr r="M510" s="1"/>
      </tp>
      <tp>
        <v>0</v>
        <stp/>
        <stp>nse_cm|880IREDA34-N6</stp>
        <stp>Open</stp>
        <tr r="M511" s="1"/>
      </tp>
      <tp t="s">
        <v>NSE</v>
        <stp/>
        <stp>nse_cm|1015SCFL29-YY</stp>
        <stp>Exchange</stp>
        <tr r="C1455" s="1"/>
      </tp>
      <tp>
        <v>0</v>
        <stp/>
        <stp>nse_cm|SCLZC26-NB</stp>
        <stp>ATP</stp>
        <tr r="K1717" s="1"/>
      </tp>
      <tp>
        <v>1137.0999999999999</v>
        <stp/>
        <stp>nse_cm|855IREDA29-N2</stp>
        <stp>Open</stp>
        <tr r="M505" s="1"/>
      </tp>
      <tp>
        <v>0</v>
        <stp/>
        <stp>nse_cm|855IREDA34-N3</stp>
        <stp>Open</stp>
        <tr r="M558" s="1"/>
      </tp>
      <tp t="s">
        <v>957ICCL25-YW</v>
        <stp/>
        <stp>nse_cm|957ICCL25-YW</stp>
        <stp>Trading Symbol</stp>
        <tr r="B386" s="1"/>
      </tp>
      <tp t="s">
        <v>INE121A07RF6</v>
        <stp/>
        <stp>bse_cm|925IHFL25E</stp>
        <stp>Isin code</stp>
        <tr r="R398" s="1"/>
      </tp>
      <tp t="s">
        <v>INE549K08244</v>
        <stp/>
        <stp>bse_cm|975MFCL28E</stp>
        <stp>Isin code</stp>
        <tr r="R303" s="1"/>
      </tp>
      <tp t="s">
        <v>INE549K07ED0</v>
        <stp/>
        <stp>bse_cm|MFCL16924A</stp>
        <stp>Isin code</stp>
        <tr r="R1285" s="1"/>
      </tp>
      <tp t="s">
        <v>925SCFL25-AD</v>
        <stp/>
        <stp>nse_cm|925SCFL25-AD</stp>
        <stp>Trading Symbol</stp>
        <tr r="B773" s="1"/>
      </tp>
      <tp t="s">
        <v>INE148I07QY5</v>
        <stp/>
        <stp>bse_cm|1075SCL33B</stp>
        <stp>Isin code</stp>
        <tr r="R706" s="1"/>
      </tp>
      <tp>
        <v>1150</v>
        <stp/>
        <stp>nse_cm|774IREDA31-N7</stp>
        <stp>Open</stp>
        <tr r="M18" s="1"/>
      </tp>
      <tp t="s">
        <v>940CAGL27-NB</v>
        <stp/>
        <stp>nse_cm|940CAGL27-NB</stp>
        <stp>Trading Symbol</stp>
        <tr r="B1367" s="1"/>
      </tp>
      <tp t="s">
        <v>INE148I07OW4</v>
        <stp/>
        <stp>bse_cm|1015SCL28B</stp>
        <stp>Isin code</stp>
        <tr r="R1178" s="1"/>
      </tp>
      <tp t="s">
        <v>965SCFL25-AB</v>
        <stp/>
        <stp>nse_cm|965SCFL25-AB</stp>
        <stp>Trading Symbol</stp>
        <tr r="B664" s="1"/>
      </tp>
      <tp>
        <v>0</v>
        <stp/>
        <stp>bse_cm|920EFSL27A</stp>
        <stp>ATP</stp>
        <tr r="K685" s="1"/>
      </tp>
      <tp t="s">
        <v>INE0BUS08039</v>
        <stp/>
        <stp>bse_cm|IML27</stp>
        <stp>Isin code</stp>
        <tr r="R1325" s="1"/>
      </tp>
      <tp t="s">
        <v>1225ICLF26</v>
        <stp/>
        <stp>bse_cm|1225ICLF26</stp>
        <stp>Symbol</stp>
        <tr r="A1217" s="1"/>
      </tp>
      <tp>
        <v>0</v>
        <stp/>
        <stp>bse_cm|960EFSL26C</stp>
        <stp>ATP</stp>
        <tr r="K137" s="1"/>
      </tp>
      <tp>
        <v>0</v>
        <stp/>
        <stp>bse_cm|955EFSL26A</stp>
        <stp>ATP</stp>
        <tr r="K214" s="1"/>
      </tp>
      <tp>
        <v>0</v>
        <stp/>
        <stp>bse_cm|955EFSL26B</stp>
        <stp>ATP</stp>
        <tr r="K666" s="1"/>
      </tp>
      <tp>
        <v>0</v>
        <stp/>
        <stp>bse_cm|915EFSL26A</stp>
        <stp>ATP</stp>
        <tr r="K187" s="1"/>
      </tp>
      <tp>
        <v>0</v>
        <stp/>
        <stp>bse_cm|920EFSL26B</stp>
        <stp>ATP</stp>
        <tr r="K247" s="1"/>
      </tp>
      <tp>
        <v>932.55</v>
        <stp/>
        <stp>bse_cm|920EFSL26A</stp>
        <stp>ATP</stp>
        <tr r="K61" s="1"/>
      </tp>
      <tp>
        <v>0</v>
        <stp/>
        <stp>nse_cm|SCLZC25-YN</stp>
        <stp>ATP</stp>
        <tr r="K1727" s="1"/>
      </tp>
      <tp>
        <v>987.41</v>
        <stp/>
        <stp>bse_cm|875EFSL24A</stp>
        <stp>ATP</stp>
        <tr r="K229" s="1"/>
      </tp>
      <tp>
        <v>0</v>
        <stp/>
        <stp>bse_cm|895EFSL25A</stp>
        <stp>ATP</stp>
        <tr r="K594" s="1"/>
      </tp>
      <tp t="s">
        <v>INE532F07FW3</v>
        <stp/>
        <stp>bse_cm|EFSL26724A</stp>
        <stp>Isin code</stp>
        <tr r="R1468" s="1"/>
      </tp>
      <tp t="s">
        <v>09:21:43</v>
        <stp/>
        <stp>bse_cm|1045NIDO33</stp>
        <stp>LTT</stp>
        <tr r="I71" s="1"/>
      </tp>
      <tp>
        <v>889</v>
        <stp/>
        <stp>bse_cm|1026NHFL34</stp>
        <stp>LTP</stp>
        <tr r="H155" s="1"/>
      </tp>
      <tp>
        <v>0</v>
        <stp/>
        <stp>bse_cm|1075NIDO34</stp>
        <stp>LTP</stp>
        <tr r="H1021" s="1"/>
      </tp>
      <tp>
        <v>903.1</v>
        <stp/>
        <stp>bse_cm|1045NIDO33</stp>
        <stp>LTP</stp>
        <tr r="H71" s="1"/>
      </tp>
      <tp t="s">
        <v>10:26:15</v>
        <stp/>
        <stp>bse_cm|1026NHFL34</stp>
        <stp>LTT</stp>
        <tr r="I155" s="1"/>
      </tp>
      <tp t="s">
        <v>00:00:00</v>
        <stp/>
        <stp>bse_cm|1075NIDO34</stp>
        <stp>LTT</stp>
        <tr r="I1021" s="1"/>
      </tp>
      <tp>
        <v>1.32</v>
        <stp/>
        <stp>bse_cm|865MFL25A</stp>
        <stp>% Change</stp>
        <tr r="J153" s="1"/>
      </tp>
      <tp>
        <v>-100</v>
        <stp/>
        <stp>bse_cm|825MFL25A</stp>
        <stp>% Change</stp>
        <tr r="J931" s="1"/>
      </tp>
      <tp t="s">
        <v>1075CCIL25</v>
        <stp/>
        <stp>bse_cm|1075CCIL25</stp>
        <stp>Symbol</stp>
        <tr r="A1121" s="1"/>
      </tp>
      <tp t="s">
        <v>1075CCIL26</v>
        <stp/>
        <stp>bse_cm|1075CCIL26</stp>
        <stp>Symbol</stp>
        <tr r="A1120" s="1"/>
      </tp>
      <tp t="s">
        <v>INE403Q07BD3</v>
        <stp/>
        <stp>bse_cm|KFL25</stp>
        <stp>Isin code</stp>
        <tr r="R1309" s="1"/>
      </tp>
      <tp t="s">
        <v>INE414G07HP2</v>
        <stp/>
        <stp>bse_cm|MFL23</stp>
        <stp>Isin code</stp>
        <tr r="R1668" s="1"/>
      </tp>
      <tp>
        <v>980</v>
        <stp/>
        <stp>bse_cm|967EFSL29A</stp>
        <stp>ATP</stp>
        <tr r="K180" s="1"/>
      </tp>
      <tp>
        <v>998.99</v>
        <stp/>
        <stp>bse_cm|967EFSL28A</stp>
        <stp>ATP</stp>
        <tr r="K172" s="1"/>
      </tp>
      <tp>
        <v>0</v>
        <stp/>
        <stp>bse_cm|967EFSL28D</stp>
        <stp>ATP</stp>
        <tr r="K168" s="1"/>
      </tp>
      <tp>
        <v>0</v>
        <stp/>
        <stp>bse_cm|975MFCL28E</stp>
        <stp>Volume Traded Today</stp>
        <tr r="L303" s="1"/>
      </tp>
      <tp t="s">
        <v>SFL2722024</v>
        <stp/>
        <stp>bse_cm|SFL2722024</stp>
        <stp>Symbol</stp>
        <tr r="A806" s="1"/>
      </tp>
      <tp t="s">
        <v>IML1622024</v>
        <stp/>
        <stp>bse_cm|IML1622024</stp>
        <stp>Symbol</stp>
        <tr r="A1328" s="1"/>
      </tp>
      <tp t="s">
        <v>IFL1942024</v>
        <stp/>
        <stp>bse_cm|IFL1942024</stp>
        <stp>Symbol</stp>
        <tr r="A1594" s="1"/>
      </tp>
      <tp>
        <v>-100</v>
        <stp/>
        <stp>bse_cm|948JFPL25</stp>
        <stp>% Change</stp>
        <tr r="J490" s="1"/>
      </tp>
      <tp t="s">
        <v>SFL270224A</v>
        <stp/>
        <stp>bse_cm|SFL270224A</stp>
        <stp>Symbol</stp>
        <tr r="A807" s="1"/>
      </tp>
      <tp t="s">
        <v>1025SFL25A</v>
        <stp/>
        <stp>bse_cm|1025SFL25A</stp>
        <stp>Symbol</stp>
        <tr r="A1070" s="1"/>
      </tp>
      <tp t="s">
        <v>1025KFL27A</v>
        <stp/>
        <stp>bse_cm|1025KFL27A</stp>
        <stp>Symbol</stp>
        <tr r="A89" s="1"/>
      </tp>
      <tp t="s">
        <v>1025KFL26A</v>
        <stp/>
        <stp>bse_cm|1025KFL26A</stp>
        <stp>Symbol</stp>
        <tr r="A525" s="1"/>
      </tp>
      <tp t="s">
        <v>1025KFL26C</v>
        <stp/>
        <stp>bse_cm|1025KFL26C</stp>
        <stp>Symbol</stp>
        <tr r="A459" s="1"/>
      </tp>
      <tp t="s">
        <v>1025KFL26B</v>
        <stp/>
        <stp>bse_cm|1025KFL26B</stp>
        <stp>Symbol</stp>
        <tr r="A1422" s="1"/>
      </tp>
      <tp t="s">
        <v>1025SCL33A</v>
        <stp/>
        <stp>bse_cm|1025SCL33A</stp>
        <stp>Symbol</stp>
        <tr r="A835" s="1"/>
      </tp>
      <tp t="s">
        <v>1025SCL34A</v>
        <stp/>
        <stp>bse_cm|1025SCL34A</stp>
        <stp>Symbol</stp>
        <tr r="A672" s="1"/>
      </tp>
      <tp>
        <v>0</v>
        <stp/>
        <stp>bse_cm|CCIL110324</stp>
        <stp>Volume Traded Today</stp>
        <tr r="L754" s="1"/>
      </tp>
      <tp t="s">
        <v>EFSLZC28</v>
        <stp/>
        <stp>bse_cm|EFSLZC28</stp>
        <stp>Symbol</stp>
        <tr r="A1637" s="1"/>
      </tp>
      <tp t="s">
        <v>EFSLZC26</v>
        <stp/>
        <stp>bse_cm|EFSLZC26</stp>
        <stp>Symbol</stp>
        <tr r="A1712" s="1"/>
      </tp>
      <tp t="s">
        <v>EFSLZC25</v>
        <stp/>
        <stp>bse_cm|EFSLZC25</stp>
        <stp>Symbol</stp>
        <tr r="A1741" s="1"/>
      </tp>
      <tp>
        <v>0</v>
        <stp/>
        <stp>bse_cm|1003NHFL29</stp>
        <stp>Volume Traded Today</stp>
        <tr r="L605" s="1"/>
      </tp>
      <tp>
        <v>0</v>
        <stp/>
        <stp>bse_cm|1010NIDO28</stp>
        <stp>Volume Traded Today</stp>
        <tr r="L199" s="1"/>
      </tp>
      <tp>
        <v>0</v>
        <stp/>
        <stp>bse_cm|1050NIDO29</stp>
        <stp>Volume Traded Today</stp>
        <tr r="L1124" s="1"/>
      </tp>
      <tp>
        <v>0</v>
        <stp/>
        <stp>bse_cm|1003ISFL28</stp>
        <stp>Volume Traded Today</stp>
        <tr r="L1456" s="1"/>
      </tp>
      <tp>
        <v>0</v>
        <stp/>
        <stp>nse_cm|1015SCL28B-AZ</stp>
        <stp>Open</stp>
        <tr r="M1614" s="1"/>
      </tp>
      <tp>
        <v>0</v>
        <stp/>
        <stp>bse_cm|1003ICCL28</stp>
        <stp>Volume Traded Today</stp>
        <tr r="L655" s="1"/>
      </tp>
      <tp>
        <v>0</v>
        <stp/>
        <stp>bse_cm|1003IIFL29</stp>
        <stp>Volume Traded Today</stp>
        <tr r="L1078" s="1"/>
      </tp>
      <tp>
        <v>0</v>
        <stp/>
        <stp>bse_cm|950MFCL27D</stp>
        <stp>Volume Traded Today</stp>
        <tr r="L1496" s="1"/>
      </tp>
      <tp>
        <v>0</v>
        <stp/>
        <stp>bse_cm|875MFCL26C</stp>
        <stp>Volume Traded Today</stp>
        <tr r="L309" s="1"/>
      </tp>
      <tp>
        <v>0</v>
        <stp/>
        <stp>bse_cm|105MMFL25A</stp>
        <stp>Volume Traded Today</stp>
        <tr r="L1364" s="1"/>
      </tp>
      <tp>
        <v>0</v>
        <stp/>
        <stp>bse_cm|105MMFL25C</stp>
        <stp>Volume Traded Today</stp>
        <tr r="L480" s="1"/>
      </tp>
      <tp>
        <v>0</v>
        <stp/>
        <stp>bse_cm|105MMFL25B</stp>
        <stp>Volume Traded Today</stp>
        <tr r="L1390" s="1"/>
      </tp>
      <tp>
        <v>0</v>
        <stp/>
        <stp>bse_cm|1003SCFL31</stp>
        <stp>Volume Traded Today</stp>
        <tr r="L1076" s="1"/>
      </tp>
      <tp>
        <v>0</v>
        <stp/>
        <stp>nse_cm|1015SCL28A-AL</stp>
        <stp>Open</stp>
        <tr r="M1443" s="1"/>
      </tp>
      <tp>
        <v>-100</v>
        <stp/>
        <stp>bse_cm|MMFLZC24D</stp>
        <stp>% Change</stp>
        <tr r="J1265" s="1"/>
      </tp>
      <tp>
        <v>1163.83</v>
        <stp/>
        <stp>bse_cm|IML28C</stp>
        <stp>Bid Rate</stp>
        <tr r="E1648" s="1"/>
      </tp>
      <tp t="s">
        <v/>
        <stp/>
        <stp>nse_cm|858HUDCO29-NC</stp>
        <stp>LTT</stp>
        <tr r="I1636" s="1"/>
      </tp>
      <tp>
        <v>1367.3</v>
        <stp/>
        <stp>nse_cm|858HUDCO29-NC</stp>
        <stp>LTP</stp>
        <tr r="H1636" s="1"/>
      </tp>
      <tp>
        <v>950.05</v>
        <stp/>
        <stp>nse_cm|1075SCL33A-N2</stp>
        <stp>LTP</stp>
        <tr r="H630" s="1"/>
      </tp>
      <tp t="s">
        <v/>
        <stp/>
        <stp>nse_cm|1075SCL33A-N2</stp>
        <stp>LTT</stp>
        <tr r="I630" s="1"/>
      </tp>
      <tp>
        <v>1050.42</v>
        <stp/>
        <stp>nse_cm|11DLSL25-NV</stp>
        <stp>Bid Rate</stp>
        <tr r="E48" s="1"/>
      </tp>
      <tp t="s">
        <v/>
        <stp/>
        <stp>nse_cm|1075SCL33B-NW</stp>
        <stp>LTT</stp>
        <tr r="I889" s="1"/>
      </tp>
      <tp>
        <v>0</v>
        <stp/>
        <stp>nse_cm|1075SCL33B-NW</stp>
        <stp>LTP</stp>
        <tr r="H889" s="1"/>
      </tp>
      <tp>
        <v>-100</v>
        <stp/>
        <stp>bse_cm|DLSL25A</stp>
        <stp>% Change</stp>
        <tr r="J1734" s="1"/>
      </tp>
      <tp>
        <v>1509.8</v>
        <stp/>
        <stp>bse_cm|MVAFZC25</stp>
        <stp>High</stp>
        <tr r="N1746" s="1"/>
      </tp>
      <tp t="s">
        <v>INE860H07IW8</v>
        <stp/>
        <stp>nse_cm|816ABFL29-NC</stp>
        <stp>Isin code</stp>
        <tr r="R732" s="1"/>
      </tp>
      <tp>
        <v>-100</v>
        <stp/>
        <stp>bse_cm|KAFL28A</stp>
        <stp>% Change</stp>
        <tr r="J1319" s="1"/>
      </tp>
      <tp>
        <v>-100</v>
        <stp/>
        <stp>bse_cm|8MFL24A</stp>
        <stp>% Change</stp>
        <tr r="J1549" s="1"/>
      </tp>
      <tp>
        <v>0</v>
        <stp/>
        <stp>bse_cm|97EFSL31</stp>
        <stp>LTP</stp>
        <tr r="H635" s="1"/>
      </tp>
      <tp t="s">
        <v>00:00:00</v>
        <stp/>
        <stp>bse_cm|97EFSL31</stp>
        <stp>LTT</stp>
        <tr r="I635" s="1"/>
      </tp>
      <tp>
        <v>1000</v>
        <stp/>
        <stp>nse_cm|IIFLHFZC27-NB</stp>
        <stp>Face Value</stp>
        <tr r="Q1672" s="1"/>
      </tp>
      <tp>
        <v>0</v>
        <stp/>
        <stp>bse_cm|829PFL29</stp>
        <stp>Volume Traded Today</stp>
        <tr r="L930" s="1"/>
      </tp>
      <tp>
        <v>1078</v>
        <stp/>
        <stp>bse_cm|10ARKA28</stp>
        <stp>High</stp>
        <tr r="N1400" s="1"/>
      </tp>
      <tp>
        <v>1000</v>
        <stp/>
        <stp>bse_cm|KAFLZC30</stp>
        <stp xml:space="preserve">Low </stp>
        <tr r="O1314" s="1"/>
      </tp>
      <tp>
        <v>1048.05</v>
        <stp/>
        <stp>nse_cm|94IFCI25-NL</stp>
        <stp>Bid Rate</stp>
        <tr r="E235" s="1"/>
      </tp>
      <tp>
        <v>0</v>
        <stp/>
        <stp>bse_cm|9IIFL28A</stp>
        <stp>LTP</stp>
        <tr r="H218" s="1"/>
      </tp>
      <tp t="s">
        <v>00:00:00</v>
        <stp/>
        <stp>bse_cm|9IIFL28A</stp>
        <stp>LTT</stp>
        <tr r="I218" s="1"/>
      </tp>
      <tp>
        <v>0</v>
        <stp/>
        <stp>bse_cm|85CIFC27</stp>
        <stp>ATP</stp>
        <tr r="K974" s="1"/>
      </tp>
      <tp t="s">
        <v>00:00:00</v>
        <stp/>
        <stp>bse_cm|9ICCL23A</stp>
        <stp>LTT</stp>
        <tr r="I1434" s="1"/>
      </tp>
      <tp>
        <v>0</v>
        <stp/>
        <stp>bse_cm|9ICCL23A</stp>
        <stp>LTP</stp>
        <tr r="H1434" s="1"/>
      </tp>
      <tp t="s">
        <v>00:00:00</v>
        <stp/>
        <stp>bse_cm|IML23623</stp>
        <stp>LTT</stp>
        <tr r="I1327" s="1"/>
      </tp>
      <tp>
        <v>0</v>
        <stp/>
        <stp>bse_cm|IML23623</stp>
        <stp>LTP</stp>
        <tr r="H1327" s="1"/>
      </tp>
      <tp>
        <v>0</v>
        <stp/>
        <stp>bse_cm|920PEL28</stp>
        <stp>Volume Traded Today</stp>
        <tr r="L440" s="1"/>
      </tp>
      <tp>
        <v>0</v>
        <stp/>
        <stp>bse_cm|820SCL25</stp>
        <stp>Volume Traded Today</stp>
        <tr r="L925" s="1"/>
      </tp>
      <tp>
        <v>0</v>
        <stp/>
        <stp>bse_cm|927MFL26</stp>
        <stp>Volume Traded Today</stp>
        <tr r="L1457" s="1"/>
      </tp>
      <tp>
        <v>991</v>
        <stp/>
        <stp>bse_cm|93ARKA26</stp>
        <stp>High</stp>
        <tr r="N981" s="1"/>
      </tp>
      <tp>
        <v>0</v>
        <stp/>
        <stp>nse_cm|810TCHFL27-ND</stp>
        <stp>ATP</stp>
        <tr r="K1016" s="1"/>
      </tp>
      <tp>
        <v>0</v>
        <stp/>
        <stp>bse_cm|825MFL27</stp>
        <stp>Volume Traded Today</stp>
        <tr r="L344" s="1"/>
      </tp>
      <tp>
        <v>0</v>
        <stp/>
        <stp>bse_cm|885LTF27</stp>
        <stp>Volume Traded Today</stp>
        <tr r="L1008" s="1"/>
      </tp>
      <tp>
        <v>0</v>
        <stp/>
        <stp>bse_cm|825MFL26</stp>
        <stp>Volume Traded Today</stp>
        <tr r="L418" s="1"/>
      </tp>
      <tp>
        <v>0</v>
        <stp/>
        <stp>bse_cm|925MFL26</stp>
        <stp>Volume Traded Today</stp>
        <tr r="L230" s="1"/>
      </tp>
      <tp>
        <v>0</v>
        <stp/>
        <stp>bse_cm|825MFL25</stp>
        <stp>Volume Traded Today</stp>
        <tr r="L596" s="1"/>
      </tp>
      <tp>
        <v>0</v>
        <stp/>
        <stp>bse_cm|925MFL25</stp>
        <stp>Volume Traded Today</stp>
        <tr r="L1466" s="1"/>
      </tp>
      <tp>
        <v>0</v>
        <stp/>
        <stp>bse_cm|725MFL24</stp>
        <stp>Volume Traded Today</stp>
        <tr r="L446" s="1"/>
      </tp>
      <tp>
        <v>0</v>
        <stp/>
        <stp>bse_cm|825KFL25</stp>
        <stp>Volume Traded Today</stp>
        <tr r="L252" s="1"/>
      </tp>
      <tp>
        <v>0</v>
        <stp/>
        <stp>bse_cm|925KFL27</stp>
        <stp>Volume Traded Today</stp>
        <tr r="L313" s="1"/>
      </tp>
      <tp>
        <v>0</v>
        <stp/>
        <stp>bse_cm|925KFL26</stp>
        <stp>Volume Traded Today</stp>
        <tr r="L775" s="1"/>
      </tp>
      <tp>
        <v>100</v>
        <stp/>
        <stp>bse_cm|925AEL26</stp>
        <stp>Volume Traded Today</stp>
        <tr r="L335" s="1"/>
      </tp>
      <tp>
        <v>400</v>
        <stp/>
        <stp>bse_cm|825MFL29</stp>
        <stp>Volume Traded Today</stp>
        <tr r="L473" s="1"/>
      </tp>
      <tp>
        <v>0</v>
        <stp/>
        <stp>bse_cm|925SCL29</stp>
        <stp>Volume Traded Today</stp>
        <tr r="L820" s="1"/>
      </tp>
      <tp>
        <v>0</v>
        <stp/>
        <stp>bse_cm|925SCL28</stp>
        <stp>Volume Traded Today</stp>
        <tr r="L940" s="1"/>
      </tp>
      <tp>
        <v>0</v>
        <stp/>
        <stp>bse_cm|925SCL25</stp>
        <stp>Volume Traded Today</stp>
        <tr r="L104" s="1"/>
      </tp>
      <tp>
        <v>0</v>
        <stp/>
        <stp>bse_cm|925SCL27</stp>
        <stp>Volume Traded Today</stp>
        <tr r="L1414" s="1"/>
      </tp>
      <tp>
        <v>0</v>
        <stp/>
        <stp>bse_cm|925SFL27</stp>
        <stp>Volume Traded Today</stp>
        <tr r="L849" s="1"/>
      </tp>
      <tp>
        <v>0</v>
        <stp/>
        <stp>bse_cm|925SCL26</stp>
        <stp>Volume Traded Today</stp>
        <tr r="L913" s="1"/>
      </tp>
      <tp>
        <v>0</v>
        <stp/>
        <stp>bse_cm|925SFL26</stp>
        <stp>Volume Traded Today</stp>
        <tr r="L850" s="1"/>
      </tp>
      <tp>
        <v>0</v>
        <stp/>
        <stp>bse_cm|884LTF29</stp>
        <stp>Volume Traded Today</stp>
        <tr r="L1337" s="1"/>
      </tp>
      <tp>
        <v>1027.96</v>
        <stp/>
        <stp>bse_cm|93ARKA25</stp>
        <stp>High</stp>
        <tr r="N1395" s="1"/>
      </tp>
      <tp>
        <v>939</v>
        <stp/>
        <stp>nse_cm|957IIFLS27-NA</stp>
        <stp>LTP</stp>
        <tr r="H1495" s="1"/>
      </tp>
      <tp t="s">
        <v/>
        <stp/>
        <stp>nse_cm|957IIFLS27-NA</stp>
        <stp>LTT</stp>
        <tr r="I1495" s="1"/>
      </tp>
      <tp>
        <v>0</v>
        <stp/>
        <stp>bse_cm|11KAFL29</stp>
        <stp>Volume Traded Today</stp>
        <tr r="L662" s="1"/>
      </tp>
      <tp>
        <v>0</v>
        <stp/>
        <stp>bse_cm|11KAFL27</stp>
        <stp>Volume Traded Today</stp>
        <tr r="L184" s="1"/>
      </tp>
      <tp>
        <v>0</v>
        <stp/>
        <stp>bse_cm|11KAFL26</stp>
        <stp>Volume Traded Today</stp>
        <tr r="L671" s="1"/>
      </tp>
      <tp>
        <v>893.68</v>
        <stp/>
        <stp>bse_cm|995ECL29</stp>
        <stp>ATP</stp>
        <tr r="K198" s="1"/>
      </tp>
      <tp>
        <v>0</v>
        <stp/>
        <stp>bse_cm|935LTF29</stp>
        <stp>ATP</stp>
        <tr r="K396" s="1"/>
      </tp>
      <tp>
        <v>998</v>
        <stp/>
        <stp>bse_cm|995ECL24</stp>
        <stp>ATP</stp>
        <tr r="K427" s="1"/>
      </tp>
      <tp>
        <v>0</v>
        <stp/>
        <stp>bse_cm|894SCL24</stp>
        <stp>ATP</stp>
        <tr r="K645" s="1"/>
      </tp>
      <tp>
        <v>0</v>
        <stp/>
        <stp>bse_cm|894SCL25</stp>
        <stp>ATP</stp>
        <tr r="K1517" s="1"/>
      </tp>
      <tp>
        <v>0</v>
        <stp/>
        <stp>nse_cm|885LTF27-NE</stp>
        <stp>Bid Rate</stp>
        <tr r="E1007" s="1"/>
      </tp>
      <tp>
        <v>0</v>
        <stp/>
        <stp>bse_cm|894SCL27</stp>
        <stp>ATP</stp>
        <tr r="K962" s="1"/>
      </tp>
      <tp>
        <v>0</v>
        <stp/>
        <stp>bse_cm|944MFL28</stp>
        <stp>LTP</stp>
        <tr r="H677" s="1"/>
      </tp>
      <tp t="s">
        <v>00:00:00</v>
        <stp/>
        <stp>bse_cm|944MFL28</stp>
        <stp>LTT</stp>
        <tr r="I677" s="1"/>
      </tp>
      <tp>
        <v>0</v>
        <stp/>
        <stp>bse_cm|94IFCI25</stp>
        <stp>Volume Traded Today</stp>
        <tr r="L228" s="1"/>
      </tp>
      <tp>
        <v>0</v>
        <stp/>
        <stp>bse_cm|847SCL25</stp>
        <stp>LTP</stp>
        <tr r="H941" s="1"/>
      </tp>
      <tp t="s">
        <v>00:00:00</v>
        <stp/>
        <stp>bse_cm|847SCL25</stp>
        <stp>LTT</stp>
        <tr r="I941" s="1"/>
      </tp>
      <tp>
        <v>954</v>
        <stp/>
        <stp>bse_cm|889SCL27</stp>
        <stp>Ask Rate</stp>
        <tr r="F121" s="1"/>
      </tp>
      <tp>
        <v>0</v>
        <stp/>
        <stp>bse_cm|939SCL27</stp>
        <stp>Ask Rate</stp>
        <tr r="F985" s="1"/>
      </tp>
      <tp>
        <v>4</v>
        <stp/>
        <stp>bse_cm|888SCL25B</stp>
        <stp>Bid Qty</stp>
        <tr r="D909" s="1"/>
      </tp>
      <tp>
        <v>20</v>
        <stp/>
        <stp>bse_cm|888SCL25A</stp>
        <stp>Bid Qty</stp>
        <tr r="D911" s="1"/>
      </tp>
      <tp>
        <v>0</v>
        <stp/>
        <stp>bse_cm|888SCL25E</stp>
        <stp>Bid Qty</stp>
        <tr r="D1356" s="1"/>
      </tp>
      <tp>
        <v>20</v>
        <stp/>
        <stp>bse_cm|888SCL25D</stp>
        <stp>Bid Qty</stp>
        <tr r="D788" s="1"/>
      </tp>
      <tp>
        <v>0</v>
        <stp/>
        <stp>bse_cm|801TCH28</stp>
        <stp>LTP</stp>
        <tr r="H1182" s="1"/>
      </tp>
      <tp t="s">
        <v>00:00:00</v>
        <stp/>
        <stp>bse_cm|801TCH28</stp>
        <stp>LTT</stp>
        <tr r="I1182" s="1"/>
      </tp>
      <tp t="s">
        <v>00:00:00</v>
        <stp/>
        <stp>bse_cm|801TCH25</stp>
        <stp>LTT</stp>
        <tr r="I562" s="1"/>
      </tp>
      <tp>
        <v>0</v>
        <stp/>
        <stp>bse_cm|801TCH25</stp>
        <stp>LTP</stp>
        <tr r="H562" s="1"/>
      </tp>
      <tp>
        <v>0</v>
        <stp/>
        <stp>bse_cm|879SCL26</stp>
        <stp>Ask Rate</stp>
        <tr r="F1351" s="1"/>
      </tp>
      <tp>
        <v>996</v>
        <stp/>
        <stp>bse_cm|889SCL26</stp>
        <stp>Ask Rate</stp>
        <tr r="F237" s="1"/>
      </tp>
      <tp>
        <v>0</v>
        <stp/>
        <stp>bse_cm|940SCL26</stp>
        <stp>LTP</stp>
        <tr r="H778" s="1"/>
      </tp>
      <tp>
        <v>702.8</v>
        <stp/>
        <stp>bse_cm|990SCL26</stp>
        <stp>ATP</stp>
        <tr r="K421" s="1"/>
      </tp>
      <tp>
        <v>0</v>
        <stp/>
        <stp>bse_cm|940SCL27</stp>
        <stp>LTP</stp>
        <tr r="H792" s="1"/>
      </tp>
      <tp>
        <v>0</v>
        <stp/>
        <stp>bse_cm|990SCL27</stp>
        <stp>ATP</stp>
        <tr r="K796" s="1"/>
      </tp>
      <tp t="s">
        <v>00:00:00</v>
        <stp/>
        <stp>bse_cm|940SCL26</stp>
        <stp>LTT</stp>
        <tr r="I778" s="1"/>
      </tp>
      <tp t="s">
        <v>00:00:00</v>
        <stp/>
        <stp>bse_cm|940SCL27</stp>
        <stp>LTT</stp>
        <tr r="I792" s="1"/>
      </tp>
      <tp>
        <v>0</v>
        <stp/>
        <stp>bse_cm|950KLM25</stp>
        <stp>LTP</stp>
        <tr r="H1150" s="1"/>
      </tp>
      <tp t="s">
        <v>00:00:00</v>
        <stp/>
        <stp>bse_cm|840MFL27</stp>
        <stp>LTT</stp>
        <tr r="I133" s="1"/>
      </tp>
      <tp>
        <v>0</v>
        <stp/>
        <stp>bse_cm|890MFL26</stp>
        <stp>ATP</stp>
        <tr r="K1478" s="1"/>
      </tp>
      <tp t="s">
        <v>00:00:00</v>
        <stp/>
        <stp>bse_cm|950KLM25</stp>
        <stp>LTT</stp>
        <tr r="I1150" s="1"/>
      </tp>
      <tp>
        <v>0</v>
        <stp/>
        <stp>bse_cm|840MFL27</stp>
        <stp>LTP</stp>
        <tr r="H133" s="1"/>
      </tp>
      <tp>
        <v>12</v>
        <stp/>
        <stp>bse_cm|948SCL27A</stp>
        <stp>Bid Qty</stp>
        <tr r="D697" s="1"/>
      </tp>
      <tp>
        <v>0</v>
        <stp/>
        <stp>bse_cm|843SCL27</stp>
        <stp>LTP</stp>
        <tr r="H928" s="1"/>
      </tp>
      <tp t="s">
        <v>00:00:00</v>
        <stp/>
        <stp>bse_cm|843SCL27</stp>
        <stp>LTT</stp>
        <tr r="I928" s="1"/>
      </tp>
      <tp>
        <v>0</v>
        <stp/>
        <stp>bse_cm|943ECL28</stp>
        <stp>LTP</stp>
        <tr r="H124" s="1"/>
      </tp>
      <tp>
        <v>0</v>
        <stp/>
        <stp>bse_cm|903ONE26</stp>
        <stp>ATP</stp>
        <tr r="K843" s="1"/>
      </tp>
      <tp t="s">
        <v>00:00:00</v>
        <stp/>
        <stp>bse_cm|943ECL28</stp>
        <stp>LTT</stp>
        <tr r="I124" s="1"/>
      </tp>
      <tp>
        <v>5</v>
        <stp/>
        <stp>bse_cm|948SCL26I</stp>
        <stp>Bid Qty</stp>
        <tr r="D1080" s="1"/>
      </tp>
      <tp>
        <v>12</v>
        <stp/>
        <stp>bse_cm|948SCL26B</stp>
        <stp>Bid Qty</stp>
        <tr r="D470" s="1"/>
      </tp>
      <tp>
        <v>6</v>
        <stp/>
        <stp>bse_cm|888SCL26A</stp>
        <stp>Bid Qty</stp>
        <tr r="D840" s="1"/>
      </tp>
      <tp>
        <v>30</v>
        <stp/>
        <stp>bse_cm|948SCL26A</stp>
        <stp>Bid Qty</stp>
        <tr r="D494" s="1"/>
      </tp>
      <tp>
        <v>1380</v>
        <stp/>
        <stp>bse_cm|718REC35</stp>
        <stp>Ask Rate</stp>
        <tr r="F549" s="1"/>
      </tp>
      <tp>
        <v>12</v>
        <stp/>
        <stp>bse_cm|948SCL26D</stp>
        <stp>Bid Qty</stp>
        <tr r="D1081" s="1"/>
      </tp>
      <tp>
        <v>1</v>
        <stp/>
        <stp>bse_cm|10MMLTD24</stp>
        <stp>Ask Qty</stp>
        <tr r="G1615" s="1"/>
      </tp>
      <tp>
        <v>0</v>
        <stp/>
        <stp>bse_cm|11CCIL27</stp>
        <stp>Volume Traded Today</stp>
        <tr r="L691" s="1"/>
      </tp>
      <tp>
        <v>0</v>
        <stp/>
        <stp>bse_cm|11CCIL26</stp>
        <stp>Volume Traded Today</stp>
        <tr r="L625" s="1"/>
      </tp>
      <tp>
        <v>972.2</v>
        <stp/>
        <stp>bse_cm|89EFSL25</stp>
        <stp>Prev Close</stp>
        <tr r="P87" s="1"/>
      </tp>
      <tp>
        <v>0</v>
        <stp/>
        <stp>bse_cm|829PFL29</stp>
        <stp>Ask Rate</stp>
        <tr r="F930" s="1"/>
      </tp>
      <tp>
        <v>1850</v>
        <stp/>
        <stp>bse_cm|MMFSL26A</stp>
        <stp>High</stp>
        <tr r="N1722" s="1"/>
      </tp>
      <tp>
        <v>0</v>
        <stp/>
        <stp>bse_cm|889SCL28</stp>
        <stp>Ask Rate</stp>
        <tr r="F1069" s="1"/>
      </tp>
      <tp>
        <v>0</v>
        <stp/>
        <stp>bse_cm|81ABFL33</stp>
        <stp>Volume Traded Today</stp>
        <tr r="L1603" s="1"/>
      </tp>
      <tp>
        <v>0</v>
        <stp/>
        <stp>bse_cm|8MFL2026</stp>
        <stp>Volume Traded Today</stp>
        <tr r="L451" s="1"/>
      </tp>
      <tp>
        <v>-100</v>
        <stp/>
        <stp>bse_cm|MHLZC26</stp>
        <stp>% Change</stp>
        <tr r="J1522" s="1"/>
      </tp>
      <tp>
        <v>0</v>
        <stp/>
        <stp>bse_cm|948SCL26</stp>
        <stp>LTP</stp>
        <tr r="H1647" s="1"/>
      </tp>
      <tp>
        <v>0</v>
        <stp/>
        <stp>bse_cm|948SCL27</stp>
        <stp>LTP</stp>
        <tr r="H1079" s="1"/>
      </tp>
      <tp t="s">
        <v>00:00:00</v>
        <stp/>
        <stp>bse_cm|948SCL26</stp>
        <stp>LTT</stp>
        <tr r="I1647" s="1"/>
      </tp>
      <tp t="s">
        <v>00:00:00</v>
        <stp/>
        <stp>bse_cm|948SCL27</stp>
        <stp>LTT</stp>
        <tr r="I1079" s="1"/>
      </tp>
      <tp>
        <v>0</v>
        <stp/>
        <stp>bse_cm|11DLSL25</stp>
        <stp>Volume Traded Today</stp>
        <tr r="L1539" s="1"/>
      </tp>
      <tp>
        <v>0</v>
        <stp/>
        <stp>bse_cm|11EFSL34</stp>
        <stp>Volume Traded Today</stp>
        <tr r="L1429" s="1"/>
      </tp>
      <tp>
        <v>0</v>
        <stp/>
        <stp>bse_cm|749IGT28</stp>
        <stp>Ask Rate</stp>
        <tr r="F1198" s="1"/>
      </tp>
      <tp>
        <v>0</v>
        <stp/>
        <stp>bse_cm|769IGT28</stp>
        <stp>Ask Rate</stp>
        <tr r="F1195" s="1"/>
      </tp>
      <tp>
        <v>800</v>
        <stp/>
        <stp>nse_cm|890ICCL23A-NZ</stp>
        <stp>Face Value</stp>
        <tr r="Q1363" s="1"/>
      </tp>
      <tp>
        <v>1000</v>
        <stp/>
        <stp>bse_cm|833SCL24</stp>
        <stp>Face Value</stp>
        <tr r="Q1180" s="1"/>
      </tp>
      <tp>
        <v>1000</v>
        <stp/>
        <stp>bse_cm|820SCL25</stp>
        <stp>Face Value</stp>
        <tr r="Q925" s="1"/>
      </tp>
      <tp t="s">
        <v>NSE</v>
        <stp/>
        <stp>nse_cm|745IGT26-NC</stp>
        <stp>Exchange</stp>
        <tr r="C1201" s="1"/>
      </tp>
      <tp>
        <v>0</v>
        <stp/>
        <stp>nse_cm|1015SCL28B-AZ</stp>
        <stp>Volume Traded Today</stp>
        <tr r="L1614" s="1"/>
      </tp>
      <tp>
        <v>0</v>
        <stp/>
        <stp>nse_cm|1015SCL28A-AL</stp>
        <stp>Volume Traded Today</stp>
        <tr r="L1443" s="1"/>
      </tp>
      <tp t="s">
        <v>SCLZC26G-YA</v>
        <stp/>
        <stp>nse_cm|SCLZC26G-YA</stp>
        <stp>Trading Symbol</stp>
        <tr r="B815" s="1"/>
      </tp>
      <tp>
        <v>1000</v>
        <stp/>
        <stp>bse_cm|850SCL25</stp>
        <stp>Face Value</stp>
        <tr r="Q923" s="1"/>
      </tp>
      <tp>
        <v>1000</v>
        <stp/>
        <stp>bse_cm|857SCL24</stp>
        <stp>Face Value</stp>
        <tr r="Q1002" s="1"/>
      </tp>
      <tp>
        <v>0</v>
        <stp/>
        <stp>nse_cm|850NIRMA27-N7</stp>
        <stp>Volume Traded Today</stp>
        <tr r="L1010" s="1"/>
      </tp>
      <tp>
        <v>1000</v>
        <stp/>
        <stp>bse_cm|843SCL27</stp>
        <stp>Face Value</stp>
        <tr r="Q928" s="1"/>
      </tp>
      <tp>
        <v>1000</v>
        <stp/>
        <stp>bse_cm|801TCH28</stp>
        <stp>Face Value</stp>
        <tr r="Q1182" s="1"/>
      </tp>
      <tp>
        <v>1000</v>
        <stp/>
        <stp>bse_cm|801TCH25</stp>
        <stp>Face Value</stp>
        <tr r="Q562" s="1"/>
      </tp>
      <tp>
        <v>1000</v>
        <stp/>
        <stp>bse_cm|847SCL25</stp>
        <stp>Face Value</stp>
        <tr r="Q941" s="1"/>
      </tp>
      <tp>
        <v>1000</v>
        <stp/>
        <stp>bse_cm|875SCL27</stp>
        <stp>Face Value</stp>
        <tr r="Q722" s="1"/>
      </tp>
      <tp>
        <v>1000</v>
        <stp/>
        <stp>bse_cm|879SCL26</stp>
        <stp>Face Value</stp>
        <tr r="Q1351" s="1"/>
      </tp>
      <tp>
        <v>832.8</v>
        <stp/>
        <stp>nse_cm|925SCL26-NR</stp>
        <stp>Bid Rate</stp>
        <tr r="E991" s="1"/>
      </tp>
      <tp>
        <v>1000</v>
        <stp/>
        <stp>bse_cm|866SCL25</stp>
        <stp>Face Value</stp>
        <tr r="Q603" s="1"/>
      </tp>
      <tp>
        <v>1000</v>
        <stp/>
        <stp>bse_cm|865SCL26</stp>
        <stp>Face Value</stp>
        <tr r="Q627" s="1"/>
      </tp>
      <tp>
        <v>1000</v>
        <stp/>
        <stp>bse_cm|865SCL24</stp>
        <stp>Face Value</stp>
        <tr r="Q1165" s="1"/>
      </tp>
      <tp>
        <v>800</v>
        <stp/>
        <stp>bse_cm|894SCL27</stp>
        <stp>Face Value</stp>
        <tr r="Q962" s="1"/>
      </tp>
      <tp>
        <v>1000</v>
        <stp/>
        <stp>bse_cm|894SCL24</stp>
        <stp>Face Value</stp>
        <tr r="Q645" s="1"/>
      </tp>
      <tp>
        <v>1000</v>
        <stp/>
        <stp>bse_cm|894SCL25</stp>
        <stp>Face Value</stp>
        <tr r="Q1517" s="1"/>
      </tp>
      <tp>
        <v>1005</v>
        <stp/>
        <stp>bse_cm|829LTF24</stp>
        <stp>Ask Rate</stp>
        <tr r="F4" s="1"/>
      </tp>
      <tp>
        <v>1000</v>
        <stp/>
        <stp>bse_cm|885SCL26</stp>
        <stp>Face Value</stp>
        <tr r="Q57" s="1"/>
      </tp>
      <tp>
        <v>1000</v>
        <stp/>
        <stp>bse_cm|889SCL28</stp>
        <stp>Face Value</stp>
        <tr r="Q1069" s="1"/>
      </tp>
      <tp>
        <v>1000</v>
        <stp/>
        <stp>bse_cm|889SCL26</stp>
        <stp>Face Value</stp>
        <tr r="Q237" s="1"/>
      </tp>
      <tp>
        <v>1000</v>
        <stp/>
        <stp>bse_cm|889SCL27</stp>
        <stp>Face Value</stp>
        <tr r="Q121" s="1"/>
      </tp>
      <tp>
        <v>1000</v>
        <stp/>
        <stp>bse_cm|888SCL26</stp>
        <stp>Face Value</stp>
        <tr r="Q915" s="1"/>
      </tp>
      <tp>
        <v>1000</v>
        <stp/>
        <stp>bse_cm|888SCL25</stp>
        <stp>Face Value</stp>
        <tr r="Q1134" s="1"/>
      </tp>
      <tp>
        <v>0</v>
        <stp/>
        <stp>nse_cm|IIFLHF29-NE</stp>
        <stp>Volume Traded Today</stp>
        <tr r="L1630" s="1"/>
      </tp>
      <tp>
        <v>1002</v>
        <stp/>
        <stp>bse_cm|9ICCL23A</stp>
        <stp>High</stp>
        <tr r="N1434" s="1"/>
      </tp>
      <tp t="s">
        <v>NSE</v>
        <stp/>
        <stp>nse_cm|749IGT28-NG</stp>
        <stp>Exchange</stp>
        <tr r="C1197" s="1"/>
      </tp>
      <tp>
        <v>0</v>
        <stp/>
        <stp>nse_cm|89SCL24A-ZM</stp>
        <stp>High</stp>
        <tr r="N970" s="1"/>
      </tp>
      <tp t="s">
        <v>INE148I07OR4</v>
        <stp/>
        <stp>nse_cm|990SCL26I-AV</stp>
        <stp>Isin code</stp>
        <tr r="R1368" s="1"/>
      </tp>
      <tp t="s">
        <v/>
        <stp/>
        <stp>nse_cm|984ICCL26A-NK</stp>
        <stp>LTT</stp>
        <tr r="I716" s="1"/>
      </tp>
      <tp>
        <v>1000</v>
        <stp/>
        <stp>nse_cm|984ICCL26A-NK</stp>
        <stp>LTP</stp>
        <tr r="H716" s="1"/>
      </tp>
      <tp>
        <v>0</v>
        <stp/>
        <stp>nse_cm|866IIFC34B-N3</stp>
        <stp>ATP</stp>
        <tr r="K25" s="1"/>
      </tp>
      <tp>
        <v>120</v>
        <stp/>
        <stp>bse_cm|9TCAP28</stp>
        <stp>Ask Qty</stp>
        <tr r="G545" s="1"/>
      </tp>
      <tp t="s">
        <v>889SCFL27-YC</v>
        <stp/>
        <stp>nse_cm|889SCFL27-YC</stp>
        <stp>Trading Symbol</stp>
        <tr r="B595" s="1"/>
      </tp>
      <tp t="s">
        <v>990SCFL26-AJ</v>
        <stp/>
        <stp>nse_cm|990SCFL26-AJ</stp>
        <stp>Trading Symbol</stp>
        <tr r="B1523" s="1"/>
      </tp>
      <tp t="s">
        <v>9PCHFL31A</v>
        <stp/>
        <stp>bse_cm|9PCHFL31A</stp>
        <stp>Trading Symbol</stp>
        <tr r="B301" s="1"/>
      </tp>
      <tp t="s">
        <v>INE403Q07EO4</v>
        <stp/>
        <stp>bse_cm|KFL070824D</stp>
        <stp>Isin code</stp>
        <tr r="R1310" s="1"/>
      </tp>
      <tp t="s">
        <v>INE549K07DX0</v>
        <stp/>
        <stp>bse_cm|MFCL30424D</stp>
        <stp>Isin code</stp>
        <tr r="R1281" s="1"/>
      </tp>
      <tp t="s">
        <v>00:00:00</v>
        <stp/>
        <stp>bse_cm|1015SCFL29</stp>
        <stp>LTT</stp>
        <tr r="I1355" s="1"/>
      </tp>
      <tp>
        <v>0</v>
        <stp/>
        <stp>bse_cm|1015SCFL29</stp>
        <stp>LTP</stp>
        <tr r="H1355" s="1"/>
      </tp>
      <tp>
        <v>0</v>
        <stp/>
        <stp>bse_cm|1075SCFL34</stp>
        <stp>LTP</stp>
        <tr r="H1020" s="1"/>
      </tp>
      <tp>
        <v>0</v>
        <stp/>
        <stp>bse_cm|1025SCFL34</stp>
        <stp>LTP</stp>
        <tr r="H1025" s="1"/>
      </tp>
      <tp t="s">
        <v>00:00:00</v>
        <stp/>
        <stp>bse_cm|1075SCFL34</stp>
        <stp>LTT</stp>
        <tr r="I1020" s="1"/>
      </tp>
      <tp t="s">
        <v>00:00:00</v>
        <stp/>
        <stp>bse_cm|1025SCFL34</stp>
        <stp>LTT</stp>
        <tr r="I1025" s="1"/>
      </tp>
      <tp t="s">
        <v>INE148I07TM4</v>
        <stp/>
        <stp>bse_cm|SCL310524A</stp>
        <stp>Isin code</stp>
        <tr r="R918" s="1"/>
      </tp>
      <tp t="s">
        <v>INE549K07EF5</v>
        <stp/>
        <stp>bse_cm|MFCL16924B</stp>
        <stp>Isin code</stp>
        <tr r="R1284" s="1"/>
      </tp>
      <tp>
        <v>0</v>
        <stp/>
        <stp>bse_cm|SCFL310524</stp>
        <stp>LTP</stp>
        <tr r="H1241" s="1"/>
      </tp>
      <tp t="s">
        <v>00:00:00</v>
        <stp/>
        <stp>bse_cm|SCFL310524</stp>
        <stp>LTT</stp>
        <tr r="I1241" s="1"/>
      </tp>
      <tp t="s">
        <v>INE051307AQ6</v>
        <stp/>
        <stp>bse_cm|CCI110324A</stp>
        <stp>Isin code</stp>
        <tr r="R1590" s="1"/>
      </tp>
      <tp t="s">
        <v>INE148I07PT7</v>
        <stp/>
        <stp>bse_cm|1075SCL33A</stp>
        <stp>Isin code</stp>
        <tr r="R629" s="1"/>
      </tp>
      <tp t="s">
        <v>INE549K08236</v>
        <stp/>
        <stp>bse_cm|950MFCL27D</stp>
        <stp>Isin code</stp>
        <tr r="R1496" s="1"/>
      </tp>
      <tp t="s">
        <v>INE148I07QX7</v>
        <stp/>
        <stp>bse_cm|1003SCL30A</stp>
        <stp>Isin code</stp>
        <tr r="R875" s="1"/>
      </tp>
      <tp t="s">
        <v>843SCFL27-YB</v>
        <stp/>
        <stp>nse_cm|843SCFL27-YB</stp>
        <stp>Trading Symbol</stp>
        <tr r="B929" s="1"/>
      </tp>
      <tp t="s">
        <v>945CAGL24-N1</v>
        <stp/>
        <stp>nse_cm|945CAGL24-N1</stp>
        <stp>Trading Symbol</stp>
        <tr r="B1704" s="1"/>
      </tp>
      <tp t="s">
        <v>INE148I07OH5</v>
        <stp/>
        <stp>bse_cm|1015SCL28A</stp>
        <stp>Isin code</stp>
        <tr r="R1386" s="1"/>
      </tp>
      <tp t="s">
        <v>INE148I07TN2</v>
        <stp/>
        <stp>bse_cm|1025SCL34A</stp>
        <stp>Isin code</stp>
        <tr r="R672" s="1"/>
      </tp>
      <tp t="s">
        <v>INE148I07PP5</v>
        <stp/>
        <stp>bse_cm|1025SCL33A</stp>
        <stp>Isin code</stp>
        <tr r="R835" s="1"/>
      </tp>
      <tp t="s">
        <v>875SCFL27-Y9</v>
        <stp/>
        <stp>nse_cm|875SCFL27-Y9</stp>
        <stp>Trading Symbol</stp>
        <tr r="B927" s="1"/>
      </tp>
      <tp t="s">
        <v>INE05F407AZ7</v>
        <stp/>
        <stp>bse_cm|MML30</stp>
        <stp>Isin code</stp>
        <tr r="R1525" s="1"/>
      </tp>
      <tp t="e">
        <v>#N/A</v>
        <stp/>
        <stp>bse_cm|IML24</stp>
        <stp>Isin code</stp>
        <tr r="R34" s="1"/>
      </tp>
      <tp t="s">
        <v>00:00:00</v>
        <stp/>
        <stp>bse_cm|1075KAFL29</stp>
        <stp>LTT</stp>
        <tr r="I125" s="1"/>
      </tp>
      <tp t="s">
        <v>00:00:00</v>
        <stp/>
        <stp>bse_cm|1075KAFL28</stp>
        <stp>LTT</stp>
        <tr r="I1118" s="1"/>
      </tp>
      <tp>
        <v>0</v>
        <stp/>
        <stp>bse_cm|1075KAFL29</stp>
        <stp>LTP</stp>
        <tr r="H125" s="1"/>
      </tp>
      <tp>
        <v>0</v>
        <stp/>
        <stp>bse_cm|1075KAFL28</stp>
        <stp>LTP</stp>
        <tr r="H1118" s="1"/>
      </tp>
      <tp>
        <v>0</v>
        <stp/>
        <stp>bse_cm|1025KAFL27</stp>
        <stp>LTP</stp>
        <tr r="H769" s="1"/>
      </tp>
      <tp>
        <v>0</v>
        <stp/>
        <stp>bse_cm|1125KAFL27</stp>
        <stp>LTP</stp>
        <tr r="H1228" s="1"/>
      </tp>
      <tp>
        <v>0</v>
        <stp/>
        <stp>bse_cm|1025KAFL25</stp>
        <stp>LTP</stp>
        <tr r="H770" s="1"/>
      </tp>
      <tp>
        <v>0</v>
        <stp/>
        <stp>bse_cm|1075KLMA28</stp>
        <stp>ATP</stp>
        <tr r="K1116" s="1"/>
      </tp>
      <tp t="s">
        <v>00:00:00</v>
        <stp/>
        <stp>bse_cm|1025KAFL27</stp>
        <stp>LTT</stp>
        <tr r="I769" s="1"/>
      </tp>
      <tp t="s">
        <v>00:00:00</v>
        <stp/>
        <stp>bse_cm|1125KAFL27</stp>
        <stp>LTT</stp>
        <tr r="I1228" s="1"/>
      </tp>
      <tp t="s">
        <v>00:00:00</v>
        <stp/>
        <stp>bse_cm|1025KAFL25</stp>
        <stp>LTT</stp>
        <tr r="I770" s="1"/>
      </tp>
      <tp>
        <v>0</v>
        <stp/>
        <stp>bse_cm|KAFL080824</stp>
        <stp>ATP</stp>
        <tr r="K1417" s="1"/>
      </tp>
      <tp>
        <v>0</v>
        <stp/>
        <stp>bse_cm|1025ICCL26</stp>
        <stp>LTP</stp>
        <tr r="H1175" s="1"/>
      </tp>
      <tp t="s">
        <v>00:00:00</v>
        <stp/>
        <stp>bse_cm|1025ICCL26</stp>
        <stp>LTT</stp>
        <tr r="I1175" s="1"/>
      </tp>
      <tp t="s">
        <v>INE148I07SX3</v>
        <stp/>
        <stp>nse_cm|1003SCFL31-Z4</stp>
        <stp>Isin code</stp>
        <tr r="R878" s="1"/>
      </tp>
      <tp>
        <v>0</v>
        <stp/>
        <stp>bse_cm|1075NHFL34</stp>
        <stp>LTP</stp>
        <tr r="H1553" s="1"/>
      </tp>
      <tp>
        <v>0</v>
        <stp/>
        <stp>bse_cm|1026NIDO34</stp>
        <stp>LTP</stp>
        <tr r="H1018" s="1"/>
      </tp>
      <tp t="s">
        <v>00:00:00</v>
        <stp/>
        <stp>bse_cm|1075NHFL34</stp>
        <stp>LTT</stp>
        <tr r="I1553" s="1"/>
      </tp>
      <tp t="s">
        <v>00:00:00</v>
        <stp/>
        <stp>bse_cm|1026NIDO34</stp>
        <stp>LTT</stp>
        <tr r="I1018" s="1"/>
      </tp>
      <tp>
        <v>0</v>
        <stp/>
        <stp>bse_cm|1025NWFL30</stp>
        <stp>LTP</stp>
        <tr r="H1026" s="1"/>
      </tp>
      <tp t="s">
        <v>00:00:00</v>
        <stp/>
        <stp>bse_cm|1025NWFL30</stp>
        <stp>LTT</stp>
        <tr r="I1026" s="1"/>
      </tp>
      <tp t="s">
        <v>00:00:00</v>
        <stp/>
        <stp>bse_cm|1025NWFL25</stp>
        <stp>LTT</stp>
        <tr r="I154" s="1"/>
      </tp>
      <tp>
        <v>0</v>
        <stp/>
        <stp>bse_cm|1025NWFL25</stp>
        <stp>LTP</stp>
        <tr r="H154" s="1"/>
      </tp>
      <tp>
        <v>-100</v>
        <stp/>
        <stp>bse_cm|875MFL26A</stp>
        <stp>% Change</stp>
        <tr r="J286" s="1"/>
      </tp>
      <tp>
        <v>-100</v>
        <stp/>
        <stp>bse_cm|865MFL26A</stp>
        <stp>% Change</stp>
        <tr r="J242" s="1"/>
      </tp>
      <tp>
        <v>-100</v>
        <stp/>
        <stp>bse_cm|890MFL26A</stp>
        <stp>% Change</stp>
        <tr r="J698" s="1"/>
      </tp>
      <tp t="s">
        <v>00:00:00</v>
        <stp/>
        <stp>bse_cm|1025MMFL26</stp>
        <stp>LTT</stp>
        <tr r="I320" s="1"/>
      </tp>
      <tp t="e">
        <v>#N/A</v>
        <stp/>
        <stp>bse_cm|1065MHFL24</stp>
        <stp>LTP</stp>
        <tr r="H36" s="1"/>
      </tp>
      <tp t="e">
        <v>#N/A</v>
        <stp/>
        <stp>bse_cm|1025MHFL24</stp>
        <stp>LTP</stp>
        <tr r="H29" s="1"/>
      </tp>
      <tp>
        <v>0</v>
        <stp/>
        <stp>bse_cm|1025MMFL26</stp>
        <stp>LTP</stp>
        <tr r="H320" s="1"/>
      </tp>
      <tp t="e">
        <v>#N/A</v>
        <stp/>
        <stp>bse_cm|1065MHFL24</stp>
        <stp>LTT</stp>
        <tr r="I36" s="1"/>
      </tp>
      <tp t="e">
        <v>#N/A</v>
        <stp/>
        <stp>bse_cm|1025MHFL24</stp>
        <stp>LTT</stp>
        <tr r="I29" s="1"/>
      </tp>
      <tp>
        <v>-100</v>
        <stp/>
        <stp>bse_cm|927MFL26A</stp>
        <stp>% Change</stp>
        <tr r="J617" s="1"/>
      </tp>
      <tp t="s">
        <v>INE031A07865</v>
        <stp/>
        <stp>nse_cm|751HUDCO28-N5</stp>
        <stp>Isin code</stp>
        <tr r="R492" s="1"/>
      </tp>
      <tp>
        <v>0</v>
        <stp/>
        <stp>bse_cm|1075CCIL25</stp>
        <stp>LTP</stp>
        <tr r="H1121" s="1"/>
      </tp>
      <tp>
        <v>0</v>
        <stp/>
        <stp>bse_cm|1075CCIL26</stp>
        <stp>LTP</stp>
        <tr r="H1120" s="1"/>
      </tp>
      <tp t="s">
        <v>00:00:00</v>
        <stp/>
        <stp>bse_cm|1075CCIL25</stp>
        <stp>LTT</stp>
        <tr r="I1121" s="1"/>
      </tp>
      <tp t="s">
        <v>00:00:00</v>
        <stp/>
        <stp>bse_cm|1075CCIL26</stp>
        <stp>LTT</stp>
        <tr r="I1120" s="1"/>
      </tp>
      <tp t="s">
        <v>NSE</v>
        <stp/>
        <stp>nse_cm|SCFL310524-ZE</stp>
        <stp>Exchange</stp>
        <tr r="C1240" s="1"/>
      </tp>
      <tp t="s">
        <v>INE549K07BJ3</v>
        <stp/>
        <stp>bse_cm|MFL30</stp>
        <stp>Isin code</stp>
        <tr r="R1460" s="1"/>
      </tp>
      <tp t="s">
        <v>INE403Q07DE7</v>
        <stp/>
        <stp>bse_cm|KFL26</stp>
        <stp>Isin code</stp>
        <tr r="R1306" s="1"/>
      </tp>
      <tp t="s">
        <v>00:00:00</v>
        <stp/>
        <stp>bse_cm|1045EFSL34</stp>
        <stp>LTT</stp>
        <tr r="I1413" s="1"/>
      </tp>
      <tp>
        <v>0</v>
        <stp/>
        <stp>bse_cm|1045EFSL33</stp>
        <stp>LTP</stp>
        <tr r="H1382" s="1"/>
      </tp>
      <tp>
        <v>0</v>
        <stp/>
        <stp>bse_cm|1045EFSL34</stp>
        <stp>LTP</stp>
        <tr r="H1413" s="1"/>
      </tp>
      <tp t="s">
        <v>00:00:00</v>
        <stp/>
        <stp>bse_cm|1045EFSL33</stp>
        <stp>LTT</stp>
        <tr r="I1382" s="1"/>
      </tp>
      <tp>
        <v>-100</v>
        <stp/>
        <stp>bse_cm|843IHFL29</stp>
        <stp>% Change</stp>
        <tr r="J139" s="1"/>
      </tp>
      <tp>
        <v>-100</v>
        <stp/>
        <stp>bse_cm|875IHFL29</stp>
        <stp>% Change</stp>
        <tr r="J1230" s="1"/>
      </tp>
      <tp>
        <v>-100</v>
        <stp/>
        <stp>bse_cm|865IIFL28</stp>
        <stp>% Change</stp>
        <tr r="J75" s="1"/>
      </tp>
      <tp>
        <v>-100</v>
        <stp/>
        <stp>bse_cm|984IFSL26</stp>
        <stp>% Change</stp>
        <tr r="J457" s="1"/>
      </tp>
      <tp>
        <v>-100</v>
        <stp/>
        <stp>bse_cm|965IFSL26</stp>
        <stp>% Change</stp>
        <tr r="J1142" s="1"/>
      </tp>
      <tp>
        <v>0</v>
        <stp/>
        <stp>bse_cm|1010EFSL29</stp>
        <stp>Volume Traded Today</stp>
        <tr r="L1459" s="1"/>
      </tp>
      <tp>
        <v>0</v>
        <stp/>
        <stp>bse_cm|1050EFSL29</stp>
        <stp>Volume Traded Today</stp>
        <tr r="L1484" s="1"/>
      </tp>
      <tp>
        <v>0</v>
        <stp/>
        <stp>bse_cm|1010EFSL28</stp>
        <stp>Volume Traded Today</stp>
        <tr r="L663" s="1"/>
      </tp>
      <tp>
        <v>0</v>
        <stp/>
        <stp>bse_cm|1010EFSL32</stp>
        <stp>Volume Traded Today</stp>
        <tr r="L631" s="1"/>
      </tp>
      <tp>
        <v>-100</v>
        <stp/>
        <stp>bse_cm|980IFSL25</stp>
        <stp>% Change</stp>
        <tr r="J474" s="1"/>
      </tp>
      <tp>
        <v>-100</v>
        <stp/>
        <stp>bse_cm|945IFSL25</stp>
        <stp>% Change</stp>
        <tr r="J483" s="1"/>
      </tp>
      <tp>
        <v>-100</v>
        <stp/>
        <stp>bse_cm|955IFSL25</stp>
        <stp>% Change</stp>
        <tr r="J1470" s="1"/>
      </tp>
      <tp>
        <v>-100</v>
        <stp/>
        <stp>bse_cm|966IFSL25</stp>
        <stp>% Change</stp>
        <tr r="J1051" s="1"/>
      </tp>
      <tp t="s">
        <v>1015SCL28A</v>
        <stp/>
        <stp>bse_cm|1015SCL28A</stp>
        <stp>Symbol</stp>
        <tr r="A1386" s="1"/>
      </tp>
      <tp t="s">
        <v>1015SCL28B</v>
        <stp/>
        <stp>bse_cm|1015SCL28B</stp>
        <stp>Symbol</stp>
        <tr r="A1178" s="1"/>
      </tp>
      <tp t="s">
        <v>00:00:00</v>
        <stp/>
        <stp>bse_cm|975MFL24BB</stp>
        <stp>LTT</stp>
        <tr r="I552" s="1"/>
      </tp>
      <tp>
        <v>0</v>
        <stp/>
        <stp>bse_cm|975MFL24BB</stp>
        <stp>LTP</stp>
        <tr r="H552" s="1"/>
      </tp>
      <tp>
        <v>-100</v>
        <stp/>
        <stp>bse_cm|957ICCL25</stp>
        <stp>% Change</stp>
        <tr r="J432" s="1"/>
      </tp>
      <tp>
        <v>0</v>
        <stp/>
        <stp>bse_cm|1150CCIL29</stp>
        <stp>Volume Traded Today</stp>
        <tr r="L424" s="1"/>
      </tp>
      <tp>
        <v>0</v>
        <stp/>
        <stp>bse_cm|1150CCIL28</stp>
        <stp>Volume Traded Today</stp>
        <tr r="L460" s="1"/>
      </tp>
      <tp>
        <v>0</v>
        <stp/>
        <stp>bse_cm|1050CCIL25</stp>
        <stp>Volume Traded Today</stp>
        <tr r="L2" s="1"/>
      </tp>
      <tp>
        <v>-100</v>
        <stp/>
        <stp>bse_cm|105IIFL29</stp>
        <stp>% Change</stp>
        <tr r="J338" s="1"/>
      </tp>
      <tp t="s">
        <v/>
        <stp/>
        <stp>nse_cm|86LTF24-NJ</stp>
        <stp>LTT</stp>
        <tr r="I7" s="1"/>
      </tp>
      <tp>
        <v>1067.99</v>
        <stp/>
        <stp>nse_cm|85LTF26-NM</stp>
        <stp>LTP</stp>
        <tr r="H365" s="1"/>
      </tp>
      <tp t="s">
        <v>15:14:59</v>
        <stp/>
        <stp>nse_cm|87LTF27-NH</stp>
        <stp>LTT</stp>
        <tr r="I407" s="1"/>
      </tp>
      <tp>
        <v>1066</v>
        <stp/>
        <stp>nse_cm|86LTF24-NJ</stp>
        <stp>LTP</stp>
        <tr r="H7" s="1"/>
      </tp>
      <tp t="s">
        <v/>
        <stp/>
        <stp>nse_cm|85LTF26-NM</stp>
        <stp>LTT</stp>
        <tr r="I365" s="1"/>
      </tp>
      <tp>
        <v>1025</v>
        <stp/>
        <stp>nse_cm|87LTF27-NH</stp>
        <stp>LTP</stp>
        <tr r="H407" s="1"/>
      </tp>
      <tp t="s">
        <v/>
        <stp/>
        <stp>nse_cm|92LTF29-N4</stp>
        <stp>LTT</stp>
        <tr r="I1087" s="1"/>
      </tp>
      <tp>
        <v>0</v>
        <stp/>
        <stp>nse_cm|92LTF29-N4</stp>
        <stp>LTP</stp>
        <tr r="H1087" s="1"/>
      </tp>
      <tp t="s">
        <v>NSE</v>
        <stp/>
        <stp>nse_cm|1025SCFL34-Z5</stp>
        <stp>Exchange</stp>
        <tr r="C880" s="1"/>
      </tp>
      <tp>
        <v>0</v>
        <stp/>
        <stp>bse_cm|1010MFCL30</stp>
        <stp>Volume Traded Today</stp>
        <tr r="L285" s="1"/>
      </tp>
      <tp t="s">
        <v>NSE</v>
        <stp/>
        <stp>nse_cm|1075SCFL34-Z6</stp>
        <stp>Exchange</stp>
        <tr r="C882" s="1"/>
      </tp>
      <tp>
        <v>0</v>
        <stp/>
        <stp>bse_cm|NIDO010327</stp>
        <stp>Volume Traded Today</stp>
        <tr r="L1247" s="1"/>
      </tp>
      <tp>
        <v>0</v>
        <stp/>
        <stp>bse_cm|NIDO010326</stp>
        <stp>Volume Traded Today</stp>
        <tr r="L1248" s="1"/>
      </tp>
      <tp>
        <v>0</v>
        <stp/>
        <stp>bse_cm|NIDO010329</stp>
        <stp>Volume Traded Today</stp>
        <tr r="L1246" s="1"/>
      </tp>
      <tp>
        <v>-100</v>
        <stp/>
        <stp>bse_cm|980ICCL28</stp>
        <stp>% Change</stp>
        <tr r="J783" s="1"/>
      </tp>
      <tp>
        <v>-100</v>
        <stp/>
        <stp>bse_cm|985ICCL28</stp>
        <stp>% Change</stp>
        <tr r="J1483" s="1"/>
      </tp>
      <tp>
        <v>-100</v>
        <stp/>
        <stp>bse_cm|985IIFL22</stp>
        <stp>% Change</stp>
        <tr r="J178" s="1"/>
      </tp>
      <tp>
        <v>-100</v>
        <stp/>
        <stp>bse_cm|940ICCL28</stp>
        <stp>% Change</stp>
        <tr r="J1126" s="1"/>
      </tp>
      <tp>
        <v>-100</v>
        <stp/>
        <stp>bse_cm|957ICCL28</stp>
        <stp>% Change</stp>
        <tr r="J1572" s="1"/>
      </tp>
      <tp>
        <v>0</v>
        <stp/>
        <stp>bse_cm|1050NHFL29</stp>
        <stp>Volume Traded Today</stp>
        <tr r="L1125" s="1"/>
      </tp>
      <tp>
        <v>0</v>
        <stp/>
        <stp>bse_cm|1003NIDO29</stp>
        <stp>Volume Traded Today</stp>
        <tr r="L679" s="1"/>
      </tp>
      <tp t="s">
        <v>749IREDA31</v>
        <stp/>
        <stp>bse_cm|749IREDA31</stp>
        <stp>Symbol</stp>
        <tr r="A568" s="1"/>
      </tp>
      <tp>
        <v>0</v>
        <stp/>
        <stp>bse_cm|1050ISFL28</stp>
        <stp>Volume Traded Today</stp>
        <tr r="L1497" s="1"/>
      </tp>
      <tp>
        <v>999</v>
        <stp/>
        <stp>nse_cm|1025SCL34A-ZT</stp>
        <stp>High</stp>
        <tr r="N171" s="1"/>
      </tp>
      <tp>
        <v>0</v>
        <stp/>
        <stp>bse_cm|1030ICCL28</stp>
        <stp>Volume Traded Today</stp>
        <tr r="L1521" s="1"/>
      </tp>
      <tp>
        <v>0</v>
        <stp/>
        <stp>bse_cm|1050ICCL28</stp>
        <stp>Volume Traded Today</stp>
        <tr r="L1133" s="1"/>
      </tp>
      <tp>
        <v>198</v>
        <stp/>
        <stp>bse_cm|1030IFSL26</stp>
        <stp>Volume Traded Today</stp>
        <tr r="L1654" s="1"/>
      </tp>
      <tp>
        <v>0</v>
        <stp/>
        <stp>bse_cm|1050IIFL29</stp>
        <stp>Volume Traded Today</stp>
        <tr r="L763" s="1"/>
      </tp>
      <tp>
        <v>-100</v>
        <stp/>
        <stp>bse_cm|125ICFL26</stp>
        <stp>% Change</stp>
        <tr r="J1214" s="1"/>
      </tp>
      <tp>
        <v>-100</v>
        <stp/>
        <stp>bse_cm|825IIFL25</stp>
        <stp>% Change</stp>
        <tr r="J47" s="1"/>
      </tp>
      <tp>
        <v>-100</v>
        <stp/>
        <stp>bse_cm|842IIFL26</stp>
        <stp>% Change</stp>
        <tr r="J181" s="1"/>
      </tp>
      <tp>
        <v>-100</v>
        <stp/>
        <stp>bse_cm|875IIFL26</stp>
        <stp>% Change</stp>
        <tr r="J642" s="1"/>
      </tp>
      <tp>
        <v>-100</v>
        <stp/>
        <stp>bse_cm|115ICFL25</stp>
        <stp>% Change</stp>
        <tr r="J1548" s="1"/>
      </tp>
      <tp>
        <v>0</v>
        <stp/>
        <stp>bse_cm|1050KAFL28</stp>
        <stp>Volume Traded Today</stp>
        <tr r="L610" s="1"/>
      </tp>
      <tp>
        <v>0</v>
        <stp/>
        <stp>bse_cm|1050KAFL27</stp>
        <stp>Volume Traded Today</stp>
        <tr r="L1160" s="1"/>
      </tp>
      <tp>
        <v>0</v>
        <stp/>
        <stp>bse_cm|1050KAFL25</stp>
        <stp>Volume Traded Today</stp>
        <tr r="L1161" s="1"/>
      </tp>
      <tp>
        <v>-100</v>
        <stp/>
        <stp>bse_cm|850IIFL27</stp>
        <stp>% Change</stp>
        <tr r="J1407" s="1"/>
      </tp>
      <tp>
        <v>-100</v>
        <stp/>
        <stp>bse_cm|84CIFCL28</stp>
        <stp>% Change</stp>
        <tr r="J387" s="1"/>
      </tp>
      <tp>
        <v>-100</v>
        <stp/>
        <stp>bse_cm|820IIFL27</stp>
        <stp>% Change</stp>
        <tr r="J176" s="1"/>
      </tp>
      <tp>
        <v>-100</v>
        <stp/>
        <stp>bse_cm|CIFCZC28A</stp>
        <stp>% Change</stp>
        <tr r="J1396" s="1"/>
      </tp>
      <tp>
        <v>-100</v>
        <stp/>
        <stp>bse_cm|957ISFL26</stp>
        <stp>% Change</stp>
        <tr r="J761" s="1"/>
      </tp>
      <tp>
        <v>-100</v>
        <stp/>
        <stp>bse_cm|960ISFL25</stp>
        <stp>% Change</stp>
        <tr r="J871" s="1"/>
      </tp>
      <tp>
        <v>-100</v>
        <stp/>
        <stp>bse_cm|921ISFL25</stp>
        <stp>% Change</stp>
        <tr r="J350" s="1"/>
      </tp>
      <tp>
        <v>0</v>
        <stp/>
        <stp>bse_cm|1050SCFL31</stp>
        <stp>Volume Traded Today</stp>
        <tr r="L1123" s="1"/>
      </tp>
      <tp>
        <v>-100</v>
        <stp/>
        <stp>bse_cm|707IRFC25</stp>
        <stp>% Change</stp>
        <tr r="J1653" s="1"/>
      </tp>
      <tp>
        <v>0.33</v>
        <stp/>
        <stp>bse_cm|732IRFC25</stp>
        <stp>% Change</stp>
        <tr r="J174" s="1"/>
      </tp>
      <tp>
        <v>-100</v>
        <stp/>
        <stp>bse_cm|840IRFC29</stp>
        <stp>% Change</stp>
        <tr r="J1634" s="1"/>
      </tp>
      <tp>
        <v>-100</v>
        <stp/>
        <stp>bse_cm|865IRFC29</stp>
        <stp>% Change</stp>
        <tr r="J501" s="1"/>
      </tp>
      <tp>
        <v>-100</v>
        <stp/>
        <stp>bse_cm|739HUDC31</stp>
        <stp>% Change</stp>
        <tr r="J1347" s="1"/>
      </tp>
      <tp>
        <v>-100</v>
        <stp/>
        <stp>bse_cm|704IRFC26</stp>
        <stp>% Change</stp>
        <tr r="J557" s="1"/>
      </tp>
      <tp>
        <v>-100</v>
        <stp/>
        <stp>bse_cm|729IRFC26</stp>
        <stp>% Change</stp>
        <tr r="J367" s="1"/>
      </tp>
      <tp>
        <v>-100</v>
        <stp/>
        <stp>bse_cm|MMFLZC27D</stp>
        <stp>% Change</stp>
        <tr r="J1406" s="1"/>
      </tp>
      <tp>
        <v>-100</v>
        <stp/>
        <stp>bse_cm|MMFLZC27B</stp>
        <stp>% Change</stp>
        <tr r="J1570" s="1"/>
      </tp>
      <tp>
        <v>-100</v>
        <stp/>
        <stp>bse_cm|MMFLZC27C</stp>
        <stp>% Change</stp>
        <tr r="J1463" s="1"/>
      </tp>
      <tp>
        <v>-100</v>
        <stp/>
        <stp>bse_cm|MMFLZC27A</stp>
        <stp>% Change</stp>
        <tr r="J1260" s="1"/>
      </tp>
      <tp>
        <v>952</v>
        <stp/>
        <stp>nse_cm|SCLZC26B-AY</stp>
        <stp>Bid Rate</stp>
        <tr r="E1658" s="1"/>
      </tp>
      <tp>
        <v>0</v>
        <stp/>
        <stp>bse_cm|8MFL26</stp>
        <stp>Open</stp>
        <tr r="M654" s="1"/>
      </tp>
      <tp>
        <v>0</v>
        <stp/>
        <stp>bse_cm|83TCHF28</stp>
        <stp>ATP</stp>
        <tr r="K832" s="1"/>
      </tp>
      <tp>
        <v>0</v>
        <stp/>
        <stp>bse_cm|83TCHF25</stp>
        <stp>ATP</stp>
        <tr r="K489" s="1"/>
      </tp>
      <tp t="s">
        <v>INE741K07587</v>
        <stp/>
        <stp>nse_cm|940CAGL27-NB</stp>
        <stp>Isin code</stp>
        <tr r="R1367" s="1"/>
      </tp>
      <tp>
        <v>0</v>
        <stp/>
        <stp>nse_cm|876HUDCO28-ND</stp>
        <stp>ATP</stp>
        <tr r="K509" s="1"/>
      </tp>
      <tp t="s">
        <v>NSE</v>
        <stp/>
        <stp>nse_cm|980SCL34-Z7</stp>
        <stp>Exchange</stp>
        <tr r="C884" s="1"/>
      </tp>
      <tp>
        <v>1000</v>
        <stp/>
        <stp>bse_cm|10IIFLSF27</stp>
        <stp>Face Value</stp>
        <tr r="Q1098" s="1"/>
      </tp>
      <tp t="s">
        <v>NSE</v>
        <stp/>
        <stp>nse_cm|SFLZC25A-ZK</stp>
        <stp>Exchange</stp>
        <tr r="C1582" s="1"/>
      </tp>
      <tp>
        <v>0</v>
        <stp/>
        <stp>nse_cm|AEL120924B-N8</stp>
        <stp>ATP</stp>
        <tr r="K1640" s="1"/>
      </tp>
      <tp>
        <v>0</v>
        <stp/>
        <stp>nse_cm|AEL120924A-N5</stp>
        <stp>ATP</stp>
        <tr r="K1555" s="1"/>
      </tp>
      <tp>
        <v>0</v>
        <stp/>
        <stp>bse_cm|9MFL30</stp>
        <stp>Open</stp>
        <tr r="M244" s="1"/>
      </tp>
      <tp>
        <v>0</v>
        <stp/>
        <stp>nse_cm|SCLZC25A-AS</stp>
        <stp>Bid Rate</stp>
        <tr r="E1232" s="1"/>
      </tp>
      <tp>
        <v>1040.2</v>
        <stp/>
        <stp>nse_cm|SCLZC25B-AT</stp>
        <stp>Bid Rate</stp>
        <tr r="E1541" s="1"/>
      </tp>
      <tp t="s">
        <v>NSE</v>
        <stp/>
        <stp>nse_cm|SFLZC26A-ZC</stp>
        <stp>Exchange</stp>
        <tr r="C1716" s="1"/>
      </tp>
      <tp>
        <v>-100</v>
        <stp/>
        <stp>bse_cm|9MFL27A</stp>
        <stp>% Change</stp>
        <tr r="J257" s="1"/>
      </tp>
      <tp>
        <v>959.9</v>
        <stp/>
        <stp>bse_cm|89EFSL25</stp>
        <stp>ATP</stp>
        <tr r="K87" s="1"/>
      </tp>
      <tp>
        <v>2067.56</v>
        <stp/>
        <stp>bse_cm|NIDOZC26</stp>
        <stp xml:space="preserve">Low </stp>
        <tr r="O27" s="1"/>
      </tp>
      <tp>
        <v>960</v>
        <stp/>
        <stp>nse_cm|925SCL25-N5</stp>
        <stp>Bid Rate</stp>
        <tr r="E1474" s="1"/>
      </tp>
      <tp>
        <v>1056.7</v>
        <stp/>
        <stp>bse_cm|11DLSL25</stp>
        <stp xml:space="preserve">Low </stp>
        <tr r="O1539" s="1"/>
      </tp>
      <tp>
        <v>0</v>
        <stp/>
        <stp>nse_cm|884LTF29-N6</stp>
        <stp>Bid Rate</stp>
        <tr r="E1009" s="1"/>
      </tp>
      <tp>
        <v>0</v>
        <stp/>
        <stp>nse_cm|920PEL28-N2</stp>
        <stp>Bid Rate</stp>
        <tr r="E373" s="1"/>
      </tp>
      <tp>
        <v>995.1</v>
        <stp/>
        <stp>nse_cm|925AEL26-N1</stp>
        <stp>Bid Rate</stp>
        <tr r="E330" s="1"/>
      </tp>
      <tp>
        <v>0</v>
        <stp/>
        <stp>bse_cm|86CIFC29</stp>
        <stp>ATP</stp>
        <tr r="K1341" s="1"/>
      </tp>
      <tp>
        <v>0</v>
        <stp/>
        <stp>bse_cm|MML27524</stp>
        <stp>LTP</stp>
        <tr r="H1511" s="1"/>
      </tp>
      <tp t="s">
        <v>00:00:00</v>
        <stp/>
        <stp>bse_cm|MML27524</stp>
        <stp>LTT</stp>
        <tr r="I1511" s="1"/>
      </tp>
      <tp>
        <v>0</v>
        <stp/>
        <stp>bse_cm|MFLVI32F</stp>
        <stp>ATP</stp>
        <tr r="K704" s="1"/>
      </tp>
      <tp>
        <v>0</v>
        <stp/>
        <stp>bse_cm|MFLVI31F</stp>
        <stp>ATP</stp>
        <tr r="K354" s="1"/>
      </tp>
      <tp>
        <v>990</v>
        <stp/>
        <stp>bse_cm|10EFSL34</stp>
        <stp xml:space="preserve">Low </stp>
        <tr r="O164" s="1"/>
      </tp>
      <tp>
        <v>981</v>
        <stp/>
        <stp>bse_cm|11EFSL34</stp>
        <stp xml:space="preserve">Low </stp>
        <tr r="O1429" s="1"/>
      </tp>
      <tp>
        <v>0</v>
        <stp/>
        <stp>bse_cm|910MFL26</stp>
        <stp>Volume Traded Today</stp>
        <tr r="L277" s="1"/>
      </tp>
      <tp>
        <v>0</v>
        <stp/>
        <stp>bse_cm|810MFL25</stp>
        <stp>Volume Traded Today</stp>
        <tr r="L429" s="1"/>
      </tp>
      <tp>
        <v>900</v>
        <stp/>
        <stp>nse_cm|92ICCL28-ND</stp>
        <stp>Bid Rate</stp>
        <tr r="E203" s="1"/>
      </tp>
      <tp>
        <v>0</v>
        <stp/>
        <stp>bse_cm|886ONE25</stp>
        <stp>Volume Traded Today</stp>
        <tr r="L723" s="1"/>
      </tp>
      <tp>
        <v>50</v>
        <stp/>
        <stp>bse_cm|916SCL25</stp>
        <stp>Volume Traded Today</stp>
        <tr r="L964" s="1"/>
      </tp>
      <tp>
        <v>950</v>
        <stp/>
        <stp>bse_cm|10EFSL33</stp>
        <stp xml:space="preserve">Low </stp>
        <tr r="O150" s="1"/>
      </tp>
      <tp>
        <v>0</v>
        <stp/>
        <stp>bse_cm|915MFL27</stp>
        <stp>Volume Traded Today</stp>
        <tr r="L614" s="1"/>
      </tp>
      <tp>
        <v>32</v>
        <stp/>
        <stp>bse_cm|915MFL25</stp>
        <stp>Volume Traded Today</stp>
        <tr r="L105" s="1"/>
      </tp>
      <tp>
        <v>0</v>
        <stp/>
        <stp>bse_cm|915MFL28</stp>
        <stp>Volume Traded Today</stp>
        <tr r="L283" s="1"/>
      </tp>
      <tp>
        <v>0</v>
        <stp/>
        <stp>bse_cm|915SCL27</stp>
        <stp>Volume Traded Today</stp>
        <tr r="L1127" s="1"/>
      </tp>
      <tp>
        <v>0</v>
        <stp/>
        <stp>bse_cm|915SCL26</stp>
        <stp>Volume Traded Today</stp>
        <tr r="L148" s="1"/>
      </tp>
      <tp>
        <v>1000</v>
        <stp/>
        <stp>nse_cm|829PFL29-N6</stp>
        <stp>Bid Rate</stp>
        <tr r="E1451" s="1"/>
      </tp>
      <tp>
        <v>0</v>
        <stp/>
        <stp>bse_cm|985ONE34</stp>
        <stp>Volume Traded Today</stp>
        <tr r="L1101" s="1"/>
      </tp>
      <tp>
        <v>0</v>
        <stp/>
        <stp>bse_cm|99JFPL25</stp>
        <stp>ATP</stp>
        <tr r="K1670" s="1"/>
      </tp>
      <tp>
        <v>897</v>
        <stp/>
        <stp>bse_cm|97EFSL31</stp>
        <stp xml:space="preserve">Low </stp>
        <tr r="O635" s="1"/>
      </tp>
      <tp>
        <v>894.8</v>
        <stp/>
        <stp>bse_cm|93EFSL31</stp>
        <stp xml:space="preserve">Low </stp>
        <tr r="O83" s="1"/>
      </tp>
      <tp>
        <v>0</v>
        <stp/>
        <stp>bse_cm|10KFIL27</stp>
        <stp>Volume Traded Today</stp>
        <tr r="L183" s="1"/>
      </tp>
      <tp>
        <v>0</v>
        <stp/>
        <stp>bse_cm|10JFPL30</stp>
        <stp>Volume Traded Today</stp>
        <tr r="L1097" s="1"/>
      </tp>
      <tp>
        <v>0</v>
        <stp/>
        <stp>bse_cm|10KAFL26</stp>
        <stp>Volume Traded Today</stp>
        <tr r="L1096" s="1"/>
      </tp>
      <tp>
        <v>0</v>
        <stp/>
        <stp>bse_cm|10KSFL25</stp>
        <stp>Volume Traded Today</stp>
        <tr r="L107" s="1"/>
      </tp>
      <tp>
        <v>0</v>
        <stp/>
        <stp>bse_cm|955SCL25</stp>
        <stp>LTP</stp>
        <tr r="H1128" s="1"/>
      </tp>
      <tp>
        <v>944.2</v>
        <stp/>
        <stp>bse_cm|885SCL26</stp>
        <stp>ATP</stp>
        <tr r="K57" s="1"/>
      </tp>
      <tp>
        <v>0</v>
        <stp/>
        <stp>bse_cm|955SCL27</stp>
        <stp>LTP</stp>
        <tr r="H621" s="1"/>
      </tp>
      <tp t="s">
        <v>00:00:00</v>
        <stp/>
        <stp>bse_cm|955SCL25</stp>
        <stp>LTT</stp>
        <tr r="I1128" s="1"/>
      </tp>
      <tp t="s">
        <v>00:00:00</v>
        <stp/>
        <stp>bse_cm|955SCL27</stp>
        <stp>LTT</stp>
        <tr r="I621" s="1"/>
      </tp>
      <tp>
        <v>0</v>
        <stp/>
        <stp>bse_cm|985ECL28</stp>
        <stp>ATP</stp>
        <tr r="K56" s="1"/>
      </tp>
      <tp>
        <v>0</v>
        <stp/>
        <stp>bse_cm|785MFL28</stp>
        <stp>ATP</stp>
        <tr r="K439" s="1"/>
      </tp>
      <tp>
        <v>0</v>
        <stp/>
        <stp>nse_cm|920IIFLS26-N8</stp>
        <stp>Volume Traded Today</stp>
        <tr r="L208" s="1"/>
      </tp>
      <tp>
        <v>0</v>
        <stp/>
        <stp>nse_cm|960IIFLS26-N9</stp>
        <stp>Volume Traded Today</stp>
        <tr r="L1489" s="1"/>
      </tp>
      <tp>
        <v>0</v>
        <stp/>
        <stp>bse_cm|10IFSL26</stp>
        <stp>Volume Traded Today</stp>
        <tr r="L428" s="1"/>
      </tp>
      <tp>
        <v>0</v>
        <stp/>
        <stp>bse_cm|10IIFL29</stp>
        <stp>Volume Traded Today</stp>
        <tr r="L307" s="1"/>
      </tp>
      <tp>
        <v>0</v>
        <stp/>
        <stp>bse_cm|10IIFL28</stp>
        <stp>Volume Traded Today</stp>
        <tr r="L68" s="1"/>
      </tp>
      <tp>
        <v>1330.6</v>
        <stp/>
        <stp>bse_cm|709REC30</stp>
        <stp>Ask Rate</stp>
        <tr r="F564" s="1"/>
      </tp>
      <tp>
        <v>0</v>
        <stp/>
        <stp>bse_cm|10ISFL26</stp>
        <stp>Volume Traded Today</stp>
        <tr r="L1509" s="1"/>
      </tp>
      <tp>
        <v>0</v>
        <stp/>
        <stp>bse_cm|857SCL24</stp>
        <stp>LTP</stp>
        <tr r="H1002" s="1"/>
      </tp>
      <tp t="s">
        <v>10:20:44</v>
        <stp/>
        <stp>bse_cm|957VCL25</stp>
        <stp>LTT</stp>
        <tr r="I53" s="1"/>
      </tp>
      <tp t="s">
        <v>00:00:00</v>
        <stp/>
        <stp>bse_cm|857SCL24</stp>
        <stp>LTT</stp>
        <tr r="I1002" s="1"/>
      </tp>
      <tp>
        <v>977</v>
        <stp/>
        <stp>bse_cm|957VCL25</stp>
        <stp>LTP</stp>
        <tr r="H53" s="1"/>
      </tp>
      <tp>
        <v>895</v>
        <stp/>
        <stp>bse_cm|93EFSL31</stp>
        <stp>Prev Close</stp>
        <tr r="P83" s="1"/>
      </tp>
      <tp t="s">
        <v>NSE</v>
        <stp/>
        <stp>nse_cm|894SCL24-ZR</stp>
        <stp>Exchange</stp>
        <tr r="C661" s="1"/>
      </tp>
      <tp t="s">
        <v>00:00:00</v>
        <stp/>
        <stp>bse_cm|957SCL30</stp>
        <stp>LTT</stp>
        <tr r="I1110" s="1"/>
      </tp>
      <tp t="s">
        <v>00:00:00</v>
        <stp/>
        <stp>bse_cm|957SCL31</stp>
        <stp>LTT</stp>
        <tr r="I1108" s="1"/>
      </tp>
      <tp>
        <v>0</v>
        <stp/>
        <stp>bse_cm|957SCL30</stp>
        <stp>LTP</stp>
        <tr r="H1110" s="1"/>
      </tp>
      <tp>
        <v>0</v>
        <stp/>
        <stp>bse_cm|957SCL31</stp>
        <stp>LTP</stp>
        <tr r="H1108" s="1"/>
      </tp>
      <tp t="s">
        <v>11:08:22</v>
        <stp/>
        <stp>bse_cm|956AEL29</stp>
        <stp>LTT</stp>
        <tr r="I311" s="1"/>
      </tp>
      <tp>
        <v>0</v>
        <stp/>
        <stp>bse_cm|916ONE25</stp>
        <stp>ATP</stp>
        <tr r="K965" s="1"/>
      </tp>
      <tp>
        <v>0</v>
        <stp/>
        <stp>bse_cm|916ONE27</stp>
        <stp>ATP</stp>
        <tr r="K267" s="1"/>
      </tp>
      <tp>
        <v>1020</v>
        <stp/>
        <stp>bse_cm|956AEL29</stp>
        <stp>LTP</stp>
        <tr r="H311" s="1"/>
      </tp>
      <tp>
        <v>957</v>
        <stp/>
        <stp>bse_cm|92EFSL26</stp>
        <stp>Prev Close</stp>
        <tr r="P186" s="1"/>
      </tp>
      <tp>
        <v>0</v>
        <stp/>
        <stp>bse_cm|948SCL27</stp>
        <stp>Ask Rate</stp>
        <tr r="F1079" s="1"/>
      </tp>
      <tp>
        <v>0</v>
        <stp/>
        <stp>bse_cm|980SCL34</stp>
        <stp>ATP</stp>
        <tr r="K829" s="1"/>
      </tp>
      <tp>
        <v>0</v>
        <stp/>
        <stp>bse_cm|980SCL33</stp>
        <stp>ATP</stp>
        <tr r="K998" s="1"/>
      </tp>
      <tp>
        <v>0</v>
        <stp/>
        <stp>bse_cm|888SCL26</stp>
        <stp>Ask Rate</stp>
        <tr r="F915" s="1"/>
      </tp>
      <tp>
        <v>857.98</v>
        <stp/>
        <stp>bse_cm|948SCL26</stp>
        <stp>Ask Rate</stp>
        <tr r="F1647" s="1"/>
      </tp>
      <tp>
        <v>0</v>
        <stp/>
        <stp>bse_cm|10NHFL27</stp>
        <stp>Volume Traded Today</stp>
        <tr r="L658" s="1"/>
      </tp>
      <tp>
        <v>1000</v>
        <stp/>
        <stp>nse_cm|CIF29-NO</stp>
        <stp>Face Value</stp>
        <tr r="Q743" s="1"/>
      </tp>
      <tp>
        <v>0</v>
        <stp/>
        <stp>bse_cm|850SCL25</stp>
        <stp>LTP</stp>
        <tr r="H923" s="1"/>
      </tp>
      <tp>
        <v>0</v>
        <stp/>
        <stp>bse_cm|950SFL27</stp>
        <stp>LTP</stp>
        <tr r="H1144" s="1"/>
      </tp>
      <tp t="s">
        <v>00:00:00</v>
        <stp/>
        <stp>bse_cm|850SCL25</stp>
        <stp>LTT</stp>
        <tr r="I923" s="1"/>
      </tp>
      <tp t="s">
        <v>00:00:00</v>
        <stp/>
        <stp>bse_cm|950SFL27</stp>
        <stp>LTT</stp>
        <tr r="I1144" s="1"/>
      </tp>
      <tp t="s">
        <v>00:00:00</v>
        <stp/>
        <stp>bse_cm|750MFL27</stp>
        <stp>LTT</stp>
        <tr r="I274" s="1"/>
      </tp>
      <tp t="s">
        <v>00:00:00</v>
        <stp/>
        <stp>bse_cm|950MFL27</stp>
        <stp>LTT</stp>
        <tr r="I1147" s="1"/>
      </tp>
      <tp t="s">
        <v>00:00:00</v>
        <stp/>
        <stp>bse_cm|850MFL27</stp>
        <stp>LTT</stp>
        <tr r="I265" s="1"/>
      </tp>
      <tp t="s">
        <v>00:00:00</v>
        <stp/>
        <stp>bse_cm|950MML24</stp>
        <stp>LTT</stp>
        <tr r="I304" s="1"/>
      </tp>
      <tp t="s">
        <v>00:00:00</v>
        <stp/>
        <stp>bse_cm|850MFL24</stp>
        <stp>LTT</stp>
        <tr r="I1100" s="1"/>
      </tp>
      <tp>
        <v>0</v>
        <stp/>
        <stp>bse_cm|950KFL27</stp>
        <stp>LTP</stp>
        <tr r="H143" s="1"/>
      </tp>
      <tp>
        <v>0</v>
        <stp/>
        <stp>bse_cm|750MFL27</stp>
        <stp>LTP</stp>
        <tr r="H274" s="1"/>
      </tp>
      <tp>
        <v>0</v>
        <stp/>
        <stp>bse_cm|950MFL27</stp>
        <stp>LTP</stp>
        <tr r="H1147" s="1"/>
      </tp>
      <tp>
        <v>0</v>
        <stp/>
        <stp>bse_cm|850MFL27</stp>
        <stp>LTP</stp>
        <tr r="H265" s="1"/>
      </tp>
      <tp>
        <v>0</v>
        <stp/>
        <stp>bse_cm|950MML24</stp>
        <stp>LTP</stp>
        <tr r="H304" s="1"/>
      </tp>
      <tp>
        <v>0</v>
        <stp/>
        <stp>bse_cm|850MFL24</stp>
        <stp>LTP</stp>
        <tr r="H1100" s="1"/>
      </tp>
      <tp t="s">
        <v>00:00:00</v>
        <stp/>
        <stp>bse_cm|950KFL27</stp>
        <stp>LTT</stp>
        <tr r="I143" s="1"/>
      </tp>
      <tp>
        <v>0</v>
        <stp/>
        <stp>bse_cm|850MFL28</stp>
        <stp>LTP</stp>
        <tr r="H236" s="1"/>
      </tp>
      <tp>
        <v>0</v>
        <stp/>
        <stp>bse_cm|880MFL28</stp>
        <stp>ATP</stp>
        <tr r="K1338" s="1"/>
      </tp>
      <tp>
        <v>0</v>
        <stp/>
        <stp>bse_cm|850MFL29</stp>
        <stp>LTP</stp>
        <tr r="H356" s="1"/>
      </tp>
      <tp t="s">
        <v>00:00:00</v>
        <stp/>
        <stp>bse_cm|850MFL28</stp>
        <stp>LTT</stp>
        <tr r="I236" s="1"/>
      </tp>
      <tp t="s">
        <v>00:00:00</v>
        <stp/>
        <stp>bse_cm|850MFL29</stp>
        <stp>LTT</stp>
        <tr r="I356" s="1"/>
      </tp>
      <tp>
        <v>0</v>
        <stp/>
        <stp>bse_cm|10MMFL27</stp>
        <stp>Volume Traded Today</stp>
        <tr r="L1090" s="1"/>
      </tp>
      <tp>
        <v>0</v>
        <stp/>
        <stp>bse_cm|888SCL25</stp>
        <stp>Ask Rate</stp>
        <tr r="F1134" s="1"/>
      </tp>
      <tp>
        <v>-100</v>
        <stp/>
        <stp>bse_cm|9IIFL28</stp>
        <stp>% Change</stp>
        <tr r="J126" s="1"/>
      </tp>
      <tp>
        <v>940</v>
        <stp/>
        <stp>bse_cm|97EFSL31</stp>
        <stp>Prev Close</stp>
        <tr r="P635" s="1"/>
      </tp>
      <tp>
        <v>0</v>
        <stp/>
        <stp>bse_cm|10MFCL30</stp>
        <stp>Volume Traded Today</stp>
        <tr r="L1091" s="1"/>
      </tp>
      <tp>
        <v>970.52</v>
        <stp/>
        <stp>bse_cm|96EFSL26</stp>
        <stp>Prev Close</stp>
        <tr r="P1465" s="1"/>
      </tp>
      <tp>
        <v>999</v>
        <stp/>
        <stp>bse_cm|96EFSL27</stp>
        <stp>Prev Close</stp>
        <tr r="P1050" s="1"/>
      </tp>
      <tp>
        <v>100</v>
        <stp/>
        <stp>bse_cm|10CAGL27</stp>
        <stp>Volume Traded Today</stp>
        <tr r="L282" s="1"/>
      </tp>
      <tp>
        <v>0</v>
        <stp/>
        <stp>nse_cm|1025SCFL34-Z5</stp>
        <stp>ATP</stp>
        <tr r="K880" s="1"/>
      </tp>
      <tp t="s">
        <v>NSE</v>
        <stp/>
        <stp>nse_cm|894SCL27-ZY</stp>
        <stp>Exchange</stp>
        <tr r="C731" s="1"/>
      </tp>
      <tp>
        <v>975</v>
        <stp/>
        <stp>nse_cm|10NIDO26-N6</stp>
        <stp>Bid Rate</stp>
        <tr r="E66" s="1"/>
      </tp>
      <tp>
        <v>1042</v>
        <stp/>
        <stp>bse_cm|98EFSL26</stp>
        <stp>Prev Close</stp>
        <tr r="P82" s="1"/>
      </tp>
      <tp>
        <v>966</v>
        <stp/>
        <stp>nse_cm|9SCL26BA-NA</stp>
        <stp>Ask Rate</stp>
        <tr r="F122" s="1"/>
      </tp>
      <tp>
        <v>0</v>
        <stp/>
        <stp>bse_cm|889SCL28</stp>
        <stp>ATP</stp>
        <tr r="K1069" s="1"/>
      </tp>
      <tp>
        <v>0</v>
        <stp/>
        <stp>bse_cm|889SCL26</stp>
        <stp>ATP</stp>
        <tr r="K237" s="1"/>
      </tp>
      <tp>
        <v>0</v>
        <stp/>
        <stp>bse_cm|889SCL27</stp>
        <stp>ATP</stp>
        <tr r="K121" s="1"/>
      </tp>
      <tp>
        <v>1000.27</v>
        <stp/>
        <stp>bse_cm|829LTF24</stp>
        <stp>ATP</stp>
        <tr r="K4" s="1"/>
      </tp>
      <tp>
        <v>0</v>
        <stp/>
        <stp>bse_cm|888SCL25</stp>
        <stp>ATP</stp>
        <tr r="K1134" s="1"/>
      </tp>
      <tp>
        <v>0</v>
        <stp/>
        <stp>bse_cm|888SCL26</stp>
        <stp>ATP</stp>
        <tr r="K915" s="1"/>
      </tp>
      <tp>
        <v>0</v>
        <stp/>
        <stp>bse_cm|10EFSL27</stp>
        <stp>Volume Traded Today</stp>
        <tr r="L1139" s="1"/>
      </tp>
      <tp>
        <v>0</v>
        <stp/>
        <stp>bse_cm|10EFSL34</stp>
        <stp>Volume Traded Today</stp>
        <tr r="L164" s="1"/>
      </tp>
      <tp>
        <v>0</v>
        <stp/>
        <stp>bse_cm|10EFSL33</stp>
        <stp>Volume Traded Today</stp>
        <tr r="L150" s="1"/>
      </tp>
      <tp>
        <v>667</v>
        <stp/>
        <stp>bse_cm|916SCL25</stp>
        <stp>Face Value</stp>
        <tr r="Q964" s="1"/>
      </tp>
      <tp>
        <v>1000</v>
        <stp/>
        <stp>bse_cm|915SCL26</stp>
        <stp>Face Value</stp>
        <tr r="Q148" s="1"/>
      </tp>
      <tp>
        <v>1000</v>
        <stp/>
        <stp>bse_cm|915SCL27</stp>
        <stp>Face Value</stp>
        <tr r="Q1127" s="1"/>
      </tp>
      <tp>
        <v>1000</v>
        <stp/>
        <stp>bse_cm|94IFCI25</stp>
        <stp>Face Value</stp>
        <tr r="Q228" s="1"/>
      </tp>
      <tp>
        <v>667</v>
        <stp/>
        <stp>bse_cm|902SCL26</stp>
        <stp>Face Value</stp>
        <tr r="Q969" s="1"/>
      </tp>
      <tp>
        <v>1000</v>
        <stp/>
        <stp>bse_cm|902SCL27</stp>
        <stp>Face Value</stp>
        <tr r="Q902" s="1"/>
      </tp>
      <tp>
        <v>1000</v>
        <stp/>
        <stp>bse_cm|905SCL27</stp>
        <stp>Face Value</stp>
        <tr r="Q976" s="1"/>
      </tp>
      <tp>
        <v>667</v>
        <stp/>
        <stp>bse_cm|905SCL25</stp>
        <stp>Face Value</stp>
        <tr r="Q1060" s="1"/>
      </tp>
      <tp>
        <v>1000</v>
        <stp/>
        <stp>bse_cm|935SCL28</stp>
        <stp>Face Value</stp>
        <tr r="Q284" s="1"/>
      </tp>
      <tp>
        <v>800</v>
        <stp/>
        <stp>bse_cm|939SCL27</stp>
        <stp>Face Value</stp>
        <tr r="Q985" s="1"/>
      </tp>
      <tp>
        <v>1000.01</v>
        <stp/>
        <stp>nse_cm|835IFL25-NV</stp>
        <stp>Bid Rate</stp>
        <tr r="E98" s="1"/>
      </tp>
      <tp>
        <v>0</v>
        <stp/>
        <stp>nse_cm|935SCL28-NV</stp>
        <stp>Bid Rate</stp>
        <tr r="E986" s="1"/>
      </tp>
      <tp>
        <v>800</v>
        <stp/>
        <stp>bse_cm|925SCL28</stp>
        <stp>Face Value</stp>
        <tr r="Q940" s="1"/>
      </tp>
      <tp>
        <v>1000</v>
        <stp/>
        <stp>bse_cm|925SCL29</stp>
        <stp>Face Value</stp>
        <tr r="Q820" s="1"/>
      </tp>
      <tp>
        <v>1000</v>
        <stp/>
        <stp>bse_cm|925SCL26</stp>
        <stp>Face Value</stp>
        <tr r="Q913" s="1"/>
      </tp>
      <tp>
        <v>1000</v>
        <stp/>
        <stp>bse_cm|925SCL27</stp>
        <stp>Face Value</stp>
        <tr r="Q1414" s="1"/>
      </tp>
      <tp>
        <v>1000</v>
        <stp/>
        <stp>bse_cm|925SCL25</stp>
        <stp>Face Value</stp>
        <tr r="Q104" s="1"/>
      </tp>
      <tp t="s">
        <v>SCLZC25F-Y5</v>
        <stp/>
        <stp>nse_cm|SCLZC25F-Y5</stp>
        <stp>Trading Symbol</stp>
        <tr r="B1512" s="1"/>
      </tp>
      <tp t="s">
        <v>SCLZC26F-Y9</v>
        <stp/>
        <stp>nse_cm|SCLZC26F-Y9</stp>
        <stp>Trading Symbol</stp>
        <tr r="B800" s="1"/>
      </tp>
      <tp>
        <v>1000</v>
        <stp/>
        <stp>bse_cm|92ICCL28</stp>
        <stp>Face Value</stp>
        <tr r="Q202" s="1"/>
      </tp>
      <tp>
        <v>1000</v>
        <stp/>
        <stp>bse_cm|957VCL25</stp>
        <stp>Face Value</stp>
        <tr r="Q53" s="1"/>
      </tp>
      <tp>
        <v>857.14</v>
        <stp/>
        <stp>bse_cm|957SCL30</stp>
        <stp>Face Value</stp>
        <tr r="Q1110" s="1"/>
      </tp>
      <tp>
        <v>1000</v>
        <stp/>
        <stp>bse_cm|957SCL31</stp>
        <stp>Face Value</stp>
        <tr r="Q1108" s="1"/>
      </tp>
      <tp>
        <v>1000</v>
        <stp/>
        <stp>bse_cm|955SCL27</stp>
        <stp>Face Value</stp>
        <tr r="Q621" s="1"/>
      </tp>
      <tp>
        <v>667</v>
        <stp/>
        <stp>bse_cm|955SCL25</stp>
        <stp>Face Value</stp>
        <tr r="Q1128" s="1"/>
      </tp>
      <tp>
        <v>943.45</v>
        <stp/>
        <stp>bse_cm|ABFL28</stp>
        <stp>Bid Rate</stp>
        <tr r="E1373" s="1"/>
      </tp>
      <tp>
        <v>1000</v>
        <stp/>
        <stp>bse_cm|943ECL28</stp>
        <stp>Face Value</stp>
        <tr r="Q124" s="1"/>
      </tp>
      <tp>
        <v>667</v>
        <stp/>
        <stp>bse_cm|940SCL26</stp>
        <stp>Face Value</stp>
        <tr r="Q778" s="1"/>
      </tp>
      <tp>
        <v>1000</v>
        <stp/>
        <stp>bse_cm|940SCL27</stp>
        <stp>Face Value</stp>
        <tr r="Q792" s="1"/>
      </tp>
      <tp>
        <v>667</v>
        <stp/>
        <stp>bse_cm|948SCL26</stp>
        <stp>Face Value</stp>
        <tr r="Q1647" s="1"/>
      </tp>
      <tp>
        <v>1000</v>
        <stp/>
        <stp>bse_cm|948SCL27</stp>
        <stp>Face Value</stp>
        <tr r="Q1079" s="1"/>
      </tp>
      <tp>
        <v>1060</v>
        <stp/>
        <stp>bse_cm|898LTF29</stp>
        <stp>Ask Rate</stp>
        <tr r="F416" s="1"/>
      </tp>
      <tp>
        <v>667</v>
        <stp/>
        <stp>nse_cm|984ICCL26A-NK</stp>
        <stp>Face Value</stp>
        <tr r="Q716" s="1"/>
      </tp>
      <tp>
        <v>1000</v>
        <stp/>
        <stp>bse_cm|MML27524</stp>
        <stp>Face Value</stp>
        <tr r="Q1511" s="1"/>
      </tp>
      <tp>
        <v>800</v>
        <stp/>
        <stp>bse_cm|971SCL28</stp>
        <stp>Face Value</stp>
        <tr r="Q1028" s="1"/>
      </tp>
      <tp>
        <v>1000</v>
        <stp/>
        <stp>bse_cm|971SCL29</stp>
        <stp>Face Value</stp>
        <tr r="Q521" s="1"/>
      </tp>
      <tp>
        <v>1000</v>
        <stp/>
        <stp>bse_cm|975SCL28</stp>
        <stp>Face Value</stp>
        <tr r="Q1485" s="1"/>
      </tp>
      <tp>
        <v>1000</v>
        <stp/>
        <stp>bse_cm|IML23623</stp>
        <stp>Face Value</stp>
        <tr r="Q1327" s="1"/>
      </tp>
      <tp>
        <v>800</v>
        <stp/>
        <stp>bse_cm|965SCL28</stp>
        <stp>Face Value</stp>
        <tr r="Q1138" s="1"/>
      </tp>
      <tp>
        <v>1000</v>
        <stp/>
        <stp>bse_cm|965SCL29</stp>
        <stp>Face Value</stp>
        <tr r="Q816" s="1"/>
      </tp>
      <tp>
        <v>1000</v>
        <stp/>
        <stp>bse_cm|965SCL26</stp>
        <stp>Face Value</stp>
        <tr r="Q665" s="1"/>
      </tp>
      <tp>
        <v>1000</v>
        <stp/>
        <stp>bse_cm|965SCL25</stp>
        <stp>Face Value</stp>
        <tr r="Q1105" s="1"/>
      </tp>
      <tp>
        <v>500</v>
        <stp/>
        <stp>bse_cm|965VCL25</stp>
        <stp>Face Value</stp>
        <tr r="Q1543" s="1"/>
      </tp>
      <tp>
        <v>667</v>
        <stp/>
        <stp>bse_cm|990SCL26</stp>
        <stp>Face Value</stp>
        <tr r="Q421" s="1"/>
      </tp>
      <tp>
        <v>1000</v>
        <stp/>
        <stp>bse_cm|990SCL27</stp>
        <stp>Face Value</stp>
        <tr r="Q796" s="1"/>
      </tp>
      <tp>
        <v>1000</v>
        <stp/>
        <stp>bse_cm|995ECL29</stp>
        <stp>Face Value</stp>
        <tr r="Q198" s="1"/>
      </tp>
      <tp>
        <v>1000</v>
        <stp/>
        <stp>bse_cm|995ECL24</stp>
        <stp>Face Value</stp>
        <tr r="Q427" s="1"/>
      </tp>
      <tp>
        <v>1000</v>
        <stp/>
        <stp>bse_cm|980SCL34</stp>
        <stp>Face Value</stp>
        <tr r="Q829" s="1"/>
      </tp>
      <tp>
        <v>1000</v>
        <stp/>
        <stp>bse_cm|980SCL33</stp>
        <stp>Face Value</stp>
        <tr r="Q998" s="1"/>
      </tp>
      <tp>
        <v>1000</v>
        <stp/>
        <stp>bse_cm|985ECL28</stp>
        <stp>Face Value</stp>
        <tr r="Q56" s="1"/>
      </tp>
      <tp>
        <v>0</v>
        <stp/>
        <stp>bse_cm|898ONE26</stp>
        <stp>Ask Rate</stp>
        <tr r="F1154" s="1"/>
      </tp>
      <tp>
        <v>667</v>
        <stp/>
        <stp>bse_cm|98ICCL26</stp>
        <stp>Face Value</stp>
        <tr r="Q1412" s="1"/>
      </tp>
      <tp>
        <v>1050.03</v>
        <stp/>
        <stp>bse_cm|ABFL26</stp>
        <stp>Bid Rate</stp>
        <tr r="E1064" s="1"/>
      </tp>
      <tp>
        <v>0</v>
        <stp/>
        <stp>nse_cm|1003SCL30A-NV</stp>
        <stp>Volume Traded Today</stp>
        <tr r="L728" s="1"/>
      </tp>
      <tp>
        <v>1000</v>
        <stp/>
        <stp>bse_cm|10ARKA28</stp>
        <stp>Face Value</stp>
        <tr r="Q1400" s="1"/>
      </tp>
      <tp>
        <v>1000</v>
        <stp/>
        <stp>bse_cm|99IFCI24</stp>
        <stp>Face Value</stp>
        <tr r="Q41" s="1"/>
      </tp>
      <tp t="s">
        <v/>
        <stp/>
        <stp>nse_cm|925IHFL25E-N8</stp>
        <stp>LTT</stp>
        <tr r="I561" s="1"/>
      </tp>
      <tp>
        <v>966</v>
        <stp/>
        <stp>nse_cm|925IHFL25E-N8</stp>
        <stp>LTP</stp>
        <tr r="H561" s="1"/>
      </tp>
      <tp>
        <v>1088</v>
        <stp/>
        <stp>nse_cm|965IHFL25D-N7</stp>
        <stp>LTP</stp>
        <tr r="H1469" s="1"/>
      </tp>
      <tp>
        <v>995</v>
        <stp/>
        <stp>nse_cm|925IHFL25D-N6</stp>
        <stp>LTP</stp>
        <tr r="H575" s="1"/>
      </tp>
      <tp t="s">
        <v/>
        <stp/>
        <stp>nse_cm|965IHFL25D-N7</stp>
        <stp>LTT</stp>
        <tr r="I1469" s="1"/>
      </tp>
      <tp t="s">
        <v/>
        <stp/>
        <stp>nse_cm|925IHFL25D-N6</stp>
        <stp>LTT</stp>
        <tr r="I575" s="1"/>
      </tp>
      <tp t="s">
        <v>INE148I07OQ6</v>
        <stp/>
        <stp>nse_cm|902SCL26I-AW</stp>
        <stp>Isin code</stp>
        <tr r="R1383" s="1"/>
      </tp>
      <tp t="s">
        <v/>
        <stp/>
        <stp>nse_cm|925ICCL25I-NP</stp>
        <stp>LTT</stp>
        <tr r="I777" s="1"/>
      </tp>
      <tp t="s">
        <v/>
        <stp/>
        <stp>nse_cm|965ICCL25I-NQ</stp>
        <stp>LTT</stp>
        <tr r="I696" s="1"/>
      </tp>
      <tp>
        <v>0</v>
        <stp/>
        <stp>nse_cm|925ICCL25I-NP</stp>
        <stp>LTP</stp>
        <tr r="H777" s="1"/>
      </tp>
      <tp>
        <v>1068</v>
        <stp/>
        <stp>nse_cm|965ICCL25I-NQ</stp>
        <stp>LTP</stp>
        <tr r="H696" s="1"/>
      </tp>
      <tp t="s">
        <v/>
        <stp/>
        <stp>nse_cm|875IIFL26A-NQ</stp>
        <stp>LTT</stp>
        <tr r="I634" s="1"/>
      </tp>
      <tp>
        <v>0</v>
        <stp/>
        <stp>nse_cm|888IHFL25C-NR</stp>
        <stp>ATP</stp>
        <tr r="K1426" s="1"/>
      </tp>
      <tp>
        <v>1011.8</v>
        <stp/>
        <stp>nse_cm|875IIFL26A-NQ</stp>
        <stp>LTP</stp>
        <tr r="H634" s="1"/>
      </tp>
      <tp>
        <v>1137.56</v>
        <stp/>
        <stp>nse_cm|948ICCL25A-NG</stp>
        <stp>ATP</stp>
        <tr r="K1736" s="1"/>
      </tp>
      <tp>
        <v>1018.2</v>
        <stp/>
        <stp>nse_cm|925ICCL24A-NE</stp>
        <stp>LTP</stp>
        <tr r="H1393" s="1"/>
      </tp>
      <tp t="s">
        <v/>
        <stp/>
        <stp>nse_cm|925ICCL24A-NE</stp>
        <stp>LTT</stp>
        <tr r="I1393" s="1"/>
      </tp>
      <tp t="s">
        <v/>
        <stp/>
        <stp>nse_cm|955ICCL25A-NH</stp>
        <stp>LTT</stp>
        <tr r="I486" s="1"/>
      </tp>
      <tp>
        <v>991</v>
        <stp/>
        <stp>nse_cm|955ICCL25A-NH</stp>
        <stp>LTP</stp>
        <tr r="H486" s="1"/>
      </tp>
      <tp>
        <v>0</v>
        <stp/>
        <stp>nse_cm|888IHFL25F-NC</stp>
        <stp>ATP</stp>
        <tr r="K343" s="1"/>
      </tp>
      <tp>
        <v>981.55</v>
        <stp/>
        <stp>bse_cm|9IIFL28A</stp>
        <stp>High</stp>
        <tr r="N218" s="1"/>
      </tp>
      <tp t="s">
        <v>INE906B07EO8</v>
        <stp/>
        <stp>bse_cm|739NHAI31A</stp>
        <stp>Isin code</stp>
        <tr r="R546" s="1"/>
      </tp>
      <tp t="s">
        <v>892PFCL33-N8</v>
        <stp/>
        <stp>nse_cm|892PFCL33-N8</stp>
        <stp>Trading Symbol</stp>
        <tr r="B530" s="1"/>
      </tp>
      <tp t="s">
        <v>INE121A07RQ3</v>
        <stp/>
        <stp>bse_cm|875CIFC23B</stp>
        <stp>Isin code</stp>
        <tr r="R1394" s="1"/>
      </tp>
      <tp t="s">
        <v>910CAGL25-N7</v>
        <stp/>
        <stp>nse_cm|910CAGL25-N7</stp>
        <stp>Trading Symbol</stp>
        <tr r="B622" s="1"/>
      </tp>
      <tp t="s">
        <v>INE148I07LP4</v>
        <stp/>
        <stp>nse_cm|SCLZC25-YN</stp>
        <stp>Isin code</stp>
        <tr r="R1727" s="1"/>
      </tp>
      <tp t="s">
        <v>INE549K07EJ7</v>
        <stp/>
        <stp>bse_cm|MFCL16924C</stp>
        <stp>Isin code</stp>
        <tr r="R660" s="1"/>
      </tp>
      <tp t="s">
        <v>925SCFL27-YA</v>
        <stp/>
        <stp>nse_cm|925SCFL27-YA</stp>
        <stp>Trading Symbol</stp>
        <tr r="B113" s="1"/>
      </tp>
      <tp t="s">
        <v>867PFCL33-N7</v>
        <stp/>
        <stp>nse_cm|867PFCL33-N7</stp>
        <stp>Trading Symbol</stp>
        <tr r="B550" s="1"/>
      </tp>
      <tp t="s">
        <v>1015ECL29-NR</v>
        <stp/>
        <stp>nse_cm|1015ECL29-NR</stp>
        <stp>Trading Symbol</stp>
        <tr r="B204" s="1"/>
      </tp>
      <tp t="s">
        <v>1060ECL29-NS</v>
        <stp/>
        <stp>nse_cm|1060ECL29-NS</stp>
        <stp>Trading Symbol</stp>
        <tr r="B144" s="1"/>
      </tp>
      <tp t="s">
        <v>INE244L07291</v>
        <stp/>
        <stp>bse_cm|913ICCL24A</stp>
        <stp>Isin code</stp>
        <tr r="R1162" s="1"/>
      </tp>
      <tp t="s">
        <v>960CAGL25-N3</v>
        <stp/>
        <stp>nse_cm|960CAGL25-N3</stp>
        <stp>Trading Symbol</stp>
        <tr r="B305" s="1"/>
      </tp>
      <tp t="s">
        <v>INE0BUS07AZ2</v>
        <stp/>
        <stp>bse_cm|IML25</stp>
        <stp>Isin code</stp>
        <tr r="R1326" s="1"/>
      </tp>
      <tp t="s">
        <v>920EFSL26B</v>
        <stp/>
        <stp>bse_cm|920EFSL26B</stp>
        <stp>Symbol</stp>
        <tr r="A247" s="1"/>
      </tp>
      <tp t="s">
        <v>920EFSL26A</v>
        <stp/>
        <stp>bse_cm|920EFSL26A</stp>
        <stp>Symbol</stp>
        <tr r="A61" s="1"/>
      </tp>
      <tp t="s">
        <v>960EFSL26C</v>
        <stp/>
        <stp>bse_cm|960EFSL26C</stp>
        <stp>Symbol</stp>
        <tr r="A137" s="1"/>
      </tp>
      <tp t="s">
        <v>920EFSL27A</v>
        <stp/>
        <stp>bse_cm|920EFSL27A</stp>
        <stp>Symbol</stp>
        <tr r="A685" s="1"/>
      </tp>
      <tp>
        <v>-100</v>
        <stp/>
        <stp>bse_cm|850MFL27A</stp>
        <stp>% Change</stp>
        <tr r="J355" s="1"/>
      </tp>
      <tp t="s">
        <v>INE148I07SV7</v>
        <stp/>
        <stp>nse_cm|1025SCFL34-Z5</stp>
        <stp>Isin code</stp>
        <tr r="R880" s="1"/>
      </tp>
      <tp>
        <v>957.81</v>
        <stp/>
        <stp>bse_cm|MFCL160924</stp>
        <stp>ATP</stp>
        <tr r="K572" s="1"/>
      </tp>
      <tp>
        <v>-100</v>
        <stp/>
        <stp>bse_cm|950MFL27A</stp>
        <stp>% Change</stp>
        <tr r="J241" s="1"/>
      </tp>
      <tp t="s">
        <v>890ICCL23A</v>
        <stp/>
        <stp>bse_cm|890ICCL23A</stp>
        <stp>Symbol</stp>
        <tr r="A1486" s="1"/>
      </tp>
      <tp t="s">
        <v>INE549K07CH5</v>
        <stp/>
        <stp>bse_cm|MFL31</stp>
        <stp>Isin code</stp>
        <tr r="R701" s="1"/>
      </tp>
      <tp t="s">
        <v>INE403Q08209</v>
        <stp/>
        <stp>bse_cm|KFL27</stp>
        <stp>Isin code</stp>
        <tr r="R1303" s="1"/>
      </tp>
      <tp t="s">
        <v>950MFCL27D</v>
        <stp/>
        <stp>bse_cm|950MFCL27D</stp>
        <stp>Symbol</stp>
        <tr r="A1496" s="1"/>
      </tp>
      <tp t="s">
        <v>00:00:00</v>
        <stp/>
        <stp>bse_cm|EFSL290424</stp>
        <stp>LTT</stp>
        <tr r="I1334" s="1"/>
      </tp>
      <tp>
        <v>0</v>
        <stp/>
        <stp>bse_cm|EFSL290424</stp>
        <stp>LTP</stp>
        <tr r="H1334" s="1"/>
      </tp>
      <tp>
        <v>951</v>
        <stp/>
        <stp>bse_cm|1004EFSL29</stp>
        <stp>LTP</stp>
        <tr r="H1586" s="1"/>
      </tp>
      <tp t="s">
        <v>15:13:42</v>
        <stp/>
        <stp>bse_cm|1004EFSL29</stp>
        <stp>LTT</stp>
        <tr r="I1586" s="1"/>
      </tp>
      <tp>
        <v>0</v>
        <stp/>
        <stp>bse_cm|1049DLSL25</stp>
        <stp>ATP</stp>
        <tr r="K84" s="1"/>
      </tp>
      <tp>
        <v>995</v>
        <stp/>
        <stp>bse_cm|1049EFSL34</stp>
        <stp>ATP</stp>
        <tr r="K1584" s="1"/>
      </tp>
      <tp t="s">
        <v>1050CCIL25</v>
        <stp/>
        <stp>bse_cm|1050CCIL25</stp>
        <stp>Symbol</stp>
        <tr r="A2" s="1"/>
      </tp>
      <tp t="s">
        <v>1150CCIL29</v>
        <stp/>
        <stp>bse_cm|1150CCIL29</stp>
        <stp>Symbol</stp>
        <tr r="A424" s="1"/>
      </tp>
      <tp t="s">
        <v>1150CCIL28</v>
        <stp/>
        <stp>bse_cm|1150CCIL28</stp>
        <stp>Symbol</stp>
        <tr r="A460" s="1"/>
      </tp>
      <tp>
        <v>950</v>
        <stp/>
        <stp>nse_cm|SCL310524A-ZK</stp>
        <stp xml:space="preserve">Low </stp>
        <tr r="O1445" s="1"/>
      </tp>
      <tp t="s">
        <v>1003SCL30A</v>
        <stp/>
        <stp>bse_cm|1003SCL30A</stp>
        <stp>Symbol</stp>
        <tr r="A875" s="1"/>
      </tp>
      <tp>
        <v>0</v>
        <stp/>
        <stp>bse_cm|775MFL2025</stp>
        <stp>Volume Traded Today</stp>
        <tr r="L336" s="1"/>
      </tp>
      <tp>
        <v>1</v>
        <stp/>
        <stp>bse_cm|775MFL2026</stp>
        <stp>Volume Traded Today</stp>
        <tr r="L240" s="1"/>
      </tp>
      <tp>
        <v>0</v>
        <stp/>
        <stp>bse_cm|785MFL2028</stp>
        <stp>Volume Traded Today</stp>
        <tr r="L357" s="1"/>
      </tp>
      <tp>
        <v>40</v>
        <stp/>
        <stp>bse_cm|739NHAI31A</stp>
        <stp>Volume Traded Today</stp>
        <tr r="L546" s="1"/>
      </tp>
      <tp>
        <v>0</v>
        <stp/>
        <stp>bse_cm|825MFL2026</stp>
        <stp>Volume Traded Today</stp>
        <tr r="L318" s="1"/>
      </tp>
      <tp>
        <v>0</v>
        <stp/>
        <stp>bse_cm|810MFL2028</stp>
        <stp>Volume Traded Today</stp>
        <tr r="L651" s="1"/>
      </tp>
      <tp t="s">
        <v>728IREDA26</v>
        <stp/>
        <stp>bse_cm|728IREDA26</stp>
        <stp>Symbol</stp>
        <tr r="A1203" s="1"/>
      </tp>
      <tp t="s">
        <v>768IREDA36</v>
        <stp/>
        <stp>bse_cm|768IREDA36</stp>
        <stp>Symbol</stp>
        <tr r="A543" s="1"/>
      </tp>
      <tp>
        <v>-100</v>
        <stp/>
        <stp>bse_cm|EFSLZC26B</stp>
        <stp>% Change</stp>
        <tr r="J1678" s="1"/>
      </tp>
      <tp>
        <v>0</v>
        <stp/>
        <stp>nse_cm|1050SCFL31-Z2</stp>
        <stp>Ask Rate</stp>
        <tr r="F868" s="1"/>
      </tp>
      <tp>
        <v>-100</v>
        <stp/>
        <stp>bse_cm|EFSLZC26C</stp>
        <stp>% Change</stp>
        <tr r="J1332" s="1"/>
      </tp>
      <tp>
        <v>-100</v>
        <stp/>
        <stp>bse_cm|EFSLZC26A</stp>
        <stp>% Change</stp>
        <tr r="J1574" s="1"/>
      </tp>
      <tp>
        <v>-100</v>
        <stp/>
        <stp>bse_cm|IIFLZC26B</stp>
        <stp>% Change</stp>
        <tr r="J1179" s="1"/>
      </tp>
      <tp>
        <v>-100</v>
        <stp/>
        <stp>bse_cm|750IRFC35</stp>
        <stp>% Change</stp>
        <tr r="J488" s="1"/>
      </tp>
      <tp>
        <v>-100</v>
        <stp/>
        <stp>bse_cm|725IRFC35</stp>
        <stp>% Change</stp>
        <tr r="J560" s="1"/>
      </tp>
      <tp>
        <v>-100</v>
        <stp/>
        <stp>bse_cm|KAFLZC26A</stp>
        <stp>% Change</stp>
        <tr r="J1710" s="1"/>
      </tp>
      <tp t="s">
        <v>920IIFLS26</v>
        <stp/>
        <stp>bse_cm|920IIFLS26</stp>
        <stp>Symbol</stp>
        <tr r="A613" s="1"/>
      </tp>
      <tp t="s">
        <v>960IIFLS26</v>
        <stp/>
        <stp>bse_cm|960IIFLS26</stp>
        <stp>Symbol</stp>
        <tr r="A872" s="1"/>
      </tp>
      <tp>
        <v>-100</v>
        <stp/>
        <stp>bse_cm|IIFLZC26A</stp>
        <stp>% Change</stp>
        <tr r="J1674" s="1"/>
      </tp>
      <tp>
        <v>-100</v>
        <stp/>
        <stp>bse_cm|753IRFC30</stp>
        <stp>% Change</stp>
        <tr r="J454" s="1"/>
      </tp>
      <tp>
        <v>-100</v>
        <stp/>
        <stp>bse_cm|728IRFC30</stp>
        <stp>% Change</stp>
        <tr r="J469" s="1"/>
      </tp>
      <tp>
        <v>0.12</v>
        <stp/>
        <stp>bse_cm|764IRFC31</stp>
        <stp>% Change</stp>
        <tr r="J466" s="1"/>
      </tp>
      <tp>
        <v>-100</v>
        <stp/>
        <stp>bse_cm|735IRFC31</stp>
        <stp>% Change</stp>
        <tr r="J1427" s="1"/>
      </tp>
      <tp>
        <v>0</v>
        <stp/>
        <stp>nse_cm|890ICCL23A-NZ</stp>
        <stp>Volume Traded Today</stp>
        <tr r="L1363" s="1"/>
      </tp>
      <tp>
        <v>0</v>
        <stp/>
        <stp>bse_cm|82TCHF25</stp>
        <stp>ATP</stp>
        <tr r="K1015" s="1"/>
      </tp>
      <tp>
        <v>975</v>
        <stp/>
        <stp>bse_cm|9MFL27</stp>
        <stp>Open</stp>
        <tr r="M195" s="1"/>
      </tp>
      <tp t="s">
        <v>NSE</v>
        <stp/>
        <stp>nse_cm|894SCL25-Z3</stp>
        <stp>Exchange</stp>
        <tr r="C1698" s="1"/>
      </tp>
      <tp>
        <v>0</v>
        <stp/>
        <stp>bse_cm|9MFL25</stp>
        <stp>Open</stp>
        <tr r="M1082" s="1"/>
      </tp>
      <tp>
        <v>2424.5</v>
        <stp/>
        <stp>bse_cm|IFCIZC25</stp>
        <stp>High</stp>
        <tr r="N1764" s="1"/>
      </tp>
      <tp>
        <v>0</v>
        <stp/>
        <stp>bse_cm|68PFCL31</stp>
        <stp>ATP</stp>
        <tr r="K1205" s="1"/>
      </tp>
      <tp>
        <v>2525.35</v>
        <stp/>
        <stp>bse_cm|IFCIZC24</stp>
        <stp>High</stp>
        <tr r="N1769" s="1"/>
      </tp>
      <tp>
        <v>0</v>
        <stp/>
        <stp>bse_cm|58PFCL26</stp>
        <stp>ATP</stp>
        <tr r="K369" s="1"/>
      </tp>
      <tp>
        <v>1033</v>
        <stp/>
        <stp>bse_cm|85CIFC27</stp>
        <stp>High</stp>
        <tr r="N974" s="1"/>
      </tp>
      <tp>
        <v>0</v>
        <stp/>
        <stp>bse_cm|9KFL26</stp>
        <stp>Open</stp>
        <tr r="M1084" s="1"/>
      </tp>
      <tp>
        <v>0</v>
        <stp/>
        <stp>nse_cm|85PFL26A-N7</stp>
        <stp>Open</stp>
        <tr r="M1519" s="1"/>
      </tp>
      <tp t="s">
        <v>INE342T07379</v>
        <stp/>
        <stp>nse_cm|1025NFL25-N5</stp>
        <stp>Isin code</stp>
        <tr r="R1488" s="1"/>
      </tp>
      <tp>
        <v>979.15</v>
        <stp/>
        <stp>bse_cm|9IML25</stp>
        <stp>Open</stp>
        <tr r="M588" s="1"/>
      </tp>
      <tp>
        <v>1013</v>
        <stp/>
        <stp>bse_cm|86CIFC29</stp>
        <stp>High</stp>
        <tr r="N1341" s="1"/>
      </tp>
      <tp>
        <v>900</v>
        <stp/>
        <stp>bse_cm|11CCIL27</stp>
        <stp>High</stp>
        <tr r="N691" s="1"/>
      </tp>
      <tp>
        <v>867.8</v>
        <stp/>
        <stp>bse_cm|KFL28D</stp>
        <stp>Bid Rate</stp>
        <tr r="E1299" s="1"/>
      </tp>
      <tp>
        <v>1165</v>
        <stp/>
        <stp>nse_cm|880IREDA29-N5</stp>
        <stp>ATP</stp>
        <tr r="K510" s="1"/>
      </tp>
      <tp>
        <v>0</v>
        <stp/>
        <stp>nse_cm|880IREDA34-N6</stp>
        <stp>ATP</stp>
        <tr r="K511" s="1"/>
      </tp>
      <tp>
        <v>1000</v>
        <stp/>
        <stp>bse_cm|11CCIL26</stp>
        <stp>High</stp>
        <tr r="N625" s="1"/>
      </tp>
      <tp>
        <v>1010</v>
        <stp/>
        <stp>bse_cm|10CAGL27</stp>
        <stp>High</stp>
        <tr r="N282" s="1"/>
      </tp>
      <tp>
        <v>978</v>
        <stp/>
        <stp>bse_cm|95CCIL25</stp>
        <stp>High</stp>
        <tr r="N37" s="1"/>
      </tp>
      <tp>
        <v>1000</v>
        <stp/>
        <stp>bse_cm|905SC24B</stp>
        <stp>Face Value</stp>
        <tr r="Q684" s="1"/>
      </tp>
      <tp>
        <v>1004</v>
        <stp/>
        <stp>nse_cm|932AEL27-N3</stp>
        <stp>Bid Rate</stp>
        <tr r="E471" s="1"/>
      </tp>
      <tp>
        <v>1041</v>
        <stp/>
        <stp>bse_cm|98EFSL26</stp>
        <stp>ATP</stp>
        <tr r="K82" s="1"/>
      </tp>
      <tp t="s">
        <v/>
        <stp/>
        <stp>nse_cm|SCL310524A-ZK</stp>
        <stp>LTT</stp>
        <tr r="I1445" s="1"/>
      </tp>
      <tp>
        <v>950</v>
        <stp/>
        <stp>nse_cm|SCL310524A-ZK</stp>
        <stp>LTP</stp>
        <tr r="H1445" s="1"/>
      </tp>
      <tp>
        <v>0</v>
        <stp/>
        <stp>bse_cm|MFLZC29A</stp>
        <stp>ATP</stp>
        <tr r="K1554" s="1"/>
      </tp>
      <tp>
        <v>0</v>
        <stp/>
        <stp>bse_cm|898ONE26</stp>
        <stp>Volume Traded Today</stp>
        <tr r="L1154" s="1"/>
      </tp>
      <tp>
        <v>0</v>
        <stp/>
        <stp>bse_cm|MFLZC28E</stp>
        <stp>ATP</stp>
        <tr r="K1269" s="1"/>
      </tp>
      <tp>
        <v>0</v>
        <stp/>
        <stp>bse_cm|MFLZC28F</stp>
        <stp>ATP</stp>
        <tr r="K1268" s="1"/>
      </tp>
      <tp>
        <v>0</v>
        <stp/>
        <stp>bse_cm|KFLZC28A</stp>
        <stp>ATP</stp>
        <tr r="K1289" s="1"/>
      </tp>
      <tp>
        <v>0</v>
        <stp/>
        <stp>bse_cm|KFLZC28C</stp>
        <stp>ATP</stp>
        <tr r="K1287" s="1"/>
      </tp>
      <tp>
        <v>0</v>
        <stp/>
        <stp>bse_cm|KFLZC28B</stp>
        <stp>ATP</stp>
        <tr r="K1288" s="1"/>
      </tp>
      <tp>
        <v>0</v>
        <stp/>
        <stp>bse_cm|78ABFL33</stp>
        <stp>ATP</stp>
        <tr r="K378" s="1"/>
      </tp>
      <tp>
        <v>952</v>
        <stp/>
        <stp>nse_cm|935PEL33-N3</stp>
        <stp>Bid Rate</stp>
        <tr r="E1375" s="1"/>
      </tp>
      <tp>
        <v>0</v>
        <stp/>
        <stp>bse_cm|95CCIL25</stp>
        <stp>LTP</stp>
        <tr r="H37" s="1"/>
      </tp>
      <tp t="s">
        <v>00:00:00</v>
        <stp/>
        <stp>bse_cm|95CCIL25</stp>
        <stp>LTT</stp>
        <tr r="I37" s="1"/>
      </tp>
      <tp>
        <v>0</v>
        <stp/>
        <stp>bse_cm|903SFL28</stp>
        <stp>Volume Traded Today</stp>
        <tr r="L397" s="1"/>
      </tp>
      <tp>
        <v>1041</v>
        <stp/>
        <stp>bse_cm|98EFSL26</stp>
        <stp xml:space="preserve">Low </stp>
        <tr r="O82" s="1"/>
      </tp>
      <tp>
        <v>960</v>
        <stp/>
        <stp>bse_cm|96EFSL26</stp>
        <stp xml:space="preserve">Low </stp>
        <tr r="O1465" s="1"/>
      </tp>
      <tp>
        <v>953.5</v>
        <stp/>
        <stp>bse_cm|92EFSL26</stp>
        <stp xml:space="preserve">Low </stp>
        <tr r="O186" s="1"/>
      </tp>
      <tp>
        <v>0</v>
        <stp/>
        <stp>bse_cm|902SCL27</stp>
        <stp>Volume Traded Today</stp>
        <tr r="L902" s="1"/>
      </tp>
      <tp>
        <v>0</v>
        <stp/>
        <stp>bse_cm|902SCL26</stp>
        <stp>Volume Traded Today</stp>
        <tr r="L969" s="1"/>
      </tp>
      <tp>
        <v>0</v>
        <stp/>
        <stp>bse_cm|SFL27224</stp>
        <stp>ATP</stp>
        <tr r="K805" s="1"/>
      </tp>
      <tp>
        <v>0</v>
        <stp/>
        <stp>bse_cm|MML11924</stp>
        <stp>ATP</stp>
        <tr r="K1536" s="1"/>
      </tp>
      <tp>
        <v>917</v>
        <stp/>
        <stp>bse_cm|10EFSL27</stp>
        <stp xml:space="preserve">Low </stp>
        <tr r="O1139" s="1"/>
      </tp>
      <tp>
        <v>999</v>
        <stp/>
        <stp>bse_cm|96EFSL27</stp>
        <stp xml:space="preserve">Low </stp>
        <tr r="O1050" s="1"/>
      </tp>
      <tp>
        <v>0</v>
        <stp/>
        <stp>bse_cm|891ONE25</stp>
        <stp>Volume Traded Today</stp>
        <tr r="L1339" s="1"/>
      </tp>
      <tp>
        <v>0</v>
        <stp/>
        <stp>bse_cm|98NWFL30</stp>
        <stp>ATP</stp>
        <tr r="K231" s="1"/>
      </tp>
      <tp>
        <v>0</v>
        <stp/>
        <stp>bse_cm|88NWIL25</stp>
        <stp>ATP</stp>
        <tr r="K219" s="1"/>
      </tp>
      <tp>
        <v>954.2</v>
        <stp/>
        <stp>bse_cm|89EFSL25</stp>
        <stp xml:space="preserve">Low </stp>
        <tr r="O87" s="1"/>
      </tp>
      <tp>
        <v>0</v>
        <stp/>
        <stp>bse_cm|MFLIV27D</stp>
        <stp>ATP</stp>
        <tr r="K1452" s="1"/>
      </tp>
      <tp>
        <v>0</v>
        <stp/>
        <stp>bse_cm|MFLII27B</stp>
        <stp>ATP</stp>
        <tr r="K359" s="1"/>
      </tp>
      <tp>
        <v>0</v>
        <stp/>
        <stp>bse_cm|MFLZC27E</stp>
        <stp>ATP</stp>
        <tr r="K1677" s="1"/>
      </tp>
      <tp>
        <v>0</v>
        <stp/>
        <stp>bse_cm|MFLZC27D</stp>
        <stp>ATP</stp>
        <tr r="K1700" s="1"/>
      </tp>
      <tp>
        <v>0</v>
        <stp/>
        <stp>bse_cm|MFLZC27F</stp>
        <stp>ATP</stp>
        <tr r="K1566" s="1"/>
      </tp>
      <tp>
        <v>0</v>
        <stp/>
        <stp>bse_cm|KFLZC27A</stp>
        <stp>ATP</stp>
        <tr r="K1291" s="1"/>
      </tp>
      <tp>
        <v>0</v>
        <stp/>
        <stp>bse_cm|MFLZC27A</stp>
        <stp>ATP</stp>
        <tr r="K1270" s="1"/>
      </tp>
      <tp>
        <v>0</v>
        <stp/>
        <stp>bse_cm|MFLZC27C</stp>
        <stp>ATP</stp>
        <tr r="K1411" s="1"/>
      </tp>
      <tp>
        <v>0</v>
        <stp/>
        <stp>bse_cm|MFLZC27B</stp>
        <stp>ATP</stp>
        <tr r="K1697" s="1"/>
      </tp>
      <tp>
        <v>0</v>
        <stp/>
        <stp>bse_cm|85IIFL25</stp>
        <stp>LTP</stp>
        <tr r="H134" s="1"/>
      </tp>
      <tp t="s">
        <v>00:00:00</v>
        <stp/>
        <stp>bse_cm|85IIFL25</stp>
        <stp>LTT</stp>
        <tr r="I134" s="1"/>
      </tp>
      <tp>
        <v>0</v>
        <stp/>
        <stp>bse_cm|98ICCL26</stp>
        <stp>ATP</stp>
        <tr r="K1412" s="1"/>
      </tp>
      <tp>
        <v>1036</v>
        <stp/>
        <stp>bse_cm|9MMFSL26</stp>
        <stp>Prev Close</stp>
        <tr r="P334" s="1"/>
      </tp>
      <tp>
        <v>0</v>
        <stp/>
        <stp>bse_cm|MFLII26B</stp>
        <stp>ATP</stp>
        <tr r="K1454" s="1"/>
      </tp>
      <tp>
        <v>0</v>
        <stp/>
        <stp>bse_cm|KFLZC26E</stp>
        <stp>ATP</stp>
        <tr r="K1293" s="1"/>
      </tp>
      <tp>
        <v>0</v>
        <stp/>
        <stp>bse_cm|MFLZC26E</stp>
        <stp>ATP</stp>
        <tr r="K1651" s="1"/>
      </tp>
      <tp>
        <v>0</v>
        <stp/>
        <stp>bse_cm|KFLZC26D</stp>
        <stp>ATP</stp>
        <tr r="K1294" s="1"/>
      </tp>
      <tp>
        <v>0</v>
        <stp/>
        <stp>bse_cm|MFLZC26D</stp>
        <stp>ATP</stp>
        <tr r="K1440" s="1"/>
      </tp>
      <tp>
        <v>0</v>
        <stp/>
        <stp>bse_cm|SFLZC26A</stp>
        <stp>ATP</stp>
        <tr r="K1713" s="1"/>
      </tp>
      <tp>
        <v>0</v>
        <stp/>
        <stp>bse_cm|KFLZC26A</stp>
        <stp>ATP</stp>
        <tr r="K1442" s="1"/>
      </tp>
      <tp>
        <v>0</v>
        <stp/>
        <stp>bse_cm|MFLZC26A</stp>
        <stp>ATP</stp>
        <tr r="K1715" s="1"/>
      </tp>
      <tp>
        <v>0</v>
        <stp/>
        <stp>bse_cm|KFLZC26C</stp>
        <stp>ATP</stp>
        <tr r="K1744" s="1"/>
      </tp>
      <tp>
        <v>0</v>
        <stp/>
        <stp>bse_cm|MFLZC26C</stp>
        <stp>ATP</stp>
        <tr r="K1350" s="1"/>
      </tp>
      <tp>
        <v>0</v>
        <stp/>
        <stp>bse_cm|KFLZC26B</stp>
        <stp>ATP</stp>
        <tr r="K1711" s="1"/>
      </tp>
      <tp>
        <v>0</v>
        <stp/>
        <stp>bse_cm|MFLZC26B</stp>
        <stp>ATP</stp>
        <tr r="K1272" s="1"/>
      </tp>
      <tp>
        <v>0</v>
        <stp/>
        <stp>bse_cm|9SCL25</stp>
        <stp>Open</stp>
        <tr r="M653" s="1"/>
      </tp>
      <tp>
        <v>0</v>
        <stp/>
        <stp>bse_cm|9SFL25</stp>
        <stp>Open</stp>
        <tr r="M340" s="1"/>
      </tp>
      <tp>
        <v>0</v>
        <stp/>
        <stp>bse_cm|105MML25</stp>
        <stp>Volume Traded Today</stp>
        <tr r="L1170" s="1"/>
      </tp>
      <tp>
        <v>0</v>
        <stp/>
        <stp>bse_cm|905MFL28</stp>
        <stp>Volume Traded Today</stp>
        <tr r="L207" s="1"/>
      </tp>
      <tp>
        <v>0</v>
        <stp/>
        <stp>bse_cm|905SCL25</stp>
        <stp>Volume Traded Today</stp>
        <tr r="L1060" s="1"/>
      </tp>
      <tp>
        <v>0</v>
        <stp/>
        <stp>bse_cm|905PEL26</stp>
        <stp>Volume Traded Today</stp>
        <tr r="L1518" s="1"/>
      </tp>
      <tp>
        <v>0</v>
        <stp/>
        <stp>bse_cm|905SCL27</stp>
        <stp>Volume Traded Today</stp>
        <tr r="L976" s="1"/>
      </tp>
      <tp>
        <v>0</v>
        <stp/>
        <stp>bse_cm|KFLZC25E</stp>
        <stp>ATP</stp>
        <tr r="K1530" s="1"/>
      </tp>
      <tp>
        <v>0</v>
        <stp/>
        <stp>bse_cm|KFLZC25D</stp>
        <stp>ATP</stp>
        <tr r="K1735" s="1"/>
      </tp>
      <tp>
        <v>0</v>
        <stp/>
        <stp>bse_cm|MFLZC25D</stp>
        <stp>ATP</stp>
        <tr r="K1520" s="1"/>
      </tp>
      <tp>
        <v>0</v>
        <stp/>
        <stp>bse_cm|SFLZC25A</stp>
        <stp>ATP</stp>
        <tr r="K1583" s="1"/>
      </tp>
      <tp>
        <v>0</v>
        <stp/>
        <stp>bse_cm|KFLZC25A</stp>
        <stp>ATP</stp>
        <tr r="K1738" s="1"/>
      </tp>
      <tp>
        <v>0</v>
        <stp/>
        <stp>bse_cm|MFLZC25A</stp>
        <stp>ATP</stp>
        <tr r="K1757" s="1"/>
      </tp>
      <tp>
        <v>0</v>
        <stp/>
        <stp>bse_cm|KFLZC25C</stp>
        <stp>ATP</stp>
        <tr r="K1295" s="1"/>
      </tp>
      <tp>
        <v>0</v>
        <stp/>
        <stp>bse_cm|MFLZC25C</stp>
        <stp>ATP</stp>
        <tr r="K1579" s="1"/>
      </tp>
      <tp>
        <v>0</v>
        <stp/>
        <stp>bse_cm|KFLZC25B</stp>
        <stp>ATP</stp>
        <tr r="K1739" s="1"/>
      </tp>
      <tp>
        <v>0</v>
        <stp/>
        <stp>bse_cm|MFLZC25B</stp>
        <stp>ATP</stp>
        <tr r="K1273" s="1"/>
      </tp>
      <tp>
        <v>1040</v>
        <stp/>
        <stp>nse_cm|898LTF29-N7</stp>
        <stp>Bid Rate</stp>
        <tr r="E385" s="1"/>
      </tp>
      <tp>
        <v>0</v>
        <stp/>
        <stp>bse_cm|95KAFL25</stp>
        <stp>LTP</stp>
        <tr r="H40" s="1"/>
      </tp>
      <tp t="s">
        <v>00:00:00</v>
        <stp/>
        <stp>bse_cm|95KAFL25</stp>
        <stp>LTT</stp>
        <tr r="I40" s="1"/>
      </tp>
      <tp>
        <v>0</v>
        <stp/>
        <stp>bse_cm|9PEL25</stp>
        <stp>Open</stp>
        <tr r="M315" s="1"/>
      </tp>
      <tp>
        <v>0</v>
        <stp/>
        <stp>bse_cm|9SFL26</stp>
        <stp>Open</stp>
        <tr r="M1066" s="1"/>
      </tp>
      <tp>
        <v>0</v>
        <stp/>
        <stp>bse_cm|104ECL29</stp>
        <stp>Volume Traded Today</stp>
        <tr r="L149" s="1"/>
      </tp>
      <tp>
        <v>175</v>
        <stp/>
        <stp>bse_cm|104ECL24</stp>
        <stp>Volume Traded Today</stp>
        <tr r="L38" s="1"/>
      </tp>
      <tp>
        <v>0</v>
        <stp/>
        <stp>bse_cm|KFLZC24D</stp>
        <stp>ATP</stp>
        <tr r="K1296" s="1"/>
      </tp>
      <tp>
        <v>0</v>
        <stp/>
        <stp>bse_cm|MFLZC24D</stp>
        <stp>ATP</stp>
        <tr r="K1550" s="1"/>
      </tp>
      <tp>
        <v>0</v>
        <stp/>
        <stp>bse_cm|MFLZC24C</stp>
        <stp>ATP</stp>
        <tr r="K1551" s="1"/>
      </tp>
      <tp t="s">
        <v>00:00:00</v>
        <stp/>
        <stp>bse_cm|925SCL28</stp>
        <stp>LTT</stp>
        <tr r="I940" s="1"/>
      </tp>
      <tp t="s">
        <v>00:00:00</v>
        <stp/>
        <stp>bse_cm|925SCL29</stp>
        <stp>LTT</stp>
        <tr r="I820" s="1"/>
      </tp>
      <tp>
        <v>0</v>
        <stp/>
        <stp>bse_cm|925SCL28</stp>
        <stp>LTP</stp>
        <tr r="H940" s="1"/>
      </tp>
      <tp>
        <v>0</v>
        <stp/>
        <stp>bse_cm|925SCL29</stp>
        <stp>LTP</stp>
        <tr r="H820" s="1"/>
      </tp>
      <tp>
        <v>0</v>
        <stp/>
        <stp>bse_cm|925SCL25</stp>
        <stp>LTP</stp>
        <tr r="H104" s="1"/>
      </tp>
      <tp>
        <v>0</v>
        <stp/>
        <stp>bse_cm|925SCL26</stp>
        <stp>LTP</stp>
        <tr r="H913" s="1"/>
      </tp>
      <tp>
        <v>0</v>
        <stp/>
        <stp>bse_cm|925SFL26</stp>
        <stp>LTP</stp>
        <tr r="H850" s="1"/>
      </tp>
      <tp>
        <v>0</v>
        <stp/>
        <stp>bse_cm|925SCL27</stp>
        <stp>LTP</stp>
        <tr r="H1414" s="1"/>
      </tp>
      <tp>
        <v>0</v>
        <stp/>
        <stp>bse_cm|925SFL27</stp>
        <stp>LTP</stp>
        <tr r="H849" s="1"/>
      </tp>
      <tp t="s">
        <v>00:00:00</v>
        <stp/>
        <stp>bse_cm|925SCL25</stp>
        <stp>LTT</stp>
        <tr r="I104" s="1"/>
      </tp>
      <tp t="s">
        <v>00:00:00</v>
        <stp/>
        <stp>bse_cm|925SCL26</stp>
        <stp>LTT</stp>
        <tr r="I913" s="1"/>
      </tp>
      <tp t="s">
        <v>00:00:00</v>
        <stp/>
        <stp>bse_cm|925SFL26</stp>
        <stp>LTT</stp>
        <tr r="I850" s="1"/>
      </tp>
      <tp t="s">
        <v>00:00:00</v>
        <stp/>
        <stp>bse_cm|925SCL27</stp>
        <stp>LTT</stp>
        <tr r="I1414" s="1"/>
      </tp>
      <tp t="s">
        <v>00:00:00</v>
        <stp/>
        <stp>bse_cm|925SFL27</stp>
        <stp>LTT</stp>
        <tr r="I849" s="1"/>
      </tp>
      <tp t="s">
        <v>00:00:00</v>
        <stp/>
        <stp>bse_cm|925MFL26</stp>
        <stp>LTT</stp>
        <tr r="I230" s="1"/>
      </tp>
      <tp t="s">
        <v>00:00:00</v>
        <stp/>
        <stp>bse_cm|825MFL26</stp>
        <stp>LTT</stp>
        <tr r="I418" s="1"/>
      </tp>
      <tp t="s">
        <v>00:00:00</v>
        <stp/>
        <stp>bse_cm|885LTF27</stp>
        <stp>LTT</stp>
        <tr r="I1008" s="1"/>
      </tp>
      <tp>
        <v>0</v>
        <stp/>
        <stp>bse_cm|825KFL25</stp>
        <stp>LTP</stp>
        <tr r="H252" s="1"/>
      </tp>
      <tp t="s">
        <v>00:00:00</v>
        <stp/>
        <stp>bse_cm|825MFL27</stp>
        <stp>LTT</stp>
        <tr r="I344" s="1"/>
      </tp>
      <tp t="s">
        <v>00:00:00</v>
        <stp/>
        <stp>bse_cm|725MFL24</stp>
        <stp>LTT</stp>
        <tr r="I446" s="1"/>
      </tp>
      <tp>
        <v>0</v>
        <stp/>
        <stp>bse_cm|925KFL26</stp>
        <stp>LTP</stp>
        <tr r="H775" s="1"/>
      </tp>
      <tp>
        <v>0</v>
        <stp/>
        <stp>bse_cm|925KFL27</stp>
        <stp>LTP</stp>
        <tr r="H313" s="1"/>
      </tp>
      <tp t="s">
        <v>00:00:00</v>
        <stp/>
        <stp>bse_cm|925MFL25</stp>
        <stp>LTT</stp>
        <tr r="I1466" s="1"/>
      </tp>
      <tp t="s">
        <v>00:00:00</v>
        <stp/>
        <stp>bse_cm|825MFL25</stp>
        <stp>LTT</stp>
        <tr r="I596" s="1"/>
      </tp>
      <tp>
        <v>0</v>
        <stp/>
        <stp>bse_cm|925MFL26</stp>
        <stp>LTP</stp>
        <tr r="H230" s="1"/>
      </tp>
      <tp>
        <v>0</v>
        <stp/>
        <stp>bse_cm|825MFL26</stp>
        <stp>LTP</stp>
        <tr r="H418" s="1"/>
      </tp>
      <tp>
        <v>0</v>
        <stp/>
        <stp>bse_cm|885LTF27</stp>
        <stp>LTP</stp>
        <tr r="H1008" s="1"/>
      </tp>
      <tp t="s">
        <v>00:00:00</v>
        <stp/>
        <stp>bse_cm|825KFL25</stp>
        <stp>LTT</stp>
        <tr r="I252" s="1"/>
      </tp>
      <tp>
        <v>0</v>
        <stp/>
        <stp>bse_cm|825MFL27</stp>
        <stp>LTP</stp>
        <tr r="H344" s="1"/>
      </tp>
      <tp>
        <v>0</v>
        <stp/>
        <stp>bse_cm|725MFL24</stp>
        <stp>LTP</stp>
        <tr r="H446" s="1"/>
      </tp>
      <tp t="s">
        <v>00:00:00</v>
        <stp/>
        <stp>bse_cm|925KFL26</stp>
        <stp>LTT</stp>
        <tr r="I775" s="1"/>
      </tp>
      <tp t="s">
        <v>00:00:00</v>
        <stp/>
        <stp>bse_cm|925KFL27</stp>
        <stp>LTT</stp>
        <tr r="I313" s="1"/>
      </tp>
      <tp>
        <v>0</v>
        <stp/>
        <stp>bse_cm|925MFL25</stp>
        <stp>LTP</stp>
        <tr r="H1466" s="1"/>
      </tp>
      <tp>
        <v>0</v>
        <stp/>
        <stp>bse_cm|825MFL25</stp>
        <stp>LTP</stp>
        <tr r="H596" s="1"/>
      </tp>
      <tp>
        <v>1000</v>
        <stp/>
        <stp>bse_cm|925AEL26</stp>
        <stp>LTP</stp>
        <tr r="H335" s="1"/>
      </tp>
      <tp>
        <v>836</v>
        <stp/>
        <stp>bse_cm|825MFL29</stp>
        <stp>LTP</stp>
        <tr r="H473" s="1"/>
      </tp>
      <tp t="s">
        <v>09:30:50</v>
        <stp/>
        <stp>bse_cm|925AEL26</stp>
        <stp>LTT</stp>
        <tr r="I335" s="1"/>
      </tp>
      <tp t="s">
        <v>10:12:12</v>
        <stp/>
        <stp>bse_cm|825MFL29</stp>
        <stp>LTT</stp>
        <tr r="I473" s="1"/>
      </tp>
      <tp>
        <v>0</v>
        <stp/>
        <stp>nse_cm|957IIFLS27-NA</stp>
        <stp>Volume Traded Today</stp>
        <tr r="L1495" s="1"/>
      </tp>
      <tp>
        <v>0</v>
        <stp/>
        <stp>bse_cm|884LTF29</stp>
        <stp>LTP</stp>
        <tr r="H1337" s="1"/>
      </tp>
      <tp t="s">
        <v>00:00:00</v>
        <stp/>
        <stp>bse_cm|884LTF29</stp>
        <stp>LTT</stp>
        <tr r="I1337" s="1"/>
      </tp>
      <tp t="s">
        <v>00:00:00</v>
        <stp/>
        <stp>bse_cm|927MFL26</stp>
        <stp>LTT</stp>
        <tr r="I1457" s="1"/>
      </tp>
      <tp>
        <v>0</v>
        <stp/>
        <stp>bse_cm|927MFL26</stp>
        <stp>LTP</stp>
        <tr r="H1457" s="1"/>
      </tp>
      <tp>
        <v>0</v>
        <stp/>
        <stp>bse_cm|966ONE29</stp>
        <stp>ATP</stp>
        <tr r="K281" s="1"/>
      </tp>
      <tp>
        <v>20</v>
        <stp/>
        <stp>bse_cm|84CIFCL28</stp>
        <stp>Ask Qty</stp>
        <tr r="G387" s="1"/>
      </tp>
      <tp>
        <v>0</v>
        <stp/>
        <stp>bse_cm|961ONE27</stp>
        <stp>ATP</stp>
        <tr r="K628" s="1"/>
      </tp>
      <tp>
        <v>0</v>
        <stp/>
        <stp>nse_cm|87SCL25-ZV</stp>
        <stp>% Change</stp>
        <tr r="J979" s="1"/>
      </tp>
      <tp t="s">
        <v>00:00:00</v>
        <stp/>
        <stp>bse_cm|920PEL28</stp>
        <stp>LTT</stp>
        <tr r="I440" s="1"/>
      </tp>
      <tp>
        <v>0</v>
        <stp/>
        <stp>bse_cm|920PEL28</stp>
        <stp>LTP</stp>
        <tr r="H440" s="1"/>
      </tp>
      <tp>
        <v>0</v>
        <stp/>
        <stp>bse_cm|820SCL25</stp>
        <stp>LTP</stp>
        <tr r="H925" s="1"/>
      </tp>
      <tp t="s">
        <v>00:00:00</v>
        <stp/>
        <stp>bse_cm|820SCL25</stp>
        <stp>LTT</stp>
        <tr r="I925" s="1"/>
      </tp>
      <tp>
        <v>-100</v>
        <stp/>
        <stp>bse_cm|0NHFL29</stp>
        <stp>% Change</stp>
        <tr r="J1035" s="1"/>
      </tp>
      <tp>
        <v>0</v>
        <stp/>
        <stp>bse_cm|852LTF27</stp>
        <stp>ATP</stp>
        <tr r="K983" s="1"/>
      </tp>
      <tp>
        <v>0</v>
        <stp/>
        <stp>bse_cm|IML23623</stp>
        <stp>Volume Traded Today</stp>
        <tr r="L1327" s="1"/>
      </tp>
      <tp>
        <v>1082</v>
        <stp/>
        <stp>bse_cm|935LTF29</stp>
        <stp>Prev Close</stp>
        <tr r="P396" s="1"/>
      </tp>
      <tp>
        <v>-100</v>
        <stp/>
        <stp>bse_cm|0NHFL27</stp>
        <stp>% Change</stp>
        <tr r="J1036" s="1"/>
      </tp>
      <tp>
        <v>935.3</v>
        <stp/>
        <stp>nse_cm|943ECL28-NJ</stp>
        <stp>Bid Rate</stp>
        <tr r="E94" s="1"/>
      </tp>
      <tp>
        <v>0</v>
        <stp/>
        <stp>bse_cm|9IIFL28A</stp>
        <stp>Volume Traded Today</stp>
        <tr r="L218" s="1"/>
      </tp>
      <tp>
        <v>-100</v>
        <stp/>
        <stp>bse_cm|0NHFL26</stp>
        <stp>% Change</stp>
        <tr r="J1037" s="1"/>
      </tp>
      <tp>
        <v>0</v>
        <stp/>
        <stp>bse_cm|9ICCL23A</stp>
        <stp>Volume Traded Today</stp>
        <tr r="L1434" s="1"/>
      </tp>
      <tp>
        <v>1002</v>
        <stp/>
        <stp>bse_cm|9ICCL23A</stp>
        <stp xml:space="preserve">Low </stp>
        <tr r="O1434" s="1"/>
      </tp>
      <tp>
        <v>1000</v>
        <stp/>
        <stp>nse_cm|1049DLS25A-Y5</stp>
        <stp>Face Value</stp>
        <tr r="Q44" s="1"/>
      </tp>
      <tp>
        <v>1058.1600000000001</v>
        <stp/>
        <stp>bse_cm|905LTF27</stp>
        <stp>Prev Close</stp>
        <tr r="P394" s="1"/>
      </tp>
      <tp>
        <v>5</v>
        <stp/>
        <stp>bse_cm|ICLFLZC29</stp>
        <stp>Ask Qty</stp>
        <tr r="G1613" s="1"/>
      </tp>
      <tp t="s">
        <v>00:00:00</v>
        <stp/>
        <stp>bse_cm|829PFL29</stp>
        <stp>LTT</stp>
        <tr r="I930" s="1"/>
      </tp>
      <tp>
        <v>0</v>
        <stp/>
        <stp>bse_cm|829PFL29</stp>
        <stp>LTP</stp>
        <tr r="H930" s="1"/>
      </tp>
      <tp>
        <v>0</v>
        <stp/>
        <stp>nse_cm|1050SCFL31-Z2</stp>
        <stp>ATP</stp>
        <tr r="K868" s="1"/>
      </tp>
      <tp>
        <v>0</v>
        <stp/>
        <stp>bse_cm|709REC30</stp>
        <stp>ATP</stp>
        <tr r="K564" s="1"/>
      </tp>
      <tp>
        <v>0</v>
        <stp/>
        <stp>nse_cm|89SCL24A-ZM</stp>
        <stp xml:space="preserve">Low </stp>
        <tr r="O970" s="1"/>
      </tp>
      <tp>
        <v>0</v>
        <stp/>
        <stp>bse_cm|97EFSL31</stp>
        <stp>Volume Traded Today</stp>
        <tr r="L635" s="1"/>
      </tp>
      <tp>
        <v>0</v>
        <stp/>
        <stp>nse_cm|769IGT28-NH</stp>
        <stp>Ask Rate</stp>
        <tr r="F1487" s="1"/>
      </tp>
      <tp>
        <v>-100</v>
        <stp/>
        <stp>nse_cm|89SCL24-ZO</stp>
        <stp>% Change</stp>
        <tr r="J972" s="1"/>
      </tp>
      <tp t="s">
        <v>SCLZC26A-NF</v>
        <stp/>
        <stp>nse_cm|SCLZC26A-NF</stp>
        <stp>Trading Symbol</stp>
        <tr r="B993" s="1"/>
      </tp>
      <tp t="s">
        <v>SCLZC25A-AS</v>
        <stp/>
        <stp>nse_cm|SCLZC25A-AS</stp>
        <stp>Trading Symbol</stp>
        <tr r="B1232" s="1"/>
      </tp>
      <tp t="s">
        <v>SFLZC26A-ZC</v>
        <stp/>
        <stp>nse_cm|SFLZC26A-ZC</stp>
        <stp>Trading Symbol</stp>
        <tr r="B1716" s="1"/>
      </tp>
      <tp t="s">
        <v>SFLZC25A-ZK</v>
        <stp/>
        <stp>nse_cm|SFLZC25A-ZK</stp>
        <stp>Trading Symbol</stp>
        <tr r="B1582" s="1"/>
      </tp>
      <tp t="s">
        <v>NSE</v>
        <stp/>
        <stp>nse_cm|SCLZC26F-Y9</stp>
        <stp>Exchange</stp>
        <tr r="C800" s="1"/>
      </tp>
      <tp>
        <v>1000</v>
        <stp/>
        <stp>bse_cm|95NIDO26</stp>
        <stp>Face Value</stp>
        <tr r="Q670" s="1"/>
      </tp>
      <tp>
        <v>1012.71</v>
        <stp/>
        <stp>nse_cm|1050ISFL28-N5</stp>
        <stp>ATP</stp>
        <tr r="K1591" s="1"/>
      </tp>
      <tp>
        <v>1000</v>
        <stp/>
        <stp>nse_cm|888IHFL25C-NR</stp>
        <stp>Face Value</stp>
        <tr r="Q1426" s="1"/>
      </tp>
      <tp>
        <v>0</v>
        <stp/>
        <stp>nse_cm|1050IIFL29-ND</stp>
        <stp>ATP</stp>
        <tr r="K585" s="1"/>
      </tp>
      <tp>
        <v>1850</v>
        <stp/>
        <stp>bse_cm|MMFSL26A</stp>
        <stp xml:space="preserve">Low </stp>
        <tr r="O1722" s="1"/>
      </tp>
      <tp>
        <v>0</v>
        <stp/>
        <stp>nse_cm|990SCL27-YT</stp>
        <stp>Ask Rate</stp>
        <tr r="F1024" s="1"/>
      </tp>
      <tp t="s">
        <v>NSE</v>
        <stp/>
        <stp>nse_cm|SCLZC25E-Y4</stp>
        <stp>Exchange</stp>
        <tr r="C787" s="1"/>
      </tp>
      <tp>
        <v>0</v>
        <stp/>
        <stp>nse_cm|1003ICCL28-NX</stp>
        <stp>ATP</stp>
        <tr r="K553" s="1"/>
      </tp>
      <tp>
        <v>0</v>
        <stp/>
        <stp>nse_cm|88SCL25-ZG</stp>
        <stp>% Change</stp>
        <tr r="J960" s="1"/>
      </tp>
      <tp t="s">
        <v>NSE</v>
        <stp/>
        <stp>nse_cm|SCLZC25F-Y5</stp>
        <stp>Exchange</stp>
        <tr r="C1512" s="1"/>
      </tp>
      <tp>
        <v>0</v>
        <stp/>
        <stp>nse_cm|858HUDCO29-NC</stp>
        <stp>Volume Traded Today</stp>
        <tr r="L1636" s="1"/>
      </tp>
      <tp>
        <v>0</v>
        <stp/>
        <stp>nse_cm|1075SCL33B-NW</stp>
        <stp>Volume Traded Today</stp>
        <tr r="L889" s="1"/>
      </tp>
      <tp>
        <v>0</v>
        <stp/>
        <stp>nse_cm|1075SCL33A-N2</stp>
        <stp>Volume Traded Today</stp>
        <tr r="L630" s="1"/>
      </tp>
      <tp t="s">
        <v>INE051307AY0</v>
        <stp/>
        <stp>bse_cm|CCIL14824C</stp>
        <stp>Isin code</stp>
        <tr r="R751" s="1"/>
      </tp>
      <tp t="s">
        <v>INE403Q07ER7</v>
        <stp/>
        <stp>bse_cm|KFL070824B</stp>
        <stp>Isin code</stp>
        <tr r="R1312" s="1"/>
      </tp>
      <tp t="s">
        <v>INE423A07377</v>
        <stp/>
        <stp>bse_cm|AEL120924A</stp>
        <stp>Isin code</stp>
        <tr r="R1524" s="1"/>
      </tp>
      <tp>
        <v>980</v>
        <stp/>
        <stp>nse_cm|1049DLSL25-NX</stp>
        <stp>Bid Rate</stp>
        <tr r="E43" s="1"/>
      </tp>
      <tp t="s">
        <v>INE549K07DT8</v>
        <stp/>
        <stp>bse_cm|MFCL30424B</stp>
        <stp>Isin code</stp>
        <tr r="R1282" s="1"/>
      </tp>
      <tp t="s">
        <v>10NFL25</v>
        <stp/>
        <stp>nse_cm|10NFL25-N9</stp>
        <stp>Symbol</stp>
        <tr r="A345" s="1"/>
      </tp>
      <tp t="s">
        <v>1025NFL25-N5</v>
        <stp/>
        <stp>nse_cm|1025NFL25-N5</stp>
        <stp>Trading Symbol</stp>
        <tr r="B1488" s="1"/>
      </tp>
      <tp t="s">
        <v>1075NFL25-N6</v>
        <stp/>
        <stp>nse_cm|1075NFL25-N6</stp>
        <stp>Trading Symbol</stp>
        <tr r="B1438" s="1"/>
      </tp>
      <tp t="s">
        <v>INE121A07RG4</v>
        <stp/>
        <stp>bse_cm|965IHFL25D</stp>
        <stp>Isin code</stp>
        <tr r="R1432" s="1"/>
      </tp>
      <tp t="s">
        <v>INE101Q07771</v>
        <stp/>
        <stp>bse_cm|105MMFL25B</stp>
        <stp>Isin code</stp>
        <tr r="R1390" s="1"/>
      </tp>
      <tp t="s">
        <v>00:00:00</v>
        <stp/>
        <stp>bse_cm|1003SCFL31</stp>
        <stp>LTT</stp>
        <tr r="I1076" s="1"/>
      </tp>
      <tp>
        <v>0</v>
        <stp/>
        <stp>bse_cm|1003SCFL31</stp>
        <stp>LTP</stp>
        <tr r="H1076" s="1"/>
      </tp>
      <tp t="s">
        <v>INE244L07333</v>
        <stp/>
        <stp>bse_cm|966ICCL25A</stp>
        <stp>Isin code</stp>
        <tr r="R846" s="1"/>
      </tp>
      <tp t="s">
        <v>INE244L07564</v>
        <stp/>
        <stp>bse_cm|866ICCL23A</stp>
        <stp>Isin code</stp>
        <tr r="R1075" s="1"/>
      </tp>
      <tp t="s">
        <v>INE403Q07AW5</v>
        <stp/>
        <stp>bse_cm|1025KFL26B</stp>
        <stp>Isin code</stp>
        <tr r="R1422" s="1"/>
      </tp>
      <tp t="s">
        <v>9TCAP28</v>
        <stp/>
        <stp>nse_cm|9TCAP28-N9</stp>
        <stp>Symbol</stp>
        <tr r="A544" s="1"/>
      </tp>
      <tp t="s">
        <v>925SFCL25-AC</v>
        <stp/>
        <stp>nse_cm|925SFCL25-AC</stp>
        <stp>Trading Symbol</stp>
        <tr r="B604" s="1"/>
      </tp>
      <tp t="s">
        <v>INE05F407BH3</v>
        <stp/>
        <stp>bse_cm|MML26</stp>
        <stp>Isin code</stp>
        <tr r="R1410" s="1"/>
      </tp>
      <tp t="s">
        <v>00:00:00</v>
        <stp/>
        <stp>bse_cm|950MFCL27D</stp>
        <stp>LTT</stp>
        <tr r="I1496" s="1"/>
      </tp>
      <tp>
        <v>0</v>
        <stp/>
        <stp>bse_cm|875MFCL26C</stp>
        <stp>LTP</stp>
        <tr r="H309" s="1"/>
      </tp>
      <tp>
        <v>0</v>
        <stp/>
        <stp>bse_cm|950MFCL27D</stp>
        <stp>LTP</stp>
        <tr r="H1496" s="1"/>
      </tp>
      <tp t="s">
        <v>00:00:00</v>
        <stp/>
        <stp>bse_cm|875MFCL26C</stp>
        <stp>LTT</stp>
        <tr r="I309" s="1"/>
      </tp>
      <tp t="s">
        <v>1175ICLF25</v>
        <stp/>
        <stp>bse_cm|1175ICLF25</stp>
        <stp>Symbol</stp>
        <tr r="A1222" s="1"/>
      </tp>
      <tp>
        <v>0</v>
        <stp/>
        <stp>bse_cm|105MMFL25A</stp>
        <stp>LTP</stp>
        <tr r="H1364" s="1"/>
      </tp>
      <tp>
        <v>0</v>
        <stp/>
        <stp>bse_cm|105MMFL25B</stp>
        <stp>LTP</stp>
        <tr r="H1390" s="1"/>
      </tp>
      <tp>
        <v>0</v>
        <stp/>
        <stp>bse_cm|105MMFL25C</stp>
        <stp>LTP</stp>
        <tr r="H480" s="1"/>
      </tp>
      <tp t="s">
        <v>00:00:00</v>
        <stp/>
        <stp>bse_cm|105MMFL25A</stp>
        <stp>LTT</stp>
        <tr r="I1364" s="1"/>
      </tp>
      <tp t="s">
        <v>00:00:00</v>
        <stp/>
        <stp>bse_cm|105MMFL25B</stp>
        <stp>LTT</stp>
        <tr r="I1390" s="1"/>
      </tp>
      <tp t="s">
        <v>00:00:00</v>
        <stp/>
        <stp>bse_cm|105MMFL25C</stp>
        <stp>LTT</stp>
        <tr r="I480" s="1"/>
      </tp>
      <tp t="s">
        <v>00:00:00</v>
        <stp/>
        <stp>bse_cm|1003ICCL28</stp>
        <stp>LTT</stp>
        <tr r="I655" s="1"/>
      </tp>
      <tp>
        <v>0</v>
        <stp/>
        <stp>bse_cm|1003ICCL28</stp>
        <stp>LTP</stp>
        <tr r="H655" s="1"/>
      </tp>
      <tp t="s">
        <v>00:00:00</v>
        <stp/>
        <stp>bse_cm|1003IIFL29</stp>
        <stp>LTT</stp>
        <tr r="I1078" s="1"/>
      </tp>
      <tp>
        <v>0</v>
        <stp/>
        <stp>bse_cm|1003IIFL29</stp>
        <stp>LTP</stp>
        <tr r="H1078" s="1"/>
      </tp>
      <tp t="s">
        <v>00:00:00</v>
        <stp/>
        <stp>bse_cm|1003ISFL28</stp>
        <stp>LTT</stp>
        <tr r="I1456" s="1"/>
      </tp>
      <tp>
        <v>0</v>
        <stp/>
        <stp>bse_cm|1003ISFL28</stp>
        <stp>LTP</stp>
        <tr r="H1456" s="1"/>
      </tp>
      <tp t="s">
        <v>INE148I07SM6</v>
        <stp/>
        <stp>nse_cm|1050SCFL31-Z2</stp>
        <stp>Isin code</stp>
        <tr r="R868" s="1"/>
      </tp>
      <tp t="s">
        <v>967EFSL28D</v>
        <stp/>
        <stp>bse_cm|967EFSL28D</stp>
        <stp>Symbol</stp>
        <tr r="A168" s="1"/>
      </tp>
      <tp t="s">
        <v>967EFSL28A</v>
        <stp/>
        <stp>bse_cm|967EFSL28A</stp>
        <stp>Symbol</stp>
        <tr r="A172" s="1"/>
      </tp>
      <tp t="s">
        <v>967EFSL29A</v>
        <stp/>
        <stp>bse_cm|967EFSL29A</stp>
        <stp>Symbol</stp>
        <tr r="A180" s="1"/>
      </tp>
      <tp t="s">
        <v>980IFSL25-N5</v>
        <stp/>
        <stp>nse_cm|980IFSL25-N5</stp>
        <stp>Trading Symbol</stp>
        <tr r="B476" s="1"/>
      </tp>
      <tp t="s">
        <v>00:00:00</v>
        <stp/>
        <stp>bse_cm|1050NIDO29</stp>
        <stp>LTT</stp>
        <tr r="I1124" s="1"/>
      </tp>
      <tp t="s">
        <v>00:00:00</v>
        <stp/>
        <stp>bse_cm|1010NIDO28</stp>
        <stp>LTT</stp>
        <tr r="I199" s="1"/>
      </tp>
      <tp t="s">
        <v>00:00:00</v>
        <stp/>
        <stp>bse_cm|1003NHFL29</stp>
        <stp>LTT</stp>
        <tr r="I605" s="1"/>
      </tp>
      <tp>
        <v>0</v>
        <stp/>
        <stp>bse_cm|1050NIDO29</stp>
        <stp>LTP</stp>
        <tr r="H1124" s="1"/>
      </tp>
      <tp>
        <v>0</v>
        <stp/>
        <stp>bse_cm|1010NIDO28</stp>
        <stp>LTP</stp>
        <tr r="H199" s="1"/>
      </tp>
      <tp>
        <v>0</v>
        <stp/>
        <stp>bse_cm|1003NHFL29</stp>
        <stp>LTP</stp>
        <tr r="H605" s="1"/>
      </tp>
      <tp>
        <v>-100</v>
        <stp/>
        <stp>bse_cm|875KFL26A</stp>
        <stp>% Change</stp>
        <tr r="J1155" s="1"/>
      </tp>
      <tp>
        <v>-100</v>
        <stp/>
        <stp>bse_cm|925KFL26A</stp>
        <stp>% Change</stp>
        <tr r="J1479" s="1"/>
      </tp>
      <tp t="s">
        <v>INE532F07DY4</v>
        <stp/>
        <stp>bse_cm|1045EFS33B</stp>
        <stp>Isin code</stp>
        <tr r="R117" s="1"/>
      </tp>
      <tp>
        <v>0</v>
        <stp/>
        <stp>bse_cm|CCIL110324</stp>
        <stp>LTP</stp>
        <tr r="H754" s="1"/>
      </tp>
      <tp t="s">
        <v>00:00:00</v>
        <stp/>
        <stp>bse_cm|CCIL110324</stp>
        <stp>LTT</stp>
        <tr r="I754" s="1"/>
      </tp>
      <tp t="s">
        <v>945IFSL25-N4</v>
        <stp/>
        <stp>nse_cm|945IFSL25-N4</stp>
        <stp>Trading Symbol</stp>
        <tr r="B453" s="1"/>
      </tp>
      <tp t="s">
        <v>87LTF27</v>
        <stp/>
        <stp>nse_cm|87LTF27-NH</stp>
        <stp>Symbol</stp>
        <tr r="A407" s="1"/>
      </tp>
      <tp t="s">
        <v>INE403Q07DD9</v>
        <stp/>
        <stp>bse_cm|KFL30</stp>
        <stp>Isin code</stp>
        <tr r="R1298" s="1"/>
      </tp>
      <tp t="s">
        <v>INE414G07ID6</v>
        <stp/>
        <stp>bse_cm|MFL26</stp>
        <stp>Isin code</stp>
        <tr r="R1666" s="1"/>
      </tp>
      <tp t="s">
        <v>00:00:00</v>
        <stp/>
        <stp>bse_cm|975MFCL28E</stp>
        <stp>LTT</stp>
        <tr r="I303" s="1"/>
      </tp>
      <tp>
        <v>0</v>
        <stp/>
        <stp>bse_cm|975MFCL28E</stp>
        <stp>LTP</stp>
        <tr r="H303" s="1"/>
      </tp>
      <tp>
        <v>-100</v>
        <stp/>
        <stp>bse_cm|91MOFSL27</stp>
        <stp>% Change</stp>
        <tr r="J1558" s="1"/>
      </tp>
      <tp t="s">
        <v>INE148I07PT7</v>
        <stp/>
        <stp>nse_cm|1075SCL33A-N2</stp>
        <stp>Isin code</stp>
        <tr r="R630" s="1"/>
      </tp>
      <tp t="e">
        <v>#N/A</v>
        <stp/>
        <stp>bse_cm|1075IML24A</stp>
        <stp>Symbol</stp>
        <tr r="A32" s="1"/>
      </tp>
      <tp t="s">
        <v>1075SCL33A</v>
        <stp/>
        <stp>bse_cm|1075SCL33A</stp>
        <stp>Symbol</stp>
        <tr r="A629" s="1"/>
      </tp>
      <tp t="s">
        <v>1075SCL33B</v>
        <stp/>
        <stp>bse_cm|1075SCL33B</stp>
        <stp>Symbol</stp>
        <tr r="A706" s="1"/>
      </tp>
      <tp>
        <v>-100</v>
        <stp/>
        <stp>bse_cm|735NHAI31</stp>
        <stp>% Change</stp>
        <tr r="J565" s="1"/>
      </tp>
      <tp>
        <v>-100</v>
        <stp/>
        <stp>bse_cm|769NHAI31</stp>
        <stp>% Change</stp>
        <tr r="J465" s="1"/>
      </tp>
      <tp t="s">
        <v>NSE</v>
        <stp/>
        <stp>nse_cm|1003SCFL31-Z4</stp>
        <stp>Exchange</stp>
        <tr r="C878" s="1"/>
      </tp>
      <tp>
        <v>8</v>
        <stp/>
        <stp>bse_cm|1045NIDO33</stp>
        <stp>Volume Traded Today</stp>
        <tr r="L71" s="1"/>
      </tp>
      <tp>
        <v>0</v>
        <stp/>
        <stp>bse_cm|1075NIDO34</stp>
        <stp>Volume Traded Today</stp>
        <tr r="L1021" s="1"/>
      </tp>
      <tp>
        <v>10</v>
        <stp/>
        <stp>bse_cm|1026NHFL34</stp>
        <stp>Volume Traded Today</stp>
        <tr r="L155" s="1"/>
      </tp>
      <tp>
        <v>-100</v>
        <stp/>
        <stp>bse_cm|970NIDO32</stp>
        <stp>% Change</stp>
        <tr r="J67" s="1"/>
      </tp>
      <tp>
        <v>-100</v>
        <stp/>
        <stp>bse_cm|930NIDO32</stp>
        <stp>% Change</stp>
        <tr r="J76" s="1"/>
      </tp>
      <tp>
        <v>-100</v>
        <stp/>
        <stp>bse_cm|953NWIL32</stp>
        <stp>% Change</stp>
        <tr r="J226" s="1"/>
      </tp>
      <tp>
        <v>-100</v>
        <stp/>
        <stp>bse_cm|995NWIL32</stp>
        <stp>% Change</stp>
        <tr r="J1023" s="1"/>
      </tp>
      <tp t="s">
        <v>957IIFLS27</v>
        <stp/>
        <stp>bse_cm|957IIFLS27</stp>
        <stp>Symbol</stp>
        <tr r="A687" s="1"/>
      </tp>
      <tp>
        <v>999</v>
        <stp/>
        <stp>nse_cm|1025SCL34A-ZT</stp>
        <stp xml:space="preserve">Low </stp>
        <tr r="O171" s="1"/>
      </tp>
      <tp>
        <v>1056.7</v>
        <stp/>
        <stp>bse_cm|11DLSL25</stp>
        <stp>High</stp>
        <tr r="N1539" s="1"/>
      </tp>
      <tp>
        <v>2067.56</v>
        <stp/>
        <stp>bse_cm|NIDOZC26</stp>
        <stp>High</stp>
        <tr r="N27" s="1"/>
      </tp>
      <tp>
        <v>9</v>
        <stp/>
        <stp>bse_cm|82IGT31</stp>
        <stp>Bid Qty</stp>
        <tr r="D383" s="1"/>
      </tp>
      <tp>
        <v>0</v>
        <stp/>
        <stp>nse_cm|1025SCL33A-N1</stp>
        <stp>LTP</stp>
        <tr r="H834" s="1"/>
      </tp>
      <tp t="s">
        <v/>
        <stp/>
        <stp>nse_cm|1025SCL33A-N1</stp>
        <stp>LTT</stp>
        <tr r="I834" s="1"/>
      </tp>
      <tp>
        <v>1000</v>
        <stp/>
        <stp>bse_cm|IIFLHFZC27</stp>
        <stp>Face Value</stp>
        <tr r="Q1516" s="1"/>
      </tp>
      <tp t="s">
        <v>INE342T07387</v>
        <stp/>
        <stp>nse_cm|1050NFL26-N7</stp>
        <stp>Isin code</stp>
        <tr r="R259" s="1"/>
      </tp>
      <tp>
        <v>0</v>
        <stp/>
        <stp>nse_cm|87SCL27-Z6</stp>
        <stp>% Change</stp>
        <tr r="J950" s="1"/>
      </tp>
      <tp>
        <v>1241.02</v>
        <stp/>
        <stp>bse_cm|MFL29A</stp>
        <stp>Bid Rate</stp>
        <tr r="E1380" s="1"/>
      </tp>
      <tp>
        <v>1020.66</v>
        <stp/>
        <stp>nse_cm|840CIFCL28-N4</stp>
        <stp>ATP</stp>
        <tr r="K556" s="1"/>
      </tp>
      <tp>
        <v>990</v>
        <stp/>
        <stp>bse_cm|10EFSL34</stp>
        <stp>High</stp>
        <tr r="N164" s="1"/>
      </tp>
      <tp>
        <v>981</v>
        <stp/>
        <stp>bse_cm|11EFSL34</stp>
        <stp>High</stp>
        <tr r="N1429" s="1"/>
      </tp>
      <tp>
        <v>0</v>
        <stp/>
        <stp>nse_cm|860CIFCL28-NG</stp>
        <stp>ATP</stp>
        <tr r="K647" s="1"/>
      </tp>
      <tp>
        <v>0</v>
        <stp/>
        <stp>nse_cm|850CIFCL26-NE</stp>
        <stp>ATP</stp>
        <tr r="K450" s="1"/>
      </tp>
      <tp t="s">
        <v>NSE</v>
        <stp/>
        <stp>nse_cm|SCLZC26G-YA</stp>
        <stp>Exchange</stp>
        <tr r="C815" s="1"/>
      </tp>
      <tp t="s">
        <v>INE741K07579</v>
        <stp/>
        <stp>nse_cm|970CAGL28-ND</stp>
        <stp>Isin code</stp>
        <tr r="R306" s="1"/>
      </tp>
      <tp>
        <v>950</v>
        <stp/>
        <stp>bse_cm|10EFSL33</stp>
        <stp>High</stp>
        <tr r="N150" s="1"/>
      </tp>
      <tp>
        <v>1000</v>
        <stp/>
        <stp>bse_cm|12IML26A</stp>
        <stp>Face Value</stp>
        <tr r="Q1212" s="1"/>
      </tp>
      <tp>
        <v>800</v>
        <stp/>
        <stp>bse_cm|10SCL30A</stp>
        <stp>Face Value</stp>
        <tr r="Q444" s="1"/>
      </tp>
      <tp>
        <v>1000</v>
        <stp/>
        <stp>bse_cm|10SCL31A</stp>
        <stp>Face Value</stp>
        <tr r="Q865" s="1"/>
      </tp>
      <tp t="s">
        <v>INE244L07408</v>
        <stp/>
        <stp>nse_cm|940ICCL28-NN</stp>
        <stp>Isin code</stp>
        <tr r="R779" s="1"/>
      </tp>
      <tp>
        <v>895</v>
        <stp/>
        <stp>bse_cm|93EFSL31</stp>
        <stp>High</stp>
        <tr r="N83" s="1"/>
      </tp>
      <tp>
        <v>940</v>
        <stp/>
        <stp>bse_cm|97EFSL31</stp>
        <stp>High</stp>
        <tr r="N635" s="1"/>
      </tp>
      <tp>
        <v>1000</v>
        <stp/>
        <stp>bse_cm|10KFL28A</stp>
        <stp>Face Value</stp>
        <tr r="Q1423" s="1"/>
      </tp>
      <tp>
        <v>1000</v>
        <stp/>
        <stp>bse_cm|10MFL24B</stp>
        <stp>Face Value</stp>
        <tr r="Q185" s="1"/>
      </tp>
      <tp>
        <v>1000</v>
        <stp/>
        <stp>bse_cm|10KFL27A</stp>
        <stp>Face Value</stp>
        <tr r="Q1092" s="1"/>
      </tp>
      <tp>
        <v>1000</v>
        <stp/>
        <stp>bse_cm|10KFL24D</stp>
        <stp>Face Value</stp>
        <tr r="Q1424" s="1"/>
      </tp>
      <tp>
        <v>721</v>
        <stp/>
        <stp>nse_cm|948SCL26-N9</stp>
        <stp>Bid Rate</stp>
        <tr r="E1632" s="1"/>
      </tp>
      <tp t="s">
        <v>00:00:00</v>
        <stp/>
        <stp>bse_cm|92EFSL26</stp>
        <stp>LTT</stp>
        <tr r="I186" s="1"/>
      </tp>
      <tp>
        <v>0</v>
        <stp/>
        <stp>bse_cm|92EFSL26</stp>
        <stp>LTP</stp>
        <tr r="H186" s="1"/>
      </tp>
      <tp>
        <v>0</v>
        <stp/>
        <stp>bse_cm|879SCL26</stp>
        <stp>Volume Traded Today</stp>
        <tr r="L1351" s="1"/>
      </tp>
      <tp>
        <v>-100</v>
        <stp/>
        <stp>bse_cm|NIDO25A</stp>
        <stp>% Change</stp>
        <tr r="J1245" s="1"/>
      </tp>
      <tp>
        <v>1000.01</v>
        <stp/>
        <stp>nse_cm|801TCH25-N4</stp>
        <stp>Bid Rate</stp>
        <tr r="E493" s="1"/>
      </tp>
      <tp>
        <v>0</v>
        <stp/>
        <stp>nse_cm|940SCL26-N6</stp>
        <stp>Bid Rate</stp>
        <tr r="E921" s="1"/>
      </tp>
      <tp>
        <v>875.2</v>
        <stp/>
        <stp>nse_cm|801TCH28-N7</stp>
        <stp>Bid Rate</stp>
        <tr r="E1181" s="1"/>
      </tp>
      <tp>
        <v>999</v>
        <stp/>
        <stp>nse_cm|1025SCL34A-ZT</stp>
        <stp>LTP</stp>
        <tr r="H171" s="1"/>
      </tp>
      <tp t="s">
        <v/>
        <stp/>
        <stp>nse_cm|1025SCL34A-ZT</stp>
        <stp>LTT</stp>
        <tr r="I171" s="1"/>
      </tp>
      <tp>
        <v>0</v>
        <stp/>
        <stp>nse_cm|875PCHFL26-N8</stp>
        <stp>ATP</stp>
        <tr r="K271" s="1"/>
      </tp>
      <tp>
        <v>0</v>
        <stp/>
        <stp>nse_cm|875PCHFL31-N9</stp>
        <stp>ATP</stp>
        <tr r="K1012" s="1"/>
      </tp>
      <tp t="s">
        <v>INE053F07900</v>
        <stp/>
        <stp>nse_cm|764IRFC31-NO</stp>
        <stp>Isin code</stp>
        <tr r="R468" s="1"/>
      </tp>
      <tp>
        <v>0</v>
        <stp/>
        <stp>bse_cm|971SCL29</stp>
        <stp>Volume Traded Today</stp>
        <tr r="L521" s="1"/>
      </tp>
      <tp>
        <v>0</v>
        <stp/>
        <stp>bse_cm|971SCL28</stp>
        <stp>Volume Traded Today</stp>
        <tr r="L1028" s="1"/>
      </tp>
      <tp>
        <v>0</v>
        <stp/>
        <stp>bse_cm|870MFL27</stp>
        <stp>Volume Traded Today</stp>
        <tr r="L399" s="1"/>
      </tp>
      <tp t="s">
        <v>INE583D07315</v>
        <stp/>
        <stp>nse_cm|1050UCL25-N7</stp>
        <stp>Isin code</stp>
        <tr r="R201" s="1"/>
      </tp>
      <tp t="s">
        <v>00:00:00</v>
        <stp/>
        <stp>bse_cm|92ICCL28</stp>
        <stp>LTT</stp>
        <tr r="I202" s="1"/>
      </tp>
      <tp>
        <v>0</v>
        <stp/>
        <stp>bse_cm|92ICCL28</stp>
        <stp>LTP</stp>
        <tr r="H202" s="1"/>
      </tp>
      <tp>
        <v>0</v>
        <stp/>
        <stp>bse_cm|12ICFL25</stp>
        <stp>LTP</stp>
        <tr r="H1213" s="1"/>
      </tp>
      <tp t="s">
        <v>00:00:00</v>
        <stp/>
        <stp>bse_cm|12ICFL25</stp>
        <stp>LTT</stp>
        <tr r="I1213" s="1"/>
      </tp>
      <tp>
        <v>0</v>
        <stp/>
        <stp>bse_cm|775MFL27</stp>
        <stp>Volume Traded Today</stp>
        <tr r="L694" s="1"/>
      </tp>
      <tp>
        <v>0</v>
        <stp/>
        <stp>bse_cm|875MFL26</stp>
        <stp>Volume Traded Today</stp>
        <tr r="L161" s="1"/>
      </tp>
      <tp>
        <v>0</v>
        <stp/>
        <stp>bse_cm|975NFL25</stp>
        <stp>Volume Traded Today</stp>
        <tr r="L623" s="1"/>
      </tp>
      <tp>
        <v>500</v>
        <stp/>
        <stp>bse_cm|775MFL26</stp>
        <stp>Volume Traded Today</stp>
        <tr r="L328" s="1"/>
      </tp>
      <tp>
        <v>0</v>
        <stp/>
        <stp>bse_cm|975MFL25</stp>
        <stp>Volume Traded Today</stp>
        <tr r="L855" s="1"/>
      </tp>
      <tp>
        <v>0</v>
        <stp/>
        <stp>bse_cm|775MFL25</stp>
        <stp>Volume Traded Today</stp>
        <tr r="L1369" s="1"/>
      </tp>
      <tp>
        <v>0</v>
        <stp/>
        <stp>bse_cm|975MML25</stp>
        <stp>Volume Traded Today</stp>
        <tr r="L852" s="1"/>
      </tp>
      <tp>
        <v>0</v>
        <stp/>
        <stp>bse_cm|875KFL25</stp>
        <stp>Volume Traded Today</stp>
        <tr r="L50" s="1"/>
      </tp>
      <tp>
        <v>0</v>
        <stp/>
        <stp>bse_cm|975IML26</stp>
        <stp>Volume Traded Today</stp>
        <tr r="L646" s="1"/>
      </tp>
      <tp>
        <v>0</v>
        <stp/>
        <stp>bse_cm|875KFL26</stp>
        <stp>Volume Traded Today</stp>
        <tr r="L1156" s="1"/>
      </tp>
      <tp>
        <v>0</v>
        <stp/>
        <stp>bse_cm|975MFL29</stp>
        <stp>Volume Traded Today</stp>
        <tr r="L683" s="1"/>
      </tp>
      <tp>
        <v>0</v>
        <stp/>
        <stp>bse_cm|875MFL28</stp>
        <stp>Volume Traded Today</stp>
        <tr r="L689" s="1"/>
      </tp>
      <tp>
        <v>0</v>
        <stp/>
        <stp>bse_cm|975SCL28</stp>
        <stp>Volume Traded Today</stp>
        <tr r="L1485" s="1"/>
      </tp>
      <tp>
        <v>0</v>
        <stp/>
        <stp>bse_cm|875SFL25</stp>
        <stp>Volume Traded Today</stp>
        <tr r="L936" s="1"/>
      </tp>
      <tp>
        <v>0</v>
        <stp/>
        <stp>bse_cm|875SCL27</stp>
        <stp>Volume Traded Today</stp>
        <tr r="L722" s="1"/>
      </tp>
      <tp>
        <v>0</v>
        <stp/>
        <stp>bse_cm|875SFL27</stp>
        <stp>Volume Traded Today</stp>
        <tr r="L578" s="1"/>
      </tp>
      <tp t="s">
        <v>00:00:00</v>
        <stp/>
        <stp>bse_cm|935SCL28</stp>
        <stp>LTT</stp>
        <tr r="I284" s="1"/>
      </tp>
      <tp>
        <v>0</v>
        <stp/>
        <stp>bse_cm|935SCL28</stp>
        <stp>LTP</stp>
        <tr r="H284" s="1"/>
      </tp>
      <tp t="s">
        <v>00:00:00</v>
        <stp/>
        <stp>bse_cm|835MFL26</stp>
        <stp>LTT</stp>
        <tr r="I169" s="1"/>
      </tp>
      <tp t="s">
        <v>00:00:00</v>
        <stp/>
        <stp>bse_cm|735MFL25</stp>
        <stp>LTT</stp>
        <tr r="I308" s="1"/>
      </tp>
      <tp>
        <v>0</v>
        <stp/>
        <stp>bse_cm|835IFL25</stp>
        <stp>LTP</stp>
        <tr r="H668" s="1"/>
      </tp>
      <tp>
        <v>0</v>
        <stp/>
        <stp>bse_cm|835MFL26</stp>
        <stp>LTP</stp>
        <tr r="H169" s="1"/>
      </tp>
      <tp>
        <v>0</v>
        <stp/>
        <stp>bse_cm|735MFL25</stp>
        <stp>LTP</stp>
        <tr r="H308" s="1"/>
      </tp>
      <tp t="s">
        <v>00:00:00</v>
        <stp/>
        <stp>bse_cm|835IFL25</stp>
        <stp>LTT</stp>
        <tr r="I668" s="1"/>
      </tp>
      <tp>
        <v>0</v>
        <stp/>
        <stp>bse_cm|845LTF24</stp>
        <stp>ATP</stp>
        <tr r="K943" s="1"/>
      </tp>
      <tp>
        <v>0</v>
        <stp/>
        <stp>bse_cm|935MFL29</stp>
        <stp>LTP</stp>
        <tr r="H238" s="1"/>
      </tp>
      <tp t="s">
        <v>00:00:00</v>
        <stp/>
        <stp>bse_cm|935MFL29</stp>
        <stp>LTT</stp>
        <tr r="I238" s="1"/>
      </tp>
      <tp>
        <v>1067.8</v>
        <stp/>
        <stp>bse_cm|714REC25</stp>
        <stp>ATP</stp>
        <tr r="K518" s="1"/>
      </tp>
      <tp t="s">
        <v>00:00:00</v>
        <stp/>
        <stp>bse_cm|935PEL33</stp>
        <stp>LTT</stp>
        <tr r="I368" s="1"/>
      </tp>
      <tp>
        <v>0</v>
        <stp/>
        <stp>bse_cm|935PEL33</stp>
        <stp>LTP</stp>
        <tr r="H368" s="1"/>
      </tp>
      <tp>
        <v>0</v>
        <stp/>
        <stp>bse_cm|96IIFL28</stp>
        <stp>Volume Traded Today</stp>
        <tr r="L118" s="1"/>
      </tp>
      <tp>
        <v>1140.0999999999999</v>
        <stp/>
        <stp>bse_cm|898LTF29</stp>
        <stp>Prev Close</stp>
        <tr r="P416" s="1"/>
      </tp>
      <tp>
        <v>1082.8</v>
        <stp/>
        <stp>bse_cm|885LTF27</stp>
        <stp>Prev Close</stp>
        <tr r="P1008" s="1"/>
      </tp>
      <tp>
        <v>1070</v>
        <stp/>
        <stp>bse_cm|884LTF29</stp>
        <stp>Prev Close</stp>
        <tr r="P1337" s="1"/>
      </tp>
      <tp>
        <v>0</v>
        <stp/>
        <stp>nse_cm|98SCL27-ZX</stp>
        <stp>% Change</stp>
        <tr r="J1378" s="1"/>
      </tp>
      <tp t="s">
        <v>NSE</v>
        <stp/>
        <stp>nse_cm|CIF27-NM</stp>
        <stp>Exchange</stp>
        <tr r="C1665" s="1"/>
      </tp>
      <tp>
        <v>0</v>
        <stp/>
        <stp>bse_cm|931SFL26</stp>
        <stp>LTP</stp>
        <tr r="H1492" s="1"/>
      </tp>
      <tp t="s">
        <v>00:00:00</v>
        <stp/>
        <stp>bse_cm|931SFL26</stp>
        <stp>LTT</stp>
        <tr r="I1492" s="1"/>
      </tp>
      <tp>
        <v>0</v>
        <stp/>
        <stp>bse_cm|95NIDO26</stp>
        <stp>Volume Traded Today</stp>
        <tr r="L670" s="1"/>
      </tp>
      <tp t="s">
        <v>00:00:00</v>
        <stp/>
        <stp>bse_cm|930SFL28</stp>
        <stp>LTT</stp>
        <tr r="I10" s="1"/>
      </tp>
      <tp>
        <v>0</v>
        <stp/>
        <stp>bse_cm|930SFL28</stp>
        <stp>LTP</stp>
        <tr r="H10" s="1"/>
      </tp>
      <tp>
        <v>0</v>
        <stp/>
        <stp>bse_cm|833SCL24</stp>
        <stp>LTP</stp>
        <tr r="H1180" s="1"/>
      </tp>
      <tp>
        <v>0</v>
        <stp/>
        <stp>nse_cm|772IGT31-NK</stp>
        <stp>Ask Rate</stp>
        <tr r="F1193" s="1"/>
      </tp>
      <tp t="s">
        <v>00:00:00</v>
        <stp/>
        <stp>bse_cm|833SCL24</stp>
        <stp>LTT</stp>
        <tr r="I1180" s="1"/>
      </tp>
      <tp t="s">
        <v>NSE</v>
        <stp/>
        <stp>nse_cm|CIF29-NO</stp>
        <stp>Exchange</stp>
        <tr r="C743" s="1"/>
      </tp>
      <tp>
        <v>0</v>
        <stp/>
        <stp>nse_cm|93SCL24-ZP</stp>
        <stp>% Change</stp>
        <tr r="J1506" s="1"/>
      </tp>
      <tp>
        <v>0</v>
        <stp/>
        <stp>bse_cm|932AEL27</stp>
        <stp>LTP</stp>
        <tr r="H317" s="1"/>
      </tp>
      <tp t="s">
        <v>00:00:00</v>
        <stp/>
        <stp>bse_cm|932AEL27</stp>
        <stp>LTT</stp>
        <tr r="I317" s="1"/>
      </tp>
      <tp>
        <v>1000.55</v>
        <stp/>
        <stp>bse_cm|829LTF24</stp>
        <stp>Prev Close</stp>
        <tr r="P4" s="1"/>
      </tp>
      <tp>
        <v>1055</v>
        <stp/>
        <stp>bse_cm|815LTF24</stp>
        <stp>Prev Close</stp>
        <tr r="P1167" s="1"/>
      </tp>
      <tp t="s">
        <v>MFLVI26</v>
        <stp/>
        <stp>bse_cm|MFLVI26</stp>
        <stp>Symbol</stp>
        <tr r="A1719" s="1"/>
      </tp>
      <tp t="s">
        <v>MFLVI25</v>
        <stp/>
        <stp>bse_cm|MFLVI25</stp>
        <stp>Symbol</stp>
        <tr r="A1707" s="1"/>
      </tp>
      <tp>
        <v>0</v>
        <stp/>
        <stp>bse_cm|718REC35</stp>
        <stp>ATP</stp>
        <tr r="K549" s="1"/>
      </tp>
      <tp>
        <v>0</v>
        <stp/>
        <stp>bse_cm|939SCL27</stp>
        <stp>LTP</stp>
        <tr r="H985" s="1"/>
      </tp>
      <tp t="s">
        <v>00:00:00</v>
        <stp/>
        <stp>bse_cm|939SCL27</stp>
        <stp>LTT</stp>
        <tr r="I985" s="1"/>
      </tp>
      <tp>
        <v>1061.28</v>
        <stp/>
        <stp>bse_cm|865LTF26</stp>
        <stp>Prev Close</stp>
        <tr r="P391" s="1"/>
      </tp>
      <tp>
        <v>0</v>
        <stp/>
        <stp>bse_cm|898LTF29</stp>
        <stp>LTP</stp>
        <tr r="H416" s="1"/>
      </tp>
      <tp t="s">
        <v>00:00:00</v>
        <stp/>
        <stp>bse_cm|898LTF29</stp>
        <stp>LTT</stp>
        <tr r="I416" s="1"/>
      </tp>
      <tp>
        <v>1000</v>
        <stp/>
        <stp>bse_cm|852LTF27</stp>
        <stp>Prev Close</stp>
        <tr r="P983" s="1"/>
      </tp>
      <tp>
        <v>0</v>
        <stp/>
        <stp>bse_cm|96EFSL26</stp>
        <stp>Volume Traded Today</stp>
        <tr r="L1465" s="1"/>
      </tp>
      <tp>
        <v>0</v>
        <stp/>
        <stp>bse_cm|96EFSL27</stp>
        <stp>Volume Traded Today</stp>
        <tr r="L1050" s="1"/>
      </tp>
      <tp>
        <v>-100</v>
        <stp/>
        <stp>nse_cm|98SCL34-ZS</stp>
        <stp>% Change</stp>
        <tr r="J1052" s="1"/>
      </tp>
      <tp>
        <v>1030</v>
        <stp/>
        <stp>bse_cm|845LTF24</stp>
        <stp>Prev Close</stp>
        <tr r="P943" s="1"/>
      </tp>
      <tp>
        <v>978.65</v>
        <stp/>
        <stp>bse_cm|9IIFL28A</stp>
        <stp xml:space="preserve">Low </stp>
        <tr r="O218" s="1"/>
      </tp>
      <tp>
        <v>0</v>
        <stp/>
        <stp>nse_cm|1048IIFL27-N6</stp>
        <stp>ATP</stp>
        <tr r="K997" s="1"/>
      </tp>
      <tp>
        <v>1000</v>
        <stp/>
        <stp>bse_cm|105MML25</stp>
        <stp>Face Value</stp>
        <tr r="Q1170" s="1"/>
      </tp>
      <tp>
        <v>1000</v>
        <stp/>
        <stp>bse_cm|905PEL26</stp>
        <stp>Face Value</stp>
        <tr r="Q1518" s="1"/>
      </tp>
      <tp>
        <v>1000</v>
        <stp/>
        <stp>bse_cm|932AEL27</stp>
        <stp>Face Value</stp>
        <tr r="Q317" s="1"/>
      </tp>
      <tp>
        <v>1000</v>
        <stp/>
        <stp>bse_cm|935PEL33</stp>
        <stp>Face Value</stp>
        <tr r="Q368" s="1"/>
      </tp>
      <tp>
        <v>1000</v>
        <stp/>
        <stp>bse_cm|920PEL28</stp>
        <stp>Face Value</stp>
        <tr r="Q440" s="1"/>
      </tp>
      <tp>
        <v>1000</v>
        <stp/>
        <stp>bse_cm|925AEL26</stp>
        <stp>Face Value</stp>
        <tr r="Q335" s="1"/>
      </tp>
      <tp>
        <v>954</v>
        <stp/>
        <stp>nse_cm|889SCL27-YT</stp>
        <stp>Ask Rate</stp>
        <tr r="F120" s="1"/>
      </tp>
      <tp>
        <v>1000</v>
        <stp/>
        <stp>bse_cm|956AEL29</stp>
        <stp>Face Value</stp>
        <tr r="Q311" s="1"/>
      </tp>
      <tp>
        <v>1000</v>
        <stp/>
        <stp>nse_cm|965ICCL25I-NQ</stp>
        <stp>Face Value</stp>
        <tr r="Q696" s="1"/>
      </tp>
      <tp t="s">
        <v>INE148I07OL7</v>
        <stp/>
        <stp>nse_cm|925SCL25C-AR</stp>
        <stp>Isin code</stp>
        <tr r="R249" s="1"/>
      </tp>
      <tp t="s">
        <v>INE148I07SC7</v>
        <stp/>
        <stp>nse_cm|925SCL26B-YQ</stp>
        <stp>Isin code</stp>
        <tr r="R90" s="1"/>
      </tp>
      <tp>
        <v>0</v>
        <stp/>
        <stp>nse_cm|99SCL27-ZH</stp>
        <stp>% Change</stp>
        <tr r="J1168" s="1"/>
      </tp>
      <tp>
        <v>0</v>
        <stp/>
        <stp>nse_cm|888SCL26-YP</stp>
        <stp>Ask Rate</stp>
        <tr r="F841" s="1"/>
      </tp>
      <tp>
        <v>1000</v>
        <stp/>
        <stp>bse_cm|965AEL27</stp>
        <stp>Face Value</stp>
        <tr r="Q370" s="1"/>
      </tp>
      <tp>
        <v>-100</v>
        <stp/>
        <stp>nse_cm|94SCL27-ZG</stp>
        <stp>% Change</stp>
        <tr r="J1151" s="1"/>
      </tp>
      <tp>
        <v>980.2</v>
        <stp/>
        <stp>nse_cm|SCL24-ZD</stp>
        <stp>Bid Rate</stp>
        <tr r="E956" s="1"/>
      </tp>
      <tp>
        <v>1000</v>
        <stp/>
        <stp>bse_cm|MML11924</stp>
        <stp>Face Value</stp>
        <tr r="Q1536" s="1"/>
      </tp>
      <tp t="s">
        <v>INE530B08094</v>
        <stp/>
        <stp>nse_cm|10IIFL28A-NE</stp>
        <stp>Isin code</stp>
        <tr r="R108" s="1"/>
      </tp>
      <tp>
        <v>0</v>
        <stp/>
        <stp>nse_cm|DLSL25A-Y4</stp>
        <stp>% Change</stp>
        <tr r="J1732" s="1"/>
      </tp>
      <tp>
        <v>0</v>
        <stp/>
        <stp>nse_cm|91SFL27-ZI</stp>
        <stp>% Change</stp>
        <tr r="J533" s="1"/>
      </tp>
      <tp>
        <v>1020.2</v>
        <stp/>
        <stp>nse_cm|SCL22-ZC</stp>
        <stp>Bid Rate</stp>
        <tr r="E955" s="1"/>
      </tp>
      <tp>
        <v>0</v>
        <stp/>
        <stp>nse_cm|913ICCL24A-NF</stp>
        <stp>LTP</stp>
        <tr r="H781" s="1"/>
      </tp>
      <tp t="s">
        <v/>
        <stp/>
        <stp>nse_cm|913ICCL24A-NF</stp>
        <stp>LTT</stp>
        <tr r="I781" s="1"/>
      </tp>
      <tp>
        <v>0</v>
        <stp/>
        <stp>nse_cm|93SCL25-ZH</stp>
        <stp>% Change</stp>
        <tr r="J961" s="1"/>
      </tp>
      <tp t="s">
        <v>INE051307BF7</v>
        <stp/>
        <stp>bse_cm|CCIL14824B</stp>
        <stp>Isin code</stp>
        <tr r="R752" s="1"/>
      </tp>
      <tp t="s">
        <v>INE403Q07EP1</v>
        <stp/>
        <stp>bse_cm|KFL070824C</stp>
        <stp>Isin code</stp>
        <tr r="R1311" s="1"/>
      </tp>
      <tp t="s">
        <v>INE549K07DM3</v>
        <stp/>
        <stp>bse_cm|MFCL30424C</stp>
        <stp>Isin code</stp>
        <tr r="R1552" s="1"/>
      </tp>
      <tp>
        <v>-100</v>
        <stp/>
        <stp>bse_cm|RFLNIFT25</stp>
        <stp>% Change</stp>
        <tr r="J1242" s="1"/>
      </tp>
      <tp t="s">
        <v>INE101Q07847</v>
        <stp/>
        <stp>bse_cm|105MMFL25C</stp>
        <stp>Isin code</stp>
        <tr r="R480" s="1"/>
      </tp>
      <tp t="s">
        <v>INE403Q08233</v>
        <stp/>
        <stp>bse_cm|1025KFL26C</stp>
        <stp>Isin code</stp>
        <tr r="R459" s="1"/>
      </tp>
      <tp t="s">
        <v>82HUDCO27-N2</v>
        <stp/>
        <stp>nse_cm|82HUDCO27-N2</stp>
        <stp>Trading Symbol</stp>
        <tr r="B532" s="1"/>
      </tp>
      <tp t="s">
        <v>00:00:00</v>
        <stp/>
        <stp>bse_cm|MFCL16924B</stp>
        <stp>LTT</stp>
        <tr r="I1284" s="1"/>
      </tp>
      <tp t="s">
        <v>00:00:00</v>
        <stp/>
        <stp>bse_cm|MFCL16924C</stp>
        <stp>LTT</stp>
        <tr r="I660" s="1"/>
      </tp>
      <tp t="s">
        <v>00:00:00</v>
        <stp/>
        <stp>bse_cm|MFCL16924A</stp>
        <stp>LTT</stp>
        <tr r="I1285" s="1"/>
      </tp>
      <tp>
        <v>0</v>
        <stp/>
        <stp>bse_cm|MFCL16924B</stp>
        <stp>LTP</stp>
        <tr r="H1284" s="1"/>
      </tp>
      <tp>
        <v>0</v>
        <stp/>
        <stp>bse_cm|MFCL16924C</stp>
        <stp>LTP</stp>
        <tr r="H660" s="1"/>
      </tp>
      <tp>
        <v>0</v>
        <stp/>
        <stp>bse_cm|MFCL16924A</stp>
        <stp>LTP</stp>
        <tr r="H1285" s="1"/>
      </tp>
      <tp t="s">
        <v>1050ISFL28</v>
        <stp/>
        <stp>nse_cm|1050ISFL28-N5</stp>
        <stp>Symbol</stp>
        <tr r="A1591" s="1"/>
      </tp>
      <tp>
        <v>-2.48</v>
        <stp/>
        <stp>bse_cm|995ECL29A</stp>
        <stp>% Change</stp>
        <tr r="J152" s="1"/>
      </tp>
      <tp t="s">
        <v>00:00:00</v>
        <stp/>
        <stp>bse_cm|MFCL30424D</stp>
        <stp>LTT</stp>
        <tr r="I1281" s="1"/>
      </tp>
      <tp>
        <v>0</v>
        <stp/>
        <stp>bse_cm|MFCL30424A</stp>
        <stp>LTP</stp>
        <tr r="H1283" s="1"/>
      </tp>
      <tp>
        <v>0</v>
        <stp/>
        <stp>bse_cm|MFCL30424B</stp>
        <stp>LTP</stp>
        <tr r="H1282" s="1"/>
      </tp>
      <tp>
        <v>0</v>
        <stp/>
        <stp>bse_cm|MFCL30424C</stp>
        <stp>LTP</stp>
        <tr r="H1552" s="1"/>
      </tp>
      <tp>
        <v>0</v>
        <stp/>
        <stp>bse_cm|MFCL30424D</stp>
        <stp>LTP</stp>
        <tr r="H1281" s="1"/>
      </tp>
      <tp t="s">
        <v>00:00:00</v>
        <stp/>
        <stp>bse_cm|MFCL30424A</stp>
        <stp>LTT</stp>
        <tr r="I1283" s="1"/>
      </tp>
      <tp t="s">
        <v>00:00:00</v>
        <stp/>
        <stp>bse_cm|MFCL30424B</stp>
        <stp>LTT</stp>
        <tr r="I1282" s="1"/>
      </tp>
      <tp t="s">
        <v>00:00:00</v>
        <stp/>
        <stp>bse_cm|MFCL30424C</stp>
        <stp>LTT</stp>
        <tr r="I1552" s="1"/>
      </tp>
      <tp>
        <v>0</v>
        <stp/>
        <stp>bse_cm|1175ICLF25</stp>
        <stp>ATP</stp>
        <tr r="K1222" s="1"/>
      </tp>
      <tp>
        <v>0</v>
        <stp/>
        <stp>bse_cm|1225ICLF26</stp>
        <stp>ATP</stp>
        <tr r="K1217" s="1"/>
      </tp>
      <tp t="s">
        <v>INE121A07RU5</v>
        <stp/>
        <stp>bse_cm|CIF29</stp>
        <stp>Isin code</stp>
        <tr r="R744" s="1"/>
      </tp>
      <tp t="s">
        <v>1003ISFL28</v>
        <stp/>
        <stp>nse_cm|1003ISFL28-N4</stp>
        <stp>Symbol</stp>
        <tr r="A197" s="1"/>
      </tp>
      <tp t="s">
        <v>SCLZC26</v>
        <stp/>
        <stp>nse_cm|SCLZC26-NB</stp>
        <stp>Symbol</stp>
        <tr r="A1717" s="1"/>
      </tp>
      <tp t="s">
        <v>MFLIV27D</v>
        <stp/>
        <stp>bse_cm|MFLIV27D</stp>
        <stp>Symbol</stp>
        <tr r="A1452" s="1"/>
      </tp>
      <tp t="s">
        <v>1075KLMA28</v>
        <stp/>
        <stp>bse_cm|1075KLMA28</stp>
        <stp>Symbol</stp>
        <tr r="A1116" s="1"/>
      </tp>
      <tp t="s">
        <v>866ICCL23A</v>
        <stp/>
        <stp>bse_cm|866ICCL23A</stp>
        <stp>Symbol</stp>
        <tr r="A1075" s="1"/>
      </tp>
      <tp t="s">
        <v>966ICCL25A</v>
        <stp/>
        <stp>bse_cm|966ICCL25A</stp>
        <stp>Symbol</stp>
        <tr r="A846" s="1"/>
      </tp>
      <tp>
        <v>-100</v>
        <stp/>
        <stp>bse_cm|104ECL29A</stp>
        <stp>% Change</stp>
        <tr r="J79" s="1"/>
      </tp>
      <tp t="s">
        <v>85LTF26</v>
        <stp/>
        <stp>nse_cm|85LTF26-NM</stp>
        <stp>Symbol</stp>
        <tr r="A365" s="1"/>
      </tp>
      <tp t="s">
        <v>97MOFSL34-N7</v>
        <stp/>
        <stp>nse_cm|97MOFSL34-N7</stp>
        <stp>Trading Symbol</stp>
        <tr r="B1599" s="1"/>
      </tp>
      <tp t="s">
        <v>INE403Q07DR9</v>
        <stp/>
        <stp>bse_cm|KFL31</stp>
        <stp>Isin code</stp>
        <tr r="R1297" s="1"/>
      </tp>
      <tp t="s">
        <v>INE414G07IY2</v>
        <stp/>
        <stp>bse_cm|MFL27</stp>
        <stp>Isin code</stp>
        <tr r="R1563" s="1"/>
      </tp>
      <tp t="s">
        <v>00:00:00</v>
        <stp/>
        <stp>bse_cm|EFSL26724A</stp>
        <stp>LTT</stp>
        <tr r="I1468" s="1"/>
      </tp>
      <tp>
        <v>0</v>
        <stp/>
        <stp>bse_cm|EFSL26724A</stp>
        <stp>LTP</stp>
        <tr r="H1468" s="1"/>
      </tp>
      <tp t="s">
        <v>MFCL16924C</v>
        <stp/>
        <stp>bse_cm|MFCL16924C</stp>
        <stp>Symbol</stp>
        <tr r="A660" s="1"/>
      </tp>
      <tp t="s">
        <v>MFCL16924B</v>
        <stp/>
        <stp>bse_cm|MFCL16924B</stp>
        <stp>Symbol</stp>
        <tr r="A1284" s="1"/>
      </tp>
      <tp t="s">
        <v>MFCL16924A</v>
        <stp/>
        <stp>bse_cm|MFCL16924A</stp>
        <stp>Symbol</stp>
        <tr r="A1285" s="1"/>
      </tp>
      <tp t="s">
        <v>93MOFSL34-N6</v>
        <stp/>
        <stp>nse_cm|93MOFSL34-N6</stp>
        <stp>Trading Symbol</stp>
        <tr r="B299" s="1"/>
      </tp>
      <tp>
        <v>0</v>
        <stp/>
        <stp>bse_cm|CCIL14824A</stp>
        <stp>LTP</stp>
        <tr r="H590" s="1"/>
      </tp>
      <tp>
        <v>0</v>
        <stp/>
        <stp>bse_cm|CCIL14824C</stp>
        <stp>LTP</stp>
        <tr r="H751" s="1"/>
      </tp>
      <tp>
        <v>0</v>
        <stp/>
        <stp>bse_cm|CCIL14824B</stp>
        <stp>LTP</stp>
        <tr r="H752" s="1"/>
      </tp>
      <tp t="s">
        <v>00:00:00</v>
        <stp/>
        <stp>bse_cm|CCIL14824A</stp>
        <stp>LTT</stp>
        <tr r="I590" s="1"/>
      </tp>
      <tp t="s">
        <v>00:00:00</v>
        <stp/>
        <stp>bse_cm|CCIL14824C</stp>
        <stp>LTT</stp>
        <tr r="I751" s="1"/>
      </tp>
      <tp t="s">
        <v>00:00:00</v>
        <stp/>
        <stp>bse_cm|CCIL14824B</stp>
        <stp>LTT</stp>
        <tr r="I752" s="1"/>
      </tp>
      <tp>
        <v>0</v>
        <stp/>
        <stp>nse_cm|1015SCFL29-YY</stp>
        <stp>Ask Rate</stp>
        <tr r="F1455" s="1"/>
      </tp>
      <tp>
        <v>0.1</v>
        <stp/>
        <stp>bse_cm|729NHAI26</stp>
        <stp>% Change</stp>
        <tr r="J348" s="1"/>
      </tp>
      <tp>
        <v>-0.71</v>
        <stp/>
        <stp>bse_cm|739NHAI26</stp>
        <stp>% Change</stp>
        <tr r="J442" s="1"/>
      </tp>
      <tp>
        <v>-100</v>
        <stp/>
        <stp>bse_cm|704NHAI26</stp>
        <stp>% Change</stp>
        <tr r="J1204" s="1"/>
      </tp>
      <tp>
        <v>-100</v>
        <stp/>
        <stp>bse_cm|714NHAI26</stp>
        <stp>% Change</stp>
        <tr r="J1662" s="1"/>
      </tp>
      <tp>
        <v>-100</v>
        <stp/>
        <stp>bse_cm|875NHAI29</stp>
        <stp>% Change</stp>
        <tr r="J496" s="1"/>
      </tp>
      <tp>
        <v>-100</v>
        <stp/>
        <stp>bse_cm|850NHAI29</stp>
        <stp>% Change</stp>
        <tr r="J580" s="1"/>
      </tp>
      <tp t="s">
        <v>CCI110324A</v>
        <stp/>
        <stp>bse_cm|CCI110324A</stp>
        <stp>Symbol</stp>
        <tr r="A1590" s="1"/>
      </tp>
      <tp>
        <v>-100</v>
        <stp/>
        <stp>bse_cm|967NIDO28</stp>
        <stp>% Change</stp>
        <tr r="J227" s="1"/>
      </tp>
      <tp>
        <v>0</v>
        <stp/>
        <stp>bse_cm|875IIFL26A</stp>
        <stp>Volume Traded Today</stp>
        <tr r="L232" s="1"/>
      </tp>
      <tp>
        <v>-100</v>
        <stp/>
        <stp>bse_cm|93MOFSL34</stp>
        <stp>% Change</stp>
        <tr r="J312" s="1"/>
      </tp>
      <tp>
        <v>-100</v>
        <stp/>
        <stp>bse_cm|97MOFSL34</stp>
        <stp>% Change</stp>
        <tr r="J1600" s="1"/>
      </tp>
      <tp>
        <v>0</v>
        <stp/>
        <stp>bse_cm|925IHFL25E</stp>
        <stp>Volume Traded Today</stp>
        <tr r="L398" s="1"/>
      </tp>
      <tp>
        <v>0</v>
        <stp/>
        <stp>bse_cm|925IHFL25D</stp>
        <stp>Volume Traded Today</stp>
        <tr r="L1671" s="1"/>
      </tp>
      <tp>
        <v>0</v>
        <stp/>
        <stp>bse_cm|965IHFL25D</stp>
        <stp>Volume Traded Today</stp>
        <tr r="L1432" s="1"/>
      </tp>
      <tp>
        <v>0</v>
        <stp/>
        <stp>bse_cm|EFSL260724</stp>
        <stp>Volume Traded Today</stp>
        <tr r="L586" s="1"/>
      </tp>
      <tp>
        <v>0</v>
        <stp/>
        <stp>bse_cm|888IHFL25F</stp>
        <stp>Volume Traded Today</stp>
        <tr r="L693" s="1"/>
      </tp>
      <tp>
        <v>0</v>
        <stp/>
        <stp>bse_cm|888IHFL25C</stp>
        <stp>Volume Traded Today</stp>
        <tr r="L1058" s="1"/>
      </tp>
      <tp t="s">
        <v>769HUDCO31</v>
        <stp/>
        <stp>bse_cm|769HUDCO31</stp>
        <stp>Symbol</stp>
        <tr r="A15" s="1"/>
      </tp>
      <tp t="s">
        <v>739HUDCO31</v>
        <stp/>
        <stp>bse_cm|739HUDCO31</stp>
        <stp>Symbol</stp>
        <tr r="A569" s="1"/>
      </tp>
      <tp t="s">
        <v>729HUDCO26</v>
        <stp/>
        <stp>bse_cm|729HUDCO26</stp>
        <stp>Symbol</stp>
        <tr r="A523" s="1"/>
      </tp>
      <tp>
        <v>0</v>
        <stp/>
        <stp>nse_cm|1048IIFL27-N6</stp>
        <stp>Bid Rate</stp>
        <tr r="E997" s="1"/>
      </tp>
      <tp>
        <v>0</v>
        <stp/>
        <stp>bse_cm|913ICCL24A</stp>
        <stp>Volume Traded Today</stp>
        <tr r="L1162" s="1"/>
      </tp>
      <tp>
        <v>0</v>
        <stp/>
        <stp>bse_cm|925ICCL24A</stp>
        <stp>Volume Traded Today</stp>
        <tr r="L1072" s="1"/>
      </tp>
      <tp>
        <v>0</v>
        <stp/>
        <stp>bse_cm|925ICCL25I</stp>
        <stp>Volume Traded Today</stp>
        <tr r="L782" s="1"/>
      </tp>
      <tp>
        <v>0</v>
        <stp/>
        <stp>bse_cm|965ICCL25I</stp>
        <stp>Volume Traded Today</stp>
        <tr r="L1430" s="1"/>
      </tp>
      <tp>
        <v>0</v>
        <stp/>
        <stp>bse_cm|955ICCL25A</stp>
        <stp>Volume Traded Today</stp>
        <tr r="L1143" s="1"/>
      </tp>
      <tp>
        <v>0</v>
        <stp/>
        <stp>bse_cm|948ICCL25A</stp>
        <stp>Volume Traded Today</stp>
        <tr r="L1398" s="1"/>
      </tp>
      <tp>
        <v>0</v>
        <stp/>
        <stp>bse_cm|966ICCL25A</stp>
        <stp>Volume Traded Today</stp>
        <tr r="L846" s="1"/>
      </tp>
      <tp>
        <v>0</v>
        <stp/>
        <stp>bse_cm|875KFL2025</stp>
        <stp>Volume Traded Today</stp>
        <tr r="L1158" s="1"/>
      </tp>
      <tp>
        <v>0</v>
        <stp/>
        <stp>bse_cm|984ICCL26A</stp>
        <stp>Volume Traded Today</stp>
        <tr r="L883" s="1"/>
      </tp>
      <tp>
        <v>-100</v>
        <stp/>
        <stp>bse_cm|895NHFL25</stp>
        <stp>% Change</stp>
        <tr r="J54" s="1"/>
      </tp>
      <tp>
        <v>-100</v>
        <stp/>
        <stp>bse_cm|905NIDO25</stp>
        <stp>% Change</stp>
        <tr r="J60" s="1"/>
      </tp>
      <tp>
        <v>4</v>
        <stp/>
        <stp>bse_cm|948IFSL25B</stp>
        <stp>Volume Traded Today</stp>
        <tr r="L599" s="1"/>
      </tp>
      <tp>
        <v>0.82</v>
        <stp/>
        <stp>bse_cm|870NIDO25</stp>
        <stp>% Change</stp>
        <tr r="J86" s="1"/>
      </tp>
      <tp>
        <v>-100</v>
        <stp/>
        <stp>bse_cm|950NHFL26</stp>
        <stp>% Change</stp>
        <tr r="J582" s="1"/>
      </tp>
      <tp>
        <v>-100</v>
        <stp/>
        <stp>bse_cm|958NIDO27</stp>
        <stp>% Change</stp>
        <tr r="J1402" s="1"/>
      </tp>
      <tp>
        <v>1.92</v>
        <stp/>
        <stp>bse_cm|955NIDO27</stp>
        <stp>% Change</stp>
        <tr r="J51" s="1"/>
      </tp>
      <tp>
        <v>0.24</v>
        <stp/>
        <stp>bse_cm|915NIDO27</stp>
        <stp>% Change</stp>
        <tr r="J59" s="1"/>
      </tp>
      <tp>
        <v>0</v>
        <stp/>
        <stp>bse_cm|890ICCL23A</stp>
        <stp>Volume Traded Today</stp>
        <tr r="L1486" s="1"/>
      </tp>
      <tp>
        <v>0</v>
        <stp/>
        <stp>bse_cm|866ICCL23A</stp>
        <stp>Volume Traded Today</stp>
        <tr r="L1075" s="1"/>
      </tp>
      <tp>
        <v>0.05</v>
        <stp/>
        <stp>bse_cm|MFLIII25C</stp>
        <stp>% Change</stp>
        <tr r="J213" s="1"/>
      </tp>
      <tp>
        <v>-100</v>
        <stp/>
        <stp>bse_cm|958NHFL27</stp>
        <stp>% Change</stp>
        <tr r="J616" s="1"/>
      </tp>
      <tp>
        <v>-100</v>
        <stp/>
        <stp>bse_cm|960NIDO26</stp>
        <stp>% Change</stp>
        <tr r="J870" s="1"/>
      </tp>
      <tp>
        <v>-100</v>
        <stp/>
        <stp>bse_cm|957NIDO26</stp>
        <stp>% Change</stp>
        <tr r="J329" s="1"/>
      </tp>
      <tp>
        <v>-100</v>
        <stp/>
        <stp>bse_cm|920NIDO26</stp>
        <stp>% Change</stp>
        <tr r="J166" s="1"/>
      </tp>
      <tp>
        <v>1.45</v>
        <stp/>
        <stp>bse_cm|916NWIL27</stp>
        <stp>% Change</stp>
        <tr r="J209" s="1"/>
      </tp>
      <tp>
        <v>-100</v>
        <stp/>
        <stp>bse_cm|955NWIL27</stp>
        <stp>% Change</stp>
        <tr r="J1480" s="1"/>
      </tp>
      <tp>
        <v>0.38</v>
        <stp/>
        <stp>bse_cm|849NTPC25</stp>
        <stp>% Change</stp>
        <tr r="J443" s="1"/>
      </tp>
      <tp>
        <v>-100</v>
        <stp/>
        <stp>bse_cm|915NWIL25</stp>
        <stp>% Change</stp>
        <tr r="J620" s="1"/>
      </tp>
      <tp>
        <v>950</v>
        <stp/>
        <stp>nse_cm|SCL310524A-ZK</stp>
        <stp>High</stp>
        <tr r="N1445" s="1"/>
      </tp>
      <tp>
        <v>1077</v>
        <stp/>
        <stp>nse_cm|905SC24-ZB</stp>
        <stp>LTP</stp>
        <tr r="H1374" s="1"/>
      </tp>
      <tp t="s">
        <v/>
        <stp/>
        <stp>nse_cm|905SC24-ZB</stp>
        <stp>LTT</stp>
        <tr r="I1374" s="1"/>
      </tp>
      <tp>
        <v>0</v>
        <stp/>
        <stp>nse_cm|891IIFCL34-N4</stp>
        <stp>ATP</stp>
        <tr r="K516" s="1"/>
      </tp>
      <tp>
        <v>0</v>
        <stp/>
        <stp>nse_cm|966ICCL25A-NI</stp>
        <stp>Volume Traded Today</stp>
        <tr r="L1461" s="1"/>
      </tp>
      <tp>
        <v>0</v>
        <stp/>
        <stp>nse_cm|866ICCL23A-NY</stp>
        <stp>Volume Traded Today</stp>
        <tr r="L759" s="1"/>
      </tp>
      <tp>
        <v>0</v>
        <stp/>
        <stp>bse_cm|84TCHF28</stp>
        <stp>ATP</stp>
        <tr r="K403" s="1"/>
      </tp>
      <tp>
        <v>0</v>
        <stp/>
        <stp>nse_cm|751HUDCO28-N5</stp>
        <stp>ATP</stp>
        <tr r="K492" s="1"/>
      </tp>
      <tp>
        <v>850.2</v>
        <stp/>
        <stp>bse_cm|MML28A</stp>
        <stp>Bid Rate</stp>
        <tr r="E1249" s="1"/>
      </tp>
      <tp>
        <v>0</v>
        <stp/>
        <stp>nse_cm|901HUDCO34-NE</stp>
        <stp>ATP</stp>
        <tr r="K517" s="1"/>
      </tp>
      <tp>
        <v>0</v>
        <stp/>
        <stp>nse_cm|851HUDCO28-NB</stp>
        <stp>ATP</stp>
        <tr r="K502" s="1"/>
      </tp>
      <tp>
        <v>0</v>
        <stp/>
        <stp>bse_cm|93SCFL25</stp>
        <stp>LTP</stp>
        <tr r="H980" s="1"/>
      </tp>
      <tp t="s">
        <v>00:00:00</v>
        <stp/>
        <stp>bse_cm|93SCFL25</stp>
        <stp>LTT</stp>
        <tr r="I980" s="1"/>
      </tp>
      <tp>
        <v>1041</v>
        <stp/>
        <stp>bse_cm|98EFSL26</stp>
        <stp>High</stp>
        <tr r="N82" s="1"/>
      </tp>
      <tp>
        <v>957</v>
        <stp/>
        <stp>bse_cm|92EFSL26</stp>
        <stp>High</stp>
        <tr r="N186" s="1"/>
      </tp>
      <tp>
        <v>970.52</v>
        <stp/>
        <stp>bse_cm|96EFSL26</stp>
        <stp>High</stp>
        <tr r="N1465" s="1"/>
      </tp>
      <tp>
        <v>999</v>
        <stp/>
        <stp>bse_cm|96EFSL27</stp>
        <stp>High</stp>
        <tr r="N1050" s="1"/>
      </tp>
      <tp>
        <v>1000</v>
        <stp/>
        <stp>bse_cm|10EFSL27</stp>
        <stp>High</stp>
        <tr r="N1139" s="1"/>
      </tp>
      <tp>
        <v>922.8</v>
        <stp/>
        <stp>bse_cm|MFL28A</stp>
        <stp>Bid Rate</stp>
        <tr r="E1620" s="1"/>
      </tp>
      <tp>
        <v>0</v>
        <stp/>
        <stp>nse_cm|97SFL26-Z9</stp>
        <stp>% Change</stp>
        <tr r="J438" s="1"/>
      </tp>
      <tp>
        <v>1036</v>
        <stp/>
        <stp>bse_cm|MFL28B</stp>
        <stp>Bid Rate</stp>
        <tr r="E1277" s="1"/>
      </tp>
      <tp>
        <v>971.2</v>
        <stp/>
        <stp>bse_cm|89EFSL25</stp>
        <stp>High</stp>
        <tr r="N87" s="1"/>
      </tp>
      <tp>
        <v>1020.02</v>
        <stp/>
        <stp>bse_cm|MFL28D</stp>
        <stp>Bid Rate</stp>
        <tr r="E1276" s="1"/>
      </tp>
      <tp t="s">
        <v>INE244L07416</v>
        <stp/>
        <stp>nse_cm|985ICCL28-NO</stp>
        <stp>Isin code</stp>
        <tr r="R1605" s="1"/>
      </tp>
      <tp t="s">
        <v>MFLV29E</v>
        <stp/>
        <stp>bse_cm|MFLV29E</stp>
        <stp>Symbol</stp>
        <tr r="A650" s="1"/>
      </tp>
      <tp t="s">
        <v>MFLV26E</v>
        <stp/>
        <stp>bse_cm|MFLV26E</stp>
        <stp>Symbol</stp>
        <tr r="A352" s="1"/>
      </tp>
      <tp>
        <v>-100</v>
        <stp/>
        <stp>bse_cm|9KFL26A</stp>
        <stp>% Change</stp>
        <tr r="J1083" s="1"/>
      </tp>
      <tp>
        <v>-100</v>
        <stp/>
        <stp>bse_cm|9MFL30A</stp>
        <stp>% Change</stp>
        <tr r="J289" s="1"/>
      </tp>
      <tp>
        <v>1012</v>
        <stp/>
        <stp>nse_cm|956AEL29-N6</stp>
        <stp>Bid Rate</stp>
        <tr r="E298" s="1"/>
      </tp>
      <tp>
        <v>0</v>
        <stp/>
        <stp>bse_cm|93EFSL31</stp>
        <stp>LTP</stp>
        <tr r="H83" s="1"/>
      </tp>
      <tp t="s">
        <v>00:00:00</v>
        <stp/>
        <stp>bse_cm|93EFSL31</stp>
        <stp>LTT</stp>
        <tr r="I83" s="1"/>
      </tp>
      <tp>
        <v>-100</v>
        <stp/>
        <stp>bse_cm|9KFL26B</stp>
        <stp>% Change</stp>
        <tr r="J667" s="1"/>
      </tp>
      <tp>
        <v>2424.5</v>
        <stp/>
        <stp>bse_cm|IFCIZC25</stp>
        <stp xml:space="preserve">Low </stp>
        <tr r="O1764" s="1"/>
      </tp>
      <tp>
        <v>0</v>
        <stp/>
        <stp>bse_cm|93ARKA25</stp>
        <stp>ATP</stp>
        <tr r="K1395" s="1"/>
      </tp>
      <tp>
        <v>0</v>
        <stp/>
        <stp>bse_cm|93ARKA26</stp>
        <stp>ATP</stp>
        <tr r="K981" s="1"/>
      </tp>
      <tp>
        <v>990</v>
        <stp/>
        <stp>bse_cm|8MFLTD28</stp>
        <stp>Prev Close</stp>
        <tr r="P366" s="1"/>
      </tp>
      <tp>
        <v>990</v>
        <stp/>
        <stp>bse_cm|8MFLTD26</stp>
        <stp>Prev Close</stp>
        <tr r="P321" s="1"/>
      </tp>
      <tp>
        <v>2510.66</v>
        <stp/>
        <stp>bse_cm|IFCIZC24</stp>
        <stp xml:space="preserve">Low </stp>
        <tr r="O1769" s="1"/>
      </tp>
      <tp>
        <v>-100</v>
        <stp/>
        <stp>nse_cm|948SCL27A-ZJ</stp>
        <stp>% Change</stp>
        <tr r="J845" s="1"/>
      </tp>
      <tp>
        <v>900</v>
        <stp/>
        <stp>bse_cm|85CIFC27</stp>
        <stp xml:space="preserve">Low </stp>
        <tr r="O974" s="1"/>
      </tp>
      <tp t="s">
        <v>00:00:00</v>
        <stp/>
        <stp>bse_cm|MMFSL26A</stp>
        <stp>LTT</stp>
        <tr r="I1722" s="1"/>
      </tp>
      <tp>
        <v>0</v>
        <stp/>
        <stp>bse_cm|MMFSL26A</stp>
        <stp>LTP</stp>
        <tr r="H1722" s="1"/>
      </tp>
      <tp>
        <v>1042.2</v>
        <stp/>
        <stp>nse_cm|85IIFL25-NO</stp>
        <stp>Bid Rate</stp>
        <tr r="E110" s="1"/>
      </tp>
      <tp>
        <v>0</v>
        <stp/>
        <stp>nse_cm|0MOFSL27-N3</stp>
        <stp>Open</stp>
        <tr r="M1038" s="1"/>
      </tp>
      <tp>
        <v>1013</v>
        <stp/>
        <stp>bse_cm|86CIFC29</stp>
        <stp xml:space="preserve">Low </stp>
        <tr r="O1341" s="1"/>
      </tp>
      <tp>
        <v>0</v>
        <stp/>
        <stp>bse_cm|IFL19424</stp>
        <stp>ATP</stp>
        <tr r="K1344" s="1"/>
      </tp>
      <tp>
        <v>0</v>
        <stp/>
        <stp>bse_cm|IML16224</stp>
        <stp>LTP</stp>
        <tr r="H1499" s="1"/>
      </tp>
      <tp t="s">
        <v>00:00:00</v>
        <stp/>
        <stp>bse_cm|IML16224</stp>
        <stp>LTT</stp>
        <tr r="I1499" s="1"/>
      </tp>
      <tp t="s">
        <v>00:00:00</v>
        <stp/>
        <stp>bse_cm|10NIDO33</stp>
        <stp>LTT</stp>
        <tr r="I1447" s="1"/>
      </tp>
      <tp t="s">
        <v>09:51:40</v>
        <stp/>
        <stp>bse_cm|76NHAI31</stp>
        <stp>LTT</stp>
        <tr r="I478" s="1"/>
      </tp>
      <tp>
        <v>0</v>
        <stp/>
        <stp>bse_cm|10NIDO33</stp>
        <stp>LTP</stp>
        <tr r="H1447" s="1"/>
      </tp>
      <tp>
        <v>1134.99</v>
        <stp/>
        <stp>bse_cm|76NHAI31</stp>
        <stp>LTP</stp>
        <tr r="H478" s="1"/>
      </tp>
      <tp>
        <v>0</v>
        <stp/>
        <stp>nse_cm|0MOFSL26-N1</stp>
        <stp>Open</stp>
        <tr r="M1644" s="1"/>
      </tp>
      <tp>
        <v>0</v>
        <stp/>
        <stp>bse_cm|760MFL25</stp>
        <stp>Volume Traded Today</stp>
        <tr r="L482" s="1"/>
      </tp>
      <tp>
        <v>980</v>
        <stp/>
        <stp>bse_cm|10NIDO26</stp>
        <stp>LTP</stp>
        <tr r="H62" s="1"/>
      </tp>
      <tp>
        <v>0</v>
        <stp/>
        <stp>bse_cm|10NIDO27</stp>
        <stp>LTP</stp>
        <tr r="H597" s="1"/>
      </tp>
      <tp t="s">
        <v>00:00:00</v>
        <stp/>
        <stp>bse_cm|10NIDO26</stp>
        <stp>LTT</stp>
        <tr r="I62" s="1"/>
      </tp>
      <tp t="s">
        <v>00:00:00</v>
        <stp/>
        <stp>bse_cm|10NIDO27</stp>
        <stp>LTT</stp>
        <tr r="I597" s="1"/>
      </tp>
      <tp>
        <v>-100</v>
        <stp/>
        <stp>bse_cm|MFLOPTII24</stp>
        <stp>% Change</stp>
        <tr r="J559" s="1"/>
      </tp>
      <tp>
        <v>900</v>
        <stp/>
        <stp>bse_cm|11CCIL27</stp>
        <stp xml:space="preserve">Low </stp>
        <tr r="O691" s="1"/>
      </tp>
      <tp>
        <v>-100</v>
        <stp/>
        <stp>nse_cm|888SCL26A-ZC</stp>
        <stp>% Change</stp>
        <tr r="J839" s="1"/>
      </tp>
      <tp>
        <v>10</v>
        <stp/>
        <stp>bse_cm|866SCL25</stp>
        <stp>Volume Traded Today</stp>
        <tr r="L603" s="1"/>
      </tp>
      <tp>
        <v>0</v>
        <stp/>
        <stp>bse_cm|866SFL25</stp>
        <stp>Volume Traded Today</stp>
        <tr r="L1652" s="1"/>
      </tp>
      <tp>
        <v>1000</v>
        <stp/>
        <stp>bse_cm|11CCIL26</stp>
        <stp xml:space="preserve">Low </stp>
        <tr r="O625" s="1"/>
      </tp>
      <tp>
        <v>0</v>
        <stp/>
        <stp>bse_cm|965MML25</stp>
        <stp>Volume Traded Today</stp>
        <tr r="L1107" s="1"/>
      </tp>
      <tp>
        <v>0</v>
        <stp/>
        <stp>bse_cm|975KLM25</stp>
        <stp>Volume Traded Today</stp>
        <tr r="L858" s="1"/>
      </tp>
      <tp>
        <v>0</v>
        <stp/>
        <stp>bse_cm|865IFL28</stp>
        <stp>Volume Traded Today</stp>
        <tr r="L115" s="1"/>
      </tp>
      <tp>
        <v>0</v>
        <stp/>
        <stp>bse_cm|965AEL27</stp>
        <stp>Volume Traded Today</stp>
        <tr r="L370" s="1"/>
      </tp>
      <tp>
        <v>0</v>
        <stp/>
        <stp>bse_cm|965SCL29</stp>
        <stp>Volume Traded Today</stp>
        <tr r="L816" s="1"/>
      </tp>
      <tp>
        <v>0</v>
        <stp/>
        <stp>bse_cm|965SCL28</stp>
        <stp>Volume Traded Today</stp>
        <tr r="L1138" s="1"/>
      </tp>
      <tp>
        <v>0</v>
        <stp/>
        <stp>bse_cm|965VCL25</stp>
        <stp>Volume Traded Today</stp>
        <tr r="L1543" s="1"/>
      </tp>
      <tp>
        <v>0</v>
        <stp/>
        <stp>bse_cm|965SCL25</stp>
        <stp>Volume Traded Today</stp>
        <tr r="L1105" s="1"/>
      </tp>
      <tp>
        <v>0</v>
        <stp/>
        <stp>bse_cm|865SCL24</stp>
        <stp>Volume Traded Today</stp>
        <tr r="L1165" s="1"/>
      </tp>
      <tp>
        <v>0</v>
        <stp/>
        <stp>bse_cm|965SCL26</stp>
        <stp>Volume Traded Today</stp>
        <tr r="L665" s="1"/>
      </tp>
      <tp>
        <v>0</v>
        <stp/>
        <stp>bse_cm|865SCL26</stp>
        <stp>Volume Traded Today</stp>
        <tr r="L627" s="1"/>
      </tp>
      <tp>
        <v>1008</v>
        <stp/>
        <stp>bse_cm|10CAGL27</stp>
        <stp xml:space="preserve">Low </stp>
        <tr r="O282" s="1"/>
      </tp>
      <tp>
        <v>978</v>
        <stp/>
        <stp>bse_cm|95CCIL25</stp>
        <stp xml:space="preserve">Low </stp>
        <tr r="O37" s="1"/>
      </tp>
      <tp>
        <v>0</v>
        <stp/>
        <stp>bse_cm|95KAFL25</stp>
        <stp>Volume Traded Today</stp>
        <tr r="L40" s="1"/>
      </tp>
      <tp>
        <v>0</v>
        <stp/>
        <stp>nse_cm|97SFL28-YS</stp>
        <stp>% Change</stp>
        <tr r="J19" s="1"/>
      </tp>
      <tp>
        <v>0</v>
        <stp/>
        <stp>nse_cm|749IGT28-NG</stp>
        <stp>Ask Rate</stp>
        <tr r="F1197" s="1"/>
      </tp>
      <tp>
        <v>0</v>
        <stp/>
        <stp>bse_cm|905SCL25</stp>
        <stp>LTP</stp>
        <tr r="H1060" s="1"/>
      </tp>
      <tp>
        <v>0</v>
        <stp/>
        <stp>bse_cm|905PEL26</stp>
        <stp>LTP</stp>
        <tr r="H1518" s="1"/>
      </tp>
      <tp>
        <v>0</v>
        <stp/>
        <stp>bse_cm|905SCL27</stp>
        <stp>LTP</stp>
        <tr r="H976" s="1"/>
      </tp>
      <tp t="s">
        <v>00:00:00</v>
        <stp/>
        <stp>bse_cm|905SCL25</stp>
        <stp>LTT</stp>
        <tr r="I1060" s="1"/>
      </tp>
      <tp t="s">
        <v>00:00:00</v>
        <stp/>
        <stp>bse_cm|905PEL26</stp>
        <stp>LTT</stp>
        <tr r="I1518" s="1"/>
      </tp>
      <tp t="s">
        <v>00:00:00</v>
        <stp/>
        <stp>bse_cm|905SCL27</stp>
        <stp>LTT</stp>
        <tr r="I976" s="1"/>
      </tp>
      <tp t="s">
        <v>00:00:00</v>
        <stp/>
        <stp>bse_cm|105MML25</stp>
        <stp>LTT</stp>
        <tr r="I1170" s="1"/>
      </tp>
      <tp>
        <v>0</v>
        <stp/>
        <stp>bse_cm|944ONE34</stp>
        <stp>ATP</stp>
        <tr r="K269" s="1"/>
      </tp>
      <tp>
        <v>1185</v>
        <stp/>
        <stp>bse_cm|KFLZC28B</stp>
        <stp>High</stp>
        <tr r="N1288" s="1"/>
      </tp>
      <tp>
        <v>0</v>
        <stp/>
        <stp>bse_cm|105MML25</stp>
        <stp>LTP</stp>
        <tr r="H1170" s="1"/>
      </tp>
      <tp>
        <v>0</v>
        <stp/>
        <stp>bse_cm|905MFL28</stp>
        <stp>LTP</stp>
        <tr r="H207" s="1"/>
      </tp>
      <tp t="s">
        <v>00:00:00</v>
        <stp/>
        <stp>bse_cm|905MFL28</stp>
        <stp>LTT</stp>
        <tr r="I207" s="1"/>
      </tp>
      <tp>
        <v>0</v>
        <stp/>
        <stp>bse_cm|104ECL29</stp>
        <stp>LTP</stp>
        <tr r="H149" s="1"/>
      </tp>
      <tp>
        <v>985</v>
        <stp/>
        <stp>bse_cm|KFLZC28C</stp>
        <stp>High</stp>
        <tr r="N1287" s="1"/>
      </tp>
      <tp t="s">
        <v>00:00:00</v>
        <stp/>
        <stp>bse_cm|104ECL29</stp>
        <stp>LTT</stp>
        <tr r="I149" s="1"/>
      </tp>
      <tp t="s">
        <v>15:11:09</v>
        <stp/>
        <stp>bse_cm|104ECL24</stp>
        <stp>LTT</stp>
        <tr r="I38" s="1"/>
      </tp>
      <tp>
        <v>1084</v>
        <stp/>
        <stp>bse_cm|104ECL24</stp>
        <stp>LTP</stp>
        <tr r="H38" s="1"/>
      </tp>
      <tp>
        <v>0</v>
        <stp/>
        <stp>bse_cm|85IIFL25</stp>
        <stp>Volume Traded Today</stp>
        <tr r="L134" s="1"/>
      </tp>
      <tp>
        <v>0</v>
        <stp/>
        <stp>nse_cm|9SCFL25-Y5</stp>
        <stp>% Change</stp>
        <tr r="J389" s="1"/>
      </tp>
      <tp>
        <v>1253.27</v>
        <stp/>
        <stp>bse_cm|KFLZC28A</stp>
        <stp>High</stp>
        <tr r="N1289" s="1"/>
      </tp>
      <tp t="s">
        <v>BSE</v>
        <stp/>
        <stp>bse_cm|829LTF24</stp>
        <stp>Exchange</stp>
        <tr r="C4" s="1"/>
      </tp>
      <tp>
        <v>1199</v>
        <stp/>
        <stp>bse_cm|MFLZC28F</stp>
        <stp>High</stp>
        <tr r="N1268" s="1"/>
      </tp>
      <tp t="s">
        <v>00:00:00</v>
        <stp/>
        <stp>bse_cm|891ONE25</stp>
        <stp>LTT</stp>
        <tr r="I1339" s="1"/>
      </tp>
      <tp>
        <v>0</v>
        <stp/>
        <stp>bse_cm|891ONE25</stp>
        <stp>LTP</stp>
        <tr r="H1339" s="1"/>
      </tp>
      <tp>
        <v>0</v>
        <stp/>
        <stp>bse_cm|941ONE26</stp>
        <stp>ATP</stp>
        <tr r="K263" s="1"/>
      </tp>
      <tp>
        <v>0</v>
        <stp/>
        <stp>nse_cm|948SCL26B-Y8</stp>
        <stp>% Change</stp>
        <tr r="J159" s="1"/>
      </tp>
      <tp t="s">
        <v>00:00:00</v>
        <stp/>
        <stp>bse_cm|903SFL28</stp>
        <stp>LTT</stp>
        <tr r="I397" s="1"/>
      </tp>
      <tp>
        <v>0</v>
        <stp/>
        <stp>bse_cm|903SFL28</stp>
        <stp>LTP</stp>
        <tr r="H397" s="1"/>
      </tp>
      <tp>
        <v>0</v>
        <stp/>
        <stp>bse_cm|902SCL26</stp>
        <stp>LTP</stp>
        <tr r="H969" s="1"/>
      </tp>
      <tp>
        <v>0</v>
        <stp/>
        <stp>bse_cm|902SCL27</stp>
        <stp>LTP</stp>
        <tr r="H902" s="1"/>
      </tp>
      <tp>
        <v>0</v>
        <stp/>
        <stp>bse_cm|792TCH25</stp>
        <stp>ATP</stp>
        <tr r="K1188" s="1"/>
      </tp>
      <tp t="s">
        <v>00:00:00</v>
        <stp/>
        <stp>bse_cm|902SCL26</stp>
        <stp>LTT</stp>
        <tr r="I969" s="1"/>
      </tp>
      <tp t="s">
        <v>00:00:00</v>
        <stp/>
        <stp>bse_cm|902SCL27</stp>
        <stp>LTT</stp>
        <tr r="I902" s="1"/>
      </tp>
      <tp>
        <v>1402</v>
        <stp/>
        <stp>bse_cm|MFLZC28E</stp>
        <stp>High</stp>
        <tr r="N1269" s="1"/>
      </tp>
      <tp>
        <v>1000</v>
        <stp/>
        <stp>bse_cm|967EFS28</stp>
        <stp>Face Value</stp>
        <tr r="Q190" s="1"/>
      </tp>
      <tp>
        <v>0</v>
        <stp/>
        <stp>bse_cm|95CCIL25</stp>
        <stp>Volume Traded Today</stp>
        <tr r="L37" s="1"/>
      </tp>
      <tp>
        <v>0</v>
        <stp/>
        <stp>nse_cm|1075SCFL34-Z6</stp>
        <stp>ATP</stp>
        <tr r="K882" s="1"/>
      </tp>
      <tp>
        <v>0</v>
        <stp/>
        <stp>nse_cm|745IGT26-NC</stp>
        <stp>Ask Rate</stp>
        <tr r="F1201" s="1"/>
      </tp>
      <tp>
        <v>1000</v>
        <stp/>
        <stp>bse_cm|960EFSLA</stp>
        <stp>Face Value</stp>
        <tr r="Q699" s="1"/>
      </tp>
      <tp>
        <v>0.27</v>
        <stp/>
        <stp>nse_cm|97SFL29-YZ</stp>
        <stp>% Change</stp>
        <tr r="J20" s="1"/>
      </tp>
      <tp t="s">
        <v>BSE</v>
        <stp/>
        <stp>bse_cm|769IGT28</stp>
        <stp>Exchange</stp>
        <tr r="C1195" s="1"/>
      </tp>
      <tp t="s">
        <v>BSE</v>
        <stp/>
        <stp>bse_cm|749IGT28</stp>
        <stp>Exchange</stp>
        <tr r="C1198" s="1"/>
      </tp>
      <tp>
        <v>940</v>
        <stp/>
        <stp>nse_cm|96IIFL28-N5</stp>
        <stp>Bid Rate</stp>
        <tr r="E106" s="1"/>
      </tp>
      <tp t="s">
        <v>00:00:00</v>
        <stp/>
        <stp>bse_cm|898ONE26</stp>
        <stp>LTT</stp>
        <tr r="I1154" s="1"/>
      </tp>
      <tp>
        <v>0</v>
        <stp/>
        <stp>bse_cm|898ONE26</stp>
        <stp>LTP</stp>
        <tr r="H1154" s="1"/>
      </tp>
      <tp>
        <v>0</v>
        <stp/>
        <stp>nse_cm|SCL310524A-ZK</stp>
        <stp>Volume Traded Today</stp>
        <tr r="L1445" s="1"/>
      </tp>
      <tp>
        <v>-100</v>
        <stp/>
        <stp>nse_cm|888SCL25B-Y2</stp>
        <stp>% Change</stp>
        <tr r="J789" s="1"/>
      </tp>
      <tp>
        <v>1000</v>
        <stp/>
        <stp>bse_cm|910MFL26</stp>
        <stp>Face Value</stp>
        <tr r="Q277" s="1"/>
      </tp>
      <tp>
        <v>1000</v>
        <stp/>
        <stp>bse_cm|915MFL25</stp>
        <stp>Face Value</stp>
        <tr r="Q105" s="1"/>
      </tp>
      <tp>
        <v>1000</v>
        <stp/>
        <stp>bse_cm|915MFL27</stp>
        <stp>Face Value</stp>
        <tr r="Q614" s="1"/>
      </tp>
      <tp>
        <v>1000</v>
        <stp/>
        <stp>bse_cm|915MFL28</stp>
        <stp>Face Value</stp>
        <tr r="Q283" s="1"/>
      </tp>
      <tp t="s">
        <v>BSE</v>
        <stp/>
        <stp>bse_cm|889SCL28</stp>
        <stp>Exchange</stp>
        <tr r="C1069" s="1"/>
      </tp>
      <tp>
        <v>1000</v>
        <stp/>
        <stp>bse_cm|903SFL28</stp>
        <stp>Face Value</stp>
        <tr r="Q397" s="1"/>
      </tp>
      <tp>
        <v>1000</v>
        <stp/>
        <stp>bse_cm|905MFL28</stp>
        <stp>Face Value</stp>
        <tr r="Q207" s="1"/>
      </tp>
      <tp>
        <v>1000</v>
        <stp/>
        <stp>bse_cm|931SFL26</stp>
        <stp>Face Value</stp>
        <tr r="Q1492" s="1"/>
      </tp>
      <tp>
        <v>1000</v>
        <stp/>
        <stp>bse_cm|930SFL28</stp>
        <stp>Face Value</stp>
        <tr r="Q10" s="1"/>
      </tp>
      <tp>
        <v>1000</v>
        <stp/>
        <stp>bse_cm|935MFL29</stp>
        <stp>Face Value</stp>
        <tr r="Q238" s="1"/>
      </tp>
      <tp t="s">
        <v>BSE</v>
        <stp/>
        <stp>bse_cm|829PFL29</stp>
        <stp>Exchange</stp>
        <tr r="C930" s="1"/>
      </tp>
      <tp>
        <v>1000</v>
        <stp/>
        <stp>bse_cm|93SCFL25</stp>
        <stp>Face Value</stp>
        <tr r="Q980" s="1"/>
      </tp>
      <tp>
        <v>1000</v>
        <stp/>
        <stp>bse_cm|IML16224</stp>
        <stp>Face Value</stp>
        <tr r="Q1499" s="1"/>
      </tp>
      <tp>
        <v>1000</v>
        <stp/>
        <stp>bse_cm|927MFL26</stp>
        <stp>Face Value</stp>
        <tr r="Q1457" s="1"/>
      </tp>
      <tp>
        <v>1000</v>
        <stp/>
        <stp>bse_cm|925KFL26</stp>
        <stp>Face Value</stp>
        <tr r="Q775" s="1"/>
      </tp>
      <tp>
        <v>1000</v>
        <stp/>
        <stp>bse_cm|925KFL27</stp>
        <stp>Face Value</stp>
        <tr r="Q313" s="1"/>
      </tp>
      <tp>
        <v>1000</v>
        <stp/>
        <stp>bse_cm|925MFL25</stp>
        <stp>Face Value</stp>
        <tr r="Q1466" s="1"/>
      </tp>
      <tp>
        <v>1000</v>
        <stp/>
        <stp>bse_cm|925MFL26</stp>
        <stp>Face Value</stp>
        <tr r="Q230" s="1"/>
      </tp>
      <tp>
        <v>1000</v>
        <stp/>
        <stp>bse_cm|925SFL26</stp>
        <stp>Face Value</stp>
        <tr r="Q850" s="1"/>
      </tp>
      <tp>
        <v>1000</v>
        <stp/>
        <stp>bse_cm|925SFL27</stp>
        <stp>Face Value</stp>
        <tr r="Q849" s="1"/>
      </tp>
      <tp t="s">
        <v>INE530B08102</v>
        <stp/>
        <stp>nse_cm|96IIFL28A-NF</stp>
        <stp>Isin code</stp>
        <tr r="R81" s="1"/>
      </tp>
      <tp t="s">
        <v>SCLZC26C-NB</v>
        <stp/>
        <stp>nse_cm|SCLZC26C-NB</stp>
        <stp>Trading Symbol</stp>
        <tr r="B1537" s="1"/>
      </tp>
      <tp t="s">
        <v>SCLZC25C-NI</v>
        <stp/>
        <stp>nse_cm|SCLZC25C-NI</stp>
        <stp>Trading Symbol</stp>
        <tr r="B908" s="1"/>
      </tp>
      <tp>
        <v>1000</v>
        <stp/>
        <stp>bse_cm|950KFL27</stp>
        <stp>Face Value</stp>
        <tr r="Q143" s="1"/>
      </tp>
      <tp>
        <v>1000</v>
        <stp/>
        <stp>bse_cm|950MFL27</stp>
        <stp>Face Value</stp>
        <tr r="Q1147" s="1"/>
      </tp>
      <tp>
        <v>1000</v>
        <stp/>
        <stp>bse_cm|950SFL27</stp>
        <stp>Face Value</stp>
        <tr r="Q1144" s="1"/>
      </tp>
      <tp>
        <v>1000</v>
        <stp/>
        <stp>bse_cm|95KAFL25</stp>
        <stp>Face Value</stp>
        <tr r="Q40" s="1"/>
      </tp>
      <tp>
        <v>1000</v>
        <stp/>
        <stp>bse_cm|944MFL28</stp>
        <stp>Face Value</stp>
        <tr r="Q677" s="1"/>
      </tp>
      <tp>
        <v>1000</v>
        <stp/>
        <stp>bse_cm|975MFL25</stp>
        <stp>Face Value</stp>
        <tr r="Q855" s="1"/>
      </tp>
      <tp>
        <v>1000</v>
        <stp/>
        <stp>bse_cm|975NFL25</stp>
        <stp>Face Value</stp>
        <tr r="Q623" s="1"/>
      </tp>
      <tp>
        <v>1000</v>
        <stp/>
        <stp>bse_cm|975MFL29</stp>
        <stp>Face Value</stp>
        <tr r="Q683" s="1"/>
      </tp>
      <tp t="s">
        <v>INE148I07OJ1</v>
        <stp/>
        <stp>nse_cm|888SCL25A-AQ</stp>
        <stp>Isin code</stp>
        <tr r="R910" s="1"/>
      </tp>
      <tp>
        <v>1275.45</v>
        <stp/>
        <stp>bse_cm|DLSL25</stp>
        <stp>Bid Rate</stp>
        <tr r="E1747" s="1"/>
      </tp>
      <tp>
        <v>1000</v>
        <stp/>
        <stp>bse_cm|96IIFL28</stp>
        <stp>Face Value</stp>
        <tr r="Q118" s="1"/>
      </tp>
      <tp>
        <v>1000</v>
        <stp/>
        <stp>bse_cm|98NWFL30</stp>
        <stp>Face Value</stp>
        <tr r="Q231" s="1"/>
      </tp>
      <tp>
        <v>0</v>
        <stp/>
        <stp>nse_cm|94SFL28-YL</stp>
        <stp>% Change</stp>
        <tr r="J5" s="1"/>
      </tp>
      <tp t="s">
        <v>BSE</v>
        <stp/>
        <stp>bse_cm|718REC35</stp>
        <stp>Exchange</stp>
        <tr r="C549" s="1"/>
      </tp>
      <tp>
        <v>0</v>
        <stp/>
        <stp>nse_cm|1025ICCL26-NT</stp>
        <stp>ATP</stp>
        <tr r="K771" s="1"/>
      </tp>
      <tp>
        <v>0</v>
        <stp/>
        <stp>nse_cm|9IIFL28-Y0</stp>
        <stp>% Change</stp>
        <tr r="J175" s="1"/>
      </tp>
      <tp>
        <v>0</v>
        <stp/>
        <stp>nse_cm|1077IIFL30-N7</stp>
        <stp>ATP</stp>
        <tr r="K996" s="1"/>
      </tp>
      <tp>
        <v>910.25</v>
        <stp/>
        <stp>nse_cm|865IFL28-NZ</stp>
        <stp>Bid Rate</stp>
        <tr r="E103" s="1"/>
      </tp>
      <tp t="s">
        <v>BSE</v>
        <stp/>
        <stp>bse_cm|879SCL26</stp>
        <stp>Exchange</stp>
        <tr r="C1351" s="1"/>
      </tp>
      <tp t="s">
        <v>BSE</v>
        <stp/>
        <stp>bse_cm|889SCL26</stp>
        <stp>Exchange</stp>
        <tr r="C237" s="1"/>
      </tp>
      <tp>
        <v>901.2</v>
        <stp/>
        <stp>nse_cm|890ICCL23A-NZ</stp>
        <stp>LTP</stp>
        <tr r="H1363" s="1"/>
      </tp>
      <tp t="s">
        <v/>
        <stp/>
        <stp>nse_cm|890ICCL23A-NZ</stp>
        <stp>LTT</stp>
        <tr r="I1363" s="1"/>
      </tp>
      <tp t="s">
        <v>BSE</v>
        <stp/>
        <stp>bse_cm|889SCL27</stp>
        <stp>Exchange</stp>
        <tr r="C121" s="1"/>
      </tp>
      <tp t="s">
        <v>BSE</v>
        <stp/>
        <stp>bse_cm|939SCL27</stp>
        <stp>Exchange</stp>
        <tr r="C985" s="1"/>
      </tp>
      <tp t="s">
        <v>INE051307BE0</v>
        <stp/>
        <stp>bse_cm|CCIL14824A</stp>
        <stp>Isin code</stp>
        <tr r="R590" s="1"/>
      </tp>
      <tp>
        <v>0</v>
        <stp/>
        <stp>nse_cm|SCFL310524-ZE</stp>
        <stp>Ask Rate</stp>
        <tr r="F1240" s="1"/>
      </tp>
      <tp t="s">
        <v>INE244L07358</v>
        <stp/>
        <stp>bse_cm|948ICCL25A</stp>
        <stp>Isin code</stp>
        <tr r="R1398" s="1"/>
      </tp>
      <tp t="s">
        <v>1065NFL27-NC</v>
        <stp/>
        <stp>nse_cm|1065NFL27-NC</stp>
        <stp>Trading Symbol</stp>
        <tr r="B170" s="1"/>
      </tp>
      <tp t="s">
        <v>1119NFL27-ND</v>
        <stp/>
        <stp>nse_cm|1119NFL27-ND</stp>
        <stp>Trading Symbol</stp>
        <tr r="B337" s="1"/>
      </tp>
      <tp t="s">
        <v>INE05F407BA8</v>
        <stp/>
        <stp>bse_cm|MML24</stp>
        <stp>Isin code</stp>
        <tr r="R1740" s="1"/>
      </tp>
      <tp t="s">
        <v>INE202E07229</v>
        <stp/>
        <stp>nse_cm|774IREDA31-N7</stp>
        <stp>Isin code</stp>
        <tr r="R18" s="1"/>
      </tp>
      <tp t="s">
        <v>00:00:00</v>
        <stp/>
        <stp>bse_cm|825MFL2026</stp>
        <stp>LTT</stp>
        <tr r="I318" s="1"/>
      </tp>
      <tp>
        <v>0</v>
        <stp/>
        <stp>bse_cm|825MFL2026</stp>
        <stp>LTP</stp>
        <tr r="H318" s="1"/>
      </tp>
      <tp>
        <v>0</v>
        <stp/>
        <stp>bse_cm|810MFL2028</stp>
        <stp>LTP</stp>
        <tr r="H651" s="1"/>
      </tp>
      <tp t="s">
        <v>00:00:00</v>
        <stp/>
        <stp>bse_cm|810MFL2028</stp>
        <stp>LTT</stp>
        <tr r="I651" s="1"/>
      </tp>
      <tp t="s">
        <v>SCLZC25</v>
        <stp/>
        <stp>nse_cm|SCLZC25-YN</stp>
        <stp>Symbol</stp>
        <tr r="A1727" s="1"/>
      </tp>
      <tp t="s">
        <v>915EFSL26A</v>
        <stp/>
        <stp>bse_cm|915EFSL26A</stp>
        <stp>Symbol</stp>
        <tr r="A187" s="1"/>
      </tp>
      <tp t="s">
        <v>955EFSL26A</v>
        <stp/>
        <stp>bse_cm|955EFSL26A</stp>
        <stp>Symbol</stp>
        <tr r="A214" s="1"/>
      </tp>
      <tp t="s">
        <v>955EFSL26B</v>
        <stp/>
        <stp>bse_cm|955EFSL26B</stp>
        <stp>Symbol</stp>
        <tr r="A666" s="1"/>
      </tp>
      <tp t="s">
        <v>895EFSL25A</v>
        <stp/>
        <stp>bse_cm|895EFSL25A</stp>
        <stp>Symbol</stp>
        <tr r="A594" s="1"/>
      </tp>
      <tp t="s">
        <v>875EFSL24A</v>
        <stp/>
        <stp>bse_cm|875EFSL24A</stp>
        <stp>Symbol</stp>
        <tr r="A229" s="1"/>
      </tp>
      <tp t="s">
        <v>09:50:54</v>
        <stp/>
        <stp>bse_cm|739NHAI31A</stp>
        <stp>LTT</stp>
        <tr r="I546" s="1"/>
      </tp>
      <tp>
        <v>1095</v>
        <stp/>
        <stp>bse_cm|739NHAI31A</stp>
        <stp>LTP</stp>
        <tr r="H546" s="1"/>
      </tp>
      <tp>
        <v>0</v>
        <stp/>
        <stp>nse_cm|850NIRMA27-N7</stp>
        <stp>Open</stp>
        <tr r="M1010" s="1"/>
      </tp>
      <tp t="s">
        <v>955ICCL25A</v>
        <stp/>
        <stp>bse_cm|955ICCL25A</stp>
        <stp>Symbol</stp>
        <tr r="A1143" s="1"/>
      </tp>
      <tp t="s">
        <v>925ICCL25I</v>
        <stp/>
        <stp>bse_cm|925ICCL25I</stp>
        <stp>Symbol</stp>
        <tr r="A782" s="1"/>
      </tp>
      <tp t="s">
        <v>965ICCL25I</v>
        <stp/>
        <stp>bse_cm|965ICCL25I</stp>
        <stp>Symbol</stp>
        <tr r="A1430" s="1"/>
      </tp>
      <tp t="s">
        <v>925ICCL24A</v>
        <stp/>
        <stp>bse_cm|925ICCL24A</stp>
        <stp>Symbol</stp>
        <tr r="A1072" s="1"/>
      </tp>
      <tp t="s">
        <v>925IHFL25E</v>
        <stp/>
        <stp>bse_cm|925IHFL25E</stp>
        <stp>Symbol</stp>
        <tr r="A398" s="1"/>
      </tp>
      <tp t="s">
        <v>925IHFL25D</v>
        <stp/>
        <stp>bse_cm|925IHFL25D</stp>
        <stp>Symbol</stp>
        <tr r="A1671" s="1"/>
      </tp>
      <tp t="s">
        <v>965IHFL25D</v>
        <stp/>
        <stp>bse_cm|965IHFL25D</stp>
        <stp>Symbol</stp>
        <tr r="A1432" s="1"/>
      </tp>
      <tp t="s">
        <v>875IIFL26A</v>
        <stp/>
        <stp>bse_cm|875IIFL26A</stp>
        <stp>Symbol</stp>
        <tr r="A232" s="1"/>
      </tp>
      <tp t="s">
        <v>879NHPC28-N5</v>
        <stp/>
        <stp>nse_cm|879NHPC28-N5</stp>
        <stp>Trading Symbol</stp>
        <tr r="B464" s="1"/>
      </tp>
      <tp>
        <v>1023</v>
        <stp/>
        <stp>nse_cm|840CIFCL28-N4</stp>
        <stp>Open</stp>
        <tr r="M556" s="1"/>
      </tp>
      <tp>
        <v>0</v>
        <stp/>
        <stp>bse_cm|775MFL2025</stp>
        <stp>LTP</stp>
        <tr r="H336" s="1"/>
      </tp>
      <tp>
        <v>0</v>
        <stp/>
        <stp>bse_cm|785MFL2028</stp>
        <stp>LTP</stp>
        <tr r="H357" s="1"/>
      </tp>
      <tp>
        <v>975</v>
        <stp/>
        <stp>bse_cm|775MFL2026</stp>
        <stp>LTP</stp>
        <tr r="H240" s="1"/>
      </tp>
      <tp t="s">
        <v>00:00:00</v>
        <stp/>
        <stp>bse_cm|775MFL2025</stp>
        <stp>LTT</stp>
        <tr r="I336" s="1"/>
      </tp>
      <tp t="s">
        <v>00:00:00</v>
        <stp/>
        <stp>bse_cm|785MFL2028</stp>
        <stp>LTT</stp>
        <tr r="I357" s="1"/>
      </tp>
      <tp t="s">
        <v>11:27:00</v>
        <stp/>
        <stp>bse_cm|775MFL2026</stp>
        <stp>LTT</stp>
        <tr r="I240" s="1"/>
      </tp>
      <tp t="s">
        <v>91MOFSL27-N2</v>
        <stp/>
        <stp>nse_cm|91MOFSL27-N2</stp>
        <stp>Trading Symbol</stp>
        <tr r="B1611" s="1"/>
      </tp>
      <tp t="s">
        <v>105MMFL25A</v>
        <stp/>
        <stp>bse_cm|105MMFL25A</stp>
        <stp>Symbol</stp>
        <tr r="A1364" s="1"/>
      </tp>
      <tp t="s">
        <v>105MMFL25C</v>
        <stp/>
        <stp>bse_cm|105MMFL25C</stp>
        <stp>Symbol</stp>
        <tr r="A480" s="1"/>
      </tp>
      <tp t="s">
        <v>105MMFL25B</v>
        <stp/>
        <stp>bse_cm|105MMFL25B</stp>
        <stp>Symbol</stp>
        <tr r="A1390" s="1"/>
      </tp>
      <tp t="s">
        <v>875MFCL26C</v>
        <stp/>
        <stp>bse_cm|875MFCL26C</stp>
        <stp>Symbol</stp>
        <tr r="A309" s="1"/>
      </tp>
      <tp t="s">
        <v>CCIL110324</v>
        <stp/>
        <stp>bse_cm|CCIL110324</stp>
        <stp>Symbol</stp>
        <tr r="A754" s="1"/>
      </tp>
      <tp t="s">
        <v>975MFCL28E</v>
        <stp/>
        <stp>bse_cm|975MFCL28E</stp>
        <stp>Symbol</stp>
        <tr r="A303" s="1"/>
      </tp>
      <tp>
        <v>0</v>
        <stp/>
        <stp>nse_cm|IIFLHFZC27-NB</stp>
        <stp>Open</stp>
        <tr r="M1672" s="1"/>
      </tp>
      <tp>
        <v>-100</v>
        <stp/>
        <stp>bse_cm|925MFCL26</stp>
        <stp>% Change</stp>
        <tr r="J1610" s="1"/>
      </tp>
      <tp>
        <v>-0.19</v>
        <stp/>
        <stp>bse_cm|940MFCL26</stp>
        <stp>% Change</stp>
        <tr r="J200" s="1"/>
      </tp>
      <tp>
        <v>-100</v>
        <stp/>
        <stp>bse_cm|105MMFL25</stp>
        <stp>% Change</stp>
        <tr r="J1171" s="1"/>
      </tp>
      <tp>
        <v>-100</v>
        <stp/>
        <stp>bse_cm|10MMLTD24</stp>
        <stp>% Change</stp>
        <tr r="J1615" s="1"/>
      </tp>
      <tp>
        <v>15</v>
        <stp/>
        <stp>bse_cm|1004EFSL29</stp>
        <stp>Volume Traded Today</stp>
        <tr r="L1586" s="1"/>
      </tp>
      <tp>
        <v>-100</v>
        <stp/>
        <stp>bse_cm|890MFCL26</stp>
        <stp>% Change</stp>
        <tr r="J279" s="1"/>
      </tp>
      <tp>
        <v>-100</v>
        <stp/>
        <stp>bse_cm|915MFCL27</stp>
        <stp>% Change</stp>
        <tr r="J1472" s="1"/>
      </tp>
      <tp>
        <v>-100</v>
        <stp/>
        <stp>bse_cm|925MFCL27</stp>
        <stp>% Change</stp>
        <tr r="J262" s="1"/>
      </tp>
      <tp>
        <v>-100</v>
        <stp/>
        <stp>bse_cm|950MFCL27</stp>
        <stp>% Change</stp>
        <tr r="J1148" s="1"/>
      </tp>
      <tp>
        <v>-100</v>
        <stp/>
        <stp>bse_cm|965MFCL27</stp>
        <stp>% Change</stp>
        <tr r="J618" s="1"/>
      </tp>
      <tp>
        <v>-100</v>
        <stp/>
        <stp>bse_cm|88MMFSL26</stp>
        <stp>% Change</stp>
        <tr r="J988" s="1"/>
      </tp>
      <tp>
        <v>-100</v>
        <stp/>
        <stp>bse_cm|92MMFSL27</stp>
        <stp>% Change</stp>
        <tr r="J384" s="1"/>
      </tp>
      <tp>
        <v>0.09</v>
        <stp/>
        <stp>bse_cm|93MMFSL27</stp>
        <stp>% Change</stp>
        <tr r="J333" s="1"/>
      </tp>
      <tp t="s">
        <v>SCL310524A</v>
        <stp/>
        <stp>bse_cm|SCL310524A</stp>
        <stp>Symbol</stp>
        <tr r="A918" s="1"/>
      </tp>
      <tp>
        <v>0</v>
        <stp/>
        <stp>bse_cm|EFSL290424</stp>
        <stp>Volume Traded Today</stp>
        <tr r="L1334" s="1"/>
      </tp>
      <tp>
        <v>-100</v>
        <stp/>
        <stp>bse_cm|950MMFL25</stp>
        <stp>% Change</stp>
        <tr r="J1526" s="1"/>
      </tp>
      <tp>
        <v>0</v>
        <stp/>
        <stp>nse_cm|860CIFCL28-NG</stp>
        <stp>Open</stp>
        <tr r="M647" s="1"/>
      </tp>
      <tp>
        <v>-100</v>
        <stp/>
        <stp>bse_cm|975MMFL24</stp>
        <stp>% Change</stp>
        <tr r="J853" s="1"/>
      </tp>
      <tp>
        <v>-100</v>
        <stp/>
        <stp>bse_cm|915MMFS24</stp>
        <stp>% Change</stp>
        <tr r="J1752" s="1"/>
      </tp>
      <tp>
        <v>0</v>
        <stp/>
        <stp>nse_cm|850CIFCL26-NE</stp>
        <stp>Open</stp>
        <tr r="M450" s="1"/>
      </tp>
      <tp>
        <v>-100</v>
        <stp/>
        <stp>bse_cm|950MMFL26</stp>
        <stp>% Change</stp>
        <tr r="J291" s="1"/>
      </tp>
      <tp>
        <v>-100</v>
        <stp/>
        <stp>bse_cm|975MMFL26</stp>
        <stp>% Change</stp>
        <tr r="J215" s="1"/>
      </tp>
      <tp>
        <v>-100</v>
        <stp/>
        <stp>bse_cm|825MMFS27</stp>
        <stp>% Change</stp>
        <tr r="J1381" s="1"/>
      </tp>
      <tp>
        <v>0</v>
        <stp/>
        <stp>nse_cm|10IIFLSF27-NB</stp>
        <stp>Open</stp>
        <tr r="M1657" s="1"/>
      </tp>
      <tp>
        <v>-100</v>
        <stp/>
        <stp>bse_cm|990MFCL29</stp>
        <stp>% Change</stp>
        <tr r="J1449" s="1"/>
      </tp>
      <tp>
        <v>-100</v>
        <stp/>
        <stp>bse_cm|935MFCL29</stp>
        <stp>% Change</stp>
        <tr r="J239" s="1"/>
      </tp>
      <tp>
        <v>-0.78</v>
        <stp/>
        <stp>bse_cm|945MFCL29</stp>
        <stp>% Change</stp>
        <tr r="J682" s="1"/>
      </tp>
      <tp>
        <v>-100</v>
        <stp/>
        <stp>bse_cm|975MFCL29</stp>
        <stp>% Change</stp>
        <tr r="J856" s="1"/>
      </tp>
      <tp>
        <v>-100</v>
        <stp/>
        <stp>bse_cm|95MMFSL29</stp>
        <stp>% Change</stp>
        <tr r="J353" s="1"/>
      </tp>
      <tp>
        <v>0</v>
        <stp/>
        <stp>nse_cm|1075SCFL34-Z6</stp>
        <stp>Ask Rate</stp>
        <tr r="F882" s="1"/>
      </tp>
      <tp>
        <v>0</v>
        <stp/>
        <stp>nse_cm|1025SCFL34-Z5</stp>
        <stp>Ask Rate</stp>
        <tr r="F880" s="1"/>
      </tp>
      <tp>
        <v>0</v>
        <stp/>
        <stp>nse_cm|925ICCL24A-NE</stp>
        <stp>Volume Traded Today</stp>
        <tr r="L1393" s="1"/>
      </tp>
      <tp>
        <v>0</v>
        <stp/>
        <stp>nse_cm|955ICCL25A-NH</stp>
        <stp>Volume Traded Today</stp>
        <tr r="L486" s="1"/>
      </tp>
      <tp>
        <v>0</v>
        <stp/>
        <stp>nse_cm|965ICCL25I-NQ</stp>
        <stp>Volume Traded Today</stp>
        <tr r="L696" s="1"/>
      </tp>
      <tp>
        <v>0</v>
        <stp/>
        <stp>nse_cm|925ICCL25I-NP</stp>
        <stp>Volume Traded Today</stp>
        <tr r="L777" s="1"/>
      </tp>
      <tp>
        <v>0</v>
        <stp/>
        <stp>nse_cm|875IIFL26A-NQ</stp>
        <stp>Volume Traded Today</stp>
        <tr r="L634" s="1"/>
      </tp>
      <tp t="e">
        <v>#N/A</v>
        <stp/>
        <stp>bse_cm|MHFLZC24</stp>
        <stp>High</stp>
        <tr r="N35" s="1"/>
      </tp>
      <tp>
        <v>0</v>
        <stp/>
        <stp>nse_cm|925IHFL25E-N8</stp>
        <stp>Volume Traded Today</stp>
        <tr r="L561" s="1"/>
      </tp>
      <tp>
        <v>-100</v>
        <stp/>
        <stp>bse_cm|JMFPTBIL25</stp>
        <stp>% Change</stp>
        <tr r="J9" s="1"/>
      </tp>
      <tp>
        <v>0</v>
        <stp/>
        <stp>nse_cm|925IHFL25D-N6</stp>
        <stp>Volume Traded Today</stp>
        <tr r="L575" s="1"/>
      </tp>
      <tp>
        <v>0</v>
        <stp/>
        <stp>nse_cm|965IHFL25D-N7</stp>
        <stp>Volume Traded Today</stp>
        <tr r="L1469" s="1"/>
      </tp>
      <tp>
        <v>1317</v>
        <stp/>
        <stp>bse_cm|MMFLZC25</stp>
        <stp>High</stp>
        <tr r="N1731" s="1"/>
      </tp>
      <tp>
        <v>1565</v>
        <stp/>
        <stp>bse_cm|NWFLZC25</stp>
        <stp>High</stp>
        <tr r="N1758" s="1"/>
      </tp>
      <tp>
        <v>1640</v>
        <stp/>
        <stp>bse_cm|IIFLZC25</stp>
        <stp>High</stp>
        <tr r="N1743" s="1"/>
      </tp>
      <tp>
        <v>990</v>
        <stp/>
        <stp>bse_cm|8MFLTD26</stp>
        <stp>High</stp>
        <tr r="N321" s="1"/>
      </tp>
      <tp>
        <v>1495</v>
        <stp/>
        <stp>bse_cm|MMFLZC26</stp>
        <stp>High</stp>
        <tr r="N1261" s="1"/>
      </tp>
      <tp>
        <v>1546.21</v>
        <stp/>
        <stp>bse_cm|MHFLZC26</stp>
        <stp>High</stp>
        <tr r="N1714" s="1"/>
      </tp>
      <tp>
        <v>1200</v>
        <stp/>
        <stp>bse_cm|IIFLZC26</stp>
        <stp>High</stp>
        <tr r="N1236" s="1"/>
      </tp>
      <tp>
        <v>1657</v>
        <stp/>
        <stp>bse_cm|KAFLZC26</stp>
        <stp>High</stp>
        <tr r="N1316" s="1"/>
      </tp>
      <tp>
        <v>999.8</v>
        <stp/>
        <stp>bse_cm|8MFL2026</stp>
        <stp>High</stp>
        <tr r="N451" s="1"/>
      </tp>
      <tp>
        <v>971.5</v>
        <stp/>
        <stp>bse_cm|9SFL2026</stp>
        <stp>High</stp>
        <tr r="N1473" s="1"/>
      </tp>
      <tp>
        <v>982</v>
        <stp/>
        <stp>bse_cm|CIFCZC28</stp>
        <stp>High</stp>
        <tr r="N736" s="1"/>
      </tp>
      <tp>
        <v>1440</v>
        <stp/>
        <stp>bse_cm|MMFLZC27</stp>
        <stp>High</stp>
        <tr r="N1462" s="1"/>
      </tp>
      <tp>
        <v>-100</v>
        <stp/>
        <stp>bse_cm|EFSL28A</stp>
        <stp>% Change</stp>
        <tr r="J1335" s="1"/>
      </tp>
      <tp t="s">
        <v/>
        <stp/>
        <stp>nse_cm|1003SCL30A-NV</stp>
        <stp>LTT</stp>
        <tr r="I728" s="1"/>
      </tp>
      <tp>
        <v>912</v>
        <stp/>
        <stp>nse_cm|1003SCL30A-NV</stp>
        <stp>LTP</stp>
        <tr r="H728" s="1"/>
      </tp>
      <tp t="s">
        <v>INE530B07161</v>
        <stp/>
        <stp>nse_cm|842IIFL26-NL</stp>
        <stp>Isin code</stp>
        <tr r="R145" s="1"/>
      </tp>
      <tp>
        <v>1226.7</v>
        <stp/>
        <stp>nse_cm|SCL25-Y6</stp>
        <stp>Bid Rate</stp>
        <tr r="E1753" s="1"/>
      </tp>
      <tp>
        <v>990</v>
        <stp/>
        <stp>bse_cm|8MFLTD28</stp>
        <stp>High</stp>
        <tr r="N366" s="1"/>
      </tp>
      <tp>
        <v>1280</v>
        <stp/>
        <stp>bse_cm|MMFLZC28</stp>
        <stp>High</stp>
        <tr r="N1259" s="1"/>
      </tp>
      <tp>
        <v>1245</v>
        <stp/>
        <stp>bse_cm|IIFLZC28</stp>
        <stp>High</stp>
        <tr r="N1660" s="1"/>
      </tp>
      <tp>
        <v>1105</v>
        <stp/>
        <stp>bse_cm|KAFLZC28</stp>
        <stp>High</stp>
        <tr r="N1315" s="1"/>
      </tp>
      <tp>
        <v>0</v>
        <stp/>
        <stp>nse_cm|855IREDA34-N3</stp>
        <stp>ATP</stp>
        <tr r="K558" s="1"/>
      </tp>
      <tp>
        <v>1143.05</v>
        <stp/>
        <stp>nse_cm|855IREDA29-N2</stp>
        <stp>ATP</stp>
        <tr r="K505" s="1"/>
      </tp>
      <tp>
        <v>1020</v>
        <stp/>
        <stp>bse_cm|CIFCZC26</stp>
        <stp>High</stp>
        <tr r="N738" s="1"/>
      </tp>
      <tp>
        <v>1026</v>
        <stp/>
        <stp>bse_cm|IIFLHF29</stp>
        <stp>High</stp>
        <tr r="N1631" s="1"/>
      </tp>
      <tp>
        <v>1050</v>
        <stp/>
        <stp>bse_cm|CIFCZC25</stp>
        <stp>High</stp>
        <tr r="N1436" s="1"/>
      </tp>
      <tp t="s">
        <v>INE244L07317</v>
        <stp/>
        <stp>nse_cm|980ICCL28-NL</stp>
        <stp>Isin code</stp>
        <tr r="R780" s="1"/>
      </tp>
      <tp>
        <v>1005.5</v>
        <stp/>
        <stp>nse_cm|965AEL27-N4</stp>
        <stp>Bid Rate</stp>
        <tr r="E254" s="1"/>
      </tp>
      <tp t="s">
        <v>00:00:00</v>
        <stp/>
        <stp>bse_cm|10EFSL27</stp>
        <stp>LTT</stp>
        <tr r="I1139" s="1"/>
      </tp>
      <tp>
        <v>0</v>
        <stp/>
        <stp>bse_cm|10EFSL27</stp>
        <stp>LTP</stp>
        <tr r="H1139" s="1"/>
      </tp>
      <tp t="s">
        <v>00:00:00</v>
        <stp/>
        <stp>bse_cm|10EFSL34</stp>
        <stp>LTT</stp>
        <tr r="I164" s="1"/>
      </tp>
      <tp>
        <v>0</v>
        <stp/>
        <stp>bse_cm|10EFSL33</stp>
        <stp>LTP</stp>
        <tr r="H150" s="1"/>
      </tp>
      <tp>
        <v>0</v>
        <stp/>
        <stp>bse_cm|10EFSL34</stp>
        <stp>LTP</stp>
        <tr r="H164" s="1"/>
      </tp>
      <tp t="s">
        <v>00:00:00</v>
        <stp/>
        <stp>bse_cm|10EFSL33</stp>
        <stp>LTT</stp>
        <tr r="I150" s="1"/>
      </tp>
      <tp>
        <v>0</v>
        <stp/>
        <stp>bse_cm|10ARKA28</stp>
        <stp>ATP</stp>
        <tr r="K1400" s="1"/>
      </tp>
      <tp>
        <v>1782</v>
        <stp/>
        <stp>nse_cm|SFLZC26A-ZC</stp>
        <stp>Ask Rate</stp>
        <tr r="F1716" s="1"/>
      </tp>
      <tp>
        <v>1008</v>
        <stp/>
        <stp>bse_cm|10CAGL27</stp>
        <stp>LTP</stp>
        <tr r="H282" s="1"/>
      </tp>
      <tp t="s">
        <v>09:57:45</v>
        <stp/>
        <stp>bse_cm|10CAGL27</stp>
        <stp>LTT</stp>
        <tr r="I282" s="1"/>
      </tp>
      <tp t="s">
        <v>00:00:00</v>
        <stp/>
        <stp>bse_cm|10MMFL27</stp>
        <stp>LTT</stp>
        <tr r="I1090" s="1"/>
      </tp>
      <tp>
        <v>0</v>
        <stp/>
        <stp>bse_cm|10MMFL27</stp>
        <stp>LTP</stp>
        <tr r="H1090" s="1"/>
      </tp>
      <tp>
        <v>0</v>
        <stp/>
        <stp>nse_cm|980SCL34-Z7</stp>
        <stp>Ask Rate</stp>
        <tr r="F884" s="1"/>
      </tp>
      <tp>
        <v>0</v>
        <stp/>
        <stp>bse_cm|10MFCL30</stp>
        <stp>LTP</stp>
        <tr r="H1091" s="1"/>
      </tp>
      <tp t="s">
        <v>00:00:00</v>
        <stp/>
        <stp>bse_cm|10MFCL30</stp>
        <stp>LTT</stp>
        <tr r="I1091" s="1"/>
      </tp>
      <tp>
        <v>990</v>
        <stp/>
        <stp>bse_cm|78ABFL33</stp>
        <stp xml:space="preserve">Low </stp>
        <tr r="O378" s="1"/>
      </tp>
      <tp>
        <v>1083.5</v>
        <stp/>
        <stp>bse_cm|81ABFL33</stp>
        <stp xml:space="preserve">Low </stp>
        <tr r="O1603" s="1"/>
      </tp>
      <tp>
        <v>0</v>
        <stp/>
        <stp>bse_cm|850MFL27</stp>
        <stp>Volume Traded Today</stp>
        <tr r="L265" s="1"/>
      </tp>
      <tp>
        <v>0</v>
        <stp/>
        <stp>bse_cm|950MFL27</stp>
        <stp>Volume Traded Today</stp>
        <tr r="L1147" s="1"/>
      </tp>
      <tp>
        <v>0</v>
        <stp/>
        <stp>bse_cm|750MFL27</stp>
        <stp>Volume Traded Today</stp>
        <tr r="L274" s="1"/>
      </tp>
      <tp>
        <v>0</v>
        <stp/>
        <stp>bse_cm|850MFL24</stp>
        <stp>Volume Traded Today</stp>
        <tr r="L1100" s="1"/>
      </tp>
      <tp>
        <v>0</v>
        <stp/>
        <stp>bse_cm|950MML24</stp>
        <stp>Volume Traded Today</stp>
        <tr r="L304" s="1"/>
      </tp>
      <tp>
        <v>0</v>
        <stp/>
        <stp>bse_cm|950KFL27</stp>
        <stp>Volume Traded Today</stp>
        <tr r="L143" s="1"/>
      </tp>
      <tp>
        <v>0</v>
        <stp/>
        <stp>bse_cm|850MFL29</stp>
        <stp>Volume Traded Today</stp>
        <tr r="L356" s="1"/>
      </tp>
      <tp>
        <v>0</v>
        <stp/>
        <stp>bse_cm|850MFL28</stp>
        <stp>Volume Traded Today</stp>
        <tr r="L236" s="1"/>
      </tp>
      <tp>
        <v>0</v>
        <stp/>
        <stp>bse_cm|850SCL25</stp>
        <stp>Volume Traded Today</stp>
        <tr r="L923" s="1"/>
      </tp>
      <tp>
        <v>0</v>
        <stp/>
        <stp>bse_cm|950SFL27</stp>
        <stp>Volume Traded Today</stp>
        <tr r="L1144" s="1"/>
      </tp>
      <tp>
        <v>0</v>
        <stp/>
        <stp>bse_cm|10NHFL27</stp>
        <stp>LTP</stp>
        <tr r="H658" s="1"/>
      </tp>
      <tp t="s">
        <v>00:00:00</v>
        <stp/>
        <stp>bse_cm|10NHFL27</stp>
        <stp>LTT</stp>
        <tr r="I658" s="1"/>
      </tp>
      <tp>
        <v>21</v>
        <stp/>
        <stp>bse_cm|957VCL25</stp>
        <stp>Volume Traded Today</stp>
        <tr r="L53" s="1"/>
      </tp>
      <tp>
        <v>0</v>
        <stp/>
        <stp>bse_cm|857SCL24</stp>
        <stp>Volume Traded Today</stp>
        <tr r="L1002" s="1"/>
      </tp>
      <tp>
        <v>5800</v>
        <stp/>
        <stp>nse_cm|888NHB29-N5</stp>
        <stp>Bid Rate</stp>
        <tr r="E504" s="1"/>
      </tp>
      <tp>
        <v>0</v>
        <stp/>
        <stp>bse_cm|10ISFL26</stp>
        <stp>LTP</stp>
        <tr r="H1509" s="1"/>
      </tp>
      <tp t="s">
        <v>00:00:00</v>
        <stp/>
        <stp>bse_cm|10ISFL26</stp>
        <stp>LTT</stp>
        <tr r="I1509" s="1"/>
      </tp>
      <tp>
        <v>936.76</v>
        <stp/>
        <stp>nse_cm|865SCL26-N8</stp>
        <stp>Bid Rate</stp>
        <tr r="E310" s="1"/>
      </tp>
      <tp t="s">
        <v>00:00:00</v>
        <stp/>
        <stp>bse_cm|10IIFL28</stp>
        <stp>LTT</stp>
        <tr r="I68" s="1"/>
      </tp>
      <tp t="s">
        <v>00:00:00</v>
        <stp/>
        <stp>bse_cm|10IIFL29</stp>
        <stp>LTT</stp>
        <tr r="I307" s="1"/>
      </tp>
      <tp t="s">
        <v>00:00:00</v>
        <stp/>
        <stp>bse_cm|10IFSL26</stp>
        <stp>LTT</stp>
        <tr r="I428" s="1"/>
      </tp>
      <tp>
        <v>0</v>
        <stp/>
        <stp>bse_cm|10IIFL28</stp>
        <stp>LTP</stp>
        <tr r="H68" s="1"/>
      </tp>
      <tp>
        <v>0</v>
        <stp/>
        <stp>bse_cm|10IIFL29</stp>
        <stp>LTP</stp>
        <tr r="H307" s="1"/>
      </tp>
      <tp>
        <v>0</v>
        <stp/>
        <stp>bse_cm|10IFSL26</stp>
        <stp>LTP</stp>
        <tr r="H428" s="1"/>
      </tp>
      <tp>
        <v>30</v>
        <stp/>
        <stp>bse_cm|956AEL29</stp>
        <stp>Volume Traded Today</stp>
        <tr r="L311" s="1"/>
      </tp>
      <tp>
        <v>0</v>
        <stp/>
        <stp>bse_cm|957SCL31</stp>
        <stp>Volume Traded Today</stp>
        <tr r="L1108" s="1"/>
      </tp>
      <tp>
        <v>0</v>
        <stp/>
        <stp>bse_cm|957SCL30</stp>
        <stp>Volume Traded Today</stp>
        <tr r="L1110" s="1"/>
      </tp>
      <tp>
        <v>0</v>
        <stp/>
        <stp>bse_cm|SCLZC26E</stp>
        <stp>ATP</stp>
        <tr r="K900" s="1"/>
      </tp>
      <tp>
        <v>0</v>
        <stp/>
        <stp>bse_cm|SCLZC26D</stp>
        <stp>ATP</stp>
        <tr r="K705" s="1"/>
      </tp>
      <tp>
        <v>0</v>
        <stp/>
        <stp>bse_cm|SCLZC26G</stp>
        <stp>ATP</stp>
        <tr r="K799" s="1"/>
      </tp>
      <tp>
        <v>0</v>
        <stp/>
        <stp>bse_cm|SCLZC26F</stp>
        <stp>ATP</stp>
        <tr r="K898" s="1"/>
      </tp>
      <tp>
        <v>0</v>
        <stp/>
        <stp>bse_cm|SCLZC26A</stp>
        <stp>ATP</stp>
        <tr r="K1343" s="1"/>
      </tp>
      <tp>
        <v>0</v>
        <stp/>
        <stp>bse_cm|SCLZC26C</stp>
        <stp>ATP</stp>
        <tr r="K1399" s="1"/>
      </tp>
      <tp>
        <v>0</v>
        <stp/>
        <stp>bse_cm|SCLZC26B</stp>
        <stp>ATP</stp>
        <tr r="K992" s="1"/>
      </tp>
      <tp>
        <v>0</v>
        <stp/>
        <stp>bse_cm|SCLZC26H</stp>
        <stp>ATP</stp>
        <tr r="K814" s="1"/>
      </tp>
      <tp>
        <v>1490</v>
        <stp/>
        <stp>bse_cm|JMFPZC25</stp>
        <stp>High</stp>
        <tr r="N1324" s="1"/>
      </tp>
      <tp>
        <v>0</v>
        <stp/>
        <stp>bse_cm|955SCL25</stp>
        <stp>Volume Traded Today</stp>
        <tr r="L1128" s="1"/>
      </tp>
      <tp>
        <v>0</v>
        <stp/>
        <stp>bse_cm|955SCL27</stp>
        <stp>Volume Traded Today</stp>
        <tr r="L621" s="1"/>
      </tp>
      <tp>
        <v>0</v>
        <stp/>
        <stp>nse_cm|SFLZC25A-ZK</stp>
        <stp>Ask Rate</stp>
        <tr r="F1582" s="1"/>
      </tp>
      <tp>
        <v>0</v>
        <stp/>
        <stp>bse_cm|SCLZC25E</stp>
        <stp>ATP</stp>
        <tr r="K907" s="1"/>
      </tp>
      <tp>
        <v>0</v>
        <stp/>
        <stp>bse_cm|SCLZC25D</stp>
        <stp>ATP</stp>
        <tr r="K1573" s="1"/>
      </tp>
      <tp>
        <v>0</v>
        <stp/>
        <stp>bse_cm|SCLZC25F</stp>
        <stp>ATP</stp>
        <tr r="K1542" s="1"/>
      </tp>
      <tp>
        <v>0</v>
        <stp/>
        <stp>bse_cm|SCLZC25A</stp>
        <stp>ATP</stp>
        <tr r="K1233" s="1"/>
      </tp>
      <tp>
        <v>0</v>
        <stp/>
        <stp>bse_cm|SCLZC25C</stp>
        <stp>ATP</stp>
        <tr r="K1231" s="1"/>
      </tp>
      <tp>
        <v>0</v>
        <stp/>
        <stp>bse_cm|SCLZC25B</stp>
        <stp>ATP</stp>
        <tr r="K1540" s="1"/>
      </tp>
      <tp>
        <v>960</v>
        <stp/>
        <stp>bse_cm|10KSFL25</stp>
        <stp>LTP</stp>
        <tr r="H107" s="1"/>
      </tp>
      <tp t="s">
        <v>00:00:00</v>
        <stp/>
        <stp>bse_cm|10KSFL25</stp>
        <stp>LTT</stp>
        <tr r="I107" s="1"/>
      </tp>
      <tp>
        <v>1610</v>
        <stp/>
        <stp>bse_cm|JMFPZC26</stp>
        <stp>High</stp>
        <tr r="N1323" s="1"/>
      </tp>
      <tp>
        <v>0</v>
        <stp/>
        <stp>bse_cm|10KAFL26</stp>
        <stp>LTP</stp>
        <tr r="H1096" s="1"/>
      </tp>
      <tp>
        <v>0</v>
        <stp/>
        <stp>bse_cm|10JFPL30</stp>
        <stp>LTP</stp>
        <tr r="H1097" s="1"/>
      </tp>
      <tp t="s">
        <v>00:00:00</v>
        <stp/>
        <stp>bse_cm|10KFIL27</stp>
        <stp>LTT</stp>
        <tr r="I183" s="1"/>
      </tp>
      <tp t="s">
        <v>00:00:00</v>
        <stp/>
        <stp>bse_cm|10KAFL26</stp>
        <stp>LTT</stp>
        <tr r="I1096" s="1"/>
      </tp>
      <tp t="s">
        <v>00:00:00</v>
        <stp/>
        <stp>bse_cm|10JFPL30</stp>
        <stp>LTT</stp>
        <tr r="I1097" s="1"/>
      </tp>
      <tp>
        <v>0</v>
        <stp/>
        <stp>bse_cm|10KFIL27</stp>
        <stp>LTP</stp>
        <tr r="H183" s="1"/>
      </tp>
      <tp>
        <v>1001</v>
        <stp/>
        <stp>nse_cm|960IIFLS26-N9</stp>
        <stp>LTP</stp>
        <tr r="H1489" s="1"/>
      </tp>
      <tp>
        <v>826</v>
        <stp/>
        <stp>nse_cm|920IIFLS26-N8</stp>
        <stp>LTP</stp>
        <tr r="H208" s="1"/>
      </tp>
      <tp t="s">
        <v/>
        <stp/>
        <stp>nse_cm|960IIFLS26-N9</stp>
        <stp>LTT</stp>
        <tr r="I1489" s="1"/>
      </tp>
      <tp t="s">
        <v/>
        <stp/>
        <stp>nse_cm|920IIFLS26-N8</stp>
        <stp>LTT</stp>
        <tr r="I208" s="1"/>
      </tp>
      <tp>
        <v>1594.86</v>
        <stp/>
        <stp>bse_cm|ECLZC24B</stp>
        <stp>ATP</stp>
        <tr r="K1767" s="1"/>
      </tp>
      <tp>
        <v>0</v>
        <stp/>
        <stp>bse_cm|915SCL26</stp>
        <stp>LTP</stp>
        <tr r="H148" s="1"/>
      </tp>
      <tp>
        <v>0</v>
        <stp/>
        <stp>bse_cm|915SCL27</stp>
        <stp>LTP</stp>
        <tr r="H1127" s="1"/>
      </tp>
      <tp>
        <v>0</v>
        <stp/>
        <stp>bse_cm|734REC30</stp>
        <stp>ATP</stp>
        <tr r="K524" s="1"/>
      </tp>
      <tp t="s">
        <v>00:00:00</v>
        <stp/>
        <stp>bse_cm|915SCL26</stp>
        <stp>LTT</stp>
        <tr r="I148" s="1"/>
      </tp>
      <tp t="s">
        <v>00:00:00</v>
        <stp/>
        <stp>bse_cm|915SCL27</stp>
        <stp>LTT</stp>
        <tr r="I1127" s="1"/>
      </tp>
      <tp t="s">
        <v>00:00:00</v>
        <stp/>
        <stp>bse_cm|915MFL27</stp>
        <stp>LTT</stp>
        <tr r="I614" s="1"/>
      </tp>
      <tp t="s">
        <v>09:55:26</v>
        <stp/>
        <stp>bse_cm|915MFL25</stp>
        <stp>LTT</stp>
        <tr r="I105" s="1"/>
      </tp>
      <tp>
        <v>0</v>
        <stp/>
        <stp>bse_cm|915MFL27</stp>
        <stp>LTP</stp>
        <tr r="H614" s="1"/>
      </tp>
      <tp>
        <v>0</v>
        <stp/>
        <stp>bse_cm|865LTF26</stp>
        <stp>ATP</stp>
        <tr r="K391" s="1"/>
      </tp>
      <tp>
        <v>0</v>
        <stp/>
        <stp>bse_cm|955ONE27</stp>
        <stp>ATP</stp>
        <tr r="K1129" s="1"/>
      </tp>
      <tp>
        <v>971.81</v>
        <stp/>
        <stp>bse_cm|915MFL25</stp>
        <stp>LTP</stp>
        <tr r="H105" s="1"/>
      </tp>
      <tp>
        <v>0</v>
        <stp/>
        <stp>bse_cm|915MFL28</stp>
        <stp>LTP</stp>
        <tr r="H283" s="1"/>
      </tp>
      <tp t="s">
        <v>00:00:00</v>
        <stp/>
        <stp>bse_cm|915MFL28</stp>
        <stp>LTT</stp>
        <tr r="I283" s="1"/>
      </tp>
      <tp t="s">
        <v>00:00:00</v>
        <stp/>
        <stp>bse_cm|985ONE34</stp>
        <stp>LTT</stp>
        <tr r="I1101" s="1"/>
      </tp>
      <tp>
        <v>0</v>
        <stp/>
        <stp>bse_cm|985ONE34</stp>
        <stp>LTP</stp>
        <tr r="H1101" s="1"/>
      </tp>
      <tp>
        <v>1295.17</v>
        <stp/>
        <stp>nse_cm|886REC34-NG</stp>
        <stp>Bid Rate</stp>
        <tr r="E536" s="1"/>
      </tp>
      <tp t="s">
        <v>BSE</v>
        <stp/>
        <stp>bse_cm|898ONE26</stp>
        <stp>Exchange</stp>
        <tr r="C1154" s="1"/>
      </tp>
      <tp>
        <v>1010</v>
        <stp/>
        <stp>nse_cm|9ICCL23A-N0</stp>
        <stp>Bid Rate</stp>
        <tr r="E657" s="1"/>
      </tp>
      <tp>
        <v>900</v>
        <stp/>
        <stp>bse_cm|916SCL25</stp>
        <stp>LTP</stp>
        <tr r="H964" s="1"/>
      </tp>
      <tp t="s">
        <v>15:15:15</v>
        <stp/>
        <stp>bse_cm|916SCL25</stp>
        <stp>LTT</stp>
        <tr r="I964" s="1"/>
      </tp>
      <tp>
        <v>1025</v>
        <stp/>
        <stp>bse_cm|MFLZC29A</stp>
        <stp>High</stp>
        <tr r="N1554" s="1"/>
      </tp>
      <tp t="s">
        <v>00:00:00</v>
        <stp/>
        <stp>bse_cm|886ONE25</stp>
        <stp>LTT</stp>
        <tr r="I723" s="1"/>
      </tp>
      <tp>
        <v>0</v>
        <stp/>
        <stp>bse_cm|886ONE25</stp>
        <stp>LTP</stp>
        <tr r="H723" s="1"/>
      </tp>
      <tp t="s">
        <v>00:00:00</v>
        <stp/>
        <stp>bse_cm|910MFL26</stp>
        <stp>LTT</stp>
        <tr r="I277" s="1"/>
      </tp>
      <tp t="s">
        <v>00:00:00</v>
        <stp/>
        <stp>bse_cm|810MFL25</stp>
        <stp>LTT</stp>
        <tr r="I429" s="1"/>
      </tp>
      <tp>
        <v>0</v>
        <stp/>
        <stp>bse_cm|910MFL26</stp>
        <stp>LTP</stp>
        <tr r="H277" s="1"/>
      </tp>
      <tp>
        <v>0</v>
        <stp/>
        <stp>bse_cm|810MFL25</stp>
        <stp>LTP</stp>
        <tr r="H429" s="1"/>
      </tp>
      <tp>
        <v>1000</v>
        <stp/>
        <stp>bse_cm|895EFS25</stp>
        <stp>Face Value</stp>
        <tr r="Q730" s="1"/>
      </tp>
      <tp>
        <v>-100</v>
        <stp/>
        <stp>bse_cm|MMFSL26</stp>
        <stp>% Change</stp>
        <tr r="J1258" s="1"/>
      </tp>
      <tp>
        <v>-0.61</v>
        <stp/>
        <stp>bse_cm|9MFCL26</stp>
        <stp>% Change</stp>
        <tr r="J156" s="1"/>
      </tp>
      <tp>
        <v>0</v>
        <stp/>
        <stp>bse_cm|MML27524</stp>
        <stp>Volume Traded Today</stp>
        <tr r="L1511" s="1"/>
      </tp>
      <tp>
        <v>830.2</v>
        <stp/>
        <stp>nse_cm|879SCL26-NC</stp>
        <stp>Bid Rate</stp>
        <tr r="E720" s="1"/>
      </tp>
      <tp t="s">
        <v>BSE</v>
        <stp/>
        <stp>bse_cm|898LTF29</stp>
        <stp>Exchange</stp>
        <tr r="C416" s="1"/>
      </tp>
      <tp>
        <v>1186.71</v>
        <stp/>
        <stp>nse_cm|888REC29-NF</stp>
        <stp>Bid Rate</stp>
        <tr r="E522" s="1"/>
      </tp>
      <tp>
        <v>901.5</v>
        <stp/>
        <stp>bse_cm|10KFL28A</stp>
        <stp xml:space="preserve">Low </stp>
        <tr r="O1423" s="1"/>
      </tp>
      <tp>
        <v>1000</v>
        <stp/>
        <stp>bse_cm|810MFL25</stp>
        <stp>Face Value</stp>
        <tr r="Q429" s="1"/>
      </tp>
      <tp>
        <v>1021.11</v>
        <stp/>
        <stp>bse_cm|EFSL28</stp>
        <stp>Bid Rate</stp>
        <tr r="E1609" s="1"/>
      </tp>
      <tp>
        <v>905.7</v>
        <stp/>
        <stp>nse_cm|975SCL28-NT</stp>
        <stp>Bid Rate</stp>
        <tr r="E142" s="1"/>
      </tp>
      <tp>
        <v>1000</v>
        <stp/>
        <stp>bse_cm|81ABFL33</stp>
        <stp>Face Value</stp>
        <tr r="Q1603" s="1"/>
      </tp>
      <tp>
        <v>833</v>
        <stp/>
        <stp>bse_cm|EFSL29</stp>
        <stp>Bid Rate</stp>
        <tr r="E659" s="1"/>
      </tp>
      <tp>
        <v>1000</v>
        <stp/>
        <stp>bse_cm|835IFL25</stp>
        <stp>Face Value</stp>
        <tr r="Q668" s="1"/>
      </tp>
      <tp>
        <v>1000</v>
        <stp/>
        <stp>bse_cm|835MFL26</stp>
        <stp>Face Value</stp>
        <tr r="Q169" s="1"/>
      </tp>
      <tp>
        <v>1000</v>
        <stp/>
        <stp>bse_cm|825KFL25</stp>
        <stp>Face Value</stp>
        <tr r="Q252" s="1"/>
      </tp>
      <tp>
        <v>1000</v>
        <stp/>
        <stp>bse_cm|825MFL25</stp>
        <stp>Face Value</stp>
        <tr r="Q596" s="1"/>
      </tp>
      <tp>
        <v>1000</v>
        <stp/>
        <stp>bse_cm|825MFL26</stp>
        <stp>Face Value</stp>
        <tr r="Q418" s="1"/>
      </tp>
      <tp>
        <v>1000</v>
        <stp/>
        <stp>bse_cm|825MFL27</stp>
        <stp>Face Value</stp>
        <tr r="Q344" s="1"/>
      </tp>
      <tp>
        <v>1000</v>
        <stp/>
        <stp>bse_cm|825MFL29</stp>
        <stp>Face Value</stp>
        <tr r="Q473" s="1"/>
      </tp>
      <tp>
        <v>1000</v>
        <stp/>
        <stp>bse_cm|829PFL29</stp>
        <stp>Face Value</stp>
        <tr r="Q930" s="1"/>
      </tp>
      <tp t="s">
        <v>SCLZC25B-AT</v>
        <stp/>
        <stp>nse_cm|SCLZC25B-AT</stp>
        <stp>Trading Symbol</stp>
        <tr r="B1541" s="1"/>
      </tp>
      <tp t="s">
        <v>SCLZC26B-AY</v>
        <stp/>
        <stp>nse_cm|SCLZC26B-AY</stp>
        <stp>Trading Symbol</stp>
        <tr r="B1658" s="1"/>
      </tp>
      <tp>
        <v>0</v>
        <stp/>
        <stp>nse_cm|894SCL27-ZY</stp>
        <stp>Ask Rate</stp>
        <tr r="F731" s="1"/>
      </tp>
      <tp>
        <v>1000</v>
        <stp/>
        <stp>bse_cm|850MFL24</stp>
        <stp>Face Value</stp>
        <tr r="Q1100" s="1"/>
      </tp>
      <tp>
        <v>1000</v>
        <stp/>
        <stp>bse_cm|850MFL27</stp>
        <stp>Face Value</stp>
        <tr r="Q265" s="1"/>
      </tp>
      <tp>
        <v>1000</v>
        <stp/>
        <stp>bse_cm|850MFL28</stp>
        <stp>Face Value</stp>
        <tr r="Q236" s="1"/>
      </tp>
      <tp>
        <v>1000</v>
        <stp/>
        <stp>bse_cm|850MFL29</stp>
        <stp>Face Value</stp>
        <tr r="Q356" s="1"/>
      </tp>
      <tp>
        <v>1000</v>
        <stp/>
        <stp>bse_cm|85IIFL25</stp>
        <stp>Face Value</stp>
        <tr r="Q134" s="1"/>
      </tp>
      <tp>
        <v>1000</v>
        <stp/>
        <stp>bse_cm|840MFL27</stp>
        <stp>Face Value</stp>
        <tr r="Q133" s="1"/>
      </tp>
      <tp>
        <v>1000</v>
        <stp/>
        <stp>bse_cm|870MFL27</stp>
        <stp>Face Value</stp>
        <tr r="Q399" s="1"/>
      </tp>
      <tp>
        <v>1000</v>
        <stp/>
        <stp>bse_cm|875KFL26</stp>
        <stp>Face Value</stp>
        <tr r="Q1156" s="1"/>
      </tp>
      <tp>
        <v>1000</v>
        <stp/>
        <stp>bse_cm|875KFL25</stp>
        <stp>Face Value</stp>
        <tr r="Q50" s="1"/>
      </tp>
      <tp>
        <v>1000</v>
        <stp/>
        <stp>bse_cm|875MFL26</stp>
        <stp>Face Value</stp>
        <tr r="Q161" s="1"/>
      </tp>
      <tp>
        <v>1000</v>
        <stp/>
        <stp>bse_cm|875MFL28</stp>
        <stp>Face Value</stp>
        <tr r="Q689" s="1"/>
      </tp>
      <tp>
        <v>1000</v>
        <stp/>
        <stp>bse_cm|875SFL27</stp>
        <stp>Face Value</stp>
        <tr r="Q578" s="1"/>
      </tp>
      <tp>
        <v>1000</v>
        <stp/>
        <stp>bse_cm|875SFL25</stp>
        <stp>Face Value</stp>
        <tr r="Q936" s="1"/>
      </tp>
      <tp>
        <v>5</v>
        <stp/>
        <stp>bse_cm|ICLFLZC29</stp>
        <stp>Bid Qty</stp>
        <tr r="D1613" s="1"/>
      </tp>
      <tp>
        <v>-100</v>
        <stp/>
        <stp>nse_cm|77IGT28-NE</stp>
        <stp>% Change</stp>
        <tr r="J1190" s="1"/>
      </tp>
      <tp>
        <v>0</v>
        <stp/>
        <stp>nse_cm|76IGT26-ND</stp>
        <stp>% Change</stp>
        <tr r="J527" s="1"/>
      </tp>
      <tp>
        <v>1000</v>
        <stp/>
        <stp>bse_cm|866SFL25</stp>
        <stp>Face Value</stp>
        <tr r="Q1652" s="1"/>
      </tp>
      <tp>
        <v>1000</v>
        <stp/>
        <stp>bse_cm|865IFL28</stp>
        <stp>Face Value</stp>
        <tr r="Q115" s="1"/>
      </tp>
      <tp t="s">
        <v>NSE</v>
        <stp/>
        <stp>nse_cm|9SCL26BA-NA</stp>
        <stp>Exchange</stp>
        <tr r="C122" s="1"/>
      </tp>
      <tp>
        <v>1000</v>
        <stp/>
        <stp>bse_cm|890MFL26</stp>
        <stp>Face Value</stp>
        <tr r="Q1478" s="1"/>
      </tp>
      <tp>
        <v>0</v>
        <stp/>
        <stp>nse_cm|894SCL24-ZR</stp>
        <stp>Ask Rate</stp>
        <tr r="F661" s="1"/>
      </tp>
      <tp>
        <v>1000</v>
        <stp/>
        <stp>bse_cm|86CIFC29</stp>
        <stp>Face Value</stp>
        <tr r="Q1341" s="1"/>
      </tp>
      <tp>
        <v>1000</v>
        <stp/>
        <stp>bse_cm|880MFL28</stp>
        <stp>Face Value</stp>
        <tr r="Q1338" s="1"/>
      </tp>
      <tp t="s">
        <v>BSE</v>
        <stp/>
        <stp>bse_cm|709REC30</stp>
        <stp>Exchange</stp>
        <tr r="C564" s="1"/>
      </tp>
      <tp>
        <v>25</v>
        <stp/>
        <stp>bse_cm|84CIFCL28</stp>
        <stp>Bid Qty</stp>
        <tr r="D387" s="1"/>
      </tp>
      <tp>
        <v>0</v>
        <stp/>
        <stp>nse_cm|1030ICCL28-NM</stp>
        <stp>ATP</stp>
        <tr r="K1596" s="1"/>
      </tp>
      <tp>
        <v>0</v>
        <stp/>
        <stp>nse_cm|79IGT28-NF</stp>
        <stp>% Change</stp>
        <tr r="J692" s="1"/>
      </tp>
      <tp>
        <v>1000</v>
        <stp/>
        <stp>bse_cm|85CIFC27</stp>
        <stp>Face Value</stp>
        <tr r="Q974" s="1"/>
      </tp>
      <tp t="s">
        <v>BSE</v>
        <stp/>
        <stp>bse_cm|888SCL25</stp>
        <stp>Exchange</stp>
        <tr r="C1134" s="1"/>
      </tp>
      <tp>
        <v>1130.5999999999999</v>
        <stp/>
        <stp>bse_cm|EFSL25</stp>
        <stp>Bid Rate</stp>
        <tr r="E1694" s="1"/>
      </tp>
      <tp>
        <v>-100</v>
        <stp/>
        <stp>nse_cm|85PCHFL26-N7</stp>
        <stp>% Change</stp>
        <tr r="J712" s="1"/>
      </tp>
      <tp t="s">
        <v>BSE</v>
        <stp/>
        <stp>bse_cm|888SCL26</stp>
        <stp>Exchange</stp>
        <tr r="C915" s="1"/>
      </tp>
      <tp t="s">
        <v>BSE</v>
        <stp/>
        <stp>bse_cm|948SCL26</stp>
        <stp>Exchange</stp>
        <tr r="C1647" s="1"/>
      </tp>
      <tp>
        <v>1213.2</v>
        <stp/>
        <stp>bse_cm|EFSL26</stp>
        <stp>Bid Rate</stp>
        <tr r="E1687" s="1"/>
      </tp>
      <tp t="s">
        <v>BSE</v>
        <stp/>
        <stp>bse_cm|948SCL27</stp>
        <stp>Exchange</stp>
        <tr r="C1079" s="1"/>
      </tp>
      <tp>
        <v>1022.55</v>
        <stp/>
        <stp>bse_cm|EFSL27</stp>
        <stp>Bid Rate</stp>
        <tr r="E1531" s="1"/>
      </tp>
      <tp t="s">
        <v>INE403Q07EQ9</v>
        <stp/>
        <stp>bse_cm|KFL070824A</stp>
        <stp>Isin code</stp>
        <tr r="R1313" s="1"/>
      </tp>
      <tp t="s">
        <v>INE423A07385</v>
        <stp/>
        <stp>bse_cm|AEL120924B</stp>
        <stp>Isin code</stp>
        <tr r="R1641" s="1"/>
      </tp>
      <tp t="s">
        <v>INE549K07DS0</v>
        <stp/>
        <stp>bse_cm|MFCL30424A</stp>
        <stp>Isin code</stp>
        <tr r="R1283" s="1"/>
      </tp>
      <tp t="s">
        <v>1090NFL26-NB</v>
        <stp/>
        <stp>nse_cm|1090NFL26-NB</stp>
        <stp>Trading Symbol</stp>
        <tr r="B636" s="1"/>
      </tp>
      <tp t="s">
        <v>875NHAI29-N6</v>
        <stp/>
        <stp>nse_cm|875NHAI29-N6</stp>
        <stp>Trading Symbol</stp>
        <tr r="B495" s="1"/>
      </tp>
      <tp t="s">
        <v>1040NFL26-NA</v>
        <stp/>
        <stp>nse_cm|1040NFL26-NA</stp>
        <stp>Trading Symbol</stp>
        <tr r="B678" s="1"/>
      </tp>
      <tp t="s">
        <v>1050NFL26-N7</v>
        <stp/>
        <stp>nse_cm|1050NFL26-N7</stp>
        <stp>Trading Symbol</stp>
        <tr r="B259" s="1"/>
      </tp>
      <tp t="s">
        <v>INE244L07366</v>
        <stp/>
        <stp>bse_cm|955ICCL25A</stp>
        <stp>Isin code</stp>
        <tr r="R1143" s="1"/>
      </tp>
      <tp t="s">
        <v>INE549K07AJ5</v>
        <stp/>
        <stp>bse_cm|875MFCL26C</stp>
        <stp>Isin code</stp>
        <tr r="R309" s="1"/>
      </tp>
      <tp t="s">
        <v>INE101Q07706</v>
        <stp/>
        <stp>bse_cm|105MMFL25A</stp>
        <stp>Isin code</stp>
        <tr r="R1364" s="1"/>
      </tp>
      <tp t="s">
        <v>82IGT31</v>
        <stp/>
        <stp>nse_cm|82IGT31-NJ</stp>
        <stp>Symbol</stp>
        <tr r="A375" s="1"/>
      </tp>
      <tp t="s">
        <v>00:00:00</v>
        <stp/>
        <stp>bse_cm|1050SCFL31</stp>
        <stp>LTT</stp>
        <tr r="I1123" s="1"/>
      </tp>
      <tp t="s">
        <v>1102NFL26-N8</v>
        <stp/>
        <stp>nse_cm|1102NFL26-N8</stp>
        <stp>Trading Symbol</stp>
        <tr r="B587" s="1"/>
      </tp>
      <tp>
        <v>0</v>
        <stp/>
        <stp>bse_cm|1050SCFL31</stp>
        <stp>LTP</stp>
        <tr r="H1123" s="1"/>
      </tp>
      <tp t="s">
        <v>850NHAI29-N5</v>
        <stp/>
        <stp>nse_cm|850NHAI29-N5</stp>
        <stp>Trading Symbol</stp>
        <tr r="B512" s="1"/>
      </tp>
      <tp t="s">
        <v>99AEL29</v>
        <stp/>
        <stp>nse_cm|99AEL29-N7</stp>
        <stp>Symbol</stp>
        <tr r="A246" s="1"/>
      </tp>
      <tp t="s">
        <v>INE342T07478</v>
        <stp/>
        <stp>nse_cm|10NFL25-N9</stp>
        <stp>Isin code</stp>
        <tr r="R345" s="1"/>
      </tp>
      <tp t="s">
        <v>843IHFL29-NC</v>
        <stp/>
        <stp>nse_cm|843IHFL29-NC</stp>
        <stp>Trading Symbol</stp>
        <tr r="B123" s="1"/>
      </tp>
      <tp t="s">
        <v>830PFCL27-N5</v>
        <stp/>
        <stp>nse_cm|830PFCL27-N5</stp>
        <stp>Trading Symbol</stp>
        <tr r="B400" s="1"/>
      </tp>
      <tp t="s">
        <v>865IIFL28-NS</v>
        <stp/>
        <stp>nse_cm|865IIFL28-NS</stp>
        <stp>Trading Symbol</stp>
        <tr r="B74" s="1"/>
      </tp>
      <tp t="s">
        <v>736PFCL28-N2</v>
        <stp/>
        <stp>nse_cm|736PFCL28-N2</stp>
        <stp>Trading Symbol</stp>
        <tr r="B11" s="1"/>
      </tp>
      <tp t="s">
        <v>INE302E07623</v>
        <stp/>
        <stp>bse_cm|SFL270224A</stp>
        <stp>Isin code</stp>
        <tr r="R807" s="1"/>
      </tp>
      <tp t="s">
        <v>INE302E08068</v>
        <stp/>
        <stp>bse_cm|1025SFL25A</stp>
        <stp>Isin code</stp>
        <tr r="R1070" s="1"/>
      </tp>
      <tp t="s">
        <v>INE403Q08175</v>
        <stp/>
        <stp>bse_cm|1025KFL26A</stp>
        <stp>Isin code</stp>
        <tr r="R525" s="1"/>
      </tp>
      <tp t="s">
        <v>INE403Q07BK8</v>
        <stp/>
        <stp>bse_cm|1025KFL27A</stp>
        <stp>Isin code</stp>
        <tr r="R89" s="1"/>
      </tp>
      <tp t="s">
        <v>875IHFL29-ND</v>
        <stp/>
        <stp>nse_cm|875IHFL29-ND</stp>
        <stp>Trading Symbol</stp>
        <tr r="B77" s="1"/>
      </tp>
      <tp t="s">
        <v>INE05F407BC4</v>
        <stp/>
        <stp>bse_cm|MML25</stp>
        <stp>Isin code</stp>
        <tr r="R1253" s="1"/>
      </tp>
      <tp t="s">
        <v>00:00:00</v>
        <stp/>
        <stp>bse_cm|1050KAFL28</stp>
        <stp>LTT</stp>
        <tr r="I610" s="1"/>
      </tp>
      <tp>
        <v>0</v>
        <stp/>
        <stp>bse_cm|1050KAFL28</stp>
        <stp>LTP</stp>
        <tr r="H610" s="1"/>
      </tp>
      <tp>
        <v>0</v>
        <stp/>
        <stp>bse_cm|1050KAFL27</stp>
        <stp>LTP</stp>
        <tr r="H1160" s="1"/>
      </tp>
      <tp>
        <v>0</v>
        <stp/>
        <stp>bse_cm|1050KAFL25</stp>
        <stp>LTP</stp>
        <tr r="H1161" s="1"/>
      </tp>
      <tp>
        <v>0</v>
        <stp/>
        <stp>bse_cm|1050KLMA28</stp>
        <stp>ATP</stp>
        <tr r="K611" s="1"/>
      </tp>
      <tp t="s">
        <v>00:00:00</v>
        <stp/>
        <stp>bse_cm|1050KAFL27</stp>
        <stp>LTT</stp>
        <tr r="I1160" s="1"/>
      </tp>
      <tp t="s">
        <v>00:00:00</v>
        <stp/>
        <stp>bse_cm|1050KAFL25</stp>
        <stp>LTT</stp>
        <tr r="I1161" s="1"/>
      </tp>
      <tp t="s">
        <v>00:00:00</v>
        <stp/>
        <stp>bse_cm|1030ICCL28</stp>
        <stp>LTT</stp>
        <tr r="I1521" s="1"/>
      </tp>
      <tp t="s">
        <v>00:00:00</v>
        <stp/>
        <stp>bse_cm|1050ICCL28</stp>
        <stp>LTT</stp>
        <tr r="I1133" s="1"/>
      </tp>
      <tp>
        <v>0</v>
        <stp/>
        <stp>bse_cm|1030ICCL28</stp>
        <stp>LTP</stp>
        <tr r="H1521" s="1"/>
      </tp>
      <tp>
        <v>0</v>
        <stp/>
        <stp>bse_cm|1050ICCL28</stp>
        <stp>LTP</stp>
        <tr r="H1133" s="1"/>
      </tp>
      <tp t="s">
        <v>00:00:00</v>
        <stp/>
        <stp>bse_cm|1050IIFL29</stp>
        <stp>LTT</stp>
        <tr r="I763" s="1"/>
      </tp>
      <tp t="s">
        <v>09:37:59</v>
        <stp/>
        <stp>bse_cm|1030IFSL26</stp>
        <stp>LTT</stp>
        <tr r="I1654" s="1"/>
      </tp>
      <tp>
        <v>0</v>
        <stp/>
        <stp>bse_cm|1050IIFL29</stp>
        <stp>LTP</stp>
        <tr r="H763" s="1"/>
      </tp>
      <tp>
        <v>1107</v>
        <stp/>
        <stp>bse_cm|1030IFSL26</stp>
        <stp>LTP</stp>
        <tr r="H1654" s="1"/>
      </tp>
      <tp t="s">
        <v>00:00:00</v>
        <stp/>
        <stp>bse_cm|1050ISFL28</stp>
        <stp>LTT</stp>
        <tr r="I1497" s="1"/>
      </tp>
      <tp t="s">
        <v>1050KLMA28</v>
        <stp/>
        <stp>bse_cm|1050KLMA28</stp>
        <stp>Symbol</stp>
        <tr r="A611" s="1"/>
      </tp>
      <tp t="s">
        <v>INE532F07DJ5</v>
        <stp/>
        <stp>bse_cm|1010EFS28A</stp>
        <stp>Isin code</stp>
        <tr r="R78" s="1"/>
      </tp>
      <tp t="s">
        <v>INE532F07FI2</v>
        <stp/>
        <stp>bse_cm|1010EFS29A</stp>
        <stp>Isin code</stp>
        <tr r="R1593" s="1"/>
      </tp>
      <tp>
        <v>0</v>
        <stp/>
        <stp>bse_cm|1050ISFL28</stp>
        <stp>LTP</stp>
        <tr r="H1497" s="1"/>
      </tp>
      <tp>
        <v>0</v>
        <stp/>
        <stp>bse_cm|NIDO010326</stp>
        <stp>LTP</stp>
        <tr r="H1248" s="1"/>
      </tp>
      <tp>
        <v>0</v>
        <stp/>
        <stp>bse_cm|NIDO010327</stp>
        <stp>LTP</stp>
        <tr r="H1247" s="1"/>
      </tp>
      <tp t="s">
        <v>00:00:00</v>
        <stp/>
        <stp>bse_cm|NIDO010326</stp>
        <stp>LTT</stp>
        <tr r="I1248" s="1"/>
      </tp>
      <tp t="s">
        <v>00:00:00</v>
        <stp/>
        <stp>bse_cm|NIDO010327</stp>
        <stp>LTT</stp>
        <tr r="I1247" s="1"/>
      </tp>
      <tp t="s">
        <v>00:00:00</v>
        <stp/>
        <stp>bse_cm|NIDO010329</stp>
        <stp>LTT</stp>
        <tr r="I1246" s="1"/>
      </tp>
      <tp>
        <v>0</v>
        <stp/>
        <stp>bse_cm|NIDO010329</stp>
        <stp>LTP</stp>
        <tr r="H1246" s="1"/>
      </tp>
      <tp t="s">
        <v>00:00:00</v>
        <stp/>
        <stp>bse_cm|1003NIDO29</stp>
        <stp>LTT</stp>
        <tr r="I679" s="1"/>
      </tp>
      <tp t="s">
        <v>00:00:00</v>
        <stp/>
        <stp>bse_cm|1050NHFL29</stp>
        <stp>LTT</stp>
        <tr r="I1125" s="1"/>
      </tp>
      <tp>
        <v>0</v>
        <stp/>
        <stp>bse_cm|1003NIDO29</stp>
        <stp>LTP</stp>
        <tr r="H679" s="1"/>
      </tp>
      <tp>
        <v>0</v>
        <stp/>
        <stp>bse_cm|1050NHFL29</stp>
        <stp>LTP</stp>
        <tr r="H1125" s="1"/>
      </tp>
      <tp>
        <v>-100</v>
        <stp/>
        <stp>bse_cm|875KFL25A</stp>
        <stp>% Change</stp>
        <tr r="J1157" s="1"/>
      </tp>
      <tp>
        <v>0</v>
        <stp/>
        <stp>nse_cm|86LTF24-NJ</stp>
        <stp>Volume Traded Today</stp>
        <tr r="L7" s="1"/>
      </tp>
      <tp>
        <v>262</v>
        <stp/>
        <stp>nse_cm|87LTF27-NH</stp>
        <stp>Volume Traded Today</stp>
        <tr r="L407" s="1"/>
      </tp>
      <tp>
        <v>0</v>
        <stp/>
        <stp>nse_cm|85LTF26-NM</stp>
        <stp>Volume Traded Today</stp>
        <tr r="L365" s="1"/>
      </tp>
      <tp>
        <v>0</v>
        <stp/>
        <stp>nse_cm|92LTF29-N4</stp>
        <stp>Volume Traded Today</stp>
        <tr r="L1087" s="1"/>
      </tp>
      <tp>
        <v>0</v>
        <stp/>
        <stp>bse_cm|1010MFCL30</stp>
        <stp>LTP</stp>
        <tr r="H285" s="1"/>
      </tp>
      <tp t="s">
        <v>00:00:00</v>
        <stp/>
        <stp>bse_cm|1010MFCL30</stp>
        <stp>LTT</stp>
        <tr r="I285" s="1"/>
      </tp>
      <tp t="s">
        <v>INE532F07FH4</v>
        <stp/>
        <stp>bse_cm|EFS290424A</stp>
        <stp>Isin code</stp>
        <tr r="R571" s="1"/>
      </tp>
      <tp t="s">
        <v>INE532F07DI7</v>
        <stp/>
        <stp>bse_cm|1045EFS33A</stp>
        <stp>Isin code</stp>
        <tr r="R95" s="1"/>
      </tp>
      <tp t="s">
        <v>INE532F07FG6</v>
        <stp/>
        <stp>bse_cm|1045EFS34A</stp>
        <stp>Isin code</stp>
        <tr r="R1029" s="1"/>
      </tp>
      <tp t="s">
        <v>00:00:00</v>
        <stp/>
        <stp>bse_cm|1150CCIL28</stp>
        <stp>LTT</stp>
        <tr r="I460" s="1"/>
      </tp>
      <tp t="s">
        <v>00:00:00</v>
        <stp/>
        <stp>bse_cm|1150CCIL29</stp>
        <stp>LTT</stp>
        <tr r="I424" s="1"/>
      </tp>
      <tp>
        <v>0</v>
        <stp/>
        <stp>bse_cm|1150CCIL28</stp>
        <stp>LTP</stp>
        <tr r="H460" s="1"/>
      </tp>
      <tp>
        <v>0</v>
        <stp/>
        <stp>bse_cm|1150CCIL29</stp>
        <stp>LTP</stp>
        <tr r="H424" s="1"/>
      </tp>
      <tp>
        <v>0</v>
        <stp/>
        <stp>bse_cm|1050CCIL25</stp>
        <stp>LTP</stp>
        <tr r="H2" s="1"/>
      </tp>
      <tp t="s">
        <v>00:00:00</v>
        <stp/>
        <stp>bse_cm|1050CCIL25</stp>
        <stp>LTT</stp>
        <tr r="I2" s="1"/>
      </tp>
      <tp t="s">
        <v>984ICCL26A</v>
        <stp/>
        <stp>bse_cm|984ICCL26A</stp>
        <stp>Symbol</stp>
        <tr r="A883" s="1"/>
      </tp>
      <tp t="s">
        <v>86LTF24</v>
        <stp/>
        <stp>nse_cm|86LTF24-NJ</stp>
        <stp>Symbol</stp>
        <tr r="A7" s="1"/>
      </tp>
      <tp>
        <v>0</v>
        <stp/>
        <stp>bse_cm|875CIFC23B</stp>
        <stp>ATP</stp>
        <tr r="K1394" s="1"/>
      </tp>
      <tp t="s">
        <v>INE522D07AP4</v>
        <stp/>
        <stp>bse_cm|MFL25</stp>
        <stp>Isin code</stp>
        <tr r="R1733" s="1"/>
      </tp>
      <tp>
        <v>0</v>
        <stp/>
        <stp>bse_cm|975MFL24BB</stp>
        <stp>Volume Traded Today</stp>
        <tr r="L552" s="1"/>
      </tp>
      <tp t="s">
        <v>965IFSL26-N6</v>
        <stp/>
        <stp>nse_cm|965IFSL26-N6</stp>
        <stp>Trading Symbol</stp>
        <tr r="B1346" s="1"/>
      </tp>
      <tp>
        <v>0</v>
        <stp/>
        <stp>bse_cm|1010EFSL28</stp>
        <stp>LTP</stp>
        <tr r="H663" s="1"/>
      </tp>
      <tp>
        <v>0</v>
        <stp/>
        <stp>bse_cm|1010EFSL29</stp>
        <stp>LTP</stp>
        <tr r="H1459" s="1"/>
      </tp>
      <tp>
        <v>0</v>
        <stp/>
        <stp>bse_cm|1050EFSL29</stp>
        <stp>LTP</stp>
        <tr r="H1484" s="1"/>
      </tp>
      <tp t="s">
        <v>00:00:00</v>
        <stp/>
        <stp>bse_cm|1010EFSL28</stp>
        <stp>LTT</stp>
        <tr r="I663" s="1"/>
      </tp>
      <tp t="s">
        <v>00:00:00</v>
        <stp/>
        <stp>bse_cm|1010EFSL29</stp>
        <stp>LTT</stp>
        <tr r="I1459" s="1"/>
      </tp>
      <tp t="s">
        <v>00:00:00</v>
        <stp/>
        <stp>bse_cm|1050EFSL29</stp>
        <stp>LTT</stp>
        <tr r="I1484" s="1"/>
      </tp>
      <tp>
        <v>-100</v>
        <stp/>
        <stp>bse_cm|0MML27524</stp>
        <stp>% Change</stp>
        <tr r="J1042" s="1"/>
      </tp>
      <tp>
        <v>0</v>
        <stp/>
        <stp>bse_cm|1010EFSL32</stp>
        <stp>LTP</stp>
        <tr r="H631" s="1"/>
      </tp>
      <tp t="s">
        <v>00:00:00</v>
        <stp/>
        <stp>bse_cm|1010EFSL32</stp>
        <stp>LTT</stp>
        <tr r="I631" s="1"/>
      </tp>
      <tp>
        <v>-100</v>
        <stp/>
        <stp>bse_cm|MFCL16924</stp>
        <stp>% Change</stp>
        <tr r="J579" s="1"/>
      </tp>
      <tp>
        <v>0</v>
        <stp/>
        <stp>bse_cm|1045EFSL34</stp>
        <stp>Volume Traded Today</stp>
        <tr r="L1413" s="1"/>
      </tp>
      <tp>
        <v>0</v>
        <stp/>
        <stp>bse_cm|1045EFSL33</stp>
        <stp>Volume Traded Today</stp>
        <tr r="L1382" s="1"/>
      </tp>
      <tp t="s">
        <v>CCILZC30</v>
        <stp/>
        <stp>bse_cm|CCILZC30</stp>
        <stp>Symbol</stp>
        <tr r="A746" s="1"/>
      </tp>
      <tp t="s">
        <v>CCILZC29</v>
        <stp/>
        <stp>bse_cm|CCILZC29</stp>
        <stp>Symbol</stp>
        <tr r="A747" s="1"/>
      </tp>
      <tp t="s">
        <v>CCILZC26</v>
        <stp/>
        <stp>bse_cm|CCILZC26</stp>
        <stp>Symbol</stp>
        <tr r="A748" s="1"/>
      </tp>
      <tp t="s">
        <v>CCILZC24</v>
        <stp/>
        <stp>bse_cm|CCILZC24</stp>
        <stp>Symbol</stp>
        <tr r="A750" s="1"/>
      </tp>
      <tp t="s">
        <v>CCILZC25</v>
        <stp/>
        <stp>bse_cm|CCILZC25</stp>
        <stp>Symbol</stp>
        <tr r="A1376" s="1"/>
      </tp>
      <tp t="s">
        <v>INE148I07PP5</v>
        <stp/>
        <stp>nse_cm|1025SCL33A-N1</stp>
        <stp>Isin code</stp>
        <tr r="R834" s="1"/>
      </tp>
      <tp>
        <v>-</v>
        <stp/>
        <stp>bse_cm|MFCL30424</stp>
        <stp>% Change</stp>
        <tr r="J1606" s="1"/>
      </tp>
      <tp>
        <v>-100</v>
        <stp/>
        <stp>bse_cm|955MFCL30</stp>
        <stp>% Change</stp>
        <tr r="J1130" s="1"/>
      </tp>
      <tp>
        <v>-100</v>
        <stp/>
        <stp>bse_cm|965MFCL30</stp>
        <stp>% Change</stp>
        <tr r="J225" s="1"/>
      </tp>
      <tp>
        <v>0</v>
        <stp/>
        <stp>bse_cm|1075CCIL25</stp>
        <stp>Volume Traded Today</stp>
        <tr r="L1121" s="1"/>
      </tp>
      <tp>
        <v>0</v>
        <stp/>
        <stp>bse_cm|1075CCIL26</stp>
        <stp>Volume Traded Today</stp>
        <tr r="L1120" s="1"/>
      </tp>
      <tp>
        <v>0</v>
        <stp/>
        <stp>bse_cm|1025MMFL26</stp>
        <stp>Volume Traded Today</stp>
        <tr r="L320" s="1"/>
      </tp>
      <tp t="s">
        <v>CIFCZC25</v>
        <stp/>
        <stp>bse_cm|CIFCZC25</stp>
        <stp>Symbol</stp>
        <tr r="A1436" s="1"/>
      </tp>
      <tp t="s">
        <v>CIFCZC26</v>
        <stp/>
        <stp>bse_cm|CIFCZC26</stp>
        <stp>Symbol</stp>
        <tr r="A738" s="1"/>
      </tp>
      <tp t="s">
        <v>CIFCZC28</v>
        <stp/>
        <stp>bse_cm|CIFCZC28</stp>
        <stp>Symbol</stp>
        <tr r="A736" s="1"/>
      </tp>
      <tp t="e">
        <v>#N/A</v>
        <stp/>
        <stp>bse_cm|1065MHFL24</stp>
        <stp>Volume Traded Today</stp>
        <tr r="L36" s="1"/>
      </tp>
      <tp t="e">
        <v>#N/A</v>
        <stp/>
        <stp>bse_cm|1025MHFL24</stp>
        <stp>Volume Traded Today</stp>
        <tr r="L29" s="1"/>
      </tp>
      <tp>
        <v>-100</v>
        <stp/>
        <stp>bse_cm|EFSL26724</stp>
        <stp>% Change</stp>
        <tr r="J1336" s="1"/>
      </tp>
      <tp>
        <v>0</v>
        <stp/>
        <stp>bse_cm|1025NWFL30</stp>
        <stp>Volume Traded Today</stp>
        <tr r="L1026" s="1"/>
      </tp>
      <tp>
        <v>0</v>
        <stp/>
        <stp>bse_cm|1026NIDO34</stp>
        <stp>Volume Traded Today</stp>
        <tr r="L1018" s="1"/>
      </tp>
      <tp>
        <v>0</v>
        <stp/>
        <stp>bse_cm|1075NHFL34</stp>
        <stp>Volume Traded Today</stp>
        <tr r="L1553" s="1"/>
      </tp>
      <tp>
        <v>0</v>
        <stp/>
        <stp>bse_cm|1025NWFL25</stp>
        <stp>Volume Traded Today</stp>
        <tr r="L154" s="1"/>
      </tp>
      <tp>
        <v>0</v>
        <stp/>
        <stp>bse_cm|1025ICCL26</stp>
        <stp>Volume Traded Today</stp>
        <tr r="L1175" s="1"/>
      </tp>
      <tp>
        <v>-100</v>
        <stp/>
        <stp>bse_cm|805MMFS32</stp>
        <stp>% Change</stp>
        <tr r="J1763" s="1"/>
      </tp>
      <tp>
        <v>0</v>
        <stp/>
        <stp>bse_cm|1075KAFL28</stp>
        <stp>Volume Traded Today</stp>
        <tr r="L1118" s="1"/>
      </tp>
      <tp>
        <v>0</v>
        <stp/>
        <stp>bse_cm|1075KAFL29</stp>
        <stp>Volume Traded Today</stp>
        <tr r="L125" s="1"/>
      </tp>
      <tp t="s">
        <v>NSE</v>
        <stp/>
        <stp>nse_cm|1050SCFL31-Z2</stp>
        <stp>Exchange</stp>
        <tr r="C868" s="1"/>
      </tp>
      <tp>
        <v>0</v>
        <stp/>
        <stp>bse_cm|1125KAFL27</stp>
        <stp>Volume Traded Today</stp>
        <tr r="L1228" s="1"/>
      </tp>
      <tp>
        <v>0</v>
        <stp/>
        <stp>bse_cm|1025KAFL27</stp>
        <stp>Volume Traded Today</stp>
        <tr r="L769" s="1"/>
      </tp>
      <tp>
        <v>0</v>
        <stp/>
        <stp>bse_cm|1025KAFL25</stp>
        <stp>Volume Traded Today</stp>
        <tr r="L770" s="1"/>
      </tp>
      <tp>
        <v>-100</v>
        <stp/>
        <stp>bse_cm|CCIL14824</stp>
        <stp>% Change</stp>
        <tr r="J753" s="1"/>
      </tp>
      <tp>
        <v>0</v>
        <stp/>
        <stp>bse_cm|SCFL310524</stp>
        <stp>Volume Traded Today</stp>
        <tr r="L1241" s="1"/>
      </tp>
      <tp>
        <v>0</v>
        <stp/>
        <stp>bse_cm|1015SCFL29</stp>
        <stp>Volume Traded Today</stp>
        <tr r="L1355" s="1"/>
      </tp>
      <tp>
        <v>0</v>
        <stp/>
        <stp>bse_cm|1075SCFL34</stp>
        <stp>Volume Traded Today</stp>
        <tr r="L1020" s="1"/>
      </tp>
      <tp>
        <v>0</v>
        <stp/>
        <stp>bse_cm|1025SCFL34</stp>
        <stp>Volume Traded Today</stp>
        <tr r="L1025" s="1"/>
      </tp>
      <tp t="s">
        <v>ICLFLZC29</v>
        <stp/>
        <stp>bse_cm|ICLFLZC29</stp>
        <stp>Trading Symbol</stp>
        <tr r="B1613" s="1"/>
      </tp>
      <tp t="s">
        <v>729NABAR26</v>
        <stp/>
        <stp>bse_cm|729NABAR26</stp>
        <stp>Symbol</stp>
        <tr r="A540" s="1"/>
      </tp>
      <tp>
        <v>0</v>
        <stp/>
        <stp>nse_cm|984ICCL26A-NK</stp>
        <stp>Volume Traded Today</stp>
        <tr r="L716" s="1"/>
      </tp>
      <tp>
        <v>1000</v>
        <stp/>
        <stp>bse_cm|JMFPTBIL25</stp>
        <stp>Prev Close</stp>
        <tr r="P9" s="1"/>
      </tp>
      <tp>
        <v>1077.95</v>
        <stp/>
        <stp>bse_cm|10ARKA28</stp>
        <stp xml:space="preserve">Low </stp>
        <tr r="O1400" s="1"/>
      </tp>
      <tp>
        <v>1000</v>
        <stp/>
        <stp>bse_cm|KAFLZC30</stp>
        <stp>High</stp>
        <tr r="N1314" s="1"/>
      </tp>
      <tp>
        <v>964.2</v>
        <stp/>
        <stp>nse_cm|9IIFL28A-NT</stp>
        <stp>Bid Rate</stp>
        <tr r="E80" s="1"/>
      </tp>
      <tp>
        <v>1065</v>
        <stp/>
        <stp>nse_cm|IIFLHF29-NE</stp>
        <stp>LTP</stp>
        <tr r="H1630" s="1"/>
      </tp>
      <tp t="s">
        <v/>
        <stp/>
        <stp>nse_cm|IIFLHF29-NE</stp>
        <stp>LTT</stp>
        <tr r="I1630" s="1"/>
      </tp>
      <tp t="s">
        <v/>
        <stp/>
        <stp>nse_cm|850NIRMA27-N7</stp>
        <stp>LTT</stp>
        <tr r="I1010" s="1"/>
      </tp>
      <tp>
        <v>0</v>
        <stp/>
        <stp>nse_cm|850NIRMA27-N7</stp>
        <stp>LTP</stp>
        <tr r="H1010" s="1"/>
      </tp>
      <tp t="s">
        <v>INE530B07179</v>
        <stp/>
        <stp>nse_cm|875IIFL26-NM</stp>
        <stp>Isin code</stp>
        <tr r="R640" s="1"/>
      </tp>
      <tp>
        <v>991</v>
        <stp/>
        <stp>bse_cm|93ARKA26</stp>
        <stp xml:space="preserve">Low </stp>
        <tr r="O981" s="1"/>
      </tp>
      <tp>
        <v>1150</v>
        <stp/>
        <stp>nse_cm|774IREDA31-N7</stp>
        <stp>ATP</stp>
        <tr r="K18" s="1"/>
      </tp>
      <tp t="s">
        <v/>
        <stp/>
        <stp>nse_cm|1015SCL28A-AL</stp>
        <stp>LTT</stp>
        <tr r="I1443" s="1"/>
      </tp>
      <tp>
        <v>918</v>
        <stp/>
        <stp>nse_cm|1015SCL28A-AL</stp>
        <stp>LTP</stp>
        <tr r="H1443" s="1"/>
      </tp>
      <tp>
        <v>1000</v>
        <stp/>
        <stp>nse_cm|1015SCL28B-AZ</stp>
        <stp>LTP</stp>
        <tr r="H1614" s="1"/>
      </tp>
      <tp t="s">
        <v/>
        <stp/>
        <stp>nse_cm|1015SCL28B-AZ</stp>
        <stp>LTT</stp>
        <tr r="I1614" s="1"/>
      </tp>
      <tp>
        <v>1016</v>
        <stp/>
        <stp>bse_cm|93ARKA25</stp>
        <stp xml:space="preserve">Low </stp>
        <tr r="O1395" s="1"/>
      </tp>
      <tp>
        <v>-100</v>
        <stp/>
        <stp>bse_cm|CIFC26A</stp>
        <stp>% Change</stp>
        <tr r="J740" s="1"/>
      </tp>
      <tp t="s">
        <v>92LTF29</v>
        <stp/>
        <stp>bse_cm|92LTF29</stp>
        <stp>Symbol</stp>
        <tr r="A1088" s="1"/>
      </tp>
      <tp t="s">
        <v>00:00:00</v>
        <stp/>
        <stp>bse_cm|11DLSL25</stp>
        <stp>LTT</stp>
        <tr r="I1539" s="1"/>
      </tp>
      <tp>
        <v>0</v>
        <stp/>
        <stp>bse_cm|11DLSL25</stp>
        <stp>LTP</stp>
        <tr r="H1539" s="1"/>
      </tp>
      <tp t="s">
        <v>00:00:00</v>
        <stp/>
        <stp>bse_cm|11EFSL34</stp>
        <stp>LTT</stp>
        <tr r="I1429" s="1"/>
      </tp>
      <tp>
        <v>0</v>
        <stp/>
        <stp>bse_cm|11EFSL34</stp>
        <stp>LTP</stp>
        <tr r="H1429" s="1"/>
      </tp>
      <tp t="s">
        <v>85LTF26</v>
        <stp/>
        <stp>bse_cm|85LTF26</stp>
        <stp>Symbol</stp>
        <tr r="A410" s="1"/>
      </tp>
      <tp t="s">
        <v>87LTF27</v>
        <stp/>
        <stp>bse_cm|87LTF27</stp>
        <stp>Symbol</stp>
        <tr r="A412" s="1"/>
      </tp>
      <tp t="s">
        <v>86LTF24</v>
        <stp/>
        <stp>bse_cm|86LTF24</stp>
        <stp>Symbol</stp>
        <tr r="A8" s="1"/>
      </tp>
      <tp>
        <v>0</v>
        <stp/>
        <stp>bse_cm|948SCL27</stp>
        <stp>Volume Traded Today</stp>
        <tr r="L1079" s="1"/>
      </tp>
      <tp>
        <v>0</v>
        <stp/>
        <stp>bse_cm|948SCL26</stp>
        <stp>Volume Traded Today</stp>
        <tr r="L1647" s="1"/>
      </tp>
      <tp t="s">
        <v>00:00:00</v>
        <stp/>
        <stp>bse_cm|8MFL2026</stp>
        <stp>LTT</stp>
        <tr r="I451" s="1"/>
      </tp>
      <tp>
        <v>0</v>
        <stp/>
        <stp>bse_cm|8MFL2026</stp>
        <stp>LTP</stp>
        <tr r="H451" s="1"/>
      </tp>
      <tp>
        <v>5825</v>
        <stp/>
        <stp>nse_cm|893NHB29-N6</stp>
        <stp>Bid Rate</stp>
        <tr r="E529" s="1"/>
      </tp>
      <tp>
        <v>990.04</v>
        <stp/>
        <stp>nse_cm|975NFL25-N0</stp>
        <stp>Bid Rate</stp>
        <tr r="E256" s="1"/>
      </tp>
      <tp t="s">
        <v>00:00:00</v>
        <stp/>
        <stp>bse_cm|81ABFL33</stp>
        <stp>LTT</stp>
        <tr r="I1603" s="1"/>
      </tp>
      <tp>
        <v>0</v>
        <stp/>
        <stp>bse_cm|81ABFL33</stp>
        <stp>LTP</stp>
        <tr r="H1603" s="1"/>
      </tp>
      <tp>
        <v>0</v>
        <stp/>
        <stp>bse_cm|11CCIL26</stp>
        <stp>LTP</stp>
        <tr r="H625" s="1"/>
      </tp>
      <tp>
        <v>0</v>
        <stp/>
        <stp>bse_cm|11CCIL27</stp>
        <stp>LTP</stp>
        <tr r="H691" s="1"/>
      </tp>
      <tp t="s">
        <v>00:00:00</v>
        <stp/>
        <stp>bse_cm|11CCIL26</stp>
        <stp>LTT</stp>
        <tr r="I625" s="1"/>
      </tp>
      <tp t="s">
        <v>00:00:00</v>
        <stp/>
        <stp>bse_cm|11CCIL27</stp>
        <stp>LTT</stp>
        <tr r="I691" s="1"/>
      </tp>
      <tp>
        <v>6105</v>
        <stp/>
        <stp>nse_cm|890NHB34-N7</stp>
        <stp>Bid Rate</stp>
        <tr r="E537" s="1"/>
      </tp>
      <tp>
        <v>0</v>
        <stp/>
        <stp>bse_cm|943ECL28</stp>
        <stp>Volume Traded Today</stp>
        <tr r="L124" s="1"/>
      </tp>
      <tp>
        <v>0</v>
        <stp/>
        <stp>bse_cm|843SCL27</stp>
        <stp>Volume Traded Today</stp>
        <tr r="L928" s="1"/>
      </tp>
      <tp>
        <v>120</v>
        <stp/>
        <stp>bse_cm|82IGT31</stp>
        <stp>Ask Qty</stp>
        <tr r="G383" s="1"/>
      </tp>
      <tp>
        <v>1170</v>
        <stp/>
        <stp>nse_cm|894SCL25-Z3</stp>
        <stp>Ask Rate</stp>
        <tr r="F1698" s="1"/>
      </tp>
      <tp>
        <v>0</v>
        <stp/>
        <stp>bse_cm|801TCH28</stp>
        <stp>Volume Traded Today</stp>
        <tr r="L1182" s="1"/>
      </tp>
      <tp>
        <v>0</v>
        <stp/>
        <stp>bse_cm|801TCH25</stp>
        <stp>Volume Traded Today</stp>
        <tr r="L562" s="1"/>
      </tp>
      <tp>
        <v>0</v>
        <stp/>
        <stp>bse_cm|840MFL27</stp>
        <stp>Volume Traded Today</stp>
        <tr r="L133" s="1"/>
      </tp>
      <tp>
        <v>1509.8</v>
        <stp/>
        <stp>bse_cm|MVAFZC25</stp>
        <stp xml:space="preserve">Low </stp>
        <tr r="O1746" s="1"/>
      </tp>
      <tp>
        <v>0</v>
        <stp/>
        <stp>bse_cm|950KLM25</stp>
        <stp>Volume Traded Today</stp>
        <tr r="L1150" s="1"/>
      </tp>
      <tp>
        <v>0</v>
        <stp/>
        <stp>bse_cm|940SCL27</stp>
        <stp>Volume Traded Today</stp>
        <tr r="L792" s="1"/>
      </tp>
      <tp>
        <v>0</v>
        <stp/>
        <stp>bse_cm|940SCL26</stp>
        <stp>Volume Traded Today</stp>
        <tr r="L778" s="1"/>
      </tp>
      <tp>
        <v>0</v>
        <stp/>
        <stp>bse_cm|847SCL25</stp>
        <stp>Volume Traded Today</stp>
        <tr r="L941" s="1"/>
      </tp>
      <tp t="s">
        <v>INE583D07265</v>
        <stp/>
        <stp>nse_cm|1040UCL25-N4</stp>
        <stp>Isin code</stp>
        <tr r="R669" s="1"/>
      </tp>
      <tp t="s">
        <v>00:00:00</v>
        <stp/>
        <stp>bse_cm|94IFCI25</stp>
        <stp>LTT</stp>
        <tr r="I228" s="1"/>
      </tp>
      <tp>
        <v>0</v>
        <stp/>
        <stp>bse_cm|94IFCI25</stp>
        <stp>LTP</stp>
        <tr r="H228" s="1"/>
      </tp>
      <tp>
        <v>1076.21</v>
        <stp/>
        <stp>bse_cm|99IFCI24</stp>
        <stp>ATP</stp>
        <tr r="K41" s="1"/>
      </tp>
      <tp>
        <v>-100</v>
        <stp/>
        <stp>bse_cm|MFLV29E</stp>
        <stp>% Change</stp>
        <tr r="J650" s="1"/>
      </tp>
      <tp t="s">
        <v>00:00:00</v>
        <stp/>
        <stp>bse_cm|11KAFL29</stp>
        <stp>LTT</stp>
        <tr r="I662" s="1"/>
      </tp>
      <tp>
        <v>0</v>
        <stp/>
        <stp>bse_cm|11KAFL29</stp>
        <stp>LTP</stp>
        <tr r="H662" s="1"/>
      </tp>
      <tp>
        <v>0</v>
        <stp/>
        <stp>bse_cm|11KAFL26</stp>
        <stp>LTP</stp>
        <tr r="H671" s="1"/>
      </tp>
      <tp>
        <v>0</v>
        <stp/>
        <stp>bse_cm|11KAFL27</stp>
        <stp>LTP</stp>
        <tr r="H184" s="1"/>
      </tp>
      <tp t="s">
        <v>00:00:00</v>
        <stp/>
        <stp>bse_cm|11KAFL26</stp>
        <stp>LTT</stp>
        <tr r="I671" s="1"/>
      </tp>
      <tp t="s">
        <v>00:00:00</v>
        <stp/>
        <stp>bse_cm|11KAFL27</stp>
        <stp>LTT</stp>
        <tr r="I184" s="1"/>
      </tp>
      <tp>
        <v>0</v>
        <stp/>
        <stp>bse_cm|944MFL28</stp>
        <stp>Volume Traded Today</stp>
        <tr r="L677" s="1"/>
      </tp>
      <tp>
        <v>1000</v>
        <stp/>
        <stp>nse_cm|1015SCL28B-AZ</stp>
        <stp>Prev Close</stp>
        <tr r="P1614" s="1"/>
      </tp>
      <tp>
        <v>982</v>
        <stp/>
        <stp>bse_cm|735MFL25</stp>
        <stp>Prev Close</stp>
        <tr r="P308" s="1"/>
      </tp>
      <tp>
        <v>1048.8</v>
        <stp/>
        <stp>bse_cm|725MFL24</stp>
        <stp>Prev Close</stp>
        <tr r="P446" s="1"/>
      </tp>
      <tp t="s">
        <v>BSE</v>
        <stp/>
        <stp>bse_cm|DLSL25</stp>
        <stp>Exchange</stp>
        <tr r="C1747" s="1"/>
      </tp>
      <tp>
        <v>813</v>
        <stp/>
        <stp>bse_cm|889SCL28</stp>
        <stp>Bid Rate</stp>
        <tr r="E1069" s="1"/>
      </tp>
      <tp>
        <v>959.8</v>
        <stp/>
        <stp>bse_cm|750MFL27</stp>
        <stp>Prev Close</stp>
        <tr r="P274" s="1"/>
      </tp>
      <tp>
        <v>966</v>
        <stp/>
        <stp>nse_cm|925IHFL25E-N8</stp>
        <stp>Prev Close</stp>
        <tr r="P561" s="1"/>
      </tp>
      <tp t="s">
        <v/>
        <stp/>
        <stp>nse_cm|SCL26-NA</stp>
        <stp>LTT</stp>
        <tr r="I919" s="1"/>
      </tp>
      <tp>
        <v>0</v>
        <stp/>
        <stp>nse_cm|SCL26-NA</stp>
        <stp>LTP</stp>
        <tr r="H919" s="1"/>
      </tp>
      <tp>
        <v>1005.01</v>
        <stp/>
        <stp>bse_cm|775MFL27</stp>
        <stp>Prev Close</stp>
        <tr r="P694" s="1"/>
      </tp>
      <tp>
        <v>981.2</v>
        <stp/>
        <stp>bse_cm|775MFL26</stp>
        <stp>Prev Close</stp>
        <tr r="P328" s="1"/>
      </tp>
      <tp>
        <v>1032.8</v>
        <stp/>
        <stp>bse_cm|775MFL25</stp>
        <stp>Prev Close</stp>
        <tr r="P1369" s="1"/>
      </tp>
      <tp>
        <v>880.2</v>
        <stp/>
        <stp>bse_cm|829PFL29</stp>
        <stp>Bid Rate</stp>
        <tr r="E930" s="1"/>
      </tp>
      <tp>
        <v>1000</v>
        <stp/>
        <stp>nse_cm|1075SCL33B-NW</stp>
        <stp>Prev Close</stp>
        <tr r="P889" s="1"/>
      </tp>
      <tp>
        <v>1040</v>
        <stp/>
        <stp>bse_cm|760MFL25</stp>
        <stp>Prev Close</stp>
        <tr r="P482" s="1"/>
      </tp>
      <tp>
        <v>111</v>
        <stp/>
        <stp>nse_cm|1049DLS25A-Y5</stp>
        <stp>Volume Traded Today</stp>
        <tr r="L44" s="1"/>
      </tp>
      <tp>
        <v>1177.0999999999999</v>
        <stp/>
        <stp>bse_cm|718REC35</stp>
        <stp>Bid Rate</stp>
        <tr r="E549" s="1"/>
      </tp>
      <tp>
        <v>0</v>
        <stp/>
        <stp>nse_cm|980SCL33A-N3</stp>
        <stp>% Change</stp>
        <tr r="J1055" s="1"/>
      </tp>
      <tp>
        <v>2330</v>
        <stp/>
        <stp>nse_cm|IFCIZC25-NM</stp>
        <stp>High</stp>
        <tr r="N1765" s="1"/>
      </tp>
      <tp>
        <v>994.99</v>
        <stp/>
        <stp>bse_cm|785MFL28</stp>
        <stp>Prev Close</stp>
        <tr r="P439" s="1"/>
      </tp>
      <tp>
        <v>990</v>
        <stp/>
        <stp>bse_cm|78ABFL33</stp>
        <stp>Prev Close</stp>
        <tr r="P378" s="1"/>
      </tp>
      <tp>
        <v>980</v>
        <stp/>
        <stp>bse_cm|88NWIL25</stp>
        <stp>Prev Close</stp>
        <tr r="P219" s="1"/>
      </tp>
      <tp>
        <v>830.2</v>
        <stp/>
        <stp>bse_cm|879SCL26</stp>
        <stp>Bid Rate</stp>
        <tr r="E1351" s="1"/>
      </tp>
      <tp>
        <v>905.7</v>
        <stp/>
        <stp>bse_cm|889SCL26</stp>
        <stp>Bid Rate</stp>
        <tr r="E237" s="1"/>
      </tp>
      <tp t="s">
        <v>NSE</v>
        <stp/>
        <stp>nse_cm|865IFL28-NZ</stp>
        <stp>Exchange</stp>
        <tr r="C103" s="1"/>
      </tp>
      <tp>
        <v>900.3</v>
        <stp/>
        <stp>bse_cm|889SCL27</stp>
        <stp>Bid Rate</stp>
        <tr r="E121" s="1"/>
      </tp>
      <tp>
        <v>662.8</v>
        <stp/>
        <stp>bse_cm|939SCL27</stp>
        <stp>Bid Rate</stp>
        <tr r="E985" s="1"/>
      </tp>
      <tp t="s">
        <v>00:00:00</v>
        <stp/>
        <stp>bse_cm|769IGT28</stp>
        <stp>LTT</stp>
        <tr r="I1195" s="1"/>
      </tp>
      <tp>
        <v>0</v>
        <stp/>
        <stp>bse_cm|769IGT28</stp>
        <stp>LTP</stp>
        <tr r="H1195" s="1"/>
      </tp>
      <tp>
        <v>2516</v>
        <stp/>
        <stp>nse_cm|IFCIZC24-NI</stp>
        <stp>High</stp>
        <tr r="N1768" s="1"/>
      </tp>
      <tp>
        <v>0</v>
        <stp/>
        <stp>nse_cm|885LTF27-NE</stp>
        <stp>Ask Rate</stp>
        <tr r="F1007" s="1"/>
      </tp>
      <tp>
        <v>1000</v>
        <stp/>
        <stp>nse_cm|SCL22-ZC</stp>
        <stp>Face Value</stp>
        <tr r="Q955" s="1"/>
      </tp>
      <tp>
        <v>1165</v>
        <stp/>
        <stp>nse_cm|SCL24-ZD</stp>
        <stp>LTP</stp>
        <tr r="H956" s="1"/>
      </tp>
      <tp t="s">
        <v/>
        <stp/>
        <stp>nse_cm|SCL22-ZC</stp>
        <stp>LTT</stp>
        <tr r="I955" s="1"/>
      </tp>
      <tp t="s">
        <v/>
        <stp/>
        <stp>nse_cm|SCL24-ZD</stp>
        <stp>LTT</stp>
        <tr r="I956" s="1"/>
      </tp>
      <tp>
        <v>0</v>
        <stp/>
        <stp>nse_cm|SCL22-ZC</stp>
        <stp>LTP</stp>
        <tr r="H955" s="1"/>
      </tp>
      <tp>
        <v>1000</v>
        <stp/>
        <stp>bse_cm|10JFPL30</stp>
        <stp>Face Value</stp>
        <tr r="Q1097" s="1"/>
      </tp>
      <tp>
        <v>0</v>
        <stp/>
        <stp>nse_cm|97SFL26A-NC</stp>
        <stp>High</stp>
        <tr r="N784" s="1"/>
      </tp>
      <tp>
        <v>1259</v>
        <stp/>
        <stp>nse_cm|SCL25-Y6</stp>
        <stp>LTP</stp>
        <tr r="H1753" s="1"/>
      </tp>
      <tp t="s">
        <v/>
        <stp/>
        <stp>nse_cm|SCL25-Y6</stp>
        <stp>LTT</stp>
        <tr r="I1753" s="1"/>
      </tp>
      <tp t="s">
        <v>INE148I07RM8</v>
        <stp/>
        <stp>nse_cm|965SCL28B-YB</stp>
        <stp>Isin code</stp>
        <tr r="R819" s="1"/>
      </tp>
      <tp t="s">
        <v>INE148I07QI8</v>
        <stp/>
        <stp>nse_cm|990SCL26A-NL</stp>
        <stp>Isin code</stp>
        <tr r="R1049" s="1"/>
      </tp>
      <tp>
        <v>999</v>
        <stp/>
        <stp>bse_cm|829LTF24</stp>
        <stp>Bid Rate</stp>
        <tr r="E4" s="1"/>
      </tp>
      <tp t="s">
        <v>INE148I07RU1</v>
        <stp/>
        <stp>nse_cm|875SCL23A-YI</stp>
        <stp>Isin code</stp>
        <tr r="R1477" s="1"/>
      </tp>
      <tp t="s">
        <v>NSE</v>
        <stp/>
        <stp>nse_cm|96IIFL28-N5</stp>
        <stp>Exchange</stp>
        <tr r="C106" s="1"/>
      </tp>
      <tp>
        <v>0</v>
        <stp/>
        <stp>nse_cm|925SCL26-NR</stp>
        <stp>Ask Rate</stp>
        <tr r="F991" s="1"/>
      </tp>
      <tp>
        <v>0</v>
        <stp/>
        <stp>bse_cm|10KFL28A</stp>
        <stp>Open</stp>
        <tr r="M1423" s="1"/>
      </tp>
      <tp>
        <v>-100</v>
        <stp/>
        <stp>bse_cm|MFLVIII26H</stp>
        <stp>% Change</stp>
        <tr r="J1575" s="1"/>
      </tp>
      <tp>
        <v>899</v>
        <stp/>
        <stp>bse_cm|769IGT28</stp>
        <stp>Bid Rate</stp>
        <tr r="E1195" s="1"/>
      </tp>
      <tp>
        <v>875.2</v>
        <stp/>
        <stp>bse_cm|749IGT28</stp>
        <stp>Bid Rate</stp>
        <tr r="E1198" s="1"/>
      </tp>
      <tp>
        <v>1292</v>
        <stp/>
        <stp>nse_cm|880IREDA34-N6</stp>
        <stp>High</stp>
        <tr r="N511" s="1"/>
      </tp>
      <tp>
        <v>1170</v>
        <stp/>
        <stp>nse_cm|880IREDA29-N5</stp>
        <stp>High</stp>
        <tr r="N510" s="1"/>
      </tp>
      <tp>
        <v>1165.5</v>
        <stp/>
        <stp>nse_cm|855IREDA29-N2</stp>
        <stp>High</stp>
        <tr r="N505" s="1"/>
      </tp>
      <tp>
        <v>1245.72</v>
        <stp/>
        <stp>nse_cm|855IREDA34-N3</stp>
        <stp>High</stp>
        <tr r="N558" s="1"/>
      </tp>
      <tp t="s">
        <v>897MOFSL29</v>
        <stp/>
        <stp>nse_cm|897MOFSL29-N4</stp>
        <stp>Symbol</stp>
        <tr r="A296" s="1"/>
      </tp>
      <tp t="s">
        <v>INE413U07251</v>
        <stp/>
        <stp>nse_cm|1050ISFL28-N5</stp>
        <stp>Isin code</stp>
        <tr r="R1591" s="1"/>
      </tp>
      <tp t="s">
        <v>98SCL34</v>
        <stp/>
        <stp>nse_cm|98SCL34-ZS</stp>
        <stp>Symbol</stp>
        <tr r="A1052" s="1"/>
      </tp>
      <tp t="s">
        <v>93SCL24</v>
        <stp/>
        <stp>nse_cm|93SCL24-ZP</stp>
        <stp>Symbol</stp>
        <tr r="A1506" s="1"/>
      </tp>
      <tp t="s">
        <v>89SCL24</v>
        <stp/>
        <stp>nse_cm|89SCL24-ZO</stp>
        <stp>Symbol</stp>
        <tr r="A972" s="1"/>
      </tp>
      <tp t="s">
        <v>SCL310524-ZF</v>
        <stp/>
        <stp>nse_cm|SCL310524-ZF</stp>
        <stp>Trading Symbol</stp>
        <tr r="B593" s="1"/>
      </tp>
      <tp t="s">
        <v>1075SCL34-ZR</v>
        <stp/>
        <stp>nse_cm|1075SCL34-ZR</stp>
        <stp>Trading Symbol</stp>
        <tr r="B1366" s="1"/>
      </tp>
      <tp t="s">
        <v>1025SCL34-Z8</v>
        <stp/>
        <stp>nse_cm|1025SCL34-Z8</stp>
        <stp>Trading Symbol</stp>
        <tr r="B128" s="1"/>
      </tp>
      <tp>
        <v>1150</v>
        <stp/>
        <stp>nse_cm|774IREDA31-N7</stp>
        <stp>High</stp>
        <tr r="N18" s="1"/>
      </tp>
      <tp t="s">
        <v>ECLZC24B</v>
        <stp/>
        <stp>bse_cm|ECLZC24B</stp>
        <stp>Symbol</stp>
        <tr r="A1767" s="1"/>
      </tp>
      <tp t="s">
        <v>INE530L07574</v>
        <stp/>
        <stp>bse_cm|NIDO25A</stp>
        <stp>Isin code</stp>
        <tr r="R1245" s="1"/>
      </tp>
      <tp t="s">
        <v>SCFL310524</v>
        <stp/>
        <stp>nse_cm|SCFL310524-ZE</stp>
        <stp>Symbol</stp>
        <tr r="A1240" s="1"/>
      </tp>
      <tp t="s">
        <v>1049EFSL34</v>
        <stp/>
        <stp>bse_cm|1049EFSL34</stp>
        <stp>Symbol</stp>
        <tr r="A1584" s="1"/>
      </tp>
      <tp t="s">
        <v>1049DLSL25</v>
        <stp/>
        <stp>bse_cm|1049DLSL25</stp>
        <stp>Symbol</stp>
        <tr r="A84" s="1"/>
      </tp>
      <tp t="s">
        <v>1045EFSL34</v>
        <stp/>
        <stp>bse_cm|1045EFSL34</stp>
        <stp>Symbol</stp>
        <tr r="A1413" s="1"/>
      </tp>
      <tp t="s">
        <v>1045EFSL33</v>
        <stp/>
        <stp>bse_cm|1045EFSL33</stp>
        <stp>Symbol</stp>
        <tr r="A1382" s="1"/>
      </tp>
      <tp t="s">
        <v>INE148I07MO5</v>
        <stp/>
        <stp>bse_cm|SCL24</stp>
        <stp>Isin code</stp>
        <tr r="R1377" s="1"/>
      </tp>
      <tp t="s">
        <v>960IIFLS26</v>
        <stp/>
        <stp>nse_cm|960IIFLS26-N9</stp>
        <stp>Symbol</stp>
        <tr r="A1489" s="1"/>
      </tp>
      <tp t="e">
        <v>#N/A</v>
        <stp/>
        <stp>bse_cm|975SFL024</stp>
        <stp>% Change</stp>
        <tr r="J31" s="1"/>
      </tp>
      <tp>
        <v>-100</v>
        <stp/>
        <stp>bse_cm|925SFCL25</stp>
        <stp>% Change</stp>
        <tr r="J1482" s="1"/>
      </tp>
      <tp t="s">
        <v>EFS290424A</v>
        <stp/>
        <stp>bse_cm|EFS290424A</stp>
        <stp>Symbol</stp>
        <tr r="A571" s="1"/>
      </tp>
      <tp>
        <v>-100</v>
        <stp/>
        <stp>bse_cm|925SCFL27</stp>
        <stp>% Change</stp>
        <tr r="J772" s="1"/>
      </tp>
      <tp>
        <v>-100</v>
        <stp/>
        <stp>bse_cm|990SCFL26</stp>
        <stp>% Change</stp>
        <tr r="J1676" s="1"/>
      </tp>
      <tp>
        <v>-100</v>
        <stp/>
        <stp>bse_cm|889SCFL27</stp>
        <stp>% Change</stp>
        <tr r="J484" s="1"/>
      </tp>
      <tp>
        <v>-100</v>
        <stp/>
        <stp>bse_cm|843SCFL27</stp>
        <stp>% Change</stp>
        <tr r="J1074" s="1"/>
      </tp>
      <tp>
        <v>-100</v>
        <stp/>
        <stp>bse_cm|875SCFL27</stp>
        <stp>% Change</stp>
        <tr r="J1011" s="1"/>
      </tp>
      <tp t="s">
        <v>1045EFS34A</v>
        <stp/>
        <stp>bse_cm|1045EFS34A</stp>
        <stp>Symbol</stp>
        <tr r="A1029" s="1"/>
      </tp>
      <tp t="s">
        <v>1045EFS33A</v>
        <stp/>
        <stp>bse_cm|1045EFS33A</stp>
        <stp>Symbol</stp>
        <tr r="A95" s="1"/>
      </tp>
      <tp t="s">
        <v>1045EFS33B</v>
        <stp/>
        <stp>bse_cm|1045EFS33B</stp>
        <stp>Symbol</stp>
        <tr r="A117" s="1"/>
      </tp>
      <tp t="s">
        <v>INE423A07385</v>
        <stp/>
        <stp>nse_cm|AEL120924B-N8</stp>
        <stp>Isin code</stp>
        <tr r="R1640" s="1"/>
      </tp>
      <tp>
        <v>-100</v>
        <stp/>
        <stp>bse_cm|965SCFL25</stp>
        <stp>% Change</stp>
        <tr r="J1106" s="1"/>
      </tp>
      <tp>
        <v>-100</v>
        <stp/>
        <stp>bse_cm|925SCFL25</stp>
        <stp>% Change</stp>
        <tr r="J774" s="1"/>
      </tp>
      <tp>
        <v>-100</v>
        <stp/>
        <stp>bse_cm|850SCFL25</stp>
        <stp>% Change</stp>
        <tr r="J1099" s="1"/>
      </tp>
      <tp>
        <v>-100</v>
        <stp/>
        <stp>bse_cm|866SCFL25</stp>
        <stp>% Change</stp>
        <tr r="J342" s="1"/>
      </tp>
      <tp>
        <v>-100</v>
        <stp/>
        <stp>bse_cm|820SCFL25</stp>
        <stp>% Change</stp>
        <tr r="J1059" s="1"/>
      </tp>
      <tp>
        <v>0</v>
        <stp/>
        <stp>nse_cm|CIFC26A-N9</stp>
        <stp>ATP</stp>
        <tr r="K739" s="1"/>
      </tp>
      <tp t="s">
        <v>1049DLS25A</v>
        <stp/>
        <stp>bse_cm|1049DLS25A</stp>
        <stp>Symbol</stp>
        <tr r="A119" s="1"/>
      </tp>
      <tp>
        <v>0</v>
        <stp/>
        <stp>nse_cm|11UCL26-NC</stp>
        <stp>ATP</stp>
        <tr r="K322" s="1"/>
      </tp>
      <tp>
        <v>0</v>
        <stp/>
        <stp>nse_cm|96SCL25-AA</stp>
        <stp>ATP</stp>
        <tr r="K1067" s="1"/>
      </tp>
      <tp>
        <v>1000</v>
        <stp/>
        <stp>nse_cm|1015SCL28B-AZ</stp>
        <stp>High</stp>
        <tr r="N1614" s="1"/>
      </tp>
      <tp>
        <v>0</v>
        <stp/>
        <stp>bse_cm|1025JFCS28</stp>
        <stp>Volume Traded Today</stp>
        <tr r="L363" s="1"/>
      </tp>
      <tp>
        <v>0</v>
        <stp/>
        <stp>nse_cm|87SCL27-Z6</stp>
        <stp>ATP</stp>
        <tr r="K950" s="1"/>
      </tp>
      <tp>
        <v>0</v>
        <stp/>
        <stp>nse_cm|89SCL24-ZO</stp>
        <stp>ATP</stp>
        <tr r="K972" s="1"/>
      </tp>
      <tp>
        <v>0</v>
        <stp/>
        <stp>nse_cm|88SCL25-ZG</stp>
        <stp>ATP</stp>
        <tr r="K960" s="1"/>
      </tp>
      <tp>
        <v>0</v>
        <stp/>
        <stp>nse_cm|87SCL25-ZV</stp>
        <stp>ATP</stp>
        <tr r="K979" s="1"/>
      </tp>
      <tp>
        <v>0</v>
        <stp/>
        <stp>nse_cm|99SCL27-ZH</stp>
        <stp>ATP</stp>
        <tr r="K1168" s="1"/>
      </tp>
      <tp>
        <v>0</v>
        <stp/>
        <stp>nse_cm|94SCL27-ZG</stp>
        <stp>ATP</stp>
        <tr r="K1151" s="1"/>
      </tp>
      <tp>
        <v>0</v>
        <stp/>
        <stp>nse_cm|93SCL25-ZH</stp>
        <stp>ATP</stp>
        <tr r="K961" s="1"/>
      </tp>
      <tp>
        <v>0</v>
        <stp/>
        <stp>nse_cm|98SCL27-ZX</stp>
        <stp>ATP</stp>
        <tr r="K1378" s="1"/>
      </tp>
      <tp>
        <v>0</v>
        <stp/>
        <stp>nse_cm|93SCL24-ZP</stp>
        <stp>ATP</stp>
        <tr r="K1506" s="1"/>
      </tp>
      <tp>
        <v>0</v>
        <stp/>
        <stp>nse_cm|98SCL34-ZS</stp>
        <stp>ATP</stp>
        <tr r="K1052" s="1"/>
      </tp>
      <tp>
        <v>918</v>
        <stp/>
        <stp>nse_cm|1015SCL28A-AL</stp>
        <stp>High</stp>
        <tr r="N1443" s="1"/>
      </tp>
      <tp>
        <v>0</v>
        <stp/>
        <stp>nse_cm|10SCL31-Z1</stp>
        <stp>ATP</stp>
        <tr r="K866" s="1"/>
      </tp>
      <tp>
        <v>0</v>
        <stp/>
        <stp>nse_cm|SCLZC25B-AT</stp>
        <stp>Ask Rate</stp>
        <tr r="F1541" s="1"/>
      </tp>
      <tp>
        <v>0</v>
        <stp/>
        <stp>nse_cm|IIFLZC28-NG</stp>
        <stp>ATP</stp>
        <tr r="K1659" s="1"/>
      </tp>
      <tp>
        <v>0</v>
        <stp/>
        <stp>nse_cm|IIFLZC25-ND</stp>
        <stp>ATP</stp>
        <tr r="K1742" s="1"/>
      </tp>
      <tp>
        <v>0</v>
        <stp/>
        <stp>nse_cm|IIFLZC26-NN</stp>
        <stp>ATP</stp>
        <tr r="K1696" s="1"/>
      </tp>
      <tp t="s">
        <v>NSE</v>
        <stp/>
        <stp>nse_cm|965AEL27-N4</stp>
        <stp>Exchange</stp>
        <tr r="C254" s="1"/>
      </tp>
      <tp>
        <v>0</v>
        <stp/>
        <stp>nse_cm|971SCL28A-NT</stp>
        <stp>% Change</stp>
        <tr r="J680" s="1"/>
      </tp>
      <tp>
        <v>0</v>
        <stp/>
        <stp>nse_cm|SCLZC25A-AS</stp>
        <stp>Ask Rate</stp>
        <tr r="F1232" s="1"/>
      </tp>
      <tp t="s">
        <v>NSE</v>
        <stp/>
        <stp>nse_cm|888NHB29-N5</stp>
        <stp>Exchange</stp>
        <tr r="C504" s="1"/>
      </tp>
      <tp t="s">
        <v>NSE</v>
        <stp/>
        <stp>nse_cm|865SCL26-N8</stp>
        <stp>Exchange</stp>
        <tr r="C310" s="1"/>
      </tp>
      <tp>
        <v>0</v>
        <stp/>
        <stp>bse_cm|MVAFZC25</stp>
        <stp>Open</stp>
        <tr r="M1746" s="1"/>
      </tp>
      <tp>
        <v>0</v>
        <stp/>
        <stp>nse_cm|IFCIZC24-NI</stp>
        <stp>ATP</stp>
        <tr r="K1768" s="1"/>
      </tp>
      <tp>
        <v>1000</v>
        <stp/>
        <stp>bse_cm|10SMCGSL26</stp>
        <stp>Face Value</stp>
        <tr r="Q138" s="1"/>
      </tp>
      <tp>
        <v>0</v>
        <stp/>
        <stp>nse_cm|IFCIZC25-NM</stp>
        <stp>ATP</stp>
        <tr r="K1765" s="1"/>
      </tp>
      <tp>
        <v>0</v>
        <stp/>
        <stp>nse_cm|1049DLSL25-NX</stp>
        <stp>Volume Traded Today</stp>
        <tr r="L43" s="1"/>
      </tp>
      <tp>
        <v>1100</v>
        <stp/>
        <stp>nse_cm|SCLZC26B-AY</stp>
        <stp>Ask Rate</stp>
        <tr r="F1658" s="1"/>
      </tp>
      <tp>
        <v>0</v>
        <stp/>
        <stp>bse_cm|10ARKA28</stp>
        <stp>Open</stp>
        <tr r="M1400" s="1"/>
      </tp>
      <tp>
        <v>25</v>
        <stp/>
        <stp>nse_cm|9PCHFL31A-NA</stp>
        <stp>Bid Qty</stp>
        <tr r="D435" s="1"/>
      </tp>
      <tp>
        <v>0</v>
        <stp/>
        <stp>nse_cm|829PFL29-N6</stp>
        <stp>Ask Rate</stp>
        <tr r="F1451" s="1"/>
      </tp>
      <tp>
        <v>974.8</v>
        <stp/>
        <stp>nse_cm|92ICCL28-ND</stp>
        <stp>Ask Rate</stp>
        <tr r="F203" s="1"/>
      </tp>
      <tp t="s">
        <v>97SFL26A-NC</v>
        <stp/>
        <stp>nse_cm|97SFL26A-NC</stp>
        <stp>Trading Symbol</stp>
        <tr r="B784" s="1"/>
      </tp>
      <tp t="s">
        <v>96SFL24A-NB</v>
        <stp/>
        <stp>nse_cm|96SFL24A-NB</stp>
        <stp>Trading Symbol</stp>
        <tr r="B162" s="1"/>
      </tp>
      <tp t="s">
        <v>9IIFL28A-NT</v>
        <stp/>
        <stp>nse_cm|9IIFL28A-NT</stp>
        <stp>Trading Symbol</stp>
        <tr r="B80" s="1"/>
      </tp>
      <tp t="s">
        <v>9ARKA25</v>
        <stp/>
        <stp>bse_cm|9ARKA25</stp>
        <stp>Symbol</stp>
        <tr r="A1365" s="1"/>
      </tp>
      <tp t="s">
        <v>85PFL26A-N7</v>
        <stp/>
        <stp>nse_cm|85PFL26A-N7</stp>
        <stp>Trading Symbol</stp>
        <tr r="B1519" s="1"/>
      </tp>
      <tp>
        <v>1018</v>
        <stp/>
        <stp>nse_cm|925AEL26-N1</stp>
        <stp>Ask Rate</stp>
        <tr r="F330" s="1"/>
      </tp>
      <tp>
        <v>0</v>
        <stp/>
        <stp>nse_cm|884LTF29-N6</stp>
        <stp>Ask Rate</stp>
        <tr r="F1009" s="1"/>
      </tp>
      <tp>
        <v>1108</v>
        <stp/>
        <stp>nse_cm|920PEL28-N2</stp>
        <stp>Ask Rate</stp>
        <tr r="F373" s="1"/>
      </tp>
      <tp>
        <v>0</v>
        <stp/>
        <stp>bse_cm|93ARKA25</stp>
        <stp>Open</stp>
        <tr r="M1395" s="1"/>
      </tp>
      <tp>
        <v>0</v>
        <stp/>
        <stp>bse_cm|93ARKA26</stp>
        <stp>Open</stp>
        <tr r="M981" s="1"/>
      </tp>
      <tp>
        <v>0</v>
        <stp/>
        <stp>nse_cm|925SCL25-N5</stp>
        <stp>Ask Rate</stp>
        <tr r="F1474" s="1"/>
      </tp>
      <tp>
        <v>0</v>
        <stp/>
        <stp>nse_cm|980SCL33C-ND</stp>
        <stp>% Change</stp>
        <tr r="J1385" s="1"/>
      </tp>
      <tp>
        <v>-100</v>
        <stp/>
        <stp>nse_cm|931SFL26A-NA</stp>
        <stp>% Change</stp>
        <tr r="J786" s="1"/>
      </tp>
      <tp t="s">
        <v>NSE</v>
        <stp/>
        <stp>nse_cm|SCL25-Y6</stp>
        <stp>Exchange</stp>
        <tr r="C1753" s="1"/>
      </tp>
      <tp t="s">
        <v>INE530B07302</v>
        <stp/>
        <stp>nse_cm|IIFLZC25A-NP</stp>
        <stp>Isin code</stp>
        <tr r="R1578" s="1"/>
      </tp>
      <tp>
        <v>-100</v>
        <stp/>
        <stp>bse_cm|9SCFL25</stp>
        <stp>% Change</stp>
        <tr r="J1505" s="1"/>
      </tp>
      <tp>
        <v>943</v>
        <stp/>
        <stp>nse_cm|9SCL26BA-NA</stp>
        <stp>Bid Rate</stp>
        <tr r="E122" s="1"/>
      </tp>
      <tp t="s">
        <v>BSE</v>
        <stp/>
        <stp>bse_cm|EFSL28</stp>
        <stp>Exchange</stp>
        <tr r="C1609" s="1"/>
      </tp>
      <tp t="s">
        <v>NSE</v>
        <stp/>
        <stp>nse_cm|975SCL28-NT</stp>
        <stp>Exchange</stp>
        <tr r="C142" s="1"/>
      </tp>
      <tp>
        <v>1018.2</v>
        <stp/>
        <stp>nse_cm|925ICCL24A-NE</stp>
        <stp>Prev Close</stp>
        <tr r="P1393" s="1"/>
      </tp>
      <tp>
        <v>1011.8</v>
        <stp/>
        <stp>nse_cm|875IIFL26A-NQ</stp>
        <stp>Prev Close</stp>
        <tr r="P634" s="1"/>
      </tp>
      <tp>
        <v>995</v>
        <stp/>
        <stp>nse_cm|925IHFL25D-N6</stp>
        <stp>Prev Close</stp>
        <tr r="P575" s="1"/>
      </tp>
      <tp>
        <v>978</v>
        <stp/>
        <stp>bse_cm|95CCIL25</stp>
        <stp>Prev Close</stp>
        <tr r="P37" s="1"/>
      </tp>
      <tp t="s">
        <v>BSE</v>
        <stp/>
        <stp>bse_cm|EFSL29</stp>
        <stp>Exchange</stp>
        <tr r="C659" s="1"/>
      </tp>
      <tp>
        <v>986</v>
        <stp/>
        <stp>nse_cm|10NIDO26-N6</stp>
        <stp>Ask Rate</stp>
        <tr r="F66" s="1"/>
      </tp>
      <tp t="s">
        <v>00:00:00</v>
        <stp/>
        <stp>bse_cm|772IGT31</stp>
        <stp>LTT</stp>
        <tr r="I1194" s="1"/>
      </tp>
      <tp>
        <v>0</v>
        <stp/>
        <stp>bse_cm|772IGT31</stp>
        <stp>LTP</stp>
        <tr r="H1194" s="1"/>
      </tp>
      <tp>
        <v>1000</v>
        <stp/>
        <stp>nse_cm|9MMFSML-N2</stp>
        <stp>Face Value</stp>
        <tr r="Q339" s="1"/>
      </tp>
      <tp>
        <v>1059</v>
        <stp/>
        <stp>bse_cm|83TCHF25</stp>
        <stp>Prev Close</stp>
        <tr r="P489" s="1"/>
      </tp>
      <tp>
        <v>1000</v>
        <stp/>
        <stp>bse_cm|83TCHF28</stp>
        <stp>Prev Close</stp>
        <tr r="P832" s="1"/>
      </tp>
      <tp>
        <v>820.2</v>
        <stp/>
        <stp>bse_cm|888SCL25</stp>
        <stp>Bid Rate</stp>
        <tr r="E1134" s="1"/>
      </tp>
      <tp t="s">
        <v>BSE</v>
        <stp/>
        <stp>bse_cm|EFSL25</stp>
        <stp>Exchange</stp>
        <tr r="C1694" s="1"/>
      </tp>
      <tp>
        <v>1065</v>
        <stp/>
        <stp>bse_cm|82TCHF25</stp>
        <stp>Prev Close</stp>
        <tr r="P1015" s="1"/>
      </tp>
      <tp>
        <v>814.2</v>
        <stp/>
        <stp>bse_cm|888SCL26</stp>
        <stp>Bid Rate</stp>
        <tr r="E915" s="1"/>
      </tp>
      <tp>
        <v>700.5</v>
        <stp/>
        <stp>bse_cm|948SCL26</stp>
        <stp>Bid Rate</stp>
        <tr r="E1647" s="1"/>
      </tp>
      <tp t="s">
        <v>BSE</v>
        <stp/>
        <stp>bse_cm|EFSL26</stp>
        <stp>Exchange</stp>
        <tr r="C1687" s="1"/>
      </tp>
      <tp>
        <v>1010</v>
        <stp/>
        <stp>bse_cm|81TCHF28</stp>
        <stp>Prev Close</stp>
        <tr r="P479" s="1"/>
      </tp>
      <tp>
        <v>901.2</v>
        <stp/>
        <stp>bse_cm|948SCL27</stp>
        <stp>Bid Rate</stp>
        <tr r="E1079" s="1"/>
      </tp>
      <tp t="s">
        <v>BSE</v>
        <stp/>
        <stp>bse_cm|EFSL27</stp>
        <stp>Exchange</stp>
        <tr r="C1531" s="1"/>
      </tp>
      <tp>
        <v>1128.0999999999999</v>
        <stp/>
        <stp>bse_cm|709REC30</stp>
        <stp>Bid Rate</stp>
        <tr r="E564" s="1"/>
      </tp>
      <tp>
        <v>1000</v>
        <stp/>
        <stp>nse_cm|9SCL26B-ND</stp>
        <stp>Face Value</stp>
        <tr r="Q994" s="1"/>
      </tp>
      <tp>
        <v>1070.55</v>
        <stp/>
        <stp>bse_cm|84TCHF28</stp>
        <stp>Prev Close</stp>
        <tr r="P403" s="1"/>
      </tp>
      <tp>
        <v>1000</v>
        <stp/>
        <stp>bse_cm|IFL19424</stp>
        <stp>Prev Close</stp>
        <tr r="P1344" s="1"/>
      </tp>
      <tp>
        <v>1000</v>
        <stp/>
        <stp>bse_cm|795IGT31</stp>
        <stp>Prev Close</stp>
        <tr r="P1186" s="1"/>
      </tp>
      <tp>
        <v>1000</v>
        <stp/>
        <stp>bse_cm|797IGT31</stp>
        <stp>Prev Close</stp>
        <tr r="P381" s="1"/>
      </tp>
      <tp>
        <v>900</v>
        <stp/>
        <stp>nse_cm|96SFL24A-NB</stp>
        <stp>High</stp>
        <tr r="N162" s="1"/>
      </tp>
      <tp>
        <v>1000</v>
        <stp/>
        <stp>nse_cm|905SC24-ZB</stp>
        <stp>Face Value</stp>
        <tr r="Q1374" s="1"/>
      </tp>
      <tp t="s">
        <v>NSE</v>
        <stp/>
        <stp>nse_cm|886REC34-NG</stp>
        <stp>Exchange</stp>
        <tr r="C536" s="1"/>
      </tp>
      <tp t="s">
        <v>INE148I07RS5</v>
        <stp/>
        <stp>nse_cm|925SCL28B-YC</stp>
        <stp>Isin code</stp>
        <tr r="R825" s="1"/>
      </tp>
      <tp>
        <v>10</v>
        <stp/>
        <stp>bse_cm|CAGL27A</stp>
        <stp>Bid Qty</stp>
        <tr r="D1379" s="1"/>
      </tp>
      <tp>
        <v>0</v>
        <stp/>
        <stp>bse_cm|ABFL26</stp>
        <stp>Ask Rate</stp>
        <tr r="F1064" s="1"/>
      </tp>
      <tp>
        <v>860.01</v>
        <stp/>
        <stp>bse_cm|898ONE26</stp>
        <stp>Bid Rate</stp>
        <tr r="E1154" s="1"/>
      </tp>
      <tp t="s">
        <v>INE148I07MV0</v>
        <stp/>
        <stp>nse_cm|915SCL27A-ZL</stp>
        <stp>Isin code</stp>
        <tr r="R966" s="1"/>
      </tp>
      <tp t="s">
        <v>INE148I07QM0</v>
        <stp/>
        <stp>nse_cm|902SCL26A-NM</stp>
        <stp>Isin code</stp>
        <tr r="R904" s="1"/>
      </tp>
      <tp>
        <v>0</v>
        <stp/>
        <stp>nse_cm|11UCL26-NC</stp>
        <stp>% Change</stp>
        <tr r="J322" s="1"/>
      </tp>
      <tp t="s">
        <v>INE148I07RR7</v>
        <stp/>
        <stp>nse_cm|835SCL23A-YH</stp>
        <stp>Isin code</stp>
        <tr r="R833" s="1"/>
      </tp>
      <tp>
        <v>50</v>
        <stp/>
        <stp>bse_cm|CAGL25A</stp>
        <stp>Bid Qty</stp>
        <tr r="D1701" s="1"/>
      </tp>
      <tp t="s">
        <v>NSE</v>
        <stp/>
        <stp>nse_cm|9ICCL23A-N0</stp>
        <stp>Exchange</stp>
        <tr r="C657" s="1"/>
      </tp>
      <tp>
        <v>1040</v>
        <stp/>
        <stp>bse_cm|898LTF29</stp>
        <stp>Bid Rate</stp>
        <tr r="E416" s="1"/>
      </tp>
      <tp>
        <v>40</v>
        <stp/>
        <stp>nse_cm|885MOFSL26-N0</stp>
        <stp>Volume Traded Today</stp>
        <tr r="L1635" s="1"/>
      </tp>
      <tp>
        <v>0</v>
        <stp/>
        <stp>nse_cm|935MOFSL29-N5</stp>
        <stp>Volume Traded Today</stp>
        <tr r="L1601" s="1"/>
      </tp>
      <tp t="s">
        <v>NSE</v>
        <stp/>
        <stp>nse_cm|888REC29-NF</stp>
        <stp>Exchange</stp>
        <tr r="C522" s="1"/>
      </tp>
      <tp>
        <v>0</v>
        <stp/>
        <stp>bse_cm|ABFL28</stp>
        <stp>Ask Rate</stp>
        <tr r="F1373" s="1"/>
      </tp>
      <tp>
        <v>7</v>
        <stp/>
        <stp>bse_cm|CIFC26A</stp>
        <stp>Bid Qty</stp>
        <tr r="D740" s="1"/>
      </tp>
      <tp>
        <v>1000</v>
        <stp/>
        <stp>bse_cm|745IGT26</stp>
        <stp>Prev Close</stp>
        <tr r="P1202" s="1"/>
      </tp>
      <tp>
        <v>1000</v>
        <stp/>
        <stp>bse_cm|749IGT28</stp>
        <stp>Prev Close</stp>
        <tr r="P1198" s="1"/>
      </tp>
      <tp>
        <v>1001</v>
        <stp/>
        <stp>nse_cm|835IFL25-NV</stp>
        <stp>Ask Rate</stp>
        <tr r="F98" s="1"/>
      </tp>
      <tp>
        <v>-100</v>
        <stp/>
        <stp>bse_cm|MFLVIII27H</stp>
        <stp>% Change</stp>
        <tr r="J1274" s="1"/>
      </tp>
      <tp>
        <v>0</v>
        <stp/>
        <stp>nse_cm|935SCL28-NV</stp>
        <stp>Ask Rate</stp>
        <tr r="F986" s="1"/>
      </tp>
      <tp>
        <v>1000</v>
        <stp/>
        <stp>bse_cm|772IGT31</stp>
        <stp>Prev Close</stp>
        <tr r="P1194" s="1"/>
      </tp>
      <tp t="s">
        <v>INE148I07OT0</v>
        <stp/>
        <stp>nse_cm|971SCL28I-BC</stp>
        <stp>Isin code</stp>
        <tr r="R531" s="1"/>
      </tp>
      <tp>
        <v>980</v>
        <stp/>
        <stp>bse_cm|769IGT28</stp>
        <stp>Prev Close</stp>
        <tr r="P1195" s="1"/>
      </tp>
      <tp t="s">
        <v>NSE</v>
        <stp/>
        <stp>nse_cm|879SCL26-NC</stp>
        <stp>Exchange</stp>
        <tr r="C720" s="1"/>
      </tp>
      <tp t="s">
        <v>872MMFSL26</v>
        <stp/>
        <stp>nse_cm|872MMFSL26-N1</stp>
        <stp>Symbol</stp>
        <tr r="A404" s="1"/>
      </tp>
      <tp>
        <v>1015</v>
        <stp/>
        <stp>nse_cm|840CIFCL28-N4</stp>
        <stp xml:space="preserve">Low </stp>
        <tr r="O556" s="1"/>
      </tp>
      <tp t="s">
        <v>INE413U07269</v>
        <stp/>
        <stp>nse_cm|1003ISFL28-N4</stp>
        <stp>Isin code</stp>
        <tr r="R197" s="1"/>
      </tp>
      <tp>
        <v>0</v>
        <stp/>
        <stp>nse_cm|850NIRMA27-N7</stp>
        <stp xml:space="preserve">Low </stp>
        <tr r="O1010" s="1"/>
      </tp>
      <tp t="s">
        <v>96SCL25</v>
        <stp/>
        <stp>nse_cm|96SCL25-AA</stp>
        <stp>Symbol</stp>
        <tr r="A1067" s="1"/>
      </tp>
      <tp t="s">
        <v>93SCL25</v>
        <stp/>
        <stp>nse_cm|93SCL25-ZH</stp>
        <stp>Symbol</stp>
        <tr r="A961" s="1"/>
      </tp>
      <tp t="s">
        <v>87SCL25</v>
        <stp/>
        <stp>nse_cm|87SCL25-ZV</stp>
        <stp>Symbol</stp>
        <tr r="A979" s="1"/>
      </tp>
      <tp t="s">
        <v>88SCL25</v>
        <stp/>
        <stp>nse_cm|88SCL25-ZG</stp>
        <stp>Symbol</stp>
        <tr r="A960" s="1"/>
      </tp>
      <tp>
        <v>958</v>
        <stp/>
        <stp>nse_cm|IIFLHFZC27-NB</stp>
        <stp xml:space="preserve">Low </stp>
        <tr r="O1672" s="1"/>
      </tp>
      <tp>
        <v>7.58</v>
        <stp/>
        <stp>bse_cm|835SCL23B</stp>
        <stp>% Change</stp>
        <tr r="J167" s="1"/>
      </tp>
      <tp>
        <v>-100</v>
        <stp/>
        <stp>bse_cm|980SCL33C</stp>
        <stp>% Change</stp>
        <tr r="J1384" s="1"/>
      </tp>
      <tp t="s">
        <v>INE403Q07DN8</v>
        <stp/>
        <stp>bse_cm|9KFL26B</stp>
        <stp>Isin code</stp>
        <tr r="R667" s="1"/>
      </tp>
      <tp>
        <v>-100</v>
        <stp/>
        <stp>bse_cm|980SCL33B</stp>
        <stp>% Change</stp>
        <tr r="J1054" s="1"/>
      </tp>
      <tp>
        <v>-100</v>
        <stp/>
        <stp>bse_cm|950SCL23A</stp>
        <stp>% Change</stp>
        <tr r="J1146" s="1"/>
      </tp>
      <tp>
        <v>-100</v>
        <stp/>
        <stp>bse_cm|920SCL23A</stp>
        <stp>% Change</stp>
        <tr r="J1114" s="1"/>
      </tp>
      <tp>
        <v>-100</v>
        <stp/>
        <stp>bse_cm|980SCL33A</stp>
        <stp>% Change</stp>
        <tr r="J1056" s="1"/>
      </tp>
      <tp t="s">
        <v>INE306N07LL7</v>
        <stp/>
        <stp>nse_cm|855TCAPS27-N7</stp>
        <stp>Isin code</stp>
        <tr r="R1003" s="1"/>
      </tp>
      <tp>
        <v>-100</v>
        <stp/>
        <stp>bse_cm|875SCL23A</stp>
        <stp>% Change</stp>
        <tr r="J194" s="1"/>
      </tp>
      <tp>
        <v>-100</v>
        <stp/>
        <stp>bse_cm|835SCL23A</stp>
        <stp>% Change</stp>
        <tr r="J1104" s="1"/>
      </tp>
      <tp t="s">
        <v>1075SCFL34</v>
        <stp/>
        <stp>nse_cm|1075SCFL34-Z6</stp>
        <stp>Symbol</stp>
        <tr r="A882" s="1"/>
      </tp>
      <tp t="s">
        <v>1025SCFL34</v>
        <stp/>
        <stp>nse_cm|1025SCFL34-Z5</stp>
        <stp>Symbol</stp>
        <tr r="A880" s="1"/>
      </tp>
      <tp>
        <v>-100</v>
        <stp/>
        <stp>bse_cm|980SCL33D</stp>
        <stp>% Change</stp>
        <tr r="J1022" s="1"/>
      </tp>
      <tp t="s">
        <v>INE302E08076</v>
        <stp/>
        <stp>bse_cm|SFL25</stp>
        <stp>Isin code</stp>
        <tr r="R813" s="1"/>
      </tp>
      <tp t="s">
        <v>INE148I07KY8</v>
        <stp/>
        <stp>bse_cm|SCL25</stp>
        <stp>Isin code</stp>
        <tr r="R1234" s="1"/>
      </tp>
      <tp t="s">
        <v>1050EFSL29</v>
        <stp/>
        <stp>bse_cm|1050EFSL29</stp>
        <stp>Symbol</stp>
        <tr r="A1484" s="1"/>
      </tp>
      <tp t="s">
        <v>795MMFSL32</v>
        <stp/>
        <stp>bse_cm|795MMFSL32</stp>
        <stp>Symbol</stp>
        <tr r="A1184" s="1"/>
      </tp>
      <tp t="s">
        <v>885MOFSL26</v>
        <stp/>
        <stp>bse_cm|885MOFSL26</stp>
        <stp>Symbol</stp>
        <tr r="A1643" s="1"/>
      </tp>
      <tp t="s">
        <v>935MOFSL29</v>
        <stp/>
        <stp>bse_cm|935MOFSL29</stp>
        <stp>Symbol</stp>
        <tr r="A1602" s="1"/>
      </tp>
      <tp t="s">
        <v>805MMFSL32</v>
        <stp/>
        <stp>bse_cm|805MMFSL32</stp>
        <stp>Symbol</stp>
        <tr r="A401" s="1"/>
      </tp>
      <tp t="s">
        <v>935MMFSL29</v>
        <stp/>
        <stp>bse_cm|935MMFSL29</stp>
        <stp>Symbol</stp>
        <tr r="A1174" s="1"/>
      </tp>
      <tp>
        <v>-100</v>
        <stp/>
        <stp>bse_cm|689RECL24</stp>
        <stp>% Change</stp>
        <tr r="J1206" s="1"/>
      </tp>
      <tp>
        <v>1041.0999999999999</v>
        <stp/>
        <stp>nse_cm|850CIFCL26-NE</stp>
        <stp xml:space="preserve">Low </stp>
        <tr r="O450" s="1"/>
      </tp>
      <tp>
        <v>966.94</v>
        <stp/>
        <stp>nse_cm|10IIFLSF27-NB</stp>
        <stp xml:space="preserve">Low </stp>
        <tr r="O1657" s="1"/>
      </tp>
      <tp>
        <v>1052</v>
        <stp/>
        <stp>nse_cm|860CIFCL28-NG</stp>
        <stp xml:space="preserve">Low </stp>
        <tr r="O647" s="1"/>
      </tp>
      <tp>
        <v>0</v>
        <stp/>
        <stp>nse_cm|1050SCFL31-Z2</stp>
        <stp>Bid Rate</stp>
        <tr r="E868" s="1"/>
      </tp>
      <tp t="s">
        <v>NSE</v>
        <stp/>
        <stp>nse_cm|975NFL25-N0</stp>
        <stp>Exchange</stp>
        <tr r="C256" s="1"/>
      </tp>
      <tp t="s">
        <v>NSE</v>
        <stp/>
        <stp>nse_cm|893NHB29-N6</stp>
        <stp>Exchange</stp>
        <tr r="C529" s="1"/>
      </tp>
      <tp>
        <v>-100</v>
        <stp/>
        <stp>bse_cm|IIFLHFZC27</stp>
        <stp>% Change</stp>
        <tr r="J1516" s="1"/>
      </tp>
      <tp t="s">
        <v>NSE</v>
        <stp/>
        <stp>nse_cm|890NHB34-N7</stp>
        <stp>Exchange</stp>
        <tr r="C537" s="1"/>
      </tp>
      <tp>
        <v>0</v>
        <stp/>
        <stp>bse_cm|KFL28D</stp>
        <stp>Ask Rate</stp>
        <tr r="F1299" s="1"/>
      </tp>
      <tp t="s">
        <v>INE530B07310</v>
        <stp/>
        <stp>nse_cm|865IIFL28-NS</stp>
        <stp>Isin code</stp>
        <tr r="R74" s="1"/>
      </tp>
      <tp>
        <v>0</v>
        <stp/>
        <stp>nse_cm|850SCL25A-NW</stp>
        <stp>% Change</stp>
        <tr r="J984" s="1"/>
      </tp>
      <tp>
        <v>0</v>
        <stp/>
        <stp>bse_cm|81ABFL33</stp>
        <stp>Open</stp>
        <tr r="M1603" s="1"/>
      </tp>
      <tp>
        <v>0</v>
        <stp/>
        <stp>bse_cm|78ABFL33</stp>
        <stp>Open</stp>
        <tr r="M378" s="1"/>
      </tp>
      <tp>
        <v>0</v>
        <stp/>
        <stp>nse_cm|10NFL25-N9</stp>
        <stp>% Change</stp>
        <tr r="J345" s="1"/>
      </tp>
      <tp>
        <v>1050</v>
        <stp/>
        <stp>nse_cm|898LTF29-N7</stp>
        <stp>Ask Rate</stp>
        <tr r="F385" s="1"/>
      </tp>
      <tp>
        <v>0</v>
        <stp/>
        <stp>nse_cm|990SCL26A-NL</stp>
        <stp>% Change</stp>
        <tr r="J1049" s="1"/>
      </tp>
      <tp t="s">
        <v>NSE</v>
        <stp/>
        <stp>nse_cm|9IIFL28A-NT</stp>
        <stp>Exchange</stp>
        <tr r="C80" s="1"/>
      </tp>
      <tp t="s">
        <v>00:00:00</v>
        <stp/>
        <stp>bse_cm|9SFL2026</stp>
        <stp>LTT</stp>
        <tr r="I1473" s="1"/>
      </tp>
      <tp>
        <v>0</v>
        <stp/>
        <stp>bse_cm|9SFL2026</stp>
        <stp>LTP</stp>
        <tr r="H1473" s="1"/>
      </tp>
      <tp>
        <v>-100</v>
        <stp/>
        <stp>nse_cm|940SCL26A-NK</stp>
        <stp>% Change</stp>
        <tr r="J906" s="1"/>
      </tp>
      <tp>
        <v>0</v>
        <stp/>
        <stp>nse_cm|935PEL33-N3</stp>
        <stp>Ask Rate</stp>
        <tr r="F1375" s="1"/>
      </tp>
      <tp>
        <v>1094</v>
        <stp/>
        <stp>nse_cm|932AEL27-N3</stp>
        <stp>Ask Rate</stp>
        <tr r="F471" s="1"/>
      </tp>
      <tp t="s">
        <v>INE530B07286</v>
        <stp/>
        <stp>nse_cm|IIFLZC26A-NR</stp>
        <stp>Isin code</stp>
        <tr r="R1680" s="1"/>
      </tp>
      <tp>
        <v>0</v>
        <stp/>
        <stp>nse_cm|SCLZC26F-Y9</stp>
        <stp>Bid Rate</stp>
        <tr r="E800" s="1"/>
      </tp>
      <tp>
        <v>1053</v>
        <stp/>
        <stp>nse_cm|10IFSL26-N7</stp>
        <stp>Ask Rate</stp>
        <tr r="F293" s="1"/>
      </tp>
      <tp>
        <v>0</v>
        <stp/>
        <stp>bse_cm|745IGT26</stp>
        <stp>LTP</stp>
        <tr r="H1202" s="1"/>
      </tp>
      <tp t="s">
        <v>00:00:00</v>
        <stp/>
        <stp>bse_cm|745IGT26</stp>
        <stp>LTT</stp>
        <tr r="I1202" s="1"/>
      </tp>
      <tp>
        <v>989.98</v>
        <stp/>
        <stp>nse_cm|10IIFL29-N6</stp>
        <stp>Ask Rate</stp>
        <tr r="F193" s="1"/>
      </tp>
      <tp>
        <v>0</v>
        <stp/>
        <stp>bse_cm|795IGT31</stp>
        <stp>ATP</stp>
        <tr r="K1186" s="1"/>
      </tp>
      <tp>
        <v>1000</v>
        <stp/>
        <stp>nse_cm|913ICCL24A-NF</stp>
        <stp>Prev Close</stp>
        <tr r="P781" s="1"/>
      </tp>
      <tp>
        <v>954.99</v>
        <stp/>
        <stp>nse_cm|10IIFL28-N4</stp>
        <stp>Ask Rate</stp>
        <tr r="F42" s="1"/>
      </tp>
      <tp>
        <v>0</v>
        <stp/>
        <stp>bse_cm|797IGT31</stp>
        <stp>ATP</stp>
        <tr r="K381" s="1"/>
      </tp>
      <tp>
        <v>0</v>
        <stp/>
        <stp>nse_cm|10ISFL26-N3</stp>
        <stp>Ask Rate</stp>
        <tr r="F1527" s="1"/>
      </tp>
      <tp>
        <v>0</v>
        <stp/>
        <stp>bse_cm|960EFSLA</stp>
        <stp>Volume Traded Today</stp>
        <tr r="L699" s="1"/>
      </tp>
      <tp>
        <v>0</v>
        <stp/>
        <stp>bse_cm|CIFC26A</stp>
        <stp>Ask Qty</stp>
        <tr r="G740" s="1"/>
      </tp>
      <tp>
        <v>1020</v>
        <stp/>
        <stp>nse_cm|10CAGL27-N5</stp>
        <stp>Ask Rate</stp>
        <tr r="F273" s="1"/>
      </tp>
      <tp>
        <v>1055</v>
        <stp/>
        <stp>nse_cm|875CIFC23B-NJ</stp>
        <stp>Prev Close</stp>
        <tr r="P346" s="1"/>
      </tp>
      <tp t="s">
        <v>MFLII26</v>
        <stp/>
        <stp>bse_cm|MFLII26</stp>
        <stp>Symbol</stp>
        <tr r="A390" s="1"/>
      </tp>
      <tp t="s">
        <v>MFLII27</v>
        <stp/>
        <stp>bse_cm|MFLII27</stp>
        <stp>Symbol</stp>
        <tr r="A648" s="1"/>
      </tp>
      <tp t="s">
        <v>00:00:00</v>
        <stp/>
        <stp>bse_cm|749IGT28</stp>
        <stp>LTT</stp>
        <tr r="I1198" s="1"/>
      </tp>
      <tp>
        <v>0</v>
        <stp/>
        <stp>bse_cm|749IGT28</stp>
        <stp>LTP</stp>
        <tr r="H1198" s="1"/>
      </tp>
      <tp>
        <v>50</v>
        <stp/>
        <stp>bse_cm|CAGL25A</stp>
        <stp>Ask Qty</stp>
        <tr r="G1701" s="1"/>
      </tp>
      <tp>
        <v>832.2</v>
        <stp/>
        <stp>nse_cm|SCLZC25E-Y4</stp>
        <stp>Bid Rate</stp>
        <tr r="E787" s="1"/>
      </tp>
      <tp>
        <v>1017</v>
        <stp/>
        <stp>nse_cm|SCLZC25F-Y5</stp>
        <stp>Bid Rate</stp>
        <tr r="E1512" s="1"/>
      </tp>
      <tp>
        <v>0</v>
        <stp/>
        <stp>bse_cm|CAGL27A</stp>
        <stp>Ask Qty</stp>
        <tr r="G1379" s="1"/>
      </tp>
      <tp>
        <v>1.2</v>
        <stp/>
        <stp>nse_cm|97MOFSL34-N7</stp>
        <stp>% Change</stp>
        <tr r="J1599" s="1"/>
      </tp>
      <tp>
        <v>1000</v>
        <stp/>
        <stp>bse_cm|810MFL2028</stp>
        <stp>Face Value</stp>
        <tr r="Q651" s="1"/>
      </tp>
      <tp>
        <v>-0.1</v>
        <stp/>
        <stp>nse_cm|93MOFSL34-N6</stp>
        <stp>% Change</stp>
        <tr r="J299" s="1"/>
      </tp>
      <tp t="s">
        <v>MFLIV26</v>
        <stp/>
        <stp>bse_cm|MFLIV26</stp>
        <stp>Symbol</stp>
        <tr r="A1500" s="1"/>
      </tp>
      <tp t="s">
        <v>MFLIV25</v>
        <stp/>
        <stp>bse_cm|MFLIV25</stp>
        <stp>Symbol</stp>
        <tr r="A280" s="1"/>
      </tp>
      <tp>
        <v>0</v>
        <stp/>
        <stp>nse_cm|91MOFSL27-N2</stp>
        <stp>% Change</stp>
        <tr r="J1611" s="1"/>
      </tp>
      <tp t="s">
        <v>INE148I07QK4</v>
        <stp/>
        <stp>nse_cm|948SCL26A-NN</stp>
        <stp>Isin code</stp>
        <tr r="R526" s="1"/>
      </tp>
      <tp t="s">
        <v>INE148I07SA1</v>
        <stp/>
        <stp>nse_cm|925SCL26A-YN</stp>
        <stp>Isin code</stp>
        <tr r="R838" s="1"/>
      </tp>
      <tp>
        <v>0</v>
        <stp/>
        <stp>nse_cm|86LTF24-NJ</stp>
        <stp>% Change</stp>
        <tr r="J7" s="1"/>
      </tp>
      <tp>
        <v>-0.19</v>
        <stp/>
        <stp>nse_cm|87LTF27-NH</stp>
        <stp>% Change</stp>
        <tr r="J407" s="1"/>
      </tp>
      <tp t="s">
        <v>NSE</v>
        <stp/>
        <stp>nse_cm|943ECL28-NJ</stp>
        <stp>Exchange</stp>
        <tr r="C94" s="1"/>
      </tp>
      <tp>
        <v>0</v>
        <stp/>
        <stp>nse_cm|885TCAPS29-NC</stp>
        <stp>Volume Traded Today</stp>
        <tr r="L13" s="1"/>
      </tp>
      <tp>
        <v>0</v>
        <stp/>
        <stp>nse_cm|875TCAPS29-NB</stp>
        <stp>Volume Traded Today</stp>
        <tr r="L934" s="1"/>
      </tp>
      <tp>
        <v>0</v>
        <stp/>
        <stp>nse_cm|85LTF26-NM</stp>
        <stp>% Change</stp>
        <tr r="J365" s="1"/>
      </tp>
      <tp>
        <v>0</v>
        <stp/>
        <stp>nse_cm|855TCAPS27-N7</stp>
        <stp>Volume Traded Today</stp>
        <tr r="L1003" s="1"/>
      </tp>
      <tp>
        <v>0</v>
        <stp/>
        <stp>nse_cm|865TCAPS27-N8</stp>
        <stp>Volume Traded Today</stp>
        <tr r="L376" s="1"/>
      </tp>
      <tp>
        <v>0</v>
        <stp/>
        <stp>nse_cm|CIFCZC26-NF</stp>
        <stp>Volume Traded Today</stp>
        <tr r="L1561" s="1"/>
      </tp>
      <tp>
        <v>0</v>
        <stp/>
        <stp>nse_cm|CIFCZC25-ND</stp>
        <stp>Volume Traded Today</stp>
        <tr r="L1435" s="1"/>
      </tp>
      <tp>
        <v>200</v>
        <stp/>
        <stp>nse_cm|CIFCZC28-NH</stp>
        <stp>Volume Traded Today</stp>
        <tr r="L1607" s="1"/>
      </tp>
      <tp>
        <v>0</v>
        <stp/>
        <stp>bse_cm|9IIFL28A</stp>
        <stp>Open</stp>
        <tr r="M218" s="1"/>
      </tp>
      <tp>
        <v>1300</v>
        <stp/>
        <stp>nse_cm|DLSL25A-Y4</stp>
        <stp>Prev Close</stp>
        <tr r="P1732" s="1"/>
      </tp>
      <tp t="s">
        <v>97SFL26</v>
        <stp/>
        <stp>nse_cm|97SFL26-Z9</stp>
        <stp>Symbol</stp>
        <tr r="A438" s="1"/>
      </tp>
      <tp t="s">
        <v/>
        <stp/>
        <stp>nse_cm|9SFL25A-ZH</stp>
        <stp>LTT</stp>
        <tr r="I463" s="1"/>
      </tp>
      <tp>
        <v>1072.99</v>
        <stp/>
        <stp>nse_cm|9SFL25A-ZH</stp>
        <stp>LTP</stp>
        <tr r="H463" s="1"/>
      </tp>
      <tp t="s">
        <v>764IRFC31-NO</v>
        <stp/>
        <stp>nse_cm|764IRFC31-NO</stp>
        <stp>Trading Symbol</stp>
        <tr r="B468" s="1"/>
      </tp>
      <tp t="s">
        <v>INE721A07PM3</v>
        <stp/>
        <stp>bse_cm|9SFL25A</stp>
        <stp>Isin code</stp>
        <tr r="R441" s="1"/>
      </tp>
      <tp t="s">
        <v>INE302E07748</v>
        <stp/>
        <stp>bse_cm|9SFL26A</stp>
        <stp>Isin code</stp>
        <tr r="R1065" s="1"/>
      </tp>
      <tp t="s">
        <v>INE403Q07DB3</v>
        <stp/>
        <stp>bse_cm|9KFL26A</stp>
        <stp>Isin code</stp>
        <tr r="R1083" s="1"/>
      </tp>
      <tp t="s">
        <v>INE549K08202</v>
        <stp/>
        <stp>bse_cm|9MFL27A</stp>
        <stp>Isin code</stp>
        <tr r="R257" s="1"/>
      </tp>
      <tp t="s">
        <v>INE549K07CO1</v>
        <stp/>
        <stp>bse_cm|9MFL25A</stp>
        <stp>Isin code</stp>
        <tr r="R702" s="1"/>
      </tp>
      <tp t="s">
        <v>INE549K07CC6</v>
        <stp/>
        <stp>bse_cm|9MFL30A</stp>
        <stp>Isin code</stp>
        <tr r="R289" s="1"/>
      </tp>
      <tp t="s">
        <v>INE549K07BP0</v>
        <stp/>
        <stp>bse_cm|8MFL24A</stp>
        <stp>Isin code</stp>
        <tr r="R1549" s="1"/>
      </tp>
      <tp t="s">
        <v>INE302E07714</v>
        <stp/>
        <stp>bse_cm|0SFL29A</stp>
        <stp>Isin code</stp>
        <tr r="R1033" s="1"/>
      </tp>
      <tp t="s">
        <v>INE302E07755</v>
        <stp/>
        <stp>bse_cm|0SFL27A</stp>
        <stp>Isin code</stp>
        <tr r="R1034" s="1"/>
      </tp>
      <tp t="s">
        <v>INE01I507497</v>
        <stp/>
        <stp>bse_cm|KAFL28A</stp>
        <stp>Isin code</stp>
        <tr r="R1319" s="1"/>
      </tp>
      <tp t="s">
        <v>NSE</v>
        <stp/>
        <stp>nse_cm|1049DLSL25-NX</stp>
        <stp>Exchange</stp>
        <tr r="C43" s="1"/>
      </tp>
      <tp t="s">
        <v>855IREDA34</v>
        <stp/>
        <stp>nse_cm|855IREDA34-N3</stp>
        <stp>Symbol</stp>
        <tr r="A558" s="1"/>
      </tp>
      <tp>
        <v>0</v>
        <stp/>
        <stp>bse_cm|MFLVIII26H</stp>
        <stp>Volume Traded Today</stp>
        <tr r="L1575" s="1"/>
      </tp>
      <tp>
        <v>0</v>
        <stp/>
        <stp>bse_cm|MFLVIII27H</stp>
        <stp>Volume Traded Today</stp>
        <tr r="L1274" s="1"/>
      </tp>
      <tp t="s">
        <v>880IREDA29</v>
        <stp/>
        <stp>nse_cm|880IREDA29-N5</stp>
        <stp>Symbol</stp>
        <tr r="A510" s="1"/>
      </tp>
      <tp t="s">
        <v>MFLII26B</v>
        <stp/>
        <stp>bse_cm|MFLII26B</stp>
        <stp>Symbol</stp>
        <tr r="A1454" s="1"/>
      </tp>
      <tp t="s">
        <v>MFLII27B</v>
        <stp/>
        <stp>bse_cm|MFLII27B</stp>
        <stp>Symbol</stp>
        <tr r="A359" s="1"/>
      </tp>
      <tp t="s">
        <v>MFLVI32F</v>
        <stp/>
        <stp>bse_cm|MFLVI32F</stp>
        <stp>Symbol</stp>
        <tr r="A704" s="1"/>
      </tp>
      <tp t="s">
        <v>MFLVI31F</v>
        <stp/>
        <stp>bse_cm|MFLVI31F</stp>
        <stp>Symbol</stp>
        <tr r="A354" s="1"/>
      </tp>
      <tp t="s">
        <v>957IIFLS27</v>
        <stp/>
        <stp>nse_cm|957IIFLS27-NA</stp>
        <stp>Symbol</stp>
        <tr r="A1495" s="1"/>
      </tp>
      <tp t="s">
        <v>873NTPC28-N5</v>
        <stp/>
        <stp>nse_cm|873NTPC28-N5</stp>
        <stp>Trading Symbol</stp>
        <tr r="B541" s="1"/>
      </tp>
      <tp t="s">
        <v>848NTPC28-N2</v>
        <stp/>
        <stp>nse_cm|848NTPC28-N2</stp>
        <stp>Trading Symbol</stp>
        <tr r="B1405" s="1"/>
      </tp>
      <tp t="s">
        <v>INE302E07458</v>
        <stp/>
        <stp>bse_cm|SFL26</stp>
        <stp>Isin code</stp>
        <tr r="R811" s="1"/>
      </tp>
      <tp>
        <v>0</v>
        <stp/>
        <stp>nse_cm|9SCL26B-ND</stp>
        <stp>LTP</stp>
        <tr r="H994" s="1"/>
      </tp>
      <tp t="s">
        <v/>
        <stp/>
        <stp>nse_cm|9SCL26B-ND</stp>
        <stp>LTT</stp>
        <tr r="I994" s="1"/>
      </tp>
      <tp>
        <v>1056</v>
        <stp/>
        <stp>nse_cm|875CIFC23B-NJ</stp>
        <stp>Ask Rate</stp>
        <tr r="F346" s="1"/>
      </tp>
      <tp t="s">
        <v>INE121A07RD1</v>
        <stp/>
        <stp>bse_cm|CIFC26A</stp>
        <stp>Isin code</stp>
        <tr r="R740" s="1"/>
      </tp>
      <tp>
        <v>-100</v>
        <stp/>
        <stp>bse_cm|750PFCL38</stp>
        <stp>% Change</stp>
        <tr r="J1196" s="1"/>
      </tp>
      <tp>
        <v>-100</v>
        <stp/>
        <stp>bse_cm|755PFCL38</stp>
        <stp>% Change</stp>
        <tr r="J434" s="1"/>
      </tp>
      <tp t="s">
        <v>855TCAPS27</v>
        <stp/>
        <stp>bse_cm|855TCAPS27</stp>
        <stp>Symbol</stp>
        <tr r="A1004" s="1"/>
      </tp>
      <tp t="s">
        <v>865TCAPS27</v>
        <stp/>
        <stp>bse_cm|865TCAPS27</stp>
        <stp>Symbol</stp>
        <tr r="A377" s="1"/>
      </tp>
      <tp t="s">
        <v>885TCAPS29</v>
        <stp/>
        <stp>bse_cm|885TCAPS29</stp>
        <stp>Symbol</stp>
        <tr r="A12" s="1"/>
      </tp>
      <tp t="s">
        <v>875TCAPS29</v>
        <stp/>
        <stp>bse_cm|875TCAPS29</stp>
        <stp>Symbol</stp>
        <tr r="A935" s="1"/>
      </tp>
      <tp>
        <v>1160</v>
        <stp/>
        <stp>nse_cm|CAGL25A-N4</stp>
        <stp>LTP</stp>
        <tr r="H709" s="1"/>
      </tp>
      <tp>
        <v>1100</v>
        <stp/>
        <stp>nse_cm|CAGL27A-N6</stp>
        <stp>LTP</stp>
        <tr r="H758" s="1"/>
      </tp>
      <tp t="s">
        <v/>
        <stp/>
        <stp>nse_cm|CAGL25A-N4</stp>
        <stp>LTT</stp>
        <tr r="I709" s="1"/>
      </tp>
      <tp t="s">
        <v/>
        <stp/>
        <stp>nse_cm|CAGL27A-N6</stp>
        <stp>LTT</stp>
        <tr r="I758" s="1"/>
      </tp>
      <tp>
        <v>-100</v>
        <stp/>
        <stp>bse_cm|683PFCL31</stp>
        <stp>% Change</stp>
        <tr r="J449" s="1"/>
      </tp>
      <tp>
        <v>-100</v>
        <stp/>
        <stp>bse_cm|682PFCL31</stp>
        <stp>% Change</stp>
        <tr r="J433" s="1"/>
      </tp>
      <tp>
        <v>-100</v>
        <stp/>
        <stp>bse_cm|658PFCL31</stp>
        <stp>% Change</stp>
        <tr r="J1209" s="1"/>
      </tp>
      <tp>
        <v>-100</v>
        <stp/>
        <stp>bse_cm|663PFCL31</stp>
        <stp>% Change</stp>
        <tr r="J1208" s="1"/>
      </tp>
      <tp>
        <v>-100</v>
        <stp/>
        <stp>bse_cm|MFLVII25G</stp>
        <stp>% Change</stp>
        <tr r="J1729" s="1"/>
      </tp>
      <tp>
        <v>-100</v>
        <stp/>
        <stp>bse_cm|747PFCL33</stp>
        <stp>% Change</stp>
        <tr r="J1199" s="1"/>
      </tp>
      <tp>
        <v>-100</v>
        <stp/>
        <stp>bse_cm|753PFCL33</stp>
        <stp>% Change</stp>
        <tr r="J426" s="1"/>
      </tp>
      <tp t="s">
        <v>MFLIII25</v>
        <stp/>
        <stp>bse_cm|MFLIII25</stp>
        <stp>Symbol</stp>
        <tr r="A1501" s="1"/>
      </tp>
      <tp t="s">
        <v>MFLVII27</v>
        <stp/>
        <stp>bse_cm|MFLVII27</stp>
        <stp>Symbol</stp>
        <tr r="A1397" s="1"/>
      </tp>
      <tp>
        <v>0.48</v>
        <stp/>
        <stp>bse_cm|715PFCL36</stp>
        <stp>% Change</stp>
        <tr r="J437" s="1"/>
      </tp>
      <tp>
        <v>-100</v>
        <stp/>
        <stp>bse_cm|697PFCL36</stp>
        <stp>% Change</stp>
        <tr r="J431" s="1"/>
      </tp>
      <tp>
        <v>-100</v>
        <stp/>
        <stp>bse_cm|695PFCL36</stp>
        <stp>% Change</stp>
        <tr r="J430" s="1"/>
      </tp>
      <tp>
        <v>-100</v>
        <stp/>
        <stp>bse_cm|678PFCL36</stp>
        <stp>% Change</stp>
        <tr r="J1207" s="1"/>
      </tp>
      <tp t="s">
        <v/>
        <stp/>
        <stp>nse_cm|DLSL25A-Y4</stp>
        <stp>LTT</stp>
        <tr r="I1732" s="1"/>
      </tp>
      <tp>
        <v>1300</v>
        <stp/>
        <stp>nse_cm|DLSL25A-Y4</stp>
        <stp>LTP</stp>
        <tr r="H1732" s="1"/>
      </tp>
      <tp>
        <v>825.65</v>
        <stp/>
        <stp>nse_cm|1003SCFL31-Z4</stp>
        <stp>Bid Rate</stp>
        <tr r="E878" s="1"/>
      </tp>
      <tp>
        <v>0</v>
        <stp/>
        <stp>nse_cm|9TCAP28-N9</stp>
        <stp>ATP</stp>
        <tr r="K544" s="1"/>
      </tp>
      <tp t="s">
        <v>NSE</v>
        <stp/>
        <stp>nse_cm|801TCH25-N4</stp>
        <stp>Exchange</stp>
        <tr r="C493" s="1"/>
      </tp>
      <tp t="s">
        <v>INE148I07NY2</v>
        <stp/>
        <stp>nse_cm|990SCFL26-AJ</stp>
        <stp>Isin code</stp>
        <tr r="R1523" s="1"/>
      </tp>
      <tp>
        <v>990</v>
        <stp/>
        <stp>bse_cm|9MFL25</stp>
        <stp>High</stp>
        <tr r="N1082" s="1"/>
      </tp>
      <tp t="s">
        <v>NSE</v>
        <stp/>
        <stp>nse_cm|801TCH28-N7</stp>
        <stp>Exchange</stp>
        <tr r="C1181" s="1"/>
      </tp>
      <tp t="s">
        <v>NSE</v>
        <stp/>
        <stp>nse_cm|940SCL26-N6</stp>
        <stp>Exchange</stp>
        <tr r="C921" s="1"/>
      </tp>
      <tp>
        <v>975</v>
        <stp/>
        <stp>bse_cm|9MFL27</stp>
        <stp>High</stp>
        <tr r="N195" s="1"/>
      </tp>
      <tp t="s">
        <v>NSE</v>
        <stp/>
        <stp>nse_cm|948SCL26-N9</stp>
        <stp>Exchange</stp>
        <tr r="C1632" s="1"/>
      </tp>
      <tp>
        <v>0</v>
        <stp/>
        <stp>bse_cm|85CIFC27</stp>
        <stp>Open</stp>
        <tr r="M974" s="1"/>
      </tp>
      <tp>
        <v>968</v>
        <stp/>
        <stp>bse_cm|9KFL26</stp>
        <stp>High</stp>
        <tr r="N1084" s="1"/>
      </tp>
      <tp>
        <v>1280</v>
        <stp/>
        <stp>nse_cm|85PFL26A-N7</stp>
        <stp>High</stp>
        <tr r="N1519" s="1"/>
      </tp>
      <tp>
        <v>979.15</v>
        <stp/>
        <stp>bse_cm|9IML25</stp>
        <stp>High</stp>
        <tr r="N588" s="1"/>
      </tp>
      <tp>
        <v>0</v>
        <stp/>
        <stp>bse_cm|IFCIZC25</stp>
        <stp>Open</stp>
        <tr r="M1764" s="1"/>
      </tp>
      <tp>
        <v>0</v>
        <stp/>
        <stp>bse_cm|IFCIZC24</stp>
        <stp>Open</stp>
        <tr r="M1769" s="1"/>
      </tp>
      <tp>
        <v>1000</v>
        <stp/>
        <stp>nse_cm|0MOFSL26-N1</stp>
        <stp xml:space="preserve">Low </stp>
        <tr r="O1644" s="1"/>
      </tp>
      <tp>
        <v>0</v>
        <stp/>
        <stp>bse_cm|86CIFC29</stp>
        <stp>Open</stp>
        <tr r="M1341" s="1"/>
      </tp>
      <tp>
        <v>1000</v>
        <stp/>
        <stp>nse_cm|0MOFSL27-N3</stp>
        <stp xml:space="preserve">Low </stp>
        <tr r="O1038" s="1"/>
      </tp>
      <tp>
        <v>0</v>
        <stp/>
        <stp>bse_cm|95CCIL25</stp>
        <stp>Open</stp>
        <tr r="M37" s="1"/>
      </tp>
      <tp>
        <v>1010</v>
        <stp/>
        <stp>bse_cm|10CAGL27</stp>
        <stp>Open</stp>
        <tr r="M282" s="1"/>
      </tp>
      <tp>
        <v>1000</v>
        <stp/>
        <stp>bse_cm|0MOFSL27</stp>
        <stp>Face Value</stp>
        <tr r="Q1039" s="1"/>
      </tp>
      <tp>
        <v>1000</v>
        <stp/>
        <stp>bse_cm|0MOFSL26</stp>
        <stp>Face Value</stp>
        <tr r="Q1645" s="1"/>
      </tp>
      <tp>
        <v>0</v>
        <stp/>
        <stp>bse_cm|11CCIL27</stp>
        <stp>Open</stp>
        <tr r="M691" s="1"/>
      </tp>
      <tp>
        <v>0</v>
        <stp/>
        <stp>bse_cm|11CCIL26</stp>
        <stp>Open</stp>
        <tr r="M625" s="1"/>
      </tp>
      <tp t="s">
        <v>MFLI25A</v>
        <stp/>
        <stp>bse_cm|MFLI25A</stp>
        <stp>Symbol</stp>
        <tr r="A362" s="1"/>
      </tp>
      <tp>
        <v>0</v>
        <stp/>
        <stp>nse_cm|902SCL26-N8</stp>
        <stp>Ask Rate</stp>
        <tr r="F968" s="1"/>
      </tp>
      <tp>
        <v>925</v>
        <stp/>
        <stp>nse_cm|SCLZC26G-YA</stp>
        <stp>Bid Rate</stp>
        <tr r="E815" s="1"/>
      </tp>
      <tp>
        <v>0</v>
        <stp/>
        <stp>bse_cm|9SCL26BA</stp>
        <stp>Volume Traded Today</stp>
        <tr r="L160" s="1"/>
      </tp>
      <tp>
        <v>1149.5999999999999</v>
        <stp/>
        <stp>nse_cm|905PEL26-N1</stp>
        <stp>Ask Rate</stp>
        <tr r="F500" s="1"/>
      </tp>
      <tp>
        <v>0</v>
        <stp/>
        <stp>bse_cm|967EFS28</stp>
        <stp>Volume Traded Today</stp>
        <tr r="L190" s="1"/>
      </tp>
      <tp>
        <v>0</v>
        <stp/>
        <stp>bse_cm|9SFL26</stp>
        <stp>High</stp>
        <tr r="N1066" s="1"/>
      </tp>
      <tp>
        <v>1071.8</v>
        <stp/>
        <stp>bse_cm|9PEL25</stp>
        <stp>High</stp>
        <tr r="N315" s="1"/>
      </tp>
      <tp t="s">
        <v>BSE</v>
        <stp/>
        <stp>bse_cm|MFL29A</stp>
        <stp>Exchange</stp>
        <tr r="C1380" s="1"/>
      </tp>
      <tp>
        <v>980</v>
        <stp/>
        <stp>bse_cm|9SFL25</stp>
        <stp>High</stp>
        <tr r="N340" s="1"/>
      </tp>
      <tp>
        <v>980.15</v>
        <stp/>
        <stp>bse_cm|9SCL25</stp>
        <stp>High</stp>
        <tr r="N653" s="1"/>
      </tp>
      <tp>
        <v>-1.19</v>
        <stp/>
        <stp>bse_cm|7PFCL31</stp>
        <stp>% Change</stp>
        <tr r="J425" s="1"/>
      </tp>
      <tp>
        <v>918</v>
        <stp/>
        <stp>nse_cm|1015SCL28A-AL</stp>
        <stp>Prev Close</stp>
        <tr r="P1443" s="1"/>
      </tp>
      <tp>
        <v>1077.2</v>
        <stp/>
        <stp>bse_cm|104ECL24</stp>
        <stp>Prev Close</stp>
        <tr r="P38" s="1"/>
      </tp>
      <tp>
        <v>999.8</v>
        <stp/>
        <stp>bse_cm|104ECL29</stp>
        <stp>Prev Close</stp>
        <tr r="P149" s="1"/>
      </tp>
      <tp>
        <v>912</v>
        <stp/>
        <stp>nse_cm|1003SCL30A-NV</stp>
        <stp>Prev Close</stp>
        <tr r="P728" s="1"/>
      </tp>
      <tp>
        <v>995.99</v>
        <stp/>
        <stp>bse_cm|10MFCL30</stp>
        <stp>Prev Close</stp>
        <tr r="P1091" s="1"/>
      </tp>
      <tp>
        <v>1000</v>
        <stp/>
        <stp>nse_cm|1025SCL33A-N1</stp>
        <stp>Prev Close</stp>
        <tr r="P834" s="1"/>
      </tp>
      <tp>
        <v>999</v>
        <stp/>
        <stp>nse_cm|1025SCL34A-ZT</stp>
        <stp>Prev Close</stp>
        <tr r="P171" s="1"/>
      </tp>
      <tp>
        <v>950</v>
        <stp/>
        <stp>nse_cm|SCL310524A-ZK</stp>
        <stp>Prev Close</stp>
        <tr r="P1445" s="1"/>
      </tp>
      <tp>
        <v>950.05</v>
        <stp/>
        <stp>nse_cm|1075SCL33A-N2</stp>
        <stp>Prev Close</stp>
        <tr r="P630" s="1"/>
      </tp>
      <tp>
        <v>1283</v>
        <stp/>
        <stp>nse_cm|866IIFC34B-N3</stp>
        <stp>Prev Close</stp>
        <tr r="P25" s="1"/>
      </tp>
      <tp>
        <v>0</v>
        <stp/>
        <stp>nse_cm|SFLZC25A-ZK</stp>
        <stp>ATP</stp>
        <tr r="K1582" s="1"/>
      </tp>
      <tp>
        <v>0</v>
        <stp/>
        <stp>nse_cm|SFLZC26A-ZC</stp>
        <stp>ATP</stp>
        <tr r="K1716" s="1"/>
      </tp>
      <tp>
        <v>0</v>
        <stp/>
        <stp>bse_cm|MMFSL26A</stp>
        <stp>Open</stp>
        <tr r="M1722" s="1"/>
      </tp>
      <tp>
        <v>1224.92</v>
        <stp/>
        <stp>bse_cm|743REC35</stp>
        <stp>Prev Close</stp>
        <tr r="P513" s="1"/>
      </tp>
      <tp t="s">
        <v>NSE</v>
        <stp/>
        <stp>nse_cm|SCL22-ZC</stp>
        <stp>Exchange</stp>
        <tr r="C955" s="1"/>
      </tp>
      <tp>
        <v>1015</v>
        <stp/>
        <stp>nse_cm|81ABFL33-N5</stp>
        <stp>Ask Rate</stp>
        <tr r="F1588" s="1"/>
      </tp>
      <tp>
        <v>1126.6099999999999</v>
        <stp/>
        <stp>bse_cm|734REC30</stp>
        <stp>Prev Close</stp>
        <tr r="P524" s="1"/>
      </tp>
      <tp t="s">
        <v>NSE</v>
        <stp/>
        <stp>nse_cm|SCL24-ZD</stp>
        <stp>Exchange</stp>
        <tr r="C956" s="1"/>
      </tp>
      <tp>
        <v>1114.0999999999999</v>
        <stp/>
        <stp>bse_cm|709REC30</stp>
        <stp>Prev Close</stp>
        <tr r="P564" s="1"/>
      </tp>
      <tp>
        <v>0</v>
        <stp/>
        <stp>nse_cm|SCLZC26G-YA</stp>
        <stp>ATP</stp>
        <tr r="K815" s="1"/>
      </tp>
      <tp>
        <v>0</v>
        <stp/>
        <stp>nse_cm|SCLZC26F-Y9</stp>
        <stp>ATP</stp>
        <tr r="K800" s="1"/>
      </tp>
      <tp>
        <v>0</v>
        <stp/>
        <stp>nse_cm|SCLZC25E-Y4</stp>
        <stp>ATP</stp>
        <tr r="K787" s="1"/>
      </tp>
      <tp>
        <v>0</v>
        <stp/>
        <stp>nse_cm|SCLZC25F-Y5</stp>
        <stp>ATP</stp>
        <tr r="K1512" s="1"/>
      </tp>
      <tp>
        <v>949.65</v>
        <stp/>
        <stp>nse_cm|915SCL26-NE</stp>
        <stp>Ask Rate</stp>
        <tr r="F58" s="1"/>
      </tp>
      <tp>
        <v>1047.0999999999999</v>
        <stp/>
        <stp>bse_cm|714REC25</stp>
        <stp>Prev Close</stp>
        <tr r="P518" s="1"/>
      </tp>
      <tp>
        <v>1150.0999999999999</v>
        <stp/>
        <stp>bse_cm|718REC35</stp>
        <stp>Prev Close</stp>
        <tr r="P549" s="1"/>
      </tp>
      <tp>
        <v>1027.96</v>
        <stp/>
        <stp>bse_cm|93ARKA25</stp>
        <stp>Prev Close</stp>
        <tr r="P1395" s="1"/>
      </tp>
      <tp>
        <v>991</v>
        <stp/>
        <stp>bse_cm|93ARKA26</stp>
        <stp>Prev Close</stp>
        <tr r="P981" s="1"/>
      </tp>
      <tp>
        <v>1011</v>
        <stp/>
        <stp>nse_cm|CIF27-NM</stp>
        <stp>Bid Rate</stp>
        <tr r="E1665" s="1"/>
      </tp>
      <tp>
        <v>0</v>
        <stp/>
        <stp>bse_cm|CIFC28</stp>
        <stp>Ask Rate</stp>
        <tr r="F1529" s="1"/>
      </tp>
      <tp>
        <v>1000</v>
        <stp/>
        <stp>bse_cm|11DLSL25</stp>
        <stp>Face Value</stp>
        <tr r="Q1539" s="1"/>
      </tp>
      <tp>
        <v>1000</v>
        <stp/>
        <stp>bse_cm|11EFSL34</stp>
        <stp>Face Value</stp>
        <tr r="Q1429" s="1"/>
      </tp>
      <tp>
        <v>1000</v>
        <stp/>
        <stp>bse_cm|10EFSL27</stp>
        <stp>Face Value</stp>
        <tr r="Q1139" s="1"/>
      </tp>
      <tp>
        <v>1000</v>
        <stp/>
        <stp>bse_cm|10EFSL33</stp>
        <stp>Face Value</stp>
        <tr r="Q150" s="1"/>
      </tp>
      <tp>
        <v>1000</v>
        <stp/>
        <stp>bse_cm|10EFSL34</stp>
        <stp>Face Value</stp>
        <tr r="Q164" s="1"/>
      </tp>
      <tp>
        <v>1000</v>
        <stp/>
        <stp>bse_cm|10IFSL26</stp>
        <stp>Face Value</stp>
        <tr r="Q428" s="1"/>
      </tp>
      <tp>
        <v>880.2</v>
        <stp/>
        <stp>nse_cm|CIF29-NO</stp>
        <stp>Bid Rate</stp>
        <tr r="E743" s="1"/>
      </tp>
      <tp>
        <v>1198</v>
        <stp/>
        <stp>bse_cm|CAGL24</stp>
        <stp>Ask Rate</stp>
        <tr r="F1761" s="1"/>
      </tp>
      <tp>
        <v>0</v>
        <stp/>
        <stp>bse_cm|CAGL25</stp>
        <stp>Ask Rate</stp>
        <tr r="F1061" s="1"/>
      </tp>
      <tp>
        <v>0</v>
        <stp/>
        <stp>nse_cm|SCLZC26B-AY</stp>
        <stp>ATP</stp>
        <tr r="K1658" s="1"/>
      </tp>
      <tp>
        <v>0</v>
        <stp/>
        <stp>nse_cm|SCLZC25A-AS</stp>
        <stp>ATP</stp>
        <tr r="K1232" s="1"/>
      </tp>
      <tp>
        <v>0</v>
        <stp/>
        <stp>nse_cm|SCLZC25B-AT</stp>
        <stp>ATP</stp>
        <tr r="K1541" s="1"/>
      </tp>
      <tp>
        <v>0</v>
        <stp/>
        <stp>bse_cm|CAGL26</stp>
        <stp>Ask Rate</stp>
        <tr r="F708" s="1"/>
      </tp>
      <tp>
        <v>0</v>
        <stp/>
        <stp>bse_cm|CAGL27</stp>
        <stp>Ask Rate</stp>
        <tr r="F734" s="1"/>
      </tp>
      <tp>
        <v>0</v>
        <stp/>
        <stp>bse_cm|SFL30</stp>
        <stp>LTP</stp>
        <tr r="H1597" s="1"/>
      </tp>
      <tp t="s">
        <v>00:00:00</v>
        <stp/>
        <stp>bse_cm|SFL30</stp>
        <stp>LTT</stp>
        <tr r="I1597" s="1"/>
      </tp>
      <tp t="s">
        <v>00:00:00</v>
        <stp/>
        <stp>bse_cm|MML30</stp>
        <stp>LTT</stp>
        <tr r="I1525" s="1"/>
      </tp>
      <tp t="s">
        <v>00:00:00</v>
        <stp/>
        <stp>bse_cm|MFL30</stp>
        <stp>LTT</stp>
        <tr r="I1460" s="1"/>
      </tp>
      <tp t="s">
        <v>00:00:00</v>
        <stp/>
        <stp>bse_cm|MFL31</stp>
        <stp>LTT</stp>
        <tr r="I701" s="1"/>
      </tp>
      <tp>
        <v>0</v>
        <stp/>
        <stp>bse_cm|KFL30</stp>
        <stp>LTP</stp>
        <tr r="H1298" s="1"/>
      </tp>
      <tp>
        <v>0</v>
        <stp/>
        <stp>bse_cm|KFL31</stp>
        <stp>LTP</stp>
        <tr r="H1297" s="1"/>
      </tp>
      <tp>
        <v>0</v>
        <stp/>
        <stp>bse_cm|MML30</stp>
        <stp>LTP</stp>
        <tr r="H1525" s="1"/>
      </tp>
      <tp>
        <v>0</v>
        <stp/>
        <stp>bse_cm|MFL30</stp>
        <stp>LTP</stp>
        <tr r="H1460" s="1"/>
      </tp>
      <tp>
        <v>0</v>
        <stp/>
        <stp>bse_cm|MFL31</stp>
        <stp>LTP</stp>
        <tr r="H701" s="1"/>
      </tp>
      <tp t="s">
        <v>00:00:00</v>
        <stp/>
        <stp>bse_cm|KFL30</stp>
        <stp>LTT</stp>
        <tr r="I1298" s="1"/>
      </tp>
      <tp t="s">
        <v>00:00:00</v>
        <stp/>
        <stp>bse_cm|KFL31</stp>
        <stp>LTT</stp>
        <tr r="I1297" s="1"/>
      </tp>
      <tp>
        <v>0</v>
        <stp/>
        <stp>bse_cm|9ICCL23A</stp>
        <stp>Open</stp>
        <tr r="M1434" s="1"/>
      </tp>
      <tp>
        <v>0</v>
        <stp/>
        <stp>bse_cm|CAGL28</stp>
        <stp>Ask Rate</stp>
        <tr r="F757" s="1"/>
      </tp>
      <tp t="s">
        <v>00:00:00</v>
        <stp/>
        <stp>bse_cm|SFL26</stp>
        <stp>LTT</stp>
        <tr r="I811" s="1"/>
      </tp>
      <tp>
        <v>0</v>
        <stp/>
        <stp>bse_cm|SCL22</stp>
        <stp>LTP</stp>
        <tr r="H1239" s="1"/>
      </tp>
      <tp t="s">
        <v>00:00:00</v>
        <stp/>
        <stp>bse_cm|SFL27</stp>
        <stp>LTT</stp>
        <tr r="I809" s="1"/>
      </tp>
      <tp t="s">
        <v>00:00:00</v>
        <stp/>
        <stp>bse_cm|SCL24</stp>
        <stp>LTT</stp>
        <tr r="I1377" s="1"/>
      </tp>
      <tp t="s">
        <v>00:00:00</v>
        <stp/>
        <stp>bse_cm|SFL25</stp>
        <stp>LTT</stp>
        <tr r="I813" s="1"/>
      </tp>
      <tp t="s">
        <v>00:00:00</v>
        <stp/>
        <stp>bse_cm|SCL25</stp>
        <stp>LTT</stp>
        <tr r="I1234" s="1"/>
      </tp>
      <tp>
        <v>0</v>
        <stp/>
        <stp>bse_cm|SFL26</stp>
        <stp>LTP</stp>
        <tr r="H811" s="1"/>
      </tp>
      <tp t="s">
        <v>00:00:00</v>
        <stp/>
        <stp>bse_cm|SCL22</stp>
        <stp>LTT</stp>
        <tr r="I1239" s="1"/>
      </tp>
      <tp>
        <v>0</v>
        <stp/>
        <stp>bse_cm|SFL27</stp>
        <stp>LTP</stp>
        <tr r="H809" s="1"/>
      </tp>
      <tp>
        <v>0</v>
        <stp/>
        <stp>bse_cm|SCL24</stp>
        <stp>LTP</stp>
        <tr r="H1377" s="1"/>
      </tp>
      <tp>
        <v>0</v>
        <stp/>
        <stp>bse_cm|SFL25</stp>
        <stp>LTP</stp>
        <tr r="H813" s="1"/>
      </tp>
      <tp>
        <v>0</v>
        <stp/>
        <stp>bse_cm|SCL25</stp>
        <stp>LTP</stp>
        <tr r="H1234" s="1"/>
      </tp>
      <tp>
        <v>0</v>
        <stp/>
        <stp>bse_cm|SFL28</stp>
        <stp>LTP</stp>
        <tr r="H803" s="1"/>
      </tp>
      <tp t="s">
        <v>00:00:00</v>
        <stp/>
        <stp>bse_cm|SFL28</stp>
        <stp>LTT</stp>
        <tr r="I803" s="1"/>
      </tp>
      <tp>
        <v>0</v>
        <stp/>
        <stp>bse_cm|IML28</stp>
        <stp>LTP</stp>
        <tr r="H1458" s="1"/>
      </tp>
      <tp t="s">
        <v>00:00:00</v>
        <stp/>
        <stp>bse_cm|MML28</stp>
        <stp>LTT</stp>
        <tr r="I584" s="1"/>
      </tp>
      <tp t="s">
        <v>00:00:00</v>
        <stp/>
        <stp>bse_cm|MFL28</stp>
        <stp>LTT</stp>
        <tr r="I1638" s="1"/>
      </tp>
      <tp>
        <v>0</v>
        <stp/>
        <stp>bse_cm|IML29</stp>
        <stp>LTP</stp>
        <tr r="H1528" s="1"/>
      </tp>
      <tp t="s">
        <v>00:00:00</v>
        <stp/>
        <stp>bse_cm|MFL29</stp>
        <stp>LTT</stp>
        <tr r="I1598" s="1"/>
      </tp>
      <tp>
        <v>0</v>
        <stp/>
        <stp>bse_cm|KFL29</stp>
        <stp>LTP</stp>
        <tr r="H1619" s="1"/>
      </tp>
      <tp t="s">
        <v>00:00:00</v>
        <stp/>
        <stp>bse_cm|IML28</stp>
        <stp>LTT</stp>
        <tr r="I1458" s="1"/>
      </tp>
      <tp>
        <v>0</v>
        <stp/>
        <stp>bse_cm|MML28</stp>
        <stp>LTP</stp>
        <tr r="H584" s="1"/>
      </tp>
      <tp>
        <v>0</v>
        <stp/>
        <stp>bse_cm|MFL28</stp>
        <stp>LTP</stp>
        <tr r="H1638" s="1"/>
      </tp>
      <tp t="s">
        <v>00:00:00</v>
        <stp/>
        <stp>bse_cm|IML29</stp>
        <stp>LTT</stp>
        <tr r="I1528" s="1"/>
      </tp>
      <tp>
        <v>0</v>
        <stp/>
        <stp>bse_cm|MFL29</stp>
        <stp>LTP</stp>
        <tr r="H1598" s="1"/>
      </tp>
      <tp t="s">
        <v>00:00:00</v>
        <stp/>
        <stp>bse_cm|KFL29</stp>
        <stp>LTT</stp>
        <tr r="I1619" s="1"/>
      </tp>
      <tp t="e">
        <v>#N/A</v>
        <stp/>
        <stp>bse_cm|IML24</stp>
        <stp>LTT</stp>
        <tr r="I34" s="1"/>
      </tp>
      <tp>
        <v>0</v>
        <stp/>
        <stp>bse_cm|MML24</stp>
        <stp>LTP</stp>
        <tr r="H1740" s="1"/>
      </tp>
      <tp t="s">
        <v>00:00:00</v>
        <stp/>
        <stp>bse_cm|KFL26</stp>
        <stp>LTT</stp>
        <tr r="I1306" s="1"/>
      </tp>
      <tp t="s">
        <v>00:00:00</v>
        <stp/>
        <stp>bse_cm|IML25</stp>
        <stp>LTT</stp>
        <tr r="I1326" s="1"/>
      </tp>
      <tp>
        <v>0</v>
        <stp/>
        <stp>bse_cm|MML25</stp>
        <stp>LTP</stp>
        <tr r="H1253" s="1"/>
      </tp>
      <tp t="s">
        <v>00:00:00</v>
        <stp/>
        <stp>bse_cm|KFL27</stp>
        <stp>LTT</stp>
        <tr r="I1303" s="1"/>
      </tp>
      <tp>
        <v>0</v>
        <stp/>
        <stp>bse_cm|MFL25</stp>
        <stp>LTP</stp>
        <tr r="H1733" s="1"/>
      </tp>
      <tp>
        <v>0</v>
        <stp/>
        <stp>bse_cm|MML26</stp>
        <stp>LTP</stp>
        <tr r="H1410" s="1"/>
      </tp>
      <tp>
        <v>0</v>
        <stp/>
        <stp>bse_cm|MFL26</stp>
        <stp>LTP</stp>
        <tr r="H1666" s="1"/>
      </tp>
      <tp t="s">
        <v>00:00:00</v>
        <stp/>
        <stp>bse_cm|IML27</stp>
        <stp>LTT</stp>
        <tr r="I1325" s="1"/>
      </tp>
      <tp t="s">
        <v>00:00:00</v>
        <stp/>
        <stp>bse_cm|KFL25</stp>
        <stp>LTT</stp>
        <tr r="I1309" s="1"/>
      </tp>
      <tp t="s">
        <v>00:00:00</v>
        <stp/>
        <stp>bse_cm|MFL23</stp>
        <stp>LTT</stp>
        <tr r="I1668" s="1"/>
      </tp>
      <tp>
        <v>0</v>
        <stp/>
        <stp>bse_cm|MFL27</stp>
        <stp>LTP</stp>
        <tr r="H1563" s="1"/>
      </tp>
      <tp t="e">
        <v>#N/A</v>
        <stp/>
        <stp>bse_cm|IML24</stp>
        <stp>LTP</stp>
        <tr r="H34" s="1"/>
      </tp>
      <tp t="s">
        <v>00:00:00</v>
        <stp/>
        <stp>bse_cm|MML24</stp>
        <stp>LTT</stp>
        <tr r="I1740" s="1"/>
      </tp>
      <tp>
        <v>0</v>
        <stp/>
        <stp>bse_cm|KFL26</stp>
        <stp>LTP</stp>
        <tr r="H1306" s="1"/>
      </tp>
      <tp>
        <v>0</v>
        <stp/>
        <stp>bse_cm|IML25</stp>
        <stp>LTP</stp>
        <tr r="H1326" s="1"/>
      </tp>
      <tp t="s">
        <v>00:00:00</v>
        <stp/>
        <stp>bse_cm|MML25</stp>
        <stp>LTT</stp>
        <tr r="I1253" s="1"/>
      </tp>
      <tp>
        <v>0</v>
        <stp/>
        <stp>bse_cm|KFL27</stp>
        <stp>LTP</stp>
        <tr r="H1303" s="1"/>
      </tp>
      <tp t="s">
        <v>00:00:00</v>
        <stp/>
        <stp>bse_cm|MFL25</stp>
        <stp>LTT</stp>
        <tr r="I1733" s="1"/>
      </tp>
      <tp t="s">
        <v>00:00:00</v>
        <stp/>
        <stp>bse_cm|MML26</stp>
        <stp>LTT</stp>
        <tr r="I1410" s="1"/>
      </tp>
      <tp t="s">
        <v>00:00:00</v>
        <stp/>
        <stp>bse_cm|MFL26</stp>
        <stp>LTT</stp>
        <tr r="I1666" s="1"/>
      </tp>
      <tp>
        <v>0</v>
        <stp/>
        <stp>bse_cm|IML27</stp>
        <stp>LTP</stp>
        <tr r="H1325" s="1"/>
      </tp>
      <tp>
        <v>0</v>
        <stp/>
        <stp>bse_cm|KFL25</stp>
        <stp>LTP</stp>
        <tr r="H1309" s="1"/>
      </tp>
      <tp>
        <v>0</v>
        <stp/>
        <stp>bse_cm|MFL23</stp>
        <stp>LTP</stp>
        <tr r="H1668" s="1"/>
      </tp>
      <tp t="s">
        <v>00:00:00</v>
        <stp/>
        <stp>bse_cm|MFL27</stp>
        <stp>LTT</stp>
        <tr r="I1563" s="1"/>
      </tp>
      <tp>
        <v>0</v>
        <stp/>
        <stp>nse_cm|SCLZC26E-NP</stp>
        <stp>ATP</stp>
        <tr r="K899" s="1"/>
      </tp>
      <tp>
        <v>0</v>
        <stp/>
        <stp>nse_cm|SCLZC25D-NJ</stp>
        <stp>ATP</stp>
        <tr r="K1699" s="1"/>
      </tp>
      <tp>
        <v>0</v>
        <stp/>
        <stp>nse_cm|SCLZC25C-NI</stp>
        <stp>ATP</stp>
        <tr r="K908" s="1"/>
      </tp>
      <tp>
        <v>0</v>
        <stp/>
        <stp>nse_cm|SCLZC26D-NO</stp>
        <stp>ATP</stp>
        <tr r="K901" s="1"/>
      </tp>
      <tp>
        <v>0</v>
        <stp/>
        <stp>nse_cm|SCLZC26C-NB</stp>
        <stp>ATP</stp>
        <tr r="K1537" s="1"/>
      </tp>
      <tp>
        <v>0</v>
        <stp/>
        <stp>nse_cm|SCLZC26A-NF</stp>
        <stp>ATP</stp>
        <tr r="K993" s="1"/>
      </tp>
      <tp>
        <v>500</v>
        <stp/>
        <stp>nse_cm|897MOFSL29-N4</stp>
        <stp>Volume Traded Today</stp>
        <tr r="L296" s="1"/>
      </tp>
      <tp>
        <v>1000</v>
        <stp/>
        <stp>bse_cm|1025SF29</stp>
        <stp>Face Value</stp>
        <tr r="Q1409" s="1"/>
      </tp>
      <tp>
        <v>0</v>
        <stp/>
        <stp>nse_cm|89SCL24A-ZM</stp>
        <stp>Open</stp>
        <tr r="M970" s="1"/>
      </tp>
      <tp t="s">
        <v>INE148I07OU8</v>
        <stp/>
        <stp>nse_cm|925SCL28I-BA</stp>
        <stp>Isin code</stp>
        <tr r="R821" s="1"/>
      </tp>
      <tp>
        <v>0</v>
        <stp/>
        <stp>bse_cm|CIFC26</stp>
        <stp>Ask Rate</stp>
        <tr r="F742" s="1"/>
      </tp>
      <tp>
        <v>-100</v>
        <stp/>
        <stp>bse_cm|MFOPTVI24</stp>
        <stp>% Change</stp>
        <tr r="J1547" s="1"/>
      </tp>
      <tp>
        <v>-1.44</v>
        <stp/>
        <stp>bse_cm|MFOPTIV24</stp>
        <stp>% Change</stp>
        <tr r="J380" s="1"/>
      </tp>
      <tp t="s">
        <v>91SFL27</v>
        <stp/>
        <stp>nse_cm|91SFL27-ZI</stp>
        <stp>Symbol</stp>
        <tr r="A533" s="1"/>
      </tp>
      <tp t="s">
        <v>INE532F07EJ3</v>
        <stp/>
        <stp>bse_cm|895EFSL25A</stp>
        <stp>Isin code</stp>
        <tr r="R594" s="1"/>
      </tp>
      <tp t="s">
        <v>CIF29</v>
        <stp/>
        <stp>bse_cm|CIF29</stp>
        <stp>Symbol</stp>
        <tr r="A744" s="1"/>
      </tp>
      <tp t="s">
        <v>CIF27</v>
        <stp/>
        <stp>bse_cm|CIF27</stp>
        <stp>Symbol</stp>
        <tr r="A745" s="1"/>
      </tp>
      <tp t="s">
        <v>98SCL27</v>
        <stp/>
        <stp>nse_cm|98SCL27-ZX</stp>
        <stp>Symbol</stp>
        <tr r="A1378" s="1"/>
      </tp>
      <tp t="s">
        <v>99SCL27</v>
        <stp/>
        <stp>nse_cm|99SCL27-ZH</stp>
        <stp>Symbol</stp>
        <tr r="A1168" s="1"/>
      </tp>
      <tp t="s">
        <v>94SCL27</v>
        <stp/>
        <stp>nse_cm|94SCL27-ZG</stp>
        <stp>Symbol</stp>
        <tr r="A1151" s="1"/>
      </tp>
      <tp t="s">
        <v>87SCL27</v>
        <stp/>
        <stp>nse_cm|87SCL27-Z6</stp>
        <stp>Symbol</stp>
        <tr r="A950" s="1"/>
      </tp>
      <tp t="s">
        <v>INE741K07504</v>
        <stp/>
        <stp>bse_cm|CAGL27A</stp>
        <stp>Isin code</stp>
        <tr r="R1379" s="1"/>
      </tp>
      <tp t="s">
        <v>INE741K07488</v>
        <stp/>
        <stp>bse_cm|CAGL25A</stp>
        <stp>Isin code</stp>
        <tr r="R1701" s="1"/>
      </tp>
      <tp t="s">
        <v>850CIFCL26</v>
        <stp/>
        <stp>nse_cm|850CIFCL26-NE</stp>
        <stp>Symbol</stp>
        <tr r="A450" s="1"/>
      </tp>
      <tp t="s">
        <v>EFSLZC28C</v>
        <stp/>
        <stp>bse_cm|EFSLZC28C</stp>
        <stp>Trading Symbol</stp>
        <tr r="B1331" s="1"/>
      </tp>
      <tp t="s">
        <v>EFSLZC26A</v>
        <stp/>
        <stp>bse_cm|EFSLZC26A</stp>
        <stp>Trading Symbol</stp>
        <tr r="B1574" s="1"/>
      </tp>
      <tp t="s">
        <v>EFSLZC26C</v>
        <stp/>
        <stp>bse_cm|EFSLZC26C</stp>
        <stp>Trading Symbol</stp>
        <tr r="B1332" s="1"/>
      </tp>
      <tp t="s">
        <v>EFSLZC26B</v>
        <stp/>
        <stp>bse_cm|EFSLZC26B</stp>
        <stp>Trading Symbol</stp>
        <tr r="B1678" s="1"/>
      </tp>
      <tp t="s">
        <v>EFSLZC25A</v>
        <stp/>
        <stp>bse_cm|EFSLZC25A</stp>
        <stp>Trading Symbol</stp>
        <tr r="B1333" s="1"/>
      </tp>
      <tp t="s">
        <v>1025ICCL26</v>
        <stp/>
        <stp>nse_cm|1025ICCL26-NT</stp>
        <stp>Symbol</stp>
        <tr r="A771" s="1"/>
      </tp>
      <tp t="s">
        <v>INE413U08127</v>
        <stp/>
        <stp>nse_cm|1077IIFL30-N7</stp>
        <stp>Isin code</stp>
        <tr r="R996" s="1"/>
      </tp>
      <tp t="s">
        <v>INE302E07474</v>
        <stp/>
        <stp>bse_cm|SFL27</stp>
        <stp>Isin code</stp>
        <tr r="R809" s="1"/>
      </tp>
      <tp t="s">
        <v>EFSL26724A</v>
        <stp/>
        <stp>bse_cm|EFSL26724A</stp>
        <stp>Symbol</stp>
        <tr r="A1468" s="1"/>
      </tp>
      <tp t="s">
        <v>INE413U08119</v>
        <stp/>
        <stp>nse_cm|1048IIFL27-N6</stp>
        <stp>Isin code</stp>
        <tr r="R997" s="1"/>
      </tp>
      <tp t="s">
        <v>INE121A07RF6</v>
        <stp/>
        <stp>nse_cm|925IHFL25E-N8</stp>
        <stp>Isin code</stp>
        <tr r="R561" s="1"/>
      </tp>
      <tp t="s">
        <v>897MOFSL29</v>
        <stp/>
        <stp>bse_cm|897MOFSL29</stp>
        <stp>Symbol</stp>
        <tr r="A332" s="1"/>
      </tp>
      <tp>
        <v>0</v>
        <stp/>
        <stp>bse_cm|105UCL2026</stp>
        <stp>Volume Traded Today</stp>
        <tr r="L319" s="1"/>
      </tp>
      <tp>
        <v>-100</v>
        <stp/>
        <stp>bse_cm|565PFCL26</stp>
        <stp>% Change</stp>
        <tr r="J1210" s="1"/>
      </tp>
      <tp>
        <v>-100</v>
        <stp/>
        <stp>bse_cm|745PFCL26</stp>
        <stp>% Change</stp>
        <tr r="J1200" s="1"/>
      </tp>
      <tp>
        <v>0.49</v>
        <stp/>
        <stp>bse_cm|750PFCL26</stp>
        <stp>% Change</stp>
        <tr r="J448" s="1"/>
      </tp>
      <tp>
        <v>0</v>
        <stp/>
        <stp>nse_cm|1025SCL34A-ZT</stp>
        <stp>Open</stp>
        <tr r="M171" s="1"/>
      </tp>
      <tp t="s">
        <v>NSE</v>
        <stp/>
        <stp>nse_cm|1048IIFL27-N6</stp>
        <stp>Exchange</stp>
        <tr r="C997" s="1"/>
      </tp>
      <tp>
        <v>-100</v>
        <stp/>
        <stp>nse_cm|92LTF29-N4</stp>
        <stp>% Change</stp>
        <tr r="J1087" s="1"/>
      </tp>
      <tp>
        <v>1017</v>
        <stp/>
        <stp>bse_cm|8MFL26</stp>
        <stp>High</stp>
        <tr r="N654" s="1"/>
      </tp>
      <tp t="s">
        <v>NSE</v>
        <stp/>
        <stp>nse_cm|85IIFL25-NO</stp>
        <stp>Exchange</stp>
        <tr r="C110" s="1"/>
      </tp>
      <tp t="s">
        <v>09:37:53</v>
        <stp/>
        <stp>nse_cm|872MMFSL26-N1</stp>
        <stp>LTT</stp>
        <tr r="I404" s="1"/>
      </tp>
      <tp>
        <v>1020</v>
        <stp/>
        <stp>nse_cm|872MMFSL26-N1</stp>
        <stp>LTP</stp>
        <tr r="H404" s="1"/>
      </tp>
      <tp>
        <v>975</v>
        <stp/>
        <stp>bse_cm|9MFL30</stp>
        <stp>High</stp>
        <tr r="N244" s="1"/>
      </tp>
      <tp t="s">
        <v>NSE</v>
        <stp/>
        <stp>nse_cm|956AEL29-N6</stp>
        <stp>Exchange</stp>
        <tr r="C298" s="1"/>
      </tp>
      <tp>
        <v>30</v>
        <stp/>
        <stp>nse_cm|9PCHFL31A-NA</stp>
        <stp>Ask Qty</stp>
        <tr r="G435" s="1"/>
      </tp>
      <tp>
        <v>1069</v>
        <stp/>
        <stp>nse_cm|11DLSL25-NV</stp>
        <stp>Ask Rate</stp>
        <tr r="F48" s="1"/>
      </tp>
      <tp>
        <v>1192</v>
        <stp/>
        <stp>bse_cm|IML28C</stp>
        <stp>Ask Rate</stp>
        <tr r="F1648" s="1"/>
      </tp>
      <tp>
        <v>-100</v>
        <stp/>
        <stp>nse_cm|902SCL26A-NM</stp>
        <stp>% Change</stp>
        <tr r="J904" s="1"/>
      </tp>
      <tp t="s">
        <v>BSE</v>
        <stp/>
        <stp>bse_cm|MML28A</stp>
        <stp>Exchange</stp>
        <tr r="C1249" s="1"/>
      </tp>
      <tp t="s">
        <v>BSE</v>
        <stp/>
        <stp>bse_cm|MFL28D</stp>
        <stp>Exchange</stp>
        <tr r="C1276" s="1"/>
      </tp>
      <tp>
        <v>1060</v>
        <stp/>
        <stp>nse_cm|94IFCI25-NL</stp>
        <stp>Ask Rate</stp>
        <tr r="F235" s="1"/>
      </tp>
      <tp t="s">
        <v>BSE</v>
        <stp/>
        <stp>bse_cm|MFL28A</stp>
        <stp>Exchange</stp>
        <tr r="C1620" s="1"/>
      </tp>
      <tp t="s">
        <v>BSE</v>
        <stp/>
        <stp>bse_cm|MFL28B</stp>
        <stp>Exchange</stp>
        <tr r="C1277" s="1"/>
      </tp>
      <tp t="s">
        <v>NSE</v>
        <stp/>
        <stp>nse_cm|925SCL26-NR</stp>
        <stp>Exchange</stp>
        <tr r="C991" s="1"/>
      </tp>
      <tp>
        <v>944.99</v>
        <stp/>
        <stp>nse_cm|96IIFL28-N5</stp>
        <stp>Ask Rate</stp>
        <tr r="F106" s="1"/>
      </tp>
      <tp>
        <v>880</v>
        <stp/>
        <stp>bse_cm|10NIDO33</stp>
        <stp>Prev Close</stp>
        <tr r="P1447" s="1"/>
      </tp>
      <tp>
        <v>999.33</v>
        <stp/>
        <stp>bse_cm|10NIDO27</stp>
        <stp>Prev Close</stp>
        <tr r="P597" s="1"/>
      </tp>
      <tp>
        <v>985</v>
        <stp/>
        <stp>bse_cm|10NIDO26</stp>
        <stp>Prev Close</stp>
        <tr r="P62" s="1"/>
      </tp>
      <tp>
        <v>1000</v>
        <stp/>
        <stp>bse_cm|950KLM25</stp>
        <stp>Prev Close</stp>
        <tr r="P1150" s="1"/>
      </tp>
      <tp>
        <v>981.55</v>
        <stp/>
        <stp>bse_cm|9IIFL28A</stp>
        <stp>Prev Close</stp>
        <tr r="P218" s="1"/>
      </tp>
      <tp>
        <v>1002</v>
        <stp/>
        <stp>bse_cm|9ICCL23A</stp>
        <stp>Prev Close</stp>
        <tr r="P1434" s="1"/>
      </tp>
      <tp>
        <v>1000</v>
        <stp/>
        <stp>bse_cm|975KLM25</stp>
        <stp>Prev Close</stp>
        <tr r="P858" s="1"/>
      </tp>
      <tp>
        <v>0</v>
        <stp/>
        <stp>nse_cm|745IGT26-NC</stp>
        <stp>Bid Rate</stp>
        <tr r="E1201" s="1"/>
      </tp>
      <tp>
        <v>0</v>
        <stp/>
        <stp>bse_cm|EFSL28A</stp>
        <stp>Ask Qty</stp>
        <tr r="G1335" s="1"/>
      </tp>
      <tp>
        <v>20</v>
        <stp/>
        <stp>bse_cm|EFSL27A</stp>
        <stp>Ask Qty</stp>
        <tr r="G1649" s="1"/>
      </tp>
      <tp>
        <v>0</v>
        <stp/>
        <stp>bse_cm|EFSL26B</stp>
        <stp>Ask Qty</stp>
        <tr r="G1564" s="1"/>
      </tp>
      <tp>
        <v>5</v>
        <stp/>
        <stp>bse_cm|EFSL26C</stp>
        <stp>Ask Qty</stp>
        <tr r="G1650" s="1"/>
      </tp>
      <tp>
        <v>0</v>
        <stp/>
        <stp>bse_cm|EFSL26A</stp>
        <stp>Ask Qty</stp>
        <tr r="G1567" s="1"/>
      </tp>
      <tp>
        <v>5</v>
        <stp/>
        <stp>bse_cm|EFSL26D</stp>
        <stp>Ask Qty</stp>
        <tr r="G1617" s="1"/>
      </tp>
      <tp>
        <v>1000</v>
        <stp/>
        <stp>bse_cm|68PFCL31</stp>
        <stp>Prev Close</stp>
        <tr r="P1205" s="1"/>
      </tp>
      <tp>
        <v>6</v>
        <stp/>
        <stp>bse_cm|EFSL25B</stp>
        <stp>Ask Qty</stp>
        <tr r="G1682" s="1"/>
      </tp>
      <tp>
        <v>15</v>
        <stp/>
        <stp>bse_cm|EFSL25A</stp>
        <stp>Ask Qty</stp>
        <tr r="G1706" s="1"/>
      </tp>
      <tp>
        <v>90</v>
        <stp/>
        <stp>bse_cm|EFSL24C</stp>
        <stp>Ask Qty</stp>
        <tr r="G1755" s="1"/>
      </tp>
      <tp>
        <v>0</v>
        <stp/>
        <stp>bse_cm|9SFL2026</stp>
        <stp>Volume Traded Today</stp>
        <tr r="L1473" s="1"/>
      </tp>
      <tp>
        <v>0</v>
        <stp/>
        <stp>nse_cm|965SCL25C-N0</stp>
        <stp>% Change</stp>
        <tr r="J507" s="1"/>
      </tp>
      <tp>
        <v>0.8</v>
        <stp/>
        <stp>nse_cm|82HUDCO27-N2</stp>
        <stp>% Change</stp>
        <tr r="J532" s="1"/>
      </tp>
      <tp>
        <v>1000</v>
        <stp/>
        <stp>nse_cm|SCL26-NA</stp>
        <stp>Face Value</stp>
        <tr r="Q919" s="1"/>
      </tp>
      <tp>
        <v>870.2</v>
        <stp/>
        <stp>nse_cm|749IGT28-NG</stp>
        <stp>Bid Rate</stp>
        <tr r="E1197" s="1"/>
      </tp>
      <tp>
        <v>75</v>
        <stp/>
        <stp>bse_cm|8ABFL26</stp>
        <stp>Bid Qty</stp>
        <tr r="D539" s="1"/>
      </tp>
      <tp>
        <v>925</v>
        <stp/>
        <stp>nse_cm|865IFL28-NZ</stp>
        <stp>Ask Rate</stp>
        <tr r="F103" s="1"/>
      </tp>
      <tp t="s">
        <v>INE148I07OB8</v>
        <stp/>
        <stp>nse_cm|990SCL26D-AH</stp>
        <stp>Isin code</stp>
        <tr r="R1556" s="1"/>
      </tp>
      <tp t="s">
        <v>INE148I07RZ0</v>
        <stp/>
        <stp>nse_cm|835SCL23B-YM</stp>
        <stp>Isin code</stp>
        <tr r="R179" s="1"/>
      </tp>
      <tp t="s">
        <v>NSE</v>
        <stp/>
        <stp>nse_cm|885LTF27-NE</stp>
        <stp>Exchange</stp>
        <tr r="C1007" s="1"/>
      </tp>
      <tp t="s">
        <v>INE148I07TH4</v>
        <stp/>
        <stp>nse_cm|902SCL27A-ZI</stp>
        <stp>Isin code</stp>
        <tr r="R1353" s="1"/>
      </tp>
      <tp>
        <v>1325.55</v>
        <stp/>
        <stp>bse_cm|DLSL25</stp>
        <stp>Ask Rate</stp>
        <tr r="F1747" s="1"/>
      </tp>
      <tp>
        <v>0</v>
        <stp/>
        <stp>bse_cm|CIF27</stp>
        <stp>ATP</stp>
        <tr r="K745" s="1"/>
      </tp>
      <tp>
        <v>0</v>
        <stp/>
        <stp>bse_cm|CIF29</stp>
        <stp>ATP</stp>
        <tr r="K744" s="1"/>
      </tp>
      <tp t="s">
        <v>888ERFL28-N5</v>
        <stp/>
        <stp>nse_cm|888ERFL28-N5</stp>
        <stp>Trading Symbol</stp>
        <tr r="B63" s="1"/>
      </tp>
      <tp t="s">
        <v>KAFLZC26A</v>
        <stp/>
        <stp>bse_cm|KAFLZC26A</stp>
        <stp>Trading Symbol</stp>
        <tr r="B1710" s="1"/>
      </tp>
      <tp t="s">
        <v>10MFL24AA</v>
        <stp/>
        <stp>bse_cm|10MFL24AA</stp>
        <stp>Trading Symbol</stp>
        <tr r="B475" s="1"/>
      </tp>
      <tp t="s">
        <v>11UCL26</v>
        <stp/>
        <stp>nse_cm|11UCL26-NC</stp>
        <stp>Symbol</stp>
        <tr r="A322" s="1"/>
      </tp>
      <tp t="s">
        <v>1003SCL30-BW</v>
        <stp/>
        <stp>nse_cm|1003SCL30-BW</stp>
        <stp>Trading Symbol</stp>
        <tr r="B876" s="1"/>
      </tp>
      <tp t="s">
        <v>1035UCL26-NA</v>
        <stp/>
        <stp>nse_cm|1035UCL26-NA</stp>
        <stp>Trading Symbol</stp>
        <tr r="B1627" s="1"/>
      </tp>
      <tp t="s">
        <v>1050SCL30-NU</v>
        <stp/>
        <stp>nse_cm|1050SCL30-NU</stp>
        <stp>Trading Symbol</stp>
        <tr r="B893" s="1"/>
      </tp>
      <tp>
        <v>827.2</v>
        <stp/>
        <stp>nse_cm|SCFL310524-ZE</stp>
        <stp>Bid Rate</stp>
        <tr r="E1240" s="1"/>
      </tp>
      <tp t="s">
        <v>INE148I07MN7</v>
        <stp/>
        <stp>bse_cm|905SC24</stp>
        <stp>Isin code</stp>
        <tr r="R573" s="1"/>
      </tp>
      <tp>
        <v>-100</v>
        <stp/>
        <stp>bse_cm|940SCL26C</stp>
        <stp>% Change</stp>
        <tr r="J794" s="1"/>
      </tp>
      <tp>
        <v>-100</v>
        <stp/>
        <stp>bse_cm|925SCL26C</stp>
        <stp>% Change</stp>
        <tr r="J725" s="1"/>
      </tp>
      <tp t="s">
        <v>INE148I08249</v>
        <stp/>
        <stp>bse_cm|9SCL26B</stp>
        <stp>Isin code</stp>
        <tr r="R1135" s="1"/>
      </tp>
      <tp>
        <v>-100</v>
        <stp/>
        <stp>bse_cm|940SCL26B</stp>
        <stp>% Change</stp>
        <tr r="J905" s="1"/>
      </tp>
      <tp>
        <v>-100</v>
        <stp/>
        <stp>bse_cm|948SCL26B</stp>
        <stp>% Change</stp>
        <tr r="J470" s="1"/>
      </tp>
      <tp>
        <v>-100</v>
        <stp/>
        <stp>bse_cm|925SCL26B</stp>
        <stp>% Change</stp>
        <tr r="J1360" s="1"/>
      </tp>
      <tp>
        <v>-100</v>
        <stp/>
        <stp>bse_cm|990SCL26B</stp>
        <stp>% Change</stp>
        <tr r="J1048" s="1"/>
      </tp>
      <tp t="s">
        <v>1050SCFL31</v>
        <stp/>
        <stp>nse_cm|1050SCFL31-Z2</stp>
        <stp>Symbol</stp>
        <tr r="A868" s="1"/>
      </tp>
      <tp>
        <v>-100</v>
        <stp/>
        <stp>bse_cm|965SCL26A</stp>
        <stp>% Change</stp>
        <tr r="J1481" s="1"/>
      </tp>
      <tp>
        <v>-100</v>
        <stp/>
        <stp>bse_cm|940SCL26A</stp>
        <stp>% Change</stp>
        <tr r="J920" s="1"/>
      </tp>
      <tp>
        <v>-100</v>
        <stp/>
        <stp>bse_cm|948SCL26A</stp>
        <stp>% Change</stp>
        <tr r="J494" s="1"/>
      </tp>
      <tp>
        <v>-100</v>
        <stp/>
        <stp>bse_cm|925SCL26A</stp>
        <stp>% Change</stp>
        <tr r="J990" s="1"/>
      </tp>
      <tp>
        <v>-100</v>
        <stp/>
        <stp>bse_cm|902SCL26A</stp>
        <stp>% Change</stp>
        <tr r="J967" s="1"/>
      </tp>
      <tp>
        <v>-100</v>
        <stp/>
        <stp>bse_cm|990SCL26A</stp>
        <stp>% Change</stp>
        <tr r="J1057" s="1"/>
      </tp>
      <tp>
        <v>-100</v>
        <stp/>
        <stp>bse_cm|888SCL26A</stp>
        <stp>% Change</stp>
        <tr r="J840" s="1"/>
      </tp>
      <tp t="s">
        <v>1003SCFL31</v>
        <stp/>
        <stp>nse_cm|1003SCFL31-Z4</stp>
        <stp>Symbol</stp>
        <tr r="A878" s="1"/>
      </tp>
      <tp>
        <v>-100</v>
        <stp/>
        <stp>bse_cm|948SCL26D</stp>
        <stp>% Change</stp>
        <tr r="J1081" s="1"/>
      </tp>
      <tp>
        <v>-100</v>
        <stp/>
        <stp>bse_cm|931SFL26A</stp>
        <stp>% Change</stp>
        <tr r="J1086" s="1"/>
      </tp>
      <tp>
        <v>-100</v>
        <stp/>
        <stp>bse_cm|925SCL26D</stp>
        <stp>% Change</stp>
        <tr r="J619" s="1"/>
      </tp>
      <tp>
        <v>-100</v>
        <stp/>
        <stp>bse_cm|990SCL26D</stp>
        <stp>% Change</stp>
        <tr r="J1534" s="1"/>
      </tp>
      <tp t="s">
        <v>INE413U07335</v>
        <stp/>
        <stp>nse_cm|960IIFLS26-N9</stp>
        <stp>Isin code</stp>
        <tr r="R1489" s="1"/>
      </tp>
      <tp t="s">
        <v>EFSL260724</v>
        <stp/>
        <stp>bse_cm|EFSL260724</stp>
        <stp>Symbol</stp>
        <tr r="A586" s="1"/>
      </tp>
      <tp>
        <v>-100</v>
        <stp/>
        <stp>bse_cm|948SCL26I</stp>
        <stp>% Change</stp>
        <tr r="J1080" s="1"/>
      </tp>
      <tp>
        <v>-100</v>
        <stp/>
        <stp>bse_cm|902SCL26I</stp>
        <stp>% Change</stp>
        <tr r="J903" s="1"/>
      </tp>
      <tp>
        <v>-100</v>
        <stp/>
        <stp>bse_cm|990SCL26I</stp>
        <stp>% Change</stp>
        <tr r="J797" s="1"/>
      </tp>
      <tp t="s">
        <v>INE302E07532</v>
        <stp/>
        <stp>bse_cm|SFL30</stp>
        <stp>Isin code</stp>
        <tr r="R1597" s="1"/>
      </tp>
      <tp t="s">
        <v>EFSL290424</v>
        <stp/>
        <stp>bse_cm|EFSL290424</stp>
        <stp>Symbol</stp>
        <tr r="A1334" s="1"/>
      </tp>
      <tp t="s">
        <v>1004EFSL29</v>
        <stp/>
        <stp>bse_cm|1004EFSL29</stp>
        <stp>Symbol</stp>
        <tr r="A1586" s="1"/>
      </tp>
      <tp t="s">
        <v>920IIFLS26</v>
        <stp/>
        <stp>nse_cm|920IIFLS26-N8</stp>
        <stp>Symbol</stp>
        <tr r="A208" s="1"/>
      </tp>
      <tp t="s">
        <v>790MMFSL27</v>
        <stp/>
        <stp>bse_cm|790MMFSL27</stp>
        <stp>Symbol</stp>
        <tr r="A1189" s="1"/>
      </tp>
      <tp t="s">
        <v>800MMFSL27</v>
        <stp/>
        <stp>bse_cm|800MMFSL27</stp>
        <stp>Symbol</stp>
        <tr r="A436" s="1"/>
      </tp>
      <tp>
        <v>0</v>
        <stp/>
        <stp>nse_cm|SCL310524A-ZK</stp>
        <stp>Open</stp>
        <tr r="M1445" s="1"/>
      </tp>
      <tp t="s">
        <v>IIFLZC28A-NU</v>
        <stp/>
        <stp>nse_cm|IIFLZC28A-NU</stp>
        <stp>Trading Symbol</stp>
        <tr r="B1624" s="1"/>
      </tp>
      <tp t="s">
        <v>IIFLZC26A-NR</v>
        <stp/>
        <stp>nse_cm|IIFLZC26A-NR</stp>
        <stp>Trading Symbol</stp>
        <tr r="B1680" s="1"/>
      </tp>
      <tp t="s">
        <v>IIFLZC25A-NP</v>
        <stp/>
        <stp>nse_cm|IIFLZC25A-NP</stp>
        <stp>Trading Symbol</stp>
        <tr r="B1578" s="1"/>
      </tp>
      <tp>
        <v>0</v>
        <stp/>
        <stp>nse_cm|77IGT28-NE</stp>
        <stp>ATP</stp>
        <tr r="K1190" s="1"/>
      </tp>
      <tp>
        <v>0</v>
        <stp/>
        <stp>nse_cm|76IGT26-ND</stp>
        <stp>ATP</stp>
        <tr r="K527" s="1"/>
      </tp>
      <tp>
        <v>0</v>
        <stp/>
        <stp>nse_cm|79IGT28-NF</stp>
        <stp>ATP</stp>
        <tr r="K692" s="1"/>
      </tp>
      <tp>
        <v>1035</v>
        <stp/>
        <stp>nse_cm|82IGT31-NJ</stp>
        <stp>ATP</stp>
        <tr r="K375" s="1"/>
      </tp>
      <tp>
        <v>825.2</v>
        <stp/>
        <stp>nse_cm|1025SCFL34-Z5</stp>
        <stp>Bid Rate</stp>
        <tr r="E880" s="1"/>
      </tp>
      <tp>
        <v>810.4</v>
        <stp/>
        <stp>nse_cm|1075SCFL34-Z6</stp>
        <stp>Bid Rate</stp>
        <tr r="E882" s="1"/>
      </tp>
      <tp>
        <v>400</v>
        <stp/>
        <stp>bse_cm|81MFL28</stp>
        <stp>Bid Qty</stp>
        <tr r="D314" s="1"/>
      </tp>
      <tp t="s">
        <v>NSE</v>
        <stp/>
        <stp>nse_cm|925AEL26-N1</stp>
        <stp>Exchange</stp>
        <tr r="C330" s="1"/>
      </tp>
      <tp>
        <v>-100</v>
        <stp/>
        <stp>nse_cm|965SCL28A-NQ</stp>
        <stp>% Change</stp>
        <tr r="J897" s="1"/>
      </tp>
      <tp>
        <v>-100</v>
        <stp/>
        <stp>nse_cm|925SCL28A-NS</stp>
        <stp>% Change</stp>
        <tr r="J895" s="1"/>
      </tp>
      <tp t="s">
        <v>09:15:37</v>
        <stp/>
        <stp>nse_cm|885MOFSL26-N0</stp>
        <stp>LTT</stp>
        <tr r="I1635" s="1"/>
      </tp>
      <tp>
        <v>1028</v>
        <stp/>
        <stp>nse_cm|935MOFSL29-N5</stp>
        <stp>LTP</stp>
        <tr r="H1601" s="1"/>
      </tp>
      <tp>
        <v>1010.2</v>
        <stp/>
        <stp>nse_cm|885MOFSL26-N0</stp>
        <stp>LTP</stp>
        <tr r="H1635" s="1"/>
      </tp>
      <tp t="s">
        <v/>
        <stp/>
        <stp>nse_cm|935MOFSL29-N5</stp>
        <stp>LTT</stp>
        <tr r="I1601" s="1"/>
      </tp>
      <tp>
        <v>-100</v>
        <stp/>
        <stp>nse_cm|925SCL25G-NY</stp>
        <stp>% Change</stp>
        <tr r="J887" s="1"/>
      </tp>
      <tp>
        <v>1268.55</v>
        <stp/>
        <stp>nse_cm|SCL25-Y6</stp>
        <stp>Ask Rate</stp>
        <tr r="F1753" s="1"/>
      </tp>
      <tp>
        <v>4</v>
        <stp/>
        <stp>bse_cm|95KLM25</stp>
        <stp>Bid Qty</stp>
        <tr r="D73" s="1"/>
      </tp>
      <tp>
        <v>20</v>
        <stp/>
        <stp>bse_cm|85KFL25</stp>
        <stp>Bid Qty</stp>
        <tr r="D641" s="1"/>
      </tp>
      <tp>
        <v>40</v>
        <stp/>
        <stp>bse_cm|85IFL26</stp>
        <stp>Bid Qty</stp>
        <tr r="D1357" s="1"/>
      </tp>
      <tp t="s">
        <v>NSE</v>
        <stp/>
        <stp>nse_cm|925SCL25-N5</stp>
        <stp>Exchange</stp>
        <tr r="C1474" s="1"/>
      </tp>
      <tp>
        <v>180</v>
        <stp/>
        <stp>bse_cm|84MFL25</stp>
        <stp>Bid Qty</stp>
        <tr r="D316" s="1"/>
      </tp>
      <tp>
        <v>17</v>
        <stp/>
        <stp>bse_cm|87SCL25</stp>
        <stp>Bid Qty</stp>
        <tr r="D958" s="1"/>
      </tp>
      <tp>
        <v>20</v>
        <stp/>
        <stp>bse_cm|87SCL27</stp>
        <stp>Bid Qty</stp>
        <tr r="D978" s="1"/>
      </tp>
      <tp t="s">
        <v>NSE</v>
        <stp/>
        <stp>nse_cm|884LTF29-N6</stp>
        <stp>Exchange</stp>
        <tr r="C1009" s="1"/>
      </tp>
      <tp t="s">
        <v>NSE</v>
        <stp/>
        <stp>nse_cm|920PEL28-N2</stp>
        <stp>Exchange</stp>
        <tr r="C373" s="1"/>
      </tp>
      <tp>
        <v>0</v>
        <stp/>
        <stp>nse_cm|965SCL25F-NZ</stp>
        <stp>% Change</stp>
        <tr r="J1362" s="1"/>
      </tp>
      <tp t="s">
        <v>NSE</v>
        <stp/>
        <stp>nse_cm|92ICCL28-ND</stp>
        <stp>Exchange</stp>
        <tr r="C203" s="1"/>
      </tp>
      <tp>
        <v>20</v>
        <stp/>
        <stp>bse_cm|89SCL24</stp>
        <stp>Bid Qty</stp>
        <tr r="D1153" s="1"/>
      </tp>
      <tp>
        <v>190</v>
        <stp/>
        <stp>bse_cm|89MFL26</stp>
        <stp>Bid Qty</stp>
        <tr r="D250" s="1"/>
      </tp>
      <tp>
        <v>20</v>
        <stp/>
        <stp>bse_cm|88SCL25</stp>
        <stp>Bid Qty</stp>
        <tr r="D987" s="1"/>
      </tp>
      <tp>
        <v>960.2</v>
        <stp/>
        <stp>bse_cm|89EFSL25</stp>
        <stp>Open</stp>
        <tr r="M87" s="1"/>
      </tp>
      <tp>
        <v>20</v>
        <stp/>
        <stp>bse_cm|88MFL28</stp>
        <stp>Bid Qty</stp>
        <tr r="D233" s="1"/>
      </tp>
      <tp t="s">
        <v>NSE</v>
        <stp/>
        <stp>nse_cm|829PFL29-N6</stp>
        <stp>Exchange</stp>
        <tr r="C1451" s="1"/>
      </tp>
      <tp>
        <v>1041</v>
        <stp/>
        <stp>bse_cm|98EFSL26</stp>
        <stp>Open</stp>
        <tr r="M82" s="1"/>
      </tp>
      <tp>
        <v>0</v>
        <stp/>
        <stp>bse_cm|96EFSL26</stp>
        <stp>Open</stp>
        <tr r="M1465" s="1"/>
      </tp>
      <tp>
        <v>0</v>
        <stp/>
        <stp>bse_cm|92EFSL26</stp>
        <stp>Open</stp>
        <tr r="M186" s="1"/>
      </tp>
      <tp>
        <v>0</v>
        <stp/>
        <stp>bse_cm|96EFSL27</stp>
        <stp>Open</stp>
        <tr r="M1050" s="1"/>
      </tp>
      <tp>
        <v>0</v>
        <stp/>
        <stp>bse_cm|10EFSL27</stp>
        <stp>Open</stp>
        <tr r="M1139" s="1"/>
      </tp>
      <tp>
        <v>0</v>
        <stp/>
        <stp>bse_cm|9SFL26</stp>
        <stp xml:space="preserve">Low </stp>
        <tr r="O1066" s="1"/>
      </tp>
      <tp>
        <v>1071.5</v>
        <stp/>
        <stp>bse_cm|9PEL25</stp>
        <stp xml:space="preserve">Low </stp>
        <tr r="O315" s="1"/>
      </tp>
      <tp>
        <v>905</v>
        <stp/>
        <stp>bse_cm|9SFL25</stp>
        <stp xml:space="preserve">Low </stp>
        <tr r="O340" s="1"/>
      </tp>
      <tp>
        <v>980.15</v>
        <stp/>
        <stp>bse_cm|9SCL25</stp>
        <stp xml:space="preserve">Low </stp>
        <tr r="O653" s="1"/>
      </tp>
      <tp>
        <v>-100</v>
        <stp/>
        <stp>bse_cm|0SFL27A</stp>
        <stp>% Change</stp>
        <tr r="J1034" s="1"/>
      </tp>
      <tp>
        <v>1473.3</v>
        <stp/>
        <stp>nse_cm|SFLZC25A-ZK</stp>
        <stp>Bid Rate</stp>
        <tr r="E1582" s="1"/>
      </tp>
      <tp>
        <v>990</v>
        <stp/>
        <stp>bse_cm|9MFL25</stp>
        <stp xml:space="preserve">Low </stp>
        <tr r="O1082" s="1"/>
      </tp>
      <tp t="s">
        <v>NIDO25A</v>
        <stp/>
        <stp>bse_cm|NIDO25A</stp>
        <stp>Symbol</stp>
        <tr r="A1245" s="1"/>
      </tp>
      <tp>
        <v>975</v>
        <stp/>
        <stp>bse_cm|9MFL27</stp>
        <stp xml:space="preserve">Low </stp>
        <tr r="O195" s="1"/>
      </tp>
      <tp>
        <v>5950</v>
        <stp/>
        <stp>nse_cm|888NHB29-N5</stp>
        <stp>Ask Rate</stp>
        <tr r="F504" s="1"/>
      </tp>
      <tp>
        <v>1000</v>
        <stp/>
        <stp>nse_cm|865SCL26-N8</stp>
        <stp>Ask Rate</stp>
        <tr r="F310" s="1"/>
      </tp>
      <tp>
        <v>968</v>
        <stp/>
        <stp>bse_cm|9KFL26</stp>
        <stp xml:space="preserve">Low </stp>
        <tr r="O1084" s="1"/>
      </tp>
      <tp t="s">
        <v>NSE</v>
        <stp/>
        <stp>nse_cm|SCLZC26B-AY</stp>
        <stp>Exchange</stp>
        <tr r="C1658" s="1"/>
      </tp>
      <tp>
        <v>0</v>
        <stp/>
        <stp>nse_cm|925SCL25A-NH</stp>
        <stp>% Change</stp>
        <tr r="J715" s="1"/>
      </tp>
      <tp>
        <v>979.15</v>
        <stp/>
        <stp>bse_cm|9IML25</stp>
        <stp xml:space="preserve">Low </stp>
        <tr r="O588" s="1"/>
      </tp>
      <tp>
        <v>1280</v>
        <stp/>
        <stp>nse_cm|85PFL26A-N7</stp>
        <stp xml:space="preserve">Low </stp>
        <tr r="O1519" s="1"/>
      </tp>
      <tp>
        <v>815.8</v>
        <stp/>
        <stp>nse_cm|980SCL34-Z7</stp>
        <stp>Bid Rate</stp>
        <tr r="E884" s="1"/>
      </tp>
      <tp>
        <v>0</v>
        <stp/>
        <stp>bse_cm|772IGT31</stp>
        <stp>Volume Traded Today</stp>
        <tr r="L1194" s="1"/>
      </tp>
      <tp>
        <v>-100</v>
        <stp/>
        <stp>nse_cm|925SCL25Z-NE</stp>
        <stp>% Change</stp>
        <tr r="J914" s="1"/>
      </tp>
      <tp>
        <v>1000</v>
        <stp/>
        <stp>bse_cm|97SFL26A</stp>
        <stp>Prev Close</stp>
        <tr r="P1089" s="1"/>
      </tp>
      <tp>
        <v>1000</v>
        <stp/>
        <stp>nse_cm|0MOFSL26-N1</stp>
        <stp>High</stp>
        <tr r="N1644" s="1"/>
      </tp>
      <tp>
        <v>836</v>
        <stp/>
        <stp>bse_cm|96SFL24A</stp>
        <stp>Prev Close</stp>
        <tr r="P633" s="1"/>
      </tp>
      <tp>
        <v>1610.01</v>
        <stp/>
        <stp>nse_cm|SFLZC26A-ZC</stp>
        <stp>Bid Rate</stp>
        <tr r="E1716" s="1"/>
      </tp>
      <tp>
        <v>1000</v>
        <stp/>
        <stp>nse_cm|0MOFSL27-N3</stp>
        <stp>High</stp>
        <tr r="N1038" s="1"/>
      </tp>
      <tp t="s">
        <v>NSE</v>
        <stp/>
        <stp>nse_cm|SCLZC25B-AT</stp>
        <stp>Exchange</stp>
        <tr r="C1541" s="1"/>
      </tp>
      <tp>
        <v>960</v>
        <stp/>
        <stp>bse_cm|95KFL27A</stp>
        <stp>Prev Close</stp>
        <tr r="P132" s="1"/>
      </tp>
      <tp>
        <v>2.06</v>
        <stp/>
        <stp>nse_cm|965SCL25A-NF</stp>
        <stp>% Change</stp>
        <tr r="J163" s="1"/>
      </tp>
      <tp>
        <v>975</v>
        <stp/>
        <stp>bse_cm|94MFL27A</stp>
        <stp>Prev Close</stp>
        <tr r="P420" s="1"/>
      </tp>
      <tp>
        <v>950</v>
        <stp/>
        <stp>bse_cm|93SCL24A</stp>
        <stp>Prev Close</stp>
        <tr r="P1361" s="1"/>
      </tp>
      <tp t="s">
        <v>NSE</v>
        <stp/>
        <stp>nse_cm|SCLZC25A-AS</stp>
        <stp>Exchange</stp>
        <tr r="C1232" s="1"/>
      </tp>
      <tp>
        <v>1009.07</v>
        <stp/>
        <stp>nse_cm|965AEL27-N4</stp>
        <stp>Ask Rate</stp>
        <tr r="F254" s="1"/>
      </tp>
      <tp t="s">
        <v>BSE</v>
        <stp/>
        <stp>bse_cm|ABFL28</stp>
        <stp>Exchange</stp>
        <tr r="C1373" s="1"/>
      </tp>
      <tp>
        <v>258</v>
        <stp/>
        <stp>bse_cm|DLSL25A</stp>
        <stp>Ask Qty</stp>
        <tr r="G1734" s="1"/>
      </tp>
      <tp>
        <v>1208</v>
        <stp/>
        <stp>nse_cm|888REC29-NF</stp>
        <stp>Ask Rate</stp>
        <tr r="F522" s="1"/>
      </tp>
      <tp>
        <v>0</v>
        <stp/>
        <stp>bse_cm|895EFS25</stp>
        <stp>ATP</stp>
        <tr r="K730" s="1"/>
      </tp>
      <tp>
        <v>150</v>
        <stp/>
        <stp>bse_cm|9SCFL25</stp>
        <stp>Bid Qty</stp>
        <tr r="D1505" s="1"/>
      </tp>
      <tp>
        <v>990</v>
        <stp/>
        <stp>bse_cm|950MML24</stp>
        <stp>Prev Close</stp>
        <tr r="P304" s="1"/>
      </tp>
      <tp>
        <v>1088</v>
        <stp/>
        <stp>nse_cm|965IHFL25D-N7</stp>
        <stp>Prev Close</stp>
        <tr r="P1469" s="1"/>
      </tp>
      <tp>
        <v>0</v>
        <stp/>
        <stp>nse_cm|879SCL26-NC</stp>
        <stp>Ask Rate</stp>
        <tr r="F720" s="1"/>
      </tp>
      <tp>
        <v>970</v>
        <stp/>
        <stp>bse_cm|975IML26</stp>
        <stp>Prev Close</stp>
        <tr r="P646" s="1"/>
      </tp>
      <tp>
        <v>979.8</v>
        <stp/>
        <stp>bse_cm|975MML25</stp>
        <stp>Prev Close</stp>
        <tr r="P852" s="1"/>
      </tp>
      <tp t="s">
        <v>NSE</v>
        <stp/>
        <stp>nse_cm|835IFL25-NV</stp>
        <stp>Exchange</stp>
        <tr r="C98" s="1"/>
      </tp>
      <tp t="s">
        <v>NSE</v>
        <stp/>
        <stp>nse_cm|935SCL28-NV</stp>
        <stp>Exchange</stp>
        <tr r="C986" s="1"/>
      </tp>
      <tp>
        <v>625</v>
        <stp/>
        <stp>bse_cm|965MML25</stp>
        <stp>Prev Close</stp>
        <tr r="P1107" s="1"/>
      </tp>
      <tp>
        <v>1019.83</v>
        <stp/>
        <stp>nse_cm|966ICCL25A-NI</stp>
        <stp>Prev Close</stp>
        <tr r="P1461" s="1"/>
      </tp>
      <tp>
        <v>0</v>
        <stp/>
        <stp>nse_cm|866ICCL23A-NY</stp>
        <stp>Prev Close</stp>
        <tr r="P759" s="1"/>
      </tp>
      <tp>
        <v>1000</v>
        <stp/>
        <stp>bse_cm|MFLVIII26H</stp>
        <stp>Face Value</stp>
        <tr r="Q1575" s="1"/>
      </tp>
      <tp>
        <v>1000</v>
        <stp/>
        <stp>bse_cm|MFLVIII27H</stp>
        <stp>Face Value</stp>
        <tr r="Q1274" s="1"/>
      </tp>
      <tp>
        <v>1025</v>
        <stp/>
        <stp>nse_cm|AEL120924A-N5</stp>
        <stp>Prev Close</stp>
        <tr r="P1555" s="1"/>
      </tp>
      <tp>
        <v>1000</v>
        <stp/>
        <stp>bse_cm|792TCH25</stp>
        <stp>Prev Close</stp>
        <tr r="P1188" s="1"/>
      </tp>
      <tp>
        <v>0</v>
        <stp/>
        <stp>nse_cm|9ICCL23A-N0</stp>
        <stp>Ask Rate</stp>
        <tr r="F657" s="1"/>
      </tp>
      <tp t="s">
        <v>BSE</v>
        <stp/>
        <stp>bse_cm|ABFL26</stp>
        <stp>Exchange</stp>
        <tr r="C1064" s="1"/>
      </tp>
      <tp>
        <v>1374.7</v>
        <stp/>
        <stp>nse_cm|886REC34-NG</stp>
        <stp>Ask Rate</stp>
        <tr r="F536" s="1"/>
      </tp>
      <tp>
        <v>0</v>
        <stp/>
        <stp>bse_cm|EFSL27</stp>
        <stp>Ask Rate</stp>
        <tr r="F1531" s="1"/>
      </tp>
      <tp t="s">
        <v/>
        <stp/>
        <stp>nse_cm|1049DLSL25-NX</stp>
        <stp>LTT</stp>
        <tr r="I43" s="1"/>
      </tp>
      <tp>
        <v>995</v>
        <stp/>
        <stp>nse_cm|1049DLSL25-NX</stp>
        <stp>LTP</stp>
        <tr r="H43" s="1"/>
      </tp>
      <tp>
        <v>1281</v>
        <stp/>
        <stp>bse_cm|EFSL26</stp>
        <stp>Ask Rate</stp>
        <tr r="F1687" s="1"/>
      </tp>
      <tp>
        <v>1162.3499999999999</v>
        <stp/>
        <stp>bse_cm|EFSL25</stp>
        <stp>Ask Rate</stp>
        <tr r="F1694" s="1"/>
      </tp>
      <tp t="s">
        <v>INE148I07NZ9</v>
        <stp/>
        <stp>nse_cm|948SCL26D-AI</stp>
        <stp>Isin code</stp>
        <tr r="R1690" s="1"/>
      </tp>
      <tp>
        <v>19</v>
        <stp/>
        <stp>bse_cm|9EFSL25</stp>
        <stp>Bid Qty</stp>
        <tr r="D606" s="1"/>
      </tp>
      <tp>
        <v>15</v>
        <stp/>
        <stp>bse_cm|9EFSL26</stp>
        <stp>Bid Qty</stp>
        <tr r="D581" s="1"/>
      </tp>
      <tp>
        <v>1000</v>
        <stp/>
        <stp>nse_cm|CIF27-NM</stp>
        <stp>Prev Close</stp>
        <tr r="P1665" s="1"/>
      </tp>
      <tp t="s">
        <v>INE148I07RX5</v>
        <stp/>
        <stp>nse_cm|980SCL33B-YL</stp>
        <stp>Isin code</stp>
        <tr r="R837" s="1"/>
      </tp>
      <tp>
        <v>954</v>
        <stp/>
        <stp>nse_cm|894SCL24-ZR</stp>
        <stp>Bid Rate</stp>
        <tr r="E661" s="1"/>
      </tp>
      <tp>
        <v>100</v>
        <stp/>
        <stp>bse_cm|9IIFL28</stp>
        <stp>Bid Qty</stp>
        <tr r="D126" s="1"/>
      </tp>
      <tp>
        <v>1000</v>
        <stp/>
        <stp>bse_cm|SFL27224</stp>
        <stp>Face Value</stp>
        <tr r="Q805" s="1"/>
      </tp>
      <tp>
        <v>20</v>
        <stp/>
        <stp>bse_cm|9KSFL27</stp>
        <stp>Bid Qty</stp>
        <tr r="D1418" s="1"/>
      </tp>
      <tp>
        <v>25</v>
        <stp/>
        <stp>bse_cm|9MFCL26</stp>
        <stp>Bid Qty</stp>
        <tr r="D156" s="1"/>
      </tp>
      <tp>
        <v>840.4</v>
        <stp/>
        <stp>nse_cm|894SCL27-ZY</stp>
        <stp>Bid Rate</stp>
        <tr r="E731" s="1"/>
      </tp>
      <tp t="s">
        <v>NSE</v>
        <stp/>
        <stp>nse_cm|10NIDO26-N6</stp>
        <stp>Exchange</stp>
        <tr r="C66" s="1"/>
      </tp>
      <tp>
        <v>0</v>
        <stp/>
        <stp>bse_cm|EFSL29</stp>
        <stp>Ask Rate</stp>
        <tr r="F659" s="1"/>
      </tp>
      <tp>
        <v>1048</v>
        <stp/>
        <stp>bse_cm|EFSL28</stp>
        <stp>Ask Rate</stp>
        <tr r="F1609" s="1"/>
      </tp>
      <tp>
        <v>970.55</v>
        <stp/>
        <stp>nse_cm|975SCL28-NT</stp>
        <stp>Ask Rate</stp>
        <tr r="F142" s="1"/>
      </tp>
      <tp t="s">
        <v>888IRFC29-NE</v>
        <stp/>
        <stp>nse_cm|888IRFC29-NE</stp>
        <stp>Trading Symbol</stp>
        <tr r="B508" s="1"/>
      </tp>
      <tp t="s">
        <v>855TCAPS27</v>
        <stp/>
        <stp>nse_cm|855TCAPS27-N7</stp>
        <stp>Symbol</stp>
        <tr r="A1003" s="1"/>
      </tp>
      <tp t="s">
        <v>925ERFL28-N6</v>
        <stp/>
        <stp>nse_cm|925ERFL28-N6</stp>
        <stp>Trading Symbol</stp>
        <tr r="B165" s="1"/>
      </tp>
      <tp t="s">
        <v>840IRFC29-N8</v>
        <stp/>
        <stp>nse_cm|840IRFC29-N8</stp>
        <stp>Trading Symbol</stp>
        <tr r="B528" s="1"/>
      </tp>
      <tp t="s">
        <v>10SCL31</v>
        <stp/>
        <stp>nse_cm|10SCL31-Z1</stp>
        <stp>Symbol</stp>
        <tr r="A866" s="1"/>
      </tp>
      <tp t="s">
        <v>1050SCL31-ZP</v>
        <stp/>
        <stp>nse_cm|1050SCL31-ZP</stp>
        <stp>Trading Symbol</stp>
        <tr r="B891" s="1"/>
      </tp>
      <tp t="s">
        <v>1003SCL31-ZQ</v>
        <stp/>
        <stp>nse_cm|1003SCL31-ZQ</stp>
        <stp>Trading Symbol</stp>
        <tr r="B688" s="1"/>
      </tp>
      <tp t="s">
        <v>865IRFC29-NA</v>
        <stp/>
        <stp>nse_cm|865IRFC29-NA</stp>
        <stp>Trading Symbol</stp>
        <tr r="B491" s="1"/>
      </tp>
      <tp t="s">
        <v>863IRFC29-NC</v>
        <stp/>
        <stp>nse_cm|863IRFC29-NC</stp>
        <stp>Trading Symbol</stp>
        <tr r="B554" s="1"/>
      </tp>
      <tp t="s">
        <v>INE549K07CR4</v>
        <stp/>
        <stp>bse_cm|865MF25</stp>
        <stp>Isin code</stp>
        <tr r="R111" s="1"/>
      </tp>
      <tp>
        <v>0</v>
        <stp/>
        <stp>bse_cm|1025JFCS28</stp>
        <stp>LTP</stp>
        <tr r="H363" s="1"/>
      </tp>
      <tp t="s">
        <v>00:00:00</v>
        <stp/>
        <stp>bse_cm|1025JFCS28</stp>
        <stp>LTT</stp>
        <tr r="I363" s="1"/>
      </tp>
      <tp>
        <v>-100</v>
        <stp/>
        <stp>bse_cm|955SCL27A</stp>
        <stp>% Change</stp>
        <tr r="J948" s="1"/>
      </tp>
      <tp>
        <v>-100</v>
        <stp/>
        <stp>bse_cm|948SCL27A</stp>
        <stp>% Change</stp>
        <tr r="J697" s="1"/>
      </tp>
      <tp>
        <v>-100</v>
        <stp/>
        <stp>bse_cm|915SCL27A</stp>
        <stp>% Change</stp>
        <tr r="J951" s="1"/>
      </tp>
      <tp>
        <v>-100</v>
        <stp/>
        <stp>bse_cm|902SCL27A</stp>
        <stp>% Change</stp>
        <tr r="J1354" s="1"/>
      </tp>
      <tp t="s">
        <v>774IREDA31</v>
        <stp/>
        <stp>nse_cm|774IREDA31-N7</stp>
        <stp>Symbol</stp>
        <tr r="A18" s="1"/>
      </tp>
      <tp t="s">
        <v>INE413U07285</v>
        <stp/>
        <stp>nse_cm|920IIFLS26-N8</stp>
        <stp>Isin code</stp>
        <tr r="R208" s="1"/>
      </tp>
      <tp>
        <v>-100</v>
        <stp/>
        <stp>bse_cm|925SFL27A</stp>
        <stp>% Change</stp>
        <tr r="J848" s="1"/>
      </tp>
      <tp t="s">
        <v>1010EFSL32</v>
        <stp/>
        <stp>bse_cm|1010EFSL32</stp>
        <stp>Symbol</stp>
        <tr r="A631" s="1"/>
      </tp>
      <tp t="s">
        <v>1010EFSL29</v>
        <stp/>
        <stp>bse_cm|1010EFSL29</stp>
        <stp>Symbol</stp>
        <tr r="A1459" s="1"/>
      </tp>
      <tp t="s">
        <v>1010EFSL28</v>
        <stp/>
        <stp>bse_cm|1010EFSL28</stp>
        <stp>Symbol</stp>
        <tr r="A663" s="1"/>
      </tp>
      <tp t="s">
        <v>1010EFS29A</v>
        <stp/>
        <stp>bse_cm|1010EFS29A</stp>
        <stp>Symbol</stp>
        <tr r="A1593" s="1"/>
      </tp>
      <tp t="s">
        <v>1010EFS28A</v>
        <stp/>
        <stp>bse_cm|1010EFS28A</stp>
        <stp>Symbol</stp>
        <tr r="A78" s="1"/>
      </tp>
      <tp>
        <v>0</v>
        <stp/>
        <stp>nse_cm|8ABFL26-N0</stp>
        <stp>ATP</stp>
        <tr r="K358" s="1"/>
      </tp>
      <tp>
        <v>0</v>
        <stp/>
        <stp>nse_cm|85IFL26-NX</stp>
        <stp>ATP</stp>
        <tr r="K1388" s="1"/>
      </tp>
      <tp>
        <v>0</v>
        <stp/>
        <stp>nse_cm|10NFL25-N9</stp>
        <stp>ATP</stp>
        <tr r="K345" s="1"/>
      </tp>
      <tp>
        <v>-100</v>
        <stp/>
        <stp>bse_cm|10MVAFL25</stp>
        <stp>% Change</stp>
        <tr r="J1675" s="1"/>
      </tp>
      <tp t="s">
        <v>INE148I08249</v>
        <stp/>
        <stp>nse_cm|9SCL26B-ND</stp>
        <stp>Isin code</stp>
        <tr r="R994" s="1"/>
      </tp>
      <tp>
        <v>0</v>
        <stp/>
        <stp>nse_cm|94SFL28-YL</stp>
        <stp>ATP</stp>
        <tr r="K5" s="1"/>
      </tp>
      <tp>
        <v>0</v>
        <stp/>
        <stp>nse_cm|9IIFL28-Y0</stp>
        <stp>ATP</stp>
        <tr r="K175" s="1"/>
      </tp>
      <tp>
        <v>0</v>
        <stp/>
        <stp>nse_cm|97SFL28-YS</stp>
        <stp>ATP</stp>
        <tr r="K19" s="1"/>
      </tp>
      <tp>
        <v>0</v>
        <stp/>
        <stp>nse_cm|9SCFL25-Y5</stp>
        <stp>ATP</stp>
        <tr r="K389" s="1"/>
      </tp>
      <tp>
        <v>1105</v>
        <stp/>
        <stp>nse_cm|97SFL29-YZ</stp>
        <stp>ATP</stp>
        <tr r="K20" s="1"/>
      </tp>
      <tp>
        <v>0</v>
        <stp/>
        <stp>nse_cm|97SFL26-Z9</stp>
        <stp>ATP</stp>
        <tr r="K438" s="1"/>
      </tp>
      <tp>
        <v>0</v>
        <stp/>
        <stp>nse_cm|91SFL27-ZI</stp>
        <stp>ATP</stp>
        <tr r="K533" s="1"/>
      </tp>
      <tp>
        <v>0</v>
        <stp/>
        <stp>nse_cm|9MMFSML-N2</stp>
        <stp>ATP</stp>
        <tr r="K339" s="1"/>
      </tp>
      <tp>
        <v>50</v>
        <stp/>
        <stp>bse_cm|91SFL27</stp>
        <stp>Bid Qty</stp>
        <tr r="D574" s="1"/>
      </tp>
      <tp t="s">
        <v>NSE</v>
        <stp/>
        <stp>nse_cm|935PEL33-N3</stp>
        <stp>Exchange</stp>
        <tr r="C1375" s="1"/>
      </tp>
      <tp t="s">
        <v>INE721A07ON4</v>
        <stp/>
        <stp>nse_cm|957ICCL25-YW</stp>
        <stp>Isin code</stp>
        <tr r="R386" s="1"/>
      </tp>
      <tp>
        <v>20</v>
        <stp/>
        <stp>bse_cm|93SCL25</stp>
        <stp>Bid Qty</stp>
        <tr r="D729" s="1"/>
      </tp>
      <tp>
        <v>170</v>
        <stp/>
        <stp>bse_cm|93SCL24</stp>
        <stp>Bid Qty</stp>
        <tr r="D945" s="1"/>
      </tp>
      <tp>
        <v>0</v>
        <stp/>
        <stp>bse_cm|11DLSL25</stp>
        <stp>Open</stp>
        <tr r="M1539" s="1"/>
      </tp>
      <tp>
        <v>20</v>
        <stp/>
        <stp>bse_cm|925FL27</stp>
        <stp>Bid Qty</stp>
        <tr r="D615" s="1"/>
      </tp>
      <tp>
        <v>0</v>
        <stp/>
        <stp>bse_cm|NIDOZC26</stp>
        <stp>Open</stp>
        <tr r="M27" s="1"/>
      </tp>
      <tp t="s">
        <v>NSE</v>
        <stp/>
        <stp>nse_cm|932AEL27-N3</stp>
        <stp>Exchange</stp>
        <tr r="C471" s="1"/>
      </tp>
      <tp>
        <v>15</v>
        <stp/>
        <stp>bse_cm|95KFL27</stp>
        <stp>Bid Qty</stp>
        <tr r="D607" s="1"/>
      </tp>
      <tp>
        <v>10</v>
        <stp/>
        <stp>bse_cm|95KFL26</stp>
        <stp>Bid Qty</stp>
        <tr r="D253" s="1"/>
      </tp>
      <tp>
        <v>180</v>
        <stp/>
        <stp>bse_cm|95MFL25</stp>
        <stp>Bid Qty</stp>
        <tr r="D1420" s="1"/>
      </tp>
      <tp>
        <v>10</v>
        <stp/>
        <stp>bse_cm|94SFL28</stp>
        <stp>Bid Qty</stp>
        <tr r="D24" s="1"/>
      </tp>
      <tp>
        <v>5</v>
        <stp/>
        <stp>bse_cm|94SCL27</stp>
        <stp>Bid Qty</stp>
        <tr r="D1152" s="1"/>
      </tp>
      <tp>
        <v>50</v>
        <stp/>
        <stp>bse_cm|94MFL27</stp>
        <stp>Bid Qty</stp>
        <tr r="D189" s="1"/>
      </tp>
      <tp>
        <v>10</v>
        <stp/>
        <stp>bse_cm|97SFL29</stp>
        <stp>Bid Qty</stp>
        <tr r="D21" s="1"/>
      </tp>
      <tp>
        <v>50</v>
        <stp/>
        <stp>bse_cm|97SFL28</stp>
        <stp>Bid Qty</stp>
        <tr r="D23" s="1"/>
      </tp>
      <tp>
        <v>20</v>
        <stp/>
        <stp>bse_cm|97SFL26</stp>
        <stp>Bid Qty</stp>
        <tr r="D405" s="1"/>
      </tp>
      <tp>
        <v>20</v>
        <stp/>
        <stp>bse_cm|96SCL25</stp>
        <stp>Bid Qty</stp>
        <tr r="D1068" s="1"/>
      </tp>
      <tp>
        <v>20</v>
        <stp/>
        <stp>bse_cm|96MFL25</stp>
        <stp>Bid Qty</stp>
        <tr r="D1392" s="1"/>
      </tp>
      <tp>
        <v>10</v>
        <stp/>
        <stp>bse_cm|98SCL34</stp>
        <stp>Bid Qty</stp>
        <tr r="D1053" s="1"/>
      </tp>
      <tp>
        <v>12</v>
        <stp/>
        <stp>bse_cm|99SCL27</stp>
        <stp>Bid Qty</stp>
        <tr r="D1169" s="1"/>
      </tp>
      <tp>
        <v>100</v>
        <stp/>
        <stp>bse_cm|99AEL29</stp>
        <stp>Bid Qty</stp>
        <tr r="D243" s="1"/>
      </tp>
      <tp>
        <v>0</v>
        <stp/>
        <stp>bse_cm|11EFSL34</stp>
        <stp>Open</stp>
        <tr r="M1429" s="1"/>
      </tp>
      <tp>
        <v>0</v>
        <stp/>
        <stp>bse_cm|10EFSL34</stp>
        <stp>Open</stp>
        <tr r="M164" s="1"/>
      </tp>
      <tp>
        <v>10</v>
        <stp/>
        <stp>bse_cm|98SCL27</stp>
        <stp>Bid Qty</stp>
        <tr r="D1545" s="1"/>
      </tp>
      <tp>
        <v>973.8</v>
        <stp/>
        <stp>nse_cm|9IIFL28A-NT</stp>
        <stp>Ask Rate</stp>
        <tr r="F80" s="1"/>
      </tp>
      <tp t="s">
        <v>NSE</v>
        <stp/>
        <stp>nse_cm|898LTF29-N7</stp>
        <stp>Exchange</stp>
        <tr r="C385" s="1"/>
      </tp>
      <tp>
        <v>1000</v>
        <stp/>
        <stp>bse_cm|MFLOPTII24</stp>
        <stp>Face Value</stp>
        <tr r="Q559" s="1"/>
      </tp>
      <tp>
        <v>0</v>
        <stp/>
        <stp>nse_cm|SCL25-Y6</stp>
        <stp>Volume Traded Today</stp>
        <tr r="L1753" s="1"/>
      </tp>
      <tp>
        <v>0</v>
        <stp/>
        <stp>bse_cm|97EFSL31</stp>
        <stp>Open</stp>
        <tr r="M635" s="1"/>
      </tp>
      <tp>
        <v>0</v>
        <stp/>
        <stp>bse_cm|93EFSL31</stp>
        <stp>Open</stp>
        <tr r="M83" s="1"/>
      </tp>
      <tp>
        <v>0</v>
        <stp/>
        <stp>nse_cm|SCL22-ZC</stp>
        <stp>Volume Traded Today</stp>
        <tr r="L955" s="1"/>
      </tp>
      <tp>
        <v>0</v>
        <stp/>
        <stp>nse_cm|SCL24-ZD</stp>
        <stp>Volume Traded Today</stp>
        <tr r="L956" s="1"/>
      </tp>
      <tp t="s">
        <v>INE244L07549</v>
        <stp/>
        <stp>nse_cm|957ICCL28-NW</stp>
        <stp>Isin code</stp>
        <tr r="R762" s="1"/>
      </tp>
      <tp>
        <v>0</v>
        <stp/>
        <stp>bse_cm|10EFSL33</stp>
        <stp>Open</stp>
        <tr r="M150" s="1"/>
      </tp>
      <tp>
        <v>-100</v>
        <stp/>
        <stp>bse_cm|9SFL26A</stp>
        <stp>% Change</stp>
        <tr r="J1065" s="1"/>
      </tp>
      <tp>
        <v>1000</v>
        <stp/>
        <stp>bse_cm|MFLTDIII24</stp>
        <stp>Face Value</stp>
        <tr r="Q1721" s="1"/>
      </tp>
      <tp>
        <v>1000</v>
        <stp/>
        <stp>bse_cm|MFLTDVII27</stp>
        <stp>Face Value</stp>
        <tr r="Q1562" s="1"/>
      </tp>
      <tp>
        <v>0</v>
        <stp/>
        <stp>bse_cm|769IGT28</stp>
        <stp>Volume Traded Today</stp>
        <tr r="L1195" s="1"/>
      </tp>
      <tp>
        <v>1017</v>
        <stp/>
        <stp>bse_cm|8MFL26</stp>
        <stp xml:space="preserve">Low </stp>
        <tr r="O654" s="1"/>
      </tp>
      <tp t="s">
        <v>96ONE29</v>
        <stp/>
        <stp>bse_cm|96ONE29</stp>
        <stp>Symbol</stp>
        <tr r="A1621" s="1"/>
      </tp>
      <tp>
        <v>975</v>
        <stp/>
        <stp>bse_cm|9MFL30</stp>
        <stp xml:space="preserve">Low </stp>
        <tr r="O244" s="1"/>
      </tp>
      <tp t="s">
        <v>93SCL24A-ZN</v>
        <stp/>
        <stp>nse_cm|93SCL24A-ZN</stp>
        <stp>Trading Symbol</stp>
        <tr r="B695" s="1"/>
      </tp>
      <tp>
        <v>-100</v>
        <stp/>
        <stp>bse_cm|9SCL26B</stp>
        <stp>% Change</stp>
        <tr r="J1135" s="1"/>
      </tp>
      <tp t="s">
        <v>9ICCL23A-N0</v>
        <stp/>
        <stp>nse_cm|9ICCL23A-N0</stp>
        <stp>Trading Symbol</stp>
        <tr r="B657" s="1"/>
      </tp>
      <tp>
        <v>1124</v>
        <stp/>
        <stp>nse_cm|894SCL25-Z3</stp>
        <stp>Bid Rate</stp>
        <tr r="E1698" s="1"/>
      </tp>
      <tp>
        <v>839.2</v>
        <stp/>
        <stp>bse_cm|89SCL24A</stp>
        <stp>Prev Close</stp>
        <tr r="P971" s="1"/>
      </tp>
      <tp t="s">
        <v>87SCL27A-ZK</v>
        <stp/>
        <stp>nse_cm|87SCL27A-ZK</stp>
        <stp>Trading Symbol</stp>
        <tr r="B1416" s="1"/>
      </tp>
      <tp t="s">
        <v>87SCL24A-ZF</v>
        <stp/>
        <stp>nse_cm|87SCL24A-ZF</stp>
        <stp>Trading Symbol</stp>
        <tr r="B959" s="1"/>
      </tp>
      <tp t="s">
        <v>89SCL24A-ZM</v>
        <stp/>
        <stp>nse_cm|89SCL24A-ZM</stp>
        <stp>Trading Symbol</stp>
        <tr r="B970" s="1"/>
      </tp>
      <tp t="s">
        <v>BSE</v>
        <stp/>
        <stp>bse_cm|KFL28D</stp>
        <stp>Exchange</stp>
        <tr r="C1299" s="1"/>
      </tp>
      <tp>
        <v>6969</v>
        <stp/>
        <stp>nse_cm|890NHB34-N7</stp>
        <stp>Ask Rate</stp>
        <tr r="F537" s="1"/>
      </tp>
      <tp>
        <v>980</v>
        <stp/>
        <stp>bse_cm|87SCL24A</stp>
        <stp>Prev Close</stp>
        <tr r="P1141" s="1"/>
      </tp>
      <tp>
        <v>970</v>
        <stp/>
        <stp>bse_cm|87SCL27A</stp>
        <stp>Prev Close</stp>
        <tr r="P644" s="1"/>
      </tp>
      <tp t="s">
        <v>15:15:06</v>
        <stp/>
        <stp>nse_cm|1049DLS25A-Y5</stp>
        <stp>LTT</stp>
        <tr r="I44" s="1"/>
      </tp>
      <tp>
        <v>985</v>
        <stp/>
        <stp>nse_cm|1049DLS25A-Y5</stp>
        <stp>LTP</stp>
        <tr r="H44" s="1"/>
      </tp>
      <tp>
        <v>1000</v>
        <stp/>
        <stp>bse_cm|85PFL26A</stp>
        <stp>Prev Close</stp>
        <tr r="P711" s="1"/>
      </tp>
      <tp>
        <v>0</v>
        <stp/>
        <stp>nse_cm|SCL26-NA</stp>
        <stp>Volume Traded Today</stp>
        <tr r="L919" s="1"/>
      </tp>
      <tp>
        <v>6073</v>
        <stp/>
        <stp>nse_cm|893NHB29-N6</stp>
        <stp>Ask Rate</stp>
        <tr r="F529" s="1"/>
      </tp>
      <tp>
        <v>999.98</v>
        <stp/>
        <stp>nse_cm|975NFL25-N0</stp>
        <stp>Ask Rate</stp>
        <tr r="F256" s="1"/>
      </tp>
      <tp t="s">
        <v>10SCL31A-ZO</v>
        <stp/>
        <stp>nse_cm|10SCL31A-ZO</stp>
        <stp>Trading Symbol</stp>
        <tr r="B864" s="1"/>
      </tp>
      <tp t="s">
        <v>10SCL30A-BV</v>
        <stp/>
        <stp>nse_cm|10SCL30A-BV</stp>
        <stp>Trading Symbol</stp>
        <tr r="B445" s="1"/>
      </tp>
      <tp>
        <v>1018.12</v>
        <stp/>
        <stp>bse_cm|985ONE34</stp>
        <stp>Prev Close</stp>
        <tr r="P1101" s="1"/>
      </tp>
      <tp>
        <v>0</v>
        <stp/>
        <stp>bse_cm|9KSFL27</stp>
        <stp>Ask Qty</stp>
        <tr r="G1418" s="1"/>
      </tp>
      <tp>
        <v>899</v>
        <stp/>
        <stp>nse_cm|769IGT28-NH</stp>
        <stp>Bid Rate</stp>
        <tr r="E1487" s="1"/>
      </tp>
      <tp>
        <v>998</v>
        <stp/>
        <stp>bse_cm|11KAFL27</stp>
        <stp>Prev Close</stp>
        <tr r="P184" s="1"/>
      </tp>
      <tp>
        <v>991</v>
        <stp/>
        <stp>bse_cm|11KAFL26</stp>
        <stp>Prev Close</stp>
        <tr r="P671" s="1"/>
      </tp>
      <tp>
        <v>1000</v>
        <stp/>
        <stp>bse_cm|11KAFL29</stp>
        <stp>Prev Close</stp>
        <tr r="P662" s="1"/>
      </tp>
      <tp>
        <v>0</v>
        <stp/>
        <stp>bse_cm|MFLZC29A</stp>
        <stp>Open</stp>
        <tr r="M1554" s="1"/>
      </tp>
      <tp>
        <v>990</v>
        <stp/>
        <stp>bse_cm|10MMFL27</stp>
        <stp>Prev Close</stp>
        <tr r="P1090" s="1"/>
      </tp>
      <tp>
        <v>950</v>
        <stp/>
        <stp>bse_cm|10NHFL27</stp>
        <stp>Prev Close</stp>
        <tr r="P658" s="1"/>
      </tp>
      <tp>
        <v>1000</v>
        <stp/>
        <stp>bse_cm|10IIFL29</stp>
        <stp>Prev Close</stp>
        <tr r="P307" s="1"/>
      </tp>
      <tp>
        <v>906.1</v>
        <stp/>
        <stp>bse_cm|10IIFL28</stp>
        <stp>Prev Close</stp>
        <tr r="P68" s="1"/>
      </tp>
      <tp>
        <v>1000</v>
        <stp/>
        <stp>bse_cm|10ISFL26</stp>
        <stp>Prev Close</stp>
        <tr r="P1509" s="1"/>
      </tp>
      <tp>
        <v>1000</v>
        <stp/>
        <stp>bse_cm|10KAFL26</stp>
        <stp>Prev Close</stp>
        <tr r="P1096" s="1"/>
      </tp>
      <tp>
        <v>990</v>
        <stp/>
        <stp>bse_cm|10KSFL25</stp>
        <stp>Prev Close</stp>
        <tr r="P107" s="1"/>
      </tp>
      <tp>
        <v>20</v>
        <stp/>
        <stp>bse_cm|9IIFL28</stp>
        <stp>Ask Qty</stp>
        <tr r="G126" s="1"/>
      </tp>
      <tp>
        <v>0</v>
        <stp/>
        <stp>nse_cm|97SFL26A-NC</stp>
        <stp xml:space="preserve">Low </stp>
        <tr r="O784" s="1"/>
      </tp>
      <tp>
        <v>1068</v>
        <stp/>
        <stp>bse_cm|12ICFL25</stp>
        <stp>Prev Close</stp>
        <tr r="P1213" s="1"/>
      </tp>
      <tp>
        <v>991</v>
        <stp/>
        <stp>nse_cm|955ICCL25A-NH</stp>
        <stp>Prev Close</stp>
        <tr r="P486" s="1"/>
      </tp>
      <tp>
        <v>444</v>
        <stp/>
        <stp>bse_cm|9MFCL26</stp>
        <stp>Ask Qty</stp>
        <tr r="G156" s="1"/>
      </tp>
      <tp>
        <v>938</v>
        <stp/>
        <stp>nse_cm|943ECL28-NJ</stp>
        <stp>Ask Rate</stp>
        <tr r="F94" s="1"/>
      </tp>
      <tp>
        <v>961.19</v>
        <stp/>
        <stp>bse_cm|903ONE26</stp>
        <stp>Prev Close</stp>
        <tr r="P843" s="1"/>
      </tp>
      <tp>
        <v>1015</v>
        <stp/>
        <stp>nse_cm|AEL120924B-N8</stp>
        <stp>Prev Close</stp>
        <tr r="P1640" s="1"/>
      </tp>
      <tp>
        <v>996.79</v>
        <stp/>
        <stp>bse_cm|916ONE25</stp>
        <stp>Prev Close</stp>
        <tr r="P965" s="1"/>
      </tp>
      <tp>
        <v>985</v>
        <stp/>
        <stp>bse_cm|916ONE27</stp>
        <stp>Prev Close</stp>
        <tr r="P267" s="1"/>
      </tp>
      <tp>
        <v>990</v>
        <stp/>
        <stp>bse_cm|926ONE29</stp>
        <stp>Prev Close</stp>
        <tr r="P1467" s="1"/>
      </tp>
      <tp>
        <v>823</v>
        <stp/>
        <stp>bse_cm|921ONE29</stp>
        <stp>Prev Close</stp>
        <tr r="P1112" s="1"/>
      </tp>
      <tp>
        <v>999.9</v>
        <stp/>
        <stp>bse_cm|921ONE27</stp>
        <stp>Prev Close</stp>
        <tr r="P1428" s="1"/>
      </tp>
      <tp>
        <v>1050</v>
        <stp/>
        <stp>bse_cm|922ONE25</stp>
        <stp>Prev Close</stp>
        <tr r="P1111" s="1"/>
      </tp>
      <tp>
        <v>982</v>
        <stp/>
        <stp>bse_cm|935ONE26</stp>
        <stp>Prev Close</stp>
        <tr r="P1173" s="1"/>
      </tp>
      <tp>
        <v>988</v>
        <stp/>
        <stp>bse_cm|944ONE34</stp>
        <stp>Prev Close</stp>
        <tr r="P269" s="1"/>
      </tp>
      <tp>
        <v>1050.25</v>
        <stp/>
        <stp>bse_cm|941ONE26</stp>
        <stp>Prev Close</stp>
        <tr r="P263" s="1"/>
      </tp>
      <tp>
        <v>-100</v>
        <stp/>
        <stp>bse_cm|9TCAP28</stp>
        <stp>% Change</stp>
        <tr r="J545" s="1"/>
      </tp>
      <tp>
        <v>1000</v>
        <stp/>
        <stp>bse_cm|955ONE27</stp>
        <stp>Prev Close</stp>
        <tr r="P1129" s="1"/>
      </tp>
      <tp>
        <v>1000</v>
        <stp/>
        <stp>nse_cm|CAGL25A-N4</stp>
        <stp>Face Value</stp>
        <tr r="Q709" s="1"/>
      </tp>
      <tp>
        <v>1000</v>
        <stp/>
        <stp>nse_cm|CAGL27A-N6</stp>
        <stp>Face Value</stp>
        <tr r="Q758" s="1"/>
      </tp>
      <tp>
        <v>1056</v>
        <stp/>
        <stp>bse_cm|966ONE29</stp>
        <stp>Prev Close</stp>
        <tr r="P281" s="1"/>
      </tp>
      <tp>
        <v>1070.1099999999999</v>
        <stp/>
        <stp>bse_cm|961ONE27</stp>
        <stp>Prev Close</stp>
        <tr r="P628" s="1"/>
      </tp>
      <tp>
        <v>170</v>
        <stp/>
        <stp>bse_cm|9EFSL26</stp>
        <stp>Ask Qty</stp>
        <tr r="G581" s="1"/>
      </tp>
      <tp>
        <v>0</v>
        <stp/>
        <stp>bse_cm|9EFSL25</stp>
        <stp>Ask Qty</stp>
        <tr r="G606" s="1"/>
      </tp>
      <tp>
        <v>1000</v>
        <stp/>
        <stp>nse_cm|SCL24-ZD</stp>
        <stp>Face Value</stp>
        <tr r="Q956" s="1"/>
      </tp>
      <tp t="s">
        <v>NSE</v>
        <stp/>
        <stp>nse_cm|10CAGL27-N5</stp>
        <stp>Exchange</stp>
        <tr r="C273" s="1"/>
      </tp>
      <tp>
        <v>0</v>
        <stp/>
        <stp>nse_cm|96SCL25-AA</stp>
        <stp>% Change</stp>
        <tr r="J1067" s="1"/>
      </tp>
      <tp t="s">
        <v>INE148I07RO4</v>
        <stp/>
        <stp>nse_cm|971SCL28B-YD</stp>
        <stp>Isin code</stp>
        <tr r="R828" s="1"/>
      </tp>
      <tp>
        <v>850</v>
        <stp/>
        <stp>nse_cm|990SCL27-YT</stp>
        <stp>Bid Rate</stp>
        <tr r="E1024" s="1"/>
      </tp>
      <tp t="s">
        <v>INE148I07OI3</v>
        <stp/>
        <stp>nse_cm|920SCL23A-AO</stp>
        <stp>Isin code</stp>
        <tr r="R1113" s="1"/>
      </tp>
      <tp t="s">
        <v>INE148I07MT4</v>
        <stp/>
        <stp>nse_cm|894SCL25A-ZI</stp>
        <stp>Isin code</stp>
        <tr r="R963" s="1"/>
      </tp>
      <tp t="s">
        <v>NSE</v>
        <stp/>
        <stp>nse_cm|10IIFL28-N4</stp>
        <stp>Exchange</stp>
        <tr r="C42" s="1"/>
      </tp>
      <tp>
        <v>2330</v>
        <stp/>
        <stp>nse_cm|IFCIZC25-NM</stp>
        <stp xml:space="preserve">Low </stp>
        <tr r="O1765" s="1"/>
      </tp>
      <tp>
        <v>0</v>
        <stp/>
        <stp>bse_cm|9SCFL25</stp>
        <stp>Ask Qty</stp>
        <tr r="G1505" s="1"/>
      </tp>
      <tp t="s">
        <v>NSE</v>
        <stp/>
        <stp>nse_cm|10IIFL29-N6</stp>
        <stp>Exchange</stp>
        <tr r="C193" s="1"/>
      </tp>
      <tp>
        <v>50</v>
        <stp/>
        <stp>nse_cm|872MMFSL26-N1</stp>
        <stp>Volume Traded Today</stp>
        <tr r="L404" s="1"/>
      </tp>
      <tp>
        <v>150</v>
        <stp/>
        <stp>bse_cm|DLSL25A</stp>
        <stp>Bid Qty</stp>
        <tr r="D1734" s="1"/>
      </tp>
      <tp t="s">
        <v>NSE</v>
        <stp/>
        <stp>nse_cm|10IFSL26-N7</stp>
        <stp>Exchange</stp>
        <tr r="C293" s="1"/>
      </tp>
      <tp>
        <v>2516</v>
        <stp/>
        <stp>nse_cm|IFCIZC24-NI</stp>
        <stp xml:space="preserve">Low </stp>
        <tr r="O1768" s="1"/>
      </tp>
      <tp t="s">
        <v>NSE</v>
        <stp/>
        <stp>nse_cm|10ISFL26-N3</stp>
        <stp>Exchange</stp>
        <tr r="C1527" s="1"/>
      </tp>
      <tp t="s">
        <v>NSE</v>
        <stp/>
        <stp>nse_cm|875CIFC23B-NJ</stp>
        <stp>Exchange</stp>
        <tr r="C346" s="1"/>
      </tp>
      <tp t="s">
        <v>865TCAPS27</v>
        <stp/>
        <stp>nse_cm|865TCAPS27-N8</stp>
        <stp>Symbol</stp>
        <tr r="A376" s="1"/>
      </tp>
      <tp t="s">
        <v>885TCAPS29</v>
        <stp/>
        <stp>nse_cm|885TCAPS29-NC</stp>
        <stp>Symbol</stp>
        <tr r="A13" s="1"/>
      </tp>
      <tp t="s">
        <v>CCILZC25A</v>
        <stp/>
        <stp>bse_cm|CCILZC25A</stp>
        <stp>Trading Symbol</stp>
        <tr r="B749" s="1"/>
      </tp>
      <tp>
        <v>995</v>
        <stp/>
        <stp>nse_cm|1049DLSL25-NX</stp>
        <stp>Ask Rate</stp>
        <tr r="F43" s="1"/>
      </tp>
      <tp t="s">
        <v>750IRFC35-NK</v>
        <stp/>
        <stp>nse_cm|750IRFC35-NK</stp>
        <stp>Trading Symbol</stp>
        <tr r="B485" s="1"/>
      </tp>
      <tp t="s">
        <v>1035UCL24-N6</v>
        <stp/>
        <stp>nse_cm|1035UCL24-N6</stp>
        <stp>Trading Symbol</stp>
        <tr r="B591" s="1"/>
      </tp>
      <tp>
        <v>-100</v>
        <stp/>
        <stp>bse_cm|865SCL24B</stp>
        <stp>% Change</stp>
        <tr r="J953" s="1"/>
      </tp>
      <tp t="s">
        <v>901HUDCO34</v>
        <stp/>
        <stp>nse_cm|901HUDCO34-NE</stp>
        <stp>Symbol</stp>
        <tr r="A517" s="1"/>
      </tp>
      <tp>
        <v>1292</v>
        <stp/>
        <stp>nse_cm|880IREDA34-N6</stp>
        <stp xml:space="preserve">Low </stp>
        <tr r="O511" s="1"/>
      </tp>
      <tp t="s">
        <v>1050IIFL29</v>
        <stp/>
        <stp>nse_cm|1050IIFL29-ND</stp>
        <stp>Symbol</stp>
        <tr r="A585" s="1"/>
      </tp>
      <tp>
        <v>1165</v>
        <stp/>
        <stp>nse_cm|880IREDA29-N5</stp>
        <stp xml:space="preserve">Low </stp>
        <tr r="O510" s="1"/>
      </tp>
      <tp>
        <v>1245.72</v>
        <stp/>
        <stp>nse_cm|855IREDA34-N3</stp>
        <stp xml:space="preserve">Low </stp>
        <tr r="O558" s="1"/>
      </tp>
      <tp>
        <v>1137.0999999999999</v>
        <stp/>
        <stp>nse_cm|855IREDA29-N2</stp>
        <stp xml:space="preserve">Low </stp>
        <tr r="O505" s="1"/>
      </tp>
      <tp t="s">
        <v>1003IIFL29</v>
        <stp/>
        <stp>nse_cm|1003IIFL29-NC</stp>
        <stp>Symbol</stp>
        <tr r="A1077" s="1"/>
      </tp>
      <tp t="s">
        <v>00:00:00</v>
        <stp/>
        <stp>bse_cm|105UCL2026</stp>
        <stp>LTT</stp>
        <tr r="I319" s="1"/>
      </tp>
      <tp>
        <v>0</v>
        <stp/>
        <stp>bse_cm|105UCL2026</stp>
        <stp>LTP</stp>
        <tr r="H319" s="1"/>
      </tp>
      <tp t="s">
        <v>INE148I07MP2</v>
        <stp/>
        <stp>bse_cm|SCL22</stp>
        <stp>Isin code</stp>
        <tr r="R1239" s="1"/>
      </tp>
      <tp>
        <v>1150</v>
        <stp/>
        <stp>nse_cm|774IREDA31-N7</stp>
        <stp xml:space="preserve">Low </stp>
        <tr r="O18" s="1"/>
      </tp>
      <tp t="s">
        <v>872MMFSL26</v>
        <stp/>
        <stp>bse_cm|872MMFSL26</stp>
        <stp>Symbol</stp>
        <tr r="A406" s="1"/>
      </tp>
      <tp>
        <v>1014.13</v>
        <stp/>
        <stp>nse_cm|99AEL29-N7</stp>
        <stp>ATP</stp>
        <tr r="K246" s="1"/>
      </tp>
      <tp t="s">
        <v>791JMFPL26</v>
        <stp/>
        <stp>bse_cm|791JMFPL26</stp>
        <stp>Symbol</stp>
        <tr r="A276" s="1"/>
      </tp>
      <tp>
        <v>918</v>
        <stp/>
        <stp>nse_cm|1015SCL28A-AL</stp>
        <stp xml:space="preserve">Low </stp>
        <tr r="O1443" s="1"/>
      </tp>
      <tp t="s">
        <v>RFLNIFT25</v>
        <stp/>
        <stp>bse_cm|RFLNIFT25</stp>
        <stp>Trading Symbol</stp>
        <tr r="B1242" s="1"/>
      </tp>
      <tp t="s">
        <v>775MFLTD28</v>
        <stp/>
        <stp>bse_cm|775MFLTD28</stp>
        <stp>Symbol</stp>
        <tr r="A1192" s="1"/>
      </tp>
      <tp t="s">
        <v>775MFLTD25</v>
        <stp/>
        <stp>bse_cm|775MFLTD25</stp>
        <stp>Symbol</stp>
        <tr r="A649" s="1"/>
      </tp>
      <tp t="s">
        <v>775MFLTD26</v>
        <stp/>
        <stp>bse_cm|775MFLTD26</stp>
        <stp>Symbol</stp>
        <tr r="A652" s="1"/>
      </tp>
      <tp t="s">
        <v>0SMCGSL27</v>
        <stp/>
        <stp>bse_cm|0SMCGSL27</stp>
        <stp>Trading Symbol</stp>
        <tr r="B1532" s="1"/>
      </tp>
      <tp t="s">
        <v>0SMCGSL26</v>
        <stp/>
        <stp>bse_cm|0SMCGSL26</stp>
        <stp>Trading Symbol</stp>
        <tr r="B589" s="1"/>
      </tp>
      <tp t="s">
        <v>IIFLZC25C-N8</v>
        <stp/>
        <stp>nse_cm|IIFLZC25C-N8</stp>
        <stp>Trading Symbol</stp>
        <tr r="B1748" s="1"/>
      </tp>
      <tp t="s">
        <v>IIFLZC28C-N6</v>
        <stp/>
        <stp>nse_cm|IIFLZC28C-N6</stp>
        <stp>Trading Symbol</stp>
        <tr r="B1656" s="1"/>
      </tp>
      <tp>
        <v>1000</v>
        <stp/>
        <stp>nse_cm|1015SCL28B-AZ</stp>
        <stp xml:space="preserve">Low </stp>
        <tr r="O1614" s="1"/>
      </tp>
      <tp t="s">
        <v>NSE</v>
        <stp/>
        <stp>nse_cm|905PEL26-N1</stp>
        <stp>Exchange</stp>
        <tr r="C500" s="1"/>
      </tp>
      <tp>
        <v>1001</v>
        <stp/>
        <stp>nse_cm|897MOFSL29-N4</stp>
        <stp>LTP</stp>
        <tr r="H296" s="1"/>
      </tp>
      <tp t="s">
        <v>10:32:51</v>
        <stp/>
        <stp>nse_cm|897MOFSL29-N4</stp>
        <stp>LTT</stp>
        <tr r="I296" s="1"/>
      </tp>
      <tp>
        <v>-0.16</v>
        <stp/>
        <stp>nse_cm|948SCL26I-AX</stp>
        <stp>% Change</stp>
        <tr r="J1708" s="1"/>
      </tp>
      <tp>
        <v>0</v>
        <stp/>
        <stp>bse_cm|MFL31</stp>
        <stp>Volume Traded Today</stp>
        <tr r="L701" s="1"/>
      </tp>
      <tp>
        <v>0</v>
        <stp/>
        <stp>bse_cm|MFL30</stp>
        <stp>Volume Traded Today</stp>
        <tr r="L1460" s="1"/>
      </tp>
      <tp>
        <v>0</v>
        <stp/>
        <stp>bse_cm|MML30</stp>
        <stp>Volume Traded Today</stp>
        <tr r="L1525" s="1"/>
      </tp>
      <tp>
        <v>0</v>
        <stp/>
        <stp>bse_cm|KAFLZC30</stp>
        <stp>Open</stp>
        <tr r="M1314" s="1"/>
      </tp>
      <tp>
        <v>0</v>
        <stp/>
        <stp>bse_cm|KFL31</stp>
        <stp>Volume Traded Today</stp>
        <tr r="L1297" s="1"/>
      </tp>
      <tp>
        <v>0</v>
        <stp/>
        <stp>bse_cm|KFL30</stp>
        <stp>Volume Traded Today</stp>
        <tr r="L1298" s="1"/>
      </tp>
      <tp>
        <v>0</v>
        <stp/>
        <stp>bse_cm|MFL29A</stp>
        <stp>Ask Rate</stp>
        <tr r="F1380" s="1"/>
      </tp>
      <tp>
        <v>0</v>
        <stp/>
        <stp>bse_cm|SFL30</stp>
        <stp>Volume Traded Today</stp>
        <tr r="L1597" s="1"/>
      </tp>
      <tp>
        <v>0</v>
        <stp/>
        <stp>bse_cm|MFL29</stp>
        <stp>Volume Traded Today</stp>
        <tr r="L1598" s="1"/>
      </tp>
      <tp>
        <v>0</v>
        <stp/>
        <stp>bse_cm|MFL28</stp>
        <stp>Volume Traded Today</stp>
        <tr r="L1638" s="1"/>
      </tp>
      <tp>
        <v>0</v>
        <stp/>
        <stp>bse_cm|MML28</stp>
        <stp>Volume Traded Today</stp>
        <tr r="L584" s="1"/>
      </tp>
      <tp>
        <v>0</v>
        <stp/>
        <stp>bse_cm|IML29</stp>
        <stp>Volume Traded Today</stp>
        <tr r="L1528" s="1"/>
      </tp>
      <tp>
        <v>0</v>
        <stp/>
        <stp>bse_cm|IML28</stp>
        <stp>Volume Traded Today</stp>
        <tr r="L1458" s="1"/>
      </tp>
      <tp>
        <v>0</v>
        <stp/>
        <stp>bse_cm|KFL29</stp>
        <stp>Volume Traded Today</stp>
        <tr r="L1619" s="1"/>
      </tp>
      <tp>
        <v>0</v>
        <stp/>
        <stp>bse_cm|KFL27</stp>
        <stp>Volume Traded Today</stp>
        <tr r="L1303" s="1"/>
      </tp>
      <tp>
        <v>0</v>
        <stp/>
        <stp>bse_cm|IML25</stp>
        <stp>Volume Traded Today</stp>
        <tr r="L1326" s="1"/>
      </tp>
      <tp>
        <v>0</v>
        <stp/>
        <stp>bse_cm|KFL26</stp>
        <stp>Volume Traded Today</stp>
        <tr r="L1306" s="1"/>
      </tp>
      <tp t="e">
        <v>#N/A</v>
        <stp/>
        <stp>bse_cm|IML24</stp>
        <stp>Volume Traded Today</stp>
        <tr r="L34" s="1"/>
      </tp>
      <tp>
        <v>0</v>
        <stp/>
        <stp>bse_cm|KFL25</stp>
        <stp>Volume Traded Today</stp>
        <tr r="L1309" s="1"/>
      </tp>
      <tp>
        <v>0</v>
        <stp/>
        <stp>bse_cm|MFL23</stp>
        <stp>Volume Traded Today</stp>
        <tr r="L1668" s="1"/>
      </tp>
      <tp>
        <v>0</v>
        <stp/>
        <stp>bse_cm|IML27</stp>
        <stp>Volume Traded Today</stp>
        <tr r="L1325" s="1"/>
      </tp>
      <tp>
        <v>0</v>
        <stp/>
        <stp>bse_cm|MFL25</stp>
        <stp>Volume Traded Today</stp>
        <tr r="L1733" s="1"/>
      </tp>
      <tp>
        <v>0</v>
        <stp/>
        <stp>bse_cm|MML25</stp>
        <stp>Volume Traded Today</stp>
        <tr r="L1253" s="1"/>
      </tp>
      <tp>
        <v>0</v>
        <stp/>
        <stp>bse_cm|MML24</stp>
        <stp>Volume Traded Today</stp>
        <tr r="L1740" s="1"/>
      </tp>
      <tp>
        <v>0</v>
        <stp/>
        <stp>bse_cm|MFL27</stp>
        <stp>Volume Traded Today</stp>
        <tr r="L1563" s="1"/>
      </tp>
      <tp>
        <v>0</v>
        <stp/>
        <stp>bse_cm|MFL26</stp>
        <stp>Volume Traded Today</stp>
        <tr r="L1666" s="1"/>
      </tp>
      <tp>
        <v>0</v>
        <stp/>
        <stp>bse_cm|MML26</stp>
        <stp>Volume Traded Today</stp>
        <tr r="L1410" s="1"/>
      </tp>
      <tp>
        <v>0</v>
        <stp/>
        <stp>bse_cm|SFL27</stp>
        <stp>Volume Traded Today</stp>
        <tr r="L809" s="1"/>
      </tp>
      <tp>
        <v>0</v>
        <stp/>
        <stp>bse_cm|SFL26</stp>
        <stp>Volume Traded Today</stp>
        <tr r="L811" s="1"/>
      </tp>
      <tp>
        <v>0</v>
        <stp/>
        <stp>bse_cm|SFL25</stp>
        <stp>Volume Traded Today</stp>
        <tr r="L813" s="1"/>
      </tp>
      <tp>
        <v>0</v>
        <stp/>
        <stp>bse_cm|SCL25</stp>
        <stp>Volume Traded Today</stp>
        <tr r="L1234" s="1"/>
      </tp>
      <tp>
        <v>0</v>
        <stp/>
        <stp>bse_cm|SCL24</stp>
        <stp>Volume Traded Today</stp>
        <tr r="L1377" s="1"/>
      </tp>
      <tp>
        <v>0</v>
        <stp/>
        <stp>bse_cm|SCL22</stp>
        <stp>Volume Traded Today</stp>
        <tr r="L1239" s="1"/>
      </tp>
      <tp>
        <v>0</v>
        <stp/>
        <stp>bse_cm|SFL28</stp>
        <stp>Volume Traded Today</stp>
        <tr r="L803" s="1"/>
      </tp>
      <tp>
        <v>-100</v>
        <stp/>
        <stp>nse_cm|888SCL25A-AQ</stp>
        <stp>% Change</stp>
        <tr r="J910" s="1"/>
      </tp>
      <tp t="s">
        <v>NSE</v>
        <stp/>
        <stp>nse_cm|902SCL26-N8</stp>
        <stp>Exchange</stp>
        <tr r="C968" s="1"/>
      </tp>
      <tp>
        <v>-100</v>
        <stp/>
        <stp>bse_cm|9SFL25A</stp>
        <stp>% Change</stp>
        <tr r="J441" s="1"/>
      </tp>
      <tp t="s">
        <v>865MF25</v>
        <stp/>
        <stp>bse_cm|865MF25</stp>
        <stp>Symbol</stp>
        <tr r="A111" s="1"/>
      </tp>
      <tp>
        <v>0</v>
        <stp/>
        <stp>bse_cm|99SCL27</stp>
        <stp>Ask Qty</stp>
        <tr r="G1169" s="1"/>
      </tp>
      <tp>
        <v>0</v>
        <stp/>
        <stp>bse_cm|98SCL34</stp>
        <stp>Ask Qty</stp>
        <tr r="G1053" s="1"/>
      </tp>
      <tp>
        <v>44</v>
        <stp/>
        <stp>bse_cm|99AEL29</stp>
        <stp>Ask Qty</stp>
        <tr r="G243" s="1"/>
      </tp>
      <tp t="s">
        <v>11IML27</v>
        <stp/>
        <stp>bse_cm|11IML27</stp>
        <stp>Symbol</stp>
        <tr r="A177" s="1"/>
      </tp>
      <tp t="s">
        <v>11IML26</v>
        <stp/>
        <stp>bse_cm|11IML26</stp>
        <stp>Symbol</stp>
        <tr r="A1132" s="1"/>
      </tp>
      <tp t="s">
        <v>11MML28</v>
        <stp/>
        <stp>bse_cm|11MML28</stp>
        <stp>Symbol</stp>
        <tr r="A1131" s="1"/>
      </tp>
      <tp t="s">
        <v>12IML26</v>
        <stp/>
        <stp>bse_cm|12IML26</stp>
        <stp>Symbol</stp>
        <tr r="A1494" s="1"/>
      </tp>
      <tp>
        <v>0</v>
        <stp/>
        <stp>bse_cm|98SCL27</stp>
        <stp>Ask Qty</stp>
        <tr r="G1545" s="1"/>
      </tp>
      <tp>
        <v>0</v>
        <stp/>
        <stp>nse_cm|948SCL26D-AI</stp>
        <stp>% Change</stp>
        <tr r="J1690" s="1"/>
      </tp>
      <tp>
        <v>0</v>
        <stp/>
        <stp>bse_cm|93SCL24</stp>
        <stp>Ask Qty</stp>
        <tr r="G945" s="1"/>
      </tp>
      <tp>
        <v>0</v>
        <stp/>
        <stp>bse_cm|93SCL25</stp>
        <stp>Ask Qty</stp>
        <tr r="G729" s="1"/>
      </tp>
      <tp>
        <v>0</v>
        <stp/>
        <stp>nse_cm|940SCL26-N6</stp>
        <stp>Ask Rate</stp>
        <tr r="F921" s="1"/>
      </tp>
      <tp>
        <v>0</v>
        <stp/>
        <stp>nse_cm|801TCH28-N7</stp>
        <stp>Ask Rate</stp>
        <tr r="F1181" s="1"/>
      </tp>
      <tp>
        <v>0</v>
        <stp/>
        <stp>bse_cm|925FL27</stp>
        <stp>Ask Qty</stp>
        <tr r="G615" s="1"/>
      </tp>
      <tp>
        <v>50</v>
        <stp/>
        <stp>bse_cm|91SFL27</stp>
        <stp>Ask Qty</stp>
        <tr r="G574" s="1"/>
      </tp>
      <tp>
        <v>1002.95</v>
        <stp/>
        <stp>nse_cm|801TCH25-N4</stp>
        <stp>Ask Rate</stp>
        <tr r="F493" s="1"/>
      </tp>
      <tp>
        <v>20</v>
        <stp/>
        <stp>bse_cm|97SFL26</stp>
        <stp>Ask Qty</stp>
        <tr r="G405" s="1"/>
      </tp>
      <tp>
        <v>100</v>
        <stp/>
        <stp>bse_cm|97SFL28</stp>
        <stp>Ask Qty</stp>
        <tr r="G23" s="1"/>
      </tp>
      <tp>
        <v>10</v>
        <stp/>
        <stp>bse_cm|97SFL29</stp>
        <stp>Ask Qty</stp>
        <tr r="G21" s="1"/>
      </tp>
      <tp>
        <v>0</v>
        <stp/>
        <stp>bse_cm|96SCL25</stp>
        <stp>Ask Qty</stp>
        <tr r="G1068" s="1"/>
      </tp>
      <tp>
        <v>0</v>
        <stp/>
        <stp>bse_cm|96MFL25</stp>
        <stp>Ask Qty</stp>
        <tr r="G1392" s="1"/>
      </tp>
      <tp>
        <v>0</v>
        <stp/>
        <stp>bse_cm|95MFL25</stp>
        <stp>Ask Qty</stp>
        <tr r="G1420" s="1"/>
      </tp>
      <tp>
        <v>50</v>
        <stp/>
        <stp>bse_cm|95KFL26</stp>
        <stp>Ask Qty</stp>
        <tr r="G253" s="1"/>
      </tp>
      <tp>
        <v>0</v>
        <stp/>
        <stp>bse_cm|95KFL27</stp>
        <stp>Ask Qty</stp>
        <tr r="G607" s="1"/>
      </tp>
      <tp>
        <v>0</v>
        <stp/>
        <stp>bse_cm|94SCL27</stp>
        <stp>Ask Qty</stp>
        <tr r="G1152" s="1"/>
      </tp>
      <tp>
        <v>100</v>
        <stp/>
        <stp>bse_cm|94SFL28</stp>
        <stp>Ask Qty</stp>
        <tr r="G24" s="1"/>
      </tp>
      <tp>
        <v>201</v>
        <stp/>
        <stp>bse_cm|94MFL27</stp>
        <stp>Ask Qty</stp>
        <tr r="G189" s="1"/>
      </tp>
      <tp>
        <v>799</v>
        <stp/>
        <stp>nse_cm|948SCL26-N9</stp>
        <stp>Ask Rate</stp>
        <tr r="F1632" s="1"/>
      </tp>
      <tp>
        <v>995</v>
        <stp/>
        <stp>bse_cm|886ONE25</stp>
        <stp>Prev Close</stp>
        <tr r="P723" s="1"/>
      </tp>
      <tp>
        <v>985</v>
        <stp/>
        <stp>bse_cm|891ONE25</stp>
        <stp>Prev Close</stp>
        <tr r="P1339" s="1"/>
      </tp>
      <tp>
        <v>1000</v>
        <stp/>
        <stp>bse_cm|898ONE26</stp>
        <stp>Prev Close</stp>
        <tr r="P1154" s="1"/>
      </tp>
      <tp>
        <v>0</v>
        <stp/>
        <stp>bse_cm|KFLZC28A</stp>
        <stp>Open</stp>
        <tr r="M1289" s="1"/>
      </tp>
      <tp>
        <v>875</v>
        <stp/>
        <stp>nse_cm|96SFL24A-NB</stp>
        <stp xml:space="preserve">Low </stp>
        <tr r="O162" s="1"/>
      </tp>
      <tp>
        <v>1024</v>
        <stp/>
        <stp>bse_cm|10CAGL27</stp>
        <stp>Prev Close</stp>
        <tr r="P282" s="1"/>
      </tp>
      <tp>
        <v>1000</v>
        <stp/>
        <stp>nse_cm|CIFC26A-N9</stp>
        <stp>Face Value</stp>
        <tr r="Q739" s="1"/>
      </tp>
      <tp>
        <v>0</v>
        <stp/>
        <stp>bse_cm|KFLZC28B</stp>
        <stp>Open</stp>
        <tr r="M1288" s="1"/>
      </tp>
      <tp>
        <v>0</v>
        <stp/>
        <stp>bse_cm|967EFS28</stp>
        <stp>LTP</stp>
        <tr r="H190" s="1"/>
      </tp>
      <tp t="s">
        <v>00:00:00</v>
        <stp/>
        <stp>bse_cm|967EFS28</stp>
        <stp>LTT</stp>
        <tr r="I190" s="1"/>
      </tp>
      <tp>
        <v>1135</v>
        <stp/>
        <stp>bse_cm|76NHAI31</stp>
        <stp>Prev Close</stp>
        <tr r="P478" s="1"/>
      </tp>
      <tp t="s">
        <v>BSE</v>
        <stp/>
        <stp>bse_cm|CAGL28</stp>
        <stp>Exchange</stp>
        <tr r="C757" s="1"/>
      </tp>
      <tp>
        <v>0</v>
        <stp/>
        <stp>bse_cm|KFLZC28C</stp>
        <stp>Open</stp>
        <tr r="M1287" s="1"/>
      </tp>
      <tp t="s">
        <v>9SFL25A</v>
        <stp/>
        <stp>bse_cm|9SFL25A</stp>
        <stp>Symbol</stp>
        <tr r="A441" s="1"/>
      </tp>
      <tp t="s">
        <v>9SFL26A</v>
        <stp/>
        <stp>bse_cm|9SFL26A</stp>
        <stp>Symbol</stp>
        <tr r="A1065" s="1"/>
      </tp>
      <tp t="s">
        <v>9SCL26B</v>
        <stp/>
        <stp>bse_cm|9SCL26B</stp>
        <stp>Symbol</stp>
        <tr r="A1135" s="1"/>
      </tp>
      <tp t="s">
        <v>9MFL27A</v>
        <stp/>
        <stp>bse_cm|9MFL27A</stp>
        <stp>Symbol</stp>
        <tr r="A257" s="1"/>
      </tp>
      <tp t="s">
        <v>9MFL25A</v>
        <stp/>
        <stp>bse_cm|9MFL25A</stp>
        <stp>Symbol</stp>
        <tr r="A702" s="1"/>
      </tp>
      <tp t="s">
        <v>9KFL26A</v>
        <stp/>
        <stp>bse_cm|9KFL26A</stp>
        <stp>Symbol</stp>
        <tr r="A1083" s="1"/>
      </tp>
      <tp t="s">
        <v>9KFL26B</v>
        <stp/>
        <stp>bse_cm|9KFL26B</stp>
        <stp>Symbol</stp>
        <tr r="A667" s="1"/>
      </tp>
      <tp t="s">
        <v>BSE</v>
        <stp/>
        <stp>bse_cm|CIFC26</stp>
        <stp>Exchange</stp>
        <tr r="C742" s="1"/>
      </tp>
      <tp t="s">
        <v>8MFL24A</v>
        <stp/>
        <stp>bse_cm|8MFL24A</stp>
        <stp>Symbol</stp>
        <tr r="A1549" s="1"/>
      </tp>
      <tp t="s">
        <v>9MFL30A</v>
        <stp/>
        <stp>bse_cm|9MFL30A</stp>
        <stp>Symbol</stp>
        <tr r="A289" s="1"/>
      </tp>
      <tp>
        <v>0</v>
        <stp/>
        <stp>bse_cm|MFLZC28E</stp>
        <stp>Open</stp>
        <tr r="M1269" s="1"/>
      </tp>
      <tp>
        <v>950</v>
        <stp/>
        <stp>bse_cm|9SCL26BA</stp>
        <stp>LTP</stp>
        <tr r="H160" s="1"/>
      </tp>
      <tp t="s">
        <v>00:00:00</v>
        <stp/>
        <stp>bse_cm|9SCL26BA</stp>
        <stp>LTT</stp>
        <tr r="I160" s="1"/>
      </tp>
      <tp>
        <v>0</v>
        <stp/>
        <stp>bse_cm|MFLZC28F</stp>
        <stp>Open</stp>
        <tr r="M1268" s="1"/>
      </tp>
      <tp>
        <v>1159.5</v>
        <stp/>
        <stp>nse_cm|948ICCL25A-NG</stp>
        <stp>Prev Close</stp>
        <tr r="P1736" s="1"/>
      </tp>
      <tp>
        <v>1000</v>
        <stp/>
        <stp>bse_cm|105UCL2026</stp>
        <stp>Face Value</stp>
        <tr r="Q319" s="1"/>
      </tp>
      <tp>
        <v>870.2</v>
        <stp/>
        <stp>nse_cm|772IGT31-NK</stp>
        <stp>Bid Rate</stp>
        <tr r="E1193" s="1"/>
      </tp>
      <tp>
        <v>1014.8</v>
        <stp/>
        <stp>bse_cm|58PFCL26</stp>
        <stp>Prev Close</stp>
        <tr r="P369" s="1"/>
      </tp>
      <tp>
        <v>250</v>
        <stp/>
        <stp>bse_cm|8ABFL26</stp>
        <stp>Ask Qty</stp>
        <tr r="G539" s="1"/>
      </tp>
      <tp t="s">
        <v>BSE</v>
        <stp/>
        <stp>bse_cm|CIFC28</stp>
        <stp>Exchange</stp>
        <tr r="C1529" s="1"/>
      </tp>
      <tp t="s">
        <v>BSE</v>
        <stp/>
        <stp>bse_cm|CAGL27</stp>
        <stp>Exchange</stp>
        <tr r="C734" s="1"/>
      </tp>
      <tp t="s">
        <v>0SFL29A</v>
        <stp/>
        <stp>bse_cm|0SFL29A</stp>
        <stp>Symbol</stp>
        <tr r="A1033" s="1"/>
      </tp>
      <tp t="s">
        <v>0SFL27A</v>
        <stp/>
        <stp>bse_cm|0SFL27A</stp>
        <stp>Symbol</stp>
        <tr r="A1034" s="1"/>
      </tp>
      <tp t="s">
        <v>BSE</v>
        <stp/>
        <stp>bse_cm|CAGL26</stp>
        <stp>Exchange</stp>
        <tr r="C708" s="1"/>
      </tp>
      <tp t="s">
        <v>0MML29A</v>
        <stp/>
        <stp>bse_cm|0MML29A</stp>
        <stp>Symbol</stp>
        <tr r="A1040" s="1"/>
      </tp>
      <tp>
        <v>1000</v>
        <stp/>
        <stp>nse_cm|9SFL25A-ZH</stp>
        <stp>Face Value</stp>
        <tr r="Q463" s="1"/>
      </tp>
      <tp t="s">
        <v>BSE</v>
        <stp/>
        <stp>bse_cm|CAGL25</stp>
        <stp>Exchange</stp>
        <tr r="C1061" s="1"/>
      </tp>
      <tp t="s">
        <v>BSE</v>
        <stp/>
        <stp>bse_cm|CAGL24</stp>
        <stp>Exchange</stp>
        <tr r="C1761" s="1"/>
      </tp>
      <tp>
        <v>1000</v>
        <stp/>
        <stp>nse_cm|SCL25-Y6</stp>
        <stp>Face Value</stp>
        <tr r="Q1753" s="1"/>
      </tp>
      <tp>
        <v>0</v>
        <stp/>
        <stp>nse_cm|CIF27-NM</stp>
        <stp>ATP</stp>
        <tr r="K1665" s="1"/>
      </tp>
      <tp>
        <v>0</v>
        <stp/>
        <stp>nse_cm|CIF29-NO</stp>
        <stp>ATP</stp>
        <tr r="K743" s="1"/>
      </tp>
      <tp t="s">
        <v>NSE</v>
        <stp/>
        <stp>nse_cm|81ABFL33-N5</stp>
        <stp>Exchange</stp>
        <tr r="C1588" s="1"/>
      </tp>
      <tp>
        <v>180</v>
        <stp/>
        <stp>bse_cm|EFSL25A</stp>
        <stp>Bid Qty</stp>
        <tr r="D1706" s="1"/>
      </tp>
      <tp>
        <v>1</v>
        <stp/>
        <stp>bse_cm|EFSL25B</stp>
        <stp>Bid Qty</stp>
        <tr r="D1682" s="1"/>
      </tp>
      <tp>
        <v>0</v>
        <stp/>
        <stp>nse_cm|SCL22-ZC</stp>
        <stp>Ask Rate</stp>
        <tr r="F955" s="1"/>
      </tp>
      <tp>
        <v>1000</v>
        <stp/>
        <stp>bse_cm|825MFL2026</stp>
        <stp>Face Value</stp>
        <tr r="Q318" s="1"/>
      </tp>
      <tp>
        <v>1000</v>
        <stp/>
        <stp>bse_cm|785MFL2028</stp>
        <stp>Face Value</stp>
        <tr r="Q357" s="1"/>
      </tp>
      <tp>
        <v>1000</v>
        <stp/>
        <stp>bse_cm|775MFL2026</stp>
        <stp>Face Value</stp>
        <tr r="Q240" s="1"/>
      </tp>
      <tp>
        <v>1000</v>
        <stp/>
        <stp>bse_cm|775MFL2025</stp>
        <stp>Face Value</stp>
        <tr r="Q336" s="1"/>
      </tp>
      <tp>
        <v>160</v>
        <stp/>
        <stp>bse_cm|EFSL24C</stp>
        <stp>Bid Qty</stp>
        <tr r="D1755" s="1"/>
      </tp>
      <tp>
        <v>88</v>
        <stp/>
        <stp>bse_cm|EFSL27A</stp>
        <stp>Bid Qty</stp>
        <tr r="D1649" s="1"/>
      </tp>
      <tp>
        <v>170</v>
        <stp/>
        <stp>bse_cm|EFSL26D</stp>
        <stp>Bid Qty</stp>
        <tr r="D1617" s="1"/>
      </tp>
      <tp>
        <v>3</v>
        <stp/>
        <stp>bse_cm|EFSL26A</stp>
        <stp>Bid Qty</stp>
        <tr r="D1567" s="1"/>
      </tp>
      <tp>
        <v>10</v>
        <stp/>
        <stp>bse_cm|EFSL26C</stp>
        <stp>Bid Qty</stp>
        <tr r="D1650" s="1"/>
      </tp>
      <tp>
        <v>180</v>
        <stp/>
        <stp>bse_cm|EFSL26B</stp>
        <stp>Bid Qty</stp>
        <tr r="D1564" s="1"/>
      </tp>
      <tp t="s">
        <v>NSE</v>
        <stp/>
        <stp>nse_cm|915SCL26-NE</stp>
        <stp>Exchange</stp>
        <tr r="C58" s="1"/>
      </tp>
      <tp>
        <v>1000</v>
        <stp/>
        <stp>bse_cm|975MFL24BB</stp>
        <stp>Face Value</stp>
        <tr r="Q552" s="1"/>
      </tp>
      <tp>
        <v>0</v>
        <stp/>
        <stp>nse_cm|SCL24-ZD</stp>
        <stp>Ask Rate</stp>
        <tr r="F956" s="1"/>
      </tp>
      <tp t="s">
        <v>INE148I07MS6</v>
        <stp/>
        <stp>nse_cm|955SCL27A-ZJ</stp>
        <stp>Isin code</stp>
        <tr r="R1437" s="1"/>
      </tp>
      <tp t="s">
        <v>INE148I07QH0</v>
        <stp/>
        <stp>nse_cm|940SCL26A-NK</stp>
        <stp>Isin code</stp>
        <tr r="R906" s="1"/>
      </tp>
      <tp t="s">
        <v>INE148I07TL6</v>
        <stp/>
        <stp>nse_cm|948SCL27A-ZJ</stp>
        <stp>Isin code</stp>
        <tr r="R845" s="1"/>
      </tp>
      <tp t="s">
        <v>INE148I07QG2</v>
        <stp/>
        <stp>nse_cm|925SCL25A-NH</stp>
        <stp>Isin code</stp>
        <tr r="R715" s="1"/>
      </tp>
      <tp>
        <v>1000</v>
        <stp/>
        <stp>bse_cm|875KFL2025</stp>
        <stp>Face Value</stp>
        <tr r="Q1158" s="1"/>
      </tp>
      <tp>
        <v>0</v>
        <stp/>
        <stp>nse_cm|888SCL26-YP</stp>
        <stp>Bid Rate</stp>
        <tr r="E841" s="1"/>
      </tp>
      <tp>
        <v>905.2</v>
        <stp/>
        <stp>nse_cm|889SCL27-YT</stp>
        <stp>Bid Rate</stp>
        <tr r="E120" s="1"/>
      </tp>
      <tp>
        <v>20</v>
        <stp/>
        <stp>bse_cm|EFSL28A</stp>
        <stp>Bid Qty</stp>
        <tr r="D1335" s="1"/>
      </tp>
      <tp t="s">
        <v>IML25</v>
        <stp/>
        <stp>bse_cm|IML25</stp>
        <stp>Symbol</stp>
        <tr r="A1326" s="1"/>
      </tp>
      <tp t="e">
        <v>#N/A</v>
        <stp/>
        <stp>bse_cm|IML24</stp>
        <stp>Symbol</stp>
        <tr r="A34" s="1"/>
      </tp>
      <tp t="s">
        <v>IML27</v>
        <stp/>
        <stp>bse_cm|IML27</stp>
        <stp>Symbol</stp>
        <tr r="A1325" s="1"/>
      </tp>
      <tp t="s">
        <v>MML25</v>
        <stp/>
        <stp>bse_cm|MML25</stp>
        <stp>Symbol</stp>
        <tr r="A1253" s="1"/>
      </tp>
      <tp t="s">
        <v>MML24</v>
        <stp/>
        <stp>bse_cm|MML24</stp>
        <stp>Symbol</stp>
        <tr r="A1740" s="1"/>
      </tp>
      <tp t="s">
        <v>MML26</v>
        <stp/>
        <stp>bse_cm|MML26</stp>
        <stp>Symbol</stp>
        <tr r="A1410" s="1"/>
      </tp>
      <tp t="s">
        <v>MML28</v>
        <stp/>
        <stp>bse_cm|MML28</stp>
        <stp>Symbol</stp>
        <tr r="A584" s="1"/>
      </tp>
      <tp t="s">
        <v>IML29</v>
        <stp/>
        <stp>bse_cm|IML29</stp>
        <stp>Symbol</stp>
        <tr r="A1528" s="1"/>
      </tp>
      <tp t="s">
        <v>IML28</v>
        <stp/>
        <stp>bse_cm|IML28</stp>
        <stp>Symbol</stp>
        <tr r="A1458" s="1"/>
      </tp>
      <tp t="s">
        <v>MML30</v>
        <stp/>
        <stp>bse_cm|MML30</stp>
        <stp>Symbol</stp>
        <tr r="A1525" s="1"/>
      </tp>
      <tp>
        <v>-100</v>
        <stp/>
        <stp>bse_cm|925SCL25Z</stp>
        <stp>% Change</stp>
        <tr r="J790" s="1"/>
      </tp>
      <tp>
        <v>0</v>
        <stp/>
        <stp>nse_cm|DLSL25A-Y4</stp>
        <stp>Volume Traded Today</stp>
        <tr r="L1732" s="1"/>
      </tp>
      <tp t="s">
        <v>1025UCL25-N8</v>
        <stp/>
        <stp>nse_cm|1025UCL25-N8</stp>
        <stp>Trading Symbol</stp>
        <tr r="B217" s="1"/>
      </tp>
      <tp t="s">
        <v>1040UCL25-N4</v>
        <stp/>
        <stp>nse_cm|1040UCL25-N4</stp>
        <stp>Trading Symbol</stp>
        <tr r="B669" s="1"/>
      </tp>
      <tp t="s">
        <v>1050UCL25-N7</v>
        <stp/>
        <stp>nse_cm|1050UCL25-N7</stp>
        <stp>Trading Symbol</stp>
        <tr r="B201" s="1"/>
      </tp>
      <tp t="s">
        <v>1075UCL25-N9</v>
        <stp/>
        <stp>nse_cm|1075UCL25-N9</stp>
        <stp>Trading Symbol</stp>
        <tr r="B498" s="1"/>
      </tp>
      <tp t="s">
        <v>1075SCL33-YK</v>
        <stp/>
        <stp>nse_cm|1075SCL33-YK</stp>
        <stp>Trading Symbol</stp>
        <tr r="B707" s="1"/>
      </tp>
      <tp t="s">
        <v>1025SCL33-YJ</v>
        <stp/>
        <stp>nse_cm|1025SCL33-YJ</stp>
        <stp>Trading Symbol</stp>
        <tr r="B836" s="1"/>
      </tp>
      <tp>
        <v>-100</v>
        <stp/>
        <stp>bse_cm|965SCL25C</stp>
        <stp>% Change</stp>
        <tr r="J506" s="1"/>
      </tp>
      <tp>
        <v>-100</v>
        <stp/>
        <stp>bse_cm|925SCL25C</stp>
        <stp>% Change</stp>
        <tr r="J676" s="1"/>
      </tp>
      <tp>
        <v>-100</v>
        <stp/>
        <stp>bse_cm|888SCL25B</stp>
        <stp>% Change</stp>
        <tr r="J909" s="1"/>
      </tp>
      <tp>
        <v>0</v>
        <stp/>
        <stp>nse_cm|1015SCFL29-YY</stp>
        <stp>Bid Rate</stp>
        <tr r="E1455" s="1"/>
      </tp>
      <tp>
        <v>-100</v>
        <stp/>
        <stp>bse_cm|965SCL25B</stp>
        <stp>% Change</stp>
        <tr r="J1507" s="1"/>
      </tp>
      <tp>
        <v>-100</v>
        <stp/>
        <stp>bse_cm|925SCL25B</stp>
        <stp>% Change</stp>
        <tr r="J1490" s="1"/>
      </tp>
      <tp>
        <v>-100</v>
        <stp/>
        <stp>bse_cm|965SCL25A</stp>
        <stp>% Change</stp>
        <tr r="J234" s="1"/>
      </tp>
      <tp>
        <v>-100</v>
        <stp/>
        <stp>bse_cm|925SCL25A</stp>
        <stp>% Change</stp>
        <tr r="J1515" s="1"/>
      </tp>
      <tp>
        <v>-100</v>
        <stp/>
        <stp>bse_cm|850SCL25A</stp>
        <stp>% Change</stp>
        <tr r="J1387" s="1"/>
      </tp>
      <tp>
        <v>-100</v>
        <stp/>
        <stp>bse_cm|894SCL25A</stp>
        <stp>% Change</stp>
        <tr r="J1235" s="1"/>
      </tp>
      <tp>
        <v>-100</v>
        <stp/>
        <stp>bse_cm|888SCL25A</stp>
        <stp>% Change</stp>
        <tr r="J911" s="1"/>
      </tp>
      <tp>
        <v>-100</v>
        <stp/>
        <stp>bse_cm|925SCL25G</stp>
        <stp>% Change</stp>
        <tr r="J717" s="1"/>
      </tp>
      <tp>
        <v>-100</v>
        <stp/>
        <stp>bse_cm|965SCL25F</stp>
        <stp>% Change</stp>
        <tr r="J673" s="1"/>
      </tp>
      <tp>
        <v>-100</v>
        <stp/>
        <stp>bse_cm|925SCL25F</stp>
        <stp>% Change</stp>
        <tr r="J719" s="1"/>
      </tp>
      <tp>
        <v>-100</v>
        <stp/>
        <stp>bse_cm|MFLTDVI25</stp>
        <stp>% Change</stp>
        <tr r="J1686" s="1"/>
      </tp>
      <tp>
        <v>-100</v>
        <stp/>
        <stp>bse_cm|965SCL25E</stp>
        <stp>% Change</stp>
        <tr r="J414" s="1"/>
      </tp>
      <tp>
        <v>-100</v>
        <stp/>
        <stp>bse_cm|888SCL25D</stp>
        <stp>% Change</stp>
        <tr r="J788" s="1"/>
      </tp>
      <tp>
        <v>-100</v>
        <stp/>
        <stp>bse_cm|888SCL25E</stp>
        <stp>% Change</stp>
        <tr r="J1356" s="1"/>
      </tp>
      <tp>
        <v>-100</v>
        <stp/>
        <stp>bse_cm|MFLTDII27</stp>
        <stp>% Change</stp>
        <tr r="J297" s="1"/>
      </tp>
      <tp>
        <v>0</v>
        <stp/>
        <stp>nse_cm|CAGL25A-N4</stp>
        <stp>Volume Traded Today</stp>
        <tr r="L709" s="1"/>
      </tp>
      <tp>
        <v>0</v>
        <stp/>
        <stp>nse_cm|CAGL27A-N6</stp>
        <stp>Volume Traded Today</stp>
        <tr r="L758" s="1"/>
      </tp>
      <tp>
        <v>1023</v>
        <stp/>
        <stp>nse_cm|840CIFCL28-N4</stp>
        <stp>High</stp>
        <tr r="N556" s="1"/>
      </tp>
      <tp t="s">
        <v>INE403Q07DY5</v>
        <stp/>
        <stp>bse_cm|925FL27</stp>
        <stp>Isin code</stp>
        <tr r="R615" s="1"/>
      </tp>
      <tp>
        <v>0</v>
        <stp/>
        <stp>nse_cm|850NIRMA27-N7</stp>
        <stp>High</stp>
        <tr r="N1010" s="1"/>
      </tp>
      <tp>
        <v>-100</v>
        <stp/>
        <stp>bse_cm|925SCL25H</stp>
        <stp>% Change</stp>
        <tr r="J886" s="1"/>
      </tp>
      <tp t="s">
        <v>MMFSL26A</v>
        <stp/>
        <stp>bse_cm|MMFSL26A</stp>
        <stp>Symbol</stp>
        <tr r="A1722" s="1"/>
      </tp>
      <tp>
        <v>1175.45</v>
        <stp/>
        <stp>nse_cm|IIFLHFZC27-NB</stp>
        <stp>High</stp>
        <tr r="N1672" s="1"/>
      </tp>
      <tp t="s">
        <v>1030IFSL26</v>
        <stp/>
        <stp>bse_cm|1030IFSL26</stp>
        <stp>Symbol</stp>
        <tr r="A1654" s="1"/>
      </tp>
      <tp t="s">
        <v>853MMFSL26</v>
        <stp/>
        <stp>bse_cm|853MMFSL26</stp>
        <stp>Symbol</stp>
        <tr r="A1005" s="1"/>
      </tp>
      <tp>
        <v>0</v>
        <stp/>
        <stp>nse_cm|9SCL26B-ND</stp>
        <stp>Volume Traded Today</stp>
        <tr r="L994" s="1"/>
      </tp>
      <tp t="s">
        <v>820JMFPL26</v>
        <stp/>
        <stp>bse_cm|820JMFPL26</stp>
        <stp>Symbol</stp>
        <tr r="A349" s="1"/>
      </tp>
      <tp t="s">
        <v>830JMFPL30</v>
        <stp/>
        <stp>bse_cm|830JMFPL30</stp>
        <stp>Symbol</stp>
        <tr r="A251" s="1"/>
      </tp>
      <tp>
        <v>1041.0999999999999</v>
        <stp/>
        <stp>nse_cm|850CIFCL26-NE</stp>
        <stp>High</stp>
        <tr r="N450" s="1"/>
      </tp>
      <tp>
        <v>966.94</v>
        <stp/>
        <stp>nse_cm|10IIFLSF27-NB</stp>
        <stp>High</stp>
        <tr r="N1657" s="1"/>
      </tp>
      <tp>
        <v>1053</v>
        <stp/>
        <stp>nse_cm|860CIFCL28-NG</stp>
        <stp>High</stp>
        <tr r="N647" s="1"/>
      </tp>
      <tp>
        <v>0</v>
        <stp/>
        <stp>bse_cm|MFLVIII26H</stp>
        <stp>LTP</stp>
        <tr r="H1575" s="1"/>
      </tp>
      <tp t="s">
        <v>00:00:00</v>
        <stp/>
        <stp>bse_cm|MFLVIII26H</stp>
        <stp>LTT</stp>
        <tr r="I1575" s="1"/>
      </tp>
      <tp>
        <v>0</v>
        <stp/>
        <stp>nse_cm|1048IIFL27-N6</stp>
        <stp>Ask Rate</stp>
        <tr r="F997" s="1"/>
      </tp>
      <tp>
        <v>-100</v>
        <stp/>
        <stp>bse_cm|910TCAP28</stp>
        <stp>% Change</stp>
        <tr r="J409" s="1"/>
      </tp>
      <tp>
        <v>0</v>
        <stp/>
        <stp>bse_cm|MFLVIII27H</stp>
        <stp>LTP</stp>
        <tr r="H1274" s="1"/>
      </tp>
      <tp t="s">
        <v>00:00:00</v>
        <stp/>
        <stp>bse_cm|MFLVIII27H</stp>
        <stp>LTT</stp>
        <tr r="I1274" s="1"/>
      </tp>
      <tp t="s">
        <v>IIFLHF29</v>
        <stp/>
        <stp>bse_cm|IIFLHF29</stp>
        <stp>Symbol</stp>
        <tr r="A1631" s="1"/>
      </tp>
      <tp t="s">
        <v>IIFLZC26B-NY</v>
        <stp/>
        <stp>nse_cm|IIFLZC26B-NY</stp>
        <stp>Trading Symbol</stp>
        <tr r="B1629" s="1"/>
      </tp>
      <tp t="s">
        <v>IIFLZC25B-NW</v>
        <stp/>
        <stp>nse_cm|IIFLZC25B-NW</stp>
        <stp>Trading Symbol</stp>
        <tr r="B1684" s="1"/>
      </tp>
      <tp t="s">
        <v>IIFLZC28B-Y1</v>
        <stp/>
        <stp>nse_cm|IIFLZC28B-Y1</stp>
        <stp>Trading Symbol</stp>
        <tr r="B1491" s="1"/>
      </tp>
      <tp>
        <v>0</v>
        <stp/>
        <stp>nse_cm|9SFL25A-ZH</stp>
        <stp>Volume Traded Today</stp>
        <tr r="L463" s="1"/>
      </tp>
      <tp t="s">
        <v>NSE</v>
        <stp/>
        <stp>nse_cm|94IFCI25-NL</stp>
        <stp>Exchange</stp>
        <tr r="C235" s="1"/>
      </tp>
      <tp>
        <v>0</v>
        <stp/>
        <stp>bse_cm|8MFLTD26</stp>
        <stp>Open</stp>
        <tr r="M321" s="1"/>
      </tp>
      <tp>
        <v>0</v>
        <stp/>
        <stp>bse_cm|KAFLZC26</stp>
        <stp>Open</stp>
        <tr r="M1316" s="1"/>
      </tp>
      <tp>
        <v>0</v>
        <stp/>
        <stp>bse_cm|IIFLZC26</stp>
        <stp>Open</stp>
        <tr r="M1236" s="1"/>
      </tp>
      <tp>
        <v>0</v>
        <stp/>
        <stp>bse_cm|MHFLZC26</stp>
        <stp>Open</stp>
        <tr r="M1714" s="1"/>
      </tp>
      <tp>
        <v>0</v>
        <stp/>
        <stp>bse_cm|MMFLZC26</stp>
        <stp>Open</stp>
        <tr r="M1261" s="1"/>
      </tp>
      <tp>
        <v>0</v>
        <stp/>
        <stp>bse_cm|8MFL2026</stp>
        <stp>Open</stp>
        <tr r="M451" s="1"/>
      </tp>
      <tp>
        <v>0</v>
        <stp/>
        <stp>bse_cm|9SFL2026</stp>
        <stp>Open</stp>
        <tr r="M1473" s="1"/>
      </tp>
      <tp>
        <v>0</v>
        <stp/>
        <stp>bse_cm|CIFCZC28</stp>
        <stp>Open</stp>
        <tr r="M736" s="1"/>
      </tp>
      <tp>
        <v>0</v>
        <stp/>
        <stp>bse_cm|MMFLZC27</stp>
        <stp>Open</stp>
        <tr r="M1462" s="1"/>
      </tp>
      <tp t="s">
        <v/>
        <stp/>
        <stp>nse_cm|855TCAPS27-N7</stp>
        <stp>LTT</stp>
        <tr r="I1003" s="1"/>
      </tp>
      <tp>
        <v>0</v>
        <stp/>
        <stp>nse_cm|855TCAPS27-N7</stp>
        <stp>LTP</stp>
        <tr r="H1003" s="1"/>
      </tp>
      <tp>
        <v>1028.99</v>
        <stp/>
        <stp>nse_cm|865TCAPS27-N8</stp>
        <stp>LTP</stp>
        <tr r="H376" s="1"/>
      </tp>
      <tp t="s">
        <v/>
        <stp/>
        <stp>nse_cm|865TCAPS27-N8</stp>
        <stp>LTT</stp>
        <tr r="I376" s="1"/>
      </tp>
      <tp>
        <v>1099</v>
        <stp/>
        <stp>nse_cm|CIFCZC26-NF</stp>
        <stp>LTP</stp>
        <tr r="H1561" s="1"/>
      </tp>
      <tp>
        <v>1035</v>
        <stp/>
        <stp>nse_cm|CIFCZC25-ND</stp>
        <stp>LTP</stp>
        <tr r="H1435" s="1"/>
      </tp>
      <tp t="s">
        <v/>
        <stp/>
        <stp>nse_cm|CIFCZC26-NF</stp>
        <stp>LTT</stp>
        <tr r="I1561" s="1"/>
      </tp>
      <tp t="s">
        <v/>
        <stp/>
        <stp>nse_cm|CIFCZC25-ND</stp>
        <stp>LTT</stp>
        <tr r="I1435" s="1"/>
      </tp>
      <tp t="s">
        <v>10:09:22</v>
        <stp/>
        <stp>nse_cm|CIFCZC28-NH</stp>
        <stp>LTT</stp>
        <tr r="I1607" s="1"/>
      </tp>
      <tp>
        <v>1020</v>
        <stp/>
        <stp>nse_cm|CIFCZC28-NH</stp>
        <stp>LTP</stp>
        <tr r="H1607" s="1"/>
      </tp>
      <tp>
        <v>0</v>
        <stp/>
        <stp>nse_cm|NIDOZC26-N7</stp>
        <stp>ATP</stp>
        <tr r="K28" s="1"/>
      </tp>
      <tp t="e">
        <v>#N/A</v>
        <stp/>
        <stp>bse_cm|MHFLZC24</stp>
        <stp>Open</stp>
        <tr r="M35" s="1"/>
      </tp>
      <tp>
        <v>0</v>
        <stp/>
        <stp>nse_cm|875TCAPS29-NB</stp>
        <stp>LTP</stp>
        <tr r="H934" s="1"/>
      </tp>
      <tp>
        <v>1073</v>
        <stp/>
        <stp>nse_cm|885TCAPS29-NC</stp>
        <stp>LTP</stp>
        <tr r="H13" s="1"/>
      </tp>
      <tp t="s">
        <v/>
        <stp/>
        <stp>nse_cm|875TCAPS29-NB</stp>
        <stp>LTT</stp>
        <tr r="I934" s="1"/>
      </tp>
      <tp t="s">
        <v/>
        <stp/>
        <stp>nse_cm|885TCAPS29-NC</stp>
        <stp>LTT</stp>
        <tr r="I13" s="1"/>
      </tp>
      <tp>
        <v>0</v>
        <stp/>
        <stp>bse_cm|IIFLZC25</stp>
        <stp>Open</stp>
        <tr r="M1743" s="1"/>
      </tp>
      <tp>
        <v>0</v>
        <stp/>
        <stp>bse_cm|NWFLZC25</stp>
        <stp>Open</stp>
        <tr r="M1758" s="1"/>
      </tp>
      <tp>
        <v>0</v>
        <stp/>
        <stp>bse_cm|MMFLZC25</stp>
        <stp>Open</stp>
        <tr r="M1731" s="1"/>
      </tp>
      <tp>
        <v>0</v>
        <stp/>
        <stp>bse_cm|MFL28D</stp>
        <stp>Ask Rate</stp>
        <tr r="F1276" s="1"/>
      </tp>
      <tp>
        <v>0</v>
        <stp/>
        <stp>bse_cm|MFL28B</stp>
        <stp>Ask Rate</stp>
        <tr r="F1277" s="1"/>
      </tp>
      <tp>
        <v>1095</v>
        <stp/>
        <stp>bse_cm|MFL28A</stp>
        <stp>Ask Rate</stp>
        <tr r="F1620" s="1"/>
      </tp>
      <tp>
        <v>0</v>
        <stp/>
        <stp>bse_cm|CIFCZC25</stp>
        <stp>Open</stp>
        <tr r="M1436" s="1"/>
      </tp>
      <tp>
        <v>0</v>
        <stp/>
        <stp>bse_cm|MML28A</stp>
        <stp>Ask Rate</stp>
        <tr r="F1249" s="1"/>
      </tp>
      <tp>
        <v>0</v>
        <stp/>
        <stp>bse_cm|8MFLTD28</stp>
        <stp>Open</stp>
        <tr r="M366" s="1"/>
      </tp>
      <tp>
        <v>0</v>
        <stp/>
        <stp>bse_cm|KAFLZC28</stp>
        <stp>Open</stp>
        <tr r="M1315" s="1"/>
      </tp>
      <tp>
        <v>0</v>
        <stp/>
        <stp>bse_cm|IIFLZC28</stp>
        <stp>Open</stp>
        <tr r="M1660" s="1"/>
      </tp>
      <tp>
        <v>0</v>
        <stp/>
        <stp>bse_cm|MMFLZC28</stp>
        <stp>Open</stp>
        <tr r="M1259" s="1"/>
      </tp>
      <tp>
        <v>0</v>
        <stp/>
        <stp>bse_cm|CIFCZC26</stp>
        <stp>Open</stp>
        <tr r="M738" s="1"/>
      </tp>
      <tp>
        <v>0</v>
        <stp/>
        <stp>bse_cm|IIFLHF29</stp>
        <stp>Open</stp>
        <tr r="M1631" s="1"/>
      </tp>
      <tp>
        <v>0</v>
        <stp/>
        <stp>bse_cm|749IGT28</stp>
        <stp>Volume Traded Today</stp>
        <tr r="L1198" s="1"/>
      </tp>
      <tp>
        <v>0</v>
        <stp/>
        <stp>bse_cm|89SCL24</stp>
        <stp>Ask Qty</stp>
        <tr r="G1153" s="1"/>
      </tp>
      <tp>
        <v>38</v>
        <stp/>
        <stp>bse_cm|89MFL26</stp>
        <stp>Ask Qty</stp>
        <tr r="G250" s="1"/>
      </tp>
      <tp>
        <v>0</v>
        <stp/>
        <stp>bse_cm|88SCL25</stp>
        <stp>Ask Qty</stp>
        <tr r="G987" s="1"/>
      </tp>
      <tp>
        <v>167</v>
        <stp/>
        <stp>bse_cm|88MFL28</stp>
        <stp>Ask Qty</stp>
        <tr r="G233" s="1"/>
      </tp>
      <tp t="s">
        <v>12KLM25</v>
        <stp/>
        <stp>bse_cm|12KLM25</stp>
        <stp>Symbol</stp>
        <tr r="A1211" s="1"/>
      </tp>
      <tp t="s">
        <v>BSE</v>
        <stp/>
        <stp>bse_cm|IML28C</stp>
        <stp>Exchange</stp>
        <tr r="C1648" s="1"/>
      </tp>
      <tp t="s">
        <v>KAFL28A</v>
        <stp/>
        <stp>bse_cm|KAFL28A</stp>
        <stp>Symbol</stp>
        <tr r="A1319" s="1"/>
      </tp>
      <tp>
        <v>1108.1099999999999</v>
        <stp/>
        <stp>nse_cm|738REC27TF-N2</stp>
        <stp>Prev Close</stp>
        <tr r="P514" s="1"/>
      </tp>
      <tp t="s">
        <v>NSE</v>
        <stp/>
        <stp>nse_cm|11DLSL25-NV</stp>
        <stp>Exchange</stp>
        <tr r="C48" s="1"/>
      </tp>
      <tp t="s">
        <v>EFSL28A</v>
        <stp/>
        <stp>bse_cm|EFSL28A</stp>
        <stp>Symbol</stp>
        <tr r="A1335" s="1"/>
      </tp>
      <tp t="s">
        <v>EFSL25A</v>
        <stp/>
        <stp>bse_cm|EFSL25A</stp>
        <stp>Symbol</stp>
        <tr r="A1706" s="1"/>
      </tp>
      <tp t="s">
        <v>EFSL25B</v>
        <stp/>
        <stp>bse_cm|EFSL25B</stp>
        <stp>Symbol</stp>
        <tr r="A1682" s="1"/>
      </tp>
      <tp t="s">
        <v>EFSL24C</v>
        <stp/>
        <stp>bse_cm|EFSL24C</stp>
        <stp>Symbol</stp>
        <tr r="A1755" s="1"/>
      </tp>
      <tp t="s">
        <v>EFSL27A</v>
        <stp/>
        <stp>bse_cm|EFSL27A</stp>
        <stp>Symbol</stp>
        <tr r="A1649" s="1"/>
      </tp>
      <tp t="s">
        <v>EFSL26D</v>
        <stp/>
        <stp>bse_cm|EFSL26D</stp>
        <stp>Symbol</stp>
        <tr r="A1617" s="1"/>
      </tp>
      <tp t="s">
        <v>EFSL26A</v>
        <stp/>
        <stp>bse_cm|EFSL26A</stp>
        <stp>Symbol</stp>
        <tr r="A1567" s="1"/>
      </tp>
      <tp t="s">
        <v>EFSL26C</v>
        <stp/>
        <stp>bse_cm|EFSL26C</stp>
        <stp>Symbol</stp>
        <tr r="A1650" s="1"/>
      </tp>
      <tp t="s">
        <v>EFSL26B</v>
        <stp/>
        <stp>bse_cm|EFSL26B</stp>
        <stp>Symbol</stp>
        <tr r="A1564" s="1"/>
      </tp>
      <tp>
        <v>1051.8</v>
        <stp/>
        <stp>nse_cm|85IIFL25-NO</stp>
        <stp>Ask Rate</stp>
        <tr r="F110" s="1"/>
      </tp>
      <tp t="s">
        <v>DLSL25A</v>
        <stp/>
        <stp>bse_cm|DLSL25A</stp>
        <stp>Symbol</stp>
        <tr r="A1734" s="1"/>
      </tp>
      <tp>
        <v>15</v>
        <stp/>
        <stp>bse_cm|81MFL28</stp>
        <stp>Ask Qty</stp>
        <tr r="G314" s="1"/>
      </tp>
      <tp>
        <v>0</v>
        <stp/>
        <stp>bse_cm|960EFSLA</stp>
        <stp>LTP</stp>
        <tr r="H699" s="1"/>
      </tp>
      <tp t="s">
        <v>00:00:00</v>
        <stp/>
        <stp>bse_cm|960EFSLA</stp>
        <stp>LTT</stp>
        <tr r="I699" s="1"/>
      </tp>
      <tp t="s">
        <v>95KLM25</v>
        <stp/>
        <stp>bse_cm|95KLM25</stp>
        <stp>Symbol</stp>
        <tr r="A73" s="1"/>
      </tp>
      <tp>
        <v>0</v>
        <stp/>
        <stp>bse_cm|87SCL27</stp>
        <stp>Ask Qty</stp>
        <tr r="G978" s="1"/>
      </tp>
      <tp>
        <v>0</v>
        <stp/>
        <stp>bse_cm|87SCL25</stp>
        <stp>Ask Qty</stp>
        <tr r="G958" s="1"/>
      </tp>
      <tp>
        <v>0</v>
        <stp/>
        <stp>bse_cm|JMFPZC26</stp>
        <stp>Open</stp>
        <tr r="M1323" s="1"/>
      </tp>
      <tp t="s">
        <v>INE530B07393</v>
        <stp/>
        <stp>nse_cm|IIFLZC25B-NW</stp>
        <stp>Isin code</stp>
        <tr r="R1684" s="1"/>
      </tp>
      <tp>
        <v>0</v>
        <stp/>
        <stp>bse_cm|745IGT26</stp>
        <stp>Volume Traded Today</stp>
        <tr r="L1202" s="1"/>
      </tp>
      <tp t="s">
        <v>CAGL27A</v>
        <stp/>
        <stp>bse_cm|CAGL27A</stp>
        <stp>Symbol</stp>
        <tr r="A1379" s="1"/>
      </tp>
      <tp t="s">
        <v>CAGL25A</v>
        <stp/>
        <stp>bse_cm|CAGL25A</stp>
        <stp>Symbol</stp>
        <tr r="A1701" s="1"/>
      </tp>
      <tp>
        <v>0</v>
        <stp/>
        <stp>bse_cm|85IFL26</stp>
        <stp>Ask Qty</stp>
        <tr r="G1357" s="1"/>
      </tp>
      <tp>
        <v>194</v>
        <stp/>
        <stp>bse_cm|95KLM25</stp>
        <stp>Ask Qty</stp>
        <tr r="G73" s="1"/>
      </tp>
      <tp>
        <v>0</v>
        <stp/>
        <stp>bse_cm|85KFL25</stp>
        <stp>Ask Qty</stp>
        <tr r="G641" s="1"/>
      </tp>
      <tp>
        <v>1025</v>
        <stp/>
        <stp>nse_cm|956AEL29-N6</stp>
        <stp>Ask Rate</stp>
        <tr r="F298" s="1"/>
      </tp>
      <tp>
        <v>206</v>
        <stp/>
        <stp>bse_cm|84MFL25</stp>
        <stp>Ask Qty</stp>
        <tr r="G316" s="1"/>
      </tp>
      <tp>
        <v>0</v>
        <stp/>
        <stp>bse_cm|JMFPZC25</stp>
        <stp>Open</stp>
        <tr r="M1324" s="1"/>
      </tp>
      <tp t="s">
        <v>00:00:00</v>
        <stp/>
        <stp>bse_cm|895EFS25</stp>
        <stp>LTT</stp>
        <tr r="I730" s="1"/>
      </tp>
      <tp>
        <v>0</v>
        <stp/>
        <stp>bse_cm|895EFS25</stp>
        <stp>LTP</stp>
        <tr r="H730" s="1"/>
      </tp>
      <tp>
        <v>0</v>
        <stp/>
        <stp>bse_cm|KFLZC27A</stp>
        <stp>Open</stp>
        <tr r="M1291" s="1"/>
      </tp>
      <tp>
        <v>0</v>
        <stp/>
        <stp>bse_cm|MFLZC27A</stp>
        <stp>Open</stp>
        <tr r="M1270" s="1"/>
      </tp>
      <tp>
        <v>0</v>
        <stp/>
        <stp>bse_cm|MFLZC27B</stp>
        <stp>Open</stp>
        <tr r="M1697" s="1"/>
      </tp>
      <tp>
        <v>888.2</v>
        <stp/>
        <stp>bse_cm|801TCH28</stp>
        <stp>Bid Rate</stp>
        <tr r="E1182" s="1"/>
      </tp>
      <tp>
        <v>0</v>
        <stp/>
        <stp>bse_cm|MFLZC27C</stp>
        <stp>Open</stp>
        <tr r="M1411" s="1"/>
      </tp>
      <tp>
        <v>0</v>
        <stp/>
        <stp>bse_cm|971SCL28</stp>
        <stp>Bid Rate</stp>
        <tr r="E1028" s="1"/>
      </tp>
      <tp>
        <v>0</v>
        <stp/>
        <stp>bse_cm|MFLZC27D</stp>
        <stp>Open</stp>
        <tr r="M1700" s="1"/>
      </tp>
      <tp>
        <v>901.2</v>
        <stp/>
        <stp>bse_cm|971SCL29</stp>
        <stp>Bid Rate</stp>
        <tr r="E521" s="1"/>
      </tp>
      <tp>
        <v>0</v>
        <stp/>
        <stp>bse_cm|MFLZC27E</stp>
        <stp>Open</stp>
        <tr r="M1677" s="1"/>
      </tp>
      <tp>
        <v>0</v>
        <stp/>
        <stp>bse_cm|MFLZC27F</stp>
        <stp>Open</stp>
        <tr r="M1566" s="1"/>
      </tp>
      <tp>
        <v>820.2</v>
        <stp/>
        <stp>bse_cm|980SCL34</stp>
        <stp>Bid Rate</stp>
        <tr r="E829" s="1"/>
      </tp>
      <tp>
        <v>0</v>
        <stp/>
        <stp>nse_cm|85IFL26-NX</stp>
        <stp>% Change</stp>
        <tr r="J1388" s="1"/>
      </tp>
      <tp>
        <v>987.01</v>
        <stp/>
        <stp>bse_cm|931SFL26</stp>
        <stp>Bid Rate</stp>
        <tr r="E1492" s="1"/>
      </tp>
      <tp>
        <v>970</v>
        <stp/>
        <stp>bse_cm|87SCL27A</stp>
        <stp xml:space="preserve">Low </stp>
        <tr r="O644" s="1"/>
      </tp>
      <tp>
        <v>1068.9000000000001</v>
        <stp/>
        <stp>nse_cm|905LTF27-NF</stp>
        <stp>Ask Rate</stp>
        <tr r="F393" s="1"/>
      </tp>
      <tp>
        <v>996</v>
        <stp/>
        <stp>bse_cm|801TCH25</stp>
        <stp>Bid Rate</stp>
        <tr r="E562" s="1"/>
      </tp>
      <tp>
        <v>1002</v>
        <stp/>
        <stp>bse_cm|980SCL33</stp>
        <stp>Bid Rate</stp>
        <tr r="E998" s="1"/>
      </tp>
      <tp>
        <v>54</v>
        <stp/>
        <stp>bse_cm|9ARKA25</stp>
        <stp>Bid Qty</stp>
        <tr r="D1365" s="1"/>
      </tp>
      <tp>
        <v>0</v>
        <stp/>
        <stp>nse_cm|1049DLSL25-NX</stp>
        <stp>ATP</stp>
        <tr r="K43" s="1"/>
      </tp>
      <tp>
        <v>0</v>
        <stp/>
        <stp>bse_cm|MFLII27B</stp>
        <stp>Open</stp>
        <tr r="M359" s="1"/>
      </tp>
      <tp t="s">
        <v>INE148I07TC5</v>
        <stp/>
        <stp>nse_cm|925SCL26D-ZD</stp>
        <stp>Isin code</stp>
        <tr r="R1448" s="1"/>
      </tp>
      <tp>
        <v>0</v>
        <stp/>
        <stp>nse_cm|IFCIZC25-NM</stp>
        <stp>Volume Traded Today</stp>
        <tr r="L1765" s="1"/>
      </tp>
      <tp>
        <v>0</v>
        <stp/>
        <stp>nse_cm|IFCIZC24-NI</stp>
        <stp>Volume Traded Today</stp>
        <tr r="L1768" s="1"/>
      </tp>
      <tp>
        <v>855</v>
        <stp/>
        <stp>bse_cm|891ONE25</stp>
        <stp>Bid Rate</stp>
        <tr r="E1339" s="1"/>
      </tp>
      <tp>
        <v>0</v>
        <stp/>
        <stp>nse_cm|8ABFL26-N0</stp>
        <stp>% Change</stp>
        <tr r="J358" s="1"/>
      </tp>
      <tp>
        <v>0</v>
        <stp/>
        <stp>nse_cm|875SCL27-YQ</stp>
        <stp>Bid Rate</stp>
        <tr r="E937" s="1"/>
      </tp>
      <tp>
        <v>861.9</v>
        <stp/>
        <stp>bse_cm|941ONE26</stp>
        <stp>Bid Rate</stp>
        <tr r="E263" s="1"/>
      </tp>
      <tp>
        <v>875</v>
        <stp/>
        <stp>bse_cm|921ONE27</stp>
        <stp>Bid Rate</stp>
        <tr r="E1428" s="1"/>
      </tp>
      <tp>
        <v>1070.1099999999999</v>
        <stp/>
        <stp>bse_cm|961ONE27</stp>
        <stp>Bid Rate</stp>
        <tr r="E628" s="1"/>
      </tp>
      <tp>
        <v>0</v>
        <stp/>
        <stp>bse_cm|MFLIV27D</stp>
        <stp>Open</stp>
        <tr r="M1452" s="1"/>
      </tp>
      <tp>
        <v>1000</v>
        <stp/>
        <stp>bse_cm|99JFPL25</stp>
        <stp>Face Value</stp>
        <tr r="Q1670" s="1"/>
      </tp>
      <tp t="s">
        <v>NSE</v>
        <stp/>
        <stp>nse_cm|845LTF24-NI</stp>
        <stp>Exchange</stp>
        <tr r="C942" s="1"/>
      </tp>
      <tp>
        <v>900</v>
        <stp/>
        <stp>bse_cm|921ONE29</stp>
        <stp>Bid Rate</stp>
        <tr r="E1112" s="1"/>
      </tp>
      <tp>
        <v>0</v>
        <stp/>
        <stp>bse_cm|10SCL31A</stp>
        <stp>High</stp>
        <tr r="N865" s="1"/>
      </tp>
      <tp>
        <v>1</v>
        <stp/>
        <stp>bse_cm|7PFCL31</stp>
        <stp>Ask Qty</stp>
        <tr r="G425" s="1"/>
      </tp>
      <tp>
        <v>0</v>
        <stp/>
        <stp>nse_cm|IIFLZC28-NG</stp>
        <stp>Volume Traded Today</stp>
        <tr r="L1659" s="1"/>
      </tp>
      <tp>
        <v>0</v>
        <stp/>
        <stp>nse_cm|IIFLZC25-ND</stp>
        <stp>Volume Traded Today</stp>
        <tr r="L1742" s="1"/>
      </tp>
      <tp>
        <v>0</v>
        <stp/>
        <stp>nse_cm|IIFLZC26-NN</stp>
        <stp>Volume Traded Today</stp>
        <tr r="L1696" s="1"/>
      </tp>
      <tp>
        <v>0</v>
        <stp/>
        <stp>bse_cm|RFLNIFT25</stp>
        <stp>Bid Qty</stp>
        <tr r="D1242" s="1"/>
      </tp>
      <tp t="s">
        <v>NSE</v>
        <stp/>
        <stp>nse_cm|812REC27-NI</stp>
        <stp>Exchange</stp>
        <tr r="C462" s="1"/>
      </tp>
      <tp>
        <v>0</v>
        <stp/>
        <stp>nse_cm|875IIFL26A-NQ</stp>
        <stp>Ask Rate</stp>
        <tr r="F634" s="1"/>
      </tp>
      <tp>
        <v>0</v>
        <stp/>
        <stp>nse_cm|888IHFL25C-NR</stp>
        <stp>Ask Rate</stp>
        <tr r="F1426" s="1"/>
      </tp>
      <tp>
        <v>0</v>
        <stp/>
        <stp>nse_cm|10SCL31-Z1</stp>
        <stp>Volume Traded Today</stp>
        <tr r="L866" s="1"/>
      </tp>
      <tp>
        <v>0</v>
        <stp/>
        <stp>nse_cm|890ICCL23A-NZ</stp>
        <stp>Ask Rate</stp>
        <tr r="F1363" s="1"/>
      </tp>
      <tp t="s">
        <v>NSE</v>
        <stp/>
        <stp>nse_cm|1003IIFL29-NC</stp>
        <stp>Exchange</stp>
        <tr r="C1077" s="1"/>
      </tp>
      <tp t="s">
        <v>MMFLZC28A</v>
        <stp/>
        <stp>bse_cm|MMFLZC28A</stp>
        <stp>Trading Symbol</stp>
        <tr r="B1348" s="1"/>
      </tp>
      <tp t="s">
        <v>MMFLZC28B</v>
        <stp/>
        <stp>bse_cm|MMFLZC28B</stp>
        <stp>Trading Symbol</stp>
        <tr r="B1535" s="1"/>
      </tp>
      <tp t="s">
        <v>MMFLZC27A</v>
        <stp/>
        <stp>bse_cm|MMFLZC27A</stp>
        <stp>Trading Symbol</stp>
        <tr r="B1260" s="1"/>
      </tp>
      <tp t="s">
        <v>MMFLZC27C</v>
        <stp/>
        <stp>bse_cm|MMFLZC27C</stp>
        <stp>Trading Symbol</stp>
        <tr r="B1463" s="1"/>
      </tp>
      <tp t="s">
        <v>MMFLZC27B</v>
        <stp/>
        <stp>bse_cm|MMFLZC27B</stp>
        <stp>Trading Symbol</stp>
        <tr r="B1570" s="1"/>
      </tp>
      <tp t="s">
        <v>MMFLZC27D</v>
        <stp/>
        <stp>bse_cm|MMFLZC27D</stp>
        <stp>Trading Symbol</stp>
        <tr r="B1406" s="1"/>
      </tp>
      <tp t="s">
        <v>MMFLZC24D</v>
        <stp/>
        <stp>bse_cm|MMFLZC24D</stp>
        <stp>Trading Symbol</stp>
        <tr r="B1265" s="1"/>
      </tp>
      <tp t="s">
        <v>MMFLZC25A</v>
        <stp/>
        <stp>bse_cm|MMFLZC25A</stp>
        <stp>Trading Symbol</stp>
        <tr r="B1264" s="1"/>
      </tp>
      <tp t="s">
        <v>MMFLZC25C</v>
        <stp/>
        <stp>bse_cm|MMFLZC25C</stp>
        <stp>Trading Symbol</stp>
        <tr r="B1263" s="1"/>
      </tp>
      <tp t="s">
        <v>MMFLZC25B</v>
        <stp/>
        <stp>bse_cm|MMFLZC25B</stp>
        <stp>Trading Symbol</stp>
        <tr r="B1581" s="1"/>
      </tp>
      <tp t="s">
        <v>MMFLZC25D</v>
        <stp/>
        <stp>bse_cm|MMFLZC25D</stp>
        <stp>Trading Symbol</stp>
        <tr r="B1262" s="1"/>
      </tp>
      <tp t="s">
        <v>INE403Q07BQ5</v>
        <stp/>
        <stp>bse_cm|KFLZC2A</stp>
        <stp>Isin code</stp>
        <tr r="R1760" s="1"/>
      </tp>
      <tp>
        <v>0</v>
        <stp/>
        <stp>nse_cm|866ICCL23A-NY</stp>
        <stp>Ask Rate</stp>
        <tr r="F759" s="1"/>
      </tp>
      <tp>
        <v>0</v>
        <stp/>
        <stp>nse_cm|965ICCL25I-NQ</stp>
        <stp>Ask Rate</stp>
        <tr r="F696" s="1"/>
      </tp>
      <tp>
        <v>0</v>
        <stp/>
        <stp>nse_cm|87SCL25-ZV</stp>
        <stp>Volume Traded Today</stp>
        <tr r="L979" s="1"/>
      </tp>
      <tp>
        <v>0</v>
        <stp/>
        <stp>nse_cm|89SCL24-ZO</stp>
        <stp>Volume Traded Today</stp>
        <tr r="L972" s="1"/>
      </tp>
      <tp>
        <v>0</v>
        <stp/>
        <stp>nse_cm|88SCL25-ZG</stp>
        <stp>Volume Traded Today</stp>
        <tr r="L960" s="1"/>
      </tp>
      <tp>
        <v>0</v>
        <stp/>
        <stp>nse_cm|87SCL27-Z6</stp>
        <stp>Volume Traded Today</stp>
        <tr r="L950" s="1"/>
      </tp>
      <tp>
        <v>0</v>
        <stp/>
        <stp>nse_cm|925ICCL25I-NP</stp>
        <stp>Ask Rate</stp>
        <tr r="F777" s="1"/>
      </tp>
      <tp>
        <v>0</v>
        <stp/>
        <stp>nse_cm|98SCL27-ZX</stp>
        <stp>Volume Traded Today</stp>
        <tr r="L1378" s="1"/>
      </tp>
      <tp>
        <v>0</v>
        <stp/>
        <stp>nse_cm|93SCL24-ZP</stp>
        <stp>Volume Traded Today</stp>
        <tr r="L1506" s="1"/>
      </tp>
      <tp>
        <v>0</v>
        <stp/>
        <stp>nse_cm|98SCL34-ZS</stp>
        <stp>Volume Traded Today</stp>
        <tr r="L1052" s="1"/>
      </tp>
      <tp>
        <v>0</v>
        <stp/>
        <stp>nse_cm|99SCL27-ZH</stp>
        <stp>Volume Traded Today</stp>
        <tr r="L1168" s="1"/>
      </tp>
      <tp>
        <v>0</v>
        <stp/>
        <stp>nse_cm|94SCL27-ZG</stp>
        <stp>Volume Traded Today</stp>
        <tr r="L1151" s="1"/>
      </tp>
      <tp>
        <v>0</v>
        <stp/>
        <stp>nse_cm|93SCL25-ZH</stp>
        <stp>Volume Traded Today</stp>
        <tr r="L961" s="1"/>
      </tp>
      <tp t="s">
        <v>INE532F07FK8</v>
        <stp/>
        <stp>bse_cm|920EFSL27A</stp>
        <stp>Isin code</stp>
        <tr r="R685" s="1"/>
      </tp>
      <tp t="s">
        <v>INE532F07EQ8</v>
        <stp/>
        <stp>bse_cm|920EFSL26A</stp>
        <stp>Isin code</stp>
        <tr r="R61" s="1"/>
      </tp>
      <tp>
        <v>1066</v>
        <stp/>
        <stp>nse_cm|888IHFL25F-NC</stp>
        <stp>Ask Rate</stp>
        <tr r="F343" s="1"/>
      </tp>
      <tp>
        <v>0</v>
        <stp/>
        <stp>nse_cm|966ICCL25A-NI</stp>
        <stp>Ask Rate</stp>
        <tr r="F1461" s="1"/>
      </tp>
      <tp t="s">
        <v>1048IIFL27</v>
        <stp/>
        <stp>nse_cm|1048IIFL27-N6</stp>
        <stp>Symbol</stp>
        <tr r="A997" s="1"/>
      </tp>
      <tp>
        <v>0</v>
        <stp/>
        <stp>nse_cm|984ICCL26A-NK</stp>
        <stp>Ask Rate</stp>
        <tr r="F716" s="1"/>
      </tp>
      <tp>
        <v>1015</v>
        <stp/>
        <stp>nse_cm|955ICCL25A-NH</stp>
        <stp>Ask Rate</stp>
        <tr r="F486" s="1"/>
      </tp>
      <tp t="s">
        <v>875PCHFL31</v>
        <stp/>
        <stp>nse_cm|875PCHFL31-N9</stp>
        <stp>Symbol</stp>
        <tr r="A1012" s="1"/>
      </tp>
      <tp>
        <v>0</v>
        <stp/>
        <stp>bse_cm|1025JFCS28</stp>
        <stp>ATP</stp>
        <tr r="K363" s="1"/>
      </tp>
      <tp>
        <v>0</v>
        <stp/>
        <stp>nse_cm|96SCL25-AA</stp>
        <stp>Volume Traded Today</stp>
        <tr r="L1067" s="1"/>
      </tp>
      <tp t="s">
        <v>SCL25A-BH</v>
        <stp/>
        <stp>nse_cm|SCL25A-BH</stp>
        <stp>Trading Symbol</stp>
        <tr r="B1237" s="1"/>
      </tp>
      <tp t="s">
        <v>SCL24A-ZS</v>
        <stp/>
        <stp>nse_cm|SCL24A-ZS</stp>
        <stp>Trading Symbol</stp>
        <tr r="B1751" s="1"/>
      </tp>
      <tp t="s">
        <v>810TCHFL27</v>
        <stp/>
        <stp>nse_cm|810TCHFL27-ND</stp>
        <stp>Symbol</stp>
        <tr r="A1016" s="1"/>
      </tp>
      <tp>
        <v>0</v>
        <stp/>
        <stp>nse_cm|11UCL26-NC</stp>
        <stp>Volume Traded Today</stp>
        <tr r="L322" s="1"/>
      </tp>
      <tp t="s">
        <v>INE414G07GD0</v>
        <stp/>
        <stp>bse_cm|MFLI25A</stp>
        <stp>Isin code</stp>
        <tr r="R362" s="1"/>
      </tp>
      <tp t="s">
        <v>MFLZC28E</v>
        <stp/>
        <stp>bse_cm|MFLZC28E</stp>
        <stp>Symbol</stp>
        <tr r="A1269" s="1"/>
      </tp>
      <tp t="s">
        <v>MFLZC28F</v>
        <stp/>
        <stp>bse_cm|MFLZC28F</stp>
        <stp>Symbol</stp>
        <tr r="A1268" s="1"/>
      </tp>
      <tp t="s">
        <v>MFLZC29A</v>
        <stp/>
        <stp>bse_cm|MFLZC29A</stp>
        <stp>Symbol</stp>
        <tr r="A1554" s="1"/>
      </tp>
      <tp t="s">
        <v>MFLZC26A</v>
        <stp/>
        <stp>bse_cm|MFLZC26A</stp>
        <stp>Symbol</stp>
        <tr r="A1715" s="1"/>
      </tp>
      <tp t="s">
        <v>MFLZC26B</v>
        <stp/>
        <stp>bse_cm|MFLZC26B</stp>
        <stp>Symbol</stp>
        <tr r="A1272" s="1"/>
      </tp>
      <tp t="s">
        <v>MFLZC26C</v>
        <stp/>
        <stp>bse_cm|MFLZC26C</stp>
        <stp>Symbol</stp>
        <tr r="A1350" s="1"/>
      </tp>
      <tp t="s">
        <v>MFLZC26D</v>
        <stp/>
        <stp>bse_cm|MFLZC26D</stp>
        <stp>Symbol</stp>
        <tr r="A1440" s="1"/>
      </tp>
      <tp t="s">
        <v>MFLZC26E</v>
        <stp/>
        <stp>bse_cm|MFLZC26E</stp>
        <stp>Symbol</stp>
        <tr r="A1651" s="1"/>
      </tp>
      <tp t="s">
        <v>MFLZC27A</v>
        <stp/>
        <stp>bse_cm|MFLZC27A</stp>
        <stp>Symbol</stp>
        <tr r="A1270" s="1"/>
      </tp>
      <tp t="s">
        <v>MFLZC27B</v>
        <stp/>
        <stp>bse_cm|MFLZC27B</stp>
        <stp>Symbol</stp>
        <tr r="A1697" s="1"/>
      </tp>
      <tp t="s">
        <v>MFLZC27C</v>
        <stp/>
        <stp>bse_cm|MFLZC27C</stp>
        <stp>Symbol</stp>
        <tr r="A1411" s="1"/>
      </tp>
      <tp t="s">
        <v>MFLZC27D</v>
        <stp/>
        <stp>bse_cm|MFLZC27D</stp>
        <stp>Symbol</stp>
        <tr r="A1700" s="1"/>
      </tp>
      <tp t="s">
        <v>MFLZC27E</v>
        <stp/>
        <stp>bse_cm|MFLZC27E</stp>
        <stp>Symbol</stp>
        <tr r="A1677" s="1"/>
      </tp>
      <tp t="s">
        <v>MFLZC27F</v>
        <stp/>
        <stp>bse_cm|MFLZC27F</stp>
        <stp>Symbol</stp>
        <tr r="A1566" s="1"/>
      </tp>
      <tp t="s">
        <v>MFLZC24C</v>
        <stp/>
        <stp>bse_cm|MFLZC24C</stp>
        <stp>Symbol</stp>
        <tr r="A1551" s="1"/>
      </tp>
      <tp t="s">
        <v>MFLZC24D</v>
        <stp/>
        <stp>bse_cm|MFLZC24D</stp>
        <stp>Symbol</stp>
        <tr r="A1550" s="1"/>
      </tp>
      <tp t="s">
        <v>MFLZC25A</v>
        <stp/>
        <stp>bse_cm|MFLZC25A</stp>
        <stp>Symbol</stp>
        <tr r="A1757" s="1"/>
      </tp>
      <tp t="s">
        <v>MFLZC25B</v>
        <stp/>
        <stp>bse_cm|MFLZC25B</stp>
        <stp>Symbol</stp>
        <tr r="A1273" s="1"/>
      </tp>
      <tp t="s">
        <v>MFLZC25C</v>
        <stp/>
        <stp>bse_cm|MFLZC25C</stp>
        <stp>Symbol</stp>
        <tr r="A1579" s="1"/>
      </tp>
      <tp t="s">
        <v>MFLZC25D</v>
        <stp/>
        <stp>bse_cm|MFLZC25D</stp>
        <stp>Symbol</stp>
        <tr r="A1520" s="1"/>
      </tp>
      <tp>
        <v>0</v>
        <stp/>
        <stp>nse_cm|CIFC26A-N9</stp>
        <stp>Volume Traded Today</stp>
        <tr r="L739" s="1"/>
      </tp>
      <tp t="s">
        <v>INE121A07QY9</v>
        <stp/>
        <stp>nse_cm|840CIFCL28-N4</stp>
        <stp>Isin code</stp>
        <tr r="R556" s="1"/>
      </tp>
      <tp>
        <v>0</v>
        <stp/>
        <stp>nse_cm|925ICCL24A-NE</stp>
        <stp>Ask Rate</stp>
        <tr r="F1393" s="1"/>
      </tp>
      <tp>
        <v>950.05</v>
        <stp/>
        <stp>nse_cm|1075SCL33A-N2</stp>
        <stp xml:space="preserve">Low </stp>
        <tr r="O630" s="1"/>
      </tp>
      <tp>
        <v>1170</v>
        <stp/>
        <stp>nse_cm|948ICCL25A-NG</stp>
        <stp>Ask Rate</stp>
        <tr r="F1736" s="1"/>
      </tp>
      <tp>
        <v>0</v>
        <stp/>
        <stp>nse_cm|913ICCL24A-NF</stp>
        <stp>Ask Rate</stp>
        <tr r="F781" s="1"/>
      </tp>
      <tp>
        <v>0</v>
        <stp/>
        <stp>nse_cm|1025SCL33A-N1</stp>
        <stp xml:space="preserve">Low </stp>
        <tr r="O834" s="1"/>
      </tp>
      <tp t="s">
        <v>NSE</v>
        <stp/>
        <stp>nse_cm|1003ICCL28-NX</stp>
        <stp>Exchange</stp>
        <tr r="C553" s="1"/>
      </tp>
      <tp>
        <v>1001</v>
        <stp/>
        <stp>nse_cm|8ABFL26-N0</stp>
        <stp>LTP</stp>
        <tr r="H358" s="1"/>
      </tp>
      <tp t="s">
        <v/>
        <stp/>
        <stp>nse_cm|8ABFL26-N0</stp>
        <stp>LTT</stp>
        <tr r="I358" s="1"/>
      </tp>
      <tp t="s">
        <v/>
        <stp/>
        <stp>nse_cm|85IFL26-NX</stp>
        <stp>LTT</stp>
        <tr r="I1388" s="1"/>
      </tp>
      <tp>
        <v>989</v>
        <stp/>
        <stp>nse_cm|85IFL26-NX</stp>
        <stp>LTP</stp>
        <tr r="H1388" s="1"/>
      </tp>
      <tp>
        <v>1074</v>
        <stp/>
        <stp>nse_cm|925IHFL25D-N6</stp>
        <stp>Ask Rate</stp>
        <tr r="F575" s="1"/>
      </tp>
      <tp>
        <v>0</v>
        <stp/>
        <stp>nse_cm|965IHFL25D-N7</stp>
        <stp>Ask Rate</stp>
        <tr r="F1469" s="1"/>
      </tp>
      <tp>
        <v>1119</v>
        <stp/>
        <stp>nse_cm|925IHFL25E-N8</stp>
        <stp>Ask Rate</stp>
        <tr r="F561" s="1"/>
      </tp>
      <tp>
        <v>912</v>
        <stp/>
        <stp>nse_cm|1003SCL30A-NV</stp>
        <stp>High</stp>
        <tr r="N728" s="1"/>
      </tp>
      <tp>
        <v>0</v>
        <stp/>
        <stp>nse_cm|1077IIFL30-N7</stp>
        <stp>Ask Rate</stp>
        <tr r="F996" s="1"/>
      </tp>
      <tp>
        <v>999.52</v>
        <stp/>
        <stp>nse_cm|10NFL25-N9</stp>
        <stp>LTP</stp>
        <tr r="H345" s="1"/>
      </tp>
      <tp t="s">
        <v/>
        <stp/>
        <stp>nse_cm|10NFL25-N9</stp>
        <stp>LTT</stp>
        <tr r="I345" s="1"/>
      </tp>
      <tp t="s">
        <v>NSE</v>
        <stp/>
        <stp>nse_cm|1003ISFL28-N4</stp>
        <stp>Exchange</stp>
        <tr r="C197" s="1"/>
      </tp>
      <tp>
        <v>1048</v>
        <stp/>
        <stp>nse_cm|94SFL28-YL</stp>
        <stp>LTP</stp>
        <tr r="H5" s="1"/>
      </tp>
      <tp>
        <v>930</v>
        <stp/>
        <stp>nse_cm|9IIFL28-Y0</stp>
        <stp>LTP</stp>
        <tr r="H175" s="1"/>
      </tp>
      <tp t="s">
        <v/>
        <stp/>
        <stp>nse_cm|94SFL28-YL</stp>
        <stp>LTT</stp>
        <tr r="I5" s="1"/>
      </tp>
      <tp t="s">
        <v/>
        <stp/>
        <stp>nse_cm|9IIFL28-Y0</stp>
        <stp>LTT</stp>
        <tr r="I175" s="1"/>
      </tp>
      <tp t="s">
        <v/>
        <stp/>
        <stp>nse_cm|97SFL28-YS</stp>
        <stp>LTT</stp>
        <tr r="I19" s="1"/>
      </tp>
      <tp t="s">
        <v/>
        <stp/>
        <stp>nse_cm|9SCFL25-Y5</stp>
        <stp>LTT</stp>
        <tr r="I389" s="1"/>
      </tp>
      <tp>
        <v>1051</v>
        <stp/>
        <stp>nse_cm|97SFL28-YS</stp>
        <stp>LTP</stp>
        <tr r="H19" s="1"/>
      </tp>
      <tp>
        <v>1051.5</v>
        <stp/>
        <stp>nse_cm|9SCFL25-Y5</stp>
        <stp>LTP</stp>
        <tr r="H389" s="1"/>
      </tp>
      <tp t="s">
        <v>09:16:52</v>
        <stp/>
        <stp>nse_cm|97SFL29-YZ</stp>
        <stp>LTT</stp>
        <tr r="I20" s="1"/>
      </tp>
      <tp>
        <v>1105</v>
        <stp/>
        <stp>nse_cm|97SFL29-YZ</stp>
        <stp>LTP</stp>
        <tr r="H20" s="1"/>
      </tp>
      <tp t="s">
        <v/>
        <stp/>
        <stp>nse_cm|97SFL26-Z9</stp>
        <stp>LTT</stp>
        <tr r="I438" s="1"/>
      </tp>
      <tp>
        <v>1011.5</v>
        <stp/>
        <stp>nse_cm|97SFL26-Z9</stp>
        <stp>LTP</stp>
        <tr r="H438" s="1"/>
      </tp>
      <tp>
        <v>971</v>
        <stp/>
        <stp>nse_cm|91SFL27-ZI</stp>
        <stp>LTP</stp>
        <tr r="H533" s="1"/>
      </tp>
      <tp t="s">
        <v/>
        <stp/>
        <stp>nse_cm|91SFL27-ZI</stp>
        <stp>LTT</stp>
        <tr r="I533" s="1"/>
      </tp>
      <tp>
        <v>0</v>
        <stp/>
        <stp>nse_cm|1075SCL33B-NW</stp>
        <stp xml:space="preserve">Low </stp>
        <tr r="O889" s="1"/>
      </tp>
      <tp>
        <v>1035.9000000000001</v>
        <stp/>
        <stp>nse_cm|9MMFSML-N2</stp>
        <stp>LTP</stp>
        <tr r="H339" s="1"/>
      </tp>
      <tp t="s">
        <v/>
        <stp/>
        <stp>nse_cm|9MMFSML-N2</stp>
        <stp>LTT</stp>
        <tr r="I339" s="1"/>
      </tp>
      <tp>
        <v>20</v>
        <stp/>
        <stp>bse_cm|11CCI26</stp>
        <stp>Bid Qty</stp>
        <tr r="D1220" s="1"/>
      </tp>
      <tp>
        <v>0</v>
        <stp/>
        <stp>bse_cm|CCILZC26</stp>
        <stp>Open</stp>
        <tr r="M748" s="1"/>
      </tp>
      <tp>
        <v>0</v>
        <stp/>
        <stp>bse_cm|92ICCL28</stp>
        <stp>Open</stp>
        <tr r="M202" s="1"/>
      </tp>
      <tp>
        <v>-100</v>
        <stp/>
        <stp>nse_cm|965SCL28C-BR</stp>
        <stp>% Change</stp>
        <tr r="J817" s="1"/>
      </tp>
      <tp>
        <v>0</v>
        <stp/>
        <stp>bse_cm|CCILZC24</stp>
        <stp>Open</stp>
        <tr r="M750" s="1"/>
      </tp>
      <tp t="s">
        <v>NSE</v>
        <stp/>
        <stp>nse_cm|901NHB34-N6</stp>
        <stp>Exchange</stp>
        <tr r="C520" s="1"/>
      </tp>
      <tp>
        <v>0</v>
        <stp/>
        <stp>nse_cm|925SCL28C-BS</stp>
        <stp>% Change</stp>
        <tr r="J823" s="1"/>
      </tp>
      <tp>
        <v>100</v>
        <stp/>
        <stp>bse_cm|12CCI29</stp>
        <stp>Bid Qty</stp>
        <tr r="D91" s="1"/>
      </tp>
      <tp>
        <v>0</v>
        <stp/>
        <stp>bse_cm|CCILZC25</stp>
        <stp>Open</stp>
        <tr r="M1376" s="1"/>
      </tp>
      <tp>
        <v>0</v>
        <stp/>
        <stp>bse_cm|85IIFL25</stp>
        <stp>Open</stp>
        <tr r="M134" s="1"/>
      </tp>
      <tp>
        <v>1076.5</v>
        <stp/>
        <stp>bse_cm|99IFCI24</stp>
        <stp>Open</stp>
        <tr r="M41" s="1"/>
      </tp>
      <tp>
        <v>1014.8</v>
        <stp/>
        <stp>bse_cm|58PFCL26</stp>
        <stp>High</stp>
        <tr r="N369" s="1"/>
      </tp>
      <tp>
        <v>0</v>
        <stp/>
        <stp>bse_cm|94IFCI25</stp>
        <stp>Open</stp>
        <tr r="M228" s="1"/>
      </tp>
      <tp>
        <v>0</v>
        <stp/>
        <stp>bse_cm|10IIFL29</stp>
        <stp>Open</stp>
        <tr r="M307" s="1"/>
      </tp>
      <tp>
        <v>0</v>
        <stp/>
        <stp>bse_cm|10IFSL26</stp>
        <stp>Open</stp>
        <tr r="M428" s="1"/>
      </tp>
      <tp>
        <v>0</v>
        <stp/>
        <stp>bse_cm|96IIFL28</stp>
        <stp>Open</stp>
        <tr r="M118" s="1"/>
      </tp>
      <tp>
        <v>0</v>
        <stp/>
        <stp>bse_cm|10IIFL28</stp>
        <stp>Open</stp>
        <tr r="M68" s="1"/>
      </tp>
      <tp>
        <v>0</v>
        <stp/>
        <stp>bse_cm|12ICFL25</stp>
        <stp>Open</stp>
        <tr r="M1213" s="1"/>
      </tp>
      <tp>
        <v>0</v>
        <stp/>
        <stp>bse_cm|98ICCL26</stp>
        <stp>Open</stp>
        <tr r="M1412" s="1"/>
      </tp>
      <tp>
        <v>0</v>
        <stp/>
        <stp>bse_cm|CCILZC29</stp>
        <stp>Open</stp>
        <tr r="M747" s="1"/>
      </tp>
      <tp t="s">
        <v>NSE</v>
        <stp/>
        <stp>nse_cm|84TCHF28-NA</stp>
        <stp>Exchange</stp>
        <tr r="C402" s="1"/>
      </tp>
      <tp>
        <v>-100</v>
        <stp/>
        <stp>nse_cm|925SCL28I-BA</stp>
        <stp>% Change</stp>
        <tr r="J821" s="1"/>
      </tp>
      <tp>
        <v>0</v>
        <stp/>
        <stp>nse_cm|85CIFC27-NL</stp>
        <stp>Ask Rate</stp>
        <tr r="F973" s="1"/>
      </tp>
      <tp t="s">
        <v>11CCL26</v>
        <stp/>
        <stp>bse_cm|11CCL26</stp>
        <stp>Symbol</stp>
        <tr r="A1219" s="1"/>
      </tp>
      <tp t="s">
        <v>10SCL31</v>
        <stp/>
        <stp>bse_cm|10SCL31</stp>
        <stp>Symbol</stp>
        <tr r="A1085" s="1"/>
      </tp>
      <tp t="s">
        <v>11UCL26</v>
        <stp/>
        <stp>bse_cm|11UCL26</stp>
        <stp>Symbol</stp>
        <tr r="A323" s="1"/>
      </tp>
      <tp t="s">
        <v>10VCL25</v>
        <stp/>
        <stp>bse_cm|10VCL25</stp>
        <stp>Symbol</stp>
        <tr r="A1646" s="1"/>
      </tp>
      <tp t="s">
        <v>7PFCL31</v>
        <stp/>
        <stp>bse_cm|7PFCL31</stp>
        <stp>Symbol</stp>
        <tr r="A425" s="1"/>
      </tp>
      <tp>
        <v>963</v>
        <stp/>
        <stp>nse_cm|847SCL25-Z2</stp>
        <stp>Bid Rate</stp>
        <tr r="E212" s="1"/>
      </tp>
      <tp t="s">
        <v>11CCI26</v>
        <stp/>
        <stp>bse_cm|11CCI26</stp>
        <stp>Symbol</stp>
        <tr r="A1220" s="1"/>
      </tp>
      <tp t="s">
        <v>12CCI29</v>
        <stp/>
        <stp>bse_cm|12CCI29</stp>
        <stp>Symbol</stp>
        <tr r="A91" s="1"/>
      </tp>
      <tp t="s">
        <v>BSE</v>
        <stp/>
        <stp>bse_cm|KFL25D</stp>
        <stp>Exchange</stp>
        <tr r="C1688" s="1"/>
      </tp>
      <tp>
        <v>984.49</v>
        <stp/>
        <stp>nse_cm|1049DLS25A-Y5</stp>
        <stp>ATP</stp>
        <tr r="K44" s="1"/>
      </tp>
      <tp>
        <v>-100</v>
        <stp/>
        <stp>nse_cm|925SCL25F-BD</stp>
        <stp>% Change</stp>
        <tr r="J718" s="1"/>
      </tp>
      <tp t="s">
        <v>9MFCL26</v>
        <stp/>
        <stp>bse_cm|9MFCL26</stp>
        <stp>Symbol</stp>
        <tr r="A156" s="1"/>
      </tp>
      <tp t="s">
        <v>98SCL34</v>
        <stp/>
        <stp>bse_cm|98SCL34</stp>
        <stp>Symbol</stp>
        <tr r="A1053" s="1"/>
      </tp>
      <tp t="s">
        <v>99SCL27</v>
        <stp/>
        <stp>bse_cm|99SCL27</stp>
        <stp>Symbol</stp>
        <tr r="A1169" s="1"/>
      </tp>
      <tp t="s">
        <v>98SCL27</v>
        <stp/>
        <stp>bse_cm|98SCL27</stp>
        <stp>Symbol</stp>
        <tr r="A1545" s="1"/>
      </tp>
      <tp t="s">
        <v>93SCL25</v>
        <stp/>
        <stp>bse_cm|93SCL25</stp>
        <stp>Symbol</stp>
        <tr r="A729" s="1"/>
      </tp>
      <tp t="s">
        <v>93SCL24</v>
        <stp/>
        <stp>bse_cm|93SCL24</stp>
        <stp>Symbol</stp>
        <tr r="A945" s="1"/>
      </tp>
      <tp t="s">
        <v>94SCL27</v>
        <stp/>
        <stp>bse_cm|94SCL27</stp>
        <stp>Symbol</stp>
        <tr r="A1152" s="1"/>
      </tp>
      <tp t="s">
        <v>96SCL25</v>
        <stp/>
        <stp>bse_cm|96SCL25</stp>
        <stp>Symbol</stp>
        <tr r="A1068" s="1"/>
      </tp>
      <tp>
        <v>0</v>
        <stp/>
        <stp>nse_cm|965SCL25E-BF</stp>
        <stp>% Change</stp>
        <tr r="J413" s="1"/>
      </tp>
      <tp t="s">
        <v>89SCL24</v>
        <stp/>
        <stp>bse_cm|89SCL24</stp>
        <stp>Symbol</stp>
        <tr r="A1153" s="1"/>
      </tp>
      <tp t="s">
        <v>88SCL25</v>
        <stp/>
        <stp>bse_cm|88SCL25</stp>
        <stp>Symbol</stp>
        <tr r="A987" s="1"/>
      </tp>
      <tp t="s">
        <v>87SCL25</v>
        <stp/>
        <stp>bse_cm|87SCL25</stp>
        <stp>Symbol</stp>
        <tr r="A958" s="1"/>
      </tp>
      <tp t="s">
        <v>87SCL27</v>
        <stp/>
        <stp>bse_cm|87SCL27</stp>
        <stp>Symbol</stp>
        <tr r="A978" s="1"/>
      </tp>
      <tp t="s">
        <v>BSE</v>
        <stp/>
        <stp>bse_cm|KFL25A</stp>
        <stp>Exchange</stp>
        <tr r="C1703" s="1"/>
      </tp>
      <tp t="s">
        <v>BSE</v>
        <stp/>
        <stp>bse_cm|MFL23A</stp>
        <stp>Exchange</stp>
        <tr r="C1560" s="1"/>
      </tp>
      <tp t="s">
        <v>CIFC26A</v>
        <stp/>
        <stp>bse_cm|CIFC26A</stp>
        <stp>Symbol</stp>
        <tr r="A740" s="1"/>
      </tp>
      <tp t="s">
        <v>BSE</v>
        <stp/>
        <stp>bse_cm|KFL25B</stp>
        <stp>Exchange</stp>
        <tr r="C1308" s="1"/>
      </tp>
      <tp t="s">
        <v>BSE</v>
        <stp/>
        <stp>bse_cm|KFL25C</stp>
        <stp>Exchange</stp>
        <tr r="C1307" s="1"/>
      </tp>
      <tp>
        <v>0</v>
        <stp/>
        <stp>bse_cm|10ISFL26</stp>
        <stp>Open</stp>
        <tr r="M1509" s="1"/>
      </tp>
      <tp t="s">
        <v>INE530B07278</v>
        <stp/>
        <stp>nse_cm|IIFLZC28A-NU</stp>
        <stp>Isin code</stp>
        <tr r="R1624" s="1"/>
      </tp>
      <tp t="s">
        <v>BSE</v>
        <stp/>
        <stp>bse_cm|MMFL27</stp>
        <stp>Exchange</stp>
        <tr r="C1513" s="1"/>
      </tp>
      <tp>
        <v>190</v>
        <stp/>
        <stp>bse_cm|MFOPTIV24</stp>
        <stp>Bid Qty</stp>
        <tr r="D380" s="1"/>
      </tp>
      <tp>
        <v>1040</v>
        <stp/>
        <stp>nse_cm|815LTF24-NK</stp>
        <stp>Ask Rate</stp>
        <tr r="F1693" s="1"/>
      </tp>
      <tp>
        <v>900</v>
        <stp/>
        <stp>bse_cm|11CCIL27</stp>
        <stp>Prev Close</stp>
        <tr r="P691" s="1"/>
      </tp>
      <tp>
        <v>1000</v>
        <stp/>
        <stp>bse_cm|11CCIL26</stp>
        <stp>Prev Close</stp>
        <tr r="P625" s="1"/>
      </tp>
      <tp>
        <v>0</v>
        <stp/>
        <stp>bse_cm|SCLZC26A</stp>
        <stp>Open</stp>
        <tr r="M1343" s="1"/>
      </tp>
      <tp>
        <v>0</v>
        <stp/>
        <stp>bse_cm|SFLZC26A</stp>
        <stp>Open</stp>
        <tr r="M1713" s="1"/>
      </tp>
      <tp>
        <v>0</v>
        <stp/>
        <stp>bse_cm|KFLZC26A</stp>
        <stp>Open</stp>
        <tr r="M1442" s="1"/>
      </tp>
      <tp>
        <v>0</v>
        <stp/>
        <stp>bse_cm|MFLZC26A</stp>
        <stp>Open</stp>
        <tr r="M1715" s="1"/>
      </tp>
      <tp>
        <v>980</v>
        <stp/>
        <stp>bse_cm|10KFIL27</stp>
        <stp>Prev Close</stp>
        <tr r="P183" s="1"/>
      </tp>
      <tp t="s">
        <v>BSE</v>
        <stp/>
        <stp>bse_cm|MMFL25</stp>
        <stp>Exchange</stp>
        <tr r="C1725" s="1"/>
      </tp>
      <tp>
        <v>0</v>
        <stp/>
        <stp>bse_cm|SCLZC26B</stp>
        <stp>Open</stp>
        <tr r="M992" s="1"/>
      </tp>
      <tp>
        <v>0</v>
        <stp/>
        <stp>bse_cm|KFLZC26B</stp>
        <stp>Open</stp>
        <tr r="M1711" s="1"/>
      </tp>
      <tp>
        <v>0</v>
        <stp/>
        <stp>bse_cm|MFLZC26B</stp>
        <stp>Open</stp>
        <tr r="M1272" s="1"/>
      </tp>
      <tp>
        <v>0</v>
        <stp/>
        <stp>bse_cm|SCLZC26C</stp>
        <stp>Open</stp>
        <tr r="M1399" s="1"/>
      </tp>
      <tp>
        <v>0</v>
        <stp/>
        <stp>bse_cm|KFLZC26C</stp>
        <stp>Open</stp>
        <tr r="M1744" s="1"/>
      </tp>
      <tp>
        <v>0</v>
        <stp/>
        <stp>bse_cm|MFLZC26C</stp>
        <stp>Open</stp>
        <tr r="M1350" s="1"/>
      </tp>
      <tp>
        <v>1005.3</v>
        <stp/>
        <stp>bse_cm|930SFL28</stp>
        <stp>Bid Rate</stp>
        <tr r="E10" s="1"/>
      </tp>
      <tp>
        <v>1000</v>
        <stp/>
        <stp>nse_cm|925ICCL25I-NP</stp>
        <stp>Prev Close</stp>
        <tr r="P777" s="1"/>
      </tp>
      <tp>
        <v>0</v>
        <stp/>
        <stp>bse_cm|SCLZC26D</stp>
        <stp>Open</stp>
        <tr r="M705" s="1"/>
      </tp>
      <tp>
        <v>0</v>
        <stp/>
        <stp>nse_cm|815LTF27-NO</stp>
        <stp>Ask Rate</stp>
        <tr r="F1001" s="1"/>
      </tp>
      <tp>
        <v>0</v>
        <stp/>
        <stp>bse_cm|KFLZC26D</stp>
        <stp>Open</stp>
        <tr r="M1294" s="1"/>
      </tp>
      <tp>
        <v>0</v>
        <stp/>
        <stp>bse_cm|MFLZC26D</stp>
        <stp>Open</stp>
        <tr r="M1440" s="1"/>
      </tp>
      <tp t="s">
        <v>BSE</v>
        <stp/>
        <stp>bse_cm|MFLV29</stp>
        <stp>Exchange</stp>
        <tr r="C361" s="1"/>
      </tp>
      <tp>
        <v>0</v>
        <stp/>
        <stp>bse_cm|SCLZC26E</stp>
        <stp>Open</stp>
        <tr r="M900" s="1"/>
      </tp>
      <tp>
        <v>0</v>
        <stp/>
        <stp>bse_cm|KFLZC26E</stp>
        <stp>Open</stp>
        <tr r="M1293" s="1"/>
      </tp>
      <tp>
        <v>0</v>
        <stp/>
        <stp>bse_cm|MFLZC26E</stp>
        <stp>Open</stp>
        <tr r="M1651" s="1"/>
      </tp>
      <tp>
        <v>0</v>
        <stp/>
        <stp>bse_cm|SCLZC26F</stp>
        <stp>Open</stp>
        <tr r="M898" s="1"/>
      </tp>
      <tp>
        <v>899.95</v>
        <stp/>
        <stp>bse_cm|920PEL28</stp>
        <stp>Bid Rate</stp>
        <tr r="E440" s="1"/>
      </tp>
      <tp>
        <v>0</v>
        <stp/>
        <stp>bse_cm|SCLZC26G</stp>
        <stp>Open</stp>
        <tr r="M799" s="1"/>
      </tp>
      <tp>
        <v>0</v>
        <stp/>
        <stp>bse_cm|SCLZC26H</stp>
        <stp>Open</stp>
        <tr r="M814" s="1"/>
      </tp>
      <tp>
        <v>815.7</v>
        <stp/>
        <stp>bse_cm|820SCL25</stp>
        <stp>Bid Rate</stp>
        <tr r="E925" s="1"/>
      </tp>
      <tp>
        <v>832.2</v>
        <stp/>
        <stp>bse_cm|850SCL25</stp>
        <stp>Bid Rate</stp>
        <tr r="E923" s="1"/>
      </tp>
      <tp>
        <v>0</v>
        <stp/>
        <stp>nse_cm|888SCL25E-N4</stp>
        <stp>% Change</stp>
        <tr r="J1444" s="1"/>
      </tp>
      <tp t="s">
        <v>BSE</v>
        <stp/>
        <stp>bse_cm|MFLI25</stp>
        <stp>Exchange</stp>
        <tr r="C447" s="1"/>
      </tp>
      <tp>
        <v>1040</v>
        <stp/>
        <stp>nse_cm|888IHFL25F-NC</stp>
        <stp>Prev Close</stp>
        <tr r="P343" s="1"/>
      </tp>
      <tp>
        <v>0</v>
        <stp/>
        <stp>bse_cm|940SCL26</stp>
        <stp>Bid Rate</stp>
        <tr r="E778" s="1"/>
      </tp>
      <tp>
        <v>680</v>
        <stp/>
        <stp>bse_cm|990SCL26</stp>
        <stp>Bid Rate</stp>
        <tr r="E421" s="1"/>
      </tp>
      <tp>
        <v>403.23</v>
        <stp/>
        <stp>nse_cm|79NHIT47-N3</stp>
        <stp>Bid Rate</stp>
        <tr r="E1585" s="1"/>
      </tp>
      <tp>
        <v>827.25</v>
        <stp/>
        <stp>bse_cm|950SFL27</stp>
        <stp>Bid Rate</stp>
        <tr r="E1144" s="1"/>
      </tp>
      <tp>
        <v>824.3</v>
        <stp/>
        <stp>bse_cm|940SCL27</stp>
        <stp>Bid Rate</stp>
        <tr r="E792" s="1"/>
      </tp>
      <tp>
        <v>824.35</v>
        <stp/>
        <stp>bse_cm|990SCL27</stp>
        <stp>Bid Rate</stp>
        <tr r="E796" s="1"/>
      </tp>
      <tp t="s">
        <v>BSE</v>
        <stp/>
        <stp>bse_cm|MFLV27</stp>
        <stp>Exchange</stp>
        <tr r="C1508" s="1"/>
      </tp>
      <tp>
        <v>1002</v>
        <stp/>
        <stp>nse_cm|797IGT31-NL</stp>
        <stp>Bid Rate</stp>
        <tr r="E374" s="1"/>
      </tp>
      <tp>
        <v>301.2</v>
        <stp/>
        <stp>nse_cm|79NHIT40-N2</stp>
        <stp>Bid Rate</stp>
        <tr r="E1587" s="1"/>
      </tp>
      <tp>
        <v>930.2</v>
        <stp/>
        <stp>nse_cm|965SCL26-YO</stp>
        <stp>Bid Rate</stp>
        <tr r="E146" s="1"/>
      </tp>
      <tp>
        <v>870.3</v>
        <stp/>
        <stp>nse_cm|795IGT31-NI</stp>
        <stp>Bid Rate</stp>
        <tr r="E1185" s="1"/>
      </tp>
      <tp>
        <v>303.3</v>
        <stp/>
        <stp>nse_cm|79NHIT35-N1</stp>
        <stp>Bid Rate</stp>
        <tr r="E1589" s="1"/>
      </tp>
      <tp>
        <v>0</v>
        <stp/>
        <stp>bse_cm|97SFL26A</stp>
        <stp xml:space="preserve">Low </stp>
        <tr r="O1089" s="1"/>
      </tp>
      <tp t="s">
        <v>NSE</v>
        <stp/>
        <stp>nse_cm|852LTF27-NG</stp>
        <stp>Exchange</stp>
        <tr r="C1006" s="1"/>
      </tp>
      <tp>
        <v>835.1</v>
        <stp/>
        <stp>bse_cm|950KLM25</stp>
        <stp>Bid Rate</stp>
        <tr r="E1150" s="1"/>
      </tp>
      <tp>
        <v>0</v>
        <stp/>
        <stp>nse_cm|955SCL25-ZU</stp>
        <stp>Bid Rate</stp>
        <tr r="E1391" s="1"/>
      </tp>
      <tp>
        <v>0</v>
        <stp/>
        <stp>bse_cm|MFLII26B</stp>
        <stp>Open</stp>
        <tr r="M1454" s="1"/>
      </tp>
      <tp t="s">
        <v>INE148I07PD1</v>
        <stp/>
        <stp>nse_cm|965SCL25E-BF</stp>
        <stp>Isin code</stp>
        <tr r="R413" s="1"/>
      </tp>
      <tp>
        <v>1060</v>
        <stp/>
        <stp>nse_cm|81TCHF28-N8</stp>
        <stp>Ask Rate</stp>
        <tr r="F467" s="1"/>
      </tp>
      <tp>
        <v>825.3</v>
        <stp/>
        <stp>bse_cm|950KFL27</stp>
        <stp>Bid Rate</stp>
        <tr r="E143" s="1"/>
      </tp>
      <tp>
        <v>942</v>
        <stp/>
        <stp>bse_cm|910MFL26</stp>
        <stp>Bid Rate</stp>
        <tr r="E277" s="1"/>
      </tp>
      <tp>
        <v>952.8</v>
        <stp/>
        <stp>bse_cm|890MFL26</stp>
        <stp>Bid Rate</stp>
        <tr r="E1478" s="1"/>
      </tp>
      <tp>
        <v>1601</v>
        <stp/>
        <stp>nse_cm|IIFLZC25-ND</stp>
        <stp xml:space="preserve">Low </stp>
        <tr r="O1742" s="1"/>
      </tp>
      <tp>
        <v>1035</v>
        <stp/>
        <stp>nse_cm|CIFCZC25-ND</stp>
        <stp xml:space="preserve">Low </stp>
        <tr r="O1435" s="1"/>
      </tp>
      <tp>
        <v>830.2</v>
        <stp/>
        <stp>bse_cm|950MFL27</stp>
        <stp>Bid Rate</stp>
        <tr r="E1147" s="1"/>
      </tp>
      <tp>
        <v>955</v>
        <stp/>
        <stp>bse_cm|870MFL27</stp>
        <stp>Bid Rate</stp>
        <tr r="E399" s="1"/>
      </tp>
      <tp>
        <v>819.2</v>
        <stp/>
        <stp>bse_cm|840MFL27</stp>
        <stp>Bid Rate</stp>
        <tr r="E133" s="1"/>
      </tp>
      <tp>
        <v>921.2</v>
        <stp/>
        <stp>bse_cm|850MFL27</stp>
        <stp>Bid Rate</stp>
        <tr r="E265" s="1"/>
      </tp>
      <tp>
        <v>941.2</v>
        <stp/>
        <stp>bse_cm|750MFL27</stp>
        <stp>Bid Rate</stp>
        <tr r="E274" s="1"/>
      </tp>
      <tp>
        <v>982.2</v>
        <stp/>
        <stp>bse_cm|850MFL24</stp>
        <stp>Bid Rate</stp>
        <tr r="E1100" s="1"/>
      </tp>
      <tp>
        <v>973.95</v>
        <stp/>
        <stp>bse_cm|950MML24</stp>
        <stp>Bid Rate</stp>
        <tr r="E304" s="1"/>
      </tp>
      <tp t="s">
        <v>INE148I07QN8</v>
        <stp/>
        <stp>nse_cm|965SCL25A-NF</stp>
        <stp>Isin code</stp>
        <tr r="R163" s="1"/>
      </tp>
      <tp>
        <v>1099</v>
        <stp/>
        <stp>nse_cm|CIFCZC26-NF</stp>
        <stp xml:space="preserve">Low </stp>
        <tr r="O1561" s="1"/>
      </tp>
      <tp>
        <v>971.2</v>
        <stp/>
        <stp>bse_cm|810MFL25</stp>
        <stp>Bid Rate</stp>
        <tr r="E429" s="1"/>
      </tp>
      <tp>
        <v>1023.81</v>
        <stp/>
        <stp>bse_cm|760MFL25</stp>
        <stp>Bid Rate</stp>
        <tr r="E482" s="1"/>
      </tp>
      <tp>
        <v>1224</v>
        <stp/>
        <stp>nse_cm|IIFLZC28-NG</stp>
        <stp xml:space="preserve">Low </stp>
        <tr r="O1659" s="1"/>
      </tp>
      <tp>
        <v>960</v>
        <stp/>
        <stp>nse_cm|866SCL25-YP</stp>
        <stp>Bid Rate</stp>
        <tr r="E933" s="1"/>
      </tp>
      <tp>
        <v>0</v>
        <stp/>
        <stp>nse_cm|857SCL24-ZQ</stp>
        <stp>Bid Rate</stp>
        <tr r="E975" s="1"/>
      </tp>
      <tp>
        <v>0</v>
        <stp/>
        <stp>bse_cm|ICCL25</stp>
        <stp>Ask Rate</stp>
        <tr r="F1330" s="1"/>
      </tp>
      <tp>
        <v>1020</v>
        <stp/>
        <stp>nse_cm|CIFCZC28-NH</stp>
        <stp xml:space="preserve">Low </stp>
        <tr r="O1607" s="1"/>
      </tp>
      <tp t="s">
        <v>00:00:00</v>
        <stp/>
        <stp>bse_cm|CIF27</stp>
        <stp>LTT</stp>
        <tr r="I745" s="1"/>
      </tp>
      <tp>
        <v>0</v>
        <stp/>
        <stp>bse_cm|CIF27</stp>
        <stp>LTP</stp>
        <tr r="H745" s="1"/>
      </tp>
      <tp>
        <v>0</v>
        <stp/>
        <stp>bse_cm|CIF29</stp>
        <stp>LTP</stp>
        <tr r="H744" s="1"/>
      </tp>
      <tp t="s">
        <v>00:00:00</v>
        <stp/>
        <stp>bse_cm|CIF29</stp>
        <stp>LTT</stp>
        <tr r="I744" s="1"/>
      </tp>
      <tp>
        <v>830.2</v>
        <stp/>
        <stp>bse_cm|850MFL28</stp>
        <stp>Bid Rate</stp>
        <tr r="E236" s="1"/>
      </tp>
      <tp>
        <v>940.2</v>
        <stp/>
        <stp>bse_cm|880MFL28</stp>
        <stp>Bid Rate</stp>
        <tr r="E1338" s="1"/>
      </tp>
      <tp>
        <v>963</v>
        <stp/>
        <stp>bse_cm|10SCL30A</stp>
        <stp>High</stp>
        <tr r="N444" s="1"/>
      </tp>
      <tp>
        <v>50</v>
        <stp/>
        <stp>bse_cm|KAFL28A</stp>
        <stp>Bid Qty</stp>
        <tr r="D1319" s="1"/>
      </tp>
      <tp>
        <v>1032</v>
        <stp/>
        <stp>bse_cm|850MFL29</stp>
        <stp>Bid Rate</stp>
        <tr r="E356" s="1"/>
      </tp>
      <tp t="s">
        <v>BSE</v>
        <stp/>
        <stp>bse_cm|MVAF27</stp>
        <stp>Exchange</stp>
        <tr r="C1689" s="1"/>
      </tp>
      <tp>
        <v>0</v>
        <stp/>
        <stp>nse_cm|SCL26-NA</stp>
        <stp>Bid Rate</stp>
        <tr r="E919" s="1"/>
      </tp>
      <tp>
        <v>825.4</v>
        <stp/>
        <stp>nse_cm|965SCL29-YX</stp>
        <stp>Bid Rate</stp>
        <tr r="E847" s="1"/>
      </tp>
      <tp>
        <v>0</v>
        <stp/>
        <stp>bse_cm|94MFL27A</stp>
        <stp>Open</stp>
        <tr r="M420" s="1"/>
      </tp>
      <tp>
        <v>0</v>
        <stp/>
        <stp>nse_cm|813LTF29-NP</stp>
        <stp>Ask Rate</stp>
        <tr r="F1000" s="1"/>
      </tp>
      <tp>
        <v>1250.2</v>
        <stp/>
        <stp>nse_cm|IIFLZC26-NN</stp>
        <stp xml:space="preserve">Low </stp>
        <tr r="O1696" s="1"/>
      </tp>
      <tp>
        <v>0</v>
        <stp/>
        <stp>nse_cm|93SCL24A-ZN</stp>
        <stp>Open</stp>
        <tr r="M695" s="1"/>
      </tp>
      <tp>
        <v>0</v>
        <stp/>
        <stp>nse_cm|855TCAPS27-N7</stp>
        <stp xml:space="preserve">Low </stp>
        <tr r="O1003" s="1"/>
      </tp>
      <tp t="s">
        <v>SCL25</v>
        <stp/>
        <stp>bse_cm|SCL25</stp>
        <stp>Symbol</stp>
        <tr r="A1234" s="1"/>
      </tp>
      <tp t="s">
        <v>SCL24</v>
        <stp/>
        <stp>bse_cm|SCL24</stp>
        <stp>Symbol</stp>
        <tr r="A1377" s="1"/>
      </tp>
      <tp t="s">
        <v>SCL22</v>
        <stp/>
        <stp>bse_cm|SCL22</stp>
        <stp>Symbol</stp>
        <tr r="A1239" s="1"/>
      </tp>
      <tp t="s">
        <v>875TCAPS29</v>
        <stp/>
        <stp>nse_cm|875TCAPS29-NB</stp>
        <stp>Symbol</stp>
        <tr r="A934" s="1"/>
      </tp>
      <tp t="s">
        <v>921ISFL25-N0</v>
        <stp/>
        <stp>nse_cm|921ISFL25-N0</stp>
        <stp>Trading Symbol</stp>
        <tr r="B287" s="1"/>
      </tp>
      <tp t="s">
        <v>INE532F07DK3</v>
        <stp/>
        <stp>bse_cm|967EFSL28D</stp>
        <stp>Isin code</stp>
        <tr r="R168" s="1"/>
      </tp>
      <tp t="s">
        <v>MFLIII25C</v>
        <stp/>
        <stp>bse_cm|MFLIII25C</stp>
        <stp>Trading Symbol</stp>
        <tr r="B213" s="1"/>
      </tp>
      <tp t="s">
        <v>MFLVII25G</v>
        <stp/>
        <stp>bse_cm|MFLVII25G</stp>
        <stp>Trading Symbol</stp>
        <tr r="B1729" s="1"/>
      </tp>
      <tp t="s">
        <v>960ISFL25-N1</v>
        <stp/>
        <stp>nse_cm|960ISFL25-N1</stp>
        <stp>Trading Symbol</stp>
        <tr r="B1695" s="1"/>
      </tp>
      <tp>
        <v>1025.3499999999999</v>
        <stp/>
        <stp>nse_cm|865TCAPS27-N8</stp>
        <stp xml:space="preserve">Low </stp>
        <tr r="O376" s="1"/>
      </tp>
      <tp t="s">
        <v>INE05F407CE8</v>
        <stp/>
        <stp>bse_cm|0MML29A</stp>
        <stp>Isin code</stp>
        <tr r="R1040" s="1"/>
      </tp>
      <tp t="s">
        <v>INE774D08LU6</v>
        <stp/>
        <stp>nse_cm|872MMFSL26-N1</stp>
        <stp>Isin code</stp>
        <tr r="R404" s="1"/>
      </tp>
      <tp t="s">
        <v>891NTPC33-N6</v>
        <stp/>
        <stp>nse_cm|891NTPC33-N6</stp>
        <stp>Trading Symbol</stp>
        <tr r="B535" s="1"/>
      </tp>
      <tp>
        <v>1020</v>
        <stp/>
        <stp>nse_cm|872MMFSL26-N1</stp>
        <stp>High</stp>
        <tr r="N404" s="1"/>
      </tp>
      <tp t="s">
        <v>866NTPC33-N3</v>
        <stp/>
        <stp>nse_cm|866NTPC33-N3</stp>
        <stp>Trading Symbol</stp>
        <tr r="B555" s="1"/>
      </tp>
      <tp t="s">
        <v>INE787H07370</v>
        <stp/>
        <stp>nse_cm|891IIFCL34-N4</stp>
        <stp>Isin code</stp>
        <tr r="R516" s="1"/>
      </tp>
      <tp>
        <v>1108</v>
        <stp/>
        <stp>nse_cm|751HUDCO28-N5</stp>
        <stp xml:space="preserve">Low </stp>
        <tr r="O492" s="1"/>
      </tp>
      <tp>
        <v>1010.2</v>
        <stp/>
        <stp>nse_cm|885MOFSL26-N0</stp>
        <stp>High</stp>
        <tr r="N1635" s="1"/>
      </tp>
      <tp>
        <v>0</v>
        <stp/>
        <stp>nse_cm|SCL24A-ZS</stp>
        <stp>% Change</stp>
        <tr r="J1751" s="1"/>
      </tp>
      <tp>
        <v>1028.28</v>
        <stp/>
        <stp>nse_cm|935MOFSL29-N5</stp>
        <stp>High</stp>
        <tr r="N1601" s="1"/>
      </tp>
      <tp>
        <v>1001.02</v>
        <stp/>
        <stp>nse_cm|897MOFSL29-N4</stp>
        <stp>High</stp>
        <tr r="N296" s="1"/>
      </tp>
      <tp>
        <v>1295</v>
        <stp/>
        <stp>nse_cm|866IIFC34B-N3</stp>
        <stp>Ask Rate</stp>
        <tr r="F25" s="1"/>
      </tp>
      <tp>
        <v>0</v>
        <stp/>
        <stp>nse_cm|810TCHFL27-ND</stp>
        <stp>Open</stp>
        <tr r="M1016" s="1"/>
      </tp>
      <tp>
        <v>1367.3</v>
        <stp/>
        <stp>nse_cm|858HUDCO29-NC</stp>
        <stp xml:space="preserve">Low </stp>
        <tr r="O1636" s="1"/>
      </tp>
      <tp t="s">
        <v>INE787H07347</v>
        <stp/>
        <stp>nse_cm|866IIFC34B-N3</stp>
        <stp>Isin code</stp>
        <tr r="R25" s="1"/>
      </tp>
      <tp>
        <v>1109.99</v>
        <stp/>
        <stp>nse_cm|851HUDCO28-NB</stp>
        <stp xml:space="preserve">Low </stp>
        <tr r="O502" s="1"/>
      </tp>
      <tp>
        <v>1327</v>
        <stp/>
        <stp>nse_cm|901HUDCO34-NE</stp>
        <stp xml:space="preserve">Low </stp>
        <tr r="O517" s="1"/>
      </tp>
      <tp>
        <v>1120.45</v>
        <stp/>
        <stp>nse_cm|876HUDCO28-ND</stp>
        <stp xml:space="preserve">Low </stp>
        <tr r="O509" s="1"/>
      </tp>
      <tp t="s">
        <v>MFOPTIV24</v>
        <stp/>
        <stp>bse_cm|MFOPTIV24</stp>
        <stp>Trading Symbol</stp>
        <tr r="B380" s="1"/>
      </tp>
      <tp>
        <v>1073</v>
        <stp/>
        <stp>nse_cm|885TCAPS29-NC</stp>
        <stp xml:space="preserve">Low </stp>
        <tr r="O13" s="1"/>
      </tp>
      <tp>
        <v>0</v>
        <stp/>
        <stp>nse_cm|875TCAPS29-NB</stp>
        <stp xml:space="preserve">Low </stp>
        <tr r="O934" s="1"/>
      </tp>
      <tp>
        <v>0</v>
        <stp/>
        <stp>nse_cm|77IGT28-NE</stp>
        <stp>LTP</stp>
        <tr r="H1190" s="1"/>
      </tp>
      <tp>
        <v>1010</v>
        <stp/>
        <stp>nse_cm|76IGT26-ND</stp>
        <stp>LTP</stp>
        <tr r="H527" s="1"/>
      </tp>
      <tp t="s">
        <v/>
        <stp/>
        <stp>nse_cm|77IGT28-NE</stp>
        <stp>LTT</stp>
        <tr r="I1190" s="1"/>
      </tp>
      <tp t="s">
        <v/>
        <stp/>
        <stp>nse_cm|76IGT26-ND</stp>
        <stp>LTT</stp>
        <tr r="I527" s="1"/>
      </tp>
      <tp t="s">
        <v/>
        <stp/>
        <stp>nse_cm|79IGT28-NF</stp>
        <stp>LTT</stp>
        <tr r="I692" s="1"/>
      </tp>
      <tp>
        <v>970</v>
        <stp/>
        <stp>nse_cm|79IGT28-NF</stp>
        <stp>LTP</stp>
        <tr r="H692" s="1"/>
      </tp>
      <tp t="s">
        <v>MFLTDII27</v>
        <stp/>
        <stp>bse_cm|MFLTDII27</stp>
        <stp>Trading Symbol</stp>
        <tr r="B297" s="1"/>
      </tp>
      <tp>
        <v>1039.99</v>
        <stp/>
        <stp>nse_cm|82IGT31-NJ</stp>
        <stp>LTP</stp>
        <tr r="H375" s="1"/>
      </tp>
      <tp t="s">
        <v>10:32:38</v>
        <stp/>
        <stp>nse_cm|82IGT31-NJ</stp>
        <stp>LTT</stp>
        <tr r="I375" s="1"/>
      </tp>
      <tp t="s">
        <v>INE148I07LC2</v>
        <stp/>
        <stp>nse_cm|925SCFL27-YA</stp>
        <stp>Isin code</stp>
        <tr r="R113" s="1"/>
      </tp>
      <tp>
        <v>0</v>
        <stp/>
        <stp>bse_cm|MFL26F</stp>
        <stp>Ask Rate</stp>
        <tr r="F1278" s="1"/>
      </tp>
      <tp>
        <v>-100</v>
        <stp/>
        <stp>bse_cm|MFLTDIII24</stp>
        <stp>% Change</stp>
        <tr r="J1721" s="1"/>
      </tp>
      <tp>
        <v>1175.45</v>
        <stp/>
        <stp>nse_cm|IIFLHFZC27-NB</stp>
        <stp>Prev Close</stp>
        <tr r="P1672" s="1"/>
      </tp>
      <tp>
        <v>0</v>
        <stp/>
        <stp>bse_cm|MFL26E</stp>
        <stp>Ask Rate</stp>
        <tr r="F1533" s="1"/>
      </tp>
      <tp>
        <v>0</v>
        <stp/>
        <stp>bse_cm|MFL26D</stp>
        <stp>Ask Rate</stp>
        <tr r="F1279" s="1"/>
      </tp>
      <tp>
        <v>0</v>
        <stp/>
        <stp>nse_cm|935MOFSL29-N5</stp>
        <stp>ATP</stp>
        <tr r="K1601" s="1"/>
      </tp>
      <tp>
        <v>1007.6</v>
        <stp/>
        <stp>nse_cm|885MOFSL26-N0</stp>
        <stp>ATP</stp>
        <tr r="K1635" s="1"/>
      </tp>
      <tp>
        <v>1125</v>
        <stp/>
        <stp>bse_cm|MFL26C</stp>
        <stp>Ask Rate</stp>
        <tr r="F1669" s="1"/>
      </tp>
      <tp>
        <v>2130</v>
        <stp/>
        <stp>nse_cm|NIDOZC26-N7</stp>
        <stp xml:space="preserve">Low </stp>
        <tr r="O28" s="1"/>
      </tp>
      <tp>
        <v>0</v>
        <stp/>
        <stp>bse_cm|MFL26B</stp>
        <stp>Ask Rate</stp>
        <tr r="F1280" s="1"/>
      </tp>
      <tp>
        <v>0</v>
        <stp/>
        <stp>bse_cm|CCILZC30</stp>
        <stp>Open</stp>
        <tr r="M746" s="1"/>
      </tp>
      <tp>
        <v>0</v>
        <stp/>
        <stp>bse_cm|MFL26A</stp>
        <stp>Ask Rate</stp>
        <tr r="F1557" s="1"/>
      </tp>
      <tp>
        <v>1017</v>
        <stp/>
        <stp>bse_cm|KFL30A</stp>
        <stp>Ask Rate</stp>
        <tr r="F1592" s="1"/>
      </tp>
      <tp>
        <v>7.0000000000000007E-2</v>
        <stp/>
        <stp>nse_cm|99AEL29-N7</stp>
        <stp>% Change</stp>
        <tr r="J246" s="1"/>
      </tp>
      <tp>
        <v>1080</v>
        <stp/>
        <stp>bse_cm|MML26A</stp>
        <stp>Ask Rate</stp>
        <tr r="F1642" s="1"/>
      </tp>
      <tp>
        <v>0</v>
        <stp/>
        <stp>bse_cm|68PFCL31</stp>
        <stp>High</stp>
        <tr r="N1205" s="1"/>
      </tp>
      <tp>
        <v>0</v>
        <stp/>
        <stp>nse_cm|948SCL26A-NN</stp>
        <stp>% Change</stp>
        <tr r="J526" s="1"/>
      </tp>
      <tp>
        <v>941</v>
        <stp/>
        <stp>nse_cm|955SCL27-Z5</stp>
        <stp>Bid Rate</stp>
        <tr r="E949" s="1"/>
      </tp>
      <tp>
        <v>0</v>
        <stp/>
        <stp>nse_cm|957SCL31-Z3</stp>
        <stp>Bid Rate</stp>
        <tr r="E874" s="1"/>
      </tp>
      <tp>
        <v>26</v>
        <stp/>
        <stp>bse_cm|905SC24</stp>
        <stp>Ask Qty</stp>
        <tr r="G573" s="1"/>
      </tp>
      <tp>
        <v>1110</v>
        <stp/>
        <stp>bse_cm|MFL26Z</stp>
        <stp>Ask Rate</stp>
        <tr r="F1655" s="1"/>
      </tp>
      <tp>
        <v>-100</v>
        <stp/>
        <stp>bse_cm|MFLTDVII27</stp>
        <stp>% Change</stp>
        <tr r="J1562" s="1"/>
      </tp>
      <tp>
        <v>0</v>
        <stp/>
        <stp>nse_cm|888SCL25D-NC</stp>
        <stp>% Change</stp>
        <tr r="J916" s="1"/>
      </tp>
      <tp>
        <v>1184</v>
        <stp/>
        <stp>nse_cm|846REC28-N6</stp>
        <stp>Ask Rate</stp>
        <tr r="F548" s="1"/>
      </tp>
      <tp>
        <v>0</v>
        <stp/>
        <stp>bse_cm|KAFL28A</stp>
        <stp>Ask Qty</stp>
        <tr r="G1319" s="1"/>
      </tp>
      <tp>
        <v>933.2</v>
        <stp/>
        <stp>nse_cm|985ECL28-NK</stp>
        <stp>Ask Rate</stp>
        <tr r="F52" s="1"/>
      </tp>
      <tp>
        <v>963</v>
        <stp/>
        <stp>nse_cm|10SCL30A-BV</stp>
        <stp>High</stp>
        <tr r="N445" s="1"/>
      </tp>
      <tp>
        <v>901.2</v>
        <stp/>
        <stp>nse_cm|890ICCL23A-NZ</stp>
        <stp>Prev Close</stp>
        <tr r="P1363" s="1"/>
      </tp>
      <tp>
        <v>0</v>
        <stp/>
        <stp>bse_cm|SCLZC25A</stp>
        <stp>Open</stp>
        <tr r="M1233" s="1"/>
      </tp>
      <tp>
        <v>0</v>
        <stp/>
        <stp>bse_cm|SFLZC25A</stp>
        <stp>Open</stp>
        <tr r="M1583" s="1"/>
      </tp>
      <tp>
        <v>0</v>
        <stp/>
        <stp>bse_cm|KFLZC25A</stp>
        <stp>Open</stp>
        <tr r="M1738" s="1"/>
      </tp>
      <tp>
        <v>0</v>
        <stp/>
        <stp>nse_cm|888SCL25-NG</stp>
        <stp>Ask Rate</stp>
        <tr r="F912" s="1"/>
      </tp>
      <tp>
        <v>0</v>
        <stp/>
        <stp>bse_cm|MFLZC25A</stp>
        <stp>Open</stp>
        <tr r="M1757" s="1"/>
      </tp>
      <tp>
        <v>949</v>
        <stp/>
        <stp>nse_cm|971SCL28-AN</stp>
        <stp>Ask Rate</stp>
        <tr r="F538" s="1"/>
      </tp>
      <tp>
        <v>1000</v>
        <stp/>
        <stp>bse_cm|833SCL24</stp>
        <stp>Prev Close</stp>
        <tr r="P1180" s="1"/>
      </tp>
      <tp>
        <v>0</v>
        <stp/>
        <stp>bse_cm|SCLZC25B</stp>
        <stp>Open</stp>
        <tr r="M1540" s="1"/>
      </tp>
      <tp>
        <v>0</v>
        <stp/>
        <stp>bse_cm|KFLZC25B</stp>
        <stp>Open</stp>
        <tr r="M1739" s="1"/>
      </tp>
      <tp>
        <v>0</v>
        <stp/>
        <stp>bse_cm|967EFS28</stp>
        <stp>ATP</stp>
        <tr r="K190" s="1"/>
      </tp>
      <tp>
        <v>981</v>
        <stp/>
        <stp>nse_cm|866SFL25-ZE</stp>
        <stp>Bid Rate</stp>
        <tr r="E1389" s="1"/>
      </tp>
      <tp>
        <v>0</v>
        <stp/>
        <stp>bse_cm|MFLZC25B</stp>
        <stp>Open</stp>
        <tr r="M1273" s="1"/>
      </tp>
      <tp>
        <v>1000</v>
        <stp/>
        <stp>bse_cm|820SCL25</stp>
        <stp>Prev Close</stp>
        <tr r="P925" s="1"/>
      </tp>
      <tp>
        <v>0</v>
        <stp/>
        <stp>bse_cm|SCLZC25C</stp>
        <stp>Open</stp>
        <tr r="M1231" s="1"/>
      </tp>
      <tp>
        <v>0</v>
        <stp/>
        <stp>bse_cm|KFLZC25C</stp>
        <stp>Open</stp>
        <tr r="M1295" s="1"/>
      </tp>
      <tp>
        <v>0</v>
        <stp/>
        <stp>bse_cm|MFLZC25C</stp>
        <stp>Open</stp>
        <tr r="M1579" s="1"/>
      </tp>
      <tp>
        <v>1022</v>
        <stp/>
        <stp>bse_cm|903SFL28</stp>
        <stp>Bid Rate</stp>
        <tr r="E397" s="1"/>
      </tp>
      <tp>
        <v>1000</v>
        <stp/>
        <stp>bse_cm|857SCL24</stp>
        <stp>Prev Close</stp>
        <tr r="P1002" s="1"/>
      </tp>
      <tp>
        <v>1000</v>
        <stp/>
        <stp>bse_cm|850SCL25</stp>
        <stp>Prev Close</stp>
        <tr r="P923" s="1"/>
      </tp>
      <tp t="s">
        <v>BSE</v>
        <stp/>
        <stp>bse_cm|NIDO27</stp>
        <stp>Exchange</stp>
        <tr r="C1661" s="1"/>
      </tp>
      <tp>
        <v>0</v>
        <stp/>
        <stp>bse_cm|SCLZC25D</stp>
        <stp>Open</stp>
        <tr r="M1573" s="1"/>
      </tp>
      <tp>
        <v>0</v>
        <stp/>
        <stp>bse_cm|KFLZC25D</stp>
        <stp>Open</stp>
        <tr r="M1735" s="1"/>
      </tp>
      <tp>
        <v>0</v>
        <stp/>
        <stp>bse_cm|MFLZC25D</stp>
        <stp>Open</stp>
        <tr r="M1520" s="1"/>
      </tp>
      <tp>
        <v>980.11</v>
        <stp/>
        <stp>bse_cm|847SCL25</stp>
        <stp>Prev Close</stp>
        <tr r="P941" s="1"/>
      </tp>
      <tp>
        <v>999.95</v>
        <stp/>
        <stp>bse_cm|801TCH25</stp>
        <stp>Prev Close</stp>
        <tr r="P562" s="1"/>
      </tp>
      <tp>
        <v>1000</v>
        <stp/>
        <stp>bse_cm|801TCH28</stp>
        <stp>Prev Close</stp>
        <tr r="P1182" s="1"/>
      </tp>
      <tp>
        <v>849.4</v>
        <stp/>
        <stp>bse_cm|843SCL27</stp>
        <stp>Prev Close</stp>
        <tr r="P928" s="1"/>
      </tp>
      <tp t="s">
        <v>BSE</v>
        <stp/>
        <stp>bse_cm|NIDO26</stp>
        <stp>Exchange</stp>
        <tr r="C1244" s="1"/>
      </tp>
      <tp>
        <v>0</v>
        <stp/>
        <stp>bse_cm|SCLZC25E</stp>
        <stp>Open</stp>
        <tr r="M907" s="1"/>
      </tp>
      <tp>
        <v>0</v>
        <stp/>
        <stp>bse_cm|KFLZC25E</stp>
        <stp>Open</stp>
        <tr r="M1530" s="1"/>
      </tp>
      <tp>
        <v>865.2</v>
        <stp/>
        <stp>nse_cm|865SCL24-ZA</stp>
        <stp>Bid Rate</stp>
        <tr r="E954" s="1"/>
      </tp>
      <tp>
        <v>1065</v>
        <stp/>
        <stp>nse_cm|IIFLHF29-NE</stp>
        <stp>High</stp>
        <tr r="N1630" s="1"/>
      </tp>
      <tp>
        <v>1000</v>
        <stp/>
        <stp>bse_cm|875SCL27</stp>
        <stp>Prev Close</stp>
        <tr r="P722" s="1"/>
      </tp>
      <tp>
        <v>937.61</v>
        <stp/>
        <stp>bse_cm|879SCL26</stp>
        <stp>Prev Close</stp>
        <tr r="P1351" s="1"/>
      </tp>
      <tp t="s">
        <v>BSE</v>
        <stp/>
        <stp>bse_cm|NIDO25</stp>
        <stp>Exchange</stp>
        <tr r="C1726" s="1"/>
      </tp>
      <tp>
        <v>0</v>
        <stp/>
        <stp>bse_cm|9SCL26BA</stp>
        <stp>ATP</stp>
        <tr r="K160" s="1"/>
      </tp>
      <tp>
        <v>0</v>
        <stp/>
        <stp>bse_cm|SCLZC25F</stp>
        <stp>Open</stp>
        <tr r="M1542" s="1"/>
      </tp>
      <tp>
        <v>1000</v>
        <stp/>
        <stp>bse_cm|865SCL24</stp>
        <stp>Prev Close</stp>
        <tr r="P1165" s="1"/>
      </tp>
      <tp>
        <v>965</v>
        <stp/>
        <stp>bse_cm|865SCL26</stp>
        <stp>Prev Close</stp>
        <tr r="P627" s="1"/>
      </tp>
      <tp>
        <v>984.08</v>
        <stp/>
        <stp>bse_cm|866SCL25</stp>
        <stp>Prev Close</stp>
        <tr r="P603" s="1"/>
      </tp>
      <tp>
        <v>1151.57</v>
        <stp/>
        <stp>bse_cm|894SCL25</stp>
        <stp>Prev Close</stp>
        <tr r="P1517" s="1"/>
      </tp>
      <tp>
        <v>950.2</v>
        <stp/>
        <stp>bse_cm|894SCL24</stp>
        <stp>Prev Close</stp>
        <tr r="P645" s="1"/>
      </tp>
      <tp>
        <v>850</v>
        <stp/>
        <stp>bse_cm|894SCL27</stp>
        <stp>Prev Close</stp>
        <tr r="P962" s="1"/>
      </tp>
      <tp>
        <v>825.2</v>
        <stp/>
        <stp>bse_cm|833SCL24</stp>
        <stp>Bid Rate</stp>
        <tr r="E1180" s="1"/>
      </tp>
      <tp t="s">
        <v>9SCL26BA-NA</v>
        <stp/>
        <stp>nse_cm|9SCL26BA-NA</stp>
        <stp>Trading Symbol</stp>
        <tr r="B122" s="1"/>
      </tp>
      <tp>
        <v>942.99</v>
        <stp/>
        <stp>bse_cm|885SCL26</stp>
        <stp>Prev Close</stp>
        <tr r="P57" s="1"/>
      </tp>
      <tp>
        <v>954</v>
        <stp/>
        <stp>bse_cm|889SCL27</stp>
        <stp>Prev Close</stp>
        <tr r="P121" s="1"/>
      </tp>
      <tp>
        <v>920</v>
        <stp/>
        <stp>bse_cm|889SCL26</stp>
        <stp>Prev Close</stp>
        <tr r="P237" s="1"/>
      </tp>
      <tp>
        <v>972.36</v>
        <stp/>
        <stp>bse_cm|889SCL28</stp>
        <stp>Prev Close</stp>
        <tr r="P1069" s="1"/>
      </tp>
      <tp>
        <v>1000</v>
        <stp/>
        <stp>bse_cm|888SCL25</stp>
        <stp>Prev Close</stp>
        <tr r="P1134" s="1"/>
      </tp>
      <tp>
        <v>1000</v>
        <stp/>
        <stp>bse_cm|888SCL26</stp>
        <stp>Prev Close</stp>
        <tr r="P915" s="1"/>
      </tp>
      <tp>
        <v>1002</v>
        <stp/>
        <stp>nse_cm|78ABFL33-N4</stp>
        <stp>Ask Rate</stp>
        <tr r="F371" s="1"/>
      </tp>
      <tp>
        <v>815.9</v>
        <stp/>
        <stp>bse_cm|843SCL27</stp>
        <stp>Bid Rate</stp>
        <tr r="E928" s="1"/>
      </tp>
      <tp t="s">
        <v>BSE</v>
        <stp/>
        <stp>bse_cm|NIDO28</stp>
        <stp>Exchange</stp>
        <tr r="C1243" s="1"/>
      </tp>
      <tp>
        <v>999.99</v>
        <stp/>
        <stp>nse_cm|829LTF24-NL</stp>
        <stp>Ask Rate</stp>
        <tr r="F3" s="1"/>
      </tp>
      <tp t="s">
        <v>INE148I07PW1</v>
        <stp/>
        <stp>nse_cm|925SCL25Z-NE</stp>
        <stp>Isin code</stp>
        <tr r="R914" s="1"/>
      </tp>
      <tp>
        <v>830.2</v>
        <stp/>
        <stp>nse_cm|850SCL25-YL</stp>
        <stp>Bid Rate</stp>
        <tr r="E922" s="1"/>
      </tp>
      <tp>
        <v>0</v>
        <stp/>
        <stp>nse_cm|905SC24B-Z9</stp>
        <stp>Open</stp>
        <tr r="M637" s="1"/>
      </tp>
      <tp>
        <v>1000</v>
        <stp/>
        <stp>nse_cm|CIF27-NM</stp>
        <stp>LTP</stp>
        <tr r="H1665" s="1"/>
      </tp>
      <tp>
        <v>0</v>
        <stp/>
        <stp>nse_cm|CIF29-NO</stp>
        <stp>LTP</stp>
        <tr r="H743" s="1"/>
      </tp>
      <tp t="s">
        <v/>
        <stp/>
        <stp>nse_cm|CIF27-NM</stp>
        <stp>LTT</stp>
        <tr r="I1665" s="1"/>
      </tp>
      <tp t="s">
        <v/>
        <stp/>
        <stp>nse_cm|CIF29-NO</stp>
        <stp>LTT</stp>
        <tr r="I743" s="1"/>
      </tp>
      <tp>
        <v>1000</v>
        <stp/>
        <stp>bse_cm|85PFL26A</stp>
        <stp xml:space="preserve">Low </stp>
        <tr r="O711" s="1"/>
      </tp>
      <tp>
        <v>0</v>
        <stp/>
        <stp>bse_cm|KAFL30</stp>
        <stp>Ask Rate</stp>
        <tr r="F1317" s="1"/>
      </tp>
      <tp>
        <v>937.5</v>
        <stp/>
        <stp>bse_cm|943ECL28</stp>
        <stp>Bid Rate</stp>
        <tr r="E124" s="1"/>
      </tp>
      <tp>
        <v>0</v>
        <stp/>
        <stp>nse_cm|889SCL28-NU</stp>
        <stp>Ask Rate</stp>
        <tr r="F989" s="1"/>
      </tp>
      <tp>
        <v>992.55</v>
        <stp/>
        <stp>nse_cm|889SCL26-NS</stp>
        <stp>Ask Rate</stp>
        <tr r="F222" s="1"/>
      </tp>
      <tp>
        <v>849.8</v>
        <stp/>
        <stp>bse_cm|903ONE26</stp>
        <stp>Bid Rate</stp>
        <tr r="E843" s="1"/>
      </tp>
      <tp>
        <v>873.8</v>
        <stp/>
        <stp>bse_cm|772IGT31</stp>
        <stp>Bid Rate</stp>
        <tr r="E1194" s="1"/>
      </tp>
      <tp>
        <v>1202.4000000000001</v>
        <stp/>
        <stp>nse_cm|980SCL33-NX</stp>
        <stp>Ask Rate</stp>
        <tr r="F360" s="1"/>
      </tp>
      <tp t="s">
        <v>BSE</v>
        <stp/>
        <stp>bse_cm|NWIL25</stp>
        <stp>Exchange</stp>
        <tr r="C1546" s="1"/>
      </tp>
      <tp>
        <v>1000</v>
        <stp/>
        <stp>bse_cm|89EFSL25</stp>
        <stp>Face Value</stp>
        <tr r="Q87" s="1"/>
      </tp>
      <tp>
        <v>2</v>
        <stp/>
        <stp>bse_cm|MFOPTIV24</stp>
        <stp>Ask Qty</stp>
        <tr r="G380" s="1"/>
      </tp>
      <tp t="s">
        <v>BSE</v>
        <stp/>
        <stp>bse_cm|NWIL27</stp>
        <stp>Exchange</stp>
        <tr r="C1439" s="1"/>
      </tp>
      <tp>
        <v>0</v>
        <stp/>
        <stp>nse_cm|824LTF27-NQ</stp>
        <stp>Ask Rate</stp>
        <tr r="F999" s="1"/>
      </tp>
      <tp t="s">
        <v>NSE</v>
        <stp/>
        <stp>nse_cm|865LTF26-NN</stp>
        <stp>Exchange</stp>
        <tr r="C392" s="1"/>
      </tp>
      <tp>
        <v>1079.0999999999999</v>
        <stp/>
        <stp>bse_cm|10MFL24B</stp>
        <stp>Open</stp>
        <tr r="M185" s="1"/>
      </tp>
      <tp>
        <v>0</v>
        <stp/>
        <stp>nse_cm|82TCHF25-N5</stp>
        <stp>Ask Rate</stp>
        <tr r="F1014" s="1"/>
      </tp>
      <tp>
        <v>0</v>
        <stp/>
        <stp>nse_cm|9TCAP28-N9</stp>
        <stp>Volume Traded Today</stp>
        <tr r="L544" s="1"/>
      </tp>
      <tp t="s">
        <v>935MOFSL29</v>
        <stp/>
        <stp>nse_cm|935MOFSL29-N5</stp>
        <stp>Symbol</stp>
        <tr r="A1601" s="1"/>
      </tp>
      <tp>
        <v>0</v>
        <stp/>
        <stp>nse_cm|1025ICCL26-NT</stp>
        <stp>Ask Rate</stp>
        <tr r="F771" s="1"/>
      </tp>
      <tp t="s">
        <v>957ISFL26-N2</v>
        <stp/>
        <stp>nse_cm|957ISFL26-N2</stp>
        <stp>Trading Symbol</stp>
        <tr r="B245" s="1"/>
      </tp>
      <tp>
        <v>-100</v>
        <stp/>
        <stp>bse_cm|971SCL28C</stp>
        <stp>% Change</stp>
        <tr r="J827" s="1"/>
      </tp>
      <tp>
        <v>-100</v>
        <stp/>
        <stp>bse_cm|965SCL28C</stp>
        <stp>% Change</stp>
        <tr r="J818" s="1"/>
      </tp>
      <tp>
        <v>-100</v>
        <stp/>
        <stp>bse_cm|925SCL28C</stp>
        <stp>% Change</stp>
        <tr r="J824" s="1"/>
      </tp>
      <tp>
        <v>-100</v>
        <stp/>
        <stp>bse_cm|971SCL28B</stp>
        <stp>% Change</stp>
        <tr r="J714" s="1"/>
      </tp>
      <tp>
        <v>-100</v>
        <stp/>
        <stp>bse_cm|965SCL28B</stp>
        <stp>% Change</stp>
        <tr r="J896" s="1"/>
      </tp>
      <tp>
        <v>-100</v>
        <stp/>
        <stp>bse_cm|925SCL28B</stp>
        <stp>% Change</stp>
        <tr r="J894" s="1"/>
      </tp>
      <tp>
        <v>-100</v>
        <stp/>
        <stp>bse_cm|971SCL28A</stp>
        <stp>% Change</stp>
        <tr r="J1027" s="1"/>
      </tp>
      <tp>
        <v>-100</v>
        <stp/>
        <stp>bse_cm|965SCL28A</stp>
        <stp>% Change</stp>
        <tr r="J1136" s="1"/>
      </tp>
      <tp>
        <v>-100</v>
        <stp/>
        <stp>bse_cm|925SCL28A</stp>
        <stp>% Change</stp>
        <tr r="J938" s="1"/>
      </tp>
      <tp t="s">
        <v>INE338I07131</v>
        <stp/>
        <stp>nse_cm|885MOFSL26-N0</stp>
        <stp>Isin code</stp>
        <tr r="R1635" s="1"/>
      </tp>
      <tp>
        <v>-100</v>
        <stp/>
        <stp>bse_cm|971SCL28I</stp>
        <stp>% Change</stp>
        <tr r="J1471" s="1"/>
      </tp>
      <tp>
        <v>-100</v>
        <stp/>
        <stp>bse_cm|925SCL28I</stp>
        <stp>% Change</stp>
        <tr r="J822" s="1"/>
      </tp>
      <tp t="s">
        <v>BSE</v>
        <stp/>
        <stp>bse_cm|MML30</stp>
        <stp>Exchange</stp>
        <tr r="C1525" s="1"/>
      </tp>
      <tp t="s">
        <v>BSE</v>
        <stp/>
        <stp>bse_cm|MFL30</stp>
        <stp>Exchange</stp>
        <tr r="C1460" s="1"/>
      </tp>
      <tp t="s">
        <v>BSE</v>
        <stp/>
        <stp>bse_cm|MFL31</stp>
        <stp>Exchange</stp>
        <tr r="C701" s="1"/>
      </tp>
      <tp>
        <v>0</v>
        <stp/>
        <stp>bse_cm|MFLVIII26H</stp>
        <stp>ATP</stp>
        <tr r="K1575" s="1"/>
      </tp>
      <tp>
        <v>0</v>
        <stp/>
        <stp>bse_cm|MFLVIII27H</stp>
        <stp>ATP</stp>
        <tr r="K1274" s="1"/>
      </tp>
      <tp t="s">
        <v>INE614X07456</v>
        <stp/>
        <stp>nse_cm|1049DLS25A-Y5</stp>
        <stp>Isin code</stp>
        <tr r="R44" s="1"/>
      </tp>
      <tp t="s">
        <v>BSE</v>
        <stp/>
        <stp>bse_cm|KFL30</stp>
        <stp>Exchange</stp>
        <tr r="C1298" s="1"/>
      </tp>
      <tp t="s">
        <v>BSE</v>
        <stp/>
        <stp>bse_cm|KFL31</stp>
        <stp>Exchange</stp>
        <tr r="C1297" s="1"/>
      </tp>
      <tp t="s">
        <v>BSE</v>
        <stp/>
        <stp>bse_cm|SFL30</stp>
        <stp>Exchange</stp>
        <tr r="C1597" s="1"/>
      </tp>
      <tp t="s">
        <v>INE721A07PM3</v>
        <stp/>
        <stp>nse_cm|9SFL25A-ZH</stp>
        <stp>Isin code</stp>
        <tr r="R463" s="1"/>
      </tp>
      <tp t="s">
        <v>INE148I07LD0</v>
        <stp/>
        <stp>nse_cm|843SCFL27-YB</stp>
        <stp>Isin code</stp>
        <tr r="R929" s="1"/>
      </tp>
      <tp>
        <v>0</v>
        <stp/>
        <stp>bse_cm|905SC24</stp>
        <stp>Bid Qty</stp>
        <tr r="D573" s="1"/>
      </tp>
      <tp>
        <v>0</v>
        <stp/>
        <stp>nse_cm|855TCAPS27-N7</stp>
        <stp>ATP</stp>
        <tr r="K1003" s="1"/>
      </tp>
      <tp>
        <v>0</v>
        <stp/>
        <stp>nse_cm|865TCAPS27-N8</stp>
        <stp>ATP</stp>
        <tr r="K376" s="1"/>
      </tp>
      <tp t="s">
        <v>INE148I07NT2</v>
        <stp/>
        <stp>nse_cm|965SCFL25-AB</stp>
        <stp>Isin code</stp>
        <tr r="R664" s="1"/>
      </tp>
      <tp>
        <v>0</v>
        <stp/>
        <stp>bse_cm|11KAFL29</stp>
        <stp>Open</stp>
        <tr r="M662" s="1"/>
      </tp>
      <tp>
        <v>0</v>
        <stp/>
        <stp>nse_cm|CIFCZC26-NF</stp>
        <stp>ATP</stp>
        <tr r="K1561" s="1"/>
      </tp>
      <tp>
        <v>0</v>
        <stp/>
        <stp>nse_cm|CIFCZC25-ND</stp>
        <stp>ATP</stp>
        <tr r="K1435" s="1"/>
      </tp>
      <tp>
        <v>1020</v>
        <stp/>
        <stp>nse_cm|CIFCZC28-NH</stp>
        <stp>ATP</stp>
        <tr r="K1607" s="1"/>
      </tp>
      <tp>
        <v>2499</v>
        <stp/>
        <stp>nse_cm|NIDOZC26-N7</stp>
        <stp>LTP</stp>
        <tr r="H28" s="1"/>
      </tp>
      <tp t="s">
        <v/>
        <stp/>
        <stp>nse_cm|NIDOZC26-N7</stp>
        <stp>LTT</stp>
        <tr r="I28" s="1"/>
      </tp>
      <tp>
        <v>0</v>
        <stp/>
        <stp>nse_cm|98ICCL26-NU</stp>
        <stp>Ask Rate</stp>
        <tr r="F1569" s="1"/>
      </tp>
      <tp>
        <v>1074</v>
        <stp/>
        <stp>bse_cm|MFL25E</stp>
        <stp>Ask Rate</stp>
        <tr r="F1664" s="1"/>
      </tp>
      <tp>
        <v>0</v>
        <stp/>
        <stp>nse_cm|875TCAPS29-NB</stp>
        <stp>ATP</stp>
        <tr r="K934" s="1"/>
      </tp>
      <tp>
        <v>0</v>
        <stp/>
        <stp>nse_cm|885TCAPS29-NC</stp>
        <stp>ATP</stp>
        <tr r="K13" s="1"/>
      </tp>
      <tp>
        <v>946</v>
        <stp/>
        <stp>bse_cm|9SCL26BA</stp>
        <stp>Bid Rate</stp>
        <tr r="E160" s="1"/>
      </tp>
      <tp>
        <v>1113</v>
        <stp/>
        <stp>bse_cm|MFL25D</stp>
        <stp>Ask Rate</stp>
        <tr r="F1705" s="1"/>
      </tp>
      <tp>
        <v>0</v>
        <stp/>
        <stp>bse_cm|0KFL31</stp>
        <stp>High</stp>
        <tr r="N1044" s="1"/>
      </tp>
      <tp t="s">
        <v>NSE</v>
        <stp/>
        <stp>nse_cm|99IFCI24-NH</stp>
        <stp>Exchange</stp>
        <tr r="C39" s="1"/>
      </tp>
      <tp>
        <v>0</v>
        <stp/>
        <stp>bse_cm|MFL25C</stp>
        <stp>Ask Rate</stp>
        <tr r="F1571" s="1"/>
      </tp>
      <tp>
        <v>1073.8</v>
        <stp/>
        <stp>bse_cm|MFL25B</stp>
        <stp>Ask Rate</stp>
        <tr r="F1667" s="1"/>
      </tp>
      <tp t="s">
        <v>9TCAP28</v>
        <stp/>
        <stp>bse_cm|9TCAP28</stp>
        <stp>Symbol</stp>
        <tr r="A545" s="1"/>
      </tp>
      <tp>
        <v>1119</v>
        <stp/>
        <stp>bse_cm|MFL25A</stp>
        <stp>Ask Rate</stp>
        <tr r="F1692" s="1"/>
      </tp>
      <tp>
        <v>0</v>
        <stp/>
        <stp>bse_cm|10KFIL27</stp>
        <stp>Open</stp>
        <tr r="M183" s="1"/>
      </tp>
      <tp>
        <v>0</v>
        <stp/>
        <stp>bse_cm|11KAFL27</stp>
        <stp>Open</stp>
        <tr r="M184" s="1"/>
      </tp>
      <tp>
        <v>0</v>
        <stp/>
        <stp>bse_cm|10JFPL30</stp>
        <stp>Open</stp>
        <tr r="M1097" s="1"/>
      </tp>
      <tp>
        <v>0</v>
        <stp/>
        <stp>bse_cm|11KAFL26</stp>
        <stp>Open</stp>
        <tr r="M671" s="1"/>
      </tp>
      <tp>
        <v>0</v>
        <stp/>
        <stp>bse_cm|10KAFL26</stp>
        <stp>Open</stp>
        <tr r="M1096" s="1"/>
      </tp>
      <tp>
        <v>0</v>
        <stp/>
        <stp>bse_cm|MML25A</stp>
        <stp>Ask Rate</stp>
        <tr r="F1252" s="1"/>
      </tp>
      <tp>
        <v>0</v>
        <stp/>
        <stp>bse_cm|95KAFL25</stp>
        <stp>Open</stp>
        <tr r="M40" s="1"/>
      </tp>
      <tp>
        <v>0</v>
        <stp/>
        <stp>bse_cm|MML25B</stp>
        <stp>Ask Rate</stp>
        <tr r="F1498" s="1"/>
      </tp>
      <tp>
        <v>0</v>
        <stp/>
        <stp>bse_cm|MML25C</stp>
        <stp>Ask Rate</stp>
        <tr r="F1251" s="1"/>
      </tp>
      <tp>
        <v>-100</v>
        <stp/>
        <stp>bse_cm|0SFL29A</stp>
        <stp>% Change</stp>
        <tr r="J1033" s="1"/>
      </tp>
      <tp>
        <v>0</v>
        <stp/>
        <stp>nse_cm|885SCL26-N9</stp>
        <stp>Ask Rate</stp>
        <tr r="F686" s="1"/>
      </tp>
      <tp>
        <v>950</v>
        <stp/>
        <stp>bse_cm|10IIFLSF27</stp>
        <stp>Prev Close</stp>
        <tr r="P1098" s="1"/>
      </tp>
      <tp>
        <v>1070.55</v>
        <stp/>
        <stp>bse_cm|84TCHF28</stp>
        <stp xml:space="preserve">Low </stp>
        <tr r="O403" s="1"/>
      </tp>
      <tp>
        <v>1010</v>
        <stp/>
        <stp>bse_cm|81TCHF28</stp>
        <stp xml:space="preserve">Low </stp>
        <tr r="O479" s="1"/>
      </tp>
      <tp>
        <v>0</v>
        <stp/>
        <stp>bse_cm|83TCHF28</stp>
        <stp xml:space="preserve">Low </stp>
        <tr r="O832" s="1"/>
      </tp>
      <tp>
        <v>0</v>
        <stp/>
        <stp>nse_cm|868NHB29-N3</stp>
        <stp>Ask Rate</stp>
        <tr r="F1342" s="1"/>
      </tp>
      <tp>
        <v>1179.8900000000001</v>
        <stp/>
        <stp>nse_cm|871REC28-N9</stp>
        <stp>Ask Rate</stp>
        <tr r="F542" s="1"/>
      </tp>
      <tp>
        <v>0</v>
        <stp/>
        <stp>bse_cm|960EFSLA</stp>
        <stp>ATP</stp>
        <tr r="K699" s="1"/>
      </tp>
      <tp>
        <v>0</v>
        <stp/>
        <stp>bse_cm|0SFL31</stp>
        <stp>High</stp>
        <tr r="N1032" s="1"/>
      </tp>
      <tp>
        <v>0</v>
        <stp/>
        <stp>bse_cm|10KSFL25</stp>
        <stp>Open</stp>
        <tr r="M107" s="1"/>
      </tp>
      <tp t="s">
        <v>INE530B07351</v>
        <stp/>
        <stp>nse_cm|IIFLZC26B-NY</stp>
        <stp>Isin code</stp>
        <tr r="R1629" s="1"/>
      </tp>
      <tp>
        <v>0</v>
        <stp/>
        <stp>bse_cm|797IGT31</stp>
        <stp>Volume Traded Today</stp>
        <tr r="L381" s="1"/>
      </tp>
      <tp t="s">
        <v>BSE</v>
        <stp/>
        <stp>bse_cm|MFL31A</stp>
        <stp>Exchange</stp>
        <tr r="C1275" s="1"/>
      </tp>
      <tp t="s">
        <v>BSE</v>
        <stp/>
        <stp>bse_cm|KFL27A</stp>
        <stp>Exchange</stp>
        <tr r="C1302" s="1"/>
      </tp>
      <tp>
        <v>901.2</v>
        <stp/>
        <stp>bse_cm|905SC24B</stp>
        <stp>Bid Rate</stp>
        <tr r="E684" s="1"/>
      </tp>
      <tp t="s">
        <v>BSE</v>
        <stp/>
        <stp>bse_cm|KFL27B</stp>
        <stp>Exchange</stp>
        <tr r="C1301" s="1"/>
      </tp>
      <tp>
        <v>0</v>
        <stp/>
        <stp>nse_cm|865NHB34-N4</stp>
        <stp>Ask Rate</stp>
        <tr r="F1166" s="1"/>
      </tp>
      <tp>
        <v>0</v>
        <stp/>
        <stp>bse_cm|82TCHF25</stp>
        <stp xml:space="preserve">Low </stp>
        <tr r="O1015" s="1"/>
      </tp>
      <tp>
        <v>1059</v>
        <stp/>
        <stp>bse_cm|83TCHF25</stp>
        <stp xml:space="preserve">Low </stp>
        <tr r="O489" s="1"/>
      </tp>
      <tp>
        <v>0</v>
        <stp/>
        <stp>bse_cm|795IGT31</stp>
        <stp>Volume Traded Today</stp>
        <tr r="L1186" s="1"/>
      </tp>
      <tp t="s">
        <v>BSE</v>
        <stp/>
        <stp>bse_cm|KFL27C</stp>
        <stp>Exchange</stp>
        <tr r="C1300" s="1"/>
      </tp>
      <tp>
        <v>814</v>
        <stp/>
        <stp>bse_cm|915SCL27</stp>
        <stp>Prev Close</stp>
        <tr r="P1127" s="1"/>
      </tp>
      <tp>
        <v>969</v>
        <stp/>
        <stp>bse_cm|915SCL26</stp>
        <stp>Prev Close</stp>
        <tr r="P148" s="1"/>
      </tp>
      <tp>
        <v>900</v>
        <stp/>
        <stp>bse_cm|916SCL25</stp>
        <stp>Prev Close</stp>
        <tr r="P964" s="1"/>
      </tp>
      <tp>
        <v>1</v>
        <stp/>
        <stp>bse_cm|7PFCL31</stp>
        <stp>Bid Qty</stp>
        <tr r="D425" s="1"/>
      </tp>
      <tp>
        <v>0</v>
        <stp/>
        <stp>nse_cm|965SCL28-AK</stp>
        <stp>Ask Rate</stp>
        <tr r="F1137" s="1"/>
      </tp>
      <tp>
        <v>1044.2</v>
        <stp/>
        <stp>bse_cm|94IFCI25</stp>
        <stp>Prev Close</stp>
        <tr r="P228" s="1"/>
      </tp>
      <tp>
        <v>667</v>
        <stp/>
        <stp>bse_cm|905SCL25</stp>
        <stp>Prev Close</stp>
        <tr r="P1060" s="1"/>
      </tp>
      <tp>
        <v>1000</v>
        <stp/>
        <stp>bse_cm|905SCL27</stp>
        <stp>Prev Close</stp>
        <tr r="P976" s="1"/>
      </tp>
      <tp>
        <v>1000</v>
        <stp/>
        <stp>bse_cm|902SCL27</stp>
        <stp>Prev Close</stp>
        <tr r="P902" s="1"/>
      </tp>
      <tp>
        <v>667</v>
        <stp/>
        <stp>bse_cm|902SCL26</stp>
        <stp>Prev Close</stp>
        <tr r="P969" s="1"/>
      </tp>
      <tp>
        <v>994.8</v>
        <stp/>
        <stp>bse_cm|935SCL28</stp>
        <stp>Prev Close</stp>
        <tr r="P284" s="1"/>
      </tp>
      <tp>
        <v>800</v>
        <stp/>
        <stp>bse_cm|939SCL27</stp>
        <stp>Prev Close</stp>
        <tr r="P985" s="1"/>
      </tp>
      <tp>
        <v>974.01</v>
        <stp/>
        <stp>nse_cm|875SFL27-ZF</stp>
        <stp>Bid Rate</stp>
        <tr r="E379" s="1"/>
      </tp>
      <tp>
        <v>0</v>
        <stp/>
        <stp>bse_cm|ECLZC24B</stp>
        <stp>Open</stp>
        <tr r="M1767" s="1"/>
      </tp>
      <tp>
        <v>1002.4</v>
        <stp/>
        <stp>bse_cm|925SCL25</stp>
        <stp>Prev Close</stp>
        <tr r="P104" s="1"/>
      </tp>
      <tp>
        <v>947.75</v>
        <stp/>
        <stp>bse_cm|925SCL27</stp>
        <stp>Prev Close</stp>
        <tr r="P1414" s="1"/>
      </tp>
      <tp>
        <v>1000</v>
        <stp/>
        <stp>bse_cm|925SCL26</stp>
        <stp>Prev Close</stp>
        <tr r="P913" s="1"/>
      </tp>
      <tp>
        <v>1000</v>
        <stp/>
        <stp>bse_cm|925SCL29</stp>
        <stp>Prev Close</stp>
        <tr r="P820" s="1"/>
      </tp>
      <tp>
        <v>800</v>
        <stp/>
        <stp>bse_cm|925SCL28</stp>
        <stp>Prev Close</stp>
        <tr r="P940" s="1"/>
      </tp>
      <tp>
        <v>0</v>
        <stp/>
        <stp>bse_cm|MFLZC24C</stp>
        <stp>Open</stp>
        <tr r="M1551" s="1"/>
      </tp>
      <tp>
        <v>825.2</v>
        <stp/>
        <stp>bse_cm|92ICCL28</stp>
        <stp>Prev Close</stp>
        <tr r="P202" s="1"/>
      </tp>
      <tp>
        <v>710.1</v>
        <stp/>
        <stp>bse_cm|955SCL25</stp>
        <stp>Prev Close</stp>
        <tr r="P1128" s="1"/>
      </tp>
      <tp>
        <v>970</v>
        <stp/>
        <stp>bse_cm|955SCL27</stp>
        <stp>Prev Close</stp>
        <tr r="P621" s="1"/>
      </tp>
      <tp>
        <v>987.93</v>
        <stp/>
        <stp>bse_cm|957VCL25</stp>
        <stp>Prev Close</stp>
        <tr r="P53" s="1"/>
      </tp>
      <tp>
        <v>1000</v>
        <stp/>
        <stp>bse_cm|957SCL31</stp>
        <stp>Prev Close</stp>
        <tr r="P1108" s="1"/>
      </tp>
      <tp>
        <v>970</v>
        <stp/>
        <stp>bse_cm|957SCL30</stp>
        <stp>Prev Close</stp>
        <tr r="P1110" s="1"/>
      </tp>
      <tp>
        <v>0</v>
        <stp/>
        <stp>bse_cm|RFLNIFT25</stp>
        <stp>Ask Qty</stp>
        <tr r="G1242" s="1"/>
      </tp>
      <tp>
        <v>0</v>
        <stp/>
        <stp>bse_cm|KFLZC24D</stp>
        <stp>Open</stp>
        <tr r="M1296" s="1"/>
      </tp>
      <tp>
        <v>0</v>
        <stp/>
        <stp>bse_cm|MFLZC24D</stp>
        <stp>Open</stp>
        <tr r="M1550" s="1"/>
      </tp>
      <tp>
        <v>1000</v>
        <stp/>
        <stp>bse_cm|940SCL27</stp>
        <stp>Prev Close</stp>
        <tr r="P792" s="1"/>
      </tp>
      <tp>
        <v>667</v>
        <stp/>
        <stp>bse_cm|940SCL26</stp>
        <stp>Prev Close</stp>
        <tr r="P778" s="1"/>
      </tp>
      <tp>
        <v>949.98</v>
        <stp/>
        <stp>bse_cm|943ECL28</stp>
        <stp>Prev Close</stp>
        <tr r="P124" s="1"/>
      </tp>
      <tp>
        <v>1000</v>
        <stp/>
        <stp>bse_cm|948SCL27</stp>
        <stp>Prev Close</stp>
        <tr r="P1079" s="1"/>
      </tp>
      <tp>
        <v>858</v>
        <stp/>
        <stp>bse_cm|948SCL26</stp>
        <stp>Prev Close</stp>
        <tr r="P1647" s="1"/>
      </tp>
      <tp>
        <v>1000</v>
        <stp/>
        <stp>nse_cm|984ICCL26A-NK</stp>
        <stp>Prev Close</stp>
        <tr r="P716" s="1"/>
      </tp>
      <tp>
        <v>901</v>
        <stp/>
        <stp>bse_cm|MML27524</stp>
        <stp>Prev Close</stp>
        <tr r="P1511" s="1"/>
      </tp>
      <tp>
        <v>959</v>
        <stp/>
        <stp>bse_cm|975SCL28</stp>
        <stp>Prev Close</stp>
        <tr r="P1485" s="1"/>
      </tp>
      <tp>
        <v>1000</v>
        <stp/>
        <stp>bse_cm|971SCL29</stp>
        <stp>Prev Close</stp>
        <tr r="P521" s="1"/>
      </tp>
      <tp>
        <v>900</v>
        <stp/>
        <stp>bse_cm|971SCL28</stp>
        <stp>Prev Close</stp>
        <tr r="P1028" s="1"/>
      </tp>
      <tp>
        <v>1185</v>
        <stp/>
        <stp>bse_cm|IML23623</stp>
        <stp>Prev Close</stp>
        <tr r="P1327" s="1"/>
      </tp>
      <tp>
        <v>1123</v>
        <stp/>
        <stp>bse_cm|965SCL25</stp>
        <stp>Prev Close</stp>
        <tr r="P1105" s="1"/>
      </tp>
      <tp>
        <v>1009.8</v>
        <stp/>
        <stp>bse_cm|965SCL26</stp>
        <stp>Prev Close</stp>
        <tr r="P665" s="1"/>
      </tp>
      <tp>
        <v>628</v>
        <stp/>
        <stp>bse_cm|965VCL25</stp>
        <stp>Prev Close</stp>
        <tr r="P1543" s="1"/>
      </tp>
      <tp>
        <v>1000</v>
        <stp/>
        <stp>bse_cm|965SCL29</stp>
        <stp>Prev Close</stp>
        <tr r="P816" s="1"/>
      </tp>
      <tp>
        <v>807.5</v>
        <stp/>
        <stp>bse_cm|965SCL28</stp>
        <stp>Prev Close</stp>
        <tr r="P1138" s="1"/>
      </tp>
      <tp>
        <v>998</v>
        <stp/>
        <stp>bse_cm|995ECL24</stp>
        <stp>Prev Close</stp>
        <tr r="P427" s="1"/>
      </tp>
      <tp>
        <v>950</v>
        <stp/>
        <stp>bse_cm|995ECL29</stp>
        <stp>Prev Close</stp>
        <tr r="P198" s="1"/>
      </tp>
      <tp>
        <v>1010</v>
        <stp/>
        <stp>bse_cm|990SCL27</stp>
        <stp>Prev Close</stp>
        <tr r="P796" s="1"/>
      </tp>
      <tp>
        <v>715.29</v>
        <stp/>
        <stp>bse_cm|990SCL26</stp>
        <stp>Prev Close</stp>
        <tr r="P421" s="1"/>
      </tp>
      <tp>
        <v>1210</v>
        <stp/>
        <stp>bse_cm|743REC35</stp>
        <stp>Bid Rate</stp>
        <tr r="E513" s="1"/>
      </tp>
      <tp>
        <v>933.9</v>
        <stp/>
        <stp>bse_cm|985ECL28</stp>
        <stp>Prev Close</stp>
        <tr r="P56" s="1"/>
      </tp>
      <tp>
        <v>1000</v>
        <stp/>
        <stp>bse_cm|980SCL34</stp>
        <stp>Prev Close</stp>
        <tr r="P829" s="1"/>
      </tp>
      <tp>
        <v>1002</v>
        <stp/>
        <stp>bse_cm|980SCL33</stp>
        <stp>Prev Close</stp>
        <tr r="P998" s="1"/>
      </tp>
      <tp>
        <v>802</v>
        <stp/>
        <stp>bse_cm|98ICCL26</stp>
        <stp>Prev Close</stp>
        <tr r="P1412" s="1"/>
      </tp>
      <tp>
        <v>535.20000000000005</v>
        <stp/>
        <stp>bse_cm|902SCL26</stp>
        <stp>Bid Rate</stp>
        <tr r="E969" s="1"/>
      </tp>
      <tp>
        <v>0</v>
        <stp/>
        <stp>bse_cm|9ARKA25</stp>
        <stp>Ask Qty</stp>
        <tr r="G1365" s="1"/>
      </tp>
      <tp>
        <v>1800</v>
        <stp/>
        <stp>nse_cm|861REC34-ND</stp>
        <stp>Ask Rate</stp>
        <tr r="F583" s="1"/>
      </tp>
      <tp>
        <v>980</v>
        <stp/>
        <stp>bse_cm|87SCL24A</stp>
        <stp xml:space="preserve">Low </stp>
        <tr r="O1141" s="1"/>
      </tp>
      <tp>
        <v>839.2</v>
        <stp/>
        <stp>bse_cm|89SCL24A</stp>
        <stp xml:space="preserve">Low </stp>
        <tr r="O971" s="1"/>
      </tp>
      <tp>
        <v>950</v>
        <stp/>
        <stp>bse_cm|93SCL24A</stp>
        <stp xml:space="preserve">Low </stp>
        <tr r="O1361" s="1"/>
      </tp>
      <tp>
        <v>814.2</v>
        <stp/>
        <stp>bse_cm|902SCL27</stp>
        <stp>Bid Rate</stp>
        <tr r="E902" s="1"/>
      </tp>
      <tp>
        <v>1489.9</v>
        <stp/>
        <stp>nse_cm|862REC33-NA</stp>
        <stp>Ask Rate</stp>
        <tr r="F563" s="1"/>
      </tp>
      <tp>
        <v>0</v>
        <stp/>
        <stp>nse_cm|965SCL25-AG</stp>
        <stp>Ask Rate</stp>
        <tr r="F1577" s="1"/>
      </tp>
      <tp>
        <v>1077.95</v>
        <stp/>
        <stp>bse_cm|10ARKA28</stp>
        <stp>Prev Close</stp>
        <tr r="P1400" s="1"/>
      </tp>
      <tp>
        <v>1076.21</v>
        <stp/>
        <stp>bse_cm|99IFCI24</stp>
        <stp>Prev Close</stp>
        <tr r="P41" s="1"/>
      </tp>
      <tp>
        <v>920.2</v>
        <stp/>
        <stp>bse_cm|792TCH25</stp>
        <stp>Bid Rate</stp>
        <tr r="E1188" s="1"/>
      </tp>
      <tp>
        <v>1640.99</v>
        <stp/>
        <stp>nse_cm|863REC29-NC</stp>
        <stp>Ask Rate</stp>
        <tr r="F1633" s="1"/>
      </tp>
      <tp>
        <v>875</v>
        <stp/>
        <stp>bse_cm|96SFL24A</stp>
        <stp xml:space="preserve">Low </stp>
        <tr r="O633" s="1"/>
      </tp>
      <tp>
        <v>0</v>
        <stp/>
        <stp>nse_cm|957SCL30-BX</stp>
        <stp>Ask Rate</stp>
        <tr r="F1109" s="1"/>
      </tp>
      <tp t="s">
        <v>INE148I07OY0</v>
        <stp/>
        <stp>nse_cm|925SCL25F-BD</stp>
        <stp>Isin code</stp>
        <tr r="R718" s="1"/>
      </tp>
      <tp>
        <v>820.2</v>
        <stp/>
        <stp>nse_cm|843SCL27-YS</stp>
        <stp>Bid Rate</stp>
        <tr r="E944" s="1"/>
      </tp>
      <tp>
        <v>0</v>
        <stp/>
        <stp>nse_cm|940SCL27-YS</stp>
        <stp>Bid Rate</stp>
        <tr r="E842" s="1"/>
      </tp>
      <tp>
        <v>1000</v>
        <stp/>
        <stp>bse_cm|93EFSL31</stp>
        <stp>Face Value</stp>
        <tr r="Q83" s="1"/>
      </tp>
      <tp>
        <v>0</v>
        <stp/>
        <stp>nse_cm|83TCHF28-N9</stp>
        <stp>Ask Rate</stp>
        <tr r="F831" s="1"/>
      </tp>
      <tp>
        <v>1000</v>
        <stp/>
        <stp>bse_cm|92EFSL26</stp>
        <stp>Face Value</stp>
        <tr r="Q186" s="1"/>
      </tp>
      <tp>
        <v>905.2</v>
        <stp/>
        <stp>bse_cm|852LTF27</stp>
        <stp>Bid Rate</stp>
        <tr r="E983" s="1"/>
      </tp>
      <tp>
        <v>862</v>
        <stp/>
        <stp>bse_cm|922ONE25</stp>
        <stp>Bid Rate</stp>
        <tr r="E1111" s="1"/>
      </tp>
      <tp>
        <v>1000</v>
        <stp/>
        <stp>nse_cm|CIF29-NO</stp>
        <stp>Prev Close</stp>
        <tr r="P743" s="1"/>
      </tp>
      <tp>
        <v>0</v>
        <stp/>
        <stp>bse_cm|KAFL25</stp>
        <stp>Ask Rate</stp>
        <tr r="F1321" s="1"/>
      </tp>
      <tp>
        <v>1000</v>
        <stp/>
        <stp>bse_cm|97EFSL31</stp>
        <stp>Face Value</stp>
        <tr r="Q635" s="1"/>
      </tp>
      <tp>
        <v>1000</v>
        <stp/>
        <stp>bse_cm|96EFSL27</stp>
        <stp>Face Value</stp>
        <tr r="Q1050" s="1"/>
      </tp>
      <tp>
        <v>1000</v>
        <stp/>
        <stp>bse_cm|96EFSL26</stp>
        <stp>Face Value</stp>
        <tr r="Q1465" s="1"/>
      </tp>
      <tp>
        <v>0</v>
        <stp/>
        <stp>bse_cm|KAFL28</stp>
        <stp>Ask Rate</stp>
        <tr r="F1320" s="1"/>
      </tp>
      <tp>
        <v>999</v>
        <stp/>
        <stp>bse_cm|932AEL27</stp>
        <stp>Bid Rate</stp>
        <tr r="E317" s="1"/>
      </tp>
      <tp>
        <v>0</v>
        <stp/>
        <stp>bse_cm|KAFL29</stp>
        <stp>Ask Rate</stp>
        <tr r="F1318" s="1"/>
      </tp>
      <tp>
        <v>1000</v>
        <stp/>
        <stp>bse_cm|98EFSL26</stp>
        <stp>Face Value</stp>
        <tr r="Q82" s="1"/>
      </tp>
      <tp>
        <v>0</v>
        <stp/>
        <stp>nse_cm|10SCL31A-ZO</stp>
        <stp>Open</stp>
        <tr r="M864" s="1"/>
      </tp>
      <tp>
        <v>1060</v>
        <stp/>
        <stp>nse_cm|83TCHF25-N6</stp>
        <stp>Ask Rate</stp>
        <tr r="F472" s="1"/>
      </tp>
      <tp t="s">
        <v>NSE</v>
        <stp/>
        <stp>nse_cm|925SCL28-AM</stp>
        <stp>Exchange</stp>
        <tr r="C939" s="1"/>
      </tp>
      <tp>
        <v>910.2</v>
        <stp/>
        <stp>nse_cm|948SCL27-YV</stp>
        <stp>Bid Rate</stp>
        <tr r="E127" s="1"/>
      </tp>
      <tp t="s">
        <v>INE091A07208</v>
        <stp/>
        <stp>nse_cm|850NIRMA27-N7</stp>
        <stp>Isin code</stp>
        <tr r="R1010" s="1"/>
      </tp>
      <tp t="s">
        <v>NSE</v>
        <stp/>
        <stp>nse_cm|1050IIFL29-ND</stp>
        <stp>Exchange</stp>
        <tr r="C585" s="1"/>
      </tp>
      <tp>
        <v>1311</v>
        <stp/>
        <stp>nse_cm|891IIFCL34-N4</stp>
        <stp xml:space="preserve">Low </stp>
        <tr r="O516" s="1"/>
      </tp>
      <tp t="s">
        <v>INE532F07CQ2</v>
        <stp/>
        <stp>bse_cm|915EFSL26A</stp>
        <stp>Isin code</stp>
        <tr r="R187" s="1"/>
      </tp>
      <tp t="s">
        <v>NSE</v>
        <stp/>
        <stp>nse_cm|1030ICCL28-NM</stp>
        <stp>Exchange</stp>
        <tr r="C1596" s="1"/>
      </tp>
      <tp t="s">
        <v>734IRFC28-N4</v>
        <stp/>
        <stp>nse_cm|734IRFC28-N4</stp>
        <stp>Trading Symbol</stp>
        <tr r="B455" s="1"/>
      </tp>
      <tp t="s">
        <v>INE532F07DM9</v>
        <stp/>
        <stp>bse_cm|920EFSL26B</stp>
        <stp>Isin code</stp>
        <tr r="R247" s="1"/>
      </tp>
      <tp>
        <v>1015</v>
        <stp/>
        <stp>nse_cm|AEL120924B-N8</stp>
        <stp>High</stp>
        <tr r="N1640" s="1"/>
      </tp>
      <tp t="s">
        <v>NSE</v>
        <stp/>
        <stp>nse_cm|1050ICCL28-NV</stp>
        <stp>Exchange</stp>
        <tr r="C764" s="1"/>
      </tp>
      <tp>
        <v>-100</v>
        <stp/>
        <stp>bse_cm|971SCL29A</stp>
        <stp>% Change</stp>
        <tr r="J862" s="1"/>
      </tp>
      <tp>
        <v>-100</v>
        <stp/>
        <stp>bse_cm|925SCL29A</stp>
        <stp>% Change</stp>
        <tr r="J268" s="1"/>
      </tp>
      <tp t="s">
        <v>SCL25B-BI</v>
        <stp/>
        <stp>nse_cm|SCL25B-BI</stp>
        <stp>Trading Symbol</stp>
        <tr r="B1403" s="1"/>
      </tp>
      <tp>
        <v>0</v>
        <stp/>
        <stp>nse_cm|920IIFLS26-N8</stp>
        <stp>Open</stp>
        <tr r="M208" s="1"/>
      </tp>
      <tp>
        <v>0</v>
        <stp/>
        <stp>nse_cm|960IIFLS26-N9</stp>
        <stp>Open</stp>
        <tr r="M1489" s="1"/>
      </tp>
      <tp>
        <v>0</v>
        <stp/>
        <stp>bse_cm|105UCL2026</stp>
        <stp>ATP</stp>
        <tr r="K319" s="1"/>
      </tp>
      <tp>
        <v>1025</v>
        <stp/>
        <stp>nse_cm|AEL120924A-N5</stp>
        <stp>High</stp>
        <tr r="N1555" s="1"/>
      </tp>
      <tp t="s">
        <v>BSE</v>
        <stp/>
        <stp>bse_cm|MML28</stp>
        <stp>Exchange</stp>
        <tr r="C584" s="1"/>
      </tp>
      <tp t="s">
        <v>BSE</v>
        <stp/>
        <stp>bse_cm|MFL28</stp>
        <stp>Exchange</stp>
        <tr r="C1638" s="1"/>
      </tp>
      <tp t="s">
        <v>BSE</v>
        <stp/>
        <stp>bse_cm|CIF27</stp>
        <stp>Exchange</stp>
        <tr r="C745" s="1"/>
      </tp>
      <tp t="s">
        <v>BSE</v>
        <stp/>
        <stp>bse_cm|MFL29</stp>
        <stp>Exchange</stp>
        <tr r="C1598" s="1"/>
      </tp>
      <tp t="s">
        <v>11:11:48</v>
        <stp/>
        <stp>nse_cm|99AEL29-N7</stp>
        <stp>LTT</stp>
        <tr r="I246" s="1"/>
      </tp>
      <tp>
        <v>1014.4</v>
        <stp/>
        <stp>nse_cm|99AEL29-N7</stp>
        <stp>LTP</stp>
        <tr r="H246" s="1"/>
      </tp>
      <tp t="s">
        <v>BSE</v>
        <stp/>
        <stp>bse_cm|IML28</stp>
        <stp>Exchange</stp>
        <tr r="C1458" s="1"/>
      </tp>
      <tp t="s">
        <v>BSE</v>
        <stp/>
        <stp>bse_cm|IML29</stp>
        <stp>Exchange</stp>
        <tr r="C1528" s="1"/>
      </tp>
      <tp t="s">
        <v>BSE</v>
        <stp/>
        <stp>bse_cm|KFL29</stp>
        <stp>Exchange</stp>
        <tr r="C1619" s="1"/>
      </tp>
      <tp t="e">
        <v>#N/A</v>
        <stp/>
        <stp>bse_cm|IML24</stp>
        <stp>Exchange</stp>
        <tr r="C34" s="1"/>
      </tp>
      <tp t="s">
        <v>BSE</v>
        <stp/>
        <stp>bse_cm|KFL26</stp>
        <stp>Exchange</stp>
        <tr r="C1306" s="1"/>
      </tp>
      <tp t="s">
        <v>BSE</v>
        <stp/>
        <stp>bse_cm|IML25</stp>
        <stp>Exchange</stp>
        <tr r="C1326" s="1"/>
      </tp>
      <tp t="s">
        <v>BSE</v>
        <stp/>
        <stp>bse_cm|KFL27</stp>
        <stp>Exchange</stp>
        <tr r="C1303" s="1"/>
      </tp>
      <tp t="s">
        <v>BSE</v>
        <stp/>
        <stp>bse_cm|IML27</stp>
        <stp>Exchange</stp>
        <tr r="C1325" s="1"/>
      </tp>
      <tp t="s">
        <v>BSE</v>
        <stp/>
        <stp>bse_cm|KFL25</stp>
        <stp>Exchange</stp>
        <tr r="C1309" s="1"/>
      </tp>
      <tp t="s">
        <v>BSE</v>
        <stp/>
        <stp>bse_cm|MFL23</stp>
        <stp>Exchange</stp>
        <tr r="C1668" s="1"/>
      </tp>
      <tp t="s">
        <v>BSE</v>
        <stp/>
        <stp>bse_cm|MML24</stp>
        <stp>Exchange</stp>
        <tr r="C1740" s="1"/>
      </tp>
      <tp t="s">
        <v>BSE</v>
        <stp/>
        <stp>bse_cm|MML25</stp>
        <stp>Exchange</stp>
        <tr r="C1253" s="1"/>
      </tp>
      <tp t="s">
        <v>BSE</v>
        <stp/>
        <stp>bse_cm|MFL25</stp>
        <stp>Exchange</stp>
        <tr r="C1733" s="1"/>
      </tp>
      <tp t="s">
        <v>BSE</v>
        <stp/>
        <stp>bse_cm|MML26</stp>
        <stp>Exchange</stp>
        <tr r="C1410" s="1"/>
      </tp>
      <tp t="s">
        <v>BSE</v>
        <stp/>
        <stp>bse_cm|MFL26</stp>
        <stp>Exchange</stp>
        <tr r="C1666" s="1"/>
      </tp>
      <tp t="s">
        <v>BSE</v>
        <stp/>
        <stp>bse_cm|CIF29</stp>
        <stp>Exchange</stp>
        <tr r="C744" s="1"/>
      </tp>
      <tp t="s">
        <v>BSE</v>
        <stp/>
        <stp>bse_cm|MFL27</stp>
        <stp>Exchange</stp>
        <tr r="C1563" s="1"/>
      </tp>
      <tp>
        <v>0</v>
        <stp/>
        <stp>nse_cm|957IIFLS27-NA</stp>
        <stp>Open</stp>
        <tr r="M1495" s="1"/>
      </tp>
      <tp t="s">
        <v>BSE</v>
        <stp/>
        <stp>bse_cm|SFL26</stp>
        <stp>Exchange</stp>
        <tr r="C811" s="1"/>
      </tp>
      <tp t="s">
        <v>BSE</v>
        <stp/>
        <stp>bse_cm|SFL27</stp>
        <stp>Exchange</stp>
        <tr r="C809" s="1"/>
      </tp>
      <tp t="s">
        <v>NSE</v>
        <stp/>
        <stp>nse_cm|1050ISFL28-N5</stp>
        <stp>Exchange</stp>
        <tr r="C1591" s="1"/>
      </tp>
      <tp t="s">
        <v>BSE</v>
        <stp/>
        <stp>bse_cm|SCL24</stp>
        <stp>Exchange</stp>
        <tr r="C1377" s="1"/>
      </tp>
      <tp t="s">
        <v>BSE</v>
        <stp/>
        <stp>bse_cm|SCL25</stp>
        <stp>Exchange</stp>
        <tr r="C1234" s="1"/>
      </tp>
      <tp t="s">
        <v>BSE</v>
        <stp/>
        <stp>bse_cm|SFL25</stp>
        <stp>Exchange</stp>
        <tr r="C813" s="1"/>
      </tp>
      <tp t="s">
        <v>BSE</v>
        <stp/>
        <stp>bse_cm|SCL22</stp>
        <stp>Exchange</stp>
        <tr r="C1239" s="1"/>
      </tp>
      <tp t="s">
        <v>BSE</v>
        <stp/>
        <stp>bse_cm|SFL28</stp>
        <stp>Exchange</stp>
        <tr r="C803" s="1"/>
      </tp>
      <tp t="s">
        <v>INE148I07LE8</v>
        <stp/>
        <stp>nse_cm|889SCFL27-YC</stp>
        <stp>Isin code</stp>
        <tr r="R595" s="1"/>
      </tp>
      <tp>
        <v>1145</v>
        <stp/>
        <stp>bse_cm|EFSLZC25</stp>
        <stp>High</stp>
        <tr r="N1741" s="1"/>
      </tp>
      <tp>
        <v>1375</v>
        <stp/>
        <stp>bse_cm|EFSLZC26</stp>
        <stp>High</stp>
        <tr r="N1712" s="1"/>
      </tp>
      <tp t="s">
        <v>NSE</v>
        <stp/>
        <stp>nse_cm|SCLZC26D-NO</stp>
        <stp>Exchange</stp>
        <tr r="C901" s="1"/>
      </tp>
      <tp>
        <v>933</v>
        <stp/>
        <stp>bse_cm|1025SF29</stp>
        <stp>Bid Rate</stp>
        <tr r="E1409" s="1"/>
      </tp>
      <tp>
        <v>0</v>
        <stp/>
        <stp>bse_cm|0MML27</stp>
        <stp>High</stp>
        <tr r="N1043" s="1"/>
      </tp>
      <tp>
        <v>1001</v>
        <stp/>
        <stp>nse_cm|897MOFSL29-N4</stp>
        <stp>ATP</stp>
        <tr r="K296" s="1"/>
      </tp>
      <tp t="s">
        <v>NSE</v>
        <stp/>
        <stp>nse_cm|792TCH25-N3</stp>
        <stp>Exchange</stp>
        <tr r="C1187" s="1"/>
      </tp>
      <tp t="s">
        <v>NSE</v>
        <stp/>
        <stp>nse_cm|SCLZC25D-NJ</stp>
        <stp>Exchange</stp>
        <tr r="C1699" s="1"/>
      </tp>
      <tp>
        <v>0</v>
        <stp/>
        <stp>bse_cm|0KFL26</stp>
        <stp>High</stp>
        <tr r="N1047" s="1"/>
      </tp>
      <tp>
        <v>1173</v>
        <stp/>
        <stp>bse_cm|MFL24B</stp>
        <stp>Ask Rate</stp>
        <tr r="F1756" s="1"/>
      </tp>
      <tp>
        <v>0</v>
        <stp/>
        <stp>bse_cm|0KFL27</stp>
        <stp>High</stp>
        <tr r="N1046" s="1"/>
      </tp>
      <tp>
        <v>1350.25</v>
        <stp/>
        <stp>bse_cm|MFL24A</stp>
        <stp>Ask Rate</stp>
        <tr r="F1759" s="1"/>
      </tp>
      <tp t="s">
        <v>INE148I07OF9</v>
        <stp/>
        <stp>nse_cm|925SFCL25-AC</stp>
        <stp>Isin code</stp>
        <tr r="R604" s="1"/>
      </tp>
      <tp t="s">
        <v>NSE</v>
        <stp/>
        <stp>nse_cm|SCLZC25C-NI</stp>
        <stp>Exchange</stp>
        <tr r="C908" s="1"/>
      </tp>
      <tp>
        <v>0</v>
        <stp/>
        <stp>nse_cm|SCLZC26D-NO</stp>
        <stp>Volume Traded Today</stp>
        <tr r="L901" s="1"/>
      </tp>
      <tp>
        <v>0</v>
        <stp/>
        <stp>nse_cm|SCLZC25D-NJ</stp>
        <stp>Volume Traded Today</stp>
        <tr r="L1699" s="1"/>
      </tp>
      <tp>
        <v>0</v>
        <stp/>
        <stp>nse_cm|SCLZC25C-NI</stp>
        <stp>Volume Traded Today</stp>
        <tr r="L908" s="1"/>
      </tp>
      <tp>
        <v>0</v>
        <stp/>
        <stp>nse_cm|SCLZC26A-NF</stp>
        <stp>Volume Traded Today</stp>
        <tr r="L993" s="1"/>
      </tp>
      <tp>
        <v>0</v>
        <stp/>
        <stp>nse_cm|SCLZC26C-NB</stp>
        <stp>Volume Traded Today</stp>
        <tr r="L1537" s="1"/>
      </tp>
      <tp>
        <v>995</v>
        <stp/>
        <stp>bse_cm|0KFL25</stp>
        <stp>High</stp>
        <tr r="N1604" s="1"/>
      </tp>
      <tp>
        <v>0</v>
        <stp/>
        <stp>nse_cm|SCLZC26E-NP</stp>
        <stp>Volume Traded Today</stp>
        <tr r="L899" s="1"/>
      </tp>
      <tp>
        <v>0</v>
        <stp/>
        <stp>nse_cm|SCLZC26B-AY</stp>
        <stp>Volume Traded Today</stp>
        <tr r="L1658" s="1"/>
      </tp>
      <tp>
        <v>0</v>
        <stp/>
        <stp>nse_cm|SCLZC25B-AT</stp>
        <stp>Volume Traded Today</stp>
        <tr r="L1541" s="1"/>
      </tp>
      <tp>
        <v>0</v>
        <stp/>
        <stp>nse_cm|SCLZC25A-AS</stp>
        <stp>Volume Traded Today</stp>
        <tr r="L1232" s="1"/>
      </tp>
      <tp>
        <v>0</v>
        <stp/>
        <stp>bse_cm|99JFPL25</stp>
        <stp>Open</stp>
        <tr r="M1670" s="1"/>
      </tp>
      <tp>
        <v>0</v>
        <stp/>
        <stp>bse_cm|0KFL28</stp>
        <stp>High</stp>
        <tr r="N1045" s="1"/>
      </tp>
      <tp t="s">
        <v>NSE</v>
        <stp/>
        <stp>nse_cm|SCLZC26A-NF</stp>
        <stp>Exchange</stp>
        <tr r="C993" s="1"/>
      </tp>
      <tp>
        <v>1076</v>
        <stp/>
        <stp>bse_cm|EFSLZC28</stp>
        <stp>High</stp>
        <tr r="N1637" s="1"/>
      </tp>
      <tp>
        <v>1000</v>
        <stp/>
        <stp>bse_cm|9MMFSL26</stp>
        <stp>Face Value</stp>
        <tr r="Q334" s="1"/>
      </tp>
      <tp>
        <v>0</v>
        <stp/>
        <stp>bse_cm|MML24A</stp>
        <stp>Ask Rate</stp>
        <tr r="F1254" s="1"/>
      </tp>
      <tp>
        <v>0</v>
        <stp/>
        <stp>bse_cm|0MML29</stp>
        <stp>High</stp>
        <tr r="N1041" s="1"/>
      </tp>
      <tp>
        <v>0</v>
        <stp/>
        <stp>bse_cm|93SCFL25</stp>
        <stp>High</stp>
        <tr r="N980" s="1"/>
      </tp>
      <tp>
        <v>0</v>
        <stp/>
        <stp>nse_cm|925SCL25C-AR</stp>
        <stp>% Change</stp>
        <tr r="J249" s="1"/>
      </tp>
      <tp t="s">
        <v>NSE</v>
        <stp/>
        <stp>nse_cm|SCLZC26C-NB</stp>
        <stp>Exchange</stp>
        <tr r="C1537" s="1"/>
      </tp>
      <tp>
        <v>0</v>
        <stp/>
        <stp>nse_cm|SCLZC26F-Y9</stp>
        <stp>Volume Traded Today</stp>
        <tr r="L800" s="1"/>
      </tp>
      <tp>
        <v>0</v>
        <stp/>
        <stp>nse_cm|SCLZC25F-Y5</stp>
        <stp>Volume Traded Today</stp>
        <tr r="L1512" s="1"/>
      </tp>
      <tp>
        <v>0</v>
        <stp/>
        <stp>nse_cm|SCLZC25E-Y4</stp>
        <stp>Volume Traded Today</stp>
        <tr r="L787" s="1"/>
      </tp>
      <tp>
        <v>900.3</v>
        <stp/>
        <stp>nse_cm|971SCL29-Z0</stp>
        <stp>Bid Rate</stp>
        <tr r="E681" s="1"/>
      </tp>
      <tp>
        <v>0</v>
        <stp/>
        <stp>nse_cm|SCLZC26G-YA</stp>
        <stp>Volume Traded Today</stp>
        <tr r="L815" s="1"/>
      </tp>
      <tp>
        <v>0</v>
        <stp/>
        <stp>nse_cm|86CIFC29-NN</stp>
        <stp>Ask Rate</stp>
        <tr r="F1340" s="1"/>
      </tp>
      <tp>
        <v>0</v>
        <stp/>
        <stp>nse_cm|SFLZC25A-ZK</stp>
        <stp>Volume Traded Today</stp>
        <tr r="L1582" s="1"/>
      </tp>
      <tp>
        <v>0</v>
        <stp/>
        <stp>nse_cm|SFLZC26A-ZC</stp>
        <stp>Volume Traded Today</stp>
        <tr r="L1716" s="1"/>
      </tp>
      <tp>
        <v>50</v>
        <stp/>
        <stp>bse_cm|12CCI29</stp>
        <stp>Ask Qty</stp>
        <tr r="G91" s="1"/>
      </tp>
      <tp>
        <v>700</v>
        <stp/>
        <stp>nse_cm|990SCL26-N7</stp>
        <stp>Ask Rate</stp>
        <tr r="F422" s="1"/>
      </tp>
      <tp>
        <v>0</v>
        <stp/>
        <stp>bse_cm|11CCI26</stp>
        <stp>Ask Qty</stp>
        <tr r="G1220" s="1"/>
      </tp>
      <tp>
        <v>0</v>
        <stp/>
        <stp>bse_cm|0SFL26</stp>
        <stp>High</stp>
        <tr r="N703" s="1"/>
      </tp>
      <tp>
        <v>995</v>
        <stp/>
        <stp>bse_cm|0SCL26</stp>
        <stp>High</stp>
        <tr r="N1359" s="1"/>
      </tp>
      <tp t="s">
        <v>BSE</v>
        <stp/>
        <stp>bse_cm|MFL30A</stp>
        <stp>Exchange</stp>
        <tr r="C1370" s="1"/>
      </tp>
      <tp t="s">
        <v>BSE</v>
        <stp/>
        <stp>bse_cm|KFL26A</stp>
        <stp>Exchange</stp>
        <tr r="C1372" s="1"/>
      </tp>
      <tp>
        <v>0</v>
        <stp/>
        <stp>nse_cm|975SCL27-Z9</stp>
        <stp>Bid Rate</stp>
        <tr r="E885" s="1"/>
      </tp>
      <tp t="s">
        <v>NSE</v>
        <stp/>
        <stp>nse_cm|SCLZC26E-NP</stp>
        <stp>Exchange</stp>
        <tr r="C899" s="1"/>
      </tp>
      <tp>
        <v>0</v>
        <stp/>
        <stp>bse_cm|0SCL27</stp>
        <stp>High</stp>
        <tr r="N721" s="1"/>
      </tp>
      <tp t="s">
        <v>BSE</v>
        <stp/>
        <stp>bse_cm|KFL26B</stp>
        <stp>Exchange</stp>
        <tr r="C1305" s="1"/>
      </tp>
      <tp>
        <v>1100</v>
        <stp/>
        <stp>nse_cm|935LTF29-N5</stp>
        <stp>Ask Rate</stp>
        <tr r="F395" s="1"/>
      </tp>
      <tp>
        <v>948</v>
        <stp/>
        <stp>bse_cm|905SC24B</stp>
        <stp>Prev Close</stp>
        <tr r="P684" s="1"/>
      </tp>
      <tp t="s">
        <v>BSE</v>
        <stp/>
        <stp>bse_cm|KFL26C</stp>
        <stp>Exchange</stp>
        <tr r="C1304" s="1"/>
      </tp>
      <tp>
        <v>0</v>
        <stp/>
        <stp>nse_cm|845LTF24-NI</stp>
        <stp>Ask Rate</stp>
        <tr r="F942" s="1"/>
      </tp>
      <tp>
        <v>682</v>
        <stp/>
        <stp>bse_cm|925SCL28</stp>
        <stp>Bid Rate</stp>
        <tr r="E940" s="1"/>
      </tp>
      <tp>
        <v>812.4</v>
        <stp/>
        <stp>bse_cm|935SCL28</stp>
        <stp>Bid Rate</stp>
        <tr r="E284" s="1"/>
      </tp>
      <tp>
        <v>652.79999999999995</v>
        <stp/>
        <stp>bse_cm|965SCL28</stp>
        <stp>Bid Rate</stp>
        <tr r="E1138" s="1"/>
      </tp>
      <tp>
        <v>905.7</v>
        <stp/>
        <stp>bse_cm|975SCL28</stp>
        <stp>Bid Rate</stp>
        <tr r="E1485" s="1"/>
      </tp>
      <tp>
        <v>814.3</v>
        <stp/>
        <stp>bse_cm|925SCL29</stp>
        <stp>Bid Rate</stp>
        <tr r="E820" s="1"/>
      </tp>
      <tp>
        <v>824.4</v>
        <stp/>
        <stp>bse_cm|965SCL29</stp>
        <stp>Bid Rate</stp>
        <tr r="E816" s="1"/>
      </tp>
      <tp>
        <v>1084.9000000000001</v>
        <stp/>
        <stp>nse_cm|812REC27-NI</stp>
        <stp>Ask Rate</stp>
        <tr r="F462" s="1"/>
      </tp>
      <tp>
        <v>0</v>
        <stp/>
        <stp>bse_cm|MFLV29E</stp>
        <stp>Ask Qty</stp>
        <tr r="G650" s="1"/>
      </tp>
      <tp>
        <v>0</v>
        <stp/>
        <stp>bse_cm|772IGT31</stp>
        <stp>ATP</stp>
        <tr r="K1194" s="1"/>
      </tp>
      <tp>
        <v>1005.2</v>
        <stp/>
        <stp>bse_cm|95NIDO26</stp>
        <stp>Prev Close</stp>
        <tr r="P670" s="1"/>
      </tp>
      <tp>
        <v>830.2</v>
        <stp/>
        <stp>bse_cm|865SCL24</stp>
        <stp>Bid Rate</stp>
        <tr r="E1165" s="1"/>
      </tp>
      <tp>
        <v>875.2</v>
        <stp/>
        <stp>bse_cm|875SFL25</stp>
        <stp>Bid Rate</stp>
        <tr r="E936" s="1"/>
      </tp>
      <tp>
        <v>902</v>
        <stp/>
        <stp>bse_cm|905PEL26</stp>
        <stp>Bid Rate</stp>
        <tr r="E1518" s="1"/>
      </tp>
      <tp>
        <v>967.73</v>
        <stp/>
        <stp>bse_cm|925SCL25</stp>
        <stp>Bid Rate</stp>
        <tr r="E104" s="1"/>
      </tp>
      <tp>
        <v>550.20000000000005</v>
        <stp/>
        <stp>bse_cm|905SCL25</stp>
        <stp>Bid Rate</stp>
        <tr r="E1060" s="1"/>
      </tp>
      <tp>
        <v>1100.0999999999999</v>
        <stp/>
        <stp>bse_cm|965SCL25</stp>
        <stp>Bid Rate</stp>
        <tr r="E1105" s="1"/>
      </tp>
      <tp>
        <v>710.1</v>
        <stp/>
        <stp>bse_cm|955SCL25</stp>
        <stp>Bid Rate</stp>
        <tr r="E1128" s="1"/>
      </tp>
      <tp>
        <v>960</v>
        <stp/>
        <stp>nse_cm|888IHFL25C-NR</stp>
        <stp>Prev Close</stp>
        <tr r="P1426" s="1"/>
      </tp>
      <tp>
        <v>4</v>
        <stp/>
        <stp>bse_cm|MFLV26E</stp>
        <stp>Ask Qty</stp>
        <tr r="G352" s="1"/>
      </tp>
      <tp>
        <v>827.2</v>
        <stp/>
        <stp>bse_cm|925SFL26</stp>
        <stp>Bid Rate</stp>
        <tr r="E850" s="1"/>
      </tp>
      <tp>
        <v>940</v>
        <stp/>
        <stp>bse_cm|865SCL26</stp>
        <stp>Bid Rate</stp>
        <tr r="E627" s="1"/>
      </tp>
      <tp>
        <v>900</v>
        <stp/>
        <stp>bse_cm|885SCL26</stp>
        <stp>Bid Rate</stp>
        <tr r="E57" s="1"/>
      </tp>
      <tp>
        <v>815.85</v>
        <stp/>
        <stp>bse_cm|925SCL26</stp>
        <stp>Bid Rate</stp>
        <tr r="E913" s="1"/>
      </tp>
      <tp>
        <v>902</v>
        <stp/>
        <stp>bse_cm|915SCL26</stp>
        <stp>Bid Rate</stp>
        <tr r="E148" s="1"/>
      </tp>
      <tp>
        <v>930.2</v>
        <stp/>
        <stp>bse_cm|965SCL26</stp>
        <stp>Bid Rate</stp>
        <tr r="E665" s="1"/>
      </tp>
      <tp>
        <v>16</v>
        <stp/>
        <stp>bse_cm|MFLI25A</stp>
        <stp>Ask Qty</stp>
        <tr r="G362" s="1"/>
      </tp>
      <tp>
        <v>0</v>
        <stp/>
        <stp>bse_cm|925SFL27</stp>
        <stp>Bid Rate</stp>
        <tr r="E849" s="1"/>
      </tp>
      <tp>
        <v>978.63</v>
        <stp/>
        <stp>bse_cm|875SFL27</stp>
        <stp>Bid Rate</stp>
        <tr r="E578" s="1"/>
      </tp>
      <tp>
        <v>815.8</v>
        <stp/>
        <stp>bse_cm|875SCL27</stp>
        <stp>Bid Rate</stp>
        <tr r="E722" s="1"/>
      </tp>
      <tp>
        <v>900.3</v>
        <stp/>
        <stp>bse_cm|925SCL27</stp>
        <stp>Bid Rate</stp>
        <tr r="E1414" s="1"/>
      </tp>
      <tp>
        <v>813.65</v>
        <stp/>
        <stp>bse_cm|905SCL27</stp>
        <stp>Bid Rate</stp>
        <tr r="E976" s="1"/>
      </tp>
      <tp>
        <v>813.9</v>
        <stp/>
        <stp>bse_cm|915SCL27</stp>
        <stp>Bid Rate</stp>
        <tr r="E1127" s="1"/>
      </tp>
      <tp>
        <v>930.45</v>
        <stp/>
        <stp>bse_cm|955SCL27</stp>
        <stp>Bid Rate</stp>
        <tr r="E621" s="1"/>
      </tp>
      <tp>
        <v>0</v>
        <stp/>
        <stp>bse_cm|965VCL25</stp>
        <stp>Bid Rate</stp>
        <tr r="E1543" s="1"/>
      </tp>
      <tp>
        <v>1138</v>
        <stp/>
        <stp>bse_cm|734REC30</stp>
        <stp>Bid Rate</stp>
        <tr r="E524" s="1"/>
      </tp>
      <tp>
        <v>861.7</v>
        <stp/>
        <stp>bse_cm|975IML26</stp>
        <stp>Bid Rate</stp>
        <tr r="E646" s="1"/>
      </tp>
      <tp>
        <v>882.5</v>
        <stp/>
        <stp>bse_cm|745IGT26</stp>
        <stp>Bid Rate</stp>
        <tr r="E1202" s="1"/>
      </tp>
      <tp>
        <v>555.20000000000005</v>
        <stp/>
        <stp>nse_cm|905SCL25-ZT</stp>
        <stp>Bid Rate</stp>
        <tr r="E977" s="1"/>
      </tp>
      <tp>
        <v>825.3</v>
        <stp/>
        <stp>bse_cm|825KFL25</stp>
        <stp>Bid Rate</stp>
        <tr r="E252" s="1"/>
      </tp>
      <tp>
        <v>840.21</v>
        <stp/>
        <stp>bse_cm|875KFL25</stp>
        <stp>Bid Rate</stp>
        <tr r="E50" s="1"/>
      </tp>
      <tp>
        <v>836.2</v>
        <stp/>
        <stp>bse_cm|975KLM25</stp>
        <stp>Bid Rate</stp>
        <tr r="E858" s="1"/>
      </tp>
      <tp>
        <v>880</v>
        <stp/>
        <stp>nse_cm|10SCL30A-BV</stp>
        <stp xml:space="preserve">Low </stp>
        <tr r="O445" s="1"/>
      </tp>
      <tp>
        <v>1030.1099999999999</v>
        <stp/>
        <stp>nse_cm|930SFL28-YP</stp>
        <stp>Bid Rate</stp>
        <tr r="E6" s="1"/>
      </tp>
      <tp>
        <v>838</v>
        <stp/>
        <stp>bse_cm|925KFL26</stp>
        <stp>Bid Rate</stp>
        <tr r="E775" s="1"/>
      </tp>
      <tp>
        <v>901</v>
        <stp/>
        <stp>bse_cm|875KFL26</stp>
        <stp>Bid Rate</stp>
        <tr r="E1156" s="1"/>
      </tp>
      <tp>
        <v>930.3</v>
        <stp/>
        <stp>bse_cm|985ECL28</stp>
        <stp>Bid Rate</stp>
        <tr r="E56" s="1"/>
      </tp>
      <tp t="s">
        <v>INE148I07QC1</v>
        <stp/>
        <stp>nse_cm|888SCL25D-NC</stp>
        <stp>Isin code</stp>
        <tr r="R916" s="1"/>
      </tp>
      <tp>
        <v>821.7</v>
        <stp/>
        <stp>bse_cm|925KFL27</stp>
        <stp>Bid Rate</stp>
        <tr r="E313" s="1"/>
      </tp>
      <tp>
        <v>980.3</v>
        <stp/>
        <stp>bse_cm|835IFL25</stp>
        <stp>Bid Rate</stp>
        <tr r="E668" s="1"/>
      </tp>
      <tp>
        <v>939</v>
        <stp/>
        <stp>bse_cm|995ECL29</stp>
        <stp>Bid Rate</stp>
        <tr r="E198" s="1"/>
      </tp>
      <tp>
        <v>15</v>
        <stp/>
        <stp>bse_cm|85PCHFL26</stp>
        <stp>Bid Qty</stp>
        <tr r="D713" s="1"/>
      </tp>
      <tp>
        <v>1006.2</v>
        <stp/>
        <stp>bse_cm|925MFL26</stp>
        <stp>Bid Rate</stp>
        <tr r="E230" s="1"/>
      </tp>
      <tp>
        <v>987</v>
        <stp/>
        <stp>bse_cm|975NFL25</stp>
        <stp>Bid Rate</stp>
        <tr r="E623" s="1"/>
      </tp>
      <tp>
        <v>951.2</v>
        <stp/>
        <stp>bse_cm|825MFL26</stp>
        <stp>Bid Rate</stp>
        <tr r="E418" s="1"/>
      </tp>
      <tp>
        <v>950.2</v>
        <stp/>
        <stp>bse_cm|835MFL26</stp>
        <stp>Bid Rate</stp>
        <tr r="E169" s="1"/>
      </tp>
      <tp>
        <v>975</v>
        <stp/>
        <stp>bse_cm|875MFL26</stp>
        <stp>Bid Rate</stp>
        <tr r="E161" s="1"/>
      </tp>
      <tp>
        <v>835</v>
        <stp/>
        <stp>bse_cm|944ONE34</stp>
        <stp>Bid Rate</stp>
        <tr r="E269" s="1"/>
      </tp>
      <tp>
        <v>980</v>
        <stp/>
        <stp>bse_cm|775MFL26</stp>
        <stp>Bid Rate</stp>
        <tr r="E328" s="1"/>
      </tp>
      <tp>
        <v>1061.0999999999999</v>
        <stp/>
        <stp>bse_cm|905LTF27</stp>
        <stp>Bid Rate</stp>
        <tr r="E394" s="1"/>
      </tp>
      <tp>
        <v>935.2</v>
        <stp/>
        <stp>bse_cm|885LTF27</stp>
        <stp>Bid Rate</stp>
        <tr r="E1008" s="1"/>
      </tp>
      <tp>
        <v>825.15</v>
        <stp/>
        <stp>bse_cm|915MFL27</stp>
        <stp>Bid Rate</stp>
        <tr r="E614" s="1"/>
      </tp>
      <tp>
        <v>970</v>
        <stp/>
        <stp>bse_cm|825MFL27</stp>
        <stp>Bid Rate</stp>
        <tr r="E344" s="1"/>
      </tp>
      <tp>
        <v>996</v>
        <stp/>
        <stp>bse_cm|775MFL27</stp>
        <stp>Bid Rate</stp>
        <tr r="E694" s="1"/>
      </tp>
      <tp>
        <v>1072</v>
        <stp/>
        <stp>bse_cm|865LTF26</stp>
        <stp>Bid Rate</stp>
        <tr r="E391" s="1"/>
      </tp>
      <tp>
        <v>1065</v>
        <stp/>
        <stp>nse_cm|IIFLHF29-NE</stp>
        <stp xml:space="preserve">Low </stp>
        <tr r="O1630" s="1"/>
      </tp>
      <tp t="s">
        <v>NSE</v>
        <stp/>
        <stp>nse_cm|905LTF27-NF</stp>
        <stp>Exchange</stp>
        <tr r="C393" s="1"/>
      </tp>
      <tp>
        <v>901</v>
        <stp/>
        <stp>bse_cm|935ONE26</stp>
        <stp>Bid Rate</stp>
        <tr r="E1173" s="1"/>
      </tp>
      <tp>
        <v>1040.25</v>
        <stp/>
        <stp>bse_cm|725MFL24</stp>
        <stp>Bid Rate</stp>
        <tr r="E446" s="1"/>
      </tp>
      <tp>
        <v>0</v>
        <stp/>
        <stp>bse_cm|12IML26A</stp>
        <stp>Open</stp>
        <tr r="M1212" s="1"/>
      </tp>
      <tp>
        <v>963</v>
        <stp/>
        <stp>bse_cm|925MFL25</stp>
        <stp>Bid Rate</stp>
        <tr r="E1466" s="1"/>
      </tp>
      <tp>
        <v>972.23</v>
        <stp/>
        <stp>bse_cm|915MFL25</stp>
        <stp>Bid Rate</stp>
        <tr r="E105" s="1"/>
      </tp>
      <tp>
        <v>985.22</v>
        <stp/>
        <stp>bse_cm|975MFL25</stp>
        <stp>Bid Rate</stp>
        <tr r="E855" s="1"/>
      </tp>
      <tp>
        <v>970.2</v>
        <stp/>
        <stp>bse_cm|825MFL25</stp>
        <stp>Bid Rate</stp>
        <tr r="E596" s="1"/>
      </tp>
      <tp>
        <v>826.3</v>
        <stp/>
        <stp>bse_cm|105MML25</stp>
        <stp>Bid Rate</stp>
        <tr r="E1170" s="1"/>
      </tp>
      <tp>
        <v>850.11</v>
        <stp/>
        <stp>bse_cm|955ONE27</stp>
        <stp>Bid Rate</stp>
        <tr r="E1129" s="1"/>
      </tp>
      <tp>
        <v>0</v>
        <stp/>
        <stp>bse_cm|965MML25</stp>
        <stp>Bid Rate</stp>
        <tr r="E1107" s="1"/>
      </tp>
      <tp>
        <v>839.2</v>
        <stp/>
        <stp>bse_cm|975MML25</stp>
        <stp>Bid Rate</stp>
        <tr r="E852" s="1"/>
      </tp>
      <tp>
        <v>964.2</v>
        <stp/>
        <stp>bse_cm|735MFL25</stp>
        <stp>Bid Rate</stp>
        <tr r="E308" s="1"/>
      </tp>
      <tp>
        <v>1015.8</v>
        <stp/>
        <stp>bse_cm|775MFL25</stp>
        <stp>Bid Rate</stp>
        <tr r="E1369" s="1"/>
      </tp>
      <tp>
        <v>962.2</v>
        <stp/>
        <stp>bse_cm|815LTF24</stp>
        <stp>Bid Rate</stp>
        <tr r="E1167" s="1"/>
      </tp>
      <tp>
        <v>960.2</v>
        <stp/>
        <stp>bse_cm|845LTF24</stp>
        <stp>Bid Rate</stp>
        <tr r="E943" s="1"/>
      </tp>
      <tp>
        <v>1000.2</v>
        <stp/>
        <stp>bse_cm|925AEL26</stp>
        <stp>Bid Rate</stp>
        <tr r="E335" s="1"/>
      </tp>
      <tp>
        <v>1000</v>
        <stp/>
        <stp>bse_cm|935LTF29</stp>
        <stp>Face Value</stp>
        <tr r="Q396" s="1"/>
      </tp>
      <tp>
        <v>0</v>
        <stp/>
        <stp>bse_cm|10KFL24D</stp>
        <stp>Open</stp>
        <tr r="M1424" s="1"/>
      </tp>
      <tp>
        <v>1010</v>
        <stp/>
        <stp>bse_cm|965AEL27</stp>
        <stp>Bid Rate</stp>
        <tr r="E370" s="1"/>
      </tp>
      <tp>
        <v>901.5</v>
        <stp/>
        <stp>bse_cm|905MFL28</stp>
        <stp>Bid Rate</stp>
        <tr r="E207" s="1"/>
      </tp>
      <tp>
        <v>950.2</v>
        <stp/>
        <stp>bse_cm|915MFL28</stp>
        <stp>Bid Rate</stp>
        <tr r="E283" s="1"/>
      </tp>
      <tp>
        <v>830.2</v>
        <stp/>
        <stp>bse_cm|875MFL28</stp>
        <stp>Bid Rate</stp>
        <tr r="E689" s="1"/>
      </tp>
      <tp>
        <v>920</v>
        <stp/>
        <stp>bse_cm|785MFL28</stp>
        <stp>Bid Rate</stp>
        <tr r="E439" s="1"/>
      </tp>
      <tp>
        <v>1090.0999999999999</v>
        <stp/>
        <stp>bse_cm|935LTF29</stp>
        <stp>Bid Rate</stp>
        <tr r="E396" s="1"/>
      </tp>
      <tp>
        <v>990.9</v>
        <stp/>
        <stp>nse_cm|1049DLS25A-Y5</stp>
        <stp>Prev Close</stp>
        <tr r="P44" s="1"/>
      </tp>
      <tp>
        <v>950.1</v>
        <stp/>
        <stp>bse_cm|935MFL29</stp>
        <stp>Bid Rate</stp>
        <tr r="E238" s="1"/>
      </tp>
      <tp>
        <v>971.02</v>
        <stp/>
        <stp>bse_cm|975MFL29</stp>
        <stp>Bid Rate</stp>
        <tr r="E683" s="1"/>
      </tp>
      <tp>
        <v>951</v>
        <stp/>
        <stp>bse_cm|825MFL29</stp>
        <stp>Bid Rate</stp>
        <tr r="E473" s="1"/>
      </tp>
      <tp>
        <v>1000</v>
        <stp/>
        <stp>bse_cm|905LTF27</stp>
        <stp>Face Value</stp>
        <tr r="Q394" s="1"/>
      </tp>
      <tp>
        <v>905</v>
        <stp/>
        <stp>bse_cm|865IFL28</stp>
        <stp>Bid Rate</stp>
        <tr r="E115" s="1"/>
      </tp>
      <tp>
        <v>998.1</v>
        <stp/>
        <stp>bse_cm|995ECL24</stp>
        <stp>Bid Rate</stp>
        <tr r="E427" s="1"/>
      </tp>
      <tp>
        <v>977</v>
        <stp/>
        <stp>bse_cm|895EFS25</stp>
        <stp>Bid Rate</stp>
        <tr r="E730" s="1"/>
      </tp>
      <tp>
        <v>1000</v>
        <stp/>
        <stp>bse_cm|85PFL26A</stp>
        <stp>High</stp>
        <tr r="N711" s="1"/>
      </tp>
      <tp>
        <v>21</v>
        <stp/>
        <stp>bse_cm|0NHFL26</stp>
        <stp>Bid Qty</stp>
        <tr r="D1037" s="1"/>
      </tp>
      <tp>
        <v>22</v>
        <stp/>
        <stp>bse_cm|0NHFL27</stp>
        <stp>Bid Qty</stp>
        <tr r="D1036" s="1"/>
      </tp>
      <tp>
        <v>24</v>
        <stp/>
        <stp>bse_cm|0NHFL29</stp>
        <stp>Bid Qty</stp>
        <tr r="D1035" s="1"/>
      </tp>
      <tp>
        <v>1</v>
        <stp/>
        <stp>bse_cm|NIDO25A</stp>
        <stp>Bid Qty</stp>
        <tr r="D1245" s="1"/>
      </tp>
      <tp t="s">
        <v>KFL27</v>
        <stp/>
        <stp>bse_cm|KFL27</stp>
        <stp>Symbol</stp>
        <tr r="A1303" s="1"/>
      </tp>
      <tp t="s">
        <v>KFL26</v>
        <stp/>
        <stp>bse_cm|KFL26</stp>
        <stp>Symbol</stp>
        <tr r="A1306" s="1"/>
      </tp>
      <tp t="s">
        <v>KFL25</v>
        <stp/>
        <stp>bse_cm|KFL25</stp>
        <stp>Symbol</stp>
        <tr r="A1309" s="1"/>
      </tp>
      <tp t="s">
        <v>MFL23</v>
        <stp/>
        <stp>bse_cm|MFL23</stp>
        <stp>Symbol</stp>
        <tr r="A1668" s="1"/>
      </tp>
      <tp t="s">
        <v>MFL25</v>
        <stp/>
        <stp>bse_cm|MFL25</stp>
        <stp>Symbol</stp>
        <tr r="A1733" s="1"/>
      </tp>
      <tp t="s">
        <v>MFL27</v>
        <stp/>
        <stp>bse_cm|MFL27</stp>
        <stp>Symbol</stp>
        <tr r="A1563" s="1"/>
      </tp>
      <tp t="s">
        <v>MFL26</v>
        <stp/>
        <stp>bse_cm|MFL26</stp>
        <stp>Symbol</stp>
        <tr r="A1666" s="1"/>
      </tp>
      <tp t="s">
        <v>MFL29</v>
        <stp/>
        <stp>bse_cm|MFL29</stp>
        <stp>Symbol</stp>
        <tr r="A1598" s="1"/>
      </tp>
      <tp t="s">
        <v>MFL28</v>
        <stp/>
        <stp>bse_cm|MFL28</stp>
        <stp>Symbol</stp>
        <tr r="A1638" s="1"/>
      </tp>
      <tp t="s">
        <v>KFL29</v>
        <stp/>
        <stp>bse_cm|KFL29</stp>
        <stp>Symbol</stp>
        <tr r="A1619" s="1"/>
      </tp>
      <tp t="s">
        <v>SFL28</v>
        <stp/>
        <stp>bse_cm|SFL28</stp>
        <stp>Symbol</stp>
        <tr r="A803" s="1"/>
      </tp>
      <tp t="s">
        <v>SFL27</v>
        <stp/>
        <stp>bse_cm|SFL27</stp>
        <stp>Symbol</stp>
        <tr r="A809" s="1"/>
      </tp>
      <tp t="s">
        <v>SFL26</v>
        <stp/>
        <stp>bse_cm|SFL26</stp>
        <stp>Symbol</stp>
        <tr r="A811" s="1"/>
      </tp>
      <tp t="s">
        <v>SFL25</v>
        <stp/>
        <stp>bse_cm|SFL25</stp>
        <stp>Symbol</stp>
        <tr r="A813" s="1"/>
      </tp>
      <tp t="s">
        <v>MFL31</v>
        <stp/>
        <stp>bse_cm|MFL31</stp>
        <stp>Symbol</stp>
        <tr r="A701" s="1"/>
      </tp>
      <tp t="s">
        <v>MFL30</v>
        <stp/>
        <stp>bse_cm|MFL30</stp>
        <stp>Symbol</stp>
        <tr r="A1460" s="1"/>
      </tp>
      <tp t="s">
        <v>KFL31</v>
        <stp/>
        <stp>bse_cm|KFL31</stp>
        <stp>Symbol</stp>
        <tr r="A1297" s="1"/>
      </tp>
      <tp t="s">
        <v>KFL30</v>
        <stp/>
        <stp>bse_cm|KFL30</stp>
        <stp>Symbol</stp>
        <tr r="A1298" s="1"/>
      </tp>
      <tp t="s">
        <v>SFL30</v>
        <stp/>
        <stp>bse_cm|SFL30</stp>
        <stp>Symbol</stp>
        <tr r="A1597" s="1"/>
      </tp>
      <tp>
        <v>330</v>
        <stp/>
        <stp>nse_cm|82IGT31-NJ</stp>
        <stp>Volume Traded Today</stp>
        <tr r="L375" s="1"/>
      </tp>
      <tp>
        <v>1030</v>
        <stp/>
        <stp>nse_cm|1003ICCL28-NX</stp>
        <stp>Ask Rate</stp>
        <tr r="F553" s="1"/>
      </tp>
      <tp t="s">
        <v>NSE</v>
        <stp/>
        <stp>nse_cm|948ICCL25A-NG</stp>
        <stp>Exchange</stp>
        <tr r="C1736" s="1"/>
      </tp>
      <tp t="s">
        <v>NSE</v>
        <stp/>
        <stp>nse_cm|913ICCL24A-NF</stp>
        <stp>Exchange</stp>
        <tr r="C781" s="1"/>
      </tp>
      <tp t="s">
        <v>CIFCZC25A</v>
        <stp/>
        <stp>bse_cm|CIFCZC25A</stp>
        <stp>Trading Symbol</stp>
        <tr r="B1728" s="1"/>
      </tp>
      <tp t="s">
        <v>IIFLZC28A</v>
        <stp/>
        <stp>bse_cm|IIFLZC28A</stp>
        <stp>Trading Symbol</stp>
        <tr r="B1628" s="1"/>
      </tp>
      <tp t="s">
        <v>IIFLZC28C</v>
        <stp/>
        <stp>bse_cm|IIFLZC28C</stp>
        <stp>Trading Symbol</stp>
        <tr r="B1404" s="1"/>
      </tp>
      <tp t="s">
        <v>IIFLZC28B</v>
        <stp/>
        <stp>bse_cm|IIFLZC28B</stp>
        <stp>Trading Symbol</stp>
        <tr r="B1595" s="1"/>
      </tp>
      <tp t="s">
        <v>CIFCZC26A</v>
        <stp/>
        <stp>bse_cm|CIFCZC26A</stp>
        <stp>Trading Symbol</stp>
        <tr r="B737" s="1"/>
      </tp>
      <tp t="s">
        <v>IIFLZC26A</v>
        <stp/>
        <stp>bse_cm|IIFLZC26A</stp>
        <stp>Trading Symbol</stp>
        <tr r="B1674" s="1"/>
      </tp>
      <tp t="s">
        <v>IIFLZC26B</v>
        <stp/>
        <stp>bse_cm|IIFLZC26B</stp>
        <stp>Trading Symbol</stp>
        <tr r="B1179" s="1"/>
      </tp>
      <tp t="s">
        <v>CIFCZC28A</v>
        <stp/>
        <stp>bse_cm|CIFCZC28A</stp>
        <stp>Trading Symbol</stp>
        <tr r="B1396" s="1"/>
      </tp>
      <tp t="s">
        <v>IIFLZC25A</v>
        <stp/>
        <stp>bse_cm|IIFLZC25A</stp>
        <stp>Trading Symbol</stp>
        <tr r="B1737" s="1"/>
      </tp>
      <tp t="s">
        <v>IIFLZC25C</v>
        <stp/>
        <stp>bse_cm|IIFLZC25C</stp>
        <stp>Trading Symbol</stp>
        <tr r="B1750" s="1"/>
      </tp>
      <tp t="s">
        <v>IIFLZC25B</v>
        <stp/>
        <stp>bse_cm|IIFLZC25B</stp>
        <stp>Trading Symbol</stp>
        <tr r="B1685" s="1"/>
      </tp>
      <tp t="s">
        <v>NSE</v>
        <stp/>
        <stp>nse_cm|925ICCL24A-NE</stp>
        <stp>Exchange</stp>
        <tr r="C1393" s="1"/>
      </tp>
      <tp t="s">
        <v>97SFL28</v>
        <stp/>
        <stp>nse_cm|97SFL28-YS</stp>
        <stp>Symbol</stp>
        <tr r="A19" s="1"/>
      </tp>
      <tp t="s">
        <v>94SFL28</v>
        <stp/>
        <stp>nse_cm|94SFL28-YL</stp>
        <stp>Symbol</stp>
        <tr r="A5" s="1"/>
      </tp>
      <tp t="s">
        <v>INE532F07CR0</v>
        <stp/>
        <stp>bse_cm|955EFSL26B</stp>
        <stp>Isin code</stp>
        <tr r="R666" s="1"/>
      </tp>
      <tp t="s">
        <v>INE414G07GH1</v>
        <stp/>
        <stp>bse_cm|MFLV29E</stp>
        <stp>Isin code</stp>
        <tr r="R650" s="1"/>
      </tp>
      <tp t="s">
        <v>INE414G07FU6</v>
        <stp/>
        <stp>bse_cm|MFLV26E</stp>
        <stp>Isin code</stp>
        <tr r="R352" s="1"/>
      </tp>
      <tp t="s">
        <v>NSE</v>
        <stp/>
        <stp>nse_cm|955ICCL25A-NH</stp>
        <stp>Exchange</stp>
        <tr r="C486" s="1"/>
      </tp>
      <tp t="s">
        <v>NSE</v>
        <stp/>
        <stp>nse_cm|984ICCL26A-NK</stp>
        <stp>Exchange</stp>
        <tr r="C716" s="1"/>
      </tp>
      <tp t="s">
        <v>INE532F07FN2</v>
        <stp/>
        <stp>bse_cm|967EFSL29A</stp>
        <stp>Isin code</stp>
        <tr r="R180" s="1"/>
      </tp>
      <tp t="s">
        <v>INE532F07EO3</v>
        <stp/>
        <stp>bse_cm|967EFSL28A</stp>
        <stp>Isin code</stp>
        <tr r="R172" s="1"/>
      </tp>
      <tp>
        <v>0</v>
        <stp/>
        <stp>nse_cm|76IGT26-ND</stp>
        <stp>Volume Traded Today</stp>
        <tr r="L527" s="1"/>
      </tp>
      <tp>
        <v>0</v>
        <stp/>
        <stp>nse_cm|77IGT28-NE</stp>
        <stp>Volume Traded Today</stp>
        <tr r="L1190" s="1"/>
      </tp>
      <tp>
        <v>0</v>
        <stp/>
        <stp>nse_cm|79IGT28-NF</stp>
        <stp>Volume Traded Today</stp>
        <tr r="L692" s="1"/>
      </tp>
      <tp t="s">
        <v>NSE</v>
        <stp/>
        <stp>nse_cm|966ICCL25A-NI</stp>
        <stp>Exchange</stp>
        <tr r="C1461" s="1"/>
      </tp>
      <tp t="s">
        <v>NSE</v>
        <stp/>
        <stp>nse_cm|888IHFL25F-NC</stp>
        <stp>Exchange</stp>
        <tr r="C343" s="1"/>
      </tp>
      <tp>
        <v>1109.32</v>
        <stp/>
        <stp>nse_cm|738REC27TF-N2</stp>
        <stp>Bid Rate</stp>
        <tr r="E514" s="1"/>
      </tp>
      <tp t="s">
        <v>1015SCL28-NR</v>
        <stp/>
        <stp>nse_cm|1015SCL28-NR</stp>
        <stp>Trading Symbol</stp>
        <tr r="B288" s="1"/>
      </tp>
      <tp t="s">
        <v>840CIFCL28</v>
        <stp/>
        <stp>nse_cm|840CIFCL28-N4</stp>
        <stp>Symbol</stp>
        <tr r="A556" s="1"/>
      </tp>
      <tp t="s">
        <v>NSE</v>
        <stp/>
        <stp>nse_cm|925ICCL25I-NP</stp>
        <stp>Exchange</stp>
        <tr r="C777" s="1"/>
      </tp>
      <tp t="s">
        <v>NSE</v>
        <stp/>
        <stp>nse_cm|965ICCL25I-NQ</stp>
        <stp>Exchange</stp>
        <tr r="C696" s="1"/>
      </tp>
      <tp t="s">
        <v>1015SCFL29</v>
        <stp/>
        <stp>nse_cm|1015SCFL29-YY</stp>
        <stp>Symbol</stp>
        <tr r="A1455" s="1"/>
      </tp>
      <tp t="s">
        <v>NSE</v>
        <stp/>
        <stp>nse_cm|888IHFL25C-NR</stp>
        <stp>Exchange</stp>
        <tr r="C1426" s="1"/>
      </tp>
      <tp t="s">
        <v>INE302E07524</v>
        <stp/>
        <stp>bse_cm|SFL28</stp>
        <stp>Isin code</stp>
        <tr r="R803" s="1"/>
      </tp>
      <tp t="s">
        <v>NSE</v>
        <stp/>
        <stp>nse_cm|875IIFL26A-NQ</stp>
        <stp>Exchange</stp>
        <tr r="C634" s="1"/>
      </tp>
      <tp>
        <v>990</v>
        <stp/>
        <stp>nse_cm|105UCL2026-NB</stp>
        <stp>Bid Rate</stp>
        <tr r="E130" s="1"/>
      </tp>
      <tp t="s">
        <v>NSE</v>
        <stp/>
        <stp>nse_cm|866ICCL23A-NY</stp>
        <stp>Exchange</stp>
        <tr r="C759" s="1"/>
      </tp>
      <tp t="s">
        <v>8MFL2026</v>
        <stp/>
        <stp>bse_cm|8MFL2026</stp>
        <stp>Symbol</stp>
        <tr r="A451" s="1"/>
      </tp>
      <tp t="s">
        <v>NSE</v>
        <stp/>
        <stp>nse_cm|890ICCL23A-NZ</stp>
        <stp>Exchange</stp>
        <tr r="C1363" s="1"/>
      </tp>
      <tp>
        <v>0</v>
        <stp/>
        <stp>nse_cm|1003IIFL29-NC</stp>
        <stp>Ask Rate</stp>
        <tr r="F1077" s="1"/>
      </tp>
      <tp t="s">
        <v>INE121A07RG4</v>
        <stp/>
        <stp>nse_cm|965IHFL25D-N7</stp>
        <stp>Isin code</stp>
        <tr r="R1469" s="1"/>
      </tp>
      <tp t="s">
        <v>105UCL2026</v>
        <stp/>
        <stp>nse_cm|105UCL2026-NB</stp>
        <stp>Symbol</stp>
        <tr r="A130" s="1"/>
      </tp>
      <tp>
        <v>994.99</v>
        <stp/>
        <stp>nse_cm|1003ISFL28-N4</stp>
        <stp>Ask Rate</stp>
        <tr r="F197" s="1"/>
      </tp>
      <tp>
        <v>0</v>
        <stp/>
        <stp>bse_cm|MFL30A</stp>
        <stp>Ask Qty</stp>
        <tr r="G1370" s="1"/>
      </tp>
      <tp>
        <v>0</v>
        <stp/>
        <stp>bse_cm|MFL31A</stp>
        <stp>Ask Qty</stp>
        <tr r="G1275" s="1"/>
      </tp>
      <tp>
        <v>8</v>
        <stp/>
        <stp>bse_cm|KFL30A</stp>
        <stp>Ask Qty</stp>
        <tr r="G1592" s="1"/>
      </tp>
      <tp t="s">
        <v>NSE</v>
        <stp/>
        <stp>nse_cm|1077IIFL30-N7</stp>
        <stp>Exchange</stp>
        <tr r="C996" s="1"/>
      </tp>
      <tp t="s">
        <v>NSE</v>
        <stp/>
        <stp>nse_cm|925IHFL25E-N8</stp>
        <stp>Exchange</stp>
        <tr r="C561" s="1"/>
      </tp>
      <tp t="s">
        <v>NSE</v>
        <stp/>
        <stp>nse_cm|965IHFL25D-N7</stp>
        <stp>Exchange</stp>
        <tr r="C1469" s="1"/>
      </tp>
      <tp t="s">
        <v>NSE</v>
        <stp/>
        <stp>nse_cm|925IHFL25D-N6</stp>
        <stp>Exchange</stp>
        <tr r="C575" s="1"/>
      </tp>
      <tp>
        <v>0</v>
        <stp/>
        <stp>bse_cm|10MMFL27</stp>
        <stp>Open</stp>
        <tr r="M1090" s="1"/>
      </tp>
      <tp>
        <v>0</v>
        <stp/>
        <stp>nse_cm|84CIFCL28-NA</stp>
        <stp>% Change</stp>
        <tr r="J388" s="1"/>
      </tp>
      <tp t="s">
        <v>INE148I07OE2</v>
        <stp/>
        <stp>nse_cm|925SCFL25-AD</stp>
        <stp>Isin code</stp>
        <tr r="R773" s="1"/>
      </tp>
      <tp>
        <v>1010</v>
        <stp/>
        <stp>bse_cm|81TCHF28</stp>
        <stp>High</stp>
        <tr r="N479" s="1"/>
      </tp>
      <tp>
        <v>0</v>
        <stp/>
        <stp>bse_cm|83TCHF28</stp>
        <stp>High</stp>
        <tr r="N832" s="1"/>
      </tp>
      <tp>
        <v>1070.55</v>
        <stp/>
        <stp>bse_cm|84TCHF28</stp>
        <stp>High</stp>
        <tr r="N403" s="1"/>
      </tp>
      <tp>
        <v>20</v>
        <stp/>
        <stp>bse_cm|12KLM25</stp>
        <stp>Bid Qty</stp>
        <tr r="D1211" s="1"/>
      </tp>
      <tp>
        <v>1078</v>
        <stp/>
        <stp>bse_cm|KFL25D</stp>
        <stp>Ask Rate</stp>
        <tr r="F1688" s="1"/>
      </tp>
      <tp t="s">
        <v>82IGT31</v>
        <stp/>
        <stp>bse_cm|82IGT31</stp>
        <stp>Symbol</stp>
        <tr r="A383" s="1"/>
      </tp>
      <tp>
        <v>0</v>
        <stp/>
        <stp>bse_cm|KFL25C</stp>
        <stp>Ask Rate</stp>
        <tr r="F1307" s="1"/>
      </tp>
      <tp>
        <v>0</v>
        <stp/>
        <stp>nse_cm|971SCL28C-BU</stp>
        <stp>% Change</stp>
        <tr r="J826" s="1"/>
      </tp>
      <tp>
        <v>0</v>
        <stp/>
        <stp>bse_cm|KFL25B</stp>
        <stp>Ask Rate</stp>
        <tr r="F1308" s="1"/>
      </tp>
      <tp>
        <v>1159</v>
        <stp/>
        <stp>bse_cm|KFL25A</stp>
        <stp>Ask Rate</stp>
        <tr r="F1703" s="1"/>
      </tp>
      <tp>
        <v>0</v>
        <stp/>
        <stp>bse_cm|MFL23A</stp>
        <stp>Ask Rate</stp>
        <tr r="F1560" s="1"/>
      </tp>
      <tp>
        <v>19</v>
        <stp/>
        <stp>bse_cm|96ONE29</stp>
        <stp>Bid Qty</stp>
        <tr r="D1621" s="1"/>
      </tp>
      <tp>
        <v>0</v>
        <stp/>
        <stp>bse_cm|CIF27</stp>
        <stp>Volume Traded Today</stp>
        <tr r="L745" s="1"/>
      </tp>
      <tp>
        <v>0</v>
        <stp/>
        <stp>bse_cm|CIF29</stp>
        <stp>Volume Traded Today</stp>
        <tr r="L744" s="1"/>
      </tp>
      <tp>
        <v>0</v>
        <stp/>
        <stp>nse_cm|902SCL26I-AW</stp>
        <stp>% Change</stp>
        <tr r="J1383" s="1"/>
      </tp>
      <tp>
        <v>901.2</v>
        <stp/>
        <stp>bse_cm|SFL27A</stp>
        <stp>Bid Rate</stp>
        <tr r="E804" s="1"/>
      </tp>
      <tp t="s">
        <v>NSE</v>
        <stp/>
        <stp>nse_cm|85CIFC27-NL</stp>
        <stp>Exchange</stp>
        <tr r="C973" s="1"/>
      </tp>
      <tp>
        <v>0</v>
        <stp/>
        <stp>bse_cm|9MMFSL26</stp>
        <stp>Open</stp>
        <tr r="M334" s="1"/>
      </tp>
      <tp>
        <v>0</v>
        <stp/>
        <stp>bse_cm|0SFL31</stp>
        <stp xml:space="preserve">Low </stp>
        <tr r="O1032" s="1"/>
      </tp>
      <tp>
        <v>1075</v>
        <stp/>
        <stp>nse_cm|84TCHF28-NA</stp>
        <stp>Ask Rate</stp>
        <tr r="F402" s="1"/>
      </tp>
      <tp t="s">
        <v>79IGT28</v>
        <stp/>
        <stp>bse_cm|79IGT28</stp>
        <stp>Symbol</stp>
        <tr r="A1183" s="1"/>
      </tp>
      <tp t="s">
        <v>77IGT28</v>
        <stp/>
        <stp>bse_cm|77IGT28</stp>
        <stp>Symbol</stp>
        <tr r="A1191" s="1"/>
      </tp>
      <tp t="s">
        <v>76IGT26</v>
        <stp/>
        <stp>bse_cm|76IGT26</stp>
        <stp>Symbol</stp>
        <tr r="A1608" s="1"/>
      </tp>
      <tp>
        <v>0</v>
        <stp/>
        <stp>bse_cm|82TCHF25</stp>
        <stp>High</stp>
        <tr r="N1015" s="1"/>
      </tp>
      <tp>
        <v>1059.99</v>
        <stp/>
        <stp>bse_cm|83TCHF25</stp>
        <stp>High</stp>
        <tr r="N489" s="1"/>
      </tp>
      <tp>
        <v>815.2</v>
        <stp/>
        <stp>nse_cm|905SCL27-Z4</stp>
        <stp>Bid Rate</stp>
        <tr r="E947" s="1"/>
      </tp>
      <tp>
        <v>0</v>
        <stp/>
        <stp>nse_cm|971SCL28I-BC</stp>
        <stp>% Change</stp>
        <tr r="J531" s="1"/>
      </tp>
      <tp>
        <v>0</v>
        <stp/>
        <stp>bse_cm|0KFL31</stp>
        <stp xml:space="preserve">Low </stp>
        <tr r="O1044" s="1"/>
      </tp>
      <tp>
        <v>995.45</v>
        <stp/>
        <stp>bse_cm|IIFLHFZC27</stp>
        <stp>Prev Close</stp>
        <tr r="P1516" s="1"/>
      </tp>
      <tp>
        <v>0</v>
        <stp/>
        <stp>bse_cm|9SFL2026</stp>
        <stp>ATP</stp>
        <tr r="K1473" s="1"/>
      </tp>
      <tp>
        <v>6720</v>
        <stp/>
        <stp>nse_cm|901NHB34-N6</stp>
        <stp>Ask Rate</stp>
        <tr r="F520" s="1"/>
      </tp>
      <tp>
        <v>0</v>
        <stp/>
        <stp>bse_cm|92LTF29</stp>
        <stp>Ask Qty</stp>
        <tr r="G1088" s="1"/>
      </tp>
      <tp>
        <v>881</v>
        <stp/>
        <stp>bse_cm|12IML26A</stp>
        <stp>Prev Close</stp>
        <tr r="P1212" s="1"/>
      </tp>
      <tp>
        <v>898</v>
        <stp/>
        <stp>bse_cm|10SCL30A</stp>
        <stp>Prev Close</stp>
        <tr r="P444" s="1"/>
      </tp>
      <tp>
        <v>1000</v>
        <stp/>
        <stp>bse_cm|10SCL31A</stp>
        <stp>Prev Close</stp>
        <tr r="P865" s="1"/>
      </tp>
      <tp>
        <v>901.5</v>
        <stp/>
        <stp>bse_cm|10KFL28A</stp>
        <stp>Prev Close</stp>
        <tr r="P1423" s="1"/>
      </tp>
      <tp>
        <v>1000</v>
        <stp/>
        <stp>bse_cm|10KFL24D</stp>
        <stp>Prev Close</stp>
        <tr r="P1424" s="1"/>
      </tp>
      <tp>
        <v>980</v>
        <stp/>
        <stp>bse_cm|10KFL27A</stp>
        <stp>Prev Close</stp>
        <tr r="P1092" s="1"/>
      </tp>
      <tp>
        <v>1094</v>
        <stp/>
        <stp>bse_cm|10MFL24B</stp>
        <stp>Prev Close</stp>
        <tr r="P185" s="1"/>
      </tp>
      <tp>
        <v>1540</v>
        <stp/>
        <stp>bse_cm|MVAF27</stp>
        <stp>Ask Rate</stp>
        <tr r="F1689" s="1"/>
      </tp>
      <tp>
        <v>988</v>
        <stp/>
        <stp>bse_cm|105MML25</stp>
        <stp>Prev Close</stp>
        <tr r="P1170" s="1"/>
      </tp>
      <tp>
        <v>1060.01</v>
        <stp/>
        <stp>bse_cm|905PEL26</stp>
        <stp>Prev Close</stp>
        <tr r="P1518" s="1"/>
      </tp>
      <tp>
        <v>1128</v>
        <stp/>
        <stp>bse_cm|935PEL33</stp>
        <stp>Prev Close</stp>
        <tr r="P368" s="1"/>
      </tp>
      <tp>
        <v>1001</v>
        <stp/>
        <stp>bse_cm|932AEL27</stp>
        <stp>Prev Close</stp>
        <tr r="P317" s="1"/>
      </tp>
      <tp>
        <v>1000.86</v>
        <stp/>
        <stp>bse_cm|925AEL26</stp>
        <stp>Prev Close</stp>
        <tr r="P335" s="1"/>
      </tp>
      <tp>
        <v>1057.55</v>
        <stp/>
        <stp>bse_cm|920PEL28</stp>
        <stp>Prev Close</stp>
        <tr r="P440" s="1"/>
      </tp>
      <tp>
        <v>1015</v>
        <stp/>
        <stp>bse_cm|956AEL29</stp>
        <stp>Prev Close</stp>
        <tr r="P311" s="1"/>
      </tp>
      <tp>
        <v>1068</v>
        <stp/>
        <stp>nse_cm|965ICCL25I-NQ</stp>
        <stp>Prev Close</stp>
        <tr r="P696" s="1"/>
      </tp>
      <tp>
        <v>0</v>
        <stp/>
        <stp>nse_cm|SCL26-NA</stp>
        <stp>ATP</stp>
        <tr r="K919" s="1"/>
      </tp>
      <tp t="s">
        <v>NSE</v>
        <stp/>
        <stp>nse_cm|813LTF29-NP</stp>
        <stp>Exchange</stp>
        <tr r="C1000" s="1"/>
      </tp>
      <tp>
        <v>1008.99</v>
        <stp/>
        <stp>bse_cm|965AEL27</stp>
        <stp>Prev Close</stp>
        <tr r="P370" s="1"/>
      </tp>
      <tp>
        <v>954</v>
        <stp/>
        <stp>bse_cm|894SCL24</stp>
        <stp>Bid Rate</stp>
        <tr r="E645" s="1"/>
      </tp>
      <tp>
        <v>1067.81</v>
        <stp/>
        <stp>bse_cm|714REC25</stp>
        <stp>Bid Rate</stp>
        <tr r="E518" s="1"/>
      </tp>
      <tp t="s">
        <v>NSE</v>
        <stp/>
        <stp>nse_cm|81TCHF28-N8</stp>
        <stp>Exchange</stp>
        <tr r="C467" s="1"/>
      </tp>
      <tp>
        <v>1075</v>
        <stp/>
        <stp>bse_cm|894SCL25</stp>
        <stp>Bid Rate</stp>
        <tr r="E1517" s="1"/>
      </tp>
      <tp>
        <v>1000</v>
        <stp/>
        <stp>bse_cm|MML11924</stp>
        <stp>Prev Close</stp>
        <tr r="P1536" s="1"/>
      </tp>
      <tp>
        <v>0</v>
        <stp/>
        <stp>bse_cm|MFLVI32F</stp>
        <stp>Open</stp>
        <tr r="M704" s="1"/>
      </tp>
      <tp>
        <v>840.4</v>
        <stp/>
        <stp>bse_cm|894SCL27</stp>
        <stp>Bid Rate</stp>
        <tr r="E962" s="1"/>
      </tp>
      <tp>
        <v>0</v>
        <stp/>
        <stp>nse_cm|852LTF27-NG</stp>
        <stp>Ask Rate</stp>
        <tr r="F1006" s="1"/>
      </tp>
      <tp>
        <v>1075</v>
        <stp/>
        <stp>bse_cm|935PEL33</stp>
        <stp>Bid Rate</stp>
        <tr r="E368" s="1"/>
      </tp>
      <tp t="s">
        <v>BSE</v>
        <stp/>
        <stp>bse_cm|ICCL25</stp>
        <stp>Exchange</stp>
        <tr r="C1330" s="1"/>
      </tp>
      <tp>
        <v>0</v>
        <stp/>
        <stp>bse_cm|769IGT28</stp>
        <stp>ATP</stp>
        <tr r="K1195" s="1"/>
      </tp>
      <tp>
        <v>820.2</v>
        <stp/>
        <stp>nse_cm|820SCL25-YO</stp>
        <stp>Bid Rate</stp>
        <tr r="E932" s="1"/>
      </tp>
      <tp>
        <v>0</v>
        <stp/>
        <stp>nse_cm|CIFC26A-N9</stp>
        <stp>% Change</stp>
        <tr r="J739" s="1"/>
      </tp>
      <tp>
        <v>0</v>
        <stp/>
        <stp>bse_cm|MFLV27</stp>
        <stp>Ask Rate</stp>
        <tr r="F1508" s="1"/>
      </tp>
      <tp>
        <v>700.2</v>
        <stp/>
        <stp>nse_cm|916SCL25-ZW</stp>
        <stp>Bid Rate</stp>
        <tr r="E1576" s="1"/>
      </tp>
      <tp>
        <v>0</v>
        <stp/>
        <stp>nse_cm|SCL24-ZD</stp>
        <stp>ATP</stp>
        <tr r="K956" s="1"/>
      </tp>
      <tp>
        <v>0</v>
        <stp/>
        <stp>nse_cm|SCL22-ZC</stp>
        <stp>ATP</stp>
        <tr r="K955" s="1"/>
      </tp>
      <tp>
        <v>1000</v>
        <stp/>
        <stp>bse_cm|898LTF29</stp>
        <stp>Face Value</stp>
        <tr r="Q416" s="1"/>
      </tp>
      <tp>
        <v>0</v>
        <stp/>
        <stp>nse_cm|SCL25-Y6</stp>
        <stp>ATP</stp>
        <tr r="K1753" s="1"/>
      </tp>
      <tp>
        <v>1000</v>
        <stp/>
        <stp>bse_cm|MFLI25</stp>
        <stp>Ask Rate</stp>
        <tr r="F447" s="1"/>
      </tp>
      <tp>
        <v>1000</v>
        <stp/>
        <stp>bse_cm|885LTF27</stp>
        <stp>Face Value</stp>
        <tr r="Q1008" s="1"/>
      </tp>
      <tp>
        <v>1000</v>
        <stp/>
        <stp>bse_cm|884LTF29</stp>
        <stp>Face Value</stp>
        <tr r="Q1337" s="1"/>
      </tp>
      <tp>
        <v>980.2</v>
        <stp/>
        <stp>bse_cm|104ECL29</stp>
        <stp>Bid Rate</stp>
        <tr r="E149" s="1"/>
      </tp>
      <tp t="s">
        <v>INE244L07150</v>
        <stp/>
        <stp>nse_cm|931SFL26A-NA</stp>
        <stp>Isin code</stp>
        <tr r="R786" s="1"/>
      </tp>
      <tp>
        <v>880</v>
        <stp/>
        <stp>bse_cm|985ONE34</stp>
        <stp>Bid Rate</stp>
        <tr r="E1101" s="1"/>
      </tp>
      <tp t="s">
        <v>INE148I07QD9</v>
        <stp/>
        <stp>nse_cm|980SCL33C-ND</stp>
        <stp>Isin code</stp>
        <tr r="R1385" s="1"/>
      </tp>
      <tp t="s">
        <v>INE148I07SZ8</v>
        <stp/>
        <stp>nse_cm|925SCL26C-ZA</stp>
        <stp>Isin code</stp>
        <tr r="R724" s="1"/>
      </tp>
      <tp t="s">
        <v>INE148I07TG6</v>
        <stp/>
        <stp>nse_cm|971SCL29A-ZN</stp>
        <stp>Isin code</stp>
        <tr r="R861" s="1"/>
      </tp>
      <tp>
        <v>0</v>
        <stp/>
        <stp>nse_cm|CAGL25A-N4</stp>
        <stp>% Change</stp>
        <tr r="J709" s="1"/>
      </tp>
      <tp>
        <v>0</v>
        <stp/>
        <stp>nse_cm|CAGL27A-N6</stp>
        <stp>% Change</stp>
        <tr r="J758" s="1"/>
      </tp>
      <tp>
        <v>905.55</v>
        <stp/>
        <stp>nse_cm|925SCL27-YR</stp>
        <stp>Bid Rate</stp>
        <tr r="E1415" s="1"/>
      </tp>
      <tp>
        <v>872.8</v>
        <stp/>
        <stp>bse_cm|795IGT31</stp>
        <stp>Bid Rate</stp>
        <tr r="E1186" s="1"/>
      </tp>
      <tp>
        <v>0</v>
        <stp/>
        <stp>nse_cm|87SCL24A-ZF</stp>
        <stp>Open</stp>
        <tr r="M959" s="1"/>
      </tp>
      <tp>
        <v>1000</v>
        <stp/>
        <stp>bse_cm|829LTF24</stp>
        <stp>Face Value</stp>
        <tr r="Q4" s="1"/>
      </tp>
      <tp>
        <v>950.2</v>
        <stp/>
        <stp>nse_cm|87SCL27A-ZK</stp>
        <stp>Open</stp>
        <tr r="M1416" s="1"/>
      </tp>
      <tp>
        <v>1248</v>
        <stp/>
        <stp>bse_cm|MMFL25</stp>
        <stp>Ask Rate</stp>
        <tr r="F1725" s="1"/>
      </tp>
      <tp>
        <v>837</v>
        <stp/>
        <stp>bse_cm|944MFL28</stp>
        <stp>Bid Rate</stp>
        <tr r="E677" s="1"/>
      </tp>
      <tp>
        <v>1000</v>
        <stp/>
        <stp>bse_cm|815LTF24</stp>
        <stp>Face Value</stp>
        <tr r="Q1167" s="1"/>
      </tp>
      <tp>
        <v>905.2</v>
        <stp/>
        <stp>bse_cm|884LTF29</stp>
        <stp>Bid Rate</stp>
        <tr r="E1337" s="1"/>
      </tp>
      <tp>
        <v>980</v>
        <stp/>
        <stp>bse_cm|87SCL24A</stp>
        <stp>High</stp>
        <tr r="N1141" s="1"/>
      </tp>
      <tp>
        <v>1196.8</v>
        <stp/>
        <stp>bse_cm|89SCL24A</stp>
        <stp>High</stp>
        <tr r="N971" s="1"/>
      </tp>
      <tp>
        <v>950</v>
        <stp/>
        <stp>bse_cm|93SCL24A</stp>
        <stp>High</stp>
        <tr r="N1361" s="1"/>
      </tp>
      <tp t="s">
        <v>NSE</v>
        <stp/>
        <stp>nse_cm|815LTF24-NK</stp>
        <stp>Exchange</stp>
        <tr r="C1693" s="1"/>
      </tp>
      <tp>
        <v>0</v>
        <stp/>
        <stp>bse_cm|IML23623</stp>
        <stp>Open</stp>
        <tr r="M1327" s="1"/>
      </tp>
      <tp>
        <v>0</v>
        <stp/>
        <stp>bse_cm|MMFL27</stp>
        <stp>Ask Rate</stp>
        <tr r="F1513" s="1"/>
      </tp>
      <tp>
        <v>0</v>
        <stp/>
        <stp>bse_cm|MML27524</stp>
        <stp>Open</stp>
        <tr r="M1511" s="1"/>
      </tp>
      <tp>
        <v>0</v>
        <stp/>
        <stp>bse_cm|SFL27224</stp>
        <stp>Open</stp>
        <tr r="M805" s="1"/>
      </tp>
      <tp>
        <v>1000</v>
        <stp/>
        <stp>bse_cm|865LTF26</stp>
        <stp>Face Value</stp>
        <tr r="Q391" s="1"/>
      </tp>
      <tp>
        <v>1000</v>
        <stp/>
        <stp>bse_cm|852LTF27</stp>
        <stp>Face Value</stp>
        <tr r="Q983" s="1"/>
      </tp>
      <tp>
        <v>1083.5</v>
        <stp/>
        <stp>bse_cm|104ECL24</stp>
        <stp>Bid Rate</stp>
        <tr r="E38" s="1"/>
      </tp>
      <tp>
        <v>1000</v>
        <stp/>
        <stp>bse_cm|MFLV29</stp>
        <stp>Ask Rate</stp>
        <tr r="F361" s="1"/>
      </tp>
      <tp>
        <v>815.5</v>
        <stp/>
        <stp>nse_cm|925SCL29-YZ</stp>
        <stp>Bid Rate</stp>
        <tr r="E851" s="1"/>
      </tp>
      <tp t="s">
        <v>NSE</v>
        <stp/>
        <stp>nse_cm|815LTF27-NO</stp>
        <stp>Exchange</stp>
        <tr r="C1001" s="1"/>
      </tp>
      <tp>
        <v>1000</v>
        <stp/>
        <stp>bse_cm|845LTF24</stp>
        <stp>Face Value</stp>
        <tr r="Q943" s="1"/>
      </tp>
      <tp>
        <v>0</v>
        <stp/>
        <stp>bse_cm|MML11924</stp>
        <stp>Open</stp>
        <tr r="M1536" s="1"/>
      </tp>
      <tp>
        <v>0</v>
        <stp/>
        <stp>bse_cm|IML16224</stp>
        <stp>Open</stp>
        <tr r="M1499" s="1"/>
      </tp>
      <tp>
        <v>0</v>
        <stp/>
        <stp>bse_cm|IFL19424</stp>
        <stp>Open</stp>
        <tr r="M1344" s="1"/>
      </tp>
      <tp>
        <v>875</v>
        <stp/>
        <stp>bse_cm|96SFL24A</stp>
        <stp>High</stp>
        <tr r="N633" s="1"/>
      </tp>
      <tp t="s">
        <v>9SFL2026</v>
        <stp/>
        <stp>bse_cm|9SFL2026</stp>
        <stp>Symbol</stp>
        <tr r="A1473" s="1"/>
      </tp>
      <tp>
        <v>1015</v>
        <stp/>
        <stp>nse_cm|AEL120924B-N8</stp>
        <stp xml:space="preserve">Low </stp>
        <tr r="O1640" s="1"/>
      </tp>
      <tp>
        <v>0</v>
        <stp/>
        <stp>nse_cm|9MMFSML-N2</stp>
        <stp>Volume Traded Today</stp>
        <tr r="L339" s="1"/>
      </tp>
      <tp t="s">
        <v>INE321N07343</v>
        <stp/>
        <stp>bse_cm|948IFSL25B</stp>
        <stp>Isin code</stp>
        <tr r="R599" s="1"/>
      </tp>
      <tp t="s">
        <v>9SCL26BA</v>
        <stp/>
        <stp>bse_cm|9SCL26BA</stp>
        <stp>Symbol</stp>
        <tr r="A160" s="1"/>
      </tp>
      <tp t="s">
        <v>97SFL29</v>
        <stp/>
        <stp>nse_cm|97SFL29-YZ</stp>
        <stp>Symbol</stp>
        <tr r="A20" s="1"/>
      </tp>
      <tp t="s">
        <v>INE532F07CN9</v>
        <stp/>
        <stp>bse_cm|875EFSL24A</stp>
        <stp>Isin code</stp>
        <tr r="R229" s="1"/>
      </tp>
      <tp>
        <v>0</v>
        <stp/>
        <stp>nse_cm|91SFL27-ZI</stp>
        <stp>Volume Traded Today</stp>
        <tr r="L533" s="1"/>
      </tp>
      <tp>
        <v>0</v>
        <stp/>
        <stp>nse_cm|97SFL26-Z9</stp>
        <stp>Volume Traded Today</stp>
        <tr r="L438" s="1"/>
      </tp>
      <tp>
        <v>0</v>
        <stp/>
        <stp>nse_cm|97SFL28-YS</stp>
        <stp>Volume Traded Today</stp>
        <tr r="L19" s="1"/>
      </tp>
      <tp>
        <v>0</v>
        <stp/>
        <stp>nse_cm|9SCFL25-Y5</stp>
        <stp>Volume Traded Today</stp>
        <tr r="L389" s="1"/>
      </tp>
      <tp>
        <v>15</v>
        <stp/>
        <stp>nse_cm|97SFL29-YZ</stp>
        <stp>Volume Traded Today</stp>
        <tr r="L20" s="1"/>
      </tp>
      <tp>
        <v>0</v>
        <stp/>
        <stp>nse_cm|9IIFL28-Y0</stp>
        <stp>Volume Traded Today</stp>
        <tr r="L175" s="1"/>
      </tp>
      <tp>
        <v>0</v>
        <stp/>
        <stp>nse_cm|94SFL28-YL</stp>
        <stp>Volume Traded Today</stp>
        <tr r="L5" s="1"/>
      </tp>
      <tp>
        <v>1025</v>
        <stp/>
        <stp>nse_cm|AEL120924A-N5</stp>
        <stp xml:space="preserve">Low </stp>
        <tr r="O1555" s="1"/>
      </tp>
      <tp t="s">
        <v>1015SCL29-ZL</v>
        <stp/>
        <stp>nse_cm|1015SCL29-ZL</stp>
        <stp>Trading Symbol</stp>
        <tr r="B1176" s="1"/>
      </tp>
      <tp t="s">
        <v>891IIFCL34</v>
        <stp/>
        <stp>nse_cm|891IIFCL34-N4</stp>
        <stp>Symbol</stp>
        <tr r="A516" s="1"/>
      </tp>
      <tp t="s">
        <v>1003ICCL28</v>
        <stp/>
        <stp>nse_cm|1003ICCL28-NX</stp>
        <stp>Symbol</stp>
        <tr r="A553" s="1"/>
      </tp>
      <tp t="s">
        <v>1030ICCL28</v>
        <stp/>
        <stp>nse_cm|1030ICCL28-NM</stp>
        <stp>Symbol</stp>
        <tr r="A1596" s="1"/>
      </tp>
      <tp t="s">
        <v>1050ICCL28</v>
        <stp/>
        <stp>nse_cm|1050ICCL28-NV</stp>
        <stp>Symbol</stp>
        <tr r="A764" s="1"/>
      </tp>
      <tp>
        <v>0</v>
        <stp/>
        <stp>nse_cm|10NFL25-N9</stp>
        <stp>Volume Traded Today</stp>
        <tr r="L345" s="1"/>
      </tp>
      <tp t="s">
        <v>876HUDCO28</v>
        <stp/>
        <stp>nse_cm|876HUDCO28-ND</stp>
        <stp>Symbol</stp>
        <tr r="A509" s="1"/>
      </tp>
      <tp>
        <v>1340</v>
        <stp/>
        <stp>nse_cm|891IIFCL34-N4</stp>
        <stp>High</stp>
        <tr r="N516" s="1"/>
      </tp>
      <tp>
        <v>963.35</v>
        <stp/>
        <stp>nse_cm|1049DLS25A-Y5</stp>
        <stp>Open</stp>
        <tr r="M44" s="1"/>
      </tp>
      <tp>
        <v>0</v>
        <stp/>
        <stp>nse_cm|85IFL26-NX</stp>
        <stp>Volume Traded Today</stp>
        <tr r="L1388" s="1"/>
      </tp>
      <tp>
        <v>0</v>
        <stp/>
        <stp>nse_cm|8ABFL26-N0</stp>
        <stp>Volume Traded Today</stp>
        <tr r="L358" s="1"/>
      </tp>
      <tp>
        <v>0</v>
        <stp/>
        <stp>nse_cm|875PCHFL26-N8</stp>
        <stp>Open</stp>
        <tr r="M271" s="1"/>
      </tp>
      <tp>
        <v>0</v>
        <stp/>
        <stp>nse_cm|875PCHFL31-N9</stp>
        <stp>Open</stp>
        <tr r="M1012" s="1"/>
      </tp>
      <tp t="s">
        <v>INE121A07RH2</v>
        <stp/>
        <stp>nse_cm|925IHFL25D-N6</stp>
        <stp>Isin code</stp>
        <tr r="R575" s="1"/>
      </tp>
      <tp>
        <v>0</v>
        <stp/>
        <stp>bse_cm|MML28A</stp>
        <stp>Ask Qty</stp>
        <tr r="G1249" s="1"/>
      </tp>
      <tp>
        <v>0</v>
        <stp/>
        <stp>bse_cm|MFL28B</stp>
        <stp>Ask Qty</stp>
        <tr r="G1277" s="1"/>
      </tp>
      <tp>
        <v>50</v>
        <stp/>
        <stp>bse_cm|MFL28A</stp>
        <stp>Ask Qty</stp>
        <tr r="G1620" s="1"/>
      </tp>
      <tp>
        <v>0</v>
        <stp/>
        <stp>bse_cm|MFL28D</stp>
        <stp>Ask Qty</stp>
        <tr r="G1276" s="1"/>
      </tp>
      <tp>
        <v>0</v>
        <stp/>
        <stp>bse_cm|MFL29A</stp>
        <stp>Ask Qty</stp>
        <tr r="G1380" s="1"/>
      </tp>
      <tp>
        <v>0</v>
        <stp/>
        <stp>bse_cm|KFL28D</stp>
        <stp>Ask Qty</stp>
        <tr r="G1299" s="1"/>
      </tp>
      <tp t="s">
        <v>INE423A07377</v>
        <stp/>
        <stp>nse_cm|AEL120924A-N5</stp>
        <stp>Isin code</stp>
        <tr r="R1555" s="1"/>
      </tp>
      <tp>
        <v>20</v>
        <stp/>
        <stp>bse_cm|IML28C</stp>
        <stp>Ask Qty</stp>
        <tr r="G1648" s="1"/>
      </tp>
      <tp t="s">
        <v/>
        <stp/>
        <stp>nse_cm|CIFC26A-N9</stp>
        <stp>LTT</stp>
        <tr r="I739" s="1"/>
      </tp>
      <tp>
        <v>1030.3</v>
        <stp/>
        <stp>nse_cm|CIFC26A-N9</stp>
        <stp>LTP</stp>
        <tr r="H739" s="1"/>
      </tp>
      <tp>
        <v>0</v>
        <stp/>
        <stp>bse_cm|KFL25B</stp>
        <stp>Ask Qty</stp>
        <tr r="G1308" s="1"/>
      </tp>
      <tp>
        <v>0</v>
        <stp/>
        <stp>bse_cm|KFL25C</stp>
        <stp>Ask Qty</stp>
        <tr r="G1307" s="1"/>
      </tp>
      <tp>
        <v>10</v>
        <stp/>
        <stp>bse_cm|KFL25A</stp>
        <stp>Ask Qty</stp>
        <tr r="G1703" s="1"/>
      </tp>
      <tp>
        <v>0</v>
        <stp/>
        <stp>bse_cm|MFL23A</stp>
        <stp>Ask Qty</stp>
        <tr r="G1560" s="1"/>
      </tp>
      <tp>
        <v>20</v>
        <stp/>
        <stp>bse_cm|KFL25D</stp>
        <stp>Ask Qty</stp>
        <tr r="G1688" s="1"/>
      </tp>
      <tp>
        <v>0</v>
        <stp/>
        <stp>bse_cm|KFL26B</stp>
        <stp>Ask Qty</stp>
        <tr r="G1305" s="1"/>
      </tp>
      <tp>
        <v>0</v>
        <stp/>
        <stp>bse_cm|KFL26C</stp>
        <stp>Ask Qty</stp>
        <tr r="G1304" s="1"/>
      </tp>
      <tp>
        <v>0</v>
        <stp/>
        <stp>bse_cm|KFL26A</stp>
        <stp>Ask Qty</stp>
        <tr r="G1372" s="1"/>
      </tp>
      <tp>
        <v>1061</v>
        <stp/>
        <stp>nse_cm|11UCL26-NC</stp>
        <stp>LTP</stp>
        <tr r="H322" s="1"/>
      </tp>
      <tp t="s">
        <v/>
        <stp/>
        <stp>nse_cm|11UCL26-NC</stp>
        <stp>LTT</stp>
        <tr r="I322" s="1"/>
      </tp>
      <tp>
        <v>0</v>
        <stp/>
        <stp>bse_cm|KFL27B</stp>
        <stp>Ask Qty</stp>
        <tr r="G1301" s="1"/>
      </tp>
      <tp>
        <v>0</v>
        <stp/>
        <stp>bse_cm|KFL27C</stp>
        <stp>Ask Qty</stp>
        <tr r="G1300" s="1"/>
      </tp>
      <tp>
        <v>0</v>
        <stp/>
        <stp>bse_cm|KFL27A</stp>
        <stp>Ask Qty</stp>
        <tr r="G1302" s="1"/>
      </tp>
      <tp>
        <v>100</v>
        <stp/>
        <stp>bse_cm|MML26A</stp>
        <stp>Ask Qty</stp>
        <tr r="G1642" s="1"/>
      </tp>
      <tp t="s">
        <v/>
        <stp/>
        <stp>nse_cm|96SCL25-AA</stp>
        <stp>LTT</stp>
        <tr r="I1067" s="1"/>
      </tp>
      <tp>
        <v>1140</v>
        <stp/>
        <stp>nse_cm|96SCL25-AA</stp>
        <stp>LTP</stp>
        <tr r="H1067" s="1"/>
      </tp>
      <tp>
        <v>0</v>
        <stp/>
        <stp>bse_cm|MFL26B</stp>
        <stp>Ask Qty</stp>
        <tr r="G1280" s="1"/>
      </tp>
      <tp>
        <v>50</v>
        <stp/>
        <stp>bse_cm|MFL26C</stp>
        <stp>Ask Qty</stp>
        <tr r="G1669" s="1"/>
      </tp>
      <tp>
        <v>0</v>
        <stp/>
        <stp>bse_cm|MFL26A</stp>
        <stp>Ask Qty</stp>
        <tr r="G1557" s="1"/>
      </tp>
      <tp>
        <v>0</v>
        <stp/>
        <stp>bse_cm|MFL26F</stp>
        <stp>Ask Qty</stp>
        <tr r="G1278" s="1"/>
      </tp>
      <tp>
        <v>0</v>
        <stp/>
        <stp>bse_cm|MFL26D</stp>
        <stp>Ask Qty</stp>
        <tr r="G1279" s="1"/>
      </tp>
      <tp>
        <v>0</v>
        <stp/>
        <stp>bse_cm|MFL26E</stp>
        <stp>Ask Qty</stp>
        <tr r="G1533" s="1"/>
      </tp>
      <tp>
        <v>15</v>
        <stp/>
        <stp>bse_cm|MFL26Z</stp>
        <stp>Ask Qty</stp>
        <tr r="G1655" s="1"/>
      </tp>
      <tp>
        <v>0</v>
        <stp/>
        <stp>bse_cm|MML24A</stp>
        <stp>Ask Qty</stp>
        <tr r="G1254" s="1"/>
      </tp>
      <tp>
        <v>34</v>
        <stp/>
        <stp>bse_cm|MFL24B</stp>
        <stp>Ask Qty</stp>
        <tr r="G1756" s="1"/>
      </tp>
      <tp>
        <v>50</v>
        <stp/>
        <stp>bse_cm|MFL24A</stp>
        <stp>Ask Qty</stp>
        <tr r="G1759" s="1"/>
      </tp>
      <tp>
        <v>0</v>
        <stp/>
        <stp>bse_cm|MML25A</stp>
        <stp>Ask Qty</stp>
        <tr r="G1252" s="1"/>
      </tp>
      <tp>
        <v>0</v>
        <stp/>
        <stp>bse_cm|MML25C</stp>
        <stp>Ask Qty</stp>
        <tr r="G1251" s="1"/>
      </tp>
      <tp>
        <v>0</v>
        <stp/>
        <stp>bse_cm|MML25B</stp>
        <stp>Ask Qty</stp>
        <tr r="G1498" s="1"/>
      </tp>
      <tp>
        <v>85</v>
        <stp/>
        <stp>bse_cm|MFL25B</stp>
        <stp>Ask Qty</stp>
        <tr r="G1667" s="1"/>
      </tp>
      <tp>
        <v>0</v>
        <stp/>
        <stp>bse_cm|MFL25C</stp>
        <stp>Ask Qty</stp>
        <tr r="G1571" s="1"/>
      </tp>
      <tp>
        <v>61</v>
        <stp/>
        <stp>bse_cm|MFL25A</stp>
        <stp>Ask Qty</stp>
        <tr r="G1692" s="1"/>
      </tp>
      <tp>
        <v>50</v>
        <stp/>
        <stp>bse_cm|MFL25D</stp>
        <stp>Ask Qty</stp>
        <tr r="G1705" s="1"/>
      </tp>
      <tp>
        <v>39</v>
        <stp/>
        <stp>bse_cm|MFL25E</stp>
        <stp>Ask Qty</stp>
        <tr r="G1664" s="1"/>
      </tp>
      <tp>
        <v>59</v>
        <stp/>
        <stp>bse_cm|SCL24A</stp>
        <stp>Ask Qty</stp>
        <tr r="G1749" s="1"/>
      </tp>
      <tp>
        <v>0</v>
        <stp/>
        <stp>bse_cm|SFL25B</stp>
        <stp>Ask Qty</stp>
        <tr r="G1433" s="1"/>
      </tp>
      <tp>
        <v>0</v>
        <stp/>
        <stp>bse_cm|SFL25A</stp>
        <stp>Ask Qty</stp>
        <tr r="G812" s="1"/>
      </tp>
      <tp>
        <v>0</v>
        <stp/>
        <stp>bse_cm|SCL25B</stp>
        <stp>Ask Qty</stp>
        <tr r="G1544" s="1"/>
      </tp>
      <tp>
        <v>0</v>
        <stp/>
        <stp>bse_cm|SCL25A</stp>
        <stp>Ask Qty</stp>
        <tr r="G1238" s="1"/>
      </tp>
      <tp>
        <v>0</v>
        <stp/>
        <stp>bse_cm|SFL26A</stp>
        <stp>Ask Qty</stp>
        <tr r="G810" s="1"/>
      </tp>
      <tp>
        <v>0</v>
        <stp/>
        <stp>bse_cm|SFL27A</stp>
        <stp>Ask Qty</stp>
        <tr r="G804" s="1"/>
      </tp>
      <tp>
        <v>830</v>
        <stp/>
        <stp>nse_cm|87SCL27-Z6</stp>
        <stp>LTP</stp>
        <tr r="H950" s="1"/>
      </tp>
      <tp t="s">
        <v/>
        <stp/>
        <stp>nse_cm|87SCL27-Z6</stp>
        <stp>LTT</stp>
        <tr r="I950" s="1"/>
      </tp>
      <tp t="s">
        <v/>
        <stp/>
        <stp>nse_cm|89SCL24-ZO</stp>
        <stp>LTT</stp>
        <tr r="I972" s="1"/>
      </tp>
      <tp>
        <v>0</v>
        <stp/>
        <stp>nse_cm|89SCL24-ZO</stp>
        <stp>LTP</stp>
        <tr r="H972" s="1"/>
      </tp>
      <tp t="s">
        <v/>
        <stp/>
        <stp>nse_cm|88SCL25-ZG</stp>
        <stp>LTT</stp>
        <tr r="I960" s="1"/>
      </tp>
      <tp>
        <v>1026</v>
        <stp/>
        <stp>nse_cm|88SCL25-ZG</stp>
        <stp>LTP</stp>
        <tr r="H960" s="1"/>
      </tp>
      <tp>
        <v>0</v>
        <stp/>
        <stp>nse_cm|87SCL25-ZV</stp>
        <stp>LTP</stp>
        <tr r="H979" s="1"/>
      </tp>
      <tp t="s">
        <v/>
        <stp/>
        <stp>nse_cm|87SCL25-ZV</stp>
        <stp>LTT</stp>
        <tr r="I979" s="1"/>
      </tp>
      <tp>
        <v>973.6</v>
        <stp/>
        <stp>nse_cm|99SCL27-ZH</stp>
        <stp>LTP</stp>
        <tr r="H1168" s="1"/>
      </tp>
      <tp>
        <v>0</v>
        <stp/>
        <stp>nse_cm|94SCL27-ZG</stp>
        <stp>LTP</stp>
        <tr r="H1151" s="1"/>
      </tp>
      <tp t="s">
        <v/>
        <stp/>
        <stp>nse_cm|99SCL27-ZH</stp>
        <stp>LTT</stp>
        <tr r="I1168" s="1"/>
      </tp>
      <tp t="s">
        <v/>
        <stp/>
        <stp>nse_cm|94SCL27-ZG</stp>
        <stp>LTT</stp>
        <tr r="I1151" s="1"/>
      </tp>
      <tp>
        <v>1035</v>
        <stp/>
        <stp>nse_cm|93SCL25-ZH</stp>
        <stp>LTP</stp>
        <tr r="H961" s="1"/>
      </tp>
      <tp t="s">
        <v/>
        <stp/>
        <stp>nse_cm|93SCL25-ZH</stp>
        <stp>LTT</stp>
        <tr r="I961" s="1"/>
      </tp>
      <tp>
        <v>1113.3599999999999</v>
        <stp/>
        <stp>nse_cm|98SCL27-ZX</stp>
        <stp>LTP</stp>
        <tr r="H1378" s="1"/>
      </tp>
      <tp>
        <v>1050.2</v>
        <stp/>
        <stp>nse_cm|93SCL24-ZP</stp>
        <stp>LTP</stp>
        <tr r="H1506" s="1"/>
      </tp>
      <tp t="s">
        <v/>
        <stp/>
        <stp>nse_cm|98SCL27-ZX</stp>
        <stp>LTT</stp>
        <tr r="I1378" s="1"/>
      </tp>
      <tp t="s">
        <v/>
        <stp/>
        <stp>nse_cm|93SCL24-ZP</stp>
        <stp>LTT</stp>
        <tr r="I1506" s="1"/>
      </tp>
      <tp>
        <v>0</v>
        <stp/>
        <stp>nse_cm|98SCL34-ZS</stp>
        <stp>LTP</stp>
        <tr r="H1052" s="1"/>
      </tp>
      <tp t="s">
        <v/>
        <stp/>
        <stp>nse_cm|98SCL34-ZS</stp>
        <stp>LTT</stp>
        <tr r="I1052" s="1"/>
      </tp>
      <tp t="s">
        <v>10IIFLSF27</v>
        <stp/>
        <stp>nse_cm|10IIFLSF27-NB</stp>
        <stp>Symbol</stp>
        <tr r="A1657" s="1"/>
      </tp>
      <tp t="s">
        <v>NSE</v>
        <stp/>
        <stp>nse_cm|866IIFC34B-N3</stp>
        <stp>Exchange</stp>
        <tr r="C25" s="1"/>
      </tp>
      <tp>
        <v>0</v>
        <stp/>
        <stp>nse_cm|10SCL31-Z1</stp>
        <stp>LTP</stp>
        <tr r="H866" s="1"/>
      </tp>
      <tp t="s">
        <v/>
        <stp/>
        <stp>nse_cm|10SCL31-Z1</stp>
        <stp>LTT</stp>
        <tr r="I866" s="1"/>
      </tp>
      <tp>
        <v>13</v>
        <stp/>
        <stp>bse_cm|10SCL31</stp>
        <stp>Bid Qty</stp>
        <tr r="D1085" s="1"/>
      </tp>
      <tp>
        <v>9</v>
        <stp/>
        <stp>bse_cm|11UCL26</stp>
        <stp>Bid Qty</stp>
        <tr r="D323" s="1"/>
      </tp>
      <tp>
        <v>1</v>
        <stp/>
        <stp>bse_cm|11IML27</stp>
        <stp>Bid Qty</stp>
        <tr r="D177" s="1"/>
      </tp>
      <tp>
        <v>10</v>
        <stp/>
        <stp>bse_cm|11IML26</stp>
        <stp>Bid Qty</stp>
        <tr r="D1132" s="1"/>
      </tp>
      <tp>
        <v>30</v>
        <stp/>
        <stp>bse_cm|11IFL25</stp>
        <stp>Bid Qty</stp>
        <tr r="D1421" s="1"/>
      </tp>
      <tp>
        <v>22</v>
        <stp/>
        <stp>bse_cm|11MML28</stp>
        <stp>Bid Qty</stp>
        <tr r="D1131" s="1"/>
      </tp>
      <tp>
        <v>20</v>
        <stp/>
        <stp>bse_cm|11CCL26</stp>
        <stp>Bid Qty</stp>
        <tr r="D1219" s="1"/>
      </tp>
      <tp>
        <v>17</v>
        <stp/>
        <stp>bse_cm|10SFL25</stp>
        <stp>Bid Qty</stp>
        <tr r="D1681" s="1"/>
      </tp>
      <tp>
        <v>14</v>
        <stp/>
        <stp>bse_cm|10SFL27</stp>
        <stp>Bid Qty</stp>
        <tr r="D863" s="1"/>
      </tp>
      <tp>
        <v>35</v>
        <stp/>
        <stp>bse_cm|10VCL25</stp>
        <stp>Bid Qty</stp>
        <tr r="D1646" s="1"/>
      </tp>
      <tp>
        <v>27</v>
        <stp/>
        <stp>bse_cm|10KFL25</stp>
        <stp>Bid Qty</stp>
        <tr r="D1093" s="1"/>
      </tp>
      <tp>
        <v>100</v>
        <stp/>
        <stp>bse_cm|10KFL27</stp>
        <stp>Bid Qty</stp>
        <tr r="D675" s="1"/>
      </tp>
      <tp>
        <v>50</v>
        <stp/>
        <stp>bse_cm|10NFL25</stp>
        <stp>Bid Qty</stp>
        <tr r="D1568" s="1"/>
      </tp>
      <tp>
        <v>190</v>
        <stp/>
        <stp>bse_cm|10MFL25</stp>
        <stp>Bid Qty</stp>
        <tr r="D577" s="1"/>
      </tp>
      <tp>
        <v>100</v>
        <stp/>
        <stp>bse_cm|10KFL28</stp>
        <stp>Bid Qty</stp>
        <tr r="D674" s="1"/>
      </tp>
      <tp>
        <v>1224</v>
        <stp/>
        <stp>nse_cm|IIFLZC28-NG</stp>
        <stp>LTP</stp>
        <tr r="H1659" s="1"/>
      </tp>
      <tp>
        <v>1601</v>
        <stp/>
        <stp>nse_cm|IIFLZC25-ND</stp>
        <stp>LTP</stp>
        <tr r="H1742" s="1"/>
      </tp>
      <tp t="s">
        <v/>
        <stp/>
        <stp>nse_cm|IIFLZC28-NG</stp>
        <stp>LTT</stp>
        <tr r="I1659" s="1"/>
      </tp>
      <tp t="s">
        <v/>
        <stp/>
        <stp>nse_cm|IIFLZC25-ND</stp>
        <stp>LTT</stp>
        <tr r="I1742" s="1"/>
      </tp>
      <tp>
        <v>1250.2</v>
        <stp/>
        <stp>nse_cm|IIFLZC26-NN</stp>
        <stp>LTP</stp>
        <tr r="H1696" s="1"/>
      </tp>
      <tp t="s">
        <v/>
        <stp/>
        <stp>nse_cm|IIFLZC26-NN</stp>
        <stp>LTT</stp>
        <tr r="I1696" s="1"/>
      </tp>
      <tp>
        <v>100</v>
        <stp/>
        <stp>bse_cm|12IFL27</stp>
        <stp>Bid Qty</stp>
        <tr r="D258" s="1"/>
      </tp>
      <tp>
        <v>4</v>
        <stp/>
        <stp>bse_cm|12IML26</stp>
        <stp>Bid Qty</stp>
        <tr r="D1494" s="1"/>
      </tp>
      <tp>
        <v>1000</v>
        <stp/>
        <stp>bse_cm|8MFLTD26</stp>
        <stp>Face Value</stp>
        <tr r="Q321" s="1"/>
      </tp>
      <tp>
        <v>1000</v>
        <stp/>
        <stp>bse_cm|8MFLTD28</stp>
        <stp>Face Value</stp>
        <tr r="Q366" s="1"/>
      </tp>
      <tp t="s">
        <v>NSE</v>
        <stp/>
        <stp>nse_cm|846REC28-N6</stp>
        <stp>Exchange</stp>
        <tr r="C548" s="1"/>
      </tp>
      <tp t="s">
        <v>BSE</v>
        <stp/>
        <stp>bse_cm|MFL26Z</stp>
        <stp>Exchange</stp>
        <tr r="C1655" s="1"/>
      </tp>
      <tp>
        <v>0</v>
        <stp/>
        <stp>bse_cm|MFLIII25</stp>
        <stp>Open</stp>
        <tr r="M1501" s="1"/>
      </tp>
      <tp>
        <v>938.2</v>
        <stp/>
        <stp>bse_cm|SFL26A</stp>
        <stp>Bid Rate</stp>
        <tr r="E810" s="1"/>
      </tp>
      <tp>
        <v>0</v>
        <stp/>
        <stp>bse_cm|10MFCL30</stp>
        <stp>Open</stp>
        <tr r="M1091" s="1"/>
      </tp>
      <tp>
        <v>0</v>
        <stp/>
        <stp>bse_cm|0SFL26</stp>
        <stp xml:space="preserve">Low </stp>
        <tr r="O703" s="1"/>
      </tp>
      <tp>
        <v>995</v>
        <stp/>
        <stp>bse_cm|0SCL26</stp>
        <stp xml:space="preserve">Low </stp>
        <tr r="O1359" s="1"/>
      </tp>
      <tp>
        <v>0</v>
        <stp/>
        <stp>bse_cm|0SCL27</stp>
        <stp xml:space="preserve">Low </stp>
        <tr r="O721" s="1"/>
      </tp>
      <tp t="s">
        <v/>
        <stp/>
        <stp>nse_cm|IFCIZC25-NM</stp>
        <stp>LTT</stp>
        <tr r="I1765" s="1"/>
      </tp>
      <tp>
        <v>2516</v>
        <stp/>
        <stp>nse_cm|IFCIZC24-NI</stp>
        <stp>LTP</stp>
        <tr r="H1768" s="1"/>
      </tp>
      <tp>
        <v>2330</v>
        <stp/>
        <stp>nse_cm|IFCIZC25-NM</stp>
        <stp>LTP</stp>
        <tr r="H1765" s="1"/>
      </tp>
      <tp t="s">
        <v/>
        <stp/>
        <stp>nse_cm|IFCIZC24-NI</stp>
        <stp>LTT</stp>
        <tr r="I1768" s="1"/>
      </tp>
      <tp t="s">
        <v>10EFS33</v>
        <stp/>
        <stp>bse_cm|10EFS33</stp>
        <stp>Symbol</stp>
        <tr r="A112" s="1"/>
      </tp>
      <tp>
        <v>1145</v>
        <stp/>
        <stp>bse_cm|EFSLZC25</stp>
        <stp xml:space="preserve">Low </stp>
        <tr r="O1741" s="1"/>
      </tp>
      <tp>
        <v>1340.63</v>
        <stp/>
        <stp>bse_cm|EFSLZC26</stp>
        <stp xml:space="preserve">Low </stp>
        <tr r="O1712" s="1"/>
      </tp>
      <tp t="s">
        <v>11IFL25</v>
        <stp/>
        <stp>bse_cm|11IFL25</stp>
        <stp>Symbol</stp>
        <tr r="A1421" s="1"/>
      </tp>
      <tp t="s">
        <v>10KFL25</v>
        <stp/>
        <stp>bse_cm|10KFL25</stp>
        <stp>Symbol</stp>
        <tr r="A1093" s="1"/>
      </tp>
      <tp t="s">
        <v>10KFL27</v>
        <stp/>
        <stp>bse_cm|10KFL27</stp>
        <stp>Symbol</stp>
        <tr r="A675" s="1"/>
      </tp>
      <tp t="s">
        <v>10NFL25</v>
        <stp/>
        <stp>bse_cm|10NFL25</stp>
        <stp>Symbol</stp>
        <tr r="A1568" s="1"/>
      </tp>
      <tp t="s">
        <v>10MFL25</v>
        <stp/>
        <stp>bse_cm|10MFL25</stp>
        <stp>Symbol</stp>
        <tr r="A577" s="1"/>
      </tp>
      <tp t="s">
        <v>10KFL28</v>
        <stp/>
        <stp>bse_cm|10KFL28</stp>
        <stp>Symbol</stp>
        <tr r="A674" s="1"/>
      </tp>
      <tp t="s">
        <v>10SFL25</v>
        <stp/>
        <stp>bse_cm|10SFL25</stp>
        <stp>Symbol</stp>
        <tr r="A1681" s="1"/>
      </tp>
      <tp t="s">
        <v>10SFL27</v>
        <stp/>
        <stp>bse_cm|10SFL27</stp>
        <stp>Symbol</stp>
        <tr r="A863" s="1"/>
      </tp>
      <tp t="s">
        <v>12IFL27</v>
        <stp/>
        <stp>bse_cm|12IFL27</stp>
        <stp>Symbol</stp>
        <tr r="A258" s="1"/>
      </tp>
      <tp t="s">
        <v>0NHFL26</v>
        <stp/>
        <stp>bse_cm|0NHFL26</stp>
        <stp>Symbol</stp>
        <tr r="A1037" s="1"/>
      </tp>
      <tp t="s">
        <v>0NHFL27</v>
        <stp/>
        <stp>bse_cm|0NHFL27</stp>
        <stp>Symbol</stp>
        <tr r="A1036" s="1"/>
      </tp>
      <tp t="s">
        <v>0NHFL29</v>
        <stp/>
        <stp>bse_cm|0NHFL29</stp>
        <stp>Symbol</stp>
        <tr r="A1035" s="1"/>
      </tp>
      <tp>
        <v>0</v>
        <stp/>
        <stp>bse_cm|0MML27</stp>
        <stp xml:space="preserve">Low </stp>
        <tr r="O1043" s="1"/>
      </tp>
      <tp>
        <v>815.4</v>
        <stp/>
        <stp>nse_cm|915SCL27-Z7</stp>
        <stp>Bid Rate</stp>
        <tr r="E1475" s="1"/>
      </tp>
      <tp>
        <v>0</v>
        <stp/>
        <stp>bse_cm|0KFL26</stp>
        <stp xml:space="preserve">Low </stp>
        <tr r="O1047" s="1"/>
      </tp>
      <tp>
        <v>0</v>
        <stp/>
        <stp>bse_cm|0KFL27</stp>
        <stp xml:space="preserve">Low </stp>
        <tr r="O1046" s="1"/>
      </tp>
      <tp t="s">
        <v>BSE</v>
        <stp/>
        <stp>bse_cm|MML26A</stp>
        <stp>Exchange</stp>
        <tr r="C1642" s="1"/>
      </tp>
      <tp>
        <v>978</v>
        <stp/>
        <stp>bse_cm|0KFL25</stp>
        <stp xml:space="preserve">Low </stp>
        <tr r="O1604" s="1"/>
      </tp>
      <tp t="s">
        <v>BSE</v>
        <stp/>
        <stp>bse_cm|MFL26D</stp>
        <stp>Exchange</stp>
        <tr r="C1279" s="1"/>
      </tp>
      <tp t="s">
        <v>BSE</v>
        <stp/>
        <stp>bse_cm|MFL26E</stp>
        <stp>Exchange</stp>
        <tr r="C1533" s="1"/>
      </tp>
      <tp t="s">
        <v>9SCFL25</v>
        <stp/>
        <stp>bse_cm|9SCFL25</stp>
        <stp>Symbol</stp>
        <tr r="A1505" s="1"/>
      </tp>
      <tp t="s">
        <v>9IIFL28</v>
        <stp/>
        <stp>bse_cm|9IIFL28</stp>
        <stp>Symbol</stp>
        <tr r="A126" s="1"/>
      </tp>
      <tp t="s">
        <v>9KSFL27</v>
        <stp/>
        <stp>bse_cm|9KSFL27</stp>
        <stp>Symbol</stp>
        <tr r="A1418" s="1"/>
      </tp>
      <tp t="s">
        <v>BSE</v>
        <stp/>
        <stp>bse_cm|MFL26F</stp>
        <stp>Exchange</stp>
        <tr r="C1278" s="1"/>
      </tp>
      <tp>
        <v>0</v>
        <stp/>
        <stp>bse_cm|0KFL28</stp>
        <stp xml:space="preserve">Low </stp>
        <tr r="O1045" s="1"/>
      </tp>
      <tp t="s">
        <v>91SFL27</v>
        <stp/>
        <stp>bse_cm|91SFL27</stp>
        <stp>Symbol</stp>
        <tr r="A574" s="1"/>
      </tp>
      <tp t="s">
        <v>925FL27</v>
        <stp/>
        <stp>bse_cm|925FL27</stp>
        <stp>Symbol</stp>
        <tr r="A615" s="1"/>
      </tp>
      <tp t="s">
        <v>95KFL27</v>
        <stp/>
        <stp>bse_cm|95KFL27</stp>
        <stp>Symbol</stp>
        <tr r="A607" s="1"/>
      </tp>
      <tp t="s">
        <v>95KFL26</v>
        <stp/>
        <stp>bse_cm|95KFL26</stp>
        <stp>Symbol</stp>
        <tr r="A253" s="1"/>
      </tp>
      <tp t="s">
        <v>95MFL25</v>
        <stp/>
        <stp>bse_cm|95MFL25</stp>
        <stp>Symbol</stp>
        <tr r="A1420" s="1"/>
      </tp>
      <tp t="s">
        <v>94MFL27</v>
        <stp/>
        <stp>bse_cm|94MFL27</stp>
        <stp>Symbol</stp>
        <tr r="A189" s="1"/>
      </tp>
      <tp t="s">
        <v>94SFL28</v>
        <stp/>
        <stp>bse_cm|94SFL28</stp>
        <stp>Symbol</stp>
        <tr r="A24" s="1"/>
      </tp>
      <tp t="s">
        <v>97SFL29</v>
        <stp/>
        <stp>bse_cm|97SFL29</stp>
        <stp>Symbol</stp>
        <tr r="A21" s="1"/>
      </tp>
      <tp t="s">
        <v>97SFL28</v>
        <stp/>
        <stp>bse_cm|97SFL28</stp>
        <stp>Symbol</stp>
        <tr r="A23" s="1"/>
      </tp>
      <tp t="s">
        <v>97SFL26</v>
        <stp/>
        <stp>bse_cm|97SFL26</stp>
        <stp>Symbol</stp>
        <tr r="A405" s="1"/>
      </tp>
      <tp t="s">
        <v>96MFL25</v>
        <stp/>
        <stp>bse_cm|96MFL25</stp>
        <stp>Symbol</stp>
        <tr r="A1392" s="1"/>
      </tp>
      <tp t="s">
        <v>8ABFL26</v>
        <stp/>
        <stp>bse_cm|8ABFL26</stp>
        <stp>Symbol</stp>
        <tr r="A539" s="1"/>
      </tp>
      <tp>
        <v>0</v>
        <stp/>
        <stp>bse_cm|MFLTDI25</stp>
        <stp>Open</stp>
        <tr r="M1476" s="1"/>
      </tp>
      <tp>
        <v>0</v>
        <stp/>
        <stp>bse_cm|MFLVII27</stp>
        <stp>Open</stp>
        <tr r="M1397" s="1"/>
      </tp>
      <tp t="s">
        <v>89MFL26</v>
        <stp/>
        <stp>bse_cm|89MFL26</stp>
        <stp>Symbol</stp>
        <tr r="A250" s="1"/>
      </tp>
      <tp t="s">
        <v>88MFL28</v>
        <stp/>
        <stp>bse_cm|88MFL28</stp>
        <stp>Symbol</stp>
        <tr r="A233" s="1"/>
      </tp>
      <tp t="s">
        <v>81MFL28</v>
        <stp/>
        <stp>bse_cm|81MFL28</stp>
        <stp>Symbol</stp>
        <tr r="A314" s="1"/>
      </tp>
      <tp t="s">
        <v>85KFL25</v>
        <stp/>
        <stp>bse_cm|85KFL25</stp>
        <stp>Symbol</stp>
        <tr r="A641" s="1"/>
      </tp>
      <tp t="s">
        <v>85IFL26</v>
        <stp/>
        <stp>bse_cm|85IFL26</stp>
        <stp>Symbol</stp>
        <tr r="A1357" s="1"/>
      </tp>
      <tp t="s">
        <v>84MFL25</v>
        <stp/>
        <stp>bse_cm|84MFL25</stp>
        <stp>Symbol</stp>
        <tr r="A316" s="1"/>
      </tp>
      <tp>
        <v>1055.5</v>
        <stp/>
        <stp>bse_cm|EFSLZC28</stp>
        <stp xml:space="preserve">Low </stp>
        <tr r="O1637" s="1"/>
      </tp>
      <tp>
        <v>10</v>
        <stp/>
        <stp>bse_cm|87LTF27</stp>
        <stp>Ask Qty</stp>
        <tr r="G412" s="1"/>
      </tp>
      <tp t="s">
        <v>BSE</v>
        <stp/>
        <stp>bse_cm|KFL30A</stp>
        <stp>Exchange</stp>
        <tr r="C1592" s="1"/>
      </tp>
      <tp t="s">
        <v>BSE</v>
        <stp/>
        <stp>bse_cm|MFL26A</stp>
        <stp>Exchange</stp>
        <tr r="C1557" s="1"/>
      </tp>
      <tp>
        <v>10</v>
        <stp/>
        <stp>bse_cm|86LTF24</stp>
        <stp>Ask Qty</stp>
        <tr r="G8" s="1"/>
      </tp>
      <tp>
        <v>0</v>
        <stp/>
        <stp>bse_cm|0MML29</stp>
        <stp xml:space="preserve">Low </stp>
        <tr r="O1041" s="1"/>
      </tp>
      <tp>
        <v>88</v>
        <stp/>
        <stp>bse_cm|865MF25</stp>
        <stp>Ask Qty</stp>
        <tr r="G111" s="1"/>
      </tp>
      <tp>
        <v>0</v>
        <stp/>
        <stp>bse_cm|895EFS25</stp>
        <stp>Volume Traded Today</stp>
        <tr r="L730" s="1"/>
      </tp>
      <tp t="s">
        <v>BSE</v>
        <stp/>
        <stp>bse_cm|MFL26B</stp>
        <stp>Exchange</stp>
        <tr r="C1280" s="1"/>
      </tp>
      <tp>
        <v>100</v>
        <stp/>
        <stp>bse_cm|85LTF26</stp>
        <stp>Ask Qty</stp>
        <tr r="G410" s="1"/>
      </tp>
      <tp>
        <v>0</v>
        <stp/>
        <stp>bse_cm|93SCFL25</stp>
        <stp xml:space="preserve">Low </stp>
        <tr r="O980" s="1"/>
      </tp>
      <tp t="s">
        <v>BSE</v>
        <stp/>
        <stp>bse_cm|MFL26C</stp>
        <stp>Exchange</stp>
        <tr r="C1669" s="1"/>
      </tp>
      <tp>
        <v>911.1</v>
        <stp/>
        <stp>bse_cm|915MFL28</stp>
        <stp>Prev Close</stp>
        <tr r="P283" s="1"/>
      </tp>
      <tp>
        <v>990</v>
        <stp/>
        <stp>bse_cm|915MFL27</stp>
        <stp>Prev Close</stp>
        <tr r="P614" s="1"/>
      </tp>
      <tp>
        <v>971.22</v>
        <stp/>
        <stp>bse_cm|915MFL25</stp>
        <stp>Prev Close</stp>
        <tr r="P105" s="1"/>
      </tp>
      <tp t="s">
        <v>NSE</v>
        <stp/>
        <stp>nse_cm|824LTF27-NQ</stp>
        <stp>Exchange</stp>
        <tr r="C999" s="1"/>
      </tp>
      <tp>
        <v>965.57</v>
        <stp/>
        <stp>bse_cm|910MFL26</stp>
        <stp>Prev Close</stp>
        <tr r="P277" s="1"/>
      </tp>
      <tp>
        <v>974</v>
        <stp/>
        <stp>bse_cm|905MFL28</stp>
        <stp>Prev Close</stp>
        <tr r="P207" s="1"/>
      </tp>
      <tp>
        <v>1022</v>
        <stp/>
        <stp>bse_cm|903SFL28</stp>
        <stp>Prev Close</stp>
        <tr r="P397" s="1"/>
      </tp>
      <tp>
        <v>0</v>
        <stp/>
        <stp>bse_cm|NWIL27</stp>
        <stp>Ask Rate</stp>
        <tr r="F1439" s="1"/>
      </tp>
      <tp>
        <v>955</v>
        <stp/>
        <stp>bse_cm|935MFL29</stp>
        <stp>Prev Close</stp>
        <tr r="P238" s="1"/>
      </tp>
      <tp>
        <v>1019</v>
        <stp/>
        <stp>bse_cm|931SFL26</stp>
        <stp>Prev Close</stp>
        <tr r="P1492" s="1"/>
      </tp>
      <tp>
        <v>1023</v>
        <stp/>
        <stp>bse_cm|930SFL28</stp>
        <stp>Prev Close</stp>
        <tr r="P10" s="1"/>
      </tp>
      <tp>
        <v>1000</v>
        <stp/>
        <stp>bse_cm|93SCFL25</stp>
        <stp>Prev Close</stp>
        <tr r="P980" s="1"/>
      </tp>
      <tp>
        <v>1014.96</v>
        <stp/>
        <stp>bse_cm|IML16224</stp>
        <stp>Prev Close</stp>
        <tr r="P1499" s="1"/>
      </tp>
      <tp>
        <v>1000</v>
        <stp/>
        <stp>bse_cm|925KFL27</stp>
        <stp>Prev Close</stp>
        <tr r="P313" s="1"/>
      </tp>
      <tp>
        <v>955</v>
        <stp/>
        <stp>bse_cm|925KFL26</stp>
        <stp>Prev Close</stp>
        <tr r="P775" s="1"/>
      </tp>
      <tp>
        <v>1015.8</v>
        <stp/>
        <stp>bse_cm|925MFL26</stp>
        <stp>Prev Close</stp>
        <tr r="P230" s="1"/>
      </tp>
      <tp>
        <v>962.2</v>
        <stp/>
        <stp>bse_cm|925MFL25</stp>
        <stp>Prev Close</stp>
        <tr r="P1466" s="1"/>
      </tp>
      <tp>
        <v>1143.3</v>
        <stp/>
        <stp>bse_cm|925SFL27</stp>
        <stp>Prev Close</stp>
        <tr r="P849" s="1"/>
      </tp>
      <tp>
        <v>914.2</v>
        <stp/>
        <stp>bse_cm|925SFL26</stp>
        <stp>Prev Close</stp>
        <tr r="P850" s="1"/>
      </tp>
      <tp>
        <v>1035.8</v>
        <stp/>
        <stp>bse_cm|927MFL26</stp>
        <stp>Prev Close</stp>
        <tr r="P1457" s="1"/>
      </tp>
      <tp>
        <v>0</v>
        <stp/>
        <stp>bse_cm|NWIL25</stp>
        <stp>Ask Rate</stp>
        <tr r="F1546" s="1"/>
      </tp>
      <tp>
        <v>825.3</v>
        <stp/>
        <stp>bse_cm|950KFL27</stp>
        <stp>Prev Close</stp>
        <tr r="P143" s="1"/>
      </tp>
      <tp>
        <v>1020</v>
        <stp/>
        <stp>bse_cm|950MFL27</stp>
        <stp>Prev Close</stp>
        <tr r="P1147" s="1"/>
      </tp>
      <tp>
        <v>835.8</v>
        <stp/>
        <stp>bse_cm|950SFL27</stp>
        <stp>Prev Close</stp>
        <tr r="P1144" s="1"/>
      </tp>
      <tp t="s">
        <v>NSE</v>
        <stp/>
        <stp>nse_cm|82TCHF25-N5</stp>
        <stp>Exchange</stp>
        <tr r="C1014" s="1"/>
      </tp>
      <tp>
        <v>936</v>
        <stp/>
        <stp>bse_cm|95KAFL25</stp>
        <stp>Prev Close</stp>
        <tr r="P40" s="1"/>
      </tp>
      <tp>
        <v>944.03</v>
        <stp/>
        <stp>bse_cm|944MFL28</stp>
        <stp>Prev Close</stp>
        <tr r="P677" s="1"/>
      </tp>
      <tp>
        <v>1078.5</v>
        <stp/>
        <stp>nse_cm|865LTF26-NN</stp>
        <stp>Ask Rate</stp>
        <tr r="F392" s="1"/>
      </tp>
      <tp>
        <v>980</v>
        <stp/>
        <stp>bse_cm|975MFL29</stp>
        <stp>Prev Close</stp>
        <tr r="P683" s="1"/>
      </tp>
      <tp>
        <v>985</v>
        <stp/>
        <stp>bse_cm|975NFL25</stp>
        <stp>Prev Close</stp>
        <tr r="P623" s="1"/>
      </tp>
      <tp>
        <v>999.8</v>
        <stp/>
        <stp>bse_cm|975MFL25</stp>
        <stp>Prev Close</stp>
        <tr r="P855" s="1"/>
      </tp>
      <tp>
        <v>933.57</v>
        <stp/>
        <stp>bse_cm|96IIFL28</stp>
        <stp>Prev Close</stp>
        <tr r="P118" s="1"/>
      </tp>
      <tp>
        <v>862.2</v>
        <stp/>
        <stp>bse_cm|857SCL24</stp>
        <stp>Bid Rate</stp>
        <tr r="E1002" s="1"/>
      </tp>
      <tp>
        <v>1492</v>
        <stp/>
        <stp>nse_cm|SFLZC25A-ZK</stp>
        <stp>LTP</stp>
        <tr r="H1582" s="1"/>
      </tp>
      <tp t="s">
        <v/>
        <stp/>
        <stp>nse_cm|SFLZC25A-ZK</stp>
        <stp>LTT</stp>
        <tr r="I1582" s="1"/>
      </tp>
      <tp>
        <v>1602.01</v>
        <stp/>
        <stp>nse_cm|SFLZC26A-ZC</stp>
        <stp>LTP</stp>
        <tr r="H1716" s="1"/>
      </tp>
      <tp t="s">
        <v/>
        <stp/>
        <stp>nse_cm|SFLZC26A-ZC</stp>
        <stp>LTT</stp>
        <tr r="I1716" s="1"/>
      </tp>
      <tp>
        <v>920.1</v>
        <stp/>
        <stp>bse_cm|847SCL25</stp>
        <stp>Bid Rate</stp>
        <tr r="E941" s="1"/>
      </tp>
      <tp t="s">
        <v>NSE</v>
        <stp/>
        <stp>nse_cm|889SCL28-NU</stp>
        <stp>Exchange</stp>
        <tr r="C989" s="1"/>
      </tp>
      <tp>
        <v>960.01</v>
        <stp/>
        <stp>bse_cm|98NWFL30</stp>
        <stp>Prev Close</stp>
        <tr r="P231" s="1"/>
      </tp>
      <tp>
        <v>0</v>
        <stp/>
        <stp>bse_cm|MFLVI31F</stp>
        <stp>Open</stp>
        <tr r="M354" s="1"/>
      </tp>
      <tp>
        <v>0</v>
        <stp/>
        <stp>bse_cm|10SCL31A</stp>
        <stp xml:space="preserve">Low </stp>
        <tr r="O865" s="1"/>
      </tp>
      <tp t="s">
        <v>BSE</v>
        <stp/>
        <stp>bse_cm|KAFL30</stp>
        <stp>Exchange</stp>
        <tr r="C1317" s="1"/>
      </tp>
      <tp>
        <v>980.55</v>
        <stp/>
        <stp>bse_cm|957VCL25</stp>
        <stp>Bid Rate</stp>
        <tr r="E53" s="1"/>
      </tp>
      <tp t="s">
        <v>NSE</v>
        <stp/>
        <stp>nse_cm|980SCL33-NX</stp>
        <stp>Exchange</stp>
        <tr r="C360" s="1"/>
      </tp>
      <tp>
        <v>924.3</v>
        <stp/>
        <stp>nse_cm|SCLZC26G-YA</stp>
        <stp>LTP</stp>
        <tr r="H815" s="1"/>
      </tp>
      <tp t="s">
        <v/>
        <stp/>
        <stp>nse_cm|SCLZC26G-YA</stp>
        <stp>LTT</stp>
        <tr r="I815" s="1"/>
      </tp>
      <tp>
        <v>0</v>
        <stp/>
        <stp>nse_cm|SCLZC26F-Y9</stp>
        <stp>LTP</stp>
        <tr r="H800" s="1"/>
      </tp>
      <tp t="s">
        <v/>
        <stp/>
        <stp>nse_cm|SCLZC26F-Y9</stp>
        <stp>LTT</stp>
        <tr r="I800" s="1"/>
      </tp>
      <tp t="s">
        <v/>
        <stp/>
        <stp>nse_cm|SCLZC25E-Y4</stp>
        <stp>LTT</stp>
        <tr r="I787" s="1"/>
      </tp>
      <tp t="s">
        <v/>
        <stp/>
        <stp>nse_cm|SCLZC25F-Y5</stp>
        <stp>LTT</stp>
        <tr r="I1512" s="1"/>
      </tp>
      <tp>
        <v>0</v>
        <stp/>
        <stp>nse_cm|SCLZC25E-Y4</stp>
        <stp>LTP</stp>
        <tr r="H787" s="1"/>
      </tp>
      <tp>
        <v>1017</v>
        <stp/>
        <stp>nse_cm|SCLZC25F-Y5</stp>
        <stp>LTP</stp>
        <tr r="H1512" s="1"/>
      </tp>
      <tp t="s">
        <v>NSE</v>
        <stp/>
        <stp>nse_cm|889SCL26-NS</stp>
        <stp>Exchange</stp>
        <tr r="C222" s="1"/>
      </tp>
      <tp t="s">
        <v>NSE</v>
        <stp/>
        <stp>nse_cm|829LTF24-NL</stp>
        <stp>Exchange</stp>
        <tr r="C3" s="1"/>
      </tp>
      <tp>
        <v>0</v>
        <stp/>
        <stp>bse_cm|NIDO28</stp>
        <stp>Ask Rate</stp>
        <tr r="F1243" s="1"/>
      </tp>
      <tp t="s">
        <v>NSE</v>
        <stp/>
        <stp>nse_cm|78ABFL33-N4</stp>
        <stp>Exchange</stp>
        <tr r="C371" s="1"/>
      </tp>
      <tp>
        <v>911.66</v>
        <stp/>
        <stp>bse_cm|967EFS28</stp>
        <stp>Bid Rate</stp>
        <tr r="E190" s="1"/>
      </tp>
      <tp t="s">
        <v>INE148I07RP1</v>
        <stp/>
        <stp>nse_cm|980SCL33D-YG</stp>
        <stp>Isin code</stp>
        <tr r="R830" s="1"/>
      </tp>
      <tp>
        <v>860.2</v>
        <stp/>
        <stp>bse_cm|927MFL26</stp>
        <stp>Bid Rate</stp>
        <tr r="E1457" s="1"/>
      </tp>
      <tp>
        <v>1028</v>
        <stp/>
        <stp>nse_cm|SCLZC26B-AY</stp>
        <stp>LTP</stp>
        <tr r="H1658" s="1"/>
      </tp>
      <tp t="s">
        <v/>
        <stp/>
        <stp>nse_cm|SCLZC26B-AY</stp>
        <stp>LTT</stp>
        <tr r="I1658" s="1"/>
      </tp>
      <tp t="s">
        <v>INE148I07TE1</v>
        <stp/>
        <stp>nse_cm|965SCL26A-ZB</stp>
        <stp>Isin code</stp>
        <tr r="R135" s="1"/>
      </tp>
      <tp>
        <v>0</v>
        <stp/>
        <stp>nse_cm|SCLZC25A-AS</stp>
        <stp>LTP</stp>
        <tr r="H1232" s="1"/>
      </tp>
      <tp t="s">
        <v/>
        <stp/>
        <stp>nse_cm|SCLZC25B-AT</stp>
        <stp>LTT</stp>
        <tr r="I1541" s="1"/>
      </tp>
      <tp t="s">
        <v>INE148I07TQ5</v>
        <stp/>
        <stp>nse_cm|925SCL29A-ZM</stp>
        <stp>Isin code</stp>
        <tr r="R1352" s="1"/>
      </tp>
      <tp t="s">
        <v/>
        <stp/>
        <stp>nse_cm|SCLZC25A-AS</stp>
        <stp>LTT</stp>
        <tr r="I1232" s="1"/>
      </tp>
      <tp>
        <v>1079</v>
        <stp/>
        <stp>nse_cm|SCLZC25B-AT</stp>
        <stp>LTP</stp>
        <tr r="H1541" s="1"/>
      </tp>
      <tp>
        <v>940</v>
        <stp/>
        <stp>bse_cm|967EFS28</stp>
        <stp>Prev Close</stp>
        <tr r="P190" s="1"/>
      </tp>
      <tp>
        <v>0</v>
        <stp/>
        <stp>bse_cm|SFL30</stp>
        <stp>ATP</stp>
        <tr r="K1597" s="1"/>
      </tp>
      <tp>
        <v>0</v>
        <stp/>
        <stp>bse_cm|KFL30</stp>
        <stp>ATP</stp>
        <tr r="K1298" s="1"/>
      </tp>
      <tp>
        <v>0</v>
        <stp/>
        <stp>bse_cm|KFL31</stp>
        <stp>ATP</stp>
        <tr r="K1297" s="1"/>
      </tp>
      <tp>
        <v>0</v>
        <stp/>
        <stp>bse_cm|MML30</stp>
        <stp>ATP</stp>
        <tr r="K1525" s="1"/>
      </tp>
      <tp>
        <v>0</v>
        <stp/>
        <stp>bse_cm|MFL30</stp>
        <stp>ATP</stp>
        <tr r="K1460" s="1"/>
      </tp>
      <tp>
        <v>0</v>
        <stp/>
        <stp>bse_cm|MFL31</stp>
        <stp>ATP</stp>
        <tr r="K701" s="1"/>
      </tp>
      <tp>
        <v>1029.8</v>
        <stp/>
        <stp>bse_cm|960EFSLA</stp>
        <stp>Prev Close</stp>
        <tr r="P699" s="1"/>
      </tp>
      <tp>
        <v>0</v>
        <stp/>
        <stp>bse_cm|SCL22</stp>
        <stp>ATP</stp>
        <tr r="K1239" s="1"/>
      </tp>
      <tp>
        <v>0</v>
        <stp/>
        <stp>bse_cm|SFL26</stp>
        <stp>ATP</stp>
        <tr r="K811" s="1"/>
      </tp>
      <tp>
        <v>0</v>
        <stp/>
        <stp>bse_cm|SFL27</stp>
        <stp>ATP</stp>
        <tr r="K809" s="1"/>
      </tp>
      <tp>
        <v>0</v>
        <stp/>
        <stp>bse_cm|SCL24</stp>
        <stp>ATP</stp>
        <tr r="K1377" s="1"/>
      </tp>
      <tp>
        <v>0</v>
        <stp/>
        <stp>bse_cm|SFL25</stp>
        <stp>ATP</stp>
        <tr r="K813" s="1"/>
      </tp>
      <tp>
        <v>0</v>
        <stp/>
        <stp>bse_cm|SCL25</stp>
        <stp>ATP</stp>
        <tr r="K1234" s="1"/>
      </tp>
      <tp>
        <v>0</v>
        <stp/>
        <stp>bse_cm|SFL28</stp>
        <stp>ATP</stp>
        <tr r="K803" s="1"/>
      </tp>
      <tp>
        <v>0</v>
        <stp/>
        <stp>bse_cm|IML28</stp>
        <stp>ATP</stp>
        <tr r="K1458" s="1"/>
      </tp>
      <tp>
        <v>0</v>
        <stp/>
        <stp>bse_cm|IML29</stp>
        <stp>ATP</stp>
        <tr r="K1528" s="1"/>
      </tp>
      <tp>
        <v>0</v>
        <stp/>
        <stp>bse_cm|KFL29</stp>
        <stp>ATP</stp>
        <tr r="K1619" s="1"/>
      </tp>
      <tp>
        <v>0</v>
        <stp/>
        <stp>bse_cm|MML28</stp>
        <stp>ATP</stp>
        <tr r="K584" s="1"/>
      </tp>
      <tp>
        <v>0</v>
        <stp/>
        <stp>bse_cm|MFL28</stp>
        <stp>ATP</stp>
        <tr r="K1638" s="1"/>
      </tp>
      <tp>
        <v>0</v>
        <stp/>
        <stp>bse_cm|MFL29</stp>
        <stp>ATP</stp>
        <tr r="K1598" s="1"/>
      </tp>
      <tp>
        <v>0</v>
        <stp/>
        <stp>bse_cm|MML24</stp>
        <stp>ATP</stp>
        <tr r="K1740" s="1"/>
      </tp>
      <tp>
        <v>0</v>
        <stp/>
        <stp>bse_cm|MML25</stp>
        <stp>ATP</stp>
        <tr r="K1253" s="1"/>
      </tp>
      <tp>
        <v>0</v>
        <stp/>
        <stp>bse_cm|MFL25</stp>
        <stp>ATP</stp>
        <tr r="K1733" s="1"/>
      </tp>
      <tp>
        <v>0</v>
        <stp/>
        <stp>bse_cm|MML26</stp>
        <stp>ATP</stp>
        <tr r="K1410" s="1"/>
      </tp>
      <tp>
        <v>0</v>
        <stp/>
        <stp>bse_cm|MFL26</stp>
        <stp>ATP</stp>
        <tr r="K1666" s="1"/>
      </tp>
      <tp>
        <v>0</v>
        <stp/>
        <stp>bse_cm|MFL27</stp>
        <stp>ATP</stp>
        <tr r="K1563" s="1"/>
      </tp>
      <tp t="e">
        <v>#N/A</v>
        <stp/>
        <stp>bse_cm|IML24</stp>
        <stp>ATP</stp>
        <tr r="K34" s="1"/>
      </tp>
      <tp>
        <v>0</v>
        <stp/>
        <stp>bse_cm|KFL26</stp>
        <stp>ATP</stp>
        <tr r="K1306" s="1"/>
      </tp>
      <tp>
        <v>0</v>
        <stp/>
        <stp>bse_cm|IML25</stp>
        <stp>ATP</stp>
        <tr r="K1326" s="1"/>
      </tp>
      <tp>
        <v>0</v>
        <stp/>
        <stp>bse_cm|KFL27</stp>
        <stp>ATP</stp>
        <tr r="K1303" s="1"/>
      </tp>
      <tp>
        <v>0</v>
        <stp/>
        <stp>bse_cm|IML27</stp>
        <stp>ATP</stp>
        <tr r="K1325" s="1"/>
      </tp>
      <tp>
        <v>0</v>
        <stp/>
        <stp>bse_cm|KFL25</stp>
        <stp>ATP</stp>
        <tr r="K1309" s="1"/>
      </tp>
      <tp>
        <v>0</v>
        <stp/>
        <stp>bse_cm|MFL23</stp>
        <stp>ATP</stp>
        <tr r="K1668" s="1"/>
      </tp>
      <tp>
        <v>980</v>
        <stp/>
        <stp>nse_cm|SCLZC26E-NP</stp>
        <stp>LTP</stp>
        <tr r="H899" s="1"/>
      </tp>
      <tp t="s">
        <v/>
        <stp/>
        <stp>nse_cm|SCLZC26E-NP</stp>
        <stp>LTT</stp>
        <tr r="I899" s="1"/>
      </tp>
      <tp>
        <v>1035.92</v>
        <stp/>
        <stp>nse_cm|SCLZC25D-NJ</stp>
        <stp>LTP</stp>
        <tr r="H1699" s="1"/>
      </tp>
      <tp t="s">
        <v/>
        <stp/>
        <stp>nse_cm|SCLZC26D-NO</stp>
        <stp>LTT</stp>
        <tr r="I901" s="1"/>
      </tp>
      <tp>
        <v>0</v>
        <stp/>
        <stp>nse_cm|SCLZC25C-NI</stp>
        <stp>LTP</stp>
        <tr r="H908" s="1"/>
      </tp>
      <tp t="s">
        <v/>
        <stp/>
        <stp>nse_cm|SCLZC25D-NJ</stp>
        <stp>LTT</stp>
        <tr r="I1699" s="1"/>
      </tp>
      <tp>
        <v>0</v>
        <stp/>
        <stp>nse_cm|SCLZC26D-NO</stp>
        <stp>LTP</stp>
        <tr r="H901" s="1"/>
      </tp>
      <tp t="s">
        <v/>
        <stp/>
        <stp>nse_cm|SCLZC25C-NI</stp>
        <stp>LTT</stp>
        <tr r="I908" s="1"/>
      </tp>
      <tp>
        <v>1010</v>
        <stp/>
        <stp>nse_cm|SCLZC26C-NB</stp>
        <stp>LTP</stp>
        <tr r="H1537" s="1"/>
      </tp>
      <tp t="s">
        <v/>
        <stp/>
        <stp>nse_cm|SCLZC26A-NF</stp>
        <stp>LTT</stp>
        <tr r="I993" s="1"/>
      </tp>
      <tp t="s">
        <v/>
        <stp/>
        <stp>nse_cm|SCLZC26C-NB</stp>
        <stp>LTT</stp>
        <tr r="I1537" s="1"/>
      </tp>
      <tp>
        <v>1791.55</v>
        <stp/>
        <stp>nse_cm|SCLZC26A-NF</stp>
        <stp>LTP</stp>
        <tr r="H993" s="1"/>
      </tp>
      <tp t="s">
        <v>NSE</v>
        <stp/>
        <stp>nse_cm|971SCL28-AN</stp>
        <stp>Exchange</stp>
        <tr r="C538" s="1"/>
      </tp>
      <tp t="s">
        <v>NSE</v>
        <stp/>
        <stp>nse_cm|888SCL25-NG</stp>
        <stp>Exchange</stp>
        <tr r="C912" s="1"/>
      </tp>
      <tp>
        <v>970</v>
        <stp/>
        <stp>bse_cm|87SCL27A</stp>
        <stp>High</stp>
        <tr r="N644" s="1"/>
      </tp>
      <tp t="s">
        <v>NSE</v>
        <stp/>
        <stp>nse_cm|985ECL28-NK</stp>
        <stp>Exchange</stp>
        <tr r="C52" s="1"/>
      </tp>
      <tp>
        <v>1217.75</v>
        <stp/>
        <stp>bse_cm|NIDO25</stp>
        <stp>Ask Rate</stp>
        <tr r="F1726" s="1"/>
      </tp>
      <tp>
        <v>0</v>
        <stp/>
        <stp>bse_cm|NIDO26</stp>
        <stp>Ask Rate</stp>
        <tr r="F1244" s="1"/>
      </tp>
      <tp>
        <v>1180.45</v>
        <stp/>
        <stp>bse_cm|NIDO27</stp>
        <stp>Ask Rate</stp>
        <tr r="F1661" s="1"/>
      </tp>
      <tp t="s">
        <v>885MOFSL26</v>
        <stp/>
        <stp>nse_cm|885MOFSL26-N0</stp>
        <stp>Symbol</stp>
        <tr r="A1635" s="1"/>
      </tp>
      <tp t="s">
        <v>INE532F07DN7</v>
        <stp/>
        <stp>bse_cm|960EFSL26C</stp>
        <stp>Isin code</stp>
        <tr r="R137" s="1"/>
      </tp>
      <tp>
        <v>950.05</v>
        <stp/>
        <stp>nse_cm|1075SCL33A-N2</stp>
        <stp>High</stp>
        <tr r="N630" s="1"/>
      </tp>
      <tp>
        <v>0</v>
        <stp/>
        <stp>nse_cm|1025SCL33A-N1</stp>
        <stp>High</stp>
        <tr r="N834" s="1"/>
      </tp>
      <tp t="s">
        <v>INE306N07LM5</v>
        <stp/>
        <stp>nse_cm|865TCAPS27-N8</stp>
        <stp>Isin code</stp>
        <tr r="R376" s="1"/>
      </tp>
      <tp t="s">
        <v>860CIFCL28</v>
        <stp/>
        <stp>nse_cm|860CIFCL28-NG</stp>
        <stp>Symbol</stp>
        <tr r="A647" s="1"/>
      </tp>
      <tp t="s">
        <v>NSE</v>
        <stp/>
        <stp>nse_cm|1025ICCL26-NT</stp>
        <stp>Exchange</stp>
        <tr r="C771" s="1"/>
      </tp>
      <tp t="s">
        <v>KFLZC28A</v>
        <stp/>
        <stp>bse_cm|KFLZC28A</stp>
        <stp>Symbol</stp>
        <tr r="A1289" s="1"/>
      </tp>
      <tp t="s">
        <v>KFLZC28B</v>
        <stp/>
        <stp>bse_cm|KFLZC28B</stp>
        <stp>Symbol</stp>
        <tr r="A1288" s="1"/>
      </tp>
      <tp t="s">
        <v>KFLZC28C</v>
        <stp/>
        <stp>bse_cm|KFLZC28C</stp>
        <stp>Symbol</stp>
        <tr r="A1287" s="1"/>
      </tp>
      <tp t="s">
        <v>KFLZC26A</v>
        <stp/>
        <stp>bse_cm|KFLZC26A</stp>
        <stp>Symbol</stp>
        <tr r="A1442" s="1"/>
      </tp>
      <tp t="s">
        <v>KFLZC26B</v>
        <stp/>
        <stp>bse_cm|KFLZC26B</stp>
        <stp>Symbol</stp>
        <tr r="A1711" s="1"/>
      </tp>
      <tp t="s">
        <v>KFLZC26C</v>
        <stp/>
        <stp>bse_cm|KFLZC26C</stp>
        <stp>Symbol</stp>
        <tr r="A1744" s="1"/>
      </tp>
      <tp t="s">
        <v>KFLZC26D</v>
        <stp/>
        <stp>bse_cm|KFLZC26D</stp>
        <stp>Symbol</stp>
        <tr r="A1294" s="1"/>
      </tp>
      <tp t="s">
        <v>KFLZC26E</v>
        <stp/>
        <stp>bse_cm|KFLZC26E</stp>
        <stp>Symbol</stp>
        <tr r="A1293" s="1"/>
      </tp>
      <tp t="s">
        <v>KFLZC27A</v>
        <stp/>
        <stp>bse_cm|KFLZC27A</stp>
        <stp>Symbol</stp>
        <tr r="A1291" s="1"/>
      </tp>
      <tp t="s">
        <v>KFLZC24D</v>
        <stp/>
        <stp>bse_cm|KFLZC24D</stp>
        <stp>Symbol</stp>
        <tr r="A1296" s="1"/>
      </tp>
      <tp t="s">
        <v>KFLZC25A</v>
        <stp/>
        <stp>bse_cm|KFLZC25A</stp>
        <stp>Symbol</stp>
        <tr r="A1738" s="1"/>
      </tp>
      <tp t="s">
        <v>KFLZC25B</v>
        <stp/>
        <stp>bse_cm|KFLZC25B</stp>
        <stp>Symbol</stp>
        <tr r="A1739" s="1"/>
      </tp>
      <tp t="s">
        <v>KFLZC25C</v>
        <stp/>
        <stp>bse_cm|KFLZC25C</stp>
        <stp>Symbol</stp>
        <tr r="A1295" s="1"/>
      </tp>
      <tp t="s">
        <v>KFLZC25D</v>
        <stp/>
        <stp>bse_cm|KFLZC25D</stp>
        <stp>Symbol</stp>
        <tr r="A1735" s="1"/>
      </tp>
      <tp t="s">
        <v>KFLZC25E</v>
        <stp/>
        <stp>bse_cm|KFLZC25E</stp>
        <stp>Symbol</stp>
        <tr r="A1530" s="1"/>
      </tp>
      <tp t="s">
        <v>INE338I07164</v>
        <stp/>
        <stp>nse_cm|897MOFSL29-N4</stp>
        <stp>Isin code</stp>
        <tr r="R296" s="1"/>
      </tp>
      <tp t="s">
        <v>INE516Y07410</v>
        <stp/>
        <stp>nse_cm|875PCHFL26-N8</stp>
        <stp>Isin code</stp>
        <tr r="R271" s="1"/>
      </tp>
      <tp t="s">
        <v>858HUDCO29</v>
        <stp/>
        <stp>nse_cm|858HUDCO29-NC</stp>
        <stp>Symbol</stp>
        <tr r="A1636" s="1"/>
      </tp>
      <tp t="s">
        <v>INE338I07107</v>
        <stp/>
        <stp>nse_cm|935MOFSL29-N5</stp>
        <stp>Isin code</stp>
        <tr r="R1601" s="1"/>
      </tp>
      <tp>
        <v>475</v>
        <stp/>
        <stp>nse_cm|99AEL29-N7</stp>
        <stp>Volume Traded Today</stp>
        <tr r="L246" s="1"/>
      </tp>
      <tp t="s">
        <v>INE516Y07378</v>
        <stp/>
        <stp>nse_cm|875PCHFL31-N9</stp>
        <stp>Isin code</stp>
        <tr r="R1012" s="1"/>
      </tp>
      <tp>
        <v>0</v>
        <stp/>
        <stp>nse_cm|1075SCL33B-NW</stp>
        <stp>High</stp>
        <tr r="N889" s="1"/>
      </tp>
      <tp>
        <v>25</v>
        <stp/>
        <stp>bse_cm|SFL26A</stp>
        <stp>Bid Qty</stp>
        <tr r="D810" s="1"/>
      </tp>
      <tp>
        <v>20</v>
        <stp/>
        <stp>bse_cm|SFL27A</stp>
        <stp>Bid Qty</stp>
        <tr r="D804" s="1"/>
      </tp>
      <tp t="s">
        <v>INE477L07AP4</v>
        <stp/>
        <stp>nse_cm|IIFLHFZC27-NB</stp>
        <stp>Isin code</stp>
        <tr r="R1672" s="1"/>
      </tp>
      <tp>
        <v>50</v>
        <stp/>
        <stp>bse_cm|SCL24A</stp>
        <stp>Bid Qty</stp>
        <tr r="D1749" s="1"/>
      </tp>
      <tp>
        <v>22</v>
        <stp/>
        <stp>bse_cm|SCL25A</stp>
        <stp>Bid Qty</stp>
        <tr r="D1238" s="1"/>
      </tp>
      <tp>
        <v>12</v>
        <stp/>
        <stp>bse_cm|SCL25B</stp>
        <stp>Bid Qty</stp>
        <tr r="D1544" s="1"/>
      </tp>
      <tp>
        <v>25</v>
        <stp/>
        <stp>bse_cm|SFL25A</stp>
        <stp>Bid Qty</stp>
        <tr r="D812" s="1"/>
      </tp>
      <tp>
        <v>50</v>
        <stp/>
        <stp>bse_cm|SFL25B</stp>
        <stp>Bid Qty</stp>
        <tr r="D1433" s="1"/>
      </tp>
      <tp>
        <v>1044.5</v>
        <stp/>
        <stp>bse_cm|SFL30</stp>
        <stp>Ask Rate</stp>
        <tr r="F1597" s="1"/>
      </tp>
      <tp>
        <v>19</v>
        <stp/>
        <stp>bse_cm|KFL26A</stp>
        <stp>Bid Qty</stp>
        <tr r="D1372" s="1"/>
      </tp>
      <tp>
        <v>48</v>
        <stp/>
        <stp>bse_cm|KFL26C</stp>
        <stp>Bid Qty</stp>
        <tr r="D1304" s="1"/>
      </tp>
      <tp>
        <v>51</v>
        <stp/>
        <stp>bse_cm|KFL26B</stp>
        <stp>Bid Qty</stp>
        <tr r="D1305" s="1"/>
      </tp>
      <tp>
        <v>50</v>
        <stp/>
        <stp>bse_cm|KFL27A</stp>
        <stp>Bid Qty</stp>
        <tr r="D1302" s="1"/>
      </tp>
      <tp>
        <v>10</v>
        <stp/>
        <stp>bse_cm|KFL27C</stp>
        <stp>Bid Qty</stp>
        <tr r="D1300" s="1"/>
      </tp>
      <tp>
        <v>25</v>
        <stp/>
        <stp>bse_cm|KFL27B</stp>
        <stp>Bid Qty</stp>
        <tr r="D1301" s="1"/>
      </tp>
      <tp>
        <v>0</v>
        <stp/>
        <stp>bse_cm|MFL31</stp>
        <stp>Ask Rate</stp>
        <tr r="F701" s="1"/>
      </tp>
      <tp>
        <v>25</v>
        <stp/>
        <stp>bse_cm|KFL25D</stp>
        <stp>Bid Qty</stp>
        <tr r="D1688" s="1"/>
      </tp>
      <tp>
        <v>20</v>
        <stp/>
        <stp>bse_cm|KFL25A</stp>
        <stp>Bid Qty</stp>
        <tr r="D1703" s="1"/>
      </tp>
      <tp>
        <v>52</v>
        <stp/>
        <stp>bse_cm|MFL23A</stp>
        <stp>Bid Qty</stp>
        <tr r="D1560" s="1"/>
      </tp>
      <tp>
        <v>24</v>
        <stp/>
        <stp>bse_cm|KFL25C</stp>
        <stp>Bid Qty</stp>
        <tr r="D1307" s="1"/>
      </tp>
      <tp>
        <v>25</v>
        <stp/>
        <stp>bse_cm|KFL25B</stp>
        <stp>Bid Qty</stp>
        <tr r="D1308" s="1"/>
      </tp>
      <tp>
        <v>0</v>
        <stp/>
        <stp>bse_cm|MFL30</stp>
        <stp>Ask Rate</stp>
        <tr r="F1460" s="1"/>
      </tp>
      <tp>
        <v>0</v>
        <stp/>
        <stp>bse_cm|MML30</stp>
        <stp>Ask Rate</stp>
        <tr r="F1525" s="1"/>
      </tp>
      <tp t="s">
        <v>CIFCZC26A-N3</v>
        <stp/>
        <stp>nse_cm|CIFCZC26A-N3</stp>
        <stp>Trading Symbol</stp>
        <tr r="B1565" s="1"/>
      </tp>
      <tp t="s">
        <v>CIFCZC25A-N1</v>
        <stp/>
        <stp>nse_cm|CIFCZC25A-N1</stp>
        <stp>Trading Symbol</stp>
        <tr r="B1730" s="1"/>
      </tp>
      <tp t="s">
        <v>CIFCZC28A-N5</v>
        <stp/>
        <stp>nse_cm|CIFCZC28A-N5</stp>
        <stp>Trading Symbol</stp>
        <tr r="B1559" s="1"/>
      </tp>
      <tp>
        <v>180</v>
        <stp/>
        <stp>bse_cm|MFL24A</stp>
        <stp>Bid Qty</stp>
        <tr r="D1759" s="1"/>
      </tp>
      <tp>
        <v>15</v>
        <stp/>
        <stp>bse_cm|MFL24B</stp>
        <stp>Bid Qty</stp>
        <tr r="D1756" s="1"/>
      </tp>
      <tp>
        <v>19</v>
        <stp/>
        <stp>bse_cm|MML24A</stp>
        <stp>Bid Qty</stp>
        <tr r="D1254" s="1"/>
      </tp>
      <tp>
        <v>0</v>
        <stp/>
        <stp>bse_cm|KFL31</stp>
        <stp>Ask Rate</stp>
        <tr r="F1297" s="1"/>
      </tp>
      <tp>
        <v>25</v>
        <stp/>
        <stp>bse_cm|MFL25E</stp>
        <stp>Bid Qty</stp>
        <tr r="D1664" s="1"/>
      </tp>
      <tp>
        <v>25</v>
        <stp/>
        <stp>bse_cm|MFL25D</stp>
        <stp>Bid Qty</stp>
        <tr r="D1705" s="1"/>
      </tp>
      <tp>
        <v>5</v>
        <stp/>
        <stp>bse_cm|MFL25A</stp>
        <stp>Bid Qty</stp>
        <tr r="D1692" s="1"/>
      </tp>
      <tp>
        <v>5</v>
        <stp/>
        <stp>bse_cm|MFL25C</stp>
        <stp>Bid Qty</stp>
        <tr r="D1571" s="1"/>
      </tp>
      <tp>
        <v>170</v>
        <stp/>
        <stp>bse_cm|MFL25B</stp>
        <stp>Bid Qty</stp>
        <tr r="D1667" s="1"/>
      </tp>
      <tp>
        <v>30</v>
        <stp/>
        <stp>bse_cm|MML25B</stp>
        <stp>Bid Qty</stp>
        <tr r="D1498" s="1"/>
      </tp>
      <tp>
        <v>45</v>
        <stp/>
        <stp>bse_cm|MML25C</stp>
        <stp>Bid Qty</stp>
        <tr r="D1251" s="1"/>
      </tp>
      <tp>
        <v>20</v>
        <stp/>
        <stp>bse_cm|MML25A</stp>
        <stp>Bid Qty</stp>
        <tr r="D1252" s="1"/>
      </tp>
      <tp>
        <v>0</v>
        <stp/>
        <stp>bse_cm|KFL30</stp>
        <stp>Ask Rate</stp>
        <tr r="F1298" s="1"/>
      </tp>
      <tp t="s">
        <v>INE414G07FE0</v>
        <stp/>
        <stp>bse_cm|MFLOPTII24</stp>
        <stp>Isin code</stp>
        <tr r="R559" s="1"/>
      </tp>
      <tp>
        <v>5</v>
        <stp/>
        <stp>bse_cm|MFL26E</stp>
        <stp>Bid Qty</stp>
        <tr r="D1533" s="1"/>
      </tp>
      <tp>
        <v>5</v>
        <stp/>
        <stp>bse_cm|MFL26D</stp>
        <stp>Bid Qty</stp>
        <tr r="D1279" s="1"/>
      </tp>
      <tp>
        <v>20</v>
        <stp/>
        <stp>bse_cm|MFL26F</stp>
        <stp>Bid Qty</stp>
        <tr r="D1278" s="1"/>
      </tp>
      <tp>
        <v>10</v>
        <stp/>
        <stp>bse_cm|MFL26A</stp>
        <stp>Bid Qty</stp>
        <tr r="D1557" s="1"/>
      </tp>
      <tp>
        <v>7</v>
        <stp/>
        <stp>bse_cm|MFL26C</stp>
        <stp>Bid Qty</stp>
        <tr r="D1669" s="1"/>
      </tp>
      <tp>
        <v>100</v>
        <stp/>
        <stp>bse_cm|MFL26B</stp>
        <stp>Bid Qty</stp>
        <tr r="D1280" s="1"/>
      </tp>
      <tp>
        <v>28</v>
        <stp/>
        <stp>bse_cm|MML26A</stp>
        <stp>Bid Qty</stp>
        <tr r="D1642" s="1"/>
      </tp>
      <tp>
        <v>50</v>
        <stp/>
        <stp>bse_cm|MFL26Z</stp>
        <stp>Bid Qty</stp>
        <tr r="D1655" s="1"/>
      </tp>
      <tp>
        <v>50</v>
        <stp/>
        <stp>bse_cm|MFL28D</stp>
        <stp>Bid Qty</stp>
        <tr r="D1276" s="1"/>
      </tp>
      <tp>
        <v>25</v>
        <stp/>
        <stp>bse_cm|MFL28A</stp>
        <stp>Bid Qty</stp>
        <tr r="D1620" s="1"/>
      </tp>
      <tp>
        <v>75</v>
        <stp/>
        <stp>bse_cm|MFL28B</stp>
        <stp>Bid Qty</stp>
        <tr r="D1277" s="1"/>
      </tp>
      <tp>
        <v>20</v>
        <stp/>
        <stp>bse_cm|MML28A</stp>
        <stp>Bid Qty</stp>
        <tr r="D1249" s="1"/>
      </tp>
      <tp>
        <v>50</v>
        <stp/>
        <stp>bse_cm|MFL29A</stp>
        <stp>Bid Qty</stp>
        <tr r="D1380" s="1"/>
      </tp>
      <tp>
        <v>912</v>
        <stp/>
        <stp>nse_cm|1003SCL30A-NV</stp>
        <stp xml:space="preserve">Low </stp>
        <tr r="O728" s="1"/>
      </tp>
      <tp>
        <v>1</v>
        <stp/>
        <stp>bse_cm|IML28C</stp>
        <stp>Bid Qty</stp>
        <tr r="D1648" s="1"/>
      </tp>
      <tp>
        <v>41</v>
        <stp/>
        <stp>bse_cm|KFL28D</stp>
        <stp>Bid Qty</stp>
        <tr r="D1299" s="1"/>
      </tp>
      <tp>
        <v>0</v>
        <stp/>
        <stp>bse_cm|10NIDO33</stp>
        <stp>Open</stp>
        <tr r="M1447" s="1"/>
      </tp>
      <tp>
        <v>1134.99</v>
        <stp/>
        <stp>bse_cm|76NHAI31</stp>
        <stp>Open</stp>
        <tr r="M478" s="1"/>
      </tp>
      <tp>
        <v>1020</v>
        <stp/>
        <stp>nse_cm|872MMFSL26-N1</stp>
        <stp>ATP</stp>
        <tr r="K404" s="1"/>
      </tp>
      <tp>
        <v>100</v>
        <stp/>
        <stp>bse_cm|85LTF26</stp>
        <stp>Bid Qty</stp>
        <tr r="D410" s="1"/>
      </tp>
      <tp>
        <v>0</v>
        <stp/>
        <stp>bse_cm|KFL27C</stp>
        <stp>Ask Rate</stp>
        <tr r="F1300" s="1"/>
      </tp>
      <tp t="s">
        <v>NSE</v>
        <stp/>
        <stp>nse_cm|865NHB34-N4</stp>
        <stp>Exchange</stp>
        <tr r="C1166" s="1"/>
      </tp>
      <tp>
        <v>0</v>
        <stp/>
        <stp>bse_cm|KFL27B</stp>
        <stp>Ask Rate</stp>
        <tr r="F1301" s="1"/>
      </tp>
      <tp>
        <v>10</v>
        <stp/>
        <stp>bse_cm|87LTF27</stp>
        <stp>Bid Qty</stp>
        <tr r="D412" s="1"/>
      </tp>
      <tp>
        <v>0</v>
        <stp/>
        <stp>bse_cm|KFL27A</stp>
        <stp>Ask Rate</stp>
        <tr r="F1302" s="1"/>
      </tp>
      <tp>
        <v>0</v>
        <stp/>
        <stp>bse_cm|MFL31A</stp>
        <stp>Ask Rate</stp>
        <tr r="F1275" s="1"/>
      </tp>
      <tp>
        <v>25</v>
        <stp/>
        <stp>bse_cm|86LTF24</stp>
        <stp>Bid Qty</stp>
        <tr r="D8" s="1"/>
      </tp>
      <tp>
        <v>190</v>
        <stp/>
        <stp>bse_cm|865MF25</stp>
        <stp>Bid Qty</stp>
        <tr r="D111" s="1"/>
      </tp>
      <tp>
        <v>0</v>
        <stp/>
        <stp>nse_cm|990SCL26I-AV</stp>
        <stp>% Change</stp>
        <tr r="J1368" s="1"/>
      </tp>
      <tp t="s">
        <v>NSE</v>
        <stp/>
        <stp>nse_cm|885SCL26-N9</stp>
        <stp>Exchange</stp>
        <tr r="C686" s="1"/>
      </tp>
      <tp>
        <v>948.2</v>
        <stp/>
        <stp>bse_cm|SFL25A</stp>
        <stp>Bid Rate</stp>
        <tr r="E812" s="1"/>
      </tp>
      <tp>
        <v>0</v>
        <stp/>
        <stp>bse_cm|0MOFSL26</stp>
        <stp>Open</stp>
        <tr r="M1645" s="1"/>
      </tp>
      <tp>
        <v>965.8</v>
        <stp/>
        <stp>bse_cm|SFL25B</stp>
        <stp>Bid Rate</stp>
        <tr r="E1433" s="1"/>
      </tp>
      <tp>
        <v>0</v>
        <stp/>
        <stp>nse_cm|950SCL23A-AP</stp>
        <stp>% Change</stp>
        <tr r="J1145" s="1"/>
      </tp>
      <tp>
        <v>-100</v>
        <stp/>
        <stp>nse_cm|940SCL26C-AU</stp>
        <stp>% Change</stp>
        <tr r="J793" s="1"/>
      </tp>
      <tp>
        <v>0</v>
        <stp/>
        <stp>bse_cm|0MOFSL27</stp>
        <stp>Open</stp>
        <tr r="M1039" s="1"/>
      </tp>
      <tp>
        <v>885.2</v>
        <stp/>
        <stp>bse_cm|SCL25A</stp>
        <stp>Bid Rate</stp>
        <tr r="E1238" s="1"/>
      </tp>
      <tp t="s">
        <v>NSE</v>
        <stp/>
        <stp>nse_cm|871REC28-N9</stp>
        <stp>Exchange</stp>
        <tr r="C542" s="1"/>
      </tp>
      <tp t="s">
        <v>NSE</v>
        <stp/>
        <stp>nse_cm|868NHB29-N3</stp>
        <stp>Exchange</stp>
        <tr r="C1342" s="1"/>
      </tp>
      <tp t="s">
        <v>INE306N08292</v>
        <stp/>
        <stp>nse_cm|910TCAP28-NA</stp>
        <stp>Isin code</stp>
        <tr r="R411" s="1"/>
      </tp>
      <tp>
        <v>1015</v>
        <stp/>
        <stp>bse_cm|SCL25B</stp>
        <stp>Bid Rate</stp>
        <tr r="E1544" s="1"/>
      </tp>
      <tp>
        <v>0</v>
        <stp/>
        <stp>nse_cm|920SCL23A-AO</stp>
        <stp>% Change</stp>
        <tr r="J1113" s="1"/>
      </tp>
      <tp t="s">
        <v>BSE</v>
        <stp/>
        <stp>bse_cm|MML25C</stp>
        <stp>Exchange</stp>
        <tr r="C1251" s="1"/>
      </tp>
      <tp t="s">
        <v>BSE</v>
        <stp/>
        <stp>bse_cm|MML25B</stp>
        <stp>Exchange</stp>
        <tr r="C1498" s="1"/>
      </tp>
      <tp>
        <v>-0.23</v>
        <stp/>
        <stp>nse_cm|990SCL26D-AH</stp>
        <stp>% Change</stp>
        <tr r="J1556" s="1"/>
      </tp>
      <tp t="s">
        <v>BSE</v>
        <stp/>
        <stp>bse_cm|MML25A</stp>
        <stp>Exchange</stp>
        <tr r="C1252" s="1"/>
      </tp>
      <tp t="s">
        <v>BSE</v>
        <stp/>
        <stp>bse_cm|MFL25D</stp>
        <stp>Exchange</stp>
        <tr r="C1705" s="1"/>
      </tp>
      <tp>
        <v>995.8</v>
        <stp/>
        <stp>bse_cm|58PFCL26</stp>
        <stp xml:space="preserve">Low </stp>
        <tr r="O369" s="1"/>
      </tp>
      <tp t="s">
        <v>NSE</v>
        <stp/>
        <stp>nse_cm|98ICCL26-NU</stp>
        <stp>Exchange</stp>
        <tr r="C1569" s="1"/>
      </tp>
      <tp t="s">
        <v>BSE</v>
        <stp/>
        <stp>bse_cm|MFL25E</stp>
        <stp>Exchange</stp>
        <tr r="C1664" s="1"/>
      </tp>
      <tp>
        <v>0</v>
        <stp/>
        <stp>bse_cm|12IML26</stp>
        <stp>Ask Qty</stp>
        <tr r="G1494" s="1"/>
      </tp>
      <tp>
        <v>490</v>
        <stp/>
        <stp>bse_cm|12IFL27</stp>
        <stp>Ask Qty</stp>
        <tr r="G258" s="1"/>
      </tp>
      <tp>
        <v>30</v>
        <stp/>
        <stp>bse_cm|11UCL26</stp>
        <stp>Ask Qty</stp>
        <tr r="G323" s="1"/>
      </tp>
      <tp>
        <v>0</v>
        <stp/>
        <stp>bse_cm|10SCL31</stp>
        <stp>Ask Qty</stp>
        <tr r="G1085" s="1"/>
      </tp>
      <tp>
        <v>0</v>
        <stp/>
        <stp>bse_cm|11MML28</stp>
        <stp>Ask Qty</stp>
        <tr r="G1131" s="1"/>
      </tp>
      <tp>
        <v>0</v>
        <stp/>
        <stp>bse_cm|11CCL26</stp>
        <stp>Ask Qty</stp>
        <tr r="G1219" s="1"/>
      </tp>
      <tp>
        <v>0</v>
        <stp/>
        <stp>bse_cm|11IFL25</stp>
        <stp>Ask Qty</stp>
        <tr r="G1421" s="1"/>
      </tp>
      <tp>
        <v>0</v>
        <stp/>
        <stp>bse_cm|11IML26</stp>
        <stp>Ask Qty</stp>
        <tr r="G1132" s="1"/>
      </tp>
      <tp>
        <v>1</v>
        <stp/>
        <stp>bse_cm|11IML27</stp>
        <stp>Ask Qty</stp>
        <tr r="G177" s="1"/>
      </tp>
      <tp t="s">
        <v>99AEL29</v>
        <stp/>
        <stp>bse_cm|99AEL29</stp>
        <stp>Symbol</stp>
        <tr r="A243" s="1"/>
      </tp>
      <tp>
        <v>25</v>
        <stp/>
        <stp>bse_cm|10VCL25</stp>
        <stp>Ask Qty</stp>
        <tr r="G1646" s="1"/>
      </tp>
      <tp>
        <v>0</v>
        <stp/>
        <stp>bse_cm|10SFL27</stp>
        <stp>Ask Qty</stp>
        <tr r="G863" s="1"/>
      </tp>
      <tp>
        <v>10</v>
        <stp/>
        <stp>bse_cm|10SFL25</stp>
        <stp>Ask Qty</stp>
        <tr r="G1681" s="1"/>
      </tp>
      <tp>
        <v>0</v>
        <stp/>
        <stp>bse_cm|10KFL28</stp>
        <stp>Ask Qty</stp>
        <tr r="G674" s="1"/>
      </tp>
      <tp>
        <v>50</v>
        <stp/>
        <stp>bse_cm|10MFL25</stp>
        <stp>Ask Qty</stp>
        <tr r="G577" s="1"/>
      </tp>
      <tp>
        <v>0</v>
        <stp/>
        <stp>bse_cm|10NFL25</stp>
        <stp>Ask Qty</stp>
        <tr r="G1568" s="1"/>
      </tp>
      <tp>
        <v>0</v>
        <stp/>
        <stp>bse_cm|10KFL27</stp>
        <stp>Ask Qty</stp>
        <tr r="G675" s="1"/>
      </tp>
      <tp>
        <v>0</v>
        <stp/>
        <stp>bse_cm|10KFL25</stp>
        <stp>Ask Qty</stp>
        <tr r="G1093" s="1"/>
      </tp>
      <tp t="s">
        <v>BSE</v>
        <stp/>
        <stp>bse_cm|MFL25A</stp>
        <stp>Exchange</stp>
        <tr r="C1692" s="1"/>
      </tp>
      <tp>
        <v>0</v>
        <stp/>
        <stp>bse_cm|98NWFL30</stp>
        <stp>Open</stp>
        <tr r="M231" s="1"/>
      </tp>
      <tp t="s">
        <v>BSE</v>
        <stp/>
        <stp>bse_cm|MFL25B</stp>
        <stp>Exchange</stp>
        <tr r="C1667" s="1"/>
      </tp>
      <tp t="s">
        <v>BSE</v>
        <stp/>
        <stp>bse_cm|MFL25C</stp>
        <stp>Exchange</stp>
        <tr r="C1571" s="1"/>
      </tp>
      <tp>
        <v>1078</v>
        <stp/>
        <stp>nse_cm|99IFCI24-NH</stp>
        <stp>Ask Rate</stp>
        <tr r="F39" s="1"/>
      </tp>
      <tp>
        <v>980</v>
        <stp/>
        <stp>bse_cm|810MFL25</stp>
        <stp>Prev Close</stp>
        <tr r="P429" s="1"/>
      </tp>
      <tp>
        <v>0</v>
        <stp/>
        <stp>bse_cm|745IGT26</stp>
        <stp>ATP</stp>
        <tr r="K1202" s="1"/>
      </tp>
      <tp>
        <v>1083.5</v>
        <stp/>
        <stp>bse_cm|81ABFL33</stp>
        <stp>Prev Close</stp>
        <tr r="P1603" s="1"/>
      </tp>
      <tp t="s">
        <v>00:00:00</v>
        <stp/>
        <stp>bse_cm|795IGT31</stp>
        <stp>LTT</stp>
        <tr r="I1186" s="1"/>
      </tp>
      <tp>
        <v>0</v>
        <stp/>
        <stp>bse_cm|795IGT31</stp>
        <stp>LTP</stp>
        <tr r="H1186" s="1"/>
      </tp>
      <tp>
        <v>988</v>
        <stp/>
        <stp>bse_cm|835IFL25</stp>
        <stp>Prev Close</stp>
        <tr r="P668" s="1"/>
      </tp>
      <tp>
        <v>964.8</v>
        <stp/>
        <stp>bse_cm|835MFL26</stp>
        <stp>Prev Close</stp>
        <tr r="P169" s="1"/>
      </tp>
      <tp t="s">
        <v>BSE</v>
        <stp/>
        <stp>bse_cm|KAFL29</stp>
        <stp>Exchange</stp>
        <tr r="C1318" s="1"/>
      </tp>
      <tp>
        <v>979.8</v>
        <stp/>
        <stp>bse_cm|825MFL29</stp>
        <stp>Prev Close</stp>
        <tr r="P473" s="1"/>
      </tp>
      <tp>
        <v>992</v>
        <stp/>
        <stp>bse_cm|825KFL25</stp>
        <stp>Prev Close</stp>
        <tr r="P252" s="1"/>
      </tp>
      <tp>
        <v>1002</v>
        <stp/>
        <stp>bse_cm|825MFL27</stp>
        <stp>Prev Close</stp>
        <tr r="P344" s="1"/>
      </tp>
      <tp>
        <v>980</v>
        <stp/>
        <stp>bse_cm|825MFL26</stp>
        <stp>Prev Close</stp>
        <tr r="P418" s="1"/>
      </tp>
      <tp>
        <v>984.8</v>
        <stp/>
        <stp>bse_cm|825MFL25</stp>
        <stp>Prev Close</stp>
        <tr r="P596" s="1"/>
      </tp>
      <tp>
        <v>1000</v>
        <stp/>
        <stp>bse_cm|829PFL29</stp>
        <stp>Prev Close</stp>
        <tr r="P930" s="1"/>
      </tp>
      <tp t="s">
        <v>BSE</v>
        <stp/>
        <stp>bse_cm|KAFL28</stp>
        <stp>Exchange</stp>
        <tr r="C1320" s="1"/>
      </tp>
      <tp t="s">
        <v>00:00:00</v>
        <stp/>
        <stp>bse_cm|797IGT31</stp>
        <stp>LTT</stp>
        <tr r="I381" s="1"/>
      </tp>
      <tp>
        <v>0</v>
        <stp/>
        <stp>bse_cm|797IGT31</stp>
        <stp>LTP</stp>
        <tr r="H381" s="1"/>
      </tp>
      <tp>
        <v>1032.23</v>
        <stp/>
        <stp>bse_cm|850MFL29</stp>
        <stp>Prev Close</stp>
        <tr r="P356" s="1"/>
      </tp>
      <tp>
        <v>975</v>
        <stp/>
        <stp>bse_cm|850MFL28</stp>
        <stp>Prev Close</stp>
        <tr r="P236" s="1"/>
      </tp>
      <tp>
        <v>838.25</v>
        <stp/>
        <stp>bse_cm|850MFL27</stp>
        <stp>Prev Close</stp>
        <tr r="P265" s="1"/>
      </tp>
      <tp>
        <v>990</v>
        <stp/>
        <stp>bse_cm|850MFL24</stp>
        <stp>Prev Close</stp>
        <tr r="P1100" s="1"/>
      </tp>
      <tp>
        <v>1035</v>
        <stp/>
        <stp>nse_cm|CIFCZC25-ND</stp>
        <stp>High</stp>
        <tr r="N1435" s="1"/>
      </tp>
      <tp>
        <v>1650</v>
        <stp/>
        <stp>nse_cm|IIFLZC25-ND</stp>
        <stp>High</stp>
        <tr r="N1742" s="1"/>
      </tp>
      <tp>
        <v>1038.2</v>
        <stp/>
        <stp>bse_cm|85IIFL25</stp>
        <stp>Prev Close</stp>
        <tr r="P134" s="1"/>
      </tp>
      <tp>
        <v>951</v>
        <stp/>
        <stp>bse_cm|840MFL27</stp>
        <stp>Prev Close</stp>
        <tr r="P133" s="1"/>
      </tp>
      <tp>
        <v>0</v>
        <stp/>
        <stp>bse_cm|0NHFL29</stp>
        <stp>Ask Qty</stp>
        <tr r="G1035" s="1"/>
      </tp>
      <tp>
        <v>0</v>
        <stp/>
        <stp>bse_cm|0NHFL27</stp>
        <stp>Ask Qty</stp>
        <tr r="G1036" s="1"/>
      </tp>
      <tp>
        <v>0</v>
        <stp/>
        <stp>bse_cm|0NHFL26</stp>
        <stp>Ask Qty</stp>
        <tr r="G1037" s="1"/>
      </tp>
      <tp>
        <v>0</v>
        <stp/>
        <stp>bse_cm|NIDO25A</stp>
        <stp>Ask Qty</stp>
        <tr r="G1245" s="1"/>
      </tp>
      <tp>
        <v>947.58</v>
        <stp/>
        <stp>bse_cm|875MFL28</stp>
        <stp>Prev Close</stp>
        <tr r="P689" s="1"/>
      </tp>
      <tp>
        <v>975</v>
        <stp/>
        <stp>bse_cm|875KFL25</stp>
        <stp>Prev Close</stp>
        <tr r="P50" s="1"/>
      </tp>
      <tp>
        <v>975</v>
        <stp/>
        <stp>bse_cm|875KFL26</stp>
        <stp>Prev Close</stp>
        <tr r="P1156" s="1"/>
      </tp>
      <tp>
        <v>975</v>
        <stp/>
        <stp>bse_cm|875MFL26</stp>
        <stp>Prev Close</stp>
        <tr r="P161" s="1"/>
      </tp>
      <tp>
        <v>835.2</v>
        <stp/>
        <stp>bse_cm|875SFL25</stp>
        <stp>Prev Close</stp>
        <tr r="P936" s="1"/>
      </tp>
      <tp>
        <v>1014</v>
        <stp/>
        <stp>bse_cm|875SFL27</stp>
        <stp>Prev Close</stp>
        <tr r="P578" s="1"/>
      </tp>
      <tp>
        <v>1000</v>
        <stp/>
        <stp>bse_cm|870MFL27</stp>
        <stp>Prev Close</stp>
        <tr r="P399" s="1"/>
      </tp>
      <tp>
        <v>0</v>
        <stp/>
        <stp>nse_cm|925SCL28-AM</stp>
        <stp>Ask Rate</stp>
        <tr r="F939" s="1"/>
      </tp>
      <tp>
        <v>1099</v>
        <stp/>
        <stp>nse_cm|CIFCZC26-NF</stp>
        <stp>High</stp>
        <tr r="N1561" s="1"/>
      </tp>
      <tp>
        <v>914.99</v>
        <stp/>
        <stp>bse_cm|865IFL28</stp>
        <stp>Prev Close</stp>
        <tr r="P115" s="1"/>
      </tp>
      <tp>
        <v>1002</v>
        <stp/>
        <stp>bse_cm|866SFL25</stp>
        <stp>Prev Close</stp>
        <tr r="P1652" s="1"/>
      </tp>
      <tp t="s">
        <v>NSE</v>
        <stp/>
        <stp>nse_cm|83TCHF25-N6</stp>
        <stp>Exchange</stp>
        <tr r="C472" s="1"/>
      </tp>
      <tp>
        <v>835.2</v>
        <stp/>
        <stp>nse_cm|833SCL24-ZE</stp>
        <stp>Bid Rate</stp>
        <tr r="E957" s="1"/>
      </tp>
      <tp>
        <v>1246</v>
        <stp/>
        <stp>nse_cm|IIFLZC28-NG</stp>
        <stp>High</stp>
        <tr r="N1659" s="1"/>
      </tp>
      <tp t="s">
        <v>NSE</v>
        <stp/>
        <stp>nse_cm|83TCHF28-N9</stp>
        <stp>Exchange</stp>
        <tr r="C831" s="1"/>
      </tp>
      <tp>
        <v>970</v>
        <stp/>
        <stp>bse_cm|890MFL26</stp>
        <stp>Prev Close</stp>
        <tr r="P1478" s="1"/>
      </tp>
      <tp>
        <v>1020</v>
        <stp/>
        <stp>nse_cm|CIFCZC28-NH</stp>
        <stp>High</stp>
        <tr r="N1607" s="1"/>
      </tp>
      <tp>
        <v>1013</v>
        <stp/>
        <stp>bse_cm|86CIFC29</stp>
        <stp>Prev Close</stp>
        <tr r="P1341" s="1"/>
      </tp>
      <tp>
        <v>982</v>
        <stp/>
        <stp>bse_cm|866SFL25</stp>
        <stp>Bid Rate</stp>
        <tr r="E1652" s="1"/>
      </tp>
      <tp>
        <v>950.2</v>
        <stp/>
        <stp>bse_cm|866SCL25</stp>
        <stp>Bid Rate</stp>
        <tr r="E603" s="1"/>
      </tp>
      <tp>
        <v>972</v>
        <stp/>
        <stp>bse_cm|880MFL28</stp>
        <stp>Prev Close</stp>
        <tr r="P1338" s="1"/>
      </tp>
      <tp>
        <v>850</v>
        <stp/>
        <stp>bse_cm|916SCL25</stp>
        <stp>Bid Rate</stp>
        <tr r="E964" s="1"/>
      </tp>
      <tp>
        <v>0</v>
        <stp/>
        <stp>bse_cm|85PCHFL26</stp>
        <stp>Ask Qty</stp>
        <tr r="G713" s="1"/>
      </tp>
      <tp>
        <v>880</v>
        <stp/>
        <stp>bse_cm|10SCL30A</stp>
        <stp xml:space="preserve">Low </stp>
        <tr r="O444" s="1"/>
      </tp>
      <tp t="s">
        <v>NSE</v>
        <stp/>
        <stp>nse_cm|957SCL30-BX</stp>
        <stp>Exchange</stp>
        <tr r="C1109" s="1"/>
      </tp>
      <tp>
        <v>1023</v>
        <stp/>
        <stp>nse_cm|903SFL28-YI</stp>
        <stp>Bid Rate</stp>
        <tr r="E372" s="1"/>
      </tp>
      <tp>
        <v>1033</v>
        <stp/>
        <stp>bse_cm|85CIFC27</stp>
        <stp>Prev Close</stp>
        <tr r="P974" s="1"/>
      </tp>
      <tp>
        <v>0</v>
        <stp/>
        <stp>bse_cm|957SCL30</stp>
        <stp>Bid Rate</stp>
        <tr r="E1110" s="1"/>
      </tp>
      <tp>
        <v>0</v>
        <stp/>
        <stp>bse_cm|749IGT28</stp>
        <stp>ATP</stp>
        <tr r="K1198" s="1"/>
      </tp>
      <tp>
        <v>814.4</v>
        <stp/>
        <stp>bse_cm|957SCL31</stp>
        <stp>Bid Rate</stp>
        <tr r="E1108" s="1"/>
      </tp>
      <tp t="s">
        <v>BSE</v>
        <stp/>
        <stp>bse_cm|KAFL25</stp>
        <stp>Exchange</stp>
        <tr r="C1321" s="1"/>
      </tp>
      <tp>
        <v>1250.2</v>
        <stp/>
        <stp>nse_cm|IIFLZC26-NN</stp>
        <stp>High</stp>
        <tr r="N1696" s="1"/>
      </tp>
      <tp>
        <v>160</v>
        <stp/>
        <stp>bse_cm|MFLI25A</stp>
        <stp>Bid Qty</stp>
        <tr r="D362" s="1"/>
      </tp>
      <tp t="s">
        <v>NSE</v>
        <stp/>
        <stp>nse_cm|861REC34-ND</stp>
        <stp>Exchange</stp>
        <tr r="C583" s="1"/>
      </tp>
      <tp>
        <v>655.20000000000005</v>
        <stp/>
        <stp>nse_cm|939SCL27-ZZ</stp>
        <stp>Bid Rate</stp>
        <tr r="E982" s="1"/>
      </tp>
      <tp>
        <v>0</v>
        <stp/>
        <stp>nse_cm|93SCFL25-Z1</stp>
        <stp>Bid Rate</stp>
        <tr r="E946" s="1"/>
      </tp>
      <tp>
        <v>25</v>
        <stp/>
        <stp>bse_cm|MFLV26E</stp>
        <stp>Bid Qty</stp>
        <tr r="D352" s="1"/>
      </tp>
      <tp>
        <v>900.11</v>
        <stp/>
        <stp>bse_cm|916ONE25</stp>
        <stp>Bid Rate</stp>
        <tr r="E965" s="1"/>
      </tp>
      <tp>
        <v>875.01</v>
        <stp/>
        <stp>bse_cm|886ONE25</stp>
        <stp>Bid Rate</stp>
        <tr r="E723" s="1"/>
      </tp>
      <tp t="s">
        <v>NSE</v>
        <stp/>
        <stp>nse_cm|863REC29-NC</stp>
        <stp>Exchange</stp>
        <tr r="C1633" s="1"/>
      </tp>
      <tp>
        <v>0</v>
        <stp/>
        <stp>nse_cm|902SCL27-YU</stp>
        <stp>Bid Rate</stp>
        <tr r="E844" s="1"/>
      </tp>
      <tp>
        <v>989.8</v>
        <stp/>
        <stp>bse_cm|895EFS25</stp>
        <stp>Prev Close</stp>
        <tr r="P730" s="1"/>
      </tp>
      <tp>
        <v>1015</v>
        <stp/>
        <stp>bse_cm|956AEL29</stp>
        <stp>Bid Rate</stp>
        <tr r="E311" s="1"/>
      </tp>
      <tp>
        <v>850.01</v>
        <stp/>
        <stp>bse_cm|916ONE27</stp>
        <stp>Bid Rate</stp>
        <tr r="E267" s="1"/>
      </tp>
      <tp>
        <v>1000</v>
        <stp/>
        <stp>bse_cm|797IGT31</stp>
        <stp>Bid Rate</stp>
        <tr r="E381" s="1"/>
      </tp>
      <tp t="s">
        <v>NSE</v>
        <stp/>
        <stp>nse_cm|862REC33-NA</stp>
        <stp>Exchange</stp>
        <tr r="C563" s="1"/>
      </tp>
      <tp t="s">
        <v>NSE</v>
        <stp/>
        <stp>nse_cm|965SCL25-AG</stp>
        <stp>Exchange</stp>
        <tr r="C1577" s="1"/>
      </tp>
      <tp t="s">
        <v>INE148I07TD3</v>
        <stp/>
        <stp>nse_cm|888SCL26A-ZC</stp>
        <stp>Isin code</stp>
        <tr r="R839" s="1"/>
      </tp>
      <tp>
        <v>990</v>
        <stp/>
        <stp>bse_cm|926ONE29</stp>
        <stp>Bid Rate</stp>
        <tr r="E1467" s="1"/>
      </tp>
      <tp>
        <v>1055</v>
        <stp/>
        <stp>bse_cm|966ONE29</stp>
        <stp>Bid Rate</stp>
        <tr r="E281" s="1"/>
      </tp>
      <tp t="s">
        <v>NSE</v>
        <stp/>
        <stp>nse_cm|965SCL28-AK</stp>
        <stp>Exchange</stp>
        <tr r="C1137" s="1"/>
      </tp>
      <tp>
        <v>0</v>
        <stp/>
        <stp>nse_cm|NIDOZC26-N7</stp>
        <stp>Volume Traded Today</stp>
        <tr r="L28" s="1"/>
      </tp>
      <tp>
        <v>20</v>
        <stp/>
        <stp>bse_cm|MFLV29E</stp>
        <stp>Bid Qty</stp>
        <tr r="D650" s="1"/>
      </tp>
      <tp>
        <v>0</v>
        <stp/>
        <stp>bse_cm|10KFL27A</stp>
        <stp>Open</stp>
        <tr r="M1092" s="1"/>
      </tp>
      <tp>
        <v>908</v>
        <stp/>
        <stp>bse_cm|95KFL27A</stp>
        <stp>Open</stp>
        <tr r="M132" s="1"/>
      </tp>
      <tp>
        <v>1070</v>
        <stp/>
        <stp>bse_cm|TCHF30</stp>
        <stp>Bid Rate</stp>
        <tr r="E423" s="1"/>
      </tp>
      <tp>
        <v>0</v>
        <stp/>
        <stp>bse_cm|960EFSLA</stp>
        <stp>Open</stp>
        <tr r="M699" s="1"/>
      </tp>
      <tp>
        <v>0</v>
        <stp/>
        <stp>bse_cm|97SFL26A</stp>
        <stp>High</stp>
        <tr r="N1089" s="1"/>
      </tp>
      <tp t="s">
        <v>1049DLSL25</v>
        <stp/>
        <stp>nse_cm|1049DLSL25-NX</stp>
        <stp>Symbol</stp>
        <tr r="A43" s="1"/>
      </tp>
      <tp>
        <v>1020</v>
        <stp/>
        <stp>nse_cm|872MMFSL26-N1</stp>
        <stp xml:space="preserve">Low </stp>
        <tr r="O404" s="1"/>
      </tp>
      <tp t="s">
        <v>INE532F07CG3</v>
        <stp/>
        <stp>bse_cm|955EFSL26A</stp>
        <stp>Isin code</stp>
        <tr r="R214" s="1"/>
      </tp>
      <tp>
        <v>0</v>
        <stp/>
        <stp>nse_cm|9SFL25A-ZH</stp>
        <stp>ATP</stp>
        <tr r="K463" s="1"/>
      </tp>
      <tp>
        <v>0</v>
        <stp/>
        <stp>nse_cm|1050ICCL28-NV</stp>
        <stp>Ask Rate</stp>
        <tr r="F764" s="1"/>
      </tp>
      <tp>
        <v>1007.6</v>
        <stp/>
        <stp>nse_cm|885MOFSL26-N0</stp>
        <stp xml:space="preserve">Low </stp>
        <tr r="O1635" s="1"/>
      </tp>
      <tp>
        <v>1108</v>
        <stp/>
        <stp>nse_cm|751HUDCO28-N5</stp>
        <stp>High</stp>
        <tr r="N492" s="1"/>
      </tp>
      <tp>
        <v>1001</v>
        <stp/>
        <stp>nse_cm|897MOFSL29-N4</stp>
        <stp xml:space="preserve">Low </stp>
        <tr r="O296" s="1"/>
      </tp>
      <tp>
        <v>1028</v>
        <stp/>
        <stp>nse_cm|935MOFSL29-N5</stp>
        <stp xml:space="preserve">Low </stp>
        <tr r="O1601" s="1"/>
      </tp>
      <tp t="s">
        <v>751HUDCO28</v>
        <stp/>
        <stp>nse_cm|751HUDCO28-N5</stp>
        <stp>Symbol</stp>
        <tr r="A492" s="1"/>
      </tp>
      <tp t="s">
        <v>851HUDCO28</v>
        <stp/>
        <stp>nse_cm|851HUDCO28-NB</stp>
        <stp>Symbol</stp>
        <tr r="A502" s="1"/>
      </tp>
      <tp>
        <v>0</v>
        <stp/>
        <stp>nse_cm|855TCAPS27-N7</stp>
        <stp>High</stp>
        <tr r="N1003" s="1"/>
      </tp>
      <tp t="s">
        <v>875PCHFL26</v>
        <stp/>
        <stp>nse_cm|875PCHFL26-N8</stp>
        <stp>Symbol</stp>
        <tr r="A271" s="1"/>
      </tp>
      <tp>
        <v>1150</v>
        <stp/>
        <stp>nse_cm|1030ICCL28-NM</stp>
        <stp>Ask Rate</stp>
        <tr r="F1596" s="1"/>
      </tp>
      <tp t="s">
        <v>855IREDA29</v>
        <stp/>
        <stp>nse_cm|855IREDA29-N2</stp>
        <stp>Symbol</stp>
        <tr r="A505" s="1"/>
      </tp>
      <tp t="s">
        <v>1077IIFL30</v>
        <stp/>
        <stp>nse_cm|1077IIFL30-N7</stp>
        <stp>Symbol</stp>
        <tr r="A996" s="1"/>
      </tp>
      <tp t="s">
        <v>880IREDA34</v>
        <stp/>
        <stp>nse_cm|880IREDA34-N6</stp>
        <stp>Symbol</stp>
        <tr r="A511" s="1"/>
      </tp>
      <tp>
        <v>990</v>
        <stp/>
        <stp>nse_cm|1050IIFL29-ND</stp>
        <stp>Ask Rate</stp>
        <tr r="F585" s="1"/>
      </tp>
      <tp t="s">
        <v>849NTPC25-N7</v>
        <stp/>
        <stp>nse_cm|849NTPC25-N7</stp>
        <stp>Trading Symbol</stp>
        <tr r="B302" s="1"/>
      </tp>
      <tp>
        <v>0</v>
        <stp/>
        <stp>nse_cm|9SCL26B-ND</stp>
        <stp>ATP</stp>
        <tr r="K994" s="1"/>
      </tp>
      <tp>
        <v>1029.8699999999999</v>
        <stp/>
        <stp>nse_cm|865TCAPS27-N8</stp>
        <stp>High</stp>
        <tr r="N376" s="1"/>
      </tp>
      <tp>
        <v>1075</v>
        <stp/>
        <stp>nse_cm|885TCAPS29-NC</stp>
        <stp>High</stp>
        <tr r="N13" s="1"/>
      </tp>
      <tp>
        <v>0</v>
        <stp/>
        <stp>nse_cm|875TCAPS29-NB</stp>
        <stp>High</stp>
        <tr r="N934" s="1"/>
      </tp>
      <tp>
        <v>0</v>
        <stp/>
        <stp>bse_cm|SFL28</stp>
        <stp>Ask Rate</stp>
        <tr r="F803" s="1"/>
      </tp>
      <tp>
        <v>0</v>
        <stp/>
        <stp>nse_cm|CAGL25A-N4</stp>
        <stp>ATP</stp>
        <tr r="K709" s="1"/>
      </tp>
      <tp>
        <v>0</v>
        <stp/>
        <stp>nse_cm|CAGL27A-N6</stp>
        <stp>ATP</stp>
        <tr r="K758" s="1"/>
      </tp>
      <tp>
        <v>0</v>
        <stp/>
        <stp>bse_cm|SCL25</stp>
        <stp>Ask Rate</stp>
        <tr r="F1234" s="1"/>
      </tp>
      <tp>
        <v>0</v>
        <stp/>
        <stp>bse_cm|SFL25</stp>
        <stp>Ask Rate</stp>
        <tr r="F813" s="1"/>
      </tp>
      <tp>
        <v>1010</v>
        <stp/>
        <stp>nse_cm|1050ISFL28-N5</stp>
        <stp>Ask Rate</stp>
        <tr r="F1591" s="1"/>
      </tp>
      <tp>
        <v>0</v>
        <stp/>
        <stp>bse_cm|SCL24</stp>
        <stp>Ask Rate</stp>
        <tr r="F1377" s="1"/>
      </tp>
      <tp>
        <v>0</v>
        <stp/>
        <stp>bse_cm|SFL27</stp>
        <stp>Ask Rate</stp>
        <tr r="F809" s="1"/>
      </tp>
      <tp>
        <v>0</v>
        <stp/>
        <stp>bse_cm|SFL26</stp>
        <stp>Ask Rate</stp>
        <tr r="F811" s="1"/>
      </tp>
      <tp t="s">
        <v>MFLTDI25</v>
        <stp/>
        <stp>bse_cm|MFLTDI25</stp>
        <stp>Symbol</stp>
        <tr r="A1476" s="1"/>
      </tp>
      <tp>
        <v>0</v>
        <stp/>
        <stp>bse_cm|SCL22</stp>
        <stp>Ask Rate</stp>
        <tr r="F1239" s="1"/>
      </tp>
      <tp>
        <v>50</v>
        <stp/>
        <stp>bse_cm|MFL30A</stp>
        <stp>Bid Qty</stp>
        <tr r="D1370" s="1"/>
      </tp>
      <tp>
        <v>0</v>
        <stp/>
        <stp>bse_cm|KFL25</stp>
        <stp>Ask Rate</stp>
        <tr r="F1309" s="1"/>
      </tp>
      <tp>
        <v>1125</v>
        <stp/>
        <stp>bse_cm|MFL23</stp>
        <stp>Ask Rate</stp>
        <tr r="F1668" s="1"/>
      </tp>
      <tp>
        <v>0</v>
        <stp/>
        <stp>bse_cm|IML27</stp>
        <stp>Ask Rate</stp>
        <tr r="F1325" s="1"/>
      </tp>
      <tp>
        <v>22</v>
        <stp/>
        <stp>bse_cm|MFL31A</stp>
        <stp>Bid Qty</stp>
        <tr r="D1275" s="1"/>
      </tp>
      <tp>
        <v>1367.3</v>
        <stp/>
        <stp>nse_cm|858HUDCO29-NC</stp>
        <stp>High</stp>
        <tr r="N1636" s="1"/>
      </tp>
      <tp>
        <v>0</v>
        <stp/>
        <stp>bse_cm|KFL27</stp>
        <stp>Ask Rate</stp>
        <tr r="F1303" s="1"/>
      </tp>
      <tp>
        <v>0</v>
        <stp/>
        <stp>bse_cm|IML25</stp>
        <stp>Ask Rate</stp>
        <tr r="F1326" s="1"/>
      </tp>
      <tp>
        <v>1109.99</v>
        <stp/>
        <stp>nse_cm|851HUDCO28-NB</stp>
        <stp>High</stp>
        <tr r="N502" s="1"/>
      </tp>
      <tp>
        <v>0</v>
        <stp/>
        <stp>bse_cm|KFL26</stp>
        <stp>Ask Rate</stp>
        <tr r="F1306" s="1"/>
      </tp>
      <tp t="e">
        <v>#N/A</v>
        <stp/>
        <stp>bse_cm|IML24</stp>
        <stp>Ask Rate</stp>
        <tr r="F34" s="1"/>
      </tp>
      <tp>
        <v>1327</v>
        <stp/>
        <stp>nse_cm|901HUDCO34-NE</stp>
        <stp>High</stp>
        <tr r="N517" s="1"/>
      </tp>
      <tp>
        <v>0</v>
        <stp/>
        <stp>bse_cm|MFL27</stp>
        <stp>Ask Rate</stp>
        <tr r="F1563" s="1"/>
      </tp>
      <tp>
        <v>0</v>
        <stp/>
        <stp>bse_cm|CIF29</stp>
        <stp>Ask Rate</stp>
        <tr r="F744" s="1"/>
      </tp>
      <tp>
        <v>1124.9000000000001</v>
        <stp/>
        <stp>nse_cm|876HUDCO28-ND</stp>
        <stp>High</stp>
        <tr r="N509" s="1"/>
      </tp>
      <tp t="s">
        <v>INE414G07GZ3</v>
        <stp/>
        <stp>bse_cm|MFLTDVII27</stp>
        <stp>Isin code</stp>
        <tr r="R1562" s="1"/>
      </tp>
      <tp>
        <v>1134.7</v>
        <stp/>
        <stp>bse_cm|MFL26</stp>
        <stp>Ask Rate</stp>
        <tr r="F1666" s="1"/>
      </tp>
      <tp>
        <v>0</v>
        <stp/>
        <stp>bse_cm|MML26</stp>
        <stp>Ask Rate</stp>
        <tr r="F1410" s="1"/>
      </tp>
      <tp>
        <v>20</v>
        <stp/>
        <stp>bse_cm|KFL30A</stp>
        <stp>Bid Qty</stp>
        <tr r="D1592" s="1"/>
      </tp>
      <tp>
        <v>1799</v>
        <stp/>
        <stp>bse_cm|MFL25</stp>
        <stp>Ask Rate</stp>
        <tr r="F1733" s="1"/>
      </tp>
      <tp>
        <v>0</v>
        <stp/>
        <stp>bse_cm|MML25</stp>
        <stp>Ask Rate</stp>
        <tr r="F1253" s="1"/>
      </tp>
      <tp>
        <v>0</v>
        <stp/>
        <stp>nse_cm|DLSL25A-Y4</stp>
        <stp>ATP</stp>
        <tr r="K1732" s="1"/>
      </tp>
      <tp>
        <v>1110.2</v>
        <stp/>
        <stp>bse_cm|MML24</stp>
        <stp>Ask Rate</stp>
        <tr r="F1740" s="1"/>
      </tp>
      <tp>
        <v>1035</v>
        <stp/>
        <stp>bse_cm|MFL29</stp>
        <stp>Ask Rate</stp>
        <tr r="F1598" s="1"/>
      </tp>
      <tp>
        <v>0</v>
        <stp/>
        <stp>bse_cm|CIF27</stp>
        <stp>Ask Rate</stp>
        <tr r="F745" s="1"/>
      </tp>
      <tp>
        <v>1132.7</v>
        <stp/>
        <stp>bse_cm|MFL28</stp>
        <stp>Ask Rate</stp>
        <tr r="F1638" s="1"/>
      </tp>
      <tp>
        <v>989.8</v>
        <stp/>
        <stp>bse_cm|MML28</stp>
        <stp>Ask Rate</stp>
        <tr r="F584" s="1"/>
      </tp>
      <tp>
        <v>1123</v>
        <stp/>
        <stp>bse_cm|KFL29</stp>
        <stp>Ask Rate</stp>
        <tr r="F1619" s="1"/>
      </tp>
      <tp>
        <v>0</v>
        <stp/>
        <stp>bse_cm|IML29</stp>
        <stp>Ask Rate</stp>
        <tr r="F1528" s="1"/>
      </tp>
      <tp t="s">
        <v/>
        <stp/>
        <stp>nse_cm|9TCAP28-N9</stp>
        <stp>LTT</stp>
        <tr r="I544" s="1"/>
      </tp>
      <tp>
        <v>1200</v>
        <stp/>
        <stp>nse_cm|9TCAP28-N9</stp>
        <stp>LTP</stp>
        <tr r="H544" s="1"/>
      </tp>
      <tp>
        <v>0</v>
        <stp/>
        <stp>bse_cm|IML28</stp>
        <stp>Ask Rate</stp>
        <tr r="F1458" s="1"/>
      </tp>
      <tp t="s">
        <v>NSE</v>
        <stp/>
        <stp>nse_cm|990SCL26-N7</stp>
        <stp>Exchange</stp>
        <tr r="C422" s="1"/>
      </tp>
      <tp>
        <v>20</v>
        <stp/>
        <stp>bse_cm|92LTF29</stp>
        <stp>Bid Qty</stp>
        <tr r="D1088" s="1"/>
      </tp>
      <tp>
        <v>-100</v>
        <stp/>
        <stp>bse_cm|975MFL24BB</stp>
        <stp>% Change</stp>
        <tr r="J552" s="1"/>
      </tp>
      <tp>
        <v>0</v>
        <stp/>
        <stp>bse_cm|10NIDO27</stp>
        <stp>Open</stp>
        <tr r="M597" s="1"/>
      </tp>
      <tp>
        <v>0</v>
        <stp/>
        <stp>bse_cm|KFL26C</stp>
        <stp>Ask Rate</stp>
        <tr r="F1304" s="1"/>
      </tp>
      <tp t="s">
        <v>NSE</v>
        <stp/>
        <stp>nse_cm|935LTF29-N5</stp>
        <stp>Exchange</stp>
        <tr r="C395" s="1"/>
      </tp>
      <tp>
        <v>0</v>
        <stp/>
        <stp>bse_cm|95NIDO26</stp>
        <stp>Open</stp>
        <tr r="M670" s="1"/>
      </tp>
      <tp>
        <v>0</v>
        <stp/>
        <stp>bse_cm|10NIDO26</stp>
        <stp>Open</stp>
        <tr r="M62" s="1"/>
      </tp>
      <tp>
        <v>0</v>
        <stp/>
        <stp>bse_cm|10NHFL27</stp>
        <stp>Open</stp>
        <tr r="M658" s="1"/>
      </tp>
      <tp>
        <v>0</v>
        <stp/>
        <stp>bse_cm|KFL26B</stp>
        <stp>Ask Rate</stp>
        <tr r="F1305" s="1"/>
      </tp>
      <tp>
        <v>0</v>
        <stp/>
        <stp>nse_cm|SCLZC26E-NP</stp>
        <stp>Ask Rate</stp>
        <tr r="F899" s="1"/>
      </tp>
      <tp>
        <v>0</v>
        <stp/>
        <stp>bse_cm|KFL26A</stp>
        <stp>Ask Rate</stp>
        <tr r="F1372" s="1"/>
      </tp>
      <tp>
        <v>0</v>
        <stp/>
        <stp>bse_cm|MFL30A</stp>
        <stp>Ask Rate</stp>
        <tr r="F1370" s="1"/>
      </tp>
      <tp t="s">
        <v>NSE</v>
        <stp/>
        <stp>nse_cm|86CIFC29-NN</stp>
        <stp>Exchange</stp>
        <tr r="C1340" s="1"/>
      </tp>
      <tp>
        <v>1110.0999999999999</v>
        <stp/>
        <stp>bse_cm|SCL24A</stp>
        <stp>Bid Rate</stp>
        <tr r="E1749" s="1"/>
      </tp>
      <tp>
        <v>0</v>
        <stp/>
        <stp>nse_cm|SCLZC26A-NF</stp>
        <stp>Ask Rate</stp>
        <tr r="F993" s="1"/>
      </tp>
      <tp>
        <v>1000</v>
        <stp/>
        <stp>bse_cm|JMFPTBIL25</stp>
        <stp>Face Value</stp>
        <tr r="Q9" s="1"/>
      </tp>
      <tp>
        <v>0</v>
        <stp/>
        <stp>nse_cm|CIF27-NM</stp>
        <stp>Volume Traded Today</stp>
        <tr r="L1665" s="1"/>
      </tp>
      <tp>
        <v>0</v>
        <stp/>
        <stp>nse_cm|CIF29-NO</stp>
        <stp>Volume Traded Today</stp>
        <tr r="L743" s="1"/>
      </tp>
      <tp>
        <v>0</v>
        <stp/>
        <stp>nse_cm|SCLZC26C-NB</stp>
        <stp>Ask Rate</stp>
        <tr r="F1537" s="1"/>
      </tp>
      <tp>
        <v>993</v>
        <stp/>
        <stp>nse_cm|931SFL26-Z5</stp>
        <stp>Bid Rate</stp>
        <tr r="E519" s="1"/>
      </tp>
      <tp>
        <v>2499</v>
        <stp/>
        <stp>nse_cm|NIDOZC26-N7</stp>
        <stp>High</stp>
        <tr r="N28" s="1"/>
      </tp>
      <tp t="s">
        <v>BSE</v>
        <stp/>
        <stp>bse_cm|MML24A</stp>
        <stp>Exchange</stp>
        <tr r="C1254" s="1"/>
      </tp>
      <tp>
        <v>0</v>
        <stp/>
        <stp>bse_cm|88NWIL25</stp>
        <stp>Open</stp>
        <tr r="M219" s="1"/>
      </tp>
      <tp>
        <v>0</v>
        <stp/>
        <stp>nse_cm|SCLZC26D-NO</stp>
        <stp>Ask Rate</stp>
        <tr r="F901" s="1"/>
      </tp>
      <tp>
        <v>0</v>
        <stp/>
        <stp>bse_cm|12KLM25</stp>
        <stp>Ask Qty</stp>
        <tr r="G1211" s="1"/>
      </tp>
      <tp>
        <v>0</v>
        <stp/>
        <stp>nse_cm|SCLZC25C-NI</stp>
        <stp>Ask Rate</stp>
        <tr r="F908" s="1"/>
      </tp>
      <tp t="s">
        <v>BSE</v>
        <stp/>
        <stp>bse_cm|MFL24A</stp>
        <stp>Exchange</stp>
        <tr r="C1759" s="1"/>
      </tp>
      <tp>
        <v>25</v>
        <stp/>
        <stp>bse_cm|96ONE29</stp>
        <stp>Ask Qty</stp>
        <tr r="G1621" s="1"/>
      </tp>
      <tp t="s">
        <v>BSE</v>
        <stp/>
        <stp>bse_cm|MFL24B</stp>
        <stp>Exchange</stp>
        <tr r="C1756" s="1"/>
      </tp>
      <tp>
        <v>1200</v>
        <stp/>
        <stp>nse_cm|SCLZC25D-NJ</stp>
        <stp>Ask Rate</stp>
        <tr r="F1699" s="1"/>
      </tp>
      <tp>
        <v>0</v>
        <stp/>
        <stp>nse_cm|792TCH25-N3</stp>
        <stp>Ask Rate</stp>
        <tr r="F1187" s="1"/>
      </tp>
      <tp>
        <v>0</v>
        <stp/>
        <stp>bse_cm|68PFCL31</stp>
        <stp xml:space="preserve">Low </stp>
        <tr r="O1205" s="1"/>
      </tp>
      <tp t="s">
        <v>INE0BUS07AU3</v>
        <stp/>
        <stp>bse_cm|IML160224</stp>
        <stp>Isin code</stp>
        <tr r="R1329" s="1"/>
      </tp>
      <tp t="s">
        <v>INE05F407CB4</v>
        <stp/>
        <stp>bse_cm|1075MML27</stp>
        <stp>Isin code</stp>
        <tr r="R1510" s="1"/>
      </tp>
      <tp t="s">
        <v>939SCL27</v>
        <stp/>
        <stp>bse_cm|939SCL27</stp>
        <stp>Trading Symbol</stp>
        <tr r="B985" s="1"/>
      </tp>
      <tp t="s">
        <v>935SCL28</v>
        <stp/>
        <stp>bse_cm|935SCL28</stp>
        <stp>Trading Symbol</stp>
        <tr r="B284" s="1"/>
      </tp>
      <tp>
        <v>1000</v>
        <stp/>
        <stp>nse_cm|SCLZC26F-Y9</stp>
        <stp>Face Value</stp>
        <tr r="Q800" s="1"/>
      </tp>
      <tp>
        <v>1000</v>
        <stp/>
        <stp>nse_cm|SCLZC25F-Y5</stp>
        <stp>Face Value</stp>
        <tr r="Q1512" s="1"/>
      </tp>
      <tp t="s">
        <v>INE05F407CM1</v>
        <stp/>
        <stp>bse_cm|1125MML27</stp>
        <stp>Isin code</stp>
        <tr r="R592" s="1"/>
      </tp>
      <tp t="s">
        <v>92ICCL28</v>
        <stp/>
        <stp>bse_cm|92ICCL28</stp>
        <stp>Trading Symbol</stp>
        <tr r="B202" s="1"/>
      </tp>
      <tp>
        <v>1083</v>
        <stp/>
        <stp>nse_cm|CIFC28-NB</stp>
        <stp>Ask Rate</stp>
        <tr r="F1618" s="1"/>
      </tp>
      <tp t="s">
        <v>925SCL27</v>
        <stp/>
        <stp>bse_cm|925SCL27</stp>
        <stp>Trading Symbol</stp>
        <tr r="B1414" s="1"/>
      </tp>
      <tp t="s">
        <v>925SCL26</v>
        <stp/>
        <stp>bse_cm|925SCL26</stp>
        <stp>Trading Symbol</stp>
        <tr r="B913" s="1"/>
      </tp>
      <tp t="s">
        <v>925SCL25</v>
        <stp/>
        <stp>bse_cm|925SCL25</stp>
        <stp>Trading Symbol</stp>
        <tr r="B104" s="1"/>
      </tp>
      <tp t="s">
        <v>925SCL29</v>
        <stp/>
        <stp>bse_cm|925SCL29</stp>
        <stp>Trading Symbol</stp>
        <tr r="B820" s="1"/>
      </tp>
      <tp t="s">
        <v>925SCL28</v>
        <stp/>
        <stp>bse_cm|925SCL28</stp>
        <stp>Trading Symbol</stp>
        <tr r="B940" s="1"/>
      </tp>
      <tp t="s">
        <v>ICCL25</v>
        <stp/>
        <stp>nse_cm|ICCL25-NS</stp>
        <stp>Symbol</stp>
        <tr r="A1401" s="1"/>
      </tp>
      <tp t="s">
        <v>94IFCI25</v>
        <stp/>
        <stp>bse_cm|94IFCI25</stp>
        <stp>Trading Symbol</stp>
        <tr r="B228" s="1"/>
      </tp>
      <tp t="s">
        <v>915SCL27</v>
        <stp/>
        <stp>bse_cm|915SCL27</stp>
        <stp>Trading Symbol</stp>
        <tr r="B1127" s="1"/>
      </tp>
      <tp t="s">
        <v>915SCL26</v>
        <stp/>
        <stp>bse_cm|915SCL26</stp>
        <stp>Trading Symbol</stp>
        <tr r="B148" s="1"/>
      </tp>
      <tp t="s">
        <v>916SCL25</v>
        <stp/>
        <stp>bse_cm|916SCL25</stp>
        <stp>Trading Symbol</stp>
        <tr r="B964" s="1"/>
      </tp>
      <tp t="s">
        <v>902SCL27</v>
        <stp/>
        <stp>bse_cm|902SCL27</stp>
        <stp>Trading Symbol</stp>
        <tr r="B902" s="1"/>
      </tp>
      <tp t="s">
        <v>902SCL26</v>
        <stp/>
        <stp>bse_cm|902SCL26</stp>
        <stp>Trading Symbol</stp>
        <tr r="B969" s="1"/>
      </tp>
      <tp t="s">
        <v>905SCL27</v>
        <stp/>
        <stp>bse_cm|905SCL27</stp>
        <stp>Trading Symbol</stp>
        <tr r="B976" s="1"/>
      </tp>
      <tp t="s">
        <v>905SCL25</v>
        <stp/>
        <stp>bse_cm|905SCL25</stp>
        <stp>Trading Symbol</stp>
        <tr r="B1060" s="1"/>
      </tp>
      <tp t="s">
        <v>IML23623</v>
        <stp/>
        <stp>bse_cm|IML23623</stp>
        <stp>Trading Symbol</stp>
        <tr r="B1327" s="1"/>
      </tp>
      <tp t="s">
        <v>971SCL29</v>
        <stp/>
        <stp>bse_cm|971SCL29</stp>
        <stp>Trading Symbol</stp>
        <tr r="B521" s="1"/>
      </tp>
      <tp t="s">
        <v>971SCL28</v>
        <stp/>
        <stp>bse_cm|971SCL28</stp>
        <stp>Trading Symbol</stp>
        <tr r="B1028" s="1"/>
      </tp>
      <tp t="s">
        <v>975SCL28</v>
        <stp/>
        <stp>bse_cm|975SCL28</stp>
        <stp>Trading Symbol</stp>
        <tr r="B1485" s="1"/>
      </tp>
      <tp>
        <v>896</v>
        <stp/>
        <stp>bse_cm|930EFSL31</stp>
        <stp>High</stp>
        <tr r="N65" s="1"/>
      </tp>
      <tp>
        <v>915</v>
        <stp/>
        <stp>bse_cm|953EFSL31</stp>
        <stp>High</stp>
        <tr r="N191" s="1"/>
      </tp>
      <tp>
        <v>1000</v>
        <stp/>
        <stp>bse_cm|970EFSL31</stp>
        <stp>High</stp>
        <tr r="N220" s="1"/>
      </tp>
      <tp>
        <v>940.2</v>
        <stp/>
        <stp>bse_cm|995EFSL31</stp>
        <stp>High</stp>
        <tr r="N192" s="1"/>
      </tp>
      <tp t="s">
        <v>965SCL26</v>
        <stp/>
        <stp>bse_cm|965SCL26</stp>
        <stp>Trading Symbol</stp>
        <tr r="B665" s="1"/>
      </tp>
      <tp t="s">
        <v>965SCL25</v>
        <stp/>
        <stp>bse_cm|965SCL25</stp>
        <stp>Trading Symbol</stp>
        <tr r="B1105" s="1"/>
      </tp>
      <tp t="s">
        <v>965VCL25</v>
        <stp/>
        <stp>bse_cm|965VCL25</stp>
        <stp>Trading Symbol</stp>
        <tr r="B1543" s="1"/>
      </tp>
      <tp t="s">
        <v>965SCL29</v>
        <stp/>
        <stp>bse_cm|965SCL29</stp>
        <stp>Trading Symbol</stp>
        <tr r="B816" s="1"/>
      </tp>
      <tp t="s">
        <v>965SCL28</v>
        <stp/>
        <stp>bse_cm|965SCL28</stp>
        <stp>Trading Symbol</stp>
        <tr r="B1138" s="1"/>
      </tp>
      <tp t="s">
        <v>CAGL27</v>
        <stp/>
        <stp>nse_cm|CAGL27-NC</stp>
        <stp>Symbol</stp>
        <tr r="A733" s="1"/>
      </tp>
      <tp t="e">
        <v>#N/A</v>
        <stp/>
        <stp>bse_cm|975SFL024</stp>
        <stp>Isin code</stp>
        <tr r="R31" s="1"/>
      </tp>
      <tp t="s">
        <v>955SCL27</v>
        <stp/>
        <stp>bse_cm|955SCL27</stp>
        <stp>Trading Symbol</stp>
        <tr r="B621" s="1"/>
      </tp>
      <tp t="s">
        <v>955SCL25</v>
        <stp/>
        <stp>bse_cm|955SCL25</stp>
        <stp>Trading Symbol</stp>
        <tr r="B1128" s="1"/>
      </tp>
      <tp t="s">
        <v>957SCL31</v>
        <stp/>
        <stp>bse_cm|957SCL31</stp>
        <stp>Trading Symbol</stp>
        <tr r="B1108" s="1"/>
      </tp>
      <tp t="s">
        <v>957SCL30</v>
        <stp/>
        <stp>bse_cm|957SCL30</stp>
        <stp>Trading Symbol</stp>
        <tr r="B1110" s="1"/>
      </tp>
      <tp t="s">
        <v>957VCL25</v>
        <stp/>
        <stp>bse_cm|957VCL25</stp>
        <stp>Trading Symbol</stp>
        <tr r="B53" s="1"/>
      </tp>
      <tp t="s">
        <v>MML27524</v>
        <stp/>
        <stp>bse_cm|MML27524</stp>
        <stp>Trading Symbol</stp>
        <tr r="B1511" s="1"/>
      </tp>
      <tp t="s">
        <v>984ICCL26A-NK</v>
        <stp/>
        <stp>nse_cm|984ICCL26A-NK</stp>
        <stp>Trading Symbol</stp>
        <tr r="B716" s="1"/>
      </tp>
      <tp t="s">
        <v>948SCL27</v>
        <stp/>
        <stp>bse_cm|948SCL27</stp>
        <stp>Trading Symbol</stp>
        <tr r="B1079" s="1"/>
      </tp>
      <tp t="s">
        <v>948SCL26</v>
        <stp/>
        <stp>bse_cm|948SCL26</stp>
        <stp>Trading Symbol</stp>
        <tr r="B1647" s="1"/>
      </tp>
      <tp t="s">
        <v>940SCL27</v>
        <stp/>
        <stp>bse_cm|940SCL27</stp>
        <stp>Trading Symbol</stp>
        <tr r="B792" s="1"/>
      </tp>
      <tp t="s">
        <v>940SCL26</v>
        <stp/>
        <stp>bse_cm|940SCL26</stp>
        <stp>Trading Symbol</stp>
        <tr r="B778" s="1"/>
      </tp>
      <tp t="s">
        <v>943ECL28</v>
        <stp/>
        <stp>bse_cm|943ECL28</stp>
        <stp>Trading Symbol</stp>
        <tr r="B124" s="1"/>
      </tp>
      <tp>
        <v>903.1</v>
        <stp/>
        <stp>bse_cm|965EFSL32</stp>
        <stp>High</stp>
        <tr r="N141" s="1"/>
      </tp>
      <tp>
        <v>0</v>
        <stp/>
        <stp>nse_cm|CIFC26-NK</stp>
        <stp>Ask Rate</stp>
        <tr r="F741" s="1"/>
      </tp>
      <tp t="s">
        <v>INE01CY077B7</v>
        <stp/>
        <stp>bse_cm|12ICLFL26</stp>
        <stp>Isin code</stp>
        <tr r="R547" s="1"/>
      </tp>
      <tp t="s">
        <v>990SCL27</v>
        <stp/>
        <stp>bse_cm|990SCL27</stp>
        <stp>Trading Symbol</stp>
        <tr r="B796" s="1"/>
      </tp>
      <tp t="s">
        <v>990SCL26</v>
        <stp/>
        <stp>bse_cm|990SCL26</stp>
        <stp>Trading Symbol</stp>
        <tr r="B421" s="1"/>
      </tp>
      <tp t="s">
        <v>995ECL24</v>
        <stp/>
        <stp>bse_cm|995ECL24</stp>
        <stp>Trading Symbol</stp>
        <tr r="B427" s="1"/>
      </tp>
      <tp t="s">
        <v>995ECL29</v>
        <stp/>
        <stp>bse_cm|995ECL29</stp>
        <stp>Trading Symbol</stp>
        <tr r="B198" s="1"/>
      </tp>
      <tp t="s">
        <v>98ICCL26</v>
        <stp/>
        <stp>bse_cm|98ICCL26</stp>
        <stp>Trading Symbol</stp>
        <tr r="B1412" s="1"/>
      </tp>
      <tp t="s">
        <v>980SCL34</v>
        <stp/>
        <stp>bse_cm|980SCL34</stp>
        <stp>Trading Symbol</stp>
        <tr r="B829" s="1"/>
      </tp>
      <tp t="s">
        <v>980SCL33</v>
        <stp/>
        <stp>bse_cm|980SCL33</stp>
        <stp>Trading Symbol</stp>
        <tr r="B998" s="1"/>
      </tp>
      <tp t="s">
        <v>985ECL28</v>
        <stp/>
        <stp>bse_cm|985ECL28</stp>
        <stp>Trading Symbol</stp>
        <tr r="B56" s="1"/>
      </tp>
      <tp t="s">
        <v>10ARKA28</v>
        <stp/>
        <stp>bse_cm|10ARKA28</stp>
        <stp>Trading Symbol</stp>
        <tr r="B1400" s="1"/>
      </tp>
      <tp t="s">
        <v>99IFCI24</v>
        <stp/>
        <stp>bse_cm|99IFCI24</stp>
        <stp>Trading Symbol</stp>
        <tr r="B41" s="1"/>
      </tp>
      <tp>
        <v>1010.8</v>
        <stp/>
        <stp>bse_cm|CIFCZC25A</stp>
        <stp>High</stp>
        <tr r="N1728" s="1"/>
      </tp>
      <tp t="s">
        <v>990MFCL29</v>
        <stp/>
        <stp>bse_cm|990MFCL29</stp>
        <stp>Symbol</stp>
        <tr r="A1449" s="1"/>
      </tp>
      <tp t="s">
        <v>890MFCL26</v>
        <stp/>
        <stp>bse_cm|890MFCL26</stp>
        <stp>Symbol</stp>
        <tr r="A279" s="1"/>
      </tp>
      <tp t="s">
        <v>697PFCL36</v>
        <stp/>
        <stp>bse_cm|697PFCL36</stp>
        <stp>Symbol</stp>
        <tr r="A431" s="1"/>
      </tp>
      <tp t="s">
        <v>96IIFL28A</v>
        <stp/>
        <stp>bse_cm|96IIFL28A</stp>
        <stp>Symbol</stp>
        <tr r="A88" s="1"/>
      </tp>
      <tp t="s">
        <v>695PFCL36</v>
        <stp/>
        <stp>bse_cm|695PFCL36</stp>
        <stp>Symbol</stp>
        <tr r="A430" s="1"/>
      </tp>
      <tp t="s">
        <v>0MML27524</v>
        <stp/>
        <stp>bse_cm|0MML27524</stp>
        <stp>Symbol</stp>
        <tr r="A1042" s="1"/>
      </tp>
      <tp t="s">
        <v>INE532F07DQ0</v>
        <stp/>
        <stp>bse_cm|895EFSL25</stp>
        <stp>Isin code</stp>
        <tr r="R700" s="1"/>
      </tp>
      <tp t="s">
        <v>CIF29-NO</v>
        <stp/>
        <stp>nse_cm|CIF29-NO</stp>
        <stp>Trading Symbol</stp>
        <tr r="B743" s="1"/>
      </tp>
      <tp>
        <v>0</v>
        <stp/>
        <stp>bse_cm|IIFLHFZC27</stp>
        <stp>Ask Qty</stp>
        <tr r="G1516" s="1"/>
      </tp>
      <tp t="s">
        <v>INE338I07123</v>
        <stp/>
        <stp>bse_cm|97MOFSL34</stp>
        <stp>Isin code</stp>
        <tr r="R1600" s="1"/>
      </tp>
      <tp t="s">
        <v>INE148I07PY7</v>
        <stp/>
        <stp>nse_cm|990SCL26-N7</stp>
        <stp>Isin code</stp>
        <tr r="R422" s="1"/>
      </tp>
      <tp t="s">
        <v>INE148I07MF3</v>
        <stp/>
        <stp>nse_cm|894SCL25-Z3</stp>
        <stp>Isin code</stp>
        <tr r="R1698" s="1"/>
      </tp>
      <tp t="s">
        <v>INE338I07115</v>
        <stp/>
        <stp>bse_cm|93MOFSL34</stp>
        <stp>Isin code</stp>
        <tr r="R312" s="1"/>
      </tp>
      <tp t="s">
        <v>INE140A07773</v>
        <stp/>
        <stp>nse_cm|935PEL33-N3</stp>
        <stp>Isin code</stp>
        <tr r="R1375" s="1"/>
      </tp>
      <tp>
        <v>0</v>
        <stp/>
        <stp>bse_cm|JMFPZC25</stp>
        <stp>Ask Qty</stp>
        <tr r="G1324" s="1"/>
      </tp>
      <tp>
        <v>0</v>
        <stp/>
        <stp>bse_cm|JMFPZC26</stp>
        <stp>Ask Qty</stp>
        <tr r="G1323" s="1"/>
      </tp>
      <tp>
        <v>10</v>
        <stp/>
        <stp>bse_cm|MMFLZC25</stp>
        <stp>Ask Qty</stp>
        <tr r="G1731" s="1"/>
      </tp>
      <tp>
        <v>0</v>
        <stp/>
        <stp>bse_cm|MMFLZC27</stp>
        <stp>Ask Qty</stp>
        <tr r="G1462" s="1"/>
      </tp>
      <tp>
        <v>0</v>
        <stp/>
        <stp>bse_cm|MMFLZC26</stp>
        <stp>Ask Qty</stp>
        <tr r="G1261" s="1"/>
      </tp>
      <tp>
        <v>0</v>
        <stp/>
        <stp>bse_cm|MMFLZC28</stp>
        <stp>Ask Qty</stp>
        <tr r="G1259" s="1"/>
      </tp>
      <tp t="s">
        <v/>
        <stp/>
        <stp>nse_cm|1015SCL29-ZL</stp>
        <stp>LTT</stp>
        <tr r="I1176" s="1"/>
      </tp>
      <tp>
        <v>0</v>
        <stp/>
        <stp>nse_cm|1025SCL33-YJ</stp>
        <stp>LTP</stp>
        <tr r="H836" s="1"/>
      </tp>
      <tp>
        <v>0</v>
        <stp/>
        <stp>nse_cm|1015SCL29-ZL</stp>
        <stp>LTP</stp>
        <tr r="H1176" s="1"/>
      </tp>
      <tp t="s">
        <v/>
        <stp/>
        <stp>nse_cm|1025SCL33-YJ</stp>
        <stp>LTT</stp>
        <tr r="I836" s="1"/>
      </tp>
      <tp t="s">
        <v>INE148I07QB3</v>
        <stp/>
        <stp>bse_cm|SCLZC26C</stp>
        <stp>Isin code</stp>
        <tr r="R1399" s="1"/>
      </tp>
      <tp t="s">
        <v>INE148I07QJ6</v>
        <stp/>
        <stp>bse_cm|SCLZC25C</stp>
        <stp>Isin code</stp>
        <tr r="R1231" s="1"/>
      </tp>
      <tp>
        <v>1241.0999999999999</v>
        <stp/>
        <stp>nse_cm|866NTPC33-N3</stp>
        <stp>Bid Rate</stp>
        <tr r="E555" s="1"/>
      </tp>
      <tp>
        <v>-100</v>
        <stp/>
        <stp>bse_cm|10NIDO33</stp>
        <stp>% Change</stp>
        <tr r="J1447" s="1"/>
      </tp>
      <tp t="s">
        <v/>
        <stp/>
        <stp>nse_cm|1003SCL31-ZQ</stp>
        <stp>LTT</stp>
        <tr r="I688" s="1"/>
      </tp>
      <tp>
        <v>0</v>
        <stp/>
        <stp>nse_cm|1003SCL31-ZQ</stp>
        <stp>LTP</stp>
        <tr r="H688" s="1"/>
      </tp>
      <tp>
        <v>-</v>
        <stp/>
        <stp>bse_cm|76NHAI31</stp>
        <stp>% Change</stp>
        <tr r="J478" s="1"/>
      </tp>
      <tp>
        <v>24</v>
        <stp/>
        <stp>bse_cm|916EFSL26</stp>
        <stp>Volume Traded Today</stp>
        <tr r="L69" s="1"/>
      </tp>
      <tp t="s">
        <v/>
        <stp/>
        <stp>nse_cm|950IIFL27-Y2</stp>
        <stp>LTT</stp>
        <tr r="I995" s="1"/>
      </tp>
      <tp>
        <v>0</v>
        <stp/>
        <stp>nse_cm|950IIFL27-Y2</stp>
        <stp>LTP</stp>
        <tr r="H995" s="1"/>
      </tp>
      <tp>
        <v>1028.2</v>
        <stp/>
        <stp>bse_cm|935MOFSL29</stp>
        <stp>Bid Rate</stp>
        <tr r="E1602" s="1"/>
      </tp>
      <tp>
        <v>0</v>
        <stp/>
        <stp>nse_cm|850SCFL25-Y4</stp>
        <stp>LTP</stp>
        <tr r="H924" s="1"/>
      </tp>
      <tp t="s">
        <v/>
        <stp/>
        <stp>nse_cm|850SCFL25-Y4</stp>
        <stp>LTT</stp>
        <tr r="I924" s="1"/>
      </tp>
      <tp>
        <v>960</v>
        <stp/>
        <stp>nse_cm|1025SCL34-Z8</stp>
        <stp>LTP</stp>
        <tr r="H128" s="1"/>
      </tp>
      <tp t="s">
        <v/>
        <stp/>
        <stp>nse_cm|1025SCL34-Z8</stp>
        <stp>LTT</stp>
        <tr r="I128" s="1"/>
      </tp>
      <tp>
        <v>985.79</v>
        <stp/>
        <stp>nse_cm|SCL310524-ZF</stp>
        <stp>LTP</stp>
        <tr r="H593" s="1"/>
      </tp>
      <tp t="s">
        <v>11:11:34</v>
        <stp/>
        <stp>nse_cm|SCL310524-ZF</stp>
        <stp>LTT</stp>
        <tr r="I593" s="1"/>
      </tp>
      <tp t="s">
        <v/>
        <stp/>
        <stp>nse_cm|1050SCL31-ZP</stp>
        <stp>LTT</stp>
        <tr r="I891" s="1"/>
      </tp>
      <tp>
        <v>0</v>
        <stp/>
        <stp>nse_cm|1050SCL31-ZP</stp>
        <stp>LTP</stp>
        <tr r="H891" s="1"/>
      </tp>
      <tp>
        <v>972.3</v>
        <stp/>
        <stp>nse_cm|1075SCL33-YK</stp>
        <stp>LTP</stp>
        <tr r="H707" s="1"/>
      </tp>
      <tp t="s">
        <v/>
        <stp/>
        <stp>nse_cm|1075SCL33-YK</stp>
        <stp>LTT</stp>
        <tr r="I707" s="1"/>
      </tp>
      <tp>
        <v>975</v>
        <stp/>
        <stp>nse_cm|1075SCL34-ZR</stp>
        <stp>LTP</stp>
        <tr r="H1366" s="1"/>
      </tp>
      <tp t="s">
        <v/>
        <stp/>
        <stp>nse_cm|1075SCL34-ZR</stp>
        <stp>LTT</stp>
        <tr r="I1366" s="1"/>
      </tp>
      <tp t="s">
        <v>CIFCZC28</v>
        <stp/>
        <stp>nse_cm|CIFCZC28-NH</stp>
        <stp>Symbol</stp>
        <tr r="A1607" s="1"/>
      </tp>
      <tp>
        <v>0</v>
        <stp/>
        <stp>nse_cm|894SCL25A-ZI</stp>
        <stp xml:space="preserve">Low </stp>
        <tr r="O963" s="1"/>
      </tp>
      <tp>
        <v>1055</v>
        <stp/>
        <stp>bse_cm|729NABAR26</stp>
        <stp>Bid Rate</stp>
        <tr r="E540" s="1"/>
      </tp>
      <tp>
        <v>1059.99</v>
        <stp/>
        <stp>nse_cm|734IRFC28-N4</stp>
        <stp>Prev Close</stp>
        <tr r="P455" s="1"/>
      </tp>
      <tp>
        <v>0</v>
        <stp/>
        <stp>bse_cm|905NIDO25</stp>
        <stp>Volume Traded Today</stp>
        <tr r="L60" s="1"/>
      </tp>
      <tp>
        <v>5</v>
        <stp/>
        <stp>bse_cm|915NIDO27</stp>
        <stp>Volume Traded Today</stp>
        <tr r="L59" s="1"/>
      </tp>
      <tp>
        <v>210</v>
        <stp/>
        <stp>bse_cm|955NIDO27</stp>
        <stp>Volume Traded Today</stp>
        <tr r="L51" s="1"/>
      </tp>
      <tp>
        <v>24820</v>
        <stp/>
        <stp>bse_cm|849NTPC25</stp>
        <stp>Volume Traded Today</stp>
        <tr r="L443" s="1"/>
      </tp>
      <tp>
        <v>500</v>
        <stp/>
        <stp>bse_cm|916NWIL27</stp>
        <stp>Volume Traded Today</stp>
        <tr r="L209" s="1"/>
      </tp>
      <tp>
        <v>0</v>
        <stp/>
        <stp>nse_cm|990SCL26I-AV</stp>
        <stp>Open</stp>
        <tr r="M1368" s="1"/>
      </tp>
      <tp>
        <v>-100</v>
        <stp/>
        <stp>bse_cm|0MOFSL27</stp>
        <stp>% Change</stp>
        <tr r="J1039" s="1"/>
      </tp>
      <tp>
        <v>1049.01</v>
        <stp/>
        <stp>bse_cm|704NABAR26</stp>
        <stp>Bid Rate</stp>
        <tr r="E1702" s="1"/>
      </tp>
      <tp>
        <v>0</v>
        <stp/>
        <stp>nse_cm|940SCL26C-AU</stp>
        <stp>Open</stp>
        <tr r="M793" s="1"/>
      </tp>
      <tp>
        <v>0</v>
        <stp/>
        <stp>nse_cm|950SCL23A-AP</stp>
        <stp>Open</stp>
        <tr r="M1145" s="1"/>
      </tp>
      <tp>
        <v>0</v>
        <stp/>
        <stp>nse_cm|889SCFL27-YC</stp>
        <stp>ATP</stp>
        <tr r="K595" s="1"/>
      </tp>
      <tp>
        <v>-100</v>
        <stp/>
        <stp>bse_cm|0MOFSL26</stp>
        <stp>% Change</stp>
        <tr r="J1645" s="1"/>
      </tp>
      <tp>
        <v>0</v>
        <stp/>
        <stp>bse_cm|MFCL16924</stp>
        <stp>Volume Traded Today</stp>
        <tr r="L579" s="1"/>
      </tp>
      <tp t="s">
        <v>00:00:00</v>
        <stp/>
        <stp>bse_cm|1035UCL24</stp>
        <stp>LTT</stp>
        <tr r="I1580" s="1"/>
      </tp>
      <tp t="s">
        <v>11:06:36</v>
        <stp/>
        <stp>bse_cm|1035UCL26</stp>
        <stp>LTT</stp>
        <tr r="I1626" s="1"/>
      </tp>
      <tp>
        <v>0</v>
        <stp/>
        <stp>bse_cm|1035UCL24</stp>
        <stp>LTP</stp>
        <tr r="H1580" s="1"/>
      </tp>
      <tp>
        <v>899</v>
        <stp/>
        <stp>bse_cm|1035UCL26</stp>
        <stp>LTP</stp>
        <tr r="H1626" s="1"/>
      </tp>
      <tp>
        <v>0</v>
        <stp/>
        <stp>bse_cm|1125KLM26</stp>
        <stp>LTP</stp>
        <tr r="H1227" s="1"/>
      </tp>
      <tp t="s">
        <v>00:00:00</v>
        <stp/>
        <stp>bse_cm|1125KLM26</stp>
        <stp>LTT</stp>
        <tr r="I1227" s="1"/>
      </tp>
      <tp t="s">
        <v>NSE</v>
        <stp/>
        <stp>nse_cm|820SCFL25-Y7</stp>
        <stp>Exchange</stp>
        <tr r="C926" s="1"/>
      </tp>
      <tp>
        <v>0</v>
        <stp/>
        <stp>bse_cm|966IFSL25</stp>
        <stp>Volume Traded Today</stp>
        <tr r="L1051" s="1"/>
      </tp>
      <tp t="s">
        <v>NSE</v>
        <stp/>
        <stp>nse_cm|850SCFL25-Y4</stp>
        <stp>Exchange</stp>
        <tr r="C924" s="1"/>
      </tp>
      <tp>
        <v>0</v>
        <stp/>
        <stp>bse_cm|739HUDC31</stp>
        <stp>Volume Traded Today</stp>
        <tr r="L1347" s="1"/>
      </tp>
      <tp>
        <v>0</v>
        <stp/>
        <stp>bse_cm|729IRFC26</stp>
        <stp>Volume Traded Today</stp>
        <tr r="L367" s="1"/>
      </tp>
      <tp>
        <v>1060</v>
        <stp/>
        <stp>nse_cm|1090NFL26-NB</stp>
        <stp>Bid Rate</stp>
        <tr r="E636" s="1"/>
      </tp>
      <tp>
        <v>0</v>
        <stp/>
        <stp>nse_cm|985IIFL22-NC</stp>
        <stp>ATP</stp>
        <tr r="K114" s="1"/>
      </tp>
      <tp>
        <v>980</v>
        <stp/>
        <stp>nse_cm|1050UCL25-N7</stp>
        <stp>LTP</stp>
        <tr r="H201" s="1"/>
      </tp>
      <tp t="s">
        <v>11:16:11</v>
        <stp/>
        <stp>nse_cm|1050UCL25-N7</stp>
        <stp>LTT</stp>
        <tr r="I201" s="1"/>
      </tp>
      <tp t="s">
        <v/>
        <stp/>
        <stp>nse_cm|945CAGL24-N1</stp>
        <stp>LTT</stp>
        <tr r="I1704" s="1"/>
      </tp>
      <tp>
        <v>998</v>
        <stp/>
        <stp>nse_cm|945CAGL24-N1</stp>
        <stp>LTP</stp>
        <tr r="H1704" s="1"/>
      </tp>
      <tp>
        <v>0</v>
        <stp/>
        <stp>nse_cm|1050SCL30-NU</stp>
        <stp>LTP</stp>
        <tr r="H893" s="1"/>
      </tp>
      <tp t="s">
        <v/>
        <stp/>
        <stp>nse_cm|1050SCL30-NU</stp>
        <stp>LTT</stp>
        <tr r="I893" s="1"/>
      </tp>
      <tp>
        <v>995</v>
        <stp/>
        <stp>nse_cm|1040UCL25-N4</stp>
        <stp>LTP</stp>
        <tr r="H669" s="1"/>
      </tp>
      <tp t="s">
        <v/>
        <stp/>
        <stp>nse_cm|1040UCL25-N4</stp>
        <stp>LTT</stp>
        <tr r="I669" s="1"/>
      </tp>
      <tp>
        <v>1059</v>
        <stp/>
        <stp>nse_cm|SCL25B-BI</stp>
        <stp>Prev Close</stp>
        <tr r="P1403" s="1"/>
      </tp>
      <tp>
        <v>1060</v>
        <stp/>
        <stp>nse_cm|1075UCL25-N9</stp>
        <stp>LTP</stp>
        <tr r="H498" s="1"/>
      </tp>
      <tp>
        <v>0</v>
        <stp/>
        <stp>nse_cm|888IRFC29-NE</stp>
        <stp>ATP</stp>
        <tr r="K508" s="1"/>
      </tp>
      <tp t="s">
        <v/>
        <stp/>
        <stp>nse_cm|1075UCL25-N9</stp>
        <stp>LTT</stp>
        <tr r="I498" s="1"/>
      </tp>
      <tp t="s">
        <v/>
        <stp/>
        <stp>nse_cm|957ISFL26-N2</stp>
        <stp>LTT</stp>
        <tr r="I245" s="1"/>
      </tp>
      <tp>
        <v>971</v>
        <stp/>
        <stp>nse_cm|957ISFL26-N2</stp>
        <stp>LTP</stp>
        <tr r="H245" s="1"/>
      </tp>
      <tp t="s">
        <v>NSE</v>
        <stp/>
        <stp>nse_cm|950IIFL27-Y2</stp>
        <stp>Exchange</stp>
        <tr r="C995" s="1"/>
      </tp>
      <tp t="s">
        <v>09:33:15</v>
        <stp/>
        <stp>nse_cm|1060ECL29-NS</stp>
        <stp>LTT</stp>
        <tr r="I144" s="1"/>
      </tp>
      <tp>
        <v>1035</v>
        <stp/>
        <stp>nse_cm|1060ECL29-NS</stp>
        <stp>LTP</stp>
        <tr r="H144" s="1"/>
      </tp>
      <tp>
        <v>0</v>
        <stp/>
        <stp>nse_cm|1075SCL34-ZR</stp>
        <stp>Ask Rate</stp>
        <tr r="F1366" s="1"/>
      </tp>
      <tp>
        <v>0</v>
        <stp/>
        <stp>bse_cm|866SCFL25</stp>
        <stp>Volume Traded Today</stp>
        <tr r="L342" s="1"/>
      </tp>
      <tp>
        <v>980.1</v>
        <stp/>
        <stp>nse_cm|1015ECL29-NR</stp>
        <stp>LTP</stp>
        <tr r="H204" s="1"/>
      </tp>
      <tp>
        <v>0</v>
        <stp/>
        <stp>nse_cm|980SCL33B-YL</stp>
        <stp>High</stp>
        <tr r="N837" s="1"/>
      </tp>
      <tp>
        <v>1015</v>
        <stp/>
        <stp>nse_cm|1015SCL28-NR</stp>
        <stp>LTP</stp>
        <tr r="H288" s="1"/>
      </tp>
      <tp t="s">
        <v/>
        <stp/>
        <stp>nse_cm|1015ECL29-NR</stp>
        <stp>LTT</stp>
        <tr r="I204" s="1"/>
      </tp>
      <tp t="s">
        <v/>
        <stp/>
        <stp>nse_cm|1015SCL28-NR</stp>
        <stp>LTT</stp>
        <tr r="I288" s="1"/>
      </tp>
      <tp t="s">
        <v/>
        <stp/>
        <stp>nse_cm|850IIFL27-NA</stp>
        <stp>LTT</stp>
        <tr r="I608" s="1"/>
      </tp>
      <tp>
        <v>991</v>
        <stp/>
        <stp>nse_cm|850IIFL27-NA</stp>
        <stp>LTP</stp>
        <tr r="H608" s="1"/>
      </tp>
      <tp t="s">
        <v/>
        <stp/>
        <stp>nse_cm|940CAGL27-NB</stp>
        <stp>LTT</stp>
        <tr r="I1367" s="1"/>
      </tp>
      <tp>
        <v>1005</v>
        <stp/>
        <stp>nse_cm|940CAGL27-NB</stp>
        <stp>LTP</stp>
        <tr r="H1367" s="1"/>
      </tp>
      <tp>
        <v>0</v>
        <stp/>
        <stp>nse_cm|902SCL27A-ZI</stp>
        <stp>High</stp>
        <tr r="N1353" s="1"/>
      </tp>
      <tp>
        <v>0</v>
        <stp/>
        <stp>nse_cm|920SCL23A-AO</stp>
        <stp>Open</stp>
        <tr r="M1113" s="1"/>
      </tp>
      <tp>
        <v>990</v>
        <stp/>
        <stp>bse_cm|EFSL27A</stp>
        <stp xml:space="preserve">Low </stp>
        <tr r="O1649" s="1"/>
      </tp>
      <tp t="s">
        <v/>
        <stp/>
        <stp>nse_cm|1035UCL24-N6</stp>
        <stp>LTT</stp>
        <tr r="I591" s="1"/>
      </tp>
      <tp>
        <v>995</v>
        <stp/>
        <stp>nse_cm|1035UCL24-N6</stp>
        <stp>LTP</stp>
        <tr r="H591" s="1"/>
      </tp>
      <tp>
        <v>1000</v>
        <stp/>
        <stp>nse_cm|892PFCL33-N8</stp>
        <stp>Face Value</stp>
        <tr r="Q530" s="1"/>
      </tp>
      <tp>
        <v>900</v>
        <stp/>
        <stp>nse_cm|1035UCL26-NA</stp>
        <stp>LTP</stp>
        <tr r="H1627" s="1"/>
      </tp>
      <tp t="s">
        <v/>
        <stp/>
        <stp>nse_cm|1035UCL26-NA</stp>
        <stp>LTT</stp>
        <tr r="I1627" s="1"/>
      </tp>
      <tp>
        <v>997</v>
        <stp/>
        <stp>nse_cm|1025UCL25-N8</stp>
        <stp>LTP</stp>
        <tr r="H217" s="1"/>
      </tp>
      <tp t="s">
        <v/>
        <stp/>
        <stp>nse_cm|1025UCL25-N8</stp>
        <stp>LTT</stp>
        <tr r="I217" s="1"/>
      </tp>
      <tp>
        <v>840</v>
        <stp/>
        <stp>nse_cm|990SCL26D-AH</stp>
        <stp>Open</stp>
        <tr r="M1556" s="1"/>
      </tp>
      <tp>
        <v>0</v>
        <stp/>
        <stp>nse_cm|971SCL28B-YD</stp>
        <stp>High</stp>
        <tr r="N828" s="1"/>
      </tp>
      <tp>
        <v>1000</v>
        <stp/>
        <stp>nse_cm|925SCFL27-YA</stp>
        <stp>Face Value</stp>
        <tr r="Q113" s="1"/>
      </tp>
      <tp t="s">
        <v>INE403Q07EC9</v>
        <stp/>
        <stp>bse_cm|KFLZC28C</stp>
        <stp>Isin code</stp>
        <tr r="R1287" s="1"/>
      </tp>
      <tp t="s">
        <v>INE403Q07BZ6</v>
        <stp/>
        <stp>bse_cm|KFLZC26C</stp>
        <stp>Isin code</stp>
        <tr r="R1744" s="1"/>
      </tp>
      <tp t="s">
        <v>INE403Q07CC3</v>
        <stp/>
        <stp>bse_cm|KFLZC25C</stp>
        <stp>Isin code</stp>
        <tr r="R1295" s="1"/>
      </tp>
      <tp>
        <v>1000</v>
        <stp/>
        <stp>nse_cm|867PFCL33-N7</stp>
        <stp>Face Value</stp>
        <tr r="Q550" s="1"/>
      </tp>
      <tp t="s">
        <v/>
        <stp/>
        <stp>nse_cm|1030ICC26-NJ</stp>
        <stp>LTT</stp>
        <tr r="I1514" s="1"/>
      </tp>
      <tp>
        <v>1115.71</v>
        <stp/>
        <stp>nse_cm|1030ICC26-NJ</stp>
        <stp>LTP</stp>
        <tr r="H1514" s="1"/>
      </tp>
      <tp>
        <v>0</v>
        <stp/>
        <stp>nse_cm|1003SCL30-BW</stp>
        <stp>LTP</stp>
        <tr r="H876" s="1"/>
      </tp>
      <tp t="s">
        <v/>
        <stp/>
        <stp>nse_cm|1003SCL30-BW</stp>
        <stp>LTT</stp>
        <tr r="I876" s="1"/>
      </tp>
      <tp t="s">
        <v>15:08:26</v>
        <stp/>
        <stp>nse_cm|750IRFC35-NK</stp>
        <stp>LTT</stp>
        <tr r="I485" s="1"/>
      </tp>
      <tp>
        <v>1170</v>
        <stp/>
        <stp>nse_cm|750IRFC35-NK</stp>
        <stp>LTP</stp>
        <tr r="H485" s="1"/>
      </tp>
      <tp>
        <v>1000</v>
        <stp/>
        <stp>nse_cm|910CAGL25-N7</stp>
        <stp>Face Value</stp>
        <tr r="Q622" s="1"/>
      </tp>
      <tp>
        <v>-100</v>
        <stp/>
        <stp>bse_cm|98NWFL30</stp>
        <stp>% Change</stp>
        <tr r="J231" s="1"/>
      </tp>
      <tp>
        <v>1000</v>
        <stp/>
        <stp>nse_cm|960CAGL25-N3</stp>
        <stp>Face Value</stp>
        <tr r="Q305" s="1"/>
      </tp>
      <tp>
        <v>907.18</v>
        <stp/>
        <stp>nse_cm|888ERFL28-N5</stp>
        <stp>ATP</stp>
        <tr r="K63" s="1"/>
      </tp>
      <tp t="s">
        <v>INE549K08194</v>
        <stp/>
        <stp>bse_cm|MFLZC27C</stp>
        <stp>Isin code</stp>
        <tr r="R1411" s="1"/>
      </tp>
      <tp t="s">
        <v>INE549K07AE6</v>
        <stp/>
        <stp>bse_cm|MFLZC26C</stp>
        <stp>Isin code</stp>
        <tr r="R1350" s="1"/>
      </tp>
      <tp t="s">
        <v>INE549K07BF1</v>
        <stp/>
        <stp>bse_cm|MFLZC25C</stp>
        <stp>Isin code</stp>
        <tr r="R1579" s="1"/>
      </tp>
      <tp t="s">
        <v>INE414G07EB9</v>
        <stp/>
        <stp>bse_cm|MFLZC24C</stp>
        <stp>Isin code</stp>
        <tr r="R1551" s="1"/>
      </tp>
      <tp>
        <v>1000</v>
        <stp/>
        <stp>nse_cm|1015ECL29-NR</stp>
        <stp>Face Value</stp>
        <tr r="Q204" s="1"/>
      </tp>
      <tp>
        <v>1000</v>
        <stp/>
        <stp>nse_cm|1060ECL29-NS</stp>
        <stp>Face Value</stp>
        <tr r="Q144" s="1"/>
      </tp>
      <tp>
        <v>930</v>
        <stp/>
        <stp>nse_cm|980SCL33D-YG</stp>
        <stp>High</stp>
        <tr r="N830" s="1"/>
      </tp>
      <tp>
        <v>0</v>
        <stp/>
        <stp>nse_cm|925SCL25C-AR</stp>
        <stp>ATP</stp>
        <tr r="K249" s="1"/>
      </tp>
      <tp t="s">
        <v>975NFL25</v>
        <stp/>
        <stp>nse_cm|975NFL25-N0</stp>
        <stp>Symbol</stp>
        <tr r="A256" s="1"/>
      </tp>
      <tp>
        <v>0</v>
        <stp/>
        <stp>nse_cm|925SCL28I-BA</stp>
        <stp>ATP</stp>
        <tr r="K821" s="1"/>
      </tp>
      <tp>
        <v>0</v>
        <stp/>
        <stp>nse_cm|925SCL25F-BD</stp>
        <stp>ATP</stp>
        <tr r="K718" s="1"/>
      </tp>
      <tp>
        <v>0</v>
        <stp/>
        <stp>nse_cm|925SCL28C-BS</stp>
        <stp>ATP</stp>
        <tr r="K823" s="1"/>
      </tp>
      <tp>
        <v>0</v>
        <stp/>
        <stp>nse_cm|1090NFL26-NB</stp>
        <stp>Volume Traded Today</stp>
        <tr r="L636" s="1"/>
      </tp>
      <tp>
        <v>0</v>
        <stp/>
        <stp>nse_cm|920SCL23A-AO</stp>
        <stp>ATP</stp>
        <tr r="K1113" s="1"/>
      </tp>
      <tp>
        <v>987.57</v>
        <stp/>
        <stp>bse_cm|9EFSL26</stp>
        <stp>High</stp>
        <tr r="N581" s="1"/>
      </tp>
      <tp t="s">
        <v>92ICCL28</v>
        <stp/>
        <stp>nse_cm|92ICCL28-ND</stp>
        <stp>Symbol</stp>
        <tr r="A203" s="1"/>
      </tp>
      <tp>
        <v>1057.8</v>
        <stp/>
        <stp>bse_cm|9EFSL25</stp>
        <stp>High</stp>
        <tr r="N606" s="1"/>
      </tp>
      <tp t="s">
        <v>BSE</v>
        <stp/>
        <stp>bse_cm|1015SCL28A</stp>
        <stp>Exchange</stp>
        <tr r="C1386" s="1"/>
      </tp>
      <tp t="s">
        <v>00:00:00</v>
        <stp/>
        <stp>bse_cm|683PFCL31</stp>
        <stp>LTT</stp>
        <tr r="I449" s="1"/>
      </tp>
      <tp t="s">
        <v>00:00:00</v>
        <stp/>
        <stp>bse_cm|663PFCL31</stp>
        <stp>LTT</stp>
        <tr r="I1208" s="1"/>
      </tp>
      <tp t="s">
        <v>00:00:00</v>
        <stp/>
        <stp>bse_cm|753PFCL33</stp>
        <stp>LTT</stp>
        <tr r="I426" s="1"/>
      </tp>
      <tp>
        <v>0</v>
        <stp/>
        <stp>bse_cm|683PFCL31</stp>
        <stp>LTP</stp>
        <tr r="H449" s="1"/>
      </tp>
      <tp>
        <v>0</v>
        <stp/>
        <stp>bse_cm|663PFCL31</stp>
        <stp>LTP</stp>
        <tr r="H1208" s="1"/>
      </tp>
      <tp>
        <v>0</v>
        <stp/>
        <stp>bse_cm|753PFCL33</stp>
        <stp>LTP</stp>
        <tr r="H426" s="1"/>
      </tp>
      <tp>
        <v>0</v>
        <stp/>
        <stp>nse_cm|1025NFL25-N5</stp>
        <stp>Volume Traded Today</stp>
        <tr r="L1488" s="1"/>
      </tp>
      <tp>
        <v>0</v>
        <stp/>
        <stp>bse_cm|843SCFL27</stp>
        <stp>LTP</stp>
        <tr r="H1074" s="1"/>
      </tp>
      <tp t="s">
        <v>00:00:00</v>
        <stp/>
        <stp>bse_cm|843SCFL27</stp>
        <stp>LTT</stp>
        <tr r="I1074" s="1"/>
      </tp>
      <tp t="s">
        <v>BSE</v>
        <stp/>
        <stp>bse_cm|1015SCL28B</stp>
        <stp>Exchange</stp>
        <tr r="C1178" s="1"/>
      </tp>
      <tp>
        <v>6</v>
        <stp/>
        <stp>nse_cm|875NHAI29-N6</stp>
        <stp>Volume Traded Today</stp>
        <tr r="L495" s="1"/>
      </tp>
      <tp>
        <v>-100</v>
        <stp/>
        <stp>bse_cm|MFLVI31F</stp>
        <stp>% Change</stp>
        <tr r="J354" s="1"/>
      </tp>
      <tp>
        <v>0</v>
        <stp/>
        <stp>nse_cm|910CAGL25-N7</stp>
        <stp>Volume Traded Today</stp>
        <tr r="L622" s="1"/>
      </tp>
      <tp>
        <v>0</v>
        <stp/>
        <stp>nse_cm|1075NFL25-N6</stp>
        <stp>Volume Traded Today</stp>
        <tr r="L1438" s="1"/>
      </tp>
      <tp>
        <v>0</v>
        <stp/>
        <stp>nse_cm|957ICCL28-NW</stp>
        <stp>Volume Traded Today</stp>
        <tr r="L762" s="1"/>
      </tp>
      <tp>
        <v>232</v>
        <stp/>
        <stp>nse_cm|1065NFL27-NC</stp>
        <stp>Volume Traded Today</stp>
        <tr r="L170" s="1"/>
      </tp>
      <tp>
        <v>0</v>
        <stp/>
        <stp>nse_cm|925SCL25A-NH</stp>
        <stp>ATP</stp>
        <tr r="K715" s="1"/>
      </tp>
      <tp>
        <v>0</v>
        <stp/>
        <stp>nse_cm|925SCL25Z-NE</stp>
        <stp>ATP</stp>
        <tr r="K914" s="1"/>
      </tp>
      <tp>
        <v>0</v>
        <stp/>
        <stp>nse_cm|925SCL25G-NY</stp>
        <stp>ATP</stp>
        <tr r="K887" s="1"/>
      </tp>
      <tp>
        <v>0</v>
        <stp/>
        <stp>nse_cm|925SCL28A-NS</stp>
        <stp>ATP</stp>
        <tr r="K895" s="1"/>
      </tp>
      <tp>
        <v>75</v>
        <stp/>
        <stp>nse_cm|105IIFL29-N7</stp>
        <stp>Volume Traded Today</stp>
        <tr r="L270" s="1"/>
      </tp>
      <tp>
        <v>0</v>
        <stp/>
        <stp>nse_cm|805ABFL28-N2</stp>
        <stp>Volume Traded Today</stp>
        <tr r="L477" s="1"/>
      </tp>
      <tp>
        <v>0</v>
        <stp/>
        <stp>nse_cm|1050NFL26-N7</stp>
        <stp>Volume Traded Today</stp>
        <tr r="L259" s="1"/>
      </tp>
      <tp t="s">
        <v>84TCHF28</v>
        <stp/>
        <stp>nse_cm|84TCHF28-NA</stp>
        <stp>Symbol</stp>
        <tr r="A402" s="1"/>
      </tp>
      <tp t="s">
        <v>83TCHF28</v>
        <stp/>
        <stp>nse_cm|83TCHF28-N9</stp>
        <stp>Symbol</stp>
        <tr r="A831" s="1"/>
      </tp>
      <tp t="s">
        <v>81TCHF28</v>
        <stp/>
        <stp>nse_cm|81TCHF28-N8</stp>
        <stp>Symbol</stp>
        <tr r="A467" s="1"/>
      </tp>
      <tp>
        <v>0</v>
        <stp/>
        <stp>nse_cm|1040NFL26-NA</stp>
        <stp>Volume Traded Today</stp>
        <tr r="L678" s="1"/>
      </tp>
      <tp t="s">
        <v>00:00:00</v>
        <stp/>
        <stp>bse_cm|843IHFL29</stp>
        <stp>LTT</stp>
        <tr r="I139" s="1"/>
      </tp>
      <tp>
        <v>0</v>
        <stp/>
        <stp>bse_cm|843IHFL29</stp>
        <stp>LTP</stp>
        <tr r="H139" s="1"/>
      </tp>
      <tp t="s">
        <v>885LTF27</v>
        <stp/>
        <stp>nse_cm|885LTF27-NE</stp>
        <stp>Symbol</stp>
        <tr r="A1007" s="1"/>
      </tp>
      <tp t="s">
        <v>852LTF27</v>
        <stp/>
        <stp>nse_cm|852LTF27-NG</stp>
        <stp>Symbol</stp>
        <tr r="A1006" s="1"/>
      </tp>
      <tp t="s">
        <v>824LTF27</v>
        <stp/>
        <stp>nse_cm|824LTF27-NQ</stp>
        <stp>Symbol</stp>
        <tr r="A999" s="1"/>
      </tp>
      <tp t="s">
        <v>815LTF27</v>
        <stp/>
        <stp>nse_cm|815LTF27-NO</stp>
        <stp>Symbol</stp>
        <tr r="A1001" s="1"/>
      </tp>
      <tp>
        <v>0</v>
        <stp/>
        <stp>bse_cm|1065NFL27</stp>
        <stp>Volume Traded Today</stp>
        <tr r="L182" s="1"/>
      </tp>
      <tp>
        <v>0</v>
        <stp/>
        <stp>bse_cm|1075KLM27</stp>
        <stp>Volume Traded Today</stp>
        <tr r="L1117" s="1"/>
      </tp>
      <tp>
        <v>0</v>
        <stp/>
        <stp>bse_cm|1175KLM25</stp>
        <stp>Volume Traded Today</stp>
        <tr r="L1691" s="1"/>
      </tp>
      <tp t="s">
        <v>905LTF27</v>
        <stp/>
        <stp>nse_cm|905LTF27-NF</stp>
        <stp>Symbol</stp>
        <tr r="A393" s="1"/>
      </tp>
      <tp>
        <v>15</v>
        <stp/>
        <stp>nse_cm|901NHB34-N6</stp>
        <stp>Bid Qty</stp>
        <tr r="D520" s="1"/>
      </tp>
      <tp>
        <v>30</v>
        <stp/>
        <stp>nse_cm|78ABFL33-N4</stp>
        <stp>Bid Qty</stp>
        <tr r="D371" s="1"/>
      </tp>
      <tp>
        <v>0</v>
        <stp/>
        <stp>nse_cm|85PCHFL26-N7</stp>
        <stp>LTP</stp>
        <tr r="H712" s="1"/>
      </tp>
      <tp t="s">
        <v/>
        <stp/>
        <stp>nse_cm|85PCHFL26-N7</stp>
        <stp>LTT</stp>
        <tr r="I712" s="1"/>
      </tp>
      <tp>
        <v>0</v>
        <stp/>
        <stp>bse_cm|953NWIL32</stp>
        <stp>LTP</stp>
        <tr r="H226" s="1"/>
      </tp>
      <tp t="s">
        <v>00:00:00</v>
        <stp/>
        <stp>bse_cm|953NWIL32</stp>
        <stp>LTT</stp>
        <tr r="I226" s="1"/>
      </tp>
      <tp t="s">
        <v>00:00:00</v>
        <stp/>
        <stp>bse_cm|930NIDO32</stp>
        <stp>LTT</stp>
        <tr r="I76" s="1"/>
      </tp>
      <tp t="s">
        <v>00:00:00</v>
        <stp/>
        <stp>bse_cm|970NIDO32</stp>
        <stp>LTT</stp>
        <tr r="I67" s="1"/>
      </tp>
      <tp>
        <v>0</v>
        <stp/>
        <stp>bse_cm|930NIDO32</stp>
        <stp>LTP</stp>
        <tr r="H76" s="1"/>
      </tp>
      <tp>
        <v>0</v>
        <stp/>
        <stp>bse_cm|970NIDO32</stp>
        <stp>LTP</stp>
        <tr r="H67" s="1"/>
      </tp>
      <tp>
        <v>0</v>
        <stp/>
        <stp>bse_cm|CCI110324</stp>
        <stp>Volume Traded Today</stp>
        <tr r="L755" s="1"/>
      </tp>
      <tp>
        <v>980.5</v>
        <stp/>
        <stp>bse_cm|870NIDO25</stp>
        <stp>LTP</stp>
        <tr r="H86" s="1"/>
      </tp>
      <tp>
        <v>0</v>
        <stp/>
        <stp>bse_cm|920NIDO26</stp>
        <stp>LTP</stp>
        <tr r="H166" s="1"/>
      </tp>
      <tp>
        <v>0</v>
        <stp/>
        <stp>bse_cm|960NIDO26</stp>
        <stp>LTP</stp>
        <tr r="H870" s="1"/>
      </tp>
      <tp t="s">
        <v>15:07:34</v>
        <stp/>
        <stp>bse_cm|870NIDO25</stp>
        <stp>LTT</stp>
        <tr r="I86" s="1"/>
      </tp>
      <tp t="s">
        <v>00:00:00</v>
        <stp/>
        <stp>bse_cm|920NIDO26</stp>
        <stp>LTT</stp>
        <tr r="I166" s="1"/>
      </tp>
      <tp t="s">
        <v>00:00:00</v>
        <stp/>
        <stp>bse_cm|960NIDO26</stp>
        <stp>LTT</stp>
        <tr r="I870" s="1"/>
      </tp>
      <tp>
        <v>0</v>
        <stp/>
        <stp>bse_cm|1060MML26</stp>
        <stp>Volume Traded Today</stp>
        <tr r="L1218" s="1"/>
      </tp>
      <tp>
        <v>125</v>
        <stp/>
        <stp>bse_cm|1060ECL29</stp>
        <stp>Volume Traded Today</stp>
        <tr r="L272" s="1"/>
      </tp>
      <tp>
        <v>0</v>
        <stp/>
        <stp>nse_cm|925SCL26A-YN</stp>
        <stp>ATP</stp>
        <tr r="K838" s="1"/>
      </tp>
      <tp>
        <v>0</v>
        <stp/>
        <stp>nse_cm|925SCL28B-YC</stp>
        <stp>ATP</stp>
        <tr r="K825" s="1"/>
      </tp>
      <tp>
        <v>0</v>
        <stp/>
        <stp>nse_cm|925SCL26B-YQ</stp>
        <stp>ATP</stp>
        <tr r="K90" s="1"/>
      </tp>
      <tp>
        <v>0</v>
        <stp/>
        <stp>nse_cm|925SCL25H-Y0</stp>
        <stp>ATP</stp>
        <tr r="K791" s="1"/>
      </tp>
      <tp>
        <v>0</v>
        <stp/>
        <stp>nse_cm|925SCL25B-Y3</stp>
        <stp>ATP</stp>
        <tr r="K600" s="1"/>
      </tp>
      <tp>
        <v>0</v>
        <stp/>
        <stp>nse_cm|925SCL29A-ZM</stp>
        <stp>ATP</stp>
        <tr r="K1352" s="1"/>
      </tp>
      <tp>
        <v>0</v>
        <stp/>
        <stp>nse_cm|925SCL26C-ZA</stp>
        <stp>ATP</stp>
        <tr r="K724" s="1"/>
      </tp>
      <tp>
        <v>0</v>
        <stp/>
        <stp>nse_cm|925SCL26D-ZD</stp>
        <stp>ATP</stp>
        <tr r="K1448" s="1"/>
      </tp>
      <tp>
        <v>952.8</v>
        <stp/>
        <stp>bse_cm|965IHFL25D</stp>
        <stp>Bid Rate</stp>
        <tr r="E1432" s="1"/>
      </tp>
      <tp>
        <v>0</v>
        <stp/>
        <stp>nse_cm|957ICCL25-YW</stp>
        <stp>Volume Traded Today</stp>
        <tr r="L386" s="1"/>
      </tp>
      <tp>
        <v>1193</v>
        <stp/>
        <stp>bse_cm|SCLZC25</stp>
        <stp xml:space="preserve">Low </stp>
        <tr r="O917" s="1"/>
      </tp>
      <tp>
        <v>0</v>
        <stp/>
        <stp>bse_cm|953EFSL31</stp>
        <stp>LTP</stp>
        <tr r="H191" s="1"/>
      </tp>
      <tp t="s">
        <v>00:00:00</v>
        <stp/>
        <stp>bse_cm|953EFSL31</stp>
        <stp>LTT</stp>
        <tr r="I191" s="1"/>
      </tp>
      <tp>
        <v>1680.55</v>
        <stp/>
        <stp>bse_cm|SCLZC26</stp>
        <stp xml:space="preserve">Low </stp>
        <tr r="O1464" s="1"/>
      </tp>
      <tp>
        <v>840.2</v>
        <stp/>
        <stp>nse_cm|AEL120924-N2</stp>
        <stp>Bid Rate</stp>
        <tr r="E1673" s="1"/>
      </tp>
      <tp>
        <v>1893.55</v>
        <stp/>
        <stp>nse_cm|SCLZC26-NB</stp>
        <stp>Ask Rate</stp>
        <tr r="F1717" s="1"/>
      </tp>
      <tp>
        <v>942.8</v>
        <stp/>
        <stp>bse_cm|925IHFL25D</stp>
        <stp>Bid Rate</stp>
        <tr r="E1671" s="1"/>
      </tp>
      <tp>
        <v>970.2</v>
        <stp/>
        <stp>bse_cm|925IHFL25E</stp>
        <stp>Bid Rate</stp>
        <tr r="E398" s="1"/>
      </tp>
      <tp t="s">
        <v>INE148I07QP3</v>
        <stp/>
        <stp>nse_cm|SCLZC26D-NO</stp>
        <stp>Isin code</stp>
        <tr r="R901" s="1"/>
      </tp>
      <tp>
        <v>0</v>
        <stp/>
        <stp>bse_cm|MFLV29</stp>
        <stp>Volume Traded Today</stp>
        <tr r="L361" s="1"/>
      </tp>
      <tp>
        <v>0</v>
        <stp/>
        <stp>bse_cm|MFLV27</stp>
        <stp>Volume Traded Today</stp>
        <tr r="L1508" s="1"/>
      </tp>
      <tp t="s">
        <v>965SCL28B</v>
        <stp/>
        <stp>bse_cm|965SCL28B</stp>
        <stp>Symbol</stp>
        <tr r="A896" s="1"/>
      </tp>
      <tp t="s">
        <v>965SCL28C</v>
        <stp/>
        <stp>bse_cm|965SCL28C</stp>
        <stp>Symbol</stp>
        <tr r="A818" s="1"/>
      </tp>
      <tp t="s">
        <v>965SCL28A</v>
        <stp/>
        <stp>bse_cm|965SCL28A</stp>
        <stp>Symbol</stp>
        <tr r="A1136" s="1"/>
      </tp>
      <tp t="s">
        <v>965SCL25B</v>
        <stp/>
        <stp>bse_cm|965SCL25B</stp>
        <stp>Symbol</stp>
        <tr r="A1507" s="1"/>
      </tp>
      <tp t="s">
        <v>965SCL25C</v>
        <stp/>
        <stp>bse_cm|965SCL25C</stp>
        <stp>Symbol</stp>
        <tr r="A506" s="1"/>
      </tp>
      <tp t="s">
        <v>965SCL25A</v>
        <stp/>
        <stp>bse_cm|965SCL25A</stp>
        <stp>Symbol</stp>
        <tr r="A234" s="1"/>
      </tp>
      <tp t="s">
        <v>965SCL25F</v>
        <stp/>
        <stp>bse_cm|965SCL25F</stp>
        <stp>Symbol</stp>
        <tr r="A673" s="1"/>
      </tp>
      <tp t="s">
        <v>965SCL25E</v>
        <stp/>
        <stp>bse_cm|965SCL25E</stp>
        <stp>Symbol</stp>
        <tr r="A414" s="1"/>
      </tp>
      <tp t="s">
        <v>865SCL24B</v>
        <stp/>
        <stp>bse_cm|865SCL24B</stp>
        <stp>Symbol</stp>
        <tr r="A953" s="1"/>
      </tp>
      <tp t="s">
        <v>965SCL26A</v>
        <stp/>
        <stp>bse_cm|965SCL26A</stp>
        <stp>Symbol</stp>
        <tr r="A1481" s="1"/>
      </tp>
      <tp t="s">
        <v>865MFL26A</v>
        <stp/>
        <stp>bse_cm|865MFL26A</stp>
        <stp>Symbol</stp>
        <tr r="A242" s="1"/>
      </tp>
      <tp t="s">
        <v>865MFL25A</v>
        <stp/>
        <stp>bse_cm|865MFL25A</stp>
        <stp>Symbol</stp>
        <tr r="A153" s="1"/>
      </tp>
      <tp>
        <v>0</v>
        <stp/>
        <stp>bse_cm|860CIFCL28</stp>
        <stp>Ask Qty</stp>
        <tr r="G1431" s="1"/>
      </tp>
      <tp>
        <v>30</v>
        <stp/>
        <stp>bse_cm|840CIFCL28</stp>
        <stp>Ask Qty</stp>
        <tr r="G419" s="1"/>
      </tp>
      <tp>
        <v>0</v>
        <stp/>
        <stp>bse_cm|850CIFCL26</stp>
        <stp>Ask Qty</stp>
        <tr r="G1164" s="1"/>
      </tp>
      <tp>
        <v>0</v>
        <stp/>
        <stp>bse_cm|10IIFLSF27</stp>
        <stp>Ask Qty</stp>
        <tr r="G1098" s="1"/>
      </tp>
      <tp>
        <v>0</v>
        <stp/>
        <stp>nse_cm|SCL25A-BH</stp>
        <stp xml:space="preserve">Low </stp>
        <tr r="O1237" s="1"/>
      </tp>
      <tp>
        <v>1053.3800000000001</v>
        <stp/>
        <stp>nse_cm|SCL25B-BI</stp>
        <stp xml:space="preserve">Low </stp>
        <tr r="O1403" s="1"/>
      </tp>
      <tp t="s">
        <v>905SC24B</v>
        <stp/>
        <stp>bse_cm|905SC24B</stp>
        <stp>Trading Symbol</stp>
        <tr r="B684" s="1"/>
      </tp>
      <tp t="s">
        <v>INE148I07PO8</v>
        <stp/>
        <stp>nse_cm|10SCL30A-BV</stp>
        <stp>Isin code</stp>
        <tr r="R445" s="1"/>
      </tp>
      <tp t="s">
        <v>INE05F407BG5</v>
        <stp/>
        <stp>bse_cm|1025MML26</stp>
        <stp>Isin code</stp>
        <tr r="R765" s="1"/>
      </tp>
      <tp t="s">
        <v>INE05F407BM3</v>
        <stp/>
        <stp>bse_cm|1075MML26</stp>
        <stp>Isin code</stp>
        <tr r="R1115" s="1"/>
      </tp>
      <tp t="s">
        <v>INE05F407CI9</v>
        <stp/>
        <stp>bse_cm|1060MML26</stp>
        <stp>Isin code</stp>
        <tr r="R1218" s="1"/>
      </tp>
      <tp t="s">
        <v>INE05F407CP4</v>
        <stp/>
        <stp>bse_cm|1080MML26</stp>
        <stp>Isin code</stp>
        <tr r="R1163" s="1"/>
      </tp>
      <tp t="s">
        <v>833SCL24</v>
        <stp/>
        <stp>bse_cm|833SCL24</stp>
        <stp>Trading Symbol</stp>
        <tr r="B1180" s="1"/>
      </tp>
      <tp t="s">
        <v>INE530B07252</v>
        <stp/>
        <stp>nse_cm|85IIFL25-NO</stp>
        <stp>Isin code</stp>
        <tr r="R110" s="1"/>
      </tp>
      <tp>
        <v>970</v>
        <stp/>
        <stp>bse_cm|925EFSL25</stp>
        <stp>High</stp>
        <tr r="N632" s="1"/>
      </tp>
      <tp>
        <v>1000</v>
        <stp/>
        <stp>nse_cm|SCLZC26G-YA</stp>
        <stp>Face Value</stp>
        <tr r="Q815" s="1"/>
      </tp>
      <tp t="s">
        <v>820SCL25</v>
        <stp/>
        <stp>bse_cm|820SCL25</stp>
        <stp>Trading Symbol</stp>
        <tr r="B925" s="1"/>
      </tp>
      <tp>
        <v>1008</v>
        <stp/>
        <stp>bse_cm|895EFSL25</stp>
        <stp>High</stp>
        <tr r="N700" s="1"/>
      </tp>
      <tp>
        <v>960</v>
        <stp/>
        <stp>bse_cm|935EFSL27</stp>
        <stp>High</stp>
        <tr r="N157" s="1"/>
      </tp>
      <tp>
        <v>940</v>
        <stp/>
        <stp>bse_cm|920EFSL27</stp>
        <stp>High</stp>
        <tr r="N55" s="1"/>
      </tp>
      <tp>
        <v>980</v>
        <stp/>
        <stp>bse_cm|957EFSL27</stp>
        <stp>High</stp>
        <tr r="N576" s="1"/>
      </tp>
      <tp>
        <v>924.2</v>
        <stp/>
        <stp>bse_cm|975EFSL27</stp>
        <stp>High</stp>
        <tr r="N45" s="1"/>
      </tp>
      <tp>
        <v>1001</v>
        <stp/>
        <stp>bse_cm|960EFSL27</stp>
        <stp>High</stp>
        <tr r="N70" s="1"/>
      </tp>
      <tp>
        <v>1016.87</v>
        <stp/>
        <stp>bse_cm|895EFSL26</stp>
        <stp>High</stp>
        <tr r="N109" s="1"/>
      </tp>
      <tp t="s">
        <v>890ICCL23A-NZ</v>
        <stp/>
        <stp>nse_cm|890ICCL23A-NZ</stp>
        <stp>Trading Symbol</stp>
        <tr r="B1363" s="1"/>
      </tp>
      <tp>
        <v>950</v>
        <stp/>
        <stp>bse_cm|916EFSL26</stp>
        <stp>High</stp>
        <tr r="N69" s="1"/>
      </tp>
      <tp>
        <v>958.8</v>
        <stp/>
        <stp>bse_cm|915EFSL26</stp>
        <stp>High</stp>
        <tr r="N93" s="1"/>
      </tp>
      <tp>
        <v>986</v>
        <stp/>
        <stp>bse_cm|939EFSL26</stp>
        <stp>High</stp>
        <tr r="N188" s="1"/>
      </tp>
      <tp>
        <v>994.8</v>
        <stp/>
        <stp>bse_cm|920EFSL26</stp>
        <stp>High</stp>
        <tr r="N223" s="1"/>
      </tp>
      <tp>
        <v>989.8</v>
        <stp/>
        <stp>bse_cm|955EFSL26</stp>
        <stp>High</stp>
        <tr r="N503" s="1"/>
      </tp>
      <tp>
        <v>960</v>
        <stp/>
        <stp>bse_cm|950EFSL26</stp>
        <stp>High</stp>
        <tr r="N1493" s="1"/>
      </tp>
      <tp>
        <v>999</v>
        <stp/>
        <stp>bse_cm|960EFSL26</stp>
        <stp>High</stp>
        <tr r="N690" s="1"/>
      </tp>
      <tp t="s">
        <v>879SCL26</v>
        <stp/>
        <stp>bse_cm|879SCL26</stp>
        <stp>Trading Symbol</stp>
        <tr r="B1351" s="1"/>
      </tp>
      <tp t="s">
        <v>875SCL27</v>
        <stp/>
        <stp>bse_cm|875SCL27</stp>
        <stp>Trading Symbol</stp>
        <tr r="B722" s="1"/>
      </tp>
      <tp>
        <v>980</v>
        <stp/>
        <stp>bse_cm|105EFSL29</stp>
        <stp>High</stp>
        <tr r="N1358" s="1"/>
      </tp>
      <tp t="s">
        <v>INE051307AB8</v>
        <stp/>
        <stp>bse_cm|115CCIL28</stp>
        <stp>Isin code</stp>
        <tr r="R382" s="1"/>
      </tp>
      <tp t="s">
        <v>865SCL26</v>
        <stp/>
        <stp>bse_cm|865SCL26</stp>
        <stp>Trading Symbol</stp>
        <tr r="B627" s="1"/>
      </tp>
      <tp t="s">
        <v>865SCL24</v>
        <stp/>
        <stp>bse_cm|865SCL24</stp>
        <stp>Trading Symbol</stp>
        <tr r="B1165" s="1"/>
      </tp>
      <tp t="s">
        <v>866SCL25</v>
        <stp/>
        <stp>bse_cm|866SCL25</stp>
        <stp>Trading Symbol</stp>
        <tr r="B603" s="1"/>
      </tp>
      <tp t="s">
        <v>CAGL26</v>
        <stp/>
        <stp>nse_cm|CAGL26-NA</stp>
        <stp>Symbol</stp>
        <tr r="A735" s="1"/>
      </tp>
      <tp>
        <v>973.8</v>
        <stp/>
        <stp>bse_cm|101EFSL28</stp>
        <stp>High</stp>
        <tr r="N211" s="1"/>
      </tp>
      <tp t="s">
        <v>INE403Q07CL4</v>
        <stp/>
        <stp>bse_cm|925KFIL25</stp>
        <stp>Isin code</stp>
        <tr r="R776" s="1"/>
      </tp>
      <tp t="s">
        <v>850SCL25</v>
        <stp/>
        <stp>bse_cm|850SCL25</stp>
        <stp>Trading Symbol</stp>
        <tr r="B923" s="1"/>
      </tp>
      <tp t="s">
        <v>857SCL24</v>
        <stp/>
        <stp>bse_cm|857SCL24</stp>
        <stp>Trading Symbol</stp>
        <tr r="B1002" s="1"/>
      </tp>
      <tp t="s">
        <v>INE557F07199</v>
        <stp/>
        <stp>nse_cm|890NHB34-N7</stp>
        <stp>Isin code</stp>
        <tr r="R537" s="1"/>
      </tp>
      <tp t="s">
        <v>INE557F07132</v>
        <stp/>
        <stp>nse_cm|901NHB34-N6</stp>
        <stp>Isin code</stp>
        <tr r="R520" s="1"/>
      </tp>
      <tp t="s">
        <v>801TCH25</v>
        <stp/>
        <stp>bse_cm|801TCH25</stp>
        <stp>Trading Symbol</stp>
        <tr r="B562" s="1"/>
      </tp>
      <tp t="s">
        <v>801TCH28</v>
        <stp/>
        <stp>bse_cm|801TCH28</stp>
        <stp>Trading Symbol</stp>
        <tr r="B1182" s="1"/>
      </tp>
      <tp t="s">
        <v>843SCL27</v>
        <stp/>
        <stp>bse_cm|843SCL27</stp>
        <stp>Trading Symbol</stp>
        <tr r="B928" s="1"/>
      </tp>
      <tp t="s">
        <v>847SCL25</v>
        <stp/>
        <stp>bse_cm|847SCL25</stp>
        <stp>Trading Symbol</stp>
        <tr r="B941" s="1"/>
      </tp>
      <tp>
        <v>946</v>
        <stp/>
        <stp>nse_cm|9SCL26BA-NA</stp>
        <stp>Prev Close</stp>
        <tr r="P122" s="1"/>
      </tp>
      <tp t="s">
        <v>894SCL27</v>
        <stp/>
        <stp>bse_cm|894SCL27</stp>
        <stp>Trading Symbol</stp>
        <tr r="B962" s="1"/>
      </tp>
      <tp t="s">
        <v>894SCL25</v>
        <stp/>
        <stp>bse_cm|894SCL25</stp>
        <stp>Trading Symbol</stp>
        <tr r="B1517" s="1"/>
      </tp>
      <tp t="s">
        <v>894SCL24</v>
        <stp/>
        <stp>bse_cm|894SCL24</stp>
        <stp>Trading Symbol</stp>
        <tr r="B645" s="1"/>
      </tp>
      <tp t="s">
        <v>INE342T07379</v>
        <stp/>
        <stp>bse_cm|1025NFL25</stp>
        <stp>Isin code</stp>
        <tr r="R624" s="1"/>
      </tp>
      <tp t="s">
        <v>INE342T07395</v>
        <stp/>
        <stp>bse_cm|1075NFL25</stp>
        <stp>Isin code</stp>
        <tr r="R643" s="1"/>
      </tp>
      <tp t="s">
        <v>INE549K07DR2</v>
        <stp/>
        <stp>bse_cm|MFCL30424</stp>
        <stp>Isin code</stp>
        <tr r="R1606" s="1"/>
      </tp>
      <tp t="s">
        <v>888SCL26</v>
        <stp/>
        <stp>bse_cm|888SCL26</stp>
        <stp>Trading Symbol</stp>
        <tr r="B915" s="1"/>
      </tp>
      <tp t="s">
        <v>888SCL25</v>
        <stp/>
        <stp>bse_cm|888SCL25</stp>
        <stp>Trading Symbol</stp>
        <tr r="B1134" s="1"/>
      </tp>
      <tp t="s">
        <v>889SCL27</v>
        <stp/>
        <stp>bse_cm|889SCL27</stp>
        <stp>Trading Symbol</stp>
        <tr r="B121" s="1"/>
      </tp>
      <tp t="s">
        <v>889SCL26</v>
        <stp/>
        <stp>bse_cm|889SCL26</stp>
        <stp>Trading Symbol</stp>
        <tr r="B237" s="1"/>
      </tp>
      <tp t="s">
        <v>889SCL28</v>
        <stp/>
        <stp>bse_cm|889SCL28</stp>
        <stp>Trading Symbol</stp>
        <tr r="B1069" s="1"/>
      </tp>
      <tp t="s">
        <v>885SCL26</v>
        <stp/>
        <stp>bse_cm|885SCL26</stp>
        <stp>Trading Symbol</stp>
        <tr r="B57" s="1"/>
      </tp>
      <tp t="s">
        <v>NSE</v>
        <stp/>
        <stp>nse_cm|TCHF30-NB</stp>
        <stp>Exchange</stp>
        <tr r="C408" s="1"/>
      </tp>
      <tp t="s">
        <v>INE148I07OF9</v>
        <stp/>
        <stp>bse_cm|925SFCL25</stp>
        <stp>Isin code</stp>
        <tr r="R1482" s="1"/>
      </tp>
      <tp>
        <v>945</v>
        <stp/>
        <stp>bse_cm|967EFSL29</stp>
        <stp>High</stp>
        <tr r="N102" s="1"/>
      </tp>
      <tp>
        <v>950</v>
        <stp/>
        <stp>bse_cm|967EFSL28</stp>
        <stp>High</stp>
        <tr r="N205" s="1"/>
      </tp>
      <tp t="s">
        <v>683PFCL31</v>
        <stp/>
        <stp>bse_cm|683PFCL31</stp>
        <stp>Symbol</stp>
        <tr r="A449" s="1"/>
      </tp>
      <tp>
        <v>930</v>
        <stp/>
        <stp>bse_cm|115CCIL28</stp>
        <stp xml:space="preserve">Low </stp>
        <tr r="O382" s="1"/>
      </tp>
      <tp t="s">
        <v>INE033L07GR8</v>
        <stp/>
        <stp>nse_cm|801TCH28-N7</stp>
        <stp>Isin code</stp>
        <tr r="R1181" s="1"/>
      </tp>
      <tp t="s">
        <v>682PFCL31</v>
        <stp/>
        <stp>bse_cm|682PFCL31</stp>
        <stp>Symbol</stp>
        <tr r="A433" s="1"/>
      </tp>
      <tp>
        <v>979.93</v>
        <stp/>
        <stp>bse_cm|12ICLFL26</stp>
        <stp xml:space="preserve">Low </stp>
        <tr r="O547" s="1"/>
      </tp>
      <tp>
        <v>980.01</v>
        <stp/>
        <stp>bse_cm|11ICLFL25</stp>
        <stp xml:space="preserve">Low </stp>
        <tr r="O452" s="1"/>
      </tp>
      <tp t="s">
        <v>980ICCL28</v>
        <stp/>
        <stp>bse_cm|980ICCL28</stp>
        <stp>Symbol</stp>
        <tr r="A783" s="1"/>
      </tp>
      <tp>
        <v>1005.2</v>
        <stp/>
        <stp>bse_cm|925CAGL26</stp>
        <stp xml:space="preserve">Low </stp>
        <tr r="O294" s="1"/>
      </tp>
      <tp>
        <v>925</v>
        <stp/>
        <stp>bse_cm|950CCIL25</stp>
        <stp xml:space="preserve">Low </stp>
        <tr r="O99" s="1"/>
      </tp>
      <tp>
        <v>990.8</v>
        <stp/>
        <stp>bse_cm|940CAGL27</stp>
        <stp xml:space="preserve">Low </stp>
        <tr r="O261" s="1"/>
      </tp>
      <tp t="s">
        <v>985ICCL28</v>
        <stp/>
        <stp>bse_cm|985ICCL28</stp>
        <stp>Symbol</stp>
        <tr r="A1483" s="1"/>
      </tp>
      <tp t="s">
        <v>925KFIL25</v>
        <stp/>
        <stp>bse_cm|925KFIL25</stp>
        <stp>Symbol</stp>
        <tr r="A776" s="1"/>
      </tp>
      <tp t="s">
        <v>INE321N07285</v>
        <stp/>
        <stp>bse_cm|980IFSL25</stp>
        <stp>Isin code</stp>
        <tr r="R474" s="1"/>
      </tp>
      <tp>
        <v>965.39</v>
        <stp/>
        <stp>bse_cm|945CAGL24</stp>
        <stp xml:space="preserve">Low </stp>
        <tr r="O566" s="1"/>
      </tp>
      <tp>
        <v>999.21</v>
        <stp/>
        <stp>bse_cm|960CAGL25</stp>
        <stp xml:space="preserve">Low </stp>
        <tr r="O347" s="1"/>
      </tp>
      <tp>
        <v>950.6</v>
        <stp/>
        <stp>bse_cm|910CAGL25</stp>
        <stp xml:space="preserve">Low </stp>
        <tr r="O351" s="1"/>
      </tp>
      <tp t="s">
        <v>INE321N07350</v>
        <stp/>
        <stp>bse_cm|966IFSL25</stp>
        <stp>Isin code</stp>
        <tr r="R1051" s="1"/>
      </tp>
      <tp>
        <v>916.8</v>
        <stp/>
        <stp>bse_cm|888ERFL28</stp>
        <stp>High</stp>
        <tr r="N216" s="1"/>
      </tp>
      <tp t="s">
        <v>97EFSL31A</v>
        <stp/>
        <stp>bse_cm|97EFSL31A</stp>
        <stp>Symbol</stp>
        <tr r="A598" s="1"/>
      </tp>
      <tp t="s">
        <v>INE523H07BA3</v>
        <stp/>
        <stp>bse_cm|948JFPL25</stp>
        <stp>Isin code</stp>
        <tr r="R490" s="1"/>
      </tp>
      <tp>
        <v>970.01</v>
        <stp/>
        <stp>bse_cm|925ERFL28</stp>
        <stp>High</stp>
        <tr r="N147" s="1"/>
      </tp>
      <tp t="s">
        <v>INE148I07PX9</v>
        <stp/>
        <stp>nse_cm|940SCL26-N6</stp>
        <stp>Isin code</stp>
        <tr r="R921" s="1"/>
      </tp>
      <tp t="s">
        <v>689RECL24</v>
        <stp/>
        <stp>bse_cm|689RECL24</stp>
        <stp>Symbol</stp>
        <tr r="A1206" s="1"/>
      </tp>
      <tp t="s">
        <v>INE321N07301</v>
        <stp/>
        <stp>bse_cm|945IFSL25</stp>
        <stp>Isin code</stp>
        <tr r="R483" s="1"/>
      </tp>
      <tp>
        <v>1015</v>
        <stp/>
        <stp>bse_cm|970CAGL28</stp>
        <stp xml:space="preserve">Low </stp>
        <tr r="O292" s="1"/>
      </tp>
      <tp>
        <v>1000</v>
        <stp/>
        <stp>bse_cm|0SMCGSL27</stp>
        <stp xml:space="preserve">Low </stp>
        <tr r="O1532" s="1"/>
      </tp>
      <tp t="s">
        <v>INE321N07335</v>
        <stp/>
        <stp>bse_cm|955IFSL25</stp>
        <stp>Isin code</stp>
        <tr r="R1470" s="1"/>
      </tp>
      <tp>
        <v>987.5</v>
        <stp/>
        <stp>bse_cm|0SMCGSL26</stp>
        <stp xml:space="preserve">Low </stp>
        <tr r="O589" s="1"/>
      </tp>
      <tp t="s">
        <v>INE148I07SW5</v>
        <stp/>
        <stp>nse_cm|980SCL34-Z7</stp>
        <stp>Isin code</stp>
        <tr r="R884" s="1"/>
      </tp>
      <tp t="s">
        <v>INE532F07CY6</v>
        <stp/>
        <stp>bse_cm|925EFSL25</stp>
        <stp>Isin code</stp>
        <tr r="R632" s="1"/>
      </tp>
      <tp>
        <v>0</v>
        <stp/>
        <stp>bse_cm|85PCHFL26</stp>
        <stp xml:space="preserve">Low </stp>
        <tr r="O713" s="1"/>
      </tp>
      <tp>
        <v>1029</v>
        <stp/>
        <stp>bse_cm|830CIFC26</stp>
        <stp xml:space="preserve">Low </stp>
        <tr r="O1013" s="1"/>
      </tp>
      <tp t="s">
        <v>NSE</v>
        <stp/>
        <stp>nse_cm|M&amp;MFIN-N3</stp>
        <stp>Exchange</stp>
        <tr r="C1723" s="1"/>
      </tp>
      <tp>
        <v>15</v>
        <stp/>
        <stp>bse_cm|IIFLHF29</stp>
        <stp>Ask Qty</stp>
        <tr r="G1631" s="1"/>
      </tp>
      <tp>
        <v>0</v>
        <stp/>
        <stp>bse_cm|MFLIV26</stp>
        <stp>Volume Traded Today</stp>
        <tr r="L1500" s="1"/>
      </tp>
      <tp>
        <v>100</v>
        <stp/>
        <stp>bse_cm|MFLIV25</stp>
        <stp>Volume Traded Today</stp>
        <tr r="L280" s="1"/>
      </tp>
      <tp>
        <v>993.62</v>
        <stp/>
        <stp>nse_cm|915SCL27A-ZL</stp>
        <stp xml:space="preserve">Low </stp>
        <tr r="O966" s="1"/>
      </tp>
      <tp t="s">
        <v>INE148I07OS2</v>
        <stp/>
        <stp>bse_cm|SCLZC26B</stp>
        <stp>Isin code</stp>
        <tr r="R992" s="1"/>
      </tp>
      <tp t="s">
        <v>INE148I07OO1</v>
        <stp/>
        <stp>bse_cm|SCLZC25B</stp>
        <stp>Isin code</stp>
        <tr r="R1540" s="1"/>
      </tp>
      <tp t="s">
        <v/>
        <stp/>
        <stp>nse_cm|843SCFL27-YB</stp>
        <stp>LTT</stp>
        <tr r="I929" s="1"/>
      </tp>
      <tp>
        <v>0</v>
        <stp/>
        <stp>nse_cm|843SCFL27-YB</stp>
        <stp>LTP</stp>
        <tr r="H929" s="1"/>
      </tp>
      <tp>
        <v>1050</v>
        <stp/>
        <stp>nse_cm|CIFCZC28A-N5</stp>
        <stp>Bid Rate</stp>
        <tr r="E1559" s="1"/>
      </tp>
      <tp>
        <v>0</v>
        <stp/>
        <stp>bse_cm|975MFL24BB</stp>
        <stp>Open</stp>
        <tr r="M552" s="1"/>
      </tp>
      <tp>
        <v>0</v>
        <stp/>
        <stp>bse_cm|957EFSL27</stp>
        <stp>Volume Traded Today</stp>
        <tr r="L576" s="1"/>
      </tp>
      <tp>
        <v>0</v>
        <stp/>
        <stp>bse_cm|967EFSL29</stp>
        <stp>Volume Traded Today</stp>
        <tr r="L102" s="1"/>
      </tp>
      <tp>
        <v>0</v>
        <stp/>
        <stp>bse_cm|967EFSL28</stp>
        <stp>Volume Traded Today</stp>
        <tr r="L205" s="1"/>
      </tp>
      <tp>
        <v>0</v>
        <stp/>
        <stp>bse_cm|96IIFL28A</stp>
        <stp>Volume Traded Today</stp>
        <tr r="L88" s="1"/>
      </tp>
      <tp>
        <v>0</v>
        <stp/>
        <stp>bse_cm|10IIFL28A</stp>
        <stp>Volume Traded Today</stp>
        <tr r="L101" s="1"/>
      </tp>
      <tp>
        <v>-100</v>
        <stp/>
        <stp>bse_cm|10NHFL27</stp>
        <stp>% Change</stp>
        <tr r="J658" s="1"/>
      </tp>
      <tp>
        <v>-0.51</v>
        <stp/>
        <stp>bse_cm|10NIDO26</stp>
        <stp>% Change</stp>
        <tr r="J62" s="1"/>
      </tp>
      <tp>
        <v>-100</v>
        <stp/>
        <stp>bse_cm|95NIDO26</stp>
        <stp>% Change</stp>
        <tr r="J670" s="1"/>
      </tp>
      <tp>
        <v>836.5</v>
        <stp/>
        <stp>bse_cm|10IIFLSF27</stp>
        <stp>Bid Rate</stp>
        <tr r="E1098" s="1"/>
      </tp>
      <tp>
        <v>-100</v>
        <stp/>
        <stp>bse_cm|10NIDO27</stp>
        <stp>% Change</stp>
        <tr r="J597" s="1"/>
      </tp>
      <tp>
        <v>822</v>
        <stp/>
        <stp>bse_cm|EFSL290424</stp>
        <stp>Bid Rate</stp>
        <tr r="E1334" s="1"/>
      </tp>
      <tp>
        <v>1117.68</v>
        <stp/>
        <stp>nse_cm|955SCL27A-ZJ</stp>
        <stp xml:space="preserve">Low </stp>
        <tr r="O1437" s="1"/>
      </tp>
      <tp>
        <v>1010.2</v>
        <stp/>
        <stp>bse_cm|885MOFSL26</stp>
        <stp>Bid Rate</stp>
        <tr r="E1643" s="1"/>
      </tp>
      <tp>
        <v>1035.9000000000001</v>
        <stp/>
        <stp>nse_cm|9MMFSML-N2</stp>
        <stp>High</stp>
        <tr r="N339" s="1"/>
      </tp>
      <tp t="s">
        <v>00:00:00</v>
        <stp/>
        <stp>bse_cm|IML160224</stp>
        <stp>LTT</stp>
        <tr r="I1329" s="1"/>
      </tp>
      <tp>
        <v>0</v>
        <stp/>
        <stp>bse_cm|IML160224</stp>
        <stp>LTP</stp>
        <tr r="H1329" s="1"/>
      </tp>
      <tp>
        <v>1086</v>
        <stp/>
        <stp>nse_cm|CIFCZC25A-N1</stp>
        <stp>Bid Rate</stp>
        <tr r="E1730" s="1"/>
      </tp>
      <tp>
        <v>1000.01</v>
        <stp/>
        <stp>bse_cm|897MOFSL29</stp>
        <stp>Bid Rate</stp>
        <tr r="E332" s="1"/>
      </tp>
      <tp>
        <v>960</v>
        <stp/>
        <stp>nse_cm|925SCL26D-ZD</stp>
        <stp xml:space="preserve">Low </stp>
        <tr r="O1448" s="1"/>
      </tp>
      <tp>
        <v>0</v>
        <stp/>
        <stp>bse_cm|KAF080824</stp>
        <stp>LTP</stp>
        <tr r="H1322" s="1"/>
      </tp>
      <tp>
        <v>1090</v>
        <stp/>
        <stp>nse_cm|CIFCZC26A-N3</stp>
        <stp>Bid Rate</stp>
        <tr r="E1565" s="1"/>
      </tp>
      <tp t="s">
        <v>00:00:00</v>
        <stp/>
        <stp>bse_cm|KAF080824</stp>
        <stp>LTT</stp>
        <tr r="I1322" s="1"/>
      </tp>
      <tp t="s">
        <v/>
        <stp/>
        <stp>nse_cm|DLSL25-NW</stp>
        <stp>LTT</stp>
        <tr r="I1745" s="1"/>
      </tp>
      <tp>
        <v>1291.83</v>
        <stp/>
        <stp>nse_cm|DLSL25-NW</stp>
        <stp>LTP</stp>
        <tr r="H1745" s="1"/>
      </tp>
      <tp>
        <v>0</v>
        <stp/>
        <stp>bse_cm|MFLVII27</stp>
        <stp>Ask Qty</stp>
        <tr r="G1397" s="1"/>
      </tp>
      <tp>
        <v>0</v>
        <stp/>
        <stp>bse_cm|MFLTDI25</stp>
        <stp>Ask Qty</stp>
        <tr r="G1476" s="1"/>
      </tp>
      <tp>
        <v>0</v>
        <stp/>
        <stp>bse_cm|MFLIII25</stp>
        <stp>Ask Qty</stp>
        <tr r="G1501" s="1"/>
      </tp>
      <tp>
        <v>850.2</v>
        <stp/>
        <stp>bse_cm|EFSL260724</stp>
        <stp>Bid Rate</stp>
        <tr r="E586" s="1"/>
      </tp>
      <tp t="s">
        <v>00:00:00</v>
        <stp/>
        <stp>bse_cm|SFL270224</stp>
        <stp>LTT</stp>
        <tr r="I808" s="1"/>
      </tp>
      <tp>
        <v>0</v>
        <stp/>
        <stp>bse_cm|SFL270224</stp>
        <stp>LTP</stp>
        <tr r="H808" s="1"/>
      </tp>
      <tp>
        <v>1135</v>
        <stp/>
        <stp>bse_cm|764NABAR31</stp>
        <stp>Bid Rate</stp>
        <tr r="E497" s="1"/>
      </tp>
      <tp t="s">
        <v>00:00:00</v>
        <stp/>
        <stp>bse_cm|1025SFL29</stp>
        <stp>LTT</stp>
        <tr r="I1446" s="1"/>
      </tp>
      <tp t="s">
        <v>00:00:00</v>
        <stp/>
        <stp>bse_cm|1025SFL28</stp>
        <stp>LTT</stp>
        <tr r="I100" s="1"/>
      </tp>
      <tp>
        <v>0</v>
        <stp/>
        <stp>bse_cm|1025SFL29</stp>
        <stp>LTP</stp>
        <tr r="H1446" s="1"/>
      </tp>
      <tp>
        <v>960</v>
        <stp/>
        <stp>bse_cm|1025SFL28</stp>
        <stp>LTP</stp>
        <tr r="H100" s="1"/>
      </tp>
      <tp t="s">
        <v>00:00:00</v>
        <stp/>
        <stp>bse_cm|1025UCL25</stp>
        <stp>LTT</stp>
        <tr r="I326" s="1"/>
      </tp>
      <tp>
        <v>0</v>
        <stp/>
        <stp>bse_cm|1025SFL25</stp>
        <stp>LTP</stp>
        <tr r="H1071" s="1"/>
      </tp>
      <tp t="s">
        <v>00:00:00</v>
        <stp/>
        <stp>bse_cm|1025UCL27</stp>
        <stp>LTT</stp>
        <tr r="I1019" s="1"/>
      </tp>
      <tp>
        <v>0</v>
        <stp/>
        <stp>bse_cm|1025UCL25</stp>
        <stp>LTP</stp>
        <tr r="H326" s="1"/>
      </tp>
      <tp t="s">
        <v>00:00:00</v>
        <stp/>
        <stp>bse_cm|1025SFL25</stp>
        <stp>LTT</stp>
        <tr r="I1071" s="1"/>
      </tp>
      <tp>
        <v>0</v>
        <stp/>
        <stp>bse_cm|1025UCL27</stp>
        <stp>LTP</stp>
        <tr r="H1019" s="1"/>
      </tp>
      <tp t="s">
        <v>00:00:00</v>
        <stp/>
        <stp>bse_cm|1025MML25</stp>
        <stp>LTT</stp>
        <tr r="I766" s="1"/>
      </tp>
      <tp>
        <v>0</v>
        <stp/>
        <stp>bse_cm|1025KFL27</stp>
        <stp>LTP</stp>
        <tr r="H767" s="1"/>
      </tp>
      <tp>
        <v>0</v>
        <stp/>
        <stp>bse_cm|1025KFL26</stp>
        <stp>LTP</stp>
        <tr r="H768" s="1"/>
      </tp>
      <tp t="s">
        <v>15:07:29</v>
        <stp/>
        <stp>bse_cm|1125MML27</stp>
        <stp>LTT</stp>
        <tr r="I592" s="1"/>
      </tp>
      <tp>
        <v>0</v>
        <stp/>
        <stp>bse_cm|1225IFL27</stp>
        <stp>LTP</stp>
        <tr r="H1216" s="1"/>
      </tp>
      <tp>
        <v>0</v>
        <stp/>
        <stp>bse_cm|1025KFL25</stp>
        <stp>LTP</stp>
        <tr r="H638" s="1"/>
      </tp>
      <tp t="s">
        <v>00:00:00</v>
        <stp/>
        <stp>bse_cm|1025MML26</stp>
        <stp>LTT</stp>
        <tr r="I765" s="1"/>
      </tp>
      <tp t="s">
        <v>00:00:00</v>
        <stp/>
        <stp>bse_cm|1025NFL25</stp>
        <stp>LTT</stp>
        <tr r="I624" s="1"/>
      </tp>
      <tp>
        <v>0</v>
        <stp/>
        <stp>nse_cm|925SCL26C-ZA</stp>
        <stp xml:space="preserve">Low </stp>
        <tr r="O724" s="1"/>
      </tp>
      <tp>
        <v>0</v>
        <stp/>
        <stp>bse_cm|1025MML25</stp>
        <stp>LTP</stp>
        <tr r="H766" s="1"/>
      </tp>
      <tp t="s">
        <v>00:00:00</v>
        <stp/>
        <stp>bse_cm|1025KFL27</stp>
        <stp>LTT</stp>
        <tr r="I767" s="1"/>
      </tp>
      <tp t="s">
        <v>00:00:00</v>
        <stp/>
        <stp>bse_cm|1025KFL26</stp>
        <stp>LTT</stp>
        <tr r="I768" s="1"/>
      </tp>
      <tp>
        <v>1000</v>
        <stp/>
        <stp>bse_cm|1125MML27</stp>
        <stp>LTP</stp>
        <tr r="H592" s="1"/>
      </tp>
      <tp t="s">
        <v>00:00:00</v>
        <stp/>
        <stp>bse_cm|1225IFL27</stp>
        <stp>LTT</stp>
        <tr r="I1216" s="1"/>
      </tp>
      <tp t="s">
        <v>00:00:00</v>
        <stp/>
        <stp>bse_cm|1025KFL25</stp>
        <stp>LTT</stp>
        <tr r="I638" s="1"/>
      </tp>
      <tp>
        <v>0</v>
        <stp/>
        <stp>bse_cm|1025MML26</stp>
        <stp>LTP</stp>
        <tr r="H765" s="1"/>
      </tp>
      <tp>
        <v>0</v>
        <stp/>
        <stp>bse_cm|1025NFL25</stp>
        <stp>LTP</stp>
        <tr r="H624" s="1"/>
      </tp>
      <tp>
        <v>0</v>
        <stp/>
        <stp>bse_cm|1075CCI26</stp>
        <stp>LTP</stp>
        <tr r="H1425" s="1"/>
      </tp>
      <tp t="s">
        <v>00:00:00</v>
        <stp/>
        <stp>bse_cm|1025KFL29</stp>
        <stp>LTT</stp>
        <tr r="I196" s="1"/>
      </tp>
      <tp t="s">
        <v>00:00:00</v>
        <stp/>
        <stp>bse_cm|1025KFL28</stp>
        <stp>LTT</stp>
        <tr r="I626" s="1"/>
      </tp>
      <tp t="s">
        <v>00:00:00</v>
        <stp/>
        <stp>bse_cm|1075CCI26</stp>
        <stp>LTT</stp>
        <tr r="I1425" s="1"/>
      </tp>
      <tp>
        <v>0</v>
        <stp/>
        <stp>bse_cm|1025KFL29</stp>
        <stp>LTP</stp>
        <tr r="H196" s="1"/>
      </tp>
      <tp>
        <v>0</v>
        <stp/>
        <stp>bse_cm|1025KFL28</stp>
        <stp>LTP</stp>
        <tr r="H626" s="1"/>
      </tp>
      <tp>
        <v>0</v>
        <stp/>
        <stp>bse_cm|957JFPL30</stp>
        <stp>Volume Traded Today</stp>
        <tr r="L760" s="1"/>
      </tp>
      <tp>
        <v>0</v>
        <stp/>
        <stp>bse_cm|CCILZC25A</stp>
        <stp>Volume Traded Today</stp>
        <tr r="L749" s="1"/>
      </tp>
      <tp>
        <v>1000.8</v>
        <stp/>
        <stp>bse_cm|MFLV26E</stp>
        <stp xml:space="preserve">Low </stp>
        <tr r="O352" s="1"/>
      </tp>
      <tp t="s">
        <v>IIFLZC26</v>
        <stp/>
        <stp>nse_cm|IIFLZC26-NN</stp>
        <stp>Symbol</stp>
        <tr r="A1696" s="1"/>
      </tp>
      <tp t="s">
        <v>00:00:00</v>
        <stp/>
        <stp>bse_cm|1025SCL33</stp>
        <stp>LTT</stp>
        <tr r="I879" s="1"/>
      </tp>
      <tp>
        <v>0</v>
        <stp/>
        <stp>bse_cm|1025SCL34</stp>
        <stp>LTP</stp>
        <tr r="H129" s="1"/>
      </tp>
      <tp>
        <v>0</v>
        <stp/>
        <stp>bse_cm|1025SCL33</stp>
        <stp>LTP</stp>
        <tr r="H879" s="1"/>
      </tp>
      <tp t="s">
        <v>00:00:00</v>
        <stp/>
        <stp>bse_cm|1025SCL34</stp>
        <stp>LTT</stp>
        <tr r="I129" s="1"/>
      </tp>
      <tp>
        <v>908.11</v>
        <stp/>
        <stp>nse_cm|888ERFL28-N5</stp>
        <stp>Bid Rate</stp>
        <tr r="E63" s="1"/>
      </tp>
      <tp>
        <v>1146.42</v>
        <stp/>
        <stp>nse_cm|IIFLZC28C-N6</stp>
        <stp>Bid Rate</stp>
        <tr r="E1656" s="1"/>
      </tp>
      <tp t="s">
        <v>00:00:00</v>
        <stp/>
        <stp>bse_cm|MML27524A</stp>
        <stp>LTT</stp>
        <tr r="I1250" s="1"/>
      </tp>
      <tp>
        <v>0</v>
        <stp/>
        <stp>bse_cm|MML27524A</stp>
        <stp>LTP</stp>
        <tr r="H1250" s="1"/>
      </tp>
      <tp>
        <v>1226</v>
        <stp/>
        <stp>nse_cm|IIFLZC25C-N8</stp>
        <stp>Bid Rate</stp>
        <tr r="E1748" s="1"/>
      </tp>
      <tp>
        <v>0</v>
        <stp/>
        <stp>bse_cm|MML11924A</stp>
        <stp>LTP</stp>
        <tr r="H1256" s="1"/>
      </tp>
      <tp>
        <v>0</v>
        <stp/>
        <stp>bse_cm|MML11924C</stp>
        <stp>LTP</stp>
        <tr r="H1623" s="1"/>
      </tp>
      <tp>
        <v>0</v>
        <stp/>
        <stp>bse_cm|MML11924B</stp>
        <stp>LTP</stp>
        <tr r="H1255" s="1"/>
      </tp>
      <tp t="s">
        <v>00:00:00</v>
        <stp/>
        <stp>bse_cm|MML11924A</stp>
        <stp>LTT</stp>
        <tr r="I1256" s="1"/>
      </tp>
      <tp t="s">
        <v>00:00:00</v>
        <stp/>
        <stp>bse_cm|MML11924C</stp>
        <stp>LTT</stp>
        <tr r="I1623" s="1"/>
      </tp>
      <tp t="s">
        <v>00:00:00</v>
        <stp/>
        <stp>bse_cm|MML11924B</stp>
        <stp>LTT</stp>
        <tr r="I1255" s="1"/>
      </tp>
      <tp t="s">
        <v>00:00:00</v>
        <stp/>
        <stp>bse_cm|IFL19424A</stp>
        <stp>LTT</stp>
        <tr r="I1419" s="1"/>
      </tp>
      <tp>
        <v>0</v>
        <stp/>
        <stp>bse_cm|IFL19424A</stp>
        <stp>LTP</stp>
        <tr r="H1419" s="1"/>
      </tp>
      <tp>
        <v>0</v>
        <stp/>
        <stp>bse_cm|957ICCL25</stp>
        <stp>Volume Traded Today</stp>
        <tr r="L432" s="1"/>
      </tp>
      <tp>
        <v>0</v>
        <stp/>
        <stp>bse_cm|957ICCL28</stp>
        <stp>Volume Traded Today</stp>
        <tr r="L1572" s="1"/>
      </tp>
      <tp>
        <v>1120</v>
        <stp/>
        <stp>bse_cm|735NABAR31</stp>
        <stp>Bid Rate</stp>
        <tr r="E14" s="1"/>
      </tp>
      <tp>
        <v>0</v>
        <stp/>
        <stp>bse_cm|957ISFL26</stp>
        <stp>Volume Traded Today</stp>
        <tr r="L761" s="1"/>
      </tp>
      <tp>
        <v>1010</v>
        <stp/>
        <stp>nse_cm|965SCL26A-ZB</stp>
        <stp xml:space="preserve">Low </stp>
        <tr r="O135" s="1"/>
      </tp>
      <tp>
        <v>948</v>
        <stp/>
        <stp>nse_cm|925SCL29A-ZM</stp>
        <stp xml:space="preserve">Low </stp>
        <tr r="O1352" s="1"/>
      </tp>
      <tp>
        <v>971</v>
        <stp/>
        <stp>nse_cm|957ISFL26-N2</stp>
        <stp>Prev Close</stp>
        <tr r="P245" s="1"/>
      </tp>
      <tp>
        <v>0</v>
        <stp/>
        <stp>bse_cm|728IRFC30</stp>
        <stp>Volume Traded Today</stp>
        <tr r="L469" s="1"/>
      </tp>
      <tp>
        <v>1000</v>
        <stp/>
        <stp>bse_cm|9PCHFL31A</stp>
        <stp>Face Value</stp>
        <tr r="Q301" s="1"/>
      </tp>
      <tp>
        <v>1000</v>
        <stp/>
        <stp>nse_cm|889SCFL27-YC</stp>
        <stp>Face Value</stp>
        <tr r="Q595" s="1"/>
      </tp>
      <tp>
        <v>1125</v>
        <stp/>
        <stp>bse_cm|CAGL27A</stp>
        <stp>High</stp>
        <tr r="N1379" s="1"/>
      </tp>
      <tp>
        <v>994</v>
        <stp/>
        <stp>bse_cm|EFSL26D</stp>
        <stp xml:space="preserve">Low </stp>
        <tr r="O1617" s="1"/>
      </tp>
      <tp>
        <v>1000</v>
        <stp/>
        <stp>nse_cm|990SCFL26-AJ</stp>
        <stp>Face Value</stp>
        <tr r="Q1523" s="1"/>
      </tp>
      <tp>
        <v>1042</v>
        <stp/>
        <stp>bse_cm|EFSL26C</stp>
        <stp xml:space="preserve">Low </stp>
        <tr r="O1650" s="1"/>
      </tp>
      <tp>
        <v>1105.25</v>
        <stp/>
        <stp>bse_cm|EFSL26B</stp>
        <stp xml:space="preserve">Low </stp>
        <tr r="O1564" s="1"/>
      </tp>
      <tp t="s">
        <v/>
        <stp/>
        <stp>nse_cm|843IHFL29-NC</stp>
        <stp>LTT</stp>
        <tr r="I123" s="1"/>
      </tp>
      <tp>
        <v>1200</v>
        <stp/>
        <stp>bse_cm|EFSL26A</stp>
        <stp xml:space="preserve">Low </stp>
        <tr r="O1567" s="1"/>
      </tp>
      <tp>
        <v>919</v>
        <stp/>
        <stp>nse_cm|843IHFL29-NC</stp>
        <stp>LTP</stp>
        <tr r="H123" s="1"/>
      </tp>
      <tp>
        <v>0</v>
        <stp/>
        <stp>bse_cm|747PFCL33</stp>
        <stp>Volume Traded Today</stp>
        <tr r="L1199" s="1"/>
      </tp>
      <tp>
        <v>0</v>
        <stp/>
        <stp>bse_cm|697PFCL36</stp>
        <stp>Volume Traded Today</stp>
        <tr r="L431" s="1"/>
      </tp>
      <tp t="s">
        <v>INE804IA7238</v>
        <stp/>
        <stp>bse_cm|ECLZC24B</stp>
        <stp>Isin code</stp>
        <tr r="R1767" s="1"/>
      </tp>
      <tp>
        <v>951</v>
        <stp/>
        <stp>nse_cm|842IIFL26-NL</stp>
        <stp>LTP</stp>
        <tr r="H145" s="1"/>
      </tp>
      <tp t="s">
        <v/>
        <stp/>
        <stp>nse_cm|842IIFL26-NL</stp>
        <stp>LTT</stp>
        <tr r="I145" s="1"/>
      </tp>
      <tp>
        <v>0</v>
        <stp/>
        <stp>nse_cm|875SCFL27-Y9</stp>
        <stp>Ask Rate</stp>
        <tr r="F927" s="1"/>
      </tp>
      <tp>
        <v>0</v>
        <stp/>
        <stp>nse_cm|84CIFCL28-NA</stp>
        <stp>Volume Traded Today</stp>
        <tr r="L388" s="1"/>
      </tp>
      <tp t="s">
        <v>INE403Q07CD1</v>
        <stp/>
        <stp>bse_cm|KFLZC28B</stp>
        <stp>Isin code</stp>
        <tr r="R1288" s="1"/>
      </tp>
      <tp t="s">
        <v>INE403Q08183</v>
        <stp/>
        <stp>bse_cm|KFLZC26B</stp>
        <stp>Isin code</stp>
        <tr r="R1711" s="1"/>
      </tp>
      <tp t="s">
        <v>INE403Q08126</v>
        <stp/>
        <stp>bse_cm|KFLZC25B</stp>
        <stp>Isin code</stp>
        <tr r="R1739" s="1"/>
      </tp>
      <tp>
        <v>-100</v>
        <stp/>
        <stp>bse_cm|88NWIL25</stp>
        <stp>% Change</stp>
        <tr r="J219" s="1"/>
      </tp>
      <tp>
        <v>0</v>
        <stp/>
        <stp>nse_cm|990SCFL26-AJ</stp>
        <stp>ATP</stp>
        <tr r="K1523" s="1"/>
      </tp>
      <tp t="s">
        <v/>
        <stp/>
        <stp>nse_cm|840IRFC29-N8</stp>
        <stp>LTT</stp>
        <tr r="I528" s="1"/>
      </tp>
      <tp>
        <v>1158</v>
        <stp/>
        <stp>nse_cm|840IRFC29-N8</stp>
        <stp>LTP</stp>
        <tr r="H528" s="1"/>
      </tp>
      <tp>
        <v>1000</v>
        <stp/>
        <stp>nse_cm|875SCFL27-Y9</stp>
        <stp>Face Value</stp>
        <tr r="Q927" s="1"/>
      </tp>
      <tp>
        <v>1000</v>
        <stp/>
        <stp>nse_cm|843SCFL27-YB</stp>
        <stp>Face Value</stp>
        <tr r="Q929" s="1"/>
      </tp>
      <tp t="s">
        <v>INE414G07EG8</v>
        <stp/>
        <stp>bse_cm|MFLZC27B</stp>
        <stp>Isin code</stp>
        <tr r="R1697" s="1"/>
      </tp>
      <tp t="s">
        <v>INE549K07972</v>
        <stp/>
        <stp>bse_cm|MFLZC26B</stp>
        <stp>Isin code</stp>
        <tr r="R1272" s="1"/>
      </tp>
      <tp t="s">
        <v>INE549K07741</v>
        <stp/>
        <stp>bse_cm|MFLZC25B</stp>
        <stp>Isin code</stp>
        <tr r="R1273" s="1"/>
      </tp>
      <tp>
        <v>1000</v>
        <stp/>
        <stp>nse_cm|945CAGL24-N1</stp>
        <stp>Face Value</stp>
        <tr r="Q1704" s="1"/>
      </tp>
      <tp>
        <v>1016.55</v>
        <stp/>
        <stp>nse_cm|925SCFL27-YA</stp>
        <stp>Ask Rate</stp>
        <tr r="F113" s="1"/>
      </tp>
      <tp>
        <v>12</v>
        <stp/>
        <stp>nse_cm|749IGT28-NG</stp>
        <stp>Bid Qty</stp>
        <tr r="D1197" s="1"/>
      </tp>
      <tp>
        <v>0</v>
        <stp/>
        <stp>nse_cm|745IGT26-NC</stp>
        <stp>Bid Qty</stp>
        <tr r="D1201" s="1"/>
      </tp>
      <tp>
        <v>1056.3</v>
        <stp/>
        <stp>nse_cm|IIFLZC25B-NW</stp>
        <stp>Bid Rate</stp>
        <tr r="E1684" s="1"/>
      </tp>
      <tp>
        <v>16</v>
        <stp/>
        <stp>nse_cm|772IGT31-NK</stp>
        <stp>Bid Qty</stp>
        <tr r="D1193" s="1"/>
      </tp>
      <tp>
        <v>500</v>
        <stp/>
        <stp>nse_cm|769IGT28-NH</stp>
        <stp>Bid Qty</stp>
        <tr r="D1487" s="1"/>
      </tp>
      <tp>
        <v>842.2</v>
        <stp/>
        <stp>nse_cm|9SCL26B-ND</stp>
        <stp>Bid Rate</stp>
        <tr r="E994" s="1"/>
      </tp>
      <tp t="s">
        <v>NSE</v>
        <stp/>
        <stp>nse_cm|1025SCL34-Z8</stp>
        <stp>Exchange</stp>
        <tr r="C128" s="1"/>
      </tp>
      <tp>
        <v>1121</v>
        <stp/>
        <stp>nse_cm|IIFLZC25A-NP</stp>
        <stp>Bid Rate</stp>
        <tr r="E1578" s="1"/>
      </tp>
      <tp>
        <v>1080</v>
        <stp/>
        <stp>nse_cm|IIFLZC26A-NR</stp>
        <stp>Bid Rate</stp>
        <tr r="E1680" s="1"/>
      </tp>
      <tp>
        <v>50</v>
        <stp/>
        <stp>nse_cm|769NHAI31-NE</stp>
        <stp>Volume Traded Today</stp>
        <tr r="L461" s="1"/>
      </tp>
      <tp t="s">
        <v>00:00:00</v>
        <stp/>
        <stp>bse_cm|682PFCL31</stp>
        <stp>LTT</stp>
        <tr r="I433" s="1"/>
      </tp>
      <tp t="s">
        <v>00:00:00</v>
        <stp/>
        <stp>bse_cm|MFLVII25G</stp>
        <stp>LTT</stp>
        <tr r="I1729" s="1"/>
      </tp>
      <tp>
        <v>0</v>
        <stp/>
        <stp>bse_cm|682PFCL31</stp>
        <stp>LTP</stp>
        <tr r="H433" s="1"/>
      </tp>
      <tp>
        <v>0</v>
        <stp/>
        <stp>bse_cm|MFLVII25G</stp>
        <stp>LTP</stp>
        <tr r="H1729" s="1"/>
      </tp>
      <tp>
        <v>0</v>
        <stp/>
        <stp>nse_cm|931SFL26A-NA</stp>
        <stp>ATP</stp>
        <tr r="K786" s="1"/>
      </tp>
      <tp>
        <v>0</v>
        <stp/>
        <stp>nse_cm|1119NFL27-ND</stp>
        <stp>Volume Traded Today</stp>
        <tr r="L337" s="1"/>
      </tp>
      <tp>
        <v>960</v>
        <stp/>
        <stp>nse_cm|990SCL26B-Y7</stp>
        <stp>High</stp>
        <tr r="N798" s="1"/>
      </tp>
      <tp>
        <v>130</v>
        <stp/>
        <stp>nse_cm|1102NFL26-N8</stp>
        <stp>Volume Traded Today</stp>
        <tr r="L587" s="1"/>
      </tp>
      <tp>
        <v>0</v>
        <stp/>
        <stp>nse_cm|940ICCL28-NN</stp>
        <stp>Volume Traded Today</stp>
        <tr r="L779" s="1"/>
      </tp>
      <tp>
        <v>0</v>
        <stp/>
        <stp>nse_cm|940SCL26B-Y6</stp>
        <stp>High</stp>
        <tr r="N795" s="1"/>
      </tp>
      <tp>
        <v>20</v>
        <stp/>
        <stp>nse_cm|795IGT31-NI</stp>
        <stp>Bid Qty</stp>
        <tr r="D1185" s="1"/>
      </tp>
      <tp>
        <v>100</v>
        <stp/>
        <stp>nse_cm|797IGT31-NL</stp>
        <stp>Bid Qty</stp>
        <tr r="D374" s="1"/>
      </tp>
      <tp>
        <v>991.35</v>
        <stp/>
        <stp>nse_cm|IIFLZC26B-NY</stp>
        <stp>Bid Rate</stp>
        <tr r="E1629" s="1"/>
      </tp>
      <tp>
        <v>0</v>
        <stp/>
        <stp>nse_cm|816ABFL29-NC</stp>
        <stp>Volume Traded Today</stp>
        <tr r="L732" s="1"/>
      </tp>
      <tp>
        <v>1035</v>
        <stp/>
        <stp>nse_cm|82IGT31-NJ</stp>
        <stp xml:space="preserve">Low </stp>
        <tr r="O375" s="1"/>
      </tp>
      <tp>
        <v>1030.0999999999999</v>
        <stp/>
        <stp>nse_cm|IIFLZC28A-NU</stp>
        <stp>Bid Rate</stp>
        <tr r="E1624" s="1"/>
      </tp>
      <tp t="s">
        <v>890NHB34</v>
        <stp/>
        <stp>nse_cm|890NHB34-N7</stp>
        <stp>Symbol</stp>
        <tr r="A537" s="1"/>
      </tp>
      <tp t="s">
        <v>865NHB34</v>
        <stp/>
        <stp>nse_cm|865NHB34-N4</stp>
        <stp>Symbol</stp>
        <tr r="A1166" s="1"/>
      </tp>
      <tp t="s">
        <v>901NHB34</v>
        <stp/>
        <stp>nse_cm|901NHB34-N6</stp>
        <stp>Symbol</stp>
        <tr r="A520" s="1"/>
      </tp>
      <tp>
        <v>0</v>
        <stp/>
        <stp>bse_cm|840IRFC29</stp>
        <stp>ATP</stp>
        <tr r="K1634" s="1"/>
      </tp>
      <tp>
        <v>0</v>
        <stp/>
        <stp>bse_cm|842IIFL26</stp>
        <stp>LTP</stp>
        <tr r="H181" s="1"/>
      </tp>
      <tp t="s">
        <v>00:00:00</v>
        <stp/>
        <stp>bse_cm|842IIFL26</stp>
        <stp>LTT</stp>
        <tr r="I181" s="1"/>
      </tp>
      <tp>
        <v>0</v>
        <stp/>
        <stp>bse_cm|750IRFC35</stp>
        <stp>ATP</stp>
        <tr r="K488" s="1"/>
      </tp>
      <tp t="s">
        <v>865LTF26</v>
        <stp/>
        <stp>nse_cm|865LTF26-NN</stp>
        <stp>Symbol</stp>
        <tr r="A392" s="1"/>
      </tp>
      <tp>
        <v>0</v>
        <stp/>
        <stp>bse_cm|1075NFL25</stp>
        <stp>Volume Traded Today</stp>
        <tr r="L643" s="1"/>
      </tp>
      <tp>
        <v>0</v>
        <stp/>
        <stp>bse_cm|1075MML26</stp>
        <stp>Volume Traded Today</stp>
        <tr r="L1115" s="1"/>
      </tp>
      <tp>
        <v>0</v>
        <stp/>
        <stp>bse_cm|1075MML27</stp>
        <stp>Volume Traded Today</stp>
        <tr r="L1510" s="1"/>
      </tp>
      <tp t="e">
        <v>#N/A</v>
        <stp/>
        <stp>bse_cm|1075IML24</stp>
        <stp>Volume Traded Today</stp>
        <tr r="L33" s="1"/>
      </tp>
      <tp>
        <v>0</v>
        <stp/>
        <stp>bse_cm|1175IFL26</stp>
        <stp>Volume Traded Today</stp>
        <tr r="L1221" s="1"/>
      </tp>
      <tp>
        <v>0</v>
        <stp/>
        <stp>bse_cm|1075IML27</stp>
        <stp>Volume Traded Today</stp>
        <tr r="L96" s="1"/>
      </tp>
      <tp>
        <v>0</v>
        <stp/>
        <stp>bse_cm|1125CCI27</stp>
        <stp>Volume Traded Today</stp>
        <tr r="L1229" s="1"/>
      </tp>
      <tp>
        <v>0</v>
        <stp/>
        <stp>bse_cm|1075CCL25</stp>
        <stp>Volume Traded Today</stp>
        <tr r="L1119" s="1"/>
      </tp>
      <tp>
        <v>0</v>
        <stp/>
        <stp>bse_cm|1075UCL25</stp>
        <stp>Volume Traded Today</stp>
        <tr r="L515" s="1"/>
      </tp>
      <tp>
        <v>1</v>
        <stp/>
        <stp>nse_cm|84TCHF28-NA</stp>
        <stp>Bid Qty</stp>
        <tr r="D402" s="1"/>
      </tp>
      <tp>
        <v>825.1</v>
        <stp/>
        <stp>bse_cm|888IHFL25C</stp>
        <stp>Bid Rate</stp>
        <tr r="E1058" s="1"/>
      </tp>
      <tp>
        <v>0</v>
        <stp/>
        <stp>bse_cm|1075SCL33</stp>
        <stp>Volume Traded Today</stp>
        <tr r="L881" s="1"/>
      </tp>
      <tp>
        <v>0</v>
        <stp/>
        <stp>bse_cm|1075SCL34</stp>
        <stp>Volume Traded Today</stp>
        <tr r="L888" s="1"/>
      </tp>
      <tp>
        <v>0</v>
        <stp/>
        <stp>nse_cm|83TCHF28-N9</stp>
        <stp>Bid Qty</stp>
        <tr r="D831" s="1"/>
      </tp>
      <tp>
        <v>3</v>
        <stp/>
        <stp>nse_cm|83TCHF25-N6</stp>
        <stp>Bid Qty</stp>
        <tr r="D472" s="1"/>
      </tp>
      <tp>
        <v>20</v>
        <stp/>
        <stp>nse_cm|82TCHF25-N5</stp>
        <stp>Bid Qty</stp>
        <tr r="D1014" s="1"/>
      </tp>
      <tp>
        <v>200</v>
        <stp/>
        <stp>nse_cm|868NHB29-N3</stp>
        <stp>Bid Qty</stp>
        <tr r="D1342" s="1"/>
      </tp>
      <tp>
        <v>200</v>
        <stp/>
        <stp>nse_cm|865NHB34-N4</stp>
        <stp>Bid Qty</stp>
        <tr r="D1166" s="1"/>
      </tp>
      <tp>
        <v>20</v>
        <stp/>
        <stp>nse_cm|81TCHF28-N8</stp>
        <stp>Bid Qty</stp>
        <tr r="D467" s="1"/>
      </tp>
      <tp>
        <v>0</v>
        <stp/>
        <stp>bse_cm|1071KFL25</stp>
        <stp>Volume Traded Today</stp>
        <tr r="L1122" s="1"/>
      </tp>
      <tp>
        <v>1026</v>
        <stp/>
        <stp>bse_cm|888IHFL25F</stp>
        <stp>Bid Rate</stp>
        <tr r="E693" s="1"/>
      </tp>
      <tp>
        <v>830</v>
        <stp/>
        <stp>nse_cm|865SCL24B-Z8</stp>
        <stp xml:space="preserve">Low </stp>
        <tr r="O952" s="1"/>
      </tp>
      <tp>
        <v>1000.5</v>
        <stp/>
        <stp>bse_cm|MFLIII25C</stp>
        <stp>LTP</stp>
        <tr r="H213" s="1"/>
      </tp>
      <tp t="s">
        <v>11:25:15</v>
        <stp/>
        <stp>bse_cm|MFLIII25C</stp>
        <stp>LTT</stp>
        <tr r="I213" s="1"/>
      </tp>
      <tp>
        <v>0</v>
        <stp/>
        <stp>bse_cm|1070MML25</stp>
        <stp>Volume Traded Today</stp>
        <tr r="L1504" s="1"/>
      </tp>
      <tp>
        <v>0</v>
        <stp/>
        <stp>nse_cm|835SCL23B-YM</stp>
        <stp>ATP</stp>
        <tr r="K179" s="1"/>
      </tp>
      <tp>
        <v>0</v>
        <stp/>
        <stp>nse_cm|835SCL23A-YH</stp>
        <stp>ATP</stp>
        <tr r="K833" s="1"/>
      </tp>
      <tp>
        <v>0</v>
        <stp/>
        <stp>bse_cm|830CIFC26</stp>
        <stp>ATP</stp>
        <tr r="K1013" s="1"/>
      </tp>
      <tp>
        <v>10</v>
        <stp/>
        <stp>nse_cm|893NHB29-N6</stp>
        <stp>Bid Qty</stp>
        <tr r="D529" s="1"/>
      </tp>
      <tp>
        <v>2</v>
        <stp/>
        <stp>nse_cm|890NHB34-N7</stp>
        <stp>Bid Qty</stp>
        <tr r="D537" s="1"/>
      </tp>
      <tp>
        <v>10</v>
        <stp/>
        <stp>nse_cm|888NHB29-N5</stp>
        <stp>Bid Qty</stp>
        <tr r="D504" s="1"/>
      </tp>
      <tp>
        <v>-5.42</v>
        <stp/>
        <stp>bse_cm|95KFL27A</stp>
        <stp>% Change</stp>
        <tr r="J132" s="1"/>
      </tp>
      <tp>
        <v>-100</v>
        <stp/>
        <stp>bse_cm|10KFL27A</stp>
        <stp>% Change</stp>
        <tr r="J1092" s="1"/>
      </tp>
      <tp>
        <v>-100</v>
        <stp/>
        <stp>bse_cm|960EFSLA</stp>
        <stp>% Change</stp>
        <tr r="J699" s="1"/>
      </tp>
      <tp>
        <v>947.2</v>
        <stp/>
        <stp>bse_cm|97EFSL31A</stp>
        <stp>High</stp>
        <tr r="N598" s="1"/>
      </tp>
      <tp>
        <v>899.8</v>
        <stp/>
        <stp>bse_cm|93EFSL31A</stp>
        <stp>High</stp>
        <tr r="N85" s="1"/>
      </tp>
      <tp>
        <v>943</v>
        <stp/>
        <stp>bse_cm|96IIFL28A</stp>
        <stp xml:space="preserve">Low </stp>
        <tr r="O88" s="1"/>
      </tp>
      <tp t="s">
        <v>875SCL23A</v>
        <stp/>
        <stp>bse_cm|875SCL23A</stp>
        <stp>Symbol</stp>
        <tr r="A194" s="1"/>
      </tp>
      <tp t="s">
        <v>875MFL26A</v>
        <stp/>
        <stp>bse_cm|875MFL26A</stp>
        <stp>Symbol</stp>
        <tr r="A286" s="1"/>
      </tp>
      <tp t="s">
        <v>975MFL24B</v>
        <stp/>
        <stp>bse_cm|975MFL24B</stp>
        <stp>Symbol</stp>
        <tr r="A415" s="1"/>
      </tp>
      <tp t="s">
        <v>875KFL25A</v>
        <stp/>
        <stp>bse_cm|875KFL25A</stp>
        <stp>Symbol</stp>
        <tr r="A1157" s="1"/>
      </tp>
      <tp t="s">
        <v>875KFL26A</v>
        <stp/>
        <stp>bse_cm|875KFL26A</stp>
        <stp>Symbol</stp>
        <tr r="A1155" s="1"/>
      </tp>
      <tp t="s">
        <v>975MFL29A</v>
        <stp/>
        <stp>bse_cm|975MFL29A</stp>
        <stp>Symbol</stp>
        <tr r="A854" s="1"/>
      </tp>
      <tp t="e">
        <v>#N/A</v>
        <stp/>
        <stp>bse_cm|975SFL024</stp>
        <stp>Symbol</stp>
        <tr r="A31" s="1"/>
      </tp>
      <tp t="s">
        <v>971SCL29A</v>
        <stp/>
        <stp>bse_cm|971SCL29A</stp>
        <stp>Symbol</stp>
        <tr r="A862" s="1"/>
      </tp>
      <tp t="s">
        <v>971SCL28I</v>
        <stp/>
        <stp>bse_cm|971SCL28I</stp>
        <stp>Symbol</stp>
        <tr r="A1471" s="1"/>
      </tp>
      <tp t="s">
        <v>971SCL28B</v>
        <stp/>
        <stp>bse_cm|971SCL28B</stp>
        <stp>Symbol</stp>
        <tr r="A714" s="1"/>
      </tp>
      <tp t="s">
        <v>971SCL28C</v>
        <stp/>
        <stp>bse_cm|971SCL28C</stp>
        <stp>Symbol</stp>
        <tr r="A827" s="1"/>
      </tp>
      <tp t="s">
        <v>971SCL28A</v>
        <stp/>
        <stp>bse_cm|971SCL28A</stp>
        <stp>Symbol</stp>
        <tr r="A1027" s="1"/>
      </tp>
      <tp>
        <v>981.8</v>
        <stp/>
        <stp>bse_cm|10IIFL28A</stp>
        <stp xml:space="preserve">Low </stp>
        <tr r="O101" s="1"/>
      </tp>
      <tp t="s">
        <v>10IIFLSF27</v>
        <stp/>
        <stp>bse_cm|10IIFLSF27</stp>
        <stp>Trading Symbol</stp>
        <tr r="B1098" s="1"/>
      </tp>
      <tp>
        <v>12</v>
        <stp/>
        <stp>bse_cm|925KLMAF25</stp>
        <stp>Bid Qty</stp>
        <tr r="D612" s="1"/>
      </tp>
      <tp>
        <v>20</v>
        <stp/>
        <stp>bse_cm|950KLMAF25</stp>
        <stp>Bid Qty</stp>
        <tr r="D1149" s="1"/>
      </tp>
      <tp>
        <v>17</v>
        <stp/>
        <stp>bse_cm|975KLMAF26</stp>
        <stp>Bid Qty</stp>
        <tr r="D857" s="1"/>
      </tp>
      <tp>
        <v>990.11</v>
        <stp/>
        <stp>bse_cm|95CCIL24A</stp>
        <stp>High</stp>
        <tr r="N873" s="1"/>
      </tp>
      <tp>
        <v>0</v>
        <stp/>
        <stp>bse_cm|10KAFL26A</stp>
        <stp>High</stp>
        <tr r="N1095" s="1"/>
      </tp>
      <tp>
        <v>975</v>
        <stp/>
        <stp>bse_cm|10KAFL26B</stp>
        <stp>High</stp>
        <tr r="N1094" s="1"/>
      </tp>
      <tp t="s">
        <v>INE05F407BN1</v>
        <stp/>
        <stp>bse_cm|1025MML25</stp>
        <stp>Isin code</stp>
        <tr r="R766" s="1"/>
      </tp>
      <tp t="s">
        <v>INE05F407BS0</v>
        <stp/>
        <stp>bse_cm|1015MML25</stp>
        <stp>Isin code</stp>
        <tr r="R1103" s="1"/>
      </tp>
      <tp t="s">
        <v>INE05F407CS8</v>
        <stp/>
        <stp>bse_cm|1070MML25</stp>
        <stp>Isin code</stp>
        <tr r="R1504" s="1"/>
      </tp>
      <tp t="s">
        <v>INE05F407BZ5</v>
        <stp/>
        <stp>bse_cm|1050MML25</stp>
        <stp>Isin code</stp>
        <tr r="R1503" s="1"/>
      </tp>
      <tp>
        <v>1000</v>
        <stp/>
        <stp>nse_cm|SCLZC25D-NJ</stp>
        <stp>Face Value</stp>
        <tr r="Q1699" s="1"/>
      </tp>
      <tp>
        <v>1000</v>
        <stp/>
        <stp>nse_cm|SCLZC26D-NO</stp>
        <stp>Face Value</stp>
        <tr r="Q901" s="1"/>
      </tp>
      <tp t="s">
        <v>INE403Q07CM2</v>
        <stp/>
        <stp>bse_cm|950KFIL26</stp>
        <stp>Isin code</stp>
        <tr r="R602" s="1"/>
      </tp>
      <tp t="s">
        <v>11CCIL27</v>
        <stp/>
        <stp>bse_cm|11CCIL27</stp>
        <stp>Trading Symbol</stp>
        <tr r="B691" s="1"/>
      </tp>
      <tp t="s">
        <v>11CCIL26</v>
        <stp/>
        <stp>bse_cm|11CCIL26</stp>
        <stp>Trading Symbol</stp>
        <tr r="B625" s="1"/>
      </tp>
      <tp t="s">
        <v>10KFIL27</v>
        <stp/>
        <stp>bse_cm|10KFIL27</stp>
        <stp>Trading Symbol</stp>
        <tr r="B183" s="1"/>
      </tp>
      <tp t="s">
        <v>ABFL26</v>
        <stp/>
        <stp>nse_cm|ABFL26-N1</stp>
        <stp>Symbol</stp>
        <tr r="A1679" s="1"/>
      </tp>
      <tp t="s">
        <v>INE741K07561</v>
        <stp/>
        <stp>nse_cm|CAGL25-N8</stp>
        <stp>Isin code</stp>
        <tr r="R710" s="1"/>
      </tp>
      <tp t="s">
        <v>CAGL25</v>
        <stp/>
        <stp>nse_cm|CAGL25-N8</stp>
        <stp>Symbol</stp>
        <tr r="A710" s="1"/>
      </tp>
      <tp t="s">
        <v>925ICCL25I-NP</v>
        <stp/>
        <stp>nse_cm|925ICCL25I-NP</stp>
        <stp>Trading Symbol</stp>
        <tr r="B777" s="1"/>
      </tp>
      <tp t="s">
        <v>INE342T07411</v>
        <stp/>
        <stp>nse_cm|975NFL25-N0</stp>
        <stp>Isin code</stp>
        <tr r="R256" s="1"/>
      </tp>
      <tp t="s">
        <v>INE538L07528</v>
        <stp/>
        <stp>bse_cm|935AHFL28</stp>
        <stp>Isin code</stp>
        <tr r="R456" s="1"/>
      </tp>
      <tp t="s">
        <v>INE906B07DE1</v>
        <stp/>
        <stp>bse_cm|850NHAI29</stp>
        <stp>Isin code</stp>
        <tr r="R580" s="1"/>
      </tp>
      <tp t="s">
        <v>INE549K07EH1</v>
        <stp/>
        <stp>bse_cm|940MFCL26</stp>
        <stp>Isin code</stp>
        <tr r="R200" s="1"/>
      </tp>
      <tp t="s">
        <v>INE342T07403</v>
        <stp/>
        <stp>bse_cm|1102NFL26</stp>
        <stp>Isin code</stp>
        <tr r="R567" s="1"/>
      </tp>
      <tp t="s">
        <v>INE134E07CJ5</v>
        <stp/>
        <stp>bse_cm|750PFCL38</stp>
        <stp>Isin code</stp>
        <tr r="R1196" s="1"/>
      </tp>
      <tp t="s">
        <v>INE906B07DF8</v>
        <stp/>
        <stp>bse_cm|875NHAI29</stp>
        <stp>Isin code</stp>
        <tr r="R496" s="1"/>
      </tp>
      <tp t="s">
        <v>INE134E07CK3</v>
        <stp/>
        <stp>bse_cm|755PFCL38</stp>
        <stp>Isin code</stp>
        <tr r="R434" s="1"/>
      </tp>
      <tp t="s">
        <v>INE101Q07599</v>
        <stp/>
        <stp>bse_cm|105MMFL25</stp>
        <stp>Isin code</stp>
        <tr r="R1171" s="1"/>
      </tp>
      <tp t="s">
        <v>INE342T07387</v>
        <stp/>
        <stp>bse_cm|1050NFL26</stp>
        <stp>Isin code</stp>
        <tr r="R260" s="1"/>
      </tp>
      <tp t="s">
        <v>INE342T07437</v>
        <stp/>
        <stp>bse_cm|1040NFL26</stp>
        <stp>Isin code</stp>
        <tr r="R1453" s="1"/>
      </tp>
      <tp t="s">
        <v>INE342T07452</v>
        <stp/>
        <stp>bse_cm|1090NFL26</stp>
        <stp>Isin code</stp>
        <tr r="R364" s="1"/>
      </tp>
      <tp t="s">
        <v>888IHFL25F-NC</v>
        <stp/>
        <stp>nse_cm|888IHFL25F-NC</stp>
        <stp>Trading Symbol</stp>
        <tr r="B343" s="1"/>
      </tp>
      <tp t="s">
        <v>INE557F07181</v>
        <stp/>
        <stp>nse_cm|893NHB29-N6</stp>
        <stp>Isin code</stp>
        <tr r="R529" s="1"/>
      </tp>
      <tp t="s">
        <v>INE906B07EM2</v>
        <stp/>
        <stp>bse_cm|704NHAI26</stp>
        <stp>Isin code</stp>
        <tr r="R1204" s="1"/>
      </tp>
      <tp t="s">
        <v>INE549K07DO9</v>
        <stp/>
        <stp>bse_cm|925MFCL26</stp>
        <stp>Isin code</stp>
        <tr r="R1610" s="1"/>
      </tp>
      <tp t="s">
        <v>INE477L07AR0</v>
        <stp/>
        <stp>bse_cm|875IHFL29</stp>
        <stp>Isin code</stp>
        <tr r="R1230" s="1"/>
      </tp>
      <tp t="s">
        <v>INE538L07536</v>
        <stp/>
        <stp>bse_cm|975AHFL28</stp>
        <stp>Isin code</stp>
        <tr r="R324" s="1"/>
      </tp>
      <tp t="s">
        <v>INE906B07EG4</v>
        <stp/>
        <stp>bse_cm|714NHAI26</stp>
        <stp>Isin code</stp>
        <tr r="R1662" s="1"/>
      </tp>
      <tp t="s">
        <v>INE530B07310</v>
        <stp/>
        <stp>bse_cm|865IIFL28</stp>
        <stp>Isin code</stp>
        <tr r="R75" s="1"/>
      </tp>
      <tp t="s">
        <v>INE906B07EN0</v>
        <stp/>
        <stp>bse_cm|729NHAI26</stp>
        <stp>Isin code</stp>
        <tr r="R348" s="1"/>
      </tp>
      <tp t="s">
        <v>INE477L07AQ2</v>
        <stp/>
        <stp>bse_cm|843IHFL29</stp>
        <stp>Isin code</stp>
        <tr r="R139" s="1"/>
      </tp>
      <tp t="s">
        <v>INE906B07EH2</v>
        <stp/>
        <stp>bse_cm|739NHAI26</stp>
        <stp>Isin code</stp>
        <tr r="R442" s="1"/>
      </tp>
      <tp t="s">
        <v>INE039A07843</v>
        <stp/>
        <stp>nse_cm|94IFCI25-NL</stp>
        <stp>Isin code</stp>
        <tr r="R235" s="1"/>
      </tp>
      <tp t="s">
        <v>MML27524A</v>
        <stp/>
        <stp>bse_cm|MML27524A</stp>
        <stp>Symbol</stp>
        <tr r="A1250" s="1"/>
      </tp>
      <tp t="s">
        <v>916NWIL27</v>
        <stp/>
        <stp>bse_cm|916NWIL27</stp>
        <stp>Symbol</stp>
        <tr r="A209" s="1"/>
      </tp>
      <tp t="s">
        <v>915NWIL25</v>
        <stp/>
        <stp>bse_cm|915NWIL25</stp>
        <stp>Symbol</stp>
        <tr r="A620" s="1"/>
      </tp>
      <tp>
        <v>965</v>
        <stp/>
        <stp>bse_cm|EFSLZC28C</stp>
        <stp>High</stp>
        <tr r="N1331" s="1"/>
      </tp>
      <tp t="s">
        <v>115CCIL28</v>
        <stp/>
        <stp>bse_cm|115CCIL28</stp>
        <stp>Symbol</stp>
        <tr r="A382" s="1"/>
      </tp>
      <tp t="s">
        <v>INE321N07376</v>
        <stp/>
        <stp>bse_cm|984IFSL26</stp>
        <stp>Isin code</stp>
        <tr r="R457" s="1"/>
      </tp>
      <tp>
        <v>1145</v>
        <stp/>
        <stp>bse_cm|IIFLZC28A</stp>
        <stp>High</stp>
        <tr r="N1628" s="1"/>
      </tp>
      <tp t="s">
        <v>INE532F07DS6</v>
        <stp/>
        <stp>bse_cm|960EFSL26</stp>
        <stp>Isin code</stp>
        <tr r="R690" s="1"/>
      </tp>
      <tp t="s">
        <v>INE321N07277</v>
        <stp/>
        <stp>bse_cm|965IFSL26</stp>
        <stp>Isin code</stp>
        <tr r="R1142" s="1"/>
      </tp>
      <tp t="s">
        <v>950KLMF26</v>
        <stp/>
        <stp>bse_cm|950KLMF26</stp>
        <stp>Symbol</stp>
        <tr r="A278" s="1"/>
      </tp>
      <tp t="s">
        <v>INE05F407BK7</v>
        <stp/>
        <stp>bse_cm|10MMLTD24</stp>
        <stp>Isin code</stp>
        <tr r="R1615" s="1"/>
      </tp>
      <tp>
        <v>1155.0999999999999</v>
        <stp/>
        <stp>bse_cm|IIFLZC28C</stp>
        <stp>High</stp>
        <tr r="N1404" s="1"/>
      </tp>
      <tp t="s">
        <v>INE148I07MB2</v>
        <stp/>
        <stp>nse_cm|847SCL25-Z2</stp>
        <stp>Isin code</stp>
        <tr r="R212" s="1"/>
      </tp>
      <tp>
        <v>1030</v>
        <stp/>
        <stp>bse_cm|IIFLZC28B</stp>
        <stp>High</stp>
        <tr r="N1595" s="1"/>
      </tp>
      <tp t="s">
        <v>INE532F07FP7</v>
        <stp/>
        <stp>bse_cm|950EFSL26</stp>
        <stp>Isin code</stp>
        <tr r="R1493" s="1"/>
      </tp>
      <tp t="s">
        <v>INE532F07BY8</v>
        <stp/>
        <stp>bse_cm|955EFSL26</stp>
        <stp>Isin code</stp>
        <tr r="R503" s="1"/>
      </tp>
      <tp>
        <v>1242</v>
        <stp/>
        <stp>bse_cm|MMFLZC28A</stp>
        <stp>High</stp>
        <tr r="N1348" s="1"/>
      </tp>
      <tp t="s">
        <v>INE532F07DP2</v>
        <stp/>
        <stp>bse_cm|920EFSL26</stp>
        <stp>Isin code</stp>
        <tr r="R223" s="1"/>
      </tp>
      <tp t="s">
        <v>INE532F07BM3</v>
        <stp/>
        <stp>bse_cm|939EFSL26</stp>
        <stp>Isin code</stp>
        <tr r="R188" s="1"/>
      </tp>
      <tp t="s">
        <v>INE033L07GO5</v>
        <stp/>
        <stp>nse_cm|801TCH25-N4</stp>
        <stp>Isin code</stp>
        <tr r="R493" s="1"/>
      </tp>
      <tp t="s">
        <v>INE148I07ST1</v>
        <stp/>
        <stp>nse_cm|957SCL31-Z3</stp>
        <stp>Isin code</stp>
        <tr r="R874" s="1"/>
      </tp>
      <tp>
        <v>1204</v>
        <stp/>
        <stp>bse_cm|MMFLZC28B</stp>
        <stp>High</stp>
        <tr r="N1535" s="1"/>
      </tp>
      <tp t="s">
        <v>INE532F07BX0</v>
        <stp/>
        <stp>bse_cm|916EFSL26</stp>
        <stp>Isin code</stp>
        <tr r="R69" s="1"/>
      </tp>
      <tp t="s">
        <v>INE532F07CF5</v>
        <stp/>
        <stp>bse_cm|915EFSL26</stp>
        <stp>Isin code</stp>
        <tr r="R93" s="1"/>
      </tp>
      <tp>
        <v>0</v>
        <stp/>
        <stp>nse_cm|84CIFCL28-NA</stp>
        <stp>Open</stp>
        <tr r="M388" s="1"/>
      </tp>
      <tp>
        <v>0</v>
        <stp/>
        <stp>nse_cm|835SCL23A-YH</stp>
        <stp xml:space="preserve">Low </stp>
        <tr r="O833" s="1"/>
      </tp>
      <tp t="s">
        <v>00:00:00</v>
        <stp/>
        <stp>bse_cm|1119NFL27</stp>
        <stp>LTT</stp>
        <tr r="I1140" s="1"/>
      </tp>
      <tp>
        <v>820.8</v>
        <stp/>
        <stp>nse_cm|925SCL28B-YC</stp>
        <stp xml:space="preserve">Low </stp>
        <tr r="O825" s="1"/>
      </tp>
      <tp>
        <v>0</v>
        <stp/>
        <stp>bse_cm|1119NFL27</stp>
        <stp>LTP</stp>
        <tr r="H1140" s="1"/>
      </tp>
      <tp>
        <v>1055</v>
        <stp/>
        <stp>nse_cm|734IRFC28-N4</stp>
        <stp>Bid Rate</stp>
        <tr r="E455" s="1"/>
      </tp>
      <tp>
        <v>829</v>
        <stp/>
        <stp>bse_cm|1010EFSL28</stp>
        <stp>Bid Rate</stp>
        <tr r="E663" s="1"/>
      </tp>
      <tp t="s">
        <v>INE148I08272</v>
        <stp/>
        <stp>bse_cm|SCLZC26A</stp>
        <stp>Isin code</stp>
        <tr r="R1343" s="1"/>
      </tp>
      <tp t="s">
        <v>INE148I07OK9</v>
        <stp/>
        <stp>bse_cm|SCLZC25A</stp>
        <stp>Isin code</stp>
        <tr r="R1233" s="1"/>
      </tp>
      <tp t="s">
        <v>INE721A07PH3</v>
        <stp/>
        <stp>bse_cm|SFLZC26A</stp>
        <stp>Isin code</stp>
        <tr r="R1713" s="1"/>
      </tp>
      <tp t="s">
        <v>INE721A07PP6</v>
        <stp/>
        <stp>bse_cm|SFLZC25A</stp>
        <stp>Isin code</stp>
        <tr r="R1583" s="1"/>
      </tp>
      <tp>
        <v>970</v>
        <stp/>
        <stp>nse_cm|875SCL23A-YI</stp>
        <stp xml:space="preserve">Low </stp>
        <tr r="O1477" s="1"/>
      </tp>
      <tp>
        <v>0</v>
        <stp/>
        <stp>nse_cm|965SCL28B-YB</stp>
        <stp xml:space="preserve">Low </stp>
        <tr r="O819" s="1"/>
      </tp>
      <tp>
        <v>-100</v>
        <stp/>
        <stp>bse_cm|10MMFL27</stp>
        <stp>% Change</stp>
        <tr r="J1090" s="1"/>
      </tp>
      <tp>
        <v>823.65</v>
        <stp/>
        <stp>bse_cm|1050EFSL29</stp>
        <stp>Bid Rate</stp>
        <tr r="E1484" s="1"/>
      </tp>
      <tp>
        <v>980</v>
        <stp/>
        <stp>bse_cm|1010EFSL29</stp>
        <stp>Bid Rate</stp>
        <tr r="E1459" s="1"/>
      </tp>
      <tp>
        <v>902</v>
        <stp/>
        <stp>bse_cm|1004EFSL29</stp>
        <stp>Bid Rate</stp>
        <tr r="E1586" s="1"/>
      </tp>
      <tp t="s">
        <v>BSE</v>
        <stp/>
        <stp>bse_cm|88MFL28</stp>
        <stp>Exchange</stp>
        <tr r="C233" s="1"/>
      </tp>
      <tp>
        <v>972</v>
        <stp/>
        <stp>bse_cm|935MMFSL29</stp>
        <stp>Bid Rate</stp>
        <tr r="E1174" s="1"/>
      </tp>
      <tp>
        <v>0</v>
        <stp/>
        <stp>nse_cm|925SCL26A-YN</stp>
        <stp xml:space="preserve">Low </stp>
        <tr r="O838" s="1"/>
      </tp>
      <tp>
        <v>0</v>
        <stp/>
        <stp>nse_cm|980SCL33B-YL</stp>
        <stp>Volume Traded Today</stp>
        <tr r="L837" s="1"/>
      </tp>
      <tp>
        <v>0</v>
        <stp/>
        <stp>nse_cm|980SCL33D-YG</stp>
        <stp>Volume Traded Today</stp>
        <tr r="L830" s="1"/>
      </tp>
      <tp>
        <v>986.4</v>
        <stp/>
        <stp>bse_cm|934JMFCS28</stp>
        <stp>Bid Rate</stp>
        <tr r="E325" s="1"/>
      </tp>
      <tp>
        <v>0</v>
        <stp/>
        <stp>nse_cm|971SCL28C-BU</stp>
        <stp>Open</stp>
        <tr r="M826" s="1"/>
      </tp>
      <tp>
        <v>900</v>
        <stp/>
        <stp>nse_cm|835SCL23B-YM</stp>
        <stp xml:space="preserve">Low </stp>
        <tr r="O179" s="1"/>
      </tp>
      <tp>
        <v>0</v>
        <stp/>
        <stp>nse_cm|SCL310524-ZF</stp>
        <stp>Ask Rate</stp>
        <tr r="F593" s="1"/>
      </tp>
      <tp>
        <v>0</v>
        <stp/>
        <stp>nse_cm|10SCL31-Z1</stp>
        <stp>High</stp>
        <tr r="N866" s="1"/>
      </tp>
      <tp>
        <v>1025</v>
        <stp/>
        <stp>bse_cm|975JMFCS28</stp>
        <stp>Bid Rate</stp>
        <tr r="E275" s="1"/>
      </tp>
      <tp t="s">
        <v/>
        <stp/>
        <stp>nse_cm|875SCFL27-Y9</stp>
        <stp>LTT</stp>
        <tr r="I927" s="1"/>
      </tp>
      <tp>
        <v>0</v>
        <stp/>
        <stp>nse_cm|875SCFL27-Y9</stp>
        <stp>LTP</stp>
        <tr r="H927" s="1"/>
      </tp>
      <tp>
        <v>968.36</v>
        <stp/>
        <stp>nse_cm|921ISFL25-N0</stp>
        <stp>Prev Close</stp>
        <tr r="P287" s="1"/>
      </tp>
      <tp>
        <v>1005</v>
        <stp/>
        <stp>bse_cm|981JMFCS28</stp>
        <stp>Bid Rate</stp>
        <tr r="E295" s="1"/>
      </tp>
      <tp>
        <v>0</v>
        <stp/>
        <stp>nse_cm|902SCL26I-AW</stp>
        <stp>Open</stp>
        <tr r="M1383" s="1"/>
      </tp>
      <tp>
        <v>985.2</v>
        <stp/>
        <stp>bse_cm|MFLI25A</stp>
        <stp xml:space="preserve">Low </stp>
        <tr r="O362" s="1"/>
      </tp>
      <tp>
        <v>0</v>
        <stp/>
        <stp>bse_cm|1030ICC26</stp>
        <stp>ATP</stp>
        <tr r="K1538" s="1"/>
      </tp>
      <tp>
        <v>0</v>
        <stp/>
        <stp>nse_cm|888SCL26A-ZC</stp>
        <stp>Volume Traded Today</stp>
        <tr r="L839" s="1"/>
      </tp>
      <tp>
        <v>0</v>
        <stp/>
        <stp>bse_cm|967NIDO28</stp>
        <stp>Volume Traded Today</stp>
        <tr r="L227" s="1"/>
      </tp>
      <tp>
        <v>0</v>
        <stp/>
        <stp>bse_cm|957NIDO26</stp>
        <stp>Volume Traded Today</stp>
        <tr r="L329" s="1"/>
      </tp>
      <tp t="s">
        <v>NIDOZC26</v>
        <stp/>
        <stp>nse_cm|NIDOZC26-N7</stp>
        <stp>Symbol</stp>
        <tr r="A28" s="1"/>
      </tp>
      <tp>
        <v>0</v>
        <stp/>
        <stp>nse_cm|888SCL25B-Y2</stp>
        <stp>Volume Traded Today</stp>
        <tr r="L789" s="1"/>
      </tp>
      <tp>
        <v>1026</v>
        <stp/>
        <stp>bse_cm|805MMFSL32</stp>
        <stp>Bid Rate</stp>
        <tr r="E401" s="1"/>
      </tp>
      <tp>
        <v>0</v>
        <stp/>
        <stp>bse_cm|0MML27524</stp>
        <stp>Volume Traded Today</stp>
        <tr r="L1042" s="1"/>
      </tp>
      <tp>
        <v>-0.19</v>
        <stp/>
        <stp>bse_cm|9MMFSL26</stp>
        <stp>% Change</stp>
        <tr r="J334" s="1"/>
      </tp>
      <tp>
        <v>892</v>
        <stp/>
        <stp>bse_cm|830JMFPL30</stp>
        <stp>Bid Rate</stp>
        <tr r="E251" s="1"/>
      </tp>
      <tp t="s">
        <v>00:00:00</v>
        <stp/>
        <stp>bse_cm|1015SCL29</stp>
        <stp>LTT</stp>
        <tr r="I1177" s="1"/>
      </tp>
      <tp t="s">
        <v>00:00:00</v>
        <stp/>
        <stp>bse_cm|1015SCL28</stp>
        <stp>LTT</stp>
        <tr r="I327" s="1"/>
      </tp>
      <tp>
        <v>0</v>
        <stp/>
        <stp>bse_cm|1015SCL29</stp>
        <stp>LTP</stp>
        <tr r="H1177" s="1"/>
      </tp>
      <tp>
        <v>0</v>
        <stp/>
        <stp>bse_cm|1015SCL28</stp>
        <stp>LTP</stp>
        <tr r="H327" s="1"/>
      </tp>
      <tp t="s">
        <v>00:00:00</v>
        <stp/>
        <stp>bse_cm|1015MML25</stp>
        <stp>LTT</stp>
        <tr r="I1103" s="1"/>
      </tp>
      <tp>
        <v>1070</v>
        <stp/>
        <stp>bse_cm|1015ECL29</stp>
        <stp>LTP</stp>
        <tr r="H210" s="1"/>
      </tp>
      <tp>
        <v>0</v>
        <stp/>
        <stp>bse_cm|1015MML25</stp>
        <stp>LTP</stp>
        <tr r="H1103" s="1"/>
      </tp>
      <tp t="s">
        <v>09:19:20</v>
        <stp/>
        <stp>bse_cm|1015ECL29</stp>
        <stp>LTT</stp>
        <tr r="I210" s="1"/>
      </tp>
      <tp>
        <v>1040</v>
        <stp/>
        <stp>nse_cm|960ISFL25-N1</stp>
        <stp>Prev Close</stp>
        <tr r="P1695" s="1"/>
      </tp>
      <tp t="s">
        <v>IIFLZC25</v>
        <stp/>
        <stp>nse_cm|IIFLZC25-ND</stp>
        <stp>Symbol</stp>
        <tr r="A1742" s="1"/>
      </tp>
      <tp>
        <v>1001</v>
        <stp/>
        <stp>bse_cm|994SMCGS29</stp>
        <stp>Bid Rate</stp>
        <tr r="E221" s="1"/>
      </tp>
      <tp>
        <v>1159.8</v>
        <stp/>
        <stp>bse_cm|MFLVII25G</stp>
        <stp>Prev Close</stp>
        <tr r="P1729" s="1"/>
      </tp>
      <tp>
        <v>1000</v>
        <stp/>
        <stp>bse_cm|MFLIII25C</stp>
        <stp>Prev Close</stp>
        <tr r="P213" s="1"/>
      </tp>
      <tp>
        <v>0</v>
        <stp/>
        <stp>bse_cm|984IFSL26</stp>
        <stp>Volume Traded Today</stp>
        <tr r="L457" s="1"/>
      </tp>
      <tp>
        <v>50</v>
        <stp/>
        <stp>bse_cm|MFLVII27</stp>
        <stp>Bid Qty</stp>
        <tr r="D1397" s="1"/>
      </tp>
      <tp>
        <v>179</v>
        <stp/>
        <stp>bse_cm|MFLTDI25</stp>
        <stp>Bid Qty</stp>
        <tr r="D1476" s="1"/>
      </tp>
      <tp>
        <v>939.2</v>
        <stp/>
        <stp>nse_cm|875IHFL29-ND</stp>
        <stp>LTP</stp>
        <tr r="H77" s="1"/>
      </tp>
      <tp t="s">
        <v/>
        <stp/>
        <stp>nse_cm|875IHFL29-ND</stp>
        <stp>LTT</stp>
        <tr r="I77" s="1"/>
      </tp>
      <tp>
        <v>979</v>
        <stp/>
        <stp>nse_cm|875IIFL26-NM</stp>
        <stp>LTP</stp>
        <tr r="H640" s="1"/>
      </tp>
      <tp t="s">
        <v/>
        <stp/>
        <stp>nse_cm|875IIFL26-NM</stp>
        <stp>LTT</stp>
        <tr r="I640" s="1"/>
      </tp>
      <tp>
        <v>180</v>
        <stp/>
        <stp>bse_cm|MFLIII25</stp>
        <stp>Bid Qty</stp>
        <tr r="D1501" s="1"/>
      </tp>
      <tp t="s">
        <v>NSE</v>
        <stp/>
        <stp>nse_cm|1015SCL29-ZL</stp>
        <stp>Exchange</stp>
        <tr r="C1176" s="1"/>
      </tp>
      <tp t="s">
        <v>BSE</v>
        <stp/>
        <stp>bse_cm|88SCL25</stp>
        <stp>Exchange</stp>
        <tr r="C987" s="1"/>
      </tp>
      <tp t="s">
        <v/>
        <stp/>
        <stp>nse_cm|957NIDO26-N5</stp>
        <stp>LTT</stp>
        <tr r="I255" s="1"/>
      </tp>
      <tp>
        <v>971</v>
        <stp/>
        <stp>nse_cm|957NIDO26-N5</stp>
        <stp>LTP</stp>
        <tr r="H255" s="1"/>
      </tp>
      <tp>
        <v>972.1</v>
        <stp/>
        <stp>nse_cm|10IIFL28A-NE</stp>
        <stp>ATP</stp>
        <tr r="K108" s="1"/>
      </tp>
      <tp>
        <v>0</v>
        <stp/>
        <stp>nse_cm|888SCL25A-AQ</stp>
        <stp>Volume Traded Today</stp>
        <tr r="L910" s="1"/>
      </tp>
      <tp>
        <v>0</v>
        <stp/>
        <stp>nse_cm|971SCL28I-BC</stp>
        <stp>Open</stp>
        <tr r="M531" s="1"/>
      </tp>
      <tp>
        <v>0</v>
        <stp/>
        <stp>nse_cm|1050SCL31-ZP</stp>
        <stp>Ask Rate</stp>
        <tr r="F891" s="1"/>
      </tp>
      <tp t="s">
        <v>BSE</v>
        <stp/>
        <stp>bse_cm|98SCL27</stp>
        <stp>Exchange</stp>
        <tr r="C1545" s="1"/>
      </tp>
      <tp>
        <v>0</v>
        <stp/>
        <stp>nse_cm|980SCL33A-N3</stp>
        <stp>Volume Traded Today</stp>
        <tr r="L1055" s="1"/>
      </tp>
      <tp>
        <v>0</v>
        <stp/>
        <stp>nse_cm|980SCL33C-ND</stp>
        <stp>Volume Traded Today</stp>
        <tr r="L1385" s="1"/>
      </tp>
      <tp>
        <v>1114</v>
        <stp/>
        <stp>bse_cm|EFSL25B</stp>
        <stp xml:space="preserve">Low </stp>
        <tr r="O1682" s="1"/>
      </tp>
      <tp>
        <v>1365.63</v>
        <stp/>
        <stp>nse_cm|891NTPC33-N6</stp>
        <stp>Prev Close</stp>
        <tr r="P535" s="1"/>
      </tp>
      <tp t="s">
        <v/>
        <stp/>
        <stp>nse_cm|960CAGL25-N3</stp>
        <stp>LTT</stp>
        <tr r="I305" s="1"/>
      </tp>
      <tp>
        <v>1003</v>
        <stp/>
        <stp>nse_cm|960CAGL25-N3</stp>
        <stp>LTP</stp>
        <tr r="H305" s="1"/>
      </tp>
      <tp>
        <v>1121</v>
        <stp/>
        <stp>bse_cm|EFSL25A</stp>
        <stp xml:space="preserve">Low </stp>
        <tr r="O1706" s="1"/>
      </tp>
      <tp t="s">
        <v>NSE</v>
        <stp/>
        <stp>nse_cm|1025SCL33-YJ</stp>
        <stp>Exchange</stp>
        <tr r="C836" s="1"/>
      </tp>
      <tp>
        <v>1000</v>
        <stp/>
        <stp>nse_cm|925SCFL25-AD</stp>
        <stp>Face Value</stp>
        <tr r="Q773" s="1"/>
      </tp>
      <tp t="s">
        <v>INE403Q08241</v>
        <stp/>
        <stp>bse_cm|KFLZC28A</stp>
        <stp>Isin code</stp>
        <tr r="R1289" s="1"/>
      </tp>
      <tp t="s">
        <v>INE403Q07EB1</v>
        <stp/>
        <stp>bse_cm|KFLZC27A</stp>
        <stp>Isin code</stp>
        <tr r="R1291" s="1"/>
      </tp>
      <tp t="s">
        <v>INE403Q08167</v>
        <stp/>
        <stp>bse_cm|KFLZC26A</stp>
        <stp>Isin code</stp>
        <tr r="R1442" s="1"/>
      </tp>
      <tp t="s">
        <v>INE403Q07912</v>
        <stp/>
        <stp>bse_cm|KFLZC25A</stp>
        <stp>Isin code</stp>
        <tr r="R1738" s="1"/>
      </tp>
      <tp>
        <v>997.45</v>
        <stp/>
        <stp>nse_cm|866SCFL25-Y8</stp>
        <stp>Ask Rate</stp>
        <tr r="F158" s="1"/>
      </tp>
      <tp>
        <v>5</v>
        <stp/>
        <stp>bse_cm|IIFLHF29</stp>
        <stp>Bid Qty</stp>
        <tr r="D1631" s="1"/>
      </tp>
      <tp>
        <v>1000</v>
        <stp/>
        <stp>nse_cm|957ICCL25-YW</stp>
        <stp>Face Value</stp>
        <tr r="Q386" s="1"/>
      </tp>
      <tp>
        <v>1305</v>
        <stp/>
        <stp>nse_cm|866NTPC33-N3</stp>
        <stp>Prev Close</stp>
        <tr r="P555" s="1"/>
      </tp>
      <tp>
        <v>975</v>
        <stp/>
        <stp>nse_cm|925SCL26B-YQ</stp>
        <stp xml:space="preserve">Low </stp>
        <tr r="O90" s="1"/>
      </tp>
      <tp>
        <v>1000</v>
        <stp/>
        <stp>nse_cm|965SCFL25-AB</stp>
        <stp>Face Value</stp>
        <tr r="Q664" s="1"/>
      </tp>
      <tp>
        <v>0</v>
        <stp/>
        <stp>nse_cm|888SCL25E-N4</stp>
        <stp>Volume Traded Today</stp>
        <tr r="L1444" s="1"/>
      </tp>
      <tp>
        <v>0</v>
        <stp/>
        <stp>nse_cm|888SCL25D-NC</stp>
        <stp>Volume Traded Today</stp>
        <tr r="L916" s="1"/>
      </tp>
      <tp t="s">
        <v>INE549K07DK7</v>
        <stp/>
        <stp>bse_cm|MFLZC29A</stp>
        <stp>Isin code</stp>
        <tr r="R1554" s="1"/>
      </tp>
      <tp t="s">
        <v>INE549K07BG9</v>
        <stp/>
        <stp>bse_cm|MFLZC27A</stp>
        <stp>Isin code</stp>
        <tr r="R1270" s="1"/>
      </tp>
      <tp t="s">
        <v>INE414G07DQ9</v>
        <stp/>
        <stp>bse_cm|MFLZC26A</stp>
        <stp>Isin code</stp>
        <tr r="R1715" s="1"/>
      </tp>
      <tp t="s">
        <v>INE549K07618</v>
        <stp/>
        <stp>bse_cm|MFLZC25A</stp>
        <stp>Isin code</stp>
        <tr r="R1757" s="1"/>
      </tp>
      <tp t="s">
        <v/>
        <stp/>
        <stp>nse_cm|925SFCL25-AC</stp>
        <stp>LTT</stp>
        <tr r="I604" s="1"/>
      </tp>
      <tp>
        <v>998</v>
        <stp/>
        <stp>nse_cm|925SFCL25-AC</stp>
        <stp>LTP</stp>
        <tr r="H604" s="1"/>
      </tp>
      <tp>
        <v>1000</v>
        <stp/>
        <stp>nse_cm|940CAGL27-NB</stp>
        <stp>Face Value</stp>
        <tr r="Q1367" s="1"/>
      </tp>
      <tp>
        <v>3</v>
        <stp/>
        <stp>nse_cm|890NHB34-N7</stp>
        <stp>Ask Qty</stp>
        <tr r="G537" s="1"/>
      </tp>
      <tp>
        <v>5</v>
        <stp/>
        <stp>nse_cm|893NHB29-N6</stp>
        <stp>Ask Qty</stp>
        <tr r="G529" s="1"/>
      </tp>
      <tp>
        <v>0</v>
        <stp/>
        <stp>nse_cm|925SCFL25-AD</stp>
        <stp>Volume Traded Today</stp>
        <tr r="L773" s="1"/>
      </tp>
      <tp>
        <v>50</v>
        <stp/>
        <stp>nse_cm|888NHB29-N5</stp>
        <stp>Ask Qty</stp>
        <tr r="G504" s="1"/>
      </tp>
      <tp>
        <v>950</v>
        <stp/>
        <stp>bse_cm|9ARKA25</stp>
        <stp xml:space="preserve">Low </stp>
        <tr r="O1365" s="1"/>
      </tp>
      <tp>
        <v>0</v>
        <stp/>
        <stp>nse_cm|902SCL26I-AW</stp>
        <stp>ATP</stp>
        <tr r="K1383" s="1"/>
      </tp>
      <tp>
        <v>1180</v>
        <stp/>
        <stp>bse_cm|MFLZC30</stp>
        <stp>High</stp>
        <tr r="N1267" s="1"/>
      </tp>
      <tp>
        <v>0</v>
        <stp/>
        <stp>nse_cm|902SCL26A-NM</stp>
        <stp>ATP</stp>
        <tr r="K904" s="1"/>
      </tp>
      <tp>
        <v>1050</v>
        <stp/>
        <stp>bse_cm|MFOPTIV24</stp>
        <stp>Prev Close</stp>
        <tr r="P380" s="1"/>
      </tp>
      <tp>
        <v>0</v>
        <stp/>
        <stp>bse_cm|KFLZC31</stp>
        <stp>High</stp>
        <tr r="N1286" s="1"/>
      </tp>
      <tp>
        <v>2</v>
        <stp/>
        <stp>nse_cm|84TCHF28-NA</stp>
        <stp>Ask Qty</stp>
        <tr r="G402" s="1"/>
      </tp>
      <tp>
        <v>0</v>
        <stp/>
        <stp>nse_cm|921ISFL25-N0</stp>
        <stp>Volume Traded Today</stp>
        <tr r="L287" s="1"/>
      </tp>
      <tp>
        <v>1200</v>
        <stp/>
        <stp>nse_cm|9TCAP28-N9</stp>
        <stp>High</stp>
        <tr r="N544" s="1"/>
      </tp>
      <tp>
        <v>1029</v>
        <stp/>
        <stp>bse_cm|MFLZC32</stp>
        <stp>High</stp>
        <tr r="N1266" s="1"/>
      </tp>
      <tp>
        <v>920</v>
        <stp/>
        <stp>bse_cm|967EFSL29A</stp>
        <stp>Bid Rate</stp>
        <tr r="E180" s="1"/>
      </tp>
      <tp>
        <v>0</v>
        <stp/>
        <stp>nse_cm|820IIFL27-N9</stp>
        <stp>Volume Traded Today</stp>
        <tr r="L266" s="1"/>
      </tp>
      <tp>
        <v>10</v>
        <stp/>
        <stp>nse_cm|81TCHF28-N8</stp>
        <stp>Ask Qty</stp>
        <tr r="G467" s="1"/>
      </tp>
      <tp>
        <v>10</v>
        <stp/>
        <stp>nse_cm|83TCHF25-N6</stp>
        <stp>Ask Qty</stp>
        <tr r="G472" s="1"/>
      </tp>
      <tp>
        <v>0</v>
        <stp/>
        <stp>nse_cm|83TCHF28-N9</stp>
        <stp>Ask Qty</stp>
        <tr r="G831" s="1"/>
      </tp>
      <tp>
        <v>0</v>
        <stp/>
        <stp>nse_cm|850NHAI29-N5</stp>
        <stp>Volume Traded Today</stp>
        <tr r="L512" s="1"/>
      </tp>
      <tp>
        <v>0</v>
        <stp/>
        <stp>nse_cm|825IIFL25-N7</stp>
        <stp>Volume Traded Today</stp>
        <tr r="L49" s="1"/>
      </tp>
      <tp>
        <v>0</v>
        <stp/>
        <stp>nse_cm|925ERFL28-N6</stp>
        <stp>Volume Traded Today</stp>
        <tr r="L165" s="1"/>
      </tp>
      <tp>
        <v>1144</v>
        <stp/>
        <stp>nse_cm|82HUDCO27-N2</stp>
        <stp>LTP</stp>
        <tr r="H532" s="1"/>
      </tp>
      <tp t="s">
        <v>15:12:17</v>
        <stp/>
        <stp>nse_cm|82HUDCO27-N2</stp>
        <stp>LTT</stp>
        <tr r="I532" s="1"/>
      </tp>
      <tp>
        <v>0</v>
        <stp/>
        <stp>nse_cm|82TCHF25-N5</stp>
        <stp>Ask Qty</stp>
        <tr r="G1014" s="1"/>
      </tp>
      <tp>
        <v>0</v>
        <stp/>
        <stp>nse_cm|865NHB34-N4</stp>
        <stp>Ask Qty</stp>
        <tr r="G1166" s="1"/>
      </tp>
      <tp>
        <v>0</v>
        <stp/>
        <stp>nse_cm|868NHB29-N3</stp>
        <stp>Ask Qty</stp>
        <tr r="G1342" s="1"/>
      </tp>
      <tp>
        <v>900</v>
        <stp/>
        <stp>bse_cm|8ABFL26</stp>
        <stp xml:space="preserve">Low </stp>
        <tr r="O539" s="1"/>
      </tp>
      <tp>
        <v>0</v>
        <stp/>
        <stp>bse_cm|921ISFL25</stp>
        <stp>LTP</stp>
        <tr r="H350" s="1"/>
      </tp>
      <tp t="s">
        <v>00:00:00</v>
        <stp/>
        <stp>bse_cm|921ISFL25</stp>
        <stp>LTT</stp>
        <tr r="I350" s="1"/>
      </tp>
      <tp>
        <v>0</v>
        <stp/>
        <stp>bse_cm|753IRFC30</stp>
        <stp>ATP</stp>
        <tr r="K454" s="1"/>
      </tp>
      <tp>
        <v>1009</v>
        <stp/>
        <stp>bse_cm|9PCHFL31A</stp>
        <stp>ATP</stp>
        <tr r="K301" s="1"/>
      </tp>
      <tp>
        <v>930.2</v>
        <stp/>
        <stp>bse_cm|MFLTDII27</stp>
        <stp>Prev Close</stp>
        <tr r="P297" s="1"/>
      </tp>
      <tp>
        <v>10</v>
        <stp/>
        <stp>nse_cm|797IGT31-NL</stp>
        <stp>Ask Qty</stp>
        <tr r="G374" s="1"/>
      </tp>
      <tp>
        <v>0</v>
        <stp/>
        <stp>nse_cm|795IGT31-NI</stp>
        <stp>Ask Qty</stp>
        <tr r="G1185" s="1"/>
      </tp>
      <tp>
        <v>0</v>
        <stp/>
        <stp>bse_cm|769NHAI31</stp>
        <stp>ATP</stp>
        <tr r="K465" s="1"/>
      </tp>
      <tp>
        <v>0</v>
        <stp/>
        <stp>bse_cm|1041KFL26</stp>
        <stp>Volume Traded Today</stp>
        <tr r="L1031" s="1"/>
      </tp>
      <tp>
        <v>0</v>
        <stp/>
        <stp>bse_cm|IFL190424</stp>
        <stp>Volume Traded Today</stp>
        <tr r="L1663" s="1"/>
      </tp>
      <tp t="s">
        <v>00:00:00</v>
        <stp/>
        <stp>bse_cm|704NHAI26</stp>
        <stp>LTT</stp>
        <tr r="I1204" s="1"/>
      </tp>
      <tp t="s">
        <v>00:00:00</v>
        <stp/>
        <stp>bse_cm|714NHAI26</stp>
        <stp>LTT</stp>
        <tr r="I1662" s="1"/>
      </tp>
      <tp>
        <v>0</v>
        <stp/>
        <stp>bse_cm|704NHAI26</stp>
        <stp>LTP</stp>
        <tr r="H1204" s="1"/>
      </tp>
      <tp>
        <v>0</v>
        <stp/>
        <stp>bse_cm|714NHAI26</stp>
        <stp>LTP</stp>
        <tr r="H1662" s="1"/>
      </tp>
      <tp>
        <v>1027</v>
        <stp/>
        <stp>bse_cm|729NHAI26</stp>
        <stp>ATP</stp>
        <tr r="K348" s="1"/>
      </tp>
      <tp>
        <v>1059</v>
        <stp/>
        <stp>bse_cm|739NHAI26</stp>
        <stp>ATP</stp>
        <tr r="K442" s="1"/>
      </tp>
      <tp>
        <v>-100</v>
        <stp/>
        <stp>bse_cm|12IML26A</stp>
        <stp>% Change</stp>
        <tr r="J1212" s="1"/>
      </tp>
      <tp>
        <v>0</v>
        <stp/>
        <stp>bse_cm|1040NFL26</stp>
        <stp>Volume Traded Today</stp>
        <tr r="L1453" s="1"/>
      </tp>
      <tp>
        <v>0</v>
        <stp/>
        <stp>bse_cm|1150KLM26</stp>
        <stp>Volume Traded Today</stp>
        <tr r="L1224" s="1"/>
      </tp>
      <tp>
        <v>0</v>
        <stp/>
        <stp>bse_cm|1050KLM27</stp>
        <stp>Volume Traded Today</stp>
        <tr r="L609" s="1"/>
      </tp>
      <tp>
        <v>0</v>
        <stp/>
        <stp>bse_cm|1040UCL25</stp>
        <stp>Volume Traded Today</stp>
        <tr r="L1612" s="1"/>
      </tp>
      <tp>
        <v>0</v>
        <stp/>
        <stp>nse_cm|772IGT31-NK</stp>
        <stp>Ask Qty</stp>
        <tr r="G1193" s="1"/>
      </tp>
      <tp>
        <v>850.2</v>
        <stp/>
        <stp>bse_cm|CCIL14824A</stp>
        <stp>Bid Rate</stp>
        <tr r="E590" s="1"/>
      </tp>
      <tp>
        <v>0</v>
        <stp/>
        <stp>nse_cm|769IGT28-NH</stp>
        <stp>Ask Qty</stp>
        <tr r="G1487" s="1"/>
      </tp>
      <tp>
        <v>-100</v>
        <stp/>
        <stp>bse_cm|10KFL24D</stp>
        <stp>% Change</stp>
        <tr r="J1424" s="1"/>
      </tp>
      <tp>
        <v>0</v>
        <stp/>
        <stp>nse_cm|925SCFL27-YA</stp>
        <stp>Volume Traded Today</stp>
        <tr r="L113" s="1"/>
      </tp>
      <tp>
        <v>1097.2</v>
        <stp/>
        <stp>nse_cm|764IRFC31-NO</stp>
        <stp>Bid Rate</stp>
        <tr r="E468" s="1"/>
      </tp>
      <tp>
        <v>842.8</v>
        <stp/>
        <stp>bse_cm|CCIL14824C</stp>
        <stp>Bid Rate</stp>
        <tr r="E751" s="1"/>
      </tp>
      <tp>
        <v>0</v>
        <stp/>
        <stp>nse_cm|745IGT26-NC</stp>
        <stp>Ask Qty</stp>
        <tr r="G1201" s="1"/>
      </tp>
      <tp>
        <v>0</v>
        <stp/>
        <stp>nse_cm|749IGT28-NG</stp>
        <stp>Ask Qty</stp>
        <tr r="G1197" s="1"/>
      </tp>
      <tp>
        <v>845.2</v>
        <stp/>
        <stp>bse_cm|CCIL14824B</stp>
        <stp>Bid Rate</stp>
        <tr r="E752" s="1"/>
      </tp>
      <tp>
        <v>0</v>
        <stp/>
        <stp>bse_cm|SCLZC26</stp>
        <stp>ATP</stp>
        <tr r="K1464" s="1"/>
      </tp>
      <tp>
        <v>0</v>
        <stp/>
        <stp>bse_cm|SCLZC25</stp>
        <stp>ATP</stp>
        <tr r="K917" s="1"/>
      </tp>
      <tp>
        <v>0</v>
        <stp/>
        <stp>nse_cm|820SCFL25-Y7</stp>
        <stp>Volume Traded Today</stp>
        <tr r="L926" s="1"/>
      </tp>
      <tp>
        <v>0</v>
        <stp/>
        <stp>bse_cm|101EFSL28</stp>
        <stp>LTP</stp>
        <tr r="H211" s="1"/>
      </tp>
      <tp t="s">
        <v>00:00:00</v>
        <stp/>
        <stp>bse_cm|101EFSL28</stp>
        <stp>LTT</stp>
        <tr r="I211" s="1"/>
      </tp>
      <tp t="s">
        <v>11DLSL25</v>
        <stp/>
        <stp>nse_cm|11DLSL25-NV</stp>
        <stp>Symbol</stp>
        <tr r="A48" s="1"/>
      </tp>
      <tp>
        <v>832.8</v>
        <stp/>
        <stp>bse_cm|CCI110324A</stp>
        <stp>Bid Rate</stp>
        <tr r="E1590" s="1"/>
      </tp>
      <tp>
        <v>0</v>
        <stp/>
        <stp>nse_cm|902SCL27A-ZI</stp>
        <stp>ATP</stp>
        <tr r="K1353" s="1"/>
      </tp>
      <tp>
        <v>960</v>
        <stp/>
        <stp>nse_cm|925SCL25B-Y3</stp>
        <stp xml:space="preserve">Low </stp>
        <tr r="O600" s="1"/>
      </tp>
      <tp>
        <v>0</v>
        <stp/>
        <stp>nse_cm|925SCL25H-Y0</stp>
        <stp xml:space="preserve">Low </stp>
        <tr r="O791" s="1"/>
      </tp>
      <tp>
        <v>0</v>
        <stp/>
        <stp>bse_cm|SFLZC26</stp>
        <stp>ATP</stp>
        <tr r="K801" s="1"/>
      </tp>
      <tp>
        <v>0</v>
        <stp/>
        <stp>bse_cm|SFLZC25</stp>
        <stp>ATP</stp>
        <tr r="K802" s="1"/>
      </tp>
      <tp t="e">
        <v>#N/A</v>
        <stp/>
        <stp>bse_cm|SFLZC24</stp>
        <stp>ATP</stp>
        <tr r="K30" s="1"/>
      </tp>
      <tp>
        <v>1026</v>
        <stp/>
        <stp>nse_cm|965SCL25B-Y1</stp>
        <stp xml:space="preserve">Low </stp>
        <tr r="O1502" s="1"/>
      </tp>
      <tp t="s">
        <v>BSE</v>
        <stp/>
        <stp>bse_cm|1119NFL27</stp>
        <stp>Exchange</stp>
        <tr r="C1140" s="1"/>
      </tp>
      <tp t="s">
        <v>IIFLHFZC27-NB</v>
        <stp/>
        <stp>nse_cm|IIFLHFZC27-NB</stp>
        <stp>Trading Symbol</stp>
        <tr r="B1672" s="1"/>
      </tp>
      <tp t="s">
        <v>948SCL27A</v>
        <stp/>
        <stp>bse_cm|948SCL27A</stp>
        <stp>Symbol</stp>
        <tr r="A697" s="1"/>
      </tp>
      <tp t="s">
        <v>948SCL26I</v>
        <stp/>
        <stp>bse_cm|948SCL26I</stp>
        <stp>Symbol</stp>
        <tr r="A1080" s="1"/>
      </tp>
      <tp t="s">
        <v>948SCL26B</v>
        <stp/>
        <stp>bse_cm|948SCL26B</stp>
        <stp>Symbol</stp>
        <tr r="A470" s="1"/>
      </tp>
      <tp t="s">
        <v>948SCL26A</v>
        <stp/>
        <stp>bse_cm|948SCL26A</stp>
        <stp>Symbol</stp>
        <tr r="A494" s="1"/>
      </tp>
      <tp t="s">
        <v>948SCL26D</v>
        <stp/>
        <stp>bse_cm|948SCL26D</stp>
        <stp>Symbol</stp>
        <tr r="A1081" s="1"/>
      </tp>
      <tp>
        <v>840.2</v>
        <stp/>
        <stp>nse_cm|0SCL27-YW</stp>
        <stp>Bid Rate</stp>
        <tr r="E1616" s="1"/>
      </tp>
      <tp t="s">
        <v>944MFL28A</v>
        <stp/>
        <stp>bse_cm|944MFL28A</stp>
        <stp>Symbol</stp>
        <tr r="A1073" s="1"/>
      </tp>
      <tp>
        <v>0</v>
        <stp/>
        <stp>bse_cm|975KLMAF26</stp>
        <stp>Ask Qty</stp>
        <tr r="G857" s="1"/>
      </tp>
      <tp>
        <v>0</v>
        <stp/>
        <stp>bse_cm|950KLMAF25</stp>
        <stp>Ask Qty</stp>
        <tr r="G1149" s="1"/>
      </tp>
      <tp>
        <v>0</v>
        <stp/>
        <stp>bse_cm|925KLMAF25</stp>
        <stp>Ask Qty</stp>
        <tr r="G612" s="1"/>
      </tp>
      <tp t="s">
        <v>940SCL26B</v>
        <stp/>
        <stp>bse_cm|940SCL26B</stp>
        <stp>Symbol</stp>
        <tr r="A905" s="1"/>
      </tp>
      <tp t="s">
        <v>940SCL26C</v>
        <stp/>
        <stp>bse_cm|940SCL26C</stp>
        <stp>Symbol</stp>
        <tr r="A794" s="1"/>
      </tp>
      <tp t="s">
        <v>940SCL26A</v>
        <stp/>
        <stp>bse_cm|940SCL26A</stp>
        <stp>Symbol</stp>
        <tr r="A920" s="1"/>
      </tp>
      <tp>
        <v>912</v>
        <stp/>
        <stp>nse_cm|0SCL26-YR</stp>
        <stp>Bid Rate</stp>
        <tr r="E1622" s="1"/>
      </tp>
      <tp>
        <v>1053.2</v>
        <stp/>
        <stp>bse_cm|91EFSL24A</stp>
        <stp xml:space="preserve">Low </stp>
        <tr r="O46" s="1"/>
      </tp>
      <tp>
        <v>990</v>
        <stp/>
        <stp>bse_cm|975MFL29A</stp>
        <stp>High</stp>
        <tr r="N854" s="1"/>
      </tp>
      <tp>
        <v>1083.23</v>
        <stp/>
        <stp>bse_cm|ICLFLZC29</stp>
        <stp>High</stp>
        <tr r="N1613" s="1"/>
      </tp>
      <tp>
        <v>900</v>
        <stp/>
        <stp>bse_cm|10EFSL34A</stp>
        <stp xml:space="preserve">Low </stp>
        <tr r="O131" s="1"/>
      </tp>
      <tp>
        <v>875</v>
        <stp/>
        <stp>bse_cm|11EFSL34A</stp>
        <stp xml:space="preserve">Low </stp>
        <tr r="O1408" s="1"/>
      </tp>
      <tp>
        <v>1008.1</v>
        <stp/>
        <stp>nse_cm|9SCL25-YM</stp>
        <stp>Bid Rate</stp>
        <tr r="E97" s="1"/>
      </tp>
      <tp t="s">
        <v>INE05F407CN9</v>
        <stp/>
        <stp>bse_cm|MML110924</stp>
        <stp>Isin code</stp>
        <tr r="R1257" s="1"/>
      </tp>
      <tp>
        <v>1000</v>
        <stp/>
        <stp>nse_cm|SCLZC25E-Y4</stp>
        <stp>Face Value</stp>
        <tr r="Q787" s="1"/>
      </tp>
      <tp>
        <v>1000</v>
        <stp/>
        <stp>nse_cm|SCLZC26E-NP</stp>
        <stp>Face Value</stp>
        <tr r="Q899" s="1"/>
      </tp>
      <tp>
        <v>5</v>
        <stp/>
        <stp>bse_cm|IIFLHFZC27</stp>
        <stp>Bid Qty</stp>
        <tr r="D1516" s="1"/>
      </tp>
      <tp t="s">
        <v>CAGL24</v>
        <stp/>
        <stp>nse_cm|CAGL24-N2</stp>
        <stp>Symbol</stp>
        <tr r="A1762" s="1"/>
      </tp>
      <tp t="s">
        <v>INE549K07DW2</v>
        <stp/>
        <stp>bse_cm|890MFCL26</stp>
        <stp>Isin code</stp>
        <tr r="R279" s="1"/>
      </tp>
      <tp>
        <v>875.4</v>
        <stp/>
        <stp>bse_cm|965ARKA26</stp>
        <stp xml:space="preserve">Low </stp>
        <tr r="O869" s="1"/>
      </tp>
      <tp t="s">
        <v>INE549K07EE8</v>
        <stp/>
        <stp>bse_cm|965MFCL27</stp>
        <stp>Isin code</stp>
        <tr r="R618" s="1"/>
      </tp>
      <tp>
        <v>875.4</v>
        <stp/>
        <stp>bse_cm|965ARKA28</stp>
        <stp xml:space="preserve">Low </stp>
        <tr r="O1349" s="1"/>
      </tp>
      <tp t="s">
        <v>INE342T07445</v>
        <stp/>
        <stp>bse_cm|1119NFL27</stp>
        <stp>Isin code</stp>
        <tr r="R1140" s="1"/>
      </tp>
      <tp t="s">
        <v>INE01CY077D3</v>
        <stp/>
        <stp>bse_cm|11ICLFL25</stp>
        <stp>Isin code</stp>
        <tr r="R452" s="1"/>
      </tp>
      <tp t="s">
        <v>INE549K07DN1</v>
        <stp/>
        <stp>bse_cm|950MFCL27</stp>
        <stp>Isin code</stp>
        <tr r="R1148" s="1"/>
      </tp>
      <tp t="s">
        <v>INE342T07460</v>
        <stp/>
        <stp>bse_cm|1065NFL27</stp>
        <stp>Isin code</stp>
        <tr r="R182" s="1"/>
      </tp>
      <tp t="s">
        <v>INE403Q07EN6</v>
        <stp/>
        <stp>bse_cm|KFL070824</stp>
        <stp>Isin code</stp>
        <tr r="R551" s="1"/>
      </tp>
      <tp t="s">
        <v>INE532F07FM4</v>
        <stp/>
        <stp>bse_cm|EFS290424</stp>
        <stp>Isin code</stp>
        <tr r="R570" s="1"/>
      </tp>
      <tp t="s">
        <v>INE423A07351</v>
        <stp/>
        <stp>nse_cm|925AEL26-N1</stp>
        <stp>Isin code</stp>
        <tr r="R330" s="1"/>
      </tp>
      <tp t="s">
        <v>INE549K07EC2</v>
        <stp/>
        <stp>bse_cm|925MFCL27</stp>
        <stp>Isin code</stp>
        <tr r="R262" s="1"/>
      </tp>
      <tp t="s">
        <v>INE549K07EA6</v>
        <stp/>
        <stp>bse_cm|MFCL16924</stp>
        <stp>Isin code</stp>
        <tr r="R579" s="1"/>
      </tp>
      <tp t="s">
        <v>INE549K07DY8</v>
        <stp/>
        <stp>bse_cm|915MFCL27</stp>
        <stp>Isin code</stp>
        <tr r="R1472" s="1"/>
      </tp>
      <tp t="s">
        <v>INE530L07616</v>
        <stp/>
        <stp>bse_cm|967NIDO28</stp>
        <stp>Isin code</stp>
        <tr r="R227" s="1"/>
      </tp>
      <tp>
        <v>1000</v>
        <stp/>
        <stp>bse_cm|CIFCZC26A</stp>
        <stp>High</stp>
        <tr r="N737" s="1"/>
      </tp>
      <tp>
        <v>1034</v>
        <stp/>
        <stp>bse_cm|975AHFL28</stp>
        <stp xml:space="preserve">Low </stp>
        <tr r="O324" s="1"/>
      </tp>
      <tp>
        <v>903</v>
        <stp/>
        <stp>bse_cm|935AHFL28</stp>
        <stp xml:space="preserve">Low </stp>
        <tr r="O456" s="1"/>
      </tp>
      <tp t="s">
        <v>INE774D08LZ5</v>
        <stp/>
        <stp>bse_cm|88MMFSL26</stp>
        <stp>Isin code</stp>
        <tr r="R988" s="1"/>
      </tp>
      <tp t="s">
        <v>INE532F07ET2</v>
        <stp/>
        <stp>bse_cm|895EFSL26</stp>
        <stp>Isin code</stp>
        <tr r="R109" s="1"/>
      </tp>
      <tp t="s">
        <v>INE532F07EW6</v>
        <stp/>
        <stp>bse_cm|960EFSL27</stp>
        <stp>Isin code</stp>
        <tr r="R70" s="1"/>
      </tp>
      <tp>
        <v>1070</v>
        <stp/>
        <stp>bse_cm|805ABFL28</stp>
        <stp xml:space="preserve">Low </stp>
        <tr r="O1371" s="1"/>
      </tp>
      <tp t="s">
        <v>INE532F07DC0</v>
        <stp/>
        <stp>bse_cm|975EFSL27</stp>
        <stp>Isin code</stp>
        <tr r="R45" s="1"/>
      </tp>
      <tp t="s">
        <v>INE721A07PA8</v>
        <stp/>
        <stp>nse_cm|931SFL26-Z5</stp>
        <stp>Isin code</stp>
        <tr r="R519" s="1"/>
      </tp>
      <tp t="s">
        <v>INE140A07740</v>
        <stp/>
        <stp>nse_cm|905PEL26-N1</stp>
        <stp>Isin code</stp>
        <tr r="R500" s="1"/>
      </tp>
      <tp t="s">
        <v>INE532F07FR3</v>
        <stp/>
        <stp>bse_cm|957EFSL27</stp>
        <stp>Isin code</stp>
        <tr r="R576" s="1"/>
      </tp>
      <tp t="s">
        <v>INE532F07EU0</v>
        <stp/>
        <stp>bse_cm|920EFSL27</stp>
        <stp>Isin code</stp>
        <tr r="R55" s="1"/>
      </tp>
      <tp t="s">
        <v>INE774D07SV1</v>
        <stp/>
        <stp>bse_cm|92MMFSL27</stp>
        <stp>Isin code</stp>
        <tr r="R384" s="1"/>
      </tp>
      <tp t="s">
        <v>INE532F07DB2</v>
        <stp/>
        <stp>bse_cm|935EFSL27</stp>
        <stp>Isin code</stp>
        <tr r="R157" s="1"/>
      </tp>
      <tp t="s">
        <v>INE774D07SW9</v>
        <stp/>
        <stp>bse_cm|93MMFSL27</stp>
        <stp>Isin code</stp>
        <tr r="R333" s="1"/>
      </tp>
      <tp t="s">
        <v>95CCIL24A</v>
        <stp/>
        <stp>bse_cm|95CCIL24A</stp>
        <stp>Symbol</stp>
        <tr r="A873" s="1"/>
      </tp>
      <tp t="s">
        <v>INE338I07149</v>
        <stp/>
        <stp>bse_cm|91MOFSL27</stp>
        <stp>Isin code</stp>
        <tr r="R1558" s="1"/>
      </tp>
      <tp>
        <v>0</v>
        <stp/>
        <stp>bse_cm|10KAFL26B</stp>
        <stp>Volume Traded Today</stp>
        <tr r="L1094" s="1"/>
      </tp>
      <tp>
        <v>0</v>
        <stp/>
        <stp>bse_cm|10KAFL26A</stp>
        <stp>Volume Traded Today</stp>
        <tr r="L1095" s="1"/>
      </tp>
      <tp>
        <v>0</v>
        <stp/>
        <stp>nse_cm|990SCL26B-Y7</stp>
        <stp>Volume Traded Today</stp>
        <tr r="L798" s="1"/>
      </tp>
      <tp>
        <v>10</v>
        <stp/>
        <stp>bse_cm|975EFSL27</stp>
        <stp>Volume Traded Today</stp>
        <tr r="L45" s="1"/>
      </tp>
      <tp>
        <v>0</v>
        <stp/>
        <stp>bse_cm|935EFSL27</stp>
        <stp>Volume Traded Today</stp>
        <tr r="L157" s="1"/>
      </tp>
      <tp>
        <v>0</v>
        <stp/>
        <stp>bse_cm|895EFSL26</stp>
        <stp>Volume Traded Today</stp>
        <tr r="L109" s="1"/>
      </tp>
      <tp>
        <v>0</v>
        <stp/>
        <stp>bse_cm|955EFSL26</stp>
        <stp>Volume Traded Today</stp>
        <tr r="L503" s="1"/>
      </tp>
      <tp>
        <v>0</v>
        <stp/>
        <stp>bse_cm|915EFSL26</stp>
        <stp>Volume Traded Today</stp>
        <tr r="L93" s="1"/>
      </tp>
      <tp>
        <v>0</v>
        <stp/>
        <stp>bse_cm|925EFSL25</stp>
        <stp>Volume Traded Today</stp>
        <tr r="L632" s="1"/>
      </tp>
      <tp>
        <v>0</v>
        <stp/>
        <stp>bse_cm|895EFSL25</stp>
        <stp>Volume Traded Today</stp>
        <tr r="L700" s="1"/>
      </tp>
      <tp>
        <v>0</v>
        <stp/>
        <stp>bse_cm|105EFSL29</stp>
        <stp>Volume Traded Today</stp>
        <tr r="L1358" s="1"/>
      </tp>
      <tp>
        <v>825.2</v>
        <stp/>
        <stp>bse_cm|975KLMAF26</stp>
        <stp>Bid Rate</stp>
        <tr r="E857" s="1"/>
      </tp>
      <tp>
        <v>1015</v>
        <stp/>
        <stp>bse_cm|975MVAFL25</stp>
        <stp>Ask Rate</stp>
        <tr r="F458" s="1"/>
      </tp>
      <tp>
        <v>0</v>
        <stp/>
        <stp>bse_cm|925ERFL28</stp>
        <stp>Volume Traded Today</stp>
        <tr r="L147" s="1"/>
      </tp>
      <tp>
        <v>0</v>
        <stp/>
        <stp>bse_cm|965EFSL32</stp>
        <stp>Volume Traded Today</stp>
        <tr r="L141" s="1"/>
      </tp>
      <tp>
        <v>0</v>
        <stp/>
        <stp>bse_cm|995EFSL31</stp>
        <stp>Volume Traded Today</stp>
        <tr r="L192" s="1"/>
      </tp>
      <tp>
        <v>826.4</v>
        <stp/>
        <stp>bse_cm|950KLMAF25</stp>
        <stp>Bid Rate</stp>
        <tr r="E1149" s="1"/>
      </tp>
      <tp>
        <v>1284</v>
        <stp/>
        <stp>bse_cm|MMFLZC27C</stp>
        <stp>Prev Close</stp>
        <tr r="P1463" s="1"/>
      </tp>
      <tp>
        <v>1303.78</v>
        <stp/>
        <stp>bse_cm|MMFLZC27B</stp>
        <stp>Prev Close</stp>
        <tr r="P1570" s="1"/>
      </tp>
      <tp>
        <v>1379</v>
        <stp/>
        <stp>bse_cm|MMFLZC27A</stp>
        <stp>Prev Close</stp>
        <tr r="P1260" s="1"/>
      </tp>
      <tp>
        <v>1191</v>
        <stp/>
        <stp>bse_cm|MMFLZC27D</stp>
        <stp>Prev Close</stp>
        <tr r="P1406" s="1"/>
      </tp>
      <tp>
        <v>1019.8</v>
        <stp/>
        <stp>bse_cm|MMFLZC25C</stp>
        <stp>Prev Close</stp>
        <tr r="P1263" s="1"/>
      </tp>
      <tp>
        <v>1289</v>
        <stp/>
        <stp>bse_cm|MMFLZC25B</stp>
        <stp>Prev Close</stp>
        <tr r="P1581" s="1"/>
      </tp>
      <tp>
        <v>1250</v>
        <stp/>
        <stp>bse_cm|MMFLZC25A</stp>
        <stp>Prev Close</stp>
        <tr r="P1264" s="1"/>
      </tp>
      <tp>
        <v>1425.18</v>
        <stp/>
        <stp>bse_cm|MMFLZC25D</stp>
        <stp>Prev Close</stp>
        <tr r="P1262" s="1"/>
      </tp>
      <tp>
        <v>1369.5</v>
        <stp/>
        <stp>bse_cm|MMFLZC24D</stp>
        <stp>Prev Close</stp>
        <tr r="P1265" s="1"/>
      </tp>
      <tp>
        <v>1204</v>
        <stp/>
        <stp>bse_cm|MMFLZC28B</stp>
        <stp>Prev Close</stp>
        <tr r="P1535" s="1"/>
      </tp>
      <tp>
        <v>1242</v>
        <stp/>
        <stp>bse_cm|MMFLZC28A</stp>
        <stp>Prev Close</stp>
        <tr r="P1348" s="1"/>
      </tp>
      <tp>
        <v>0</v>
        <stp/>
        <stp>bse_cm|115CCIL28</stp>
        <stp>Volume Traded Today</stp>
        <tr r="L382" s="1"/>
      </tp>
      <tp>
        <v>0</v>
        <stp/>
        <stp>bse_cm|945CAGL24</stp>
        <stp>Volume Traded Today</stp>
        <tr r="L566" s="1"/>
      </tp>
      <tp>
        <v>0</v>
        <stp/>
        <stp>bse_cm|925CAGL26</stp>
        <stp>Volume Traded Today</stp>
        <tr r="L294" s="1"/>
      </tp>
      <tp>
        <v>825.8</v>
        <stp/>
        <stp>bse_cm|925KLMAF25</stp>
        <stp>Bid Rate</stp>
        <tr r="E612" s="1"/>
      </tp>
      <tp t="s">
        <v/>
        <stp/>
        <stp>nse_cm|866SCFL25-Y8</stp>
        <stp>LTT</stp>
        <tr r="I158" s="1"/>
      </tp>
      <tp>
        <v>997.45</v>
        <stp/>
        <stp>nse_cm|866SCFL25-Y8</stp>
        <stp>LTP</stp>
        <tr r="H158" s="1"/>
      </tp>
      <tp>
        <v>0</v>
        <stp/>
        <stp>nse_cm|894SCL25A-ZI</stp>
        <stp>Volume Traded Today</stp>
        <tr r="L963" s="1"/>
      </tp>
      <tp t="s">
        <v>BSE</v>
        <stp/>
        <stp>bse_cm|79IGT28</stp>
        <stp>Exchange</stp>
        <tr r="C1183" s="1"/>
      </tp>
      <tp>
        <v>0</v>
        <stp/>
        <stp>bse_cm|935AHFL28</stp>
        <stp>Volume Traded Today</stp>
        <tr r="L456" s="1"/>
      </tp>
      <tp>
        <v>10</v>
        <stp/>
        <stp>bse_cm|975AHFL28</stp>
        <stp>Volume Traded Today</stp>
        <tr r="L324" s="1"/>
      </tp>
      <tp>
        <v>0</v>
        <stp/>
        <stp>bse_cm|805ABFL28</stp>
        <stp>Volume Traded Today</stp>
        <tr r="L1371" s="1"/>
      </tp>
      <tp>
        <v>-100</v>
        <stp/>
        <stp>bse_cm|MFLIII25</stp>
        <stp>% Change</stp>
        <tr r="J1501" s="1"/>
      </tp>
      <tp>
        <v>950.3</v>
        <stp/>
        <stp>bse_cm|1049DLSL25</stp>
        <stp>Bid Rate</stp>
        <tr r="E84" s="1"/>
      </tp>
      <tp>
        <v>0</v>
        <stp/>
        <stp>nse_cm|11DLSL25A-Y3</stp>
        <stp>ATP</stp>
        <tr r="K64" s="1"/>
      </tp>
      <tp>
        <v>0</v>
        <stp/>
        <stp>bse_cm|995NWIL32</stp>
        <stp>Volume Traded Today</stp>
        <tr r="L1023" s="1"/>
      </tp>
      <tp>
        <v>1054.97</v>
        <stp/>
        <stp>nse_cm|910TCAP28-NA</stp>
        <stp>LTP</stp>
        <tr r="H411" s="1"/>
      </tp>
      <tp t="s">
        <v/>
        <stp/>
        <stp>nse_cm|910TCAP28-NA</stp>
        <stp>LTT</stp>
        <tr r="I411" s="1"/>
      </tp>
      <tp>
        <v>0</v>
        <stp/>
        <stp>bse_cm|1050CCI25</stp>
        <stp>LTP</stp>
        <tr r="H173" s="1"/>
      </tp>
      <tp t="s">
        <v>00:00:00</v>
        <stp/>
        <stp>bse_cm|1050CCI25</stp>
        <stp>LTT</stp>
        <tr r="I173" s="1"/>
      </tp>
      <tp>
        <v>0</v>
        <stp/>
        <stp>bse_cm|850NHAI29</stp>
        <stp>Volume Traded Today</stp>
        <tr r="L580" s="1"/>
      </tp>
      <tp>
        <v>0</v>
        <stp/>
        <stp>bse_cm|895NHFL25</stp>
        <stp>Volume Traded Today</stp>
        <tr r="L54" s="1"/>
      </tp>
      <tp>
        <v>0</v>
        <stp/>
        <stp>bse_cm|955NWIL27</stp>
        <stp>Volume Traded Today</stp>
        <tr r="L1480" s="1"/>
      </tp>
      <tp>
        <v>0</v>
        <stp/>
        <stp>bse_cm|915NWIL25</stp>
        <stp>Volume Traded Today</stp>
        <tr r="L620" s="1"/>
      </tp>
      <tp>
        <v>1013</v>
        <stp/>
        <stp>bse_cm|872MMFSL26</stp>
        <stp>Bid Rate</stp>
        <tr r="E406" s="1"/>
      </tp>
      <tp t="s">
        <v>00:00:00</v>
        <stp/>
        <stp>bse_cm|1003VCL25</stp>
        <stp>LTT</stp>
        <tr r="I151" s="1"/>
      </tp>
      <tp>
        <v>0</v>
        <stp/>
        <stp>bse_cm|1003VCL25</stp>
        <stp>LTP</stp>
        <tr r="H151" s="1"/>
      </tp>
      <tp>
        <v>0</v>
        <stp/>
        <stp>bse_cm|965MFCL27</stp>
        <stp>Volume Traded Today</stp>
        <tr r="L618" s="1"/>
      </tp>
      <tp>
        <v>0</v>
        <stp/>
        <stp>bse_cm|915MFCL27</stp>
        <stp>Volume Traded Today</stp>
        <tr r="L1472" s="1"/>
      </tp>
      <tp>
        <v>0</v>
        <stp/>
        <stp>bse_cm|925MFCL27</stp>
        <stp>Volume Traded Today</stp>
        <tr r="L262" s="1"/>
      </tp>
      <tp>
        <v>0</v>
        <stp/>
        <stp>bse_cm|105MMFL25</stp>
        <stp>Volume Traded Today</stp>
        <tr r="L1171" s="1"/>
      </tp>
      <tp>
        <v>0</v>
        <stp/>
        <stp>bse_cm|925MFCL26</stp>
        <stp>Volume Traded Today</stp>
        <tr r="L1610" s="1"/>
      </tp>
      <tp>
        <v>0</v>
        <stp/>
        <stp>bse_cm|975MMFL24</stp>
        <stp>Volume Traded Today</stp>
        <tr r="L853" s="1"/>
      </tp>
      <tp>
        <v>0</v>
        <stp/>
        <stp>bse_cm|975MMFL26</stp>
        <stp>Volume Traded Today</stp>
        <tr r="L215" s="1"/>
      </tp>
      <tp>
        <v>0</v>
        <stp/>
        <stp>bse_cm|945MFCL29</stp>
        <stp>Volume Traded Today</stp>
        <tr r="L682" s="1"/>
      </tp>
      <tp>
        <v>0</v>
        <stp/>
        <stp>bse_cm|975MFCL29</stp>
        <stp>Volume Traded Today</stp>
        <tr r="L856" s="1"/>
      </tp>
      <tp>
        <v>0</v>
        <stp/>
        <stp>bse_cm|935MFCL29</stp>
        <stp>Volume Traded Today</stp>
        <tr r="L239" s="1"/>
      </tp>
      <tp t="s">
        <v>NSE</v>
        <stp/>
        <stp>nse_cm|1003SCL31-ZQ</stp>
        <stp>Exchange</stp>
        <tr r="C688" s="1"/>
      </tp>
      <tp>
        <v>835.2</v>
        <stp/>
        <stp>bse_cm|1010EFSL32</stp>
        <stp>Bid Rate</stp>
        <tr r="E631" s="1"/>
      </tp>
      <tp t="s">
        <v>00:00:00</v>
        <stp/>
        <stp>bse_cm|1003SCL31</stp>
        <stp>LTT</stp>
        <tr r="I727" s="1"/>
      </tp>
      <tp t="s">
        <v>00:00:00</v>
        <stp/>
        <stp>bse_cm|1003SCL30</stp>
        <stp>LTT</stp>
        <tr r="I877" s="1"/>
      </tp>
      <tp>
        <v>0</v>
        <stp/>
        <stp>bse_cm|1003SCL31</stp>
        <stp>LTP</stp>
        <tr r="H727" s="1"/>
      </tp>
      <tp>
        <v>0</v>
        <stp/>
        <stp>bse_cm|1003SCL30</stp>
        <stp>LTP</stp>
        <tr r="H877" s="1"/>
      </tp>
      <tp t="s">
        <v>00:00:00</v>
        <stp/>
        <stp>bse_cm|1102NFL26</stp>
        <stp>LTT</stp>
        <tr r="I567" s="1"/>
      </tp>
      <tp>
        <v>0</v>
        <stp/>
        <stp>bse_cm|1102NFL26</stp>
        <stp>LTP</stp>
        <tr r="H567" s="1"/>
      </tp>
      <tp>
        <v>0</v>
        <stp/>
        <stp>bse_cm|955MFCL30</stp>
        <stp>Volume Traded Today</stp>
        <tr r="L1130" s="1"/>
      </tp>
      <tp>
        <v>0</v>
        <stp/>
        <stp>bse_cm|965MFCL30</stp>
        <stp>Volume Traded Today</stp>
        <tr r="L225" s="1"/>
      </tp>
      <tp>
        <v>832</v>
        <stp/>
        <stp>bse_cm|1045EFSL33</stp>
        <stp>Bid Rate</stp>
        <tr r="E1382" s="1"/>
      </tp>
      <tp>
        <v>920.4</v>
        <stp/>
        <stp>bse_cm|853MMFSL26</stp>
        <stp>Bid Rate</stp>
        <tr r="E1005" s="1"/>
      </tp>
      <tp t="s">
        <v>BSE</v>
        <stp/>
        <stp>bse_cm|89MFL26</stp>
        <stp>Exchange</stp>
        <tr r="C250" s="1"/>
      </tp>
      <tp>
        <v>0</v>
        <stp/>
        <stp>bse_cm|925KFIL25</stp>
        <stp>Volume Traded Today</stp>
        <tr r="L776" s="1"/>
      </tp>
      <tp>
        <v>0</v>
        <stp/>
        <stp>bse_cm|935KAFL25</stp>
        <stp>Volume Traded Today</stp>
        <tr r="L785" s="1"/>
      </tp>
      <tp>
        <v>0</v>
        <stp/>
        <stp>bse_cm|975KAFL25</stp>
        <stp>Volume Traded Today</stp>
        <tr r="L860" s="1"/>
      </tp>
      <tp>
        <v>0</v>
        <stp/>
        <stp>bse_cm|975KAFL26</stp>
        <stp>Volume Traded Today</stp>
        <tr r="L859" s="1"/>
      </tp>
      <tp>
        <v>0</v>
        <stp/>
        <stp>bse_cm|985KAFL26</stp>
        <stp>Volume Traded Today</stp>
        <tr r="L1102" s="1"/>
      </tp>
      <tp>
        <v>851</v>
        <stp/>
        <stp>bse_cm|1045EFSL34</stp>
        <stp>Bid Rate</stp>
        <tr r="E1413" s="1"/>
      </tp>
      <tp>
        <v>960</v>
        <stp/>
        <stp>bse_cm|1049EFSL34</stp>
        <stp>Bid Rate</stp>
        <tr r="E1584" s="1"/>
      </tp>
      <tp>
        <v>978</v>
        <stp/>
        <stp>bse_cm|820JMFPL26</stp>
        <stp>Bid Rate</stp>
        <tr r="E349" s="1"/>
      </tp>
      <tp>
        <v>0</v>
        <stp/>
        <stp>nse_cm|1075SCL33-YK</stp>
        <stp>Ask Rate</stp>
        <tr r="F707" s="1"/>
      </tp>
      <tp>
        <v>-100</v>
        <stp/>
        <stp>bse_cm|10MFCL30</stp>
        <stp>% Change</stp>
        <tr r="J1091" s="1"/>
      </tp>
      <tp>
        <v>0</v>
        <stp/>
        <stp>bse_cm|965IFSL26</stp>
        <stp>Volume Traded Today</stp>
        <tr r="L1142" s="1"/>
      </tp>
      <tp>
        <v>0</v>
        <stp/>
        <stp>bse_cm|865IIFL28</stp>
        <stp>Volume Traded Today</stp>
        <tr r="L75" s="1"/>
      </tp>
      <tp>
        <v>0</v>
        <stp/>
        <stp>bse_cm|875IHFL29</stp>
        <stp>Volume Traded Today</stp>
        <tr r="L1230" s="1"/>
      </tp>
      <tp>
        <v>0</v>
        <stp/>
        <stp>bse_cm|955IFSL25</stp>
        <stp>Volume Traded Today</stp>
        <tr r="L1470" s="1"/>
      </tp>
      <tp>
        <v>0</v>
        <stp/>
        <stp>bse_cm|945IFSL25</stp>
        <stp>Volume Traded Today</stp>
        <tr r="L483" s="1"/>
      </tp>
      <tp>
        <v>0</v>
        <stp/>
        <stp>bse_cm|105IIFL29</stp>
        <stp>Volume Traded Today</stp>
        <tr r="L338" s="1"/>
      </tp>
      <tp>
        <v>0</v>
        <stp/>
        <stp>bse_cm|985IIFL22</stp>
        <stp>Volume Traded Today</stp>
        <tr r="L178" s="1"/>
      </tp>
      <tp>
        <v>0</v>
        <stp/>
        <stp>bse_cm|985ICCL28</stp>
        <stp>Volume Traded Today</stp>
        <tr r="L1483" s="1"/>
      </tp>
      <tp>
        <v>0</v>
        <stp/>
        <stp>bse_cm|125ICFL26</stp>
        <stp>Volume Traded Today</stp>
        <tr r="L1214" s="1"/>
      </tp>
      <tp>
        <v>0</v>
        <stp/>
        <stp>bse_cm|825IIFL25</stp>
        <stp>Volume Traded Today</stp>
        <tr r="L47" s="1"/>
      </tp>
      <tp>
        <v>0</v>
        <stp/>
        <stp>bse_cm|115ICFL25</stp>
        <stp>Volume Traded Today</stp>
        <tr r="L1548" s="1"/>
      </tp>
      <tp>
        <v>0</v>
        <stp/>
        <stp>bse_cm|875IIFL26</stp>
        <stp>Volume Traded Today</stp>
        <tr r="L642" s="1"/>
      </tp>
      <tp t="s">
        <v>BSE</v>
        <stp/>
        <stp>bse_cm|99AEL29</stp>
        <stp>Exchange</stp>
        <tr r="C243" s="1"/>
      </tp>
      <tp>
        <v>1007.36</v>
        <stp/>
        <stp>bse_cm|800MMFSL27</stp>
        <stp>Bid Rate</stp>
        <tr r="E436" s="1"/>
      </tp>
      <tp t="s">
        <v>09:51:35</v>
        <stp/>
        <stp>nse_cm|865IIFL28-NS</stp>
        <stp>LTT</stp>
        <tr r="I74" s="1"/>
      </tp>
      <tp>
        <v>920</v>
        <stp/>
        <stp>nse_cm|865IIFL28-NS</stp>
        <stp>LTP</stp>
        <tr r="H74" s="1"/>
      </tp>
      <tp t="s">
        <v>BSE</v>
        <stp/>
        <stp>bse_cm|98SCL34</stp>
        <stp>Exchange</stp>
        <tr r="C1053" s="1"/>
      </tp>
      <tp t="s">
        <v>BSE</v>
        <stp/>
        <stp>bse_cm|89SCL24</stp>
        <stp>Exchange</stp>
        <tr r="C1153" s="1"/>
      </tp>
      <tp t="s">
        <v/>
        <stp/>
        <stp>nse_cm|735PFCL35-N1</stp>
        <stp>LTT</stp>
        <tr r="I26" s="1"/>
      </tp>
      <tp>
        <v>1221</v>
        <stp/>
        <stp>nse_cm|735PFCL35-N1</stp>
        <stp>LTP</stp>
        <tr r="H26" s="1"/>
      </tp>
      <tp>
        <v>1151</v>
        <stp/>
        <stp>nse_cm|SCL24A-ZS</stp>
        <stp>Prev Close</stp>
        <tr r="P1751" s="1"/>
      </tp>
      <tp>
        <v>1000</v>
        <stp/>
        <stp>nse_cm|SCL25A-BH</stp>
        <stp>Prev Close</stp>
        <tr r="P1237" s="1"/>
      </tp>
      <tp>
        <v>1307.27</v>
        <stp/>
        <stp>bse_cm|CAGL25A</stp>
        <stp>High</stp>
        <tr r="N1701" s="1"/>
      </tp>
      <tp t="s">
        <v>BSE</v>
        <stp/>
        <stp>bse_cm|99SCL27</stp>
        <stp>Exchange</stp>
        <tr r="C1169" s="1"/>
      </tp>
      <tp t="s">
        <v>09:58:53</v>
        <stp/>
        <stp>nse_cm|736PFCL28-N2</stp>
        <stp>LTT</stp>
        <tr r="I11" s="1"/>
      </tp>
      <tp>
        <v>1102.0999999999999</v>
        <stp/>
        <stp>nse_cm|736PFCL28-N2</stp>
        <stp>LTP</stp>
        <tr r="H11" s="1"/>
      </tp>
      <tp>
        <v>1257</v>
        <stp/>
        <stp>bse_cm|EFSL24C</stp>
        <stp xml:space="preserve">Low </stp>
        <tr r="O1755" s="1"/>
      </tp>
      <tp>
        <v>0</v>
        <stp/>
        <stp>bse_cm|925SFCL25</stp>
        <stp>Volume Traded Today</stp>
        <tr r="L1482" s="1"/>
      </tp>
      <tp>
        <v>0</v>
        <stp/>
        <stp>bse_cm|875SCFL27</stp>
        <stp>Volume Traded Today</stp>
        <tr r="L1011" s="1"/>
      </tp>
      <tp>
        <v>0</v>
        <stp/>
        <stp>bse_cm|925SCFL27</stp>
        <stp>Volume Traded Today</stp>
        <tr r="L772" s="1"/>
      </tp>
      <tp>
        <v>0</v>
        <stp/>
        <stp>bse_cm|925SCFL25</stp>
        <stp>Volume Traded Today</stp>
        <tr r="L774" s="1"/>
      </tp>
      <tp>
        <v>0</v>
        <stp/>
        <stp>bse_cm|965SCFL25</stp>
        <stp>Volume Traded Today</stp>
        <tr r="L1106" s="1"/>
      </tp>
      <tp>
        <v>1024</v>
        <stp/>
        <stp>nse_cm|970CAGL28-ND</stp>
        <stp>LTP</stp>
        <tr r="H306" s="1"/>
      </tp>
      <tp t="s">
        <v>10:11:59</v>
        <stp/>
        <stp>nse_cm|970CAGL28-ND</stp>
        <stp>LTT</stp>
        <tr r="I306" s="1"/>
      </tp>
      <tp>
        <v>0</v>
        <stp/>
        <stp>nse_cm|990SCL26A-NL</stp>
        <stp>Volume Traded Today</stp>
        <tr r="L1049" s="1"/>
      </tp>
      <tp t="s">
        <v/>
        <stp/>
        <stp>nse_cm|960ISFL25-N1</stp>
        <stp>LTT</stp>
        <tr r="I1695" s="1"/>
      </tp>
      <tp>
        <v>1040</v>
        <stp/>
        <stp>nse_cm|960ISFL25-N1</stp>
        <stp>LTP</stp>
        <tr r="H1695" s="1"/>
      </tp>
      <tp>
        <v>1061</v>
        <stp/>
        <stp>nse_cm|830PFCL27-N5</stp>
        <stp>LTP</stp>
        <tr r="H400" s="1"/>
      </tp>
      <tp t="s">
        <v>11:23:14</v>
        <stp/>
        <stp>nse_cm|830PFCL27-N5</stp>
        <stp>LTT</stp>
        <tr r="I400" s="1"/>
      </tp>
      <tp>
        <v>0</v>
        <stp/>
        <stp>bse_cm|755PFCL38</stp>
        <stp>Volume Traded Today</stp>
        <tr r="L434" s="1"/>
      </tp>
      <tp>
        <v>0</v>
        <stp/>
        <stp>bse_cm|695PFCL36</stp>
        <stp>Volume Traded Today</stp>
        <tr r="L430" s="1"/>
      </tp>
      <tp>
        <v>4068</v>
        <stp/>
        <stp>bse_cm|715PFCL36</stp>
        <stp>Volume Traded Today</stp>
        <tr r="L437" s="1"/>
      </tp>
      <tp>
        <v>0</v>
        <stp/>
        <stp>bse_cm|565PFCL26</stp>
        <stp>Volume Traded Today</stp>
        <tr r="L1210" s="1"/>
      </tp>
      <tp>
        <v>0</v>
        <stp/>
        <stp>bse_cm|745PFCL26</stp>
        <stp>Volume Traded Today</stp>
        <tr r="L1200" s="1"/>
      </tp>
      <tp>
        <v>1000</v>
        <stp/>
        <stp>nse_cm|820SCFL25-Y7</stp>
        <stp>Face Value</stp>
        <tr r="Q926" s="1"/>
      </tp>
      <tp>
        <v>0</v>
        <stp/>
        <stp>bse_cm|0MML29A</stp>
        <stp>High</stp>
        <tr r="N1040" s="1"/>
      </tp>
      <tp t="s">
        <v/>
        <stp/>
        <stp>nse_cm|863IRFC29-NC</stp>
        <stp>LTT</stp>
        <tr r="I554" s="1"/>
      </tp>
      <tp>
        <v>1269.9000000000001</v>
        <stp/>
        <stp>nse_cm|863IRFC29-NC</stp>
        <stp>LTP</stp>
        <tr r="H554" s="1"/>
      </tp>
      <tp>
        <v>1000</v>
        <stp/>
        <stp>nse_cm|925CAGL26-N9</stp>
        <stp>Face Value</stp>
        <tr r="Q639" s="1"/>
      </tp>
      <tp>
        <v>1431</v>
        <stp/>
        <stp>bse_cm|KFLZC2A</stp>
        <stp>High</stp>
        <tr r="N1760" s="1"/>
      </tp>
      <tp>
        <v>36</v>
        <stp/>
        <stp>bse_cm|JMFPZC26</stp>
        <stp>Bid Qty</stp>
        <tr r="D1323" s="1"/>
      </tp>
      <tp>
        <v>54</v>
        <stp/>
        <stp>bse_cm|JMFPZC25</stp>
        <stp>Bid Qty</stp>
        <tr r="D1324" s="1"/>
      </tp>
      <tp>
        <v>90</v>
        <stp/>
        <stp>bse_cm|MMFLZC28</stp>
        <stp>Bid Qty</stp>
        <tr r="D1259" s="1"/>
      </tp>
      <tp>
        <v>0</v>
        <stp/>
        <stp>bse_cm|MMFLZC26</stp>
        <stp>Bid Qty</stp>
        <tr r="D1261" s="1"/>
      </tp>
      <tp>
        <v>24</v>
        <stp/>
        <stp>bse_cm|MMFLZC27</stp>
        <stp>Bid Qty</stp>
        <tr r="D1462" s="1"/>
      </tp>
      <tp>
        <v>24</v>
        <stp/>
        <stp>bse_cm|MMFLZC25</stp>
        <stp>Bid Qty</stp>
        <tr r="D1731" s="1"/>
      </tp>
      <tp>
        <v>-100</v>
        <stp/>
        <stp>bse_cm|MFLVII27</stp>
        <stp>% Change</stp>
        <tr r="J1397" s="1"/>
      </tp>
      <tp>
        <v>-100</v>
        <stp/>
        <stp>bse_cm|MFLTDI25</stp>
        <stp>% Change</stp>
        <tr r="J1476" s="1"/>
      </tp>
      <tp>
        <v>0</v>
        <stp/>
        <stp>nse_cm|990SCL26I-AV</stp>
        <stp>Volume Traded Today</stp>
        <tr r="L1368" s="1"/>
      </tp>
      <tp>
        <v>25</v>
        <stp/>
        <stp>nse_cm|990SCL26D-AH</stp>
        <stp>Volume Traded Today</stp>
        <tr r="L1556" s="1"/>
      </tp>
      <tp>
        <v>1000</v>
        <stp/>
        <stp>nse_cm|769NHAI31-NE</stp>
        <stp>Face Value</stp>
        <tr r="Q461" s="1"/>
      </tp>
      <tp>
        <v>1000</v>
        <stp/>
        <stp>nse_cm|866SCFL25-Y8</stp>
        <stp>Face Value</stp>
        <tr r="Q158" s="1"/>
      </tp>
      <tp>
        <v>979</v>
        <stp/>
        <stp>nse_cm|971SCL29A-ZN</stp>
        <stp>High</stp>
        <tr r="N861" s="1"/>
      </tp>
      <tp>
        <v>1096.07</v>
        <stp/>
        <stp>nse_cm|764IRFC31-NO</stp>
        <stp>LTP</stp>
        <tr r="H468" s="1"/>
      </tp>
      <tp t="s">
        <v>10:00:17</v>
        <stp/>
        <stp>nse_cm|764IRFC31-NO</stp>
        <stp>LTT</stp>
        <tr r="I468" s="1"/>
      </tp>
      <tp t="s">
        <v/>
        <stp/>
        <stp>nse_cm|965SCFL25-AB</stp>
        <stp>LTT</stp>
        <tr r="I664" s="1"/>
      </tp>
      <tp>
        <v>1033.8</v>
        <stp/>
        <stp>nse_cm|965SCFL25-AB</stp>
        <stp>LTP</stp>
        <tr r="H664" s="1"/>
      </tp>
      <tp t="s">
        <v/>
        <stp/>
        <stp>nse_cm|865IRFC29-NA</stp>
        <stp>LTT</stp>
        <tr r="I491" s="1"/>
      </tp>
      <tp>
        <v>1155</v>
        <stp/>
        <stp>nse_cm|865IRFC29-NA</stp>
        <stp>LTP</stp>
        <tr r="H491" s="1"/>
      </tp>
      <tp>
        <v>1000</v>
        <stp/>
        <stp>nse_cm|850SCFL25-Y4</stp>
        <stp>Face Value</stp>
        <tr r="Q924" s="1"/>
      </tp>
      <tp>
        <v>1000</v>
        <stp/>
        <stp>nse_cm|1030ICC26-NJ</stp>
        <stp>Face Value</stp>
        <tr r="Q1514" s="1"/>
      </tp>
      <tp>
        <v>0</v>
        <stp/>
        <stp>nse_cm|734IRFC28-N4</stp>
        <stp>Volume Traded Today</stp>
        <tr r="L455" s="1"/>
      </tp>
      <tp t="s">
        <v>79NHIT40</v>
        <stp/>
        <stp>nse_cm|79NHIT40-N2</stp>
        <stp>Symbol</stp>
        <tr r="A1587" s="1"/>
      </tp>
      <tp>
        <v>1250</v>
        <stp/>
        <stp>bse_cm|KFLZC28</stp>
        <stp>High</stp>
        <tr r="N1290" s="1"/>
      </tp>
      <tp>
        <v>992.4</v>
        <stp/>
        <stp>bse_cm|KFLZC29</stp>
        <stp>High</stp>
        <tr r="N1639" s="1"/>
      </tp>
      <tp>
        <v>0</v>
        <stp/>
        <stp>nse_cm|AEL120924-N2</stp>
        <stp>Volume Traded Today</stp>
        <tr r="L1673" s="1"/>
      </tp>
      <tp t="s">
        <v>956AEL29</v>
        <stp/>
        <stp>nse_cm|956AEL29-N6</stp>
        <stp>Symbol</stp>
        <tr r="A298" s="1"/>
      </tp>
      <tp>
        <v>0</v>
        <stp/>
        <stp>nse_cm|830CIFC26-N2</stp>
        <stp>Volume Traded Today</stp>
        <tr r="L1625" s="1"/>
      </tp>
      <tp>
        <v>1077</v>
        <stp/>
        <stp>nse_cm|905SC24-ZB</stp>
        <stp xml:space="preserve">Low </stp>
        <tr r="O1374" s="1"/>
      </tp>
      <tp t="s">
        <v>00:00:00</v>
        <stp/>
        <stp>bse_cm|750PFCL38</stp>
        <stp>LTT</stp>
        <tr r="I1196" s="1"/>
      </tp>
      <tp>
        <v>0</v>
        <stp/>
        <stp>bse_cm|750PFCL38</stp>
        <stp>LTP</stp>
        <tr r="H1196" s="1"/>
      </tp>
      <tp>
        <v>1006</v>
        <stp/>
        <stp>bse_cm|750PFCL26</stp>
        <stp>LTP</stp>
        <tr r="H448" s="1"/>
      </tp>
      <tp t="s">
        <v>15:13:34</v>
        <stp/>
        <stp>bse_cm|750PFCL26</stp>
        <stp>LTT</stp>
        <tr r="I448" s="1"/>
      </tp>
      <tp>
        <v>1</v>
        <stp/>
        <stp>nse_cm|901NHB34-N6</stp>
        <stp>Ask Qty</stp>
        <tr r="G520" s="1"/>
      </tp>
      <tp>
        <v>860.8</v>
        <stp/>
        <stp>nse_cm|925SCFL25-AD</stp>
        <stp>Bid Rate</stp>
        <tr r="E773" s="1"/>
      </tp>
      <tp>
        <v>0</v>
        <stp/>
        <stp>bse_cm|990SCFL26</stp>
        <stp>LTP</stp>
        <tr r="H1676" s="1"/>
      </tp>
      <tp>
        <v>0</v>
        <stp/>
        <stp>bse_cm|820SCFL25</stp>
        <stp>LTP</stp>
        <tr r="H1059" s="1"/>
      </tp>
      <tp>
        <v>0</v>
        <stp/>
        <stp>bse_cm|850SCFL25</stp>
        <stp>LTP</stp>
        <tr r="H1099" s="1"/>
      </tp>
      <tp t="s">
        <v>00:00:00</v>
        <stp/>
        <stp>bse_cm|990SCFL26</stp>
        <stp>LTT</stp>
        <tr r="I1676" s="1"/>
      </tp>
      <tp t="s">
        <v>00:00:00</v>
        <stp/>
        <stp>bse_cm|820SCFL25</stp>
        <stp>LTT</stp>
        <tr r="I1059" s="1"/>
      </tp>
      <tp t="s">
        <v>00:00:00</v>
        <stp/>
        <stp>bse_cm|850SCFL25</stp>
        <stp>LTT</stp>
        <tr r="I1099" s="1"/>
      </tp>
      <tp>
        <v>935</v>
        <stp/>
        <stp>bse_cm|967EFSL28A</stp>
        <stp>Bid Rate</stp>
        <tr r="E172" s="1"/>
      </tp>
      <tp>
        <v>0</v>
        <stp/>
        <stp>nse_cm|760PFCL35-N3</stp>
        <stp>Volume Traded Today</stp>
        <tr r="L22" s="1"/>
      </tp>
      <tp>
        <v>-100</v>
        <stp/>
        <stp>bse_cm|MFLVI32F</stp>
        <stp>% Change</stp>
        <tr r="J704" s="1"/>
      </tp>
      <tp>
        <v>1055</v>
        <stp/>
        <stp>nse_cm|957ICCL25-YW</stp>
        <stp>Ask Rate</stp>
        <tr r="F386" s="1"/>
      </tp>
      <tp>
        <v>1010.7</v>
        <stp/>
        <stp>nse_cm|965SCFL25-AB</stp>
        <stp>Bid Rate</stp>
        <tr r="E664" s="1"/>
      </tp>
      <tp>
        <v>0</v>
        <stp/>
        <stp>nse_cm|867PFCL33-N7</stp>
        <stp>Volume Traded Today</stp>
        <tr r="L550" s="1"/>
      </tp>
      <tp t="e">
        <v>#N/A</v>
        <stp/>
        <stp>bse_cm|SFLZC24</stp>
        <stp>High</stp>
        <tr r="N30" s="1"/>
      </tp>
      <tp>
        <v>1812.81</v>
        <stp/>
        <stp>bse_cm|KFLZC24</stp>
        <stp>High</stp>
        <tr r="N1766" s="1"/>
      </tp>
      <tp>
        <v>975</v>
        <stp/>
        <stp>nse_cm|925SFCL25-AC</stp>
        <stp>Bid Rate</stp>
        <tr r="E604" s="1"/>
      </tp>
      <tp>
        <v>1136.5</v>
        <stp/>
        <stp>bse_cm|MFLVI25</stp>
        <stp>High</stp>
        <tr r="N1707" s="1"/>
      </tp>
      <tp>
        <v>1312.22</v>
        <stp/>
        <stp>bse_cm|SFLZC25</stp>
        <stp>High</stp>
        <tr r="N802" s="1"/>
      </tp>
      <tp>
        <v>1880</v>
        <stp/>
        <stp>bse_cm|KFLZC25</stp>
        <stp>High</stp>
        <tr r="N1754" s="1"/>
      </tp>
      <tp>
        <v>1110</v>
        <stp/>
        <stp>bse_cm|MFLZC25</stp>
        <stp>High</stp>
        <tr r="N1683" s="1"/>
      </tp>
      <tp>
        <v>1043.8</v>
        <stp/>
        <stp>bse_cm|MFLIV25</stp>
        <stp>High</stp>
        <tr r="N280" s="1"/>
      </tp>
      <tp>
        <v>0</v>
        <stp/>
        <stp>nse_cm|925CAGL26-N9</stp>
        <stp>Volume Traded Today</stp>
        <tr r="L639" s="1"/>
      </tp>
      <tp t="s">
        <v>795IGT31</v>
        <stp/>
        <stp>nse_cm|795IGT31-NI</stp>
        <stp>Symbol</stp>
        <tr r="A1185" s="1"/>
      </tp>
      <tp t="s">
        <v>797IGT31</v>
        <stp/>
        <stp>nse_cm|797IGT31-NL</stp>
        <stp>Symbol</stp>
        <tr r="A374" s="1"/>
      </tp>
      <tp>
        <v>1285.8</v>
        <stp/>
        <stp>bse_cm|MFLVI26</stp>
        <stp>High</stp>
        <tr r="N1719" s="1"/>
      </tp>
      <tp>
        <v>1160</v>
        <stp/>
        <stp>bse_cm|SFLZC26</stp>
        <stp>High</stp>
        <tr r="N801" s="1"/>
      </tp>
      <tp>
        <v>1340</v>
        <stp/>
        <stp>bse_cm|KFLZC26</stp>
        <stp>High</stp>
        <tr r="N1709" s="1"/>
      </tp>
      <tp>
        <v>1720</v>
        <stp/>
        <stp>bse_cm|MFLZC26</stp>
        <stp>High</stp>
        <tr r="N1720" s="1"/>
      </tp>
      <tp t="s">
        <v>772IGT31</v>
        <stp/>
        <stp>nse_cm|772IGT31-NK</stp>
        <stp>Symbol</stp>
        <tr r="A1193" s="1"/>
      </tp>
      <tp>
        <v>1019</v>
        <stp/>
        <stp>bse_cm|MFLIV26</stp>
        <stp>High</stp>
        <tr r="N1500" s="1"/>
      </tp>
      <tp>
        <v>1062.5</v>
        <stp/>
        <stp>bse_cm|MFLII26</stp>
        <stp>High</stp>
        <tr r="N390" s="1"/>
      </tp>
      <tp>
        <v>33</v>
        <stp/>
        <stp>nse_cm|78ABFL33-N4</stp>
        <stp>Ask Qty</stp>
        <tr r="G371" s="1"/>
      </tp>
      <tp>
        <v>0</v>
        <stp/>
        <stp>bse_cm|KFLZC27</stp>
        <stp>High</stp>
        <tr r="N1292" s="1"/>
      </tp>
      <tp>
        <v>1077.8</v>
        <stp/>
        <stp>bse_cm|MFLZC27</stp>
        <stp>High</stp>
        <tr r="N1271" s="1"/>
      </tp>
      <tp>
        <v>956</v>
        <stp/>
        <stp>bse_cm|MFLII27</stp>
        <stp>High</stp>
        <tr r="N648" s="1"/>
      </tp>
      <tp>
        <v>931</v>
        <stp/>
        <stp>bse_cm|967EFSL28D</stp>
        <stp>Bid Rate</stp>
        <tr r="E168" s="1"/>
      </tp>
      <tp>
        <v>0</v>
        <stp/>
        <stp>bse_cm|960ISFL25</stp>
        <stp>LTP</stp>
        <tr r="H871" s="1"/>
      </tp>
      <tp t="s">
        <v>00:00:00</v>
        <stp/>
        <stp>bse_cm|960ISFL25</stp>
        <stp>LTT</stp>
        <tr r="I871" s="1"/>
      </tp>
      <tp>
        <v>1018.35</v>
        <stp/>
        <stp>bse_cm|732IRFC25</stp>
        <stp>ATP</stp>
        <tr r="K174" s="1"/>
      </tp>
      <tp t="s">
        <v>00:00:00</v>
        <stp/>
        <stp>bse_cm|980IFSL25</stp>
        <stp>LTT</stp>
        <tr r="I474" s="1"/>
      </tp>
      <tp>
        <v>0</v>
        <stp/>
        <stp>bse_cm|980IFSL25</stp>
        <stp>LTP</stp>
        <tr r="H474" s="1"/>
      </tp>
      <tp t="s">
        <v>00:00:00</v>
        <stp/>
        <stp>bse_cm|980ICCL28</stp>
        <stp>LTT</stp>
        <tr r="I783" s="1"/>
      </tp>
      <tp>
        <v>0</v>
        <stp/>
        <stp>bse_cm|820IIFL27</stp>
        <stp>LTP</stp>
        <tr r="H176" s="1"/>
      </tp>
      <tp t="s">
        <v>00:00:00</v>
        <stp/>
        <stp>bse_cm|940ICCL28</stp>
        <stp>LTT</stp>
        <tr r="I1126" s="1"/>
      </tp>
      <tp>
        <v>0</v>
        <stp/>
        <stp>bse_cm|850IIFL27</stp>
        <stp>LTP</stp>
        <tr r="H1407" s="1"/>
      </tp>
      <tp>
        <v>0</v>
        <stp/>
        <stp>bse_cm|980ICCL28</stp>
        <stp>LTP</stp>
        <tr r="H783" s="1"/>
      </tp>
      <tp t="s">
        <v>00:00:00</v>
        <stp/>
        <stp>bse_cm|820IIFL27</stp>
        <stp>LTT</stp>
        <tr r="I176" s="1"/>
      </tp>
      <tp>
        <v>0</v>
        <stp/>
        <stp>bse_cm|940ICCL28</stp>
        <stp>LTP</stp>
        <tr r="H1126" s="1"/>
      </tp>
      <tp t="s">
        <v>00:00:00</v>
        <stp/>
        <stp>bse_cm|850IIFL27</stp>
        <stp>LTT</stp>
        <tr r="I1407" s="1"/>
      </tp>
      <tp>
        <v>0</v>
        <stp/>
        <stp>nse_cm|CIFC26A-N9</stp>
        <stp>Open</stp>
        <tr r="M739" s="1"/>
      </tp>
      <tp>
        <v>0</v>
        <stp/>
        <stp>bse_cm|10MFL24AA</stp>
        <stp>Volume Traded Today</stp>
        <tr r="L475" s="1"/>
      </tp>
      <tp t="s">
        <v>00:00:00</v>
        <stp/>
        <stp>bse_cm|950KFIL26</stp>
        <stp>LTT</stp>
        <tr r="I602" s="1"/>
      </tp>
      <tp>
        <v>955</v>
        <stp/>
        <stp>bse_cm|950KFIL26</stp>
        <stp>LTP</stp>
        <tr r="H602" s="1"/>
      </tp>
      <tp t="s">
        <v>845LTF24</v>
        <stp/>
        <stp>nse_cm|845LTF24-NI</stp>
        <stp>Symbol</stp>
        <tr r="A942" s="1"/>
      </tp>
      <tp t="s">
        <v>829LTF24</v>
        <stp/>
        <stp>nse_cm|829LTF24-NL</stp>
        <stp>Symbol</stp>
        <tr r="A3" s="1"/>
      </tp>
      <tp t="s">
        <v>815LTF24</v>
        <stp/>
        <stp>nse_cm|815LTF24-NK</stp>
        <stp>Symbol</stp>
        <tr r="A1693" s="1"/>
      </tp>
      <tp t="s">
        <v>09:15:01</v>
        <stp/>
        <stp>bse_cm|940MFCL26</stp>
        <stp>LTT</stp>
        <tr r="I200" s="1"/>
      </tp>
      <tp t="s">
        <v>00:00:00</v>
        <stp/>
        <stp>bse_cm|890MFCL26</stp>
        <stp>LTT</stp>
        <tr r="I279" s="1"/>
      </tp>
      <tp t="s">
        <v>00:00:00</v>
        <stp/>
        <stp>bse_cm|950MFCL27</stp>
        <stp>LTT</stp>
        <tr r="I1148" s="1"/>
      </tp>
      <tp>
        <v>960.2</v>
        <stp/>
        <stp>bse_cm|940MFCL26</stp>
        <stp>LTP</stp>
        <tr r="H200" s="1"/>
      </tp>
      <tp>
        <v>0</v>
        <stp/>
        <stp>bse_cm|890MFCL26</stp>
        <stp>LTP</stp>
        <tr r="H279" s="1"/>
      </tp>
      <tp>
        <v>0</v>
        <stp/>
        <stp>bse_cm|950MFCL27</stp>
        <stp>LTP</stp>
        <tr r="H1148" s="1"/>
      </tp>
      <tp t="s">
        <v>00:00:00</v>
        <stp/>
        <stp>bse_cm|950MMFL25</stp>
        <stp>LTT</stp>
        <tr r="I1526" s="1"/>
      </tp>
      <tp>
        <v>0</v>
        <stp/>
        <stp>bse_cm|990MFCL29</stp>
        <stp>LTP</stp>
        <tr r="H1449" s="1"/>
      </tp>
      <tp t="s">
        <v>00:00:00</v>
        <stp/>
        <stp>bse_cm|950MMFL26</stp>
        <stp>LTT</stp>
        <tr r="I291" s="1"/>
      </tp>
      <tp>
        <v>0</v>
        <stp/>
        <stp>bse_cm|950MMFL25</stp>
        <stp>LTP</stp>
        <tr r="H1526" s="1"/>
      </tp>
      <tp t="s">
        <v>00:00:00</v>
        <stp/>
        <stp>bse_cm|990MFCL29</stp>
        <stp>LTT</stp>
        <tr r="I1449" s="1"/>
      </tp>
      <tp>
        <v>0</v>
        <stp/>
        <stp>bse_cm|950MMFL26</stp>
        <stp>LTP</stp>
        <tr r="H291" s="1"/>
      </tp>
      <tp>
        <v>0</v>
        <stp/>
        <stp>bse_cm|SCL310524</stp>
        <stp>Volume Traded Today</stp>
        <tr r="L1345" s="1"/>
      </tp>
      <tp>
        <v>1155</v>
        <stp/>
        <stp>nse_cm|865IRFC29-NA</stp>
        <stp>Bid Rate</stp>
        <tr r="E491" s="1"/>
      </tp>
      <tp>
        <v>0</v>
        <stp/>
        <stp>bse_cm|CCIL14824</stp>
        <stp>ATP</stp>
        <tr r="K753" s="1"/>
      </tp>
      <tp>
        <v>0</v>
        <stp/>
        <stp>bse_cm|735NHAI31</stp>
        <stp>LTP</stp>
        <tr r="H565" s="1"/>
      </tp>
      <tp t="s">
        <v>00:00:00</v>
        <stp/>
        <stp>bse_cm|735NHAI31</stp>
        <stp>LTT</stp>
        <tr r="I565" s="1"/>
      </tp>
      <tp>
        <v>0</v>
        <stp/>
        <stp>nse_cm|87SCL24A-ZF</stp>
        <stp>% Change</stp>
        <tr r="J959" s="1"/>
      </tp>
      <tp>
        <v>0</v>
        <stp/>
        <stp>bse_cm|1050SCL30</stp>
        <stp>Volume Traded Today</stp>
        <tr r="L867" s="1"/>
      </tp>
      <tp>
        <v>0</v>
        <stp/>
        <stp>bse_cm|1050SCL31</stp>
        <stp>Volume Traded Today</stp>
        <tr r="L892" s="1"/>
      </tp>
      <tp t="s">
        <v>00:00:00</v>
        <stp/>
        <stp>bse_cm|875NHAI29</stp>
        <stp>LTT</stp>
        <tr r="I496" s="1"/>
      </tp>
      <tp>
        <v>0</v>
        <stp/>
        <stp>bse_cm|875NHAI29</stp>
        <stp>LTP</stp>
        <tr r="H496" s="1"/>
      </tp>
      <tp>
        <v>0</v>
        <stp/>
        <stp>bse_cm|950NHFL26</stp>
        <stp>LTP</stp>
        <tr r="H582" s="1"/>
      </tp>
      <tp t="s">
        <v>00:00:00</v>
        <stp/>
        <stp>bse_cm|950NHFL26</stp>
        <stp>LTT</stp>
        <tr r="I582" s="1"/>
      </tp>
      <tp>
        <v>0</v>
        <stp/>
        <stp>nse_cm|CAGL25A-N4</stp>
        <stp>Open</stp>
        <tr r="M709" s="1"/>
      </tp>
      <tp>
        <v>0</v>
        <stp/>
        <stp>nse_cm|CAGL27A-N6</stp>
        <stp>Open</stp>
        <tr r="M758" s="1"/>
      </tp>
      <tp>
        <v>0</v>
        <stp/>
        <stp>bse_cm|1050NFL26</stp>
        <stp>Volume Traded Today</stp>
        <tr r="L260" s="1"/>
      </tp>
      <tp>
        <v>0</v>
        <stp/>
        <stp>bse_cm|1050MML25</stp>
        <stp>Volume Traded Today</stp>
        <tr r="L1503" s="1"/>
      </tp>
      <tp>
        <v>0</v>
        <stp/>
        <stp>bse_cm|1050IML25</stp>
        <stp>Volume Traded Today</stp>
        <tr r="L499" s="1"/>
      </tp>
      <tp>
        <v>0</v>
        <stp/>
        <stp>bse_cm|1150IFL26</stp>
        <stp>Volume Traded Today</stp>
        <tr r="L1225" s="1"/>
      </tp>
      <tp>
        <v>0</v>
        <stp/>
        <stp>bse_cm|1150IML28</stp>
        <stp>Volume Traded Today</stp>
        <tr r="L92" s="1"/>
      </tp>
      <tp>
        <v>0</v>
        <stp/>
        <stp>bse_cm|1250IFL29</stp>
        <stp>Volume Traded Today</stp>
        <tr r="L1215" s="1"/>
      </tp>
      <tp>
        <v>0</v>
        <stp/>
        <stp>bse_cm|1150IML29</stp>
        <stp>Volume Traded Today</stp>
        <tr r="L601" s="1"/>
      </tp>
      <tp>
        <v>0</v>
        <stp/>
        <stp>bse_cm|1050MML28</stp>
        <stp>Volume Traded Today</stp>
        <tr r="L1159" s="1"/>
      </tp>
      <tp>
        <v>0</v>
        <stp/>
        <stp>bse_cm|1150MML29</stp>
        <stp>Volume Traded Today</stp>
        <tr r="L248" s="1"/>
      </tp>
      <tp>
        <v>0</v>
        <stp/>
        <stp>bse_cm|1050UCL25</stp>
        <stp>Volume Traded Today</stp>
        <tr r="L417" s="1"/>
      </tp>
      <tp>
        <v>0</v>
        <stp/>
        <stp>bse_cm|1050VCL25</stp>
        <stp>Volume Traded Today</stp>
        <tr r="L656" s="1"/>
      </tp>
      <tp>
        <v>0</v>
        <stp/>
        <stp>bse_cm|1050SFL26</stp>
        <stp>Volume Traded Today</stp>
        <tr r="L890" s="1"/>
      </tp>
      <tp t="s">
        <v>NSE</v>
        <stp/>
        <stp>nse_cm|843SCFL27-YB</stp>
        <stp>Exchange</stp>
        <tr r="C929" s="1"/>
      </tp>
      <tp>
        <v>-3.46</v>
        <stp/>
        <stp>nse_cm|87SCL27A-ZK</stp>
        <stp>% Change</stp>
        <tr r="J1416" s="1"/>
      </tp>
      <tp>
        <v>850.8</v>
        <stp/>
        <stp>bse_cm|AEL120924B</stp>
        <stp>Bid Rate</stp>
        <tr r="E1641" s="1"/>
      </tp>
      <tp>
        <v>960.01</v>
        <stp/>
        <stp>bse_cm|1045EFS33A</stp>
        <stp>Bid Rate</stp>
        <tr r="E95" s="1"/>
      </tp>
      <tp>
        <v>0</v>
        <stp/>
        <stp>nse_cm|915SCL27A-ZL</stp>
        <stp>ATP</stp>
        <tr r="K966" s="1"/>
      </tp>
      <tp>
        <v>0</v>
        <stp/>
        <stp>bse_cm|910CAGL25</stp>
        <stp>LTP</stp>
        <tr r="H351" s="1"/>
      </tp>
      <tp>
        <v>0</v>
        <stp/>
        <stp>bse_cm|960CAGL25</stp>
        <stp>LTP</stp>
        <tr r="H347" s="1"/>
      </tp>
      <tp>
        <v>0</v>
        <stp/>
        <stp>bse_cm|950CCIL25</stp>
        <stp>LTP</stp>
        <tr r="H99" s="1"/>
      </tp>
      <tp>
        <v>0</v>
        <stp/>
        <stp>bse_cm|940CAGL27</stp>
        <stp>LTP</stp>
        <tr r="H261" s="1"/>
      </tp>
      <tp t="s">
        <v>00:00:00</v>
        <stp/>
        <stp>bse_cm|910CAGL25</stp>
        <stp>LTT</stp>
        <tr r="I351" s="1"/>
      </tp>
      <tp t="s">
        <v>00:00:00</v>
        <stp/>
        <stp>bse_cm|960CAGL25</stp>
        <stp>LTT</stp>
        <tr r="I347" s="1"/>
      </tp>
      <tp t="s">
        <v>00:00:00</v>
        <stp/>
        <stp>bse_cm|950CCIL25</stp>
        <stp>LTT</stp>
        <tr r="I99" s="1"/>
      </tp>
      <tp t="s">
        <v>00:00:00</v>
        <stp/>
        <stp>bse_cm|940CAGL27</stp>
        <stp>LTT</stp>
        <tr r="I261" s="1"/>
      </tp>
      <tp t="s">
        <v>00:00:00</v>
        <stp/>
        <stp>bse_cm|970CAGL28</stp>
        <stp>LTT</stp>
        <tr r="I292" s="1"/>
      </tp>
      <tp>
        <v>0</v>
        <stp/>
        <stp>bse_cm|970CAGL28</stp>
        <stp>LTP</stp>
        <tr r="H292" s="1"/>
      </tp>
      <tp>
        <v>-100</v>
        <stp/>
        <stp>bse_cm|IML23623</stp>
        <stp>% Change</stp>
        <tr r="J1327" s="1"/>
      </tp>
      <tp>
        <v>1010</v>
        <stp/>
        <stp>bse_cm|AEL120924A</stp>
        <stp>Bid Rate</stp>
        <tr r="E1524" s="1"/>
      </tp>
      <tp>
        <v>911.2</v>
        <stp/>
        <stp>bse_cm|1045EFS33B</stp>
        <stp>Bid Rate</stp>
        <tr r="E117" s="1"/>
      </tp>
      <tp t="s">
        <v>00:00:00</v>
        <stp/>
        <stp>bse_cm|960EFSL26</stp>
        <stp>LTT</stp>
        <tr r="I690" s="1"/>
      </tp>
      <tp t="s">
        <v>00:00:00</v>
        <stp/>
        <stp>bse_cm|950EFSL26</stp>
        <stp>LTT</stp>
        <tr r="I1493" s="1"/>
      </tp>
      <tp t="s">
        <v>00:00:00</v>
        <stp/>
        <stp>bse_cm|920EFSL26</stp>
        <stp>LTT</stp>
        <tr r="I223" s="1"/>
      </tp>
      <tp t="s">
        <v>00:00:00</v>
        <stp/>
        <stp>bse_cm|960EFSL27</stp>
        <stp>LTT</stp>
        <tr r="I70" s="1"/>
      </tp>
      <tp t="s">
        <v>15:15:16</v>
        <stp/>
        <stp>bse_cm|920EFSL27</stp>
        <stp>LTT</stp>
        <tr r="I55" s="1"/>
      </tp>
      <tp>
        <v>0</v>
        <stp/>
        <stp>bse_cm|960EFSL26</stp>
        <stp>LTP</stp>
        <tr r="H690" s="1"/>
      </tp>
      <tp>
        <v>0</v>
        <stp/>
        <stp>bse_cm|950EFSL26</stp>
        <stp>LTP</stp>
        <tr r="H1493" s="1"/>
      </tp>
      <tp>
        <v>0</v>
        <stp/>
        <stp>bse_cm|920EFSL26</stp>
        <stp>LTP</stp>
        <tr r="H223" s="1"/>
      </tp>
      <tp>
        <v>0</v>
        <stp/>
        <stp>bse_cm|960EFSL27</stp>
        <stp>LTP</stp>
        <tr r="H70" s="1"/>
      </tp>
      <tp>
        <v>940</v>
        <stp/>
        <stp>bse_cm|920EFSL27</stp>
        <stp>LTP</stp>
        <tr r="H55" s="1"/>
      </tp>
      <tp>
        <v>0</v>
        <stp/>
        <stp>bse_cm|95CCIL24A</stp>
        <stp>ATP</stp>
        <tr r="K873" s="1"/>
      </tp>
      <tp>
        <v>0</v>
        <stp/>
        <stp>bse_cm|970EFSL31</stp>
        <stp>LTP</stp>
        <tr r="H220" s="1"/>
      </tp>
      <tp>
        <v>896</v>
        <stp/>
        <stp>bse_cm|930EFSL31</stp>
        <stp>LTP</stp>
        <tr r="H65" s="1"/>
      </tp>
      <tp t="s">
        <v>00:00:00</v>
        <stp/>
        <stp>bse_cm|970EFSL31</stp>
        <stp>LTT</stp>
        <tr r="I220" s="1"/>
      </tp>
      <tp t="s">
        <v>09:18:17</v>
        <stp/>
        <stp>bse_cm|930EFSL31</stp>
        <stp>LTT</stp>
        <tr r="I65" s="1"/>
      </tp>
      <tp>
        <v>-100</v>
        <stp/>
        <stp>bse_cm|MML27524</stp>
        <stp>% Change</stp>
        <tr r="J1511" s="1"/>
      </tp>
      <tp>
        <v>-100</v>
        <stp/>
        <stp>bse_cm|SFL27224</stp>
        <stp>% Change</stp>
        <tr r="J805" s="1"/>
      </tp>
      <tp>
        <v>-100</v>
        <stp/>
        <stp>bse_cm|IFL19424</stp>
        <stp>% Change</stp>
        <tr r="J1344" s="1"/>
      </tp>
      <tp>
        <v>-100</v>
        <stp/>
        <stp>bse_cm|IML16224</stp>
        <stp>% Change</stp>
        <tr r="J1499" s="1"/>
      </tp>
      <tp>
        <v>-100</v>
        <stp/>
        <stp>bse_cm|MML11924</stp>
        <stp>% Change</stp>
        <tr r="J1536" s="1"/>
      </tp>
      <tp>
        <v>1012.5</v>
        <stp/>
        <stp>bse_cm|875IIFL26A</stp>
        <stp>Bid Rate</stp>
        <tr r="E232" s="1"/>
      </tp>
      <tp>
        <v>950</v>
        <stp/>
        <stp>bse_cm|975MFCL28E</stp>
        <stp>Bid Rate</stp>
        <tr r="E303" s="1"/>
      </tp>
      <tp t="s">
        <v>955SCL27A</v>
        <stp/>
        <stp>bse_cm|955SCL27A</stp>
        <stp>Symbol</stp>
        <tr r="A948" s="1"/>
      </tp>
      <tp>
        <v>941.99</v>
        <stp/>
        <stp>bse_cm|10EFSL33A</stp>
        <stp>High</stp>
        <tr r="N140" s="1"/>
      </tp>
      <tp>
        <v>950</v>
        <stp/>
        <stp>bse_cm|10EFSL33B</stp>
        <stp>High</stp>
        <tr r="N136" s="1"/>
      </tp>
      <tp t="s">
        <v>950SCL23A</v>
        <stp/>
        <stp>bse_cm|950SCL23A</stp>
        <stp>Symbol</stp>
        <tr r="A1146" s="1"/>
      </tp>
      <tp t="s">
        <v>850SCL25A</v>
        <stp/>
        <stp>bse_cm|850SCL25A</stp>
        <stp>Symbol</stp>
        <tr r="A1387" s="1"/>
      </tp>
      <tp t="s">
        <v>950MFL27A</v>
        <stp/>
        <stp>bse_cm|950MFL27A</stp>
        <stp>Symbol</stp>
        <tr r="A241" s="1"/>
      </tp>
      <tp t="s">
        <v>850MFL27A</v>
        <stp/>
        <stp>bse_cm|850MFL27A</stp>
        <stp>Symbol</stp>
        <tr r="A355" s="1"/>
      </tp>
      <tp>
        <v>75</v>
        <stp/>
        <stp>bse_cm|850CIFCL26</stp>
        <stp>Bid Qty</stp>
        <tr r="D1164" s="1"/>
      </tp>
      <tp>
        <v>5</v>
        <stp/>
        <stp>bse_cm|840CIFCL28</stp>
        <stp>Bid Qty</stp>
        <tr r="D419" s="1"/>
      </tp>
      <tp>
        <v>1500</v>
        <stp/>
        <stp>bse_cm|860CIFCL28</stp>
        <stp>Bid Qty</stp>
        <tr r="D1431" s="1"/>
      </tp>
      <tp>
        <v>50</v>
        <stp/>
        <stp>bse_cm|10IIFLSF27</stp>
        <stp>Bid Qty</stp>
        <tr r="D1098" s="1"/>
      </tp>
      <tp>
        <v>925</v>
        <stp/>
        <stp>bse_cm|944MFL28A</stp>
        <stp>High</stp>
        <tr r="N1073" s="1"/>
      </tp>
      <tp>
        <v>975</v>
        <stp/>
        <stp>bse_cm|905MFL28A</stp>
        <stp>High</stp>
        <tr r="N224" s="1"/>
      </tp>
      <tp>
        <v>-0.6</v>
        <stp/>
        <stp>nse_cm|1049DLS25A-Y5</stp>
        <stp>% Change</stp>
        <tr r="J44" s="1"/>
      </tp>
      <tp>
        <v>-100</v>
        <stp/>
        <stp>nse_cm|875PCHFL31-N9</stp>
        <stp>% Change</stp>
        <tr r="J1012" s="1"/>
      </tp>
      <tp>
        <v>0</v>
        <stp/>
        <stp>nse_cm|875PCHFL26-N8</stp>
        <stp>% Change</stp>
        <tr r="J271" s="1"/>
      </tp>
      <tp t="s">
        <v>INE0BUS07AS7</v>
        <stp/>
        <stp>bse_cm|1075IML27</stp>
        <stp>Isin code</stp>
        <tr r="R96" s="1"/>
      </tp>
      <tp t="s">
        <v>INE01I507273</v>
        <stp/>
        <stp>bse_cm|1175KLM25</stp>
        <stp>Isin code</stp>
        <tr r="R1691" s="1"/>
      </tp>
      <tp t="s">
        <v>835IFL25</v>
        <stp/>
        <stp>bse_cm|835IFL25</stp>
        <stp>Trading Symbol</stp>
        <tr r="B668" s="1"/>
      </tp>
      <tp t="s">
        <v>835MFL26</v>
        <stp/>
        <stp>bse_cm|835MFL26</stp>
        <stp>Trading Symbol</stp>
        <tr r="B169" s="1"/>
      </tp>
      <tp>
        <v>1000</v>
        <stp/>
        <stp>nse_cm|SCLZC26B-AY</stp>
        <stp>Face Value</stp>
        <tr r="Q1658" s="1"/>
      </tp>
      <tp>
        <v>1000</v>
        <stp/>
        <stp>nse_cm|SCLZC25B-AT</stp>
        <stp>Face Value</stp>
        <tr r="Q1541" s="1"/>
      </tp>
      <tp t="s">
        <v>INE051307BC4</v>
        <stp/>
        <stp>bse_cm|950CCIL25</stp>
        <stp>Isin code</stp>
        <tr r="R99" s="1"/>
      </tp>
      <tp t="s">
        <v>829PFL29</v>
        <stp/>
        <stp>bse_cm|829PFL29</stp>
        <stp>Trading Symbol</stp>
        <tr r="B930" s="1"/>
      </tp>
      <tp t="s">
        <v>825MFL29</v>
        <stp/>
        <stp>bse_cm|825MFL29</stp>
        <stp>Trading Symbol</stp>
        <tr r="B473" s="1"/>
      </tp>
      <tp t="s">
        <v>825KFL25</v>
        <stp/>
        <stp>bse_cm|825KFL25</stp>
        <stp>Trading Symbol</stp>
        <tr r="B252" s="1"/>
      </tp>
      <tp t="s">
        <v>825MFL25</v>
        <stp/>
        <stp>bse_cm|825MFL25</stp>
        <stp>Trading Symbol</stp>
        <tr r="B596" s="1"/>
      </tp>
      <tp t="s">
        <v>825MFL27</v>
        <stp/>
        <stp>bse_cm|825MFL27</stp>
        <stp>Trading Symbol</stp>
        <tr r="B344" s="1"/>
      </tp>
      <tp t="s">
        <v>825MFL26</v>
        <stp/>
        <stp>bse_cm|825MFL26</stp>
        <stp>Trading Symbol</stp>
        <tr r="B418" s="1"/>
      </tp>
      <tp t="s">
        <v>81ABFL33</v>
        <stp/>
        <stp>bse_cm|81ABFL33</stp>
        <stp>Trading Symbol</stp>
        <tr r="B1603" s="1"/>
      </tp>
      <tp t="s">
        <v>810MFL25</v>
        <stp/>
        <stp>bse_cm|810MFL25</stp>
        <stp>Trading Symbol</stp>
        <tr r="B429" s="1"/>
      </tp>
      <tp t="s">
        <v>870MFL27</v>
        <stp/>
        <stp>bse_cm|870MFL27</stp>
        <stp>Trading Symbol</stp>
        <tr r="B399" s="1"/>
      </tp>
      <tp t="s">
        <v>875MFL28</v>
        <stp/>
        <stp>bse_cm|875MFL28</stp>
        <stp>Trading Symbol</stp>
        <tr r="B689" s="1"/>
      </tp>
      <tp t="s">
        <v>875KFL26</v>
        <stp/>
        <stp>bse_cm|875KFL26</stp>
        <stp>Trading Symbol</stp>
        <tr r="B1156" s="1"/>
      </tp>
      <tp t="s">
        <v>875KFL25</v>
        <stp/>
        <stp>bse_cm|875KFL25</stp>
        <stp>Trading Symbol</stp>
        <tr r="B50" s="1"/>
      </tp>
      <tp t="s">
        <v>875MFL26</v>
        <stp/>
        <stp>bse_cm|875MFL26</stp>
        <stp>Trading Symbol</stp>
        <tr r="B161" s="1"/>
      </tp>
      <tp t="s">
        <v>875SFL27</v>
        <stp/>
        <stp>bse_cm|875SFL27</stp>
        <stp>Trading Symbol</stp>
        <tr r="B578" s="1"/>
      </tp>
      <tp t="s">
        <v>875SFL25</v>
        <stp/>
        <stp>bse_cm|875SFL25</stp>
        <stp>Trading Symbol</stp>
        <tr r="B936" s="1"/>
      </tp>
      <tp t="s">
        <v>865IFL28</v>
        <stp/>
        <stp>bse_cm|865IFL28</stp>
        <stp>Trading Symbol</stp>
        <tr r="B115" s="1"/>
      </tp>
      <tp t="s">
        <v>866SFL25</v>
        <stp/>
        <stp>bse_cm|866SFL25</stp>
        <stp>Trading Symbol</stp>
        <tr r="B1652" s="1"/>
      </tp>
      <tp t="s">
        <v>85IIFL25</v>
        <stp/>
        <stp>bse_cm|85IIFL25</stp>
        <stp>Trading Symbol</stp>
        <tr r="B134" s="1"/>
      </tp>
      <tp t="s">
        <v>850MFL29</v>
        <stp/>
        <stp>bse_cm|850MFL29</stp>
        <stp>Trading Symbol</stp>
        <tr r="B356" s="1"/>
      </tp>
      <tp t="s">
        <v>850MFL28</v>
        <stp/>
        <stp>bse_cm|850MFL28</stp>
        <stp>Trading Symbol</stp>
        <tr r="B236" s="1"/>
      </tp>
      <tp t="s">
        <v>850MFL24</v>
        <stp/>
        <stp>bse_cm|850MFL24</stp>
        <stp>Trading Symbol</stp>
        <tr r="B1100" s="1"/>
      </tp>
      <tp t="s">
        <v>850MFL27</v>
        <stp/>
        <stp>bse_cm|850MFL27</stp>
        <stp>Trading Symbol</stp>
        <tr r="B265" s="1"/>
      </tp>
      <tp>
        <v>894</v>
        <stp/>
        <stp>bse_cm|EFSLZC28C</stp>
        <stp xml:space="preserve">Low </stp>
        <tr r="O1331" s="1"/>
      </tp>
      <tp t="s">
        <v>840MFL27</v>
        <stp/>
        <stp>bse_cm|840MFL27</stp>
        <stp>Trading Symbol</stp>
        <tr r="B133" s="1"/>
      </tp>
      <tp t="s">
        <v>INE549K07EI9</v>
        <stp/>
        <stp>bse_cm|965MFCL30</stp>
        <stp>Isin code</stp>
        <tr r="R225" s="1"/>
      </tp>
      <tp>
        <v>1145</v>
        <stp/>
        <stp>bse_cm|IIFLZC28A</stp>
        <stp xml:space="preserve">Low </stp>
        <tr r="O1628" s="1"/>
      </tp>
      <tp t="s">
        <v>INE477L07AS8</v>
        <stp/>
        <stp>nse_cm|IIFLHF29-NE</stp>
        <stp>Isin code</stp>
        <tr r="R1630" s="1"/>
      </tp>
      <tp t="s">
        <v>INE01CY077M4</v>
        <stp/>
        <stp>bse_cm|1225IFL27</stp>
        <stp>Isin code</stp>
        <tr r="R1216" s="1"/>
      </tp>
      <tp t="s">
        <v>INE148I07OE2</v>
        <stp/>
        <stp>bse_cm|925SCFL25</stp>
        <stp>Isin code</stp>
        <tr r="R774" s="1"/>
      </tp>
      <tp t="s">
        <v>85CIFC27</v>
        <stp/>
        <stp>bse_cm|85CIFC27</stp>
        <stp>Trading Symbol</stp>
        <tr r="B974" s="1"/>
      </tp>
      <tp t="s">
        <v>86CIFC29</v>
        <stp/>
        <stp>bse_cm|86CIFC29</stp>
        <stp>Trading Symbol</stp>
        <tr r="B1341" s="1"/>
      </tp>
      <tp>
        <v>1155.0999999999999</v>
        <stp/>
        <stp>bse_cm|IIFLZC28C</stp>
        <stp xml:space="preserve">Low </stp>
        <tr r="O1404" s="1"/>
      </tp>
      <tp t="s">
        <v>890MFL26</v>
        <stp/>
        <stp>bse_cm|890MFL26</stp>
        <stp>Trading Symbol</stp>
        <tr r="B1478" s="1"/>
      </tp>
      <tp t="s">
        <v>INE403Q08118</v>
        <stp/>
        <stp>bse_cm|1025KFL25</stp>
        <stp>Isin code</stp>
        <tr r="R638" s="1"/>
      </tp>
      <tp t="s">
        <v>INE721A07ON4</v>
        <stp/>
        <stp>bse_cm|957ICCL25</stp>
        <stp>Isin code</stp>
        <tr r="R432" s="1"/>
      </tp>
      <tp t="s">
        <v>INE403Q07AV7</v>
        <stp/>
        <stp>bse_cm|1071KFL25</stp>
        <stp>Isin code</stp>
        <tr r="R1122" s="1"/>
      </tp>
      <tp t="s">
        <v>INE549K07DU6</v>
        <stp/>
        <stp>bse_cm|955MFCL30</stp>
        <stp>Isin code</stp>
        <tr r="R1130" s="1"/>
      </tp>
      <tp>
        <v>1028.98</v>
        <stp/>
        <stp>bse_cm|IIFLZC28B</stp>
        <stp xml:space="preserve">Low </stp>
        <tr r="O1595" s="1"/>
      </tp>
      <tp t="s">
        <v>880MFL28</v>
        <stp/>
        <stp>bse_cm|880MFL28</stp>
        <stp>Trading Symbol</stp>
        <tr r="B1338" s="1"/>
      </tp>
      <tp>
        <v>1150</v>
        <stp/>
        <stp>bse_cm|MMFLZC28A</stp>
        <stp xml:space="preserve">Low </stp>
        <tr r="O1348" s="1"/>
      </tp>
      <tp t="s">
        <v>INE148I07NT2</v>
        <stp/>
        <stp>bse_cm|965SCFL25</stp>
        <stp>Isin code</stp>
        <tr r="R1106" s="1"/>
      </tp>
      <tp t="s">
        <v>INE741K07587</v>
        <stp/>
        <stp>bse_cm|940CAGL27</stp>
        <stp>Isin code</stp>
        <tr r="R261" s="1"/>
      </tp>
      <tp t="s">
        <v>EFSL25</v>
        <stp/>
        <stp>bse_cm|EFSL25</stp>
        <stp>Symbol</stp>
        <tr r="A1694" s="1"/>
      </tp>
      <tp t="s">
        <v>EFSL27</v>
        <stp/>
        <stp>bse_cm|EFSL27</stp>
        <stp>Symbol</stp>
        <tr r="A1531" s="1"/>
      </tp>
      <tp t="s">
        <v>EFSL26</v>
        <stp/>
        <stp>bse_cm|EFSL26</stp>
        <stp>Symbol</stp>
        <tr r="A1687" s="1"/>
      </tp>
      <tp t="s">
        <v>EFSL29</v>
        <stp/>
        <stp>bse_cm|EFSL29</stp>
        <stp>Symbol</stp>
        <tr r="A659" s="1"/>
      </tp>
      <tp t="s">
        <v>EFSL28</v>
        <stp/>
        <stp>bse_cm|EFSL28</stp>
        <stp>Symbol</stp>
        <tr r="A1609" s="1"/>
      </tp>
      <tp t="s">
        <v>DLSL25</v>
        <stp/>
        <stp>bse_cm|DLSL25</stp>
        <stp>Symbol</stp>
        <tr r="A1747" s="1"/>
      </tp>
      <tp>
        <v>1204</v>
        <stp/>
        <stp>bse_cm|MMFLZC28B</stp>
        <stp xml:space="preserve">Low </stp>
        <tr r="O1535" s="1"/>
      </tp>
      <tp t="s">
        <v>NSE</v>
        <stp/>
        <stp>nse_cm|CIFC26-NK</stp>
        <stp>Exchange</stp>
        <tr r="C741" s="1"/>
      </tp>
      <tp t="s">
        <v>895EFS25</v>
        <stp/>
        <stp>bse_cm|895EFS25</stp>
        <stp>Trading Symbol</stp>
        <tr r="B730" s="1"/>
      </tp>
      <tp t="s">
        <v>985IIFL22</v>
        <stp/>
        <stp>bse_cm|985IIFL22</stp>
        <stp>Symbol</stp>
        <tr r="A178" s="1"/>
      </tp>
      <tp t="s">
        <v>985KAFL26</v>
        <stp/>
        <stp>bse_cm|985KAFL26</stp>
        <stp>Symbol</stp>
        <tr r="A1102" s="1"/>
      </tp>
      <tp t="s">
        <v>INE523H07BC9</v>
        <stp/>
        <stp>bse_cm|957JFPL30</stp>
        <stp>Isin code</stp>
        <tr r="R760" s="1"/>
      </tp>
      <tp t="s">
        <v>NSE</v>
        <stp/>
        <stp>nse_cm|CIFC28-NB</stp>
        <stp>Exchange</stp>
        <tr r="C1618" s="1"/>
      </tp>
      <tp t="s">
        <v>889SCFL27</v>
        <stp/>
        <stp>bse_cm|889SCFL27</stp>
        <stp>Symbol</stp>
        <tr r="A484" s="1"/>
      </tp>
      <tp t="s">
        <v>888ERFL28</v>
        <stp/>
        <stp>bse_cm|888ERFL28</stp>
        <stp>Symbol</stp>
        <tr r="A216" s="1"/>
      </tp>
      <tp t="s">
        <v>INE549K07BZ9</v>
        <stp/>
        <stp>bse_cm|MFL26Z</stp>
        <stp>Isin code</stp>
        <tr r="R1655" s="1"/>
      </tp>
      <tp t="s">
        <v>INE532F07DV0</v>
        <stp/>
        <stp>bse_cm|101EFSL28</stp>
        <stp>Isin code</stp>
        <tr r="R211" s="1"/>
      </tp>
      <tp>
        <v>72</v>
        <stp/>
        <stp>bse_cm|IIFLZC25</stp>
        <stp>Ask Qty</stp>
        <tr r="G1743" s="1"/>
      </tp>
      <tp>
        <v>0</v>
        <stp/>
        <stp>bse_cm|CIFCZC28</stp>
        <stp>Ask Qty</stp>
        <tr r="G736" s="1"/>
      </tp>
      <tp>
        <v>0</v>
        <stp/>
        <stp>bse_cm|IIFLZC26</stp>
        <stp>Ask Qty</stp>
        <tr r="G1236" s="1"/>
      </tp>
      <tp>
        <v>0</v>
        <stp/>
        <stp>bse_cm|CIFCZC26</stp>
        <stp>Ask Qty</stp>
        <tr r="G738" s="1"/>
      </tp>
      <tp>
        <v>20</v>
        <stp/>
        <stp>bse_cm|IIFLZC28</stp>
        <stp>Ask Qty</stp>
        <tr r="G1660" s="1"/>
      </tp>
      <tp>
        <v>0</v>
        <stp/>
        <stp>bse_cm|CIFCZC25</stp>
        <stp>Ask Qty</stp>
        <tr r="G1436" s="1"/>
      </tp>
      <tp t="s">
        <v>INE148I07RL0</v>
        <stp/>
        <stp>bse_cm|SCLZC26G</stp>
        <stp>Isin code</stp>
        <tr r="R799" s="1"/>
      </tp>
      <tp>
        <v>10</v>
        <stp/>
        <stp>bse_cm|NIDOZC26</stp>
        <stp>Ask Qty</stp>
        <tr r="G27" s="1"/>
      </tp>
      <tp>
        <v>-100</v>
        <stp/>
        <stp>bse_cm|11KAFL29</stp>
        <stp>% Change</stp>
        <tr r="J662" s="1"/>
      </tp>
      <tp>
        <v>985</v>
        <stp/>
        <stp>bse_cm|105UCL2026</stp>
        <stp>Bid Rate</stp>
        <tr r="E319" s="1"/>
      </tp>
      <tp>
        <v>1289.6199999999999</v>
        <stp/>
        <stp>nse_cm|892NHPC33-N6</stp>
        <stp>Bid Rate</stp>
        <tr r="E534" s="1"/>
      </tp>
      <tp>
        <v>951</v>
        <stp/>
        <stp>bse_cm|1150CCIL28</stp>
        <stp>Bid Rate</stp>
        <tr r="E460" s="1"/>
      </tp>
      <tp>
        <v>20</v>
        <stp/>
        <stp>nse_cm|97SFL26A-NC</stp>
        <stp>Bid Qty</stp>
        <tr r="D784" s="1"/>
      </tp>
      <tp>
        <v>1114</v>
        <stp/>
        <stp>bse_cm|EFSL25B</stp>
        <stp>High</stp>
        <tr r="N1682" s="1"/>
      </tp>
      <tp>
        <v>905.05</v>
        <stp/>
        <stp>bse_cm|1150CCIL29</stp>
        <stp>Bid Rate</stp>
        <tr r="E424" s="1"/>
      </tp>
      <tp>
        <v>7</v>
        <stp/>
        <stp>nse_cm|96SFL24A-NB</stp>
        <stp>Bid Qty</stp>
        <tr r="D162" s="1"/>
      </tp>
      <tp>
        <v>1121</v>
        <stp/>
        <stp>bse_cm|EFSL25A</stp>
        <stp>High</stp>
        <tr r="N1706" s="1"/>
      </tp>
      <tp>
        <v>940</v>
        <stp/>
        <stp>bse_cm|115ICLFL25</stp>
        <stp>Bid Rate</stp>
        <tr r="E1223" s="1"/>
      </tp>
      <tp>
        <v>0</v>
        <stp/>
        <stp>bse_cm|1071KFL25</stp>
        <stp>LTP</stp>
        <tr r="H1122" s="1"/>
      </tp>
      <tp t="s">
        <v>00:00:00</v>
        <stp/>
        <stp>bse_cm|1071KFL25</stp>
        <stp>LTT</stp>
        <tr r="I1122" s="1"/>
      </tp>
      <tp>
        <v>836.45</v>
        <stp/>
        <stp>bse_cm|1075CCIL25</stp>
        <stp>Bid Rate</stp>
        <tr r="E1121" s="1"/>
      </tp>
      <tp>
        <v>960</v>
        <stp/>
        <stp>bse_cm|1050CCIL25</stp>
        <stp>Bid Rate</stp>
        <tr r="E2" s="1"/>
      </tp>
      <tp>
        <v>855.2</v>
        <stp/>
        <stp>bse_cm|CCIL110324</stp>
        <stp>Bid Rate</stp>
        <tr r="E754" s="1"/>
      </tp>
      <tp>
        <v>945</v>
        <stp/>
        <stp>bse_cm|125ICLFL28</stp>
        <stp>Bid Rate</stp>
        <tr r="E264" s="1"/>
      </tp>
      <tp>
        <v>0</v>
        <stp/>
        <stp>nse_cm|950IIFL27-Y2</stp>
        <stp>Ask Rate</stp>
        <tr r="F995" s="1"/>
      </tp>
      <tp t="s">
        <v>00:00:00</v>
        <stp/>
        <stp>bse_cm|1070MML25</stp>
        <stp>LTT</stp>
        <tr r="I1504" s="1"/>
      </tp>
      <tp>
        <v>0</v>
        <stp/>
        <stp>bse_cm|1070MML25</stp>
        <stp>LTP</stp>
        <tr r="H1504" s="1"/>
      </tp>
      <tp>
        <v>1000</v>
        <stp/>
        <stp>nse_cm|965IFSL26-N6</stp>
        <stp>Face Value</stp>
        <tr r="Q1346" s="1"/>
      </tp>
      <tp>
        <v>441</v>
        <stp/>
        <stp>bse_cm|MFLIII25C</stp>
        <stp>Volume Traded Today</stp>
        <tr r="L213" s="1"/>
      </tp>
      <tp>
        <v>-100</v>
        <stp/>
        <stp>bse_cm|10KFIL27</stp>
        <stp>% Change</stp>
        <tr r="J183" s="1"/>
      </tp>
      <tp>
        <v>942</v>
        <stp/>
        <stp>bse_cm|1075CCIL26</stp>
        <stp>Bid Rate</stp>
        <tr r="E1120" s="1"/>
      </tp>
      <tp t="s">
        <v>00:00:00</v>
        <stp/>
        <stp>bse_cm|1075UCL25</stp>
        <stp>LTT</stp>
        <tr r="I515" s="1"/>
      </tp>
      <tp>
        <v>0</v>
        <stp/>
        <stp>bse_cm|1075UCL25</stp>
        <stp>LTP</stp>
        <tr r="H515" s="1"/>
      </tp>
      <tp t="e">
        <v>#N/A</v>
        <stp/>
        <stp>bse_cm|1075IML24</stp>
        <stp>LTP</stp>
        <tr r="H33" s="1"/>
      </tp>
      <tp>
        <v>0</v>
        <stp/>
        <stp>bse_cm|1075IML27</stp>
        <stp>LTP</stp>
        <tr r="H96" s="1"/>
      </tp>
      <tp t="s">
        <v>00:00:00</v>
        <stp/>
        <stp>bse_cm|1075MML27</stp>
        <stp>LTT</stp>
        <tr r="I1510" s="1"/>
      </tp>
      <tp t="s">
        <v>00:00:00</v>
        <stp/>
        <stp>bse_cm|1075MML26</stp>
        <stp>LTT</stp>
        <tr r="I1115" s="1"/>
      </tp>
      <tp>
        <v>0</v>
        <stp/>
        <stp>bse_cm|1175IFL26</stp>
        <stp>LTP</stp>
        <tr r="H1221" s="1"/>
      </tp>
      <tp t="s">
        <v>00:00:00</v>
        <stp/>
        <stp>bse_cm|1075NFL25</stp>
        <stp>LTT</stp>
        <tr r="I643" s="1"/>
      </tp>
      <tp t="e">
        <v>#N/A</v>
        <stp/>
        <stp>bse_cm|1075IML24</stp>
        <stp>LTT</stp>
        <tr r="I33" s="1"/>
      </tp>
      <tp t="s">
        <v>00:00:00</v>
        <stp/>
        <stp>bse_cm|1075IML27</stp>
        <stp>LTT</stp>
        <tr r="I96" s="1"/>
      </tp>
      <tp>
        <v>0</v>
        <stp/>
        <stp>bse_cm|1075MML27</stp>
        <stp>LTP</stp>
        <tr r="H1510" s="1"/>
      </tp>
      <tp>
        <v>0</v>
        <stp/>
        <stp>bse_cm|1075MML26</stp>
        <stp>LTP</stp>
        <tr r="H1115" s="1"/>
      </tp>
      <tp t="s">
        <v>00:00:00</v>
        <stp/>
        <stp>bse_cm|1175IFL26</stp>
        <stp>LTT</stp>
        <tr r="I1221" s="1"/>
      </tp>
      <tp>
        <v>0</v>
        <stp/>
        <stp>bse_cm|1075NFL25</stp>
        <stp>LTP</stp>
        <tr r="H643" s="1"/>
      </tp>
      <tp>
        <v>0</v>
        <stp/>
        <stp>bse_cm|1125CCI27</stp>
        <stp>LTP</stp>
        <tr r="H1229" s="1"/>
      </tp>
      <tp>
        <v>0</v>
        <stp/>
        <stp>bse_cm|1075CCL25</stp>
        <stp>LTP</stp>
        <tr r="H1119" s="1"/>
      </tp>
      <tp t="s">
        <v>00:00:00</v>
        <stp/>
        <stp>bse_cm|1125CCI27</stp>
        <stp>LTT</stp>
        <tr r="I1229" s="1"/>
      </tp>
      <tp t="s">
        <v>00:00:00</v>
        <stp/>
        <stp>bse_cm|1075CCL25</stp>
        <stp>LTT</stp>
        <tr r="I1119" s="1"/>
      </tp>
      <tp>
        <v>-100</v>
        <stp/>
        <stp>bse_cm|10KAFL26</stp>
        <stp>% Change</stp>
        <tr r="J1096" s="1"/>
      </tp>
      <tp>
        <v>-100</v>
        <stp/>
        <stp>bse_cm|11KAFL26</stp>
        <stp>% Change</stp>
        <tr r="J671" s="1"/>
      </tp>
      <tp>
        <v>975</v>
        <stp/>
        <stp>nse_cm|925SCL26B-YQ</stp>
        <stp>High</stp>
        <tr r="N90" s="1"/>
      </tp>
      <tp t="s">
        <v>00:00:00</v>
        <stp/>
        <stp>bse_cm|1075SCL33</stp>
        <stp>LTT</stp>
        <tr r="I881" s="1"/>
      </tp>
      <tp>
        <v>0</v>
        <stp/>
        <stp>bse_cm|1075SCL34</stp>
        <stp>LTP</stp>
        <tr r="H888" s="1"/>
      </tp>
      <tp>
        <v>0</v>
        <stp/>
        <stp>bse_cm|1075SCL33</stp>
        <stp>LTP</stp>
        <tr r="H881" s="1"/>
      </tp>
      <tp t="s">
        <v>00:00:00</v>
        <stp/>
        <stp>bse_cm|1075SCL34</stp>
        <stp>LTT</stp>
        <tr r="I888" s="1"/>
      </tp>
      <tp>
        <v>-100</v>
        <stp/>
        <stp>bse_cm|11KAFL27</stp>
        <stp>% Change</stp>
        <tr r="J184" s="1"/>
      </tp>
      <tp>
        <v>-100</v>
        <stp/>
        <stp>bse_cm|10JFPL30</stp>
        <stp>% Change</stp>
        <tr r="J1097" s="1"/>
      </tp>
      <tp>
        <v>0</v>
        <stp/>
        <stp>bse_cm|842IIFL26</stp>
        <stp>Volume Traded Today</stp>
        <tr r="L181" s="1"/>
      </tp>
      <tp>
        <v>994</v>
        <stp/>
        <stp>bse_cm|10SMCGSL26</stp>
        <stp>Bid Rate</stp>
        <tr r="E138" s="1"/>
      </tp>
      <tp>
        <v>-100</v>
        <stp/>
        <stp>bse_cm|95KAFL25</stp>
        <stp>% Change</stp>
        <tr r="J40" s="1"/>
      </tp>
      <tp t="s">
        <v>NSE</v>
        <stp/>
        <stp>nse_cm|1075SCL34-ZR</stp>
        <stp>Exchange</stp>
        <tr r="C1366" s="1"/>
      </tp>
      <tp>
        <v>0</v>
        <stp/>
        <stp>nse_cm|835SCL23A-YH</stp>
        <stp>High</stp>
        <tr r="N833" s="1"/>
      </tp>
      <tp>
        <v>820.8</v>
        <stp/>
        <stp>nse_cm|925SCL28B-YC</stp>
        <stp>High</stp>
        <tr r="N825" s="1"/>
      </tp>
      <tp>
        <v>0</v>
        <stp/>
        <stp>bse_cm|0SFL29A</stp>
        <stp>Open</stp>
        <tr r="M1033" s="1"/>
      </tp>
      <tp>
        <v>970</v>
        <stp/>
        <stp>nse_cm|875SCL23A-YI</stp>
        <stp>High</stp>
        <tr r="N1477" s="1"/>
      </tp>
      <tp>
        <v>0</v>
        <stp/>
        <stp>nse_cm|965SCL28B-YB</stp>
        <stp>High</stp>
        <tr r="N819" s="1"/>
      </tp>
      <tp>
        <v>0</v>
        <stp/>
        <stp>nse_cm|96IIFL28A-NF</stp>
        <stp>ATP</stp>
        <tr r="K81" s="1"/>
      </tp>
      <tp t="s">
        <v/>
        <stp/>
        <stp>nse_cm|816ABFL29-NC</stp>
        <stp>LTT</stp>
        <tr r="I732" s="1"/>
      </tp>
      <tp>
        <v>0</v>
        <stp/>
        <stp>nse_cm|816ABFL29-NC</stp>
        <stp>LTP</stp>
        <tr r="H732" s="1"/>
      </tp>
      <tp>
        <v>0</v>
        <stp/>
        <stp>nse_cm|925SCL26A-YN</stp>
        <stp>High</stp>
        <tr r="N838" s="1"/>
      </tp>
      <tp>
        <v>1044</v>
        <stp/>
        <stp>nse_cm|1119NFL27-ND</stp>
        <stp>LTP</stp>
        <tr r="H337" s="1"/>
      </tp>
      <tp t="s">
        <v/>
        <stp/>
        <stp>nse_cm|1119NFL27-ND</stp>
        <stp>LTT</stp>
        <tr r="I337" s="1"/>
      </tp>
      <tp>
        <v>12</v>
        <stp/>
        <stp>nse_cm|93SCL24A-ZN</stp>
        <stp>Bid Qty</stp>
        <tr r="D695" s="1"/>
      </tp>
      <tp t="s">
        <v>11:16:10</v>
        <stp/>
        <stp>nse_cm|1102NFL26-N8</stp>
        <stp>LTT</stp>
        <tr r="I587" s="1"/>
      </tp>
      <tp>
        <v>1020</v>
        <stp/>
        <stp>nse_cm|1102NFL26-N8</stp>
        <stp>LTP</stp>
        <tr r="H587" s="1"/>
      </tp>
      <tp>
        <v>0</v>
        <stp/>
        <stp>nse_cm|940ICCL28-NN</stp>
        <stp>LTP</stp>
        <tr r="H779" s="1"/>
      </tp>
      <tp t="s">
        <v/>
        <stp/>
        <stp>nse_cm|940ICCL28-NN</stp>
        <stp>LTT</stp>
        <tr r="I779" s="1"/>
      </tp>
      <tp>
        <v>0</v>
        <stp/>
        <stp>nse_cm|850SCFL25-Y4</stp>
        <stp>Ask Rate</stp>
        <tr r="F924" s="1"/>
      </tp>
      <tp>
        <v>984</v>
        <stp/>
        <stp>nse_cm|835SCL23B-YM</stp>
        <stp>High</stp>
        <tr r="N179" s="1"/>
      </tp>
      <tp>
        <v>0</v>
        <stp/>
        <stp>nse_cm|820SCFL25-Y7</stp>
        <stp>Ask Rate</stp>
        <tr r="F926" s="1"/>
      </tp>
      <tp>
        <v>0</v>
        <stp/>
        <stp>bse_cm|682PFCL31</stp>
        <stp>Volume Traded Today</stp>
        <tr r="L433" s="1"/>
      </tp>
      <tp>
        <v>0</v>
        <stp/>
        <stp>bse_cm|MFLVII25G</stp>
        <stp>Volume Traded Today</stp>
        <tr r="L1729" s="1"/>
      </tp>
      <tp>
        <v>0</v>
        <stp/>
        <stp>nse_cm|10SCL31-Z1</stp>
        <stp xml:space="preserve">Low </stp>
        <tr r="O866" s="1"/>
      </tp>
      <tp>
        <v>1366.26</v>
        <stp/>
        <stp>nse_cm|892PFCL33-N8</stp>
        <stp>ATP</stp>
        <tr r="K530" s="1"/>
      </tp>
      <tp>
        <v>5.24</v>
        <stp/>
        <stp>nse_cm|849NTPC25-N7</stp>
        <stp>Prev Close</stp>
        <tr r="P302" s="1"/>
      </tp>
      <tp>
        <v>1000</v>
        <stp/>
        <stp>nse_cm|850NHAI29-N5</stp>
        <stp>Face Value</stp>
        <tr r="Q512" s="1"/>
      </tp>
      <tp t="s">
        <v>11:07:29</v>
        <stp/>
        <stp>nse_cm|769NHAI31-NE</stp>
        <stp>LTT</stp>
        <tr r="I461" s="1"/>
      </tp>
      <tp>
        <v>1110</v>
        <stp/>
        <stp>nse_cm|769NHAI31-NE</stp>
        <stp>LTP</stp>
        <tr r="H461" s="1"/>
      </tp>
      <tp>
        <v>985.2</v>
        <stp/>
        <stp>bse_cm|MFLI25A</stp>
        <stp>High</stp>
        <tr r="N362" s="1"/>
      </tp>
      <tp>
        <v>400</v>
        <stp/>
        <stp>bse_cm|8MFLTD28</stp>
        <stp>Bid Qty</stp>
        <tr r="D366" s="1"/>
      </tp>
      <tp>
        <v>25</v>
        <stp/>
        <stp>bse_cm|8MFLTD26</stp>
        <stp>Bid Qty</stp>
        <tr r="D321" s="1"/>
      </tp>
      <tp>
        <v>1000</v>
        <stp/>
        <stp>nse_cm|875NHAI29-N6</stp>
        <stp>Face Value</stp>
        <tr r="Q495" s="1"/>
      </tp>
      <tp>
        <v>1000</v>
        <stp/>
        <stp>nse_cm|1050NFL26-N7</stp>
        <stp>Face Value</stp>
        <tr r="Q259" s="1"/>
      </tp>
      <tp>
        <v>1000</v>
        <stp/>
        <stp>nse_cm|1040NFL26-NA</stp>
        <stp>Face Value</stp>
        <tr r="Q678" s="1"/>
      </tp>
      <tp>
        <v>1000</v>
        <stp/>
        <stp>nse_cm|1090NFL26-NB</stp>
        <stp>Face Value</stp>
        <tr r="Q636" s="1"/>
      </tp>
      <tp>
        <v>1000</v>
        <stp/>
        <stp>nse_cm|1102NFL26-N8</stp>
        <stp>Face Value</stp>
        <tr r="Q587" s="1"/>
      </tp>
      <tp>
        <v>1000</v>
        <stp/>
        <stp>nse_cm|830PFCL27-N5</stp>
        <stp>Face Value</stp>
        <tr r="Q400" s="1"/>
      </tp>
      <tp>
        <v>1000</v>
        <stp/>
        <stp>nse_cm|736PFCL28-N2</stp>
        <stp>Face Value</stp>
        <tr r="Q11" s="1"/>
      </tp>
      <tp>
        <v>1000</v>
        <stp/>
        <stp>nse_cm|865IIFL28-NS</stp>
        <stp>Face Value</stp>
        <tr r="Q74" s="1"/>
      </tp>
      <tp>
        <v>1000</v>
        <stp/>
        <stp>nse_cm|875IHFL29-ND</stp>
        <stp>Face Value</stp>
        <tr r="Q77" s="1"/>
      </tp>
      <tp>
        <v>-3.03</v>
        <stp/>
        <stp>bse_cm|10KSFL25</stp>
        <stp>% Change</stp>
        <tr r="J107" s="1"/>
      </tp>
      <tp>
        <v>1000</v>
        <stp/>
        <stp>nse_cm|843IHFL29-NC</stp>
        <stp>Face Value</stp>
        <tr r="Q123" s="1"/>
      </tp>
      <tp>
        <v>-100</v>
        <stp/>
        <stp>bse_cm|SCLZC25A</stp>
        <stp>% Change</stp>
        <tr r="J1233" s="1"/>
      </tp>
      <tp>
        <v>-100</v>
        <stp/>
        <stp>bse_cm|SFLZC25A</stp>
        <stp>% Change</stp>
        <tr r="J1583" s="1"/>
      </tp>
      <tp>
        <v>-100</v>
        <stp/>
        <stp>bse_cm|MFLZC25A</stp>
        <stp>% Change</stp>
        <tr r="J1757" s="1"/>
      </tp>
      <tp>
        <v>-100</v>
        <stp/>
        <stp>bse_cm|KFLZC25A</stp>
        <stp>% Change</stp>
        <tr r="J1738" s="1"/>
      </tp>
      <tp t="s">
        <v>79NHIT47</v>
        <stp/>
        <stp>nse_cm|79NHIT47-N3</stp>
        <stp>Symbol</stp>
        <tr r="A1585" s="1"/>
      </tp>
      <tp>
        <v>900</v>
        <stp/>
        <stp>bse_cm|8ABFL26</stp>
        <stp>High</stp>
        <tr r="N539" s="1"/>
      </tp>
      <tp>
        <v>0</v>
        <stp/>
        <stp>nse_cm|965SCL25E-BF</stp>
        <stp>ATP</stp>
        <tr r="K413" s="1"/>
      </tp>
      <tp>
        <v>0</v>
        <stp/>
        <stp>nse_cm|965SCL28C-BR</stp>
        <stp>ATP</stp>
        <tr r="K817" s="1"/>
      </tp>
      <tp>
        <v>-100</v>
        <stp/>
        <stp>bse_cm|SCLZC25C</stp>
        <stp>% Change</stp>
        <tr r="J1231" s="1"/>
      </tp>
      <tp>
        <v>-100</v>
        <stp/>
        <stp>bse_cm|MFLZC25C</stp>
        <stp>% Change</stp>
        <tr r="J1579" s="1"/>
      </tp>
      <tp>
        <v>-100</v>
        <stp/>
        <stp>bse_cm|KFLZC25C</stp>
        <stp>% Change</stp>
        <tr r="J1295" s="1"/>
      </tp>
      <tp>
        <v>-100</v>
        <stp/>
        <stp>bse_cm|SCLZC25B</stp>
        <stp>% Change</stp>
        <tr r="J1540" s="1"/>
      </tp>
      <tp>
        <v>-100</v>
        <stp/>
        <stp>bse_cm|MFLZC25B</stp>
        <stp>% Change</stp>
        <tr r="J1273" s="1"/>
      </tp>
      <tp>
        <v>-100</v>
        <stp/>
        <stp>bse_cm|KFLZC25B</stp>
        <stp>% Change</stp>
        <tr r="J1739" s="1"/>
      </tp>
      <tp>
        <v>-100</v>
        <stp/>
        <stp>bse_cm|SCLZC25E</stp>
        <stp>% Change</stp>
        <tr r="J907" s="1"/>
      </tp>
      <tp>
        <v>0</v>
        <stp/>
        <stp>nse_cm|840IRFC29-N8</stp>
        <stp>Volume Traded Today</stp>
        <tr r="L528" s="1"/>
      </tp>
      <tp>
        <v>-100</v>
        <stp/>
        <stp>bse_cm|KFLZC25E</stp>
        <stp>% Change</stp>
        <tr r="J1530" s="1"/>
      </tp>
      <tp>
        <v>-100</v>
        <stp/>
        <stp>bse_cm|SCLZC25D</stp>
        <stp>% Change</stp>
        <tr r="J1573" s="1"/>
      </tp>
      <tp t="s">
        <v>NSE</v>
        <stp/>
        <stp>nse_cm|SCLZC26-NB</stp>
        <stp>Exchange</stp>
        <tr r="C1717" s="1"/>
      </tp>
      <tp>
        <v>-100</v>
        <stp/>
        <stp>bse_cm|MFLZC25D</stp>
        <stp>% Change</stp>
        <tr r="J1520" s="1"/>
      </tp>
      <tp>
        <v>-100</v>
        <stp/>
        <stp>bse_cm|KFLZC25D</stp>
        <stp>% Change</stp>
        <tr r="J1735" s="1"/>
      </tp>
      <tp t="s">
        <v/>
        <stp/>
        <stp>nse_cm|84CIFCL28-NA</stp>
        <stp>LTT</stp>
        <tr r="I388" s="1"/>
      </tp>
      <tp>
        <v>992</v>
        <stp/>
        <stp>nse_cm|84CIFCL28-NA</stp>
        <stp>LTP</stp>
        <tr r="H388" s="1"/>
      </tp>
      <tp>
        <v>50</v>
        <stp/>
        <stp>nse_cm|10CAGL27-N5</stp>
        <stp>Ask Qty</stp>
        <tr r="G273" s="1"/>
      </tp>
      <tp>
        <v>-100</v>
        <stp/>
        <stp>bse_cm|SCLZC25F</stp>
        <stp>% Change</stp>
        <tr r="J1542" s="1"/>
      </tp>
      <tp>
        <v>0</v>
        <stp/>
        <stp>bse_cm|697PFCL36</stp>
        <stp>LTP</stp>
        <tr r="H431" s="1"/>
      </tp>
      <tp t="s">
        <v>00:00:00</v>
        <stp/>
        <stp>bse_cm|747PFCL33</stp>
        <stp>LTT</stp>
        <tr r="I1199" s="1"/>
      </tp>
      <tp t="s">
        <v>00:00:00</v>
        <stp/>
        <stp>bse_cm|697PFCL36</stp>
        <stp>LTT</stp>
        <tr r="I431" s="1"/>
      </tp>
      <tp>
        <v>0</v>
        <stp/>
        <stp>bse_cm|747PFCL33</stp>
        <stp>LTP</stp>
        <tr r="H1199" s="1"/>
      </tp>
      <tp>
        <v>0</v>
        <stp/>
        <stp>nse_cm|843IHFL29-NC</stp>
        <stp>Volume Traded Today</stp>
        <tr r="L123" s="1"/>
      </tp>
      <tp>
        <v>0</v>
        <stp/>
        <stp>nse_cm|842IIFL26-NL</stp>
        <stp>Volume Traded Today</stp>
        <tr r="L145" s="1"/>
      </tp>
      <tp t="s">
        <v>10NIDO26</v>
        <stp/>
        <stp>nse_cm|10NIDO26-N6</stp>
        <stp>Symbol</stp>
        <tr r="A66" s="1"/>
      </tp>
      <tp>
        <v>960</v>
        <stp/>
        <stp>nse_cm|925SCL25B-Y3</stp>
        <stp>High</stp>
        <tr r="N600" s="1"/>
      </tp>
      <tp>
        <v>1056.8</v>
        <stp/>
        <stp>nse_cm|965SCL25A-NF</stp>
        <stp>ATP</stp>
        <tr r="K163" s="1"/>
      </tp>
      <tp>
        <v>0</v>
        <stp/>
        <stp>nse_cm|965SCL25F-NZ</stp>
        <stp>ATP</stp>
        <tr r="K1362" s="1"/>
      </tp>
      <tp>
        <v>0</v>
        <stp/>
        <stp>nse_cm|965SCL28A-NQ</stp>
        <stp>ATP</stp>
        <tr r="K897" s="1"/>
      </tp>
      <tp t="s">
        <v>745IGT26</v>
        <stp/>
        <stp>nse_cm|745IGT26-NC</stp>
        <stp>Symbol</stp>
        <tr r="A1201" s="1"/>
      </tp>
      <tp>
        <v>0</v>
        <stp/>
        <stp>nse_cm|925SCL25H-Y0</stp>
        <stp>High</stp>
        <tr r="N791" s="1"/>
      </tp>
      <tp>
        <v>0</v>
        <stp/>
        <stp>nse_cm|965SCL25C-N0</stp>
        <stp>ATP</stp>
        <tr r="K507" s="1"/>
      </tp>
      <tp>
        <v>1000</v>
        <stp/>
        <stp>bse_cm|ICLFLZC29</stp>
        <stp>Face Value</stp>
        <tr r="Q1613" s="1"/>
      </tp>
      <tp>
        <v>0</v>
        <stp/>
        <stp>nse_cm|905SC24B-Z9</stp>
        <stp>% Change</stp>
        <tr r="J637" s="1"/>
      </tp>
      <tp>
        <v>1035.5999999999999</v>
        <stp/>
        <stp>nse_cm|965SCL25B-Y1</stp>
        <stp>High</stp>
        <tr r="N1502" s="1"/>
      </tp>
      <tp>
        <v>0</v>
        <stp/>
        <stp>bse_cm|MML11924A</stp>
        <stp>Volume Traded Today</stp>
        <tr r="L1256" s="1"/>
      </tp>
      <tp>
        <v>0</v>
        <stp/>
        <stp>bse_cm|MML11924B</stp>
        <stp>Volume Traded Today</stp>
        <tr r="L1255" s="1"/>
      </tp>
      <tp>
        <v>0</v>
        <stp/>
        <stp>bse_cm|MML11924C</stp>
        <stp>Volume Traded Today</stp>
        <tr r="L1623" s="1"/>
      </tp>
      <tp>
        <v>0</v>
        <stp/>
        <stp>bse_cm|IFL19424A</stp>
        <stp>Volume Traded Today</stp>
        <tr r="L1419" s="1"/>
      </tp>
      <tp>
        <v>0</v>
        <stp/>
        <stp>bse_cm|957ISFL26</stp>
        <stp>LTP</stp>
        <tr r="H761" s="1"/>
      </tp>
      <tp t="s">
        <v>00:00:00</v>
        <stp/>
        <stp>bse_cm|957ISFL26</stp>
        <stp>LTT</stp>
        <tr r="I761" s="1"/>
      </tp>
      <tp>
        <v>0</v>
        <stp/>
        <stp>bse_cm|865IRFC29</stp>
        <stp>ATP</stp>
        <tr r="K501" s="1"/>
      </tp>
      <tp>
        <v>0</v>
        <stp/>
        <stp>bse_cm|957ICCL25</stp>
        <stp>LTP</stp>
        <tr r="H432" s="1"/>
      </tp>
      <tp t="s">
        <v>00:00:00</v>
        <stp/>
        <stp>bse_cm|957ICCL25</stp>
        <stp>LTT</stp>
        <tr r="I432" s="1"/>
      </tp>
      <tp t="s">
        <v>00:00:00</v>
        <stp/>
        <stp>bse_cm|957ICCL28</stp>
        <stp>LTT</stp>
        <tr r="I1572" s="1"/>
      </tp>
      <tp>
        <v>0</v>
        <stp/>
        <stp>bse_cm|957ICCL28</stp>
        <stp>LTP</stp>
        <tr r="H1572" s="1"/>
      </tp>
      <tp>
        <v>0</v>
        <stp/>
        <stp>bse_cm|1015SCL28B</stp>
        <stp>Ask Rate</stp>
        <tr r="F1178" s="1"/>
      </tp>
      <tp>
        <v>0</v>
        <stp/>
        <stp>bse_cm|728IRFC30</stp>
        <stp>LTP</stp>
        <tr r="H469" s="1"/>
      </tp>
      <tp>
        <v>0</v>
        <stp/>
        <stp>bse_cm|735IRFC31</stp>
        <stp>ATP</stp>
        <tr r="K1427" s="1"/>
      </tp>
      <tp t="s">
        <v>00:00:00</v>
        <stp/>
        <stp>bse_cm|728IRFC30</stp>
        <stp>LTT</stp>
        <tr r="I469" s="1"/>
      </tp>
      <tp>
        <v>0</v>
        <stp/>
        <stp>bse_cm|725IRFC35</stp>
        <stp>ATP</stp>
        <tr r="K560" s="1"/>
      </tp>
      <tp t="s">
        <v>00:00:00</v>
        <stp/>
        <stp>bse_cm|CCILZC25A</stp>
        <stp>LTT</stp>
        <tr r="I749" s="1"/>
      </tp>
      <tp>
        <v>0</v>
        <stp/>
        <stp>bse_cm|CCILZC25A</stp>
        <stp>LTP</stp>
        <tr r="H749" s="1"/>
      </tp>
      <tp>
        <v>0</v>
        <stp/>
        <stp>bse_cm|957JFPL30</stp>
        <stp>LTP</stp>
        <tr r="H760" s="1"/>
      </tp>
      <tp t="s">
        <v>00:00:00</v>
        <stp/>
        <stp>bse_cm|957JFPL30</stp>
        <stp>LTT</stp>
        <tr r="I760" s="1"/>
      </tp>
      <tp>
        <v>0</v>
        <stp/>
        <stp>bse_cm|950KLMF26</stp>
        <stp>ATP</stp>
        <tr r="K278" s="1"/>
      </tp>
      <tp>
        <v>0</v>
        <stp/>
        <stp>bse_cm|11DLSL25A</stp>
        <stp>ATP</stp>
        <tr r="K300" s="1"/>
      </tp>
      <tp>
        <v>0</v>
        <stp/>
        <stp>bse_cm|1025MML25</stp>
        <stp>Volume Traded Today</stp>
        <tr r="L766" s="1"/>
      </tp>
      <tp>
        <v>0</v>
        <stp/>
        <stp>bse_cm|1025NFL25</stp>
        <stp>Volume Traded Today</stp>
        <tr r="L624" s="1"/>
      </tp>
      <tp>
        <v>0</v>
        <stp/>
        <stp>bse_cm|1025MML26</stp>
        <stp>Volume Traded Today</stp>
        <tr r="L765" s="1"/>
      </tp>
      <tp>
        <v>140</v>
        <stp/>
        <stp>bse_cm|1125MML27</stp>
        <stp>Volume Traded Today</stp>
        <tr r="L592" s="1"/>
      </tp>
      <tp>
        <v>0</v>
        <stp/>
        <stp>bse_cm|1025KFL26</stp>
        <stp>Volume Traded Today</stp>
        <tr r="L768" s="1"/>
      </tp>
      <tp>
        <v>0</v>
        <stp/>
        <stp>bse_cm|1025KFL27</stp>
        <stp>Volume Traded Today</stp>
        <tr r="L767" s="1"/>
      </tp>
      <tp>
        <v>0</v>
        <stp/>
        <stp>bse_cm|1025KFL25</stp>
        <stp>Volume Traded Today</stp>
        <tr r="L638" s="1"/>
      </tp>
      <tp>
        <v>0</v>
        <stp/>
        <stp>bse_cm|1225IFL27</stp>
        <stp>Volume Traded Today</stp>
        <tr r="L1216" s="1"/>
      </tp>
      <tp>
        <v>0</v>
        <stp/>
        <stp>bse_cm|1025KFL28</stp>
        <stp>Volume Traded Today</stp>
        <tr r="L626" s="1"/>
      </tp>
      <tp>
        <v>0</v>
        <stp/>
        <stp>bse_cm|1025KFL29</stp>
        <stp>Volume Traded Today</stp>
        <tr r="L196" s="1"/>
      </tp>
      <tp>
        <v>0</v>
        <stp/>
        <stp>bse_cm|1075CCI26</stp>
        <stp>Volume Traded Today</stp>
        <tr r="L1425" s="1"/>
      </tp>
      <tp>
        <v>0</v>
        <stp/>
        <stp>bse_cm|1025SFL28</stp>
        <stp>Volume Traded Today</stp>
        <tr r="L100" s="1"/>
      </tp>
      <tp>
        <v>0</v>
        <stp/>
        <stp>bse_cm|1025SFL29</stp>
        <stp>Volume Traded Today</stp>
        <tr r="L1446" s="1"/>
      </tp>
      <tp>
        <v>0</v>
        <stp/>
        <stp>bse_cm|1025UCL25</stp>
        <stp>Volume Traded Today</stp>
        <tr r="L326" s="1"/>
      </tp>
      <tp>
        <v>0</v>
        <stp/>
        <stp>bse_cm|1025UCL27</stp>
        <stp>Volume Traded Today</stp>
        <tr r="L1019" s="1"/>
      </tp>
      <tp>
        <v>0</v>
        <stp/>
        <stp>bse_cm|1025SFL25</stp>
        <stp>Volume Traded Today</stp>
        <tr r="L1071" s="1"/>
      </tp>
      <tp>
        <v>0</v>
        <stp/>
        <stp>bse_cm|MML27524A</stp>
        <stp>Volume Traded Today</stp>
        <tr r="L1250" s="1"/>
      </tp>
      <tp>
        <v>30</v>
        <stp/>
        <stp>nse_cm|738REC27TF-N2</stp>
        <stp>Ask Qty</stp>
        <tr r="G514" s="1"/>
      </tp>
      <tp>
        <v>975</v>
        <stp/>
        <stp>bse_cm|9ARKA25</stp>
        <stp>High</stp>
        <tr r="N1365" s="1"/>
      </tp>
      <tp>
        <v>0</v>
        <stp/>
        <stp>bse_cm|1015SCL28A</stp>
        <stp>Ask Rate</stp>
        <tr r="F1386" s="1"/>
      </tp>
      <tp>
        <v>0</v>
        <stp/>
        <stp>bse_cm|1025SCL33</stp>
        <stp>Volume Traded Today</stp>
        <tr r="L879" s="1"/>
      </tp>
      <tp>
        <v>964</v>
        <stp/>
        <stp>bse_cm|1049DLS25A</stp>
        <stp>Bid Rate</stp>
        <tr r="E119" s="1"/>
      </tp>
      <tp>
        <v>0</v>
        <stp/>
        <stp>bse_cm|1025SCL34</stp>
        <stp>Volume Traded Today</stp>
        <tr r="L129" s="1"/>
      </tp>
      <tp>
        <v>0</v>
        <stp/>
        <stp>bse_cm|SFL270224</stp>
        <stp>Volume Traded Today</stp>
        <tr r="L808" s="1"/>
      </tp>
      <tp>
        <v>0</v>
        <stp/>
        <stp>bse_cm|IML160224</stp>
        <stp>Volume Traded Today</stp>
        <tr r="L1329" s="1"/>
      </tp>
      <tp>
        <v>0</v>
        <stp/>
        <stp>nse_cm|DLSL25-NW</stp>
        <stp>Volume Traded Today</stp>
        <tr r="L1745" s="1"/>
      </tp>
      <tp>
        <v>0</v>
        <stp/>
        <stp>bse_cm|KAF080824</stp>
        <stp>Volume Traded Today</stp>
        <tr r="L1322" s="1"/>
      </tp>
      <tp>
        <v>1180</v>
        <stp/>
        <stp>bse_cm|MFLZC30</stp>
        <stp xml:space="preserve">Low </stp>
        <tr r="O1267" s="1"/>
      </tp>
      <tp>
        <v>0</v>
        <stp/>
        <stp>bse_cm|KFLZC31</stp>
        <stp xml:space="preserve">Low </stp>
        <tr r="O1286" s="1"/>
      </tp>
      <tp>
        <v>0</v>
        <stp/>
        <stp>nse_cm|965SCL28B-YB</stp>
        <stp>ATP</stp>
        <tr r="K819" s="1"/>
      </tp>
      <tp>
        <v>0</v>
        <stp/>
        <stp>bse_cm|11EFSL34A</stp>
        <stp>ATP</stp>
        <tr r="K1408" s="1"/>
      </tp>
      <tp>
        <v>0</v>
        <stp/>
        <stp>bse_cm|10EFSL34A</stp>
        <stp>ATP</stp>
        <tr r="K131" s="1"/>
      </tp>
      <tp>
        <v>0</v>
        <stp/>
        <stp>nse_cm|965SCL25B-Y1</stp>
        <stp>ATP</stp>
        <tr r="K1502" s="1"/>
      </tp>
      <tp>
        <v>950</v>
        <stp/>
        <stp>bse_cm|1045EFS34A</stp>
        <stp>Bid Rate</stp>
        <tr r="E1029" s="1"/>
      </tp>
      <tp>
        <v>1029</v>
        <stp/>
        <stp>bse_cm|MFLZC32</stp>
        <stp xml:space="preserve">Low </stp>
        <tr r="O1266" s="1"/>
      </tp>
      <tp>
        <v>0</v>
        <stp/>
        <stp>nse_cm|965SCL26A-ZB</stp>
        <stp>ATP</stp>
        <tr r="K135" s="1"/>
      </tp>
      <tp>
        <v>1200</v>
        <stp/>
        <stp>nse_cm|9TCAP28-N9</stp>
        <stp xml:space="preserve">Low </stp>
        <tr r="O544" s="1"/>
      </tp>
      <tp>
        <v>9</v>
        <stp/>
        <stp>nse_cm|9ICCL23A-N0</stp>
        <stp>Bid Qty</stp>
        <tr r="D657" s="1"/>
      </tp>
      <tp>
        <v>0</v>
        <stp/>
        <stp>bse_cm|96IIFL28A</stp>
        <stp>LTP</stp>
        <tr r="H88" s="1"/>
      </tp>
      <tp t="s">
        <v>00:00:00</v>
        <stp/>
        <stp>bse_cm|96IIFL28A</stp>
        <stp>LTT</stp>
        <tr r="I88" s="1"/>
      </tp>
      <tp>
        <v>0</v>
        <stp/>
        <stp>bse_cm|10IIFL28A</stp>
        <stp>LTP</stp>
        <tr r="H101" s="1"/>
      </tp>
      <tp t="s">
        <v>00:00:00</v>
        <stp/>
        <stp>bse_cm|10IIFL28A</stp>
        <stp>LTT</stp>
        <tr r="I101" s="1"/>
      </tp>
      <tp>
        <v>175</v>
        <stp/>
        <stp>nse_cm|9IIFL28A-NT</stp>
        <stp>Bid Qty</stp>
        <tr r="D80" s="1"/>
      </tp>
      <tp>
        <v>0</v>
        <stp/>
        <stp>nse_cm|865SCL24B-Z8</stp>
        <stp>ATP</stp>
        <tr r="K952" s="1"/>
      </tp>
      <tp t="s">
        <v>00:00:00</v>
        <stp/>
        <stp>bse_cm|957EFSL27</stp>
        <stp>LTT</stp>
        <tr r="I576" s="1"/>
      </tp>
      <tp>
        <v>0</v>
        <stp/>
        <stp>bse_cm|957EFSL27</stp>
        <stp>LTP</stp>
        <tr r="H576" s="1"/>
      </tp>
      <tp>
        <v>0</v>
        <stp/>
        <stp>bse_cm|967EFSL28</stp>
        <stp>LTP</stp>
        <tr r="H205" s="1"/>
      </tp>
      <tp>
        <v>945</v>
        <stp/>
        <stp>bse_cm|967EFSL29</stp>
        <stp>LTP</stp>
        <tr r="H102" s="1"/>
      </tp>
      <tp t="s">
        <v>00:00:00</v>
        <stp/>
        <stp>bse_cm|967EFSL28</stp>
        <stp>LTT</stp>
        <tr r="I205" s="1"/>
      </tp>
      <tp t="s">
        <v>00:00:00</v>
        <stp/>
        <stp>bse_cm|967EFSL29</stp>
        <stp>LTT</stp>
        <tr r="I102" s="1"/>
      </tp>
      <tp>
        <v>899.8</v>
        <stp/>
        <stp>bse_cm|93EFSL31A</stp>
        <stp>ATP</stp>
        <tr r="K85" s="1"/>
      </tp>
      <tp>
        <v>0</v>
        <stp/>
        <stp>bse_cm|97EFSL31A</stp>
        <stp>ATP</stp>
        <tr r="K598" s="1"/>
      </tp>
      <tp>
        <v>40</v>
        <stp/>
        <stp>nse_cm|10NIDO26-N6</stp>
        <stp>Bid Qty</stp>
        <tr r="D66" s="1"/>
      </tp>
      <tp>
        <v>0</v>
        <stp/>
        <stp>bse_cm|10EFSL33B</stp>
        <stp>ATP</stp>
        <tr r="K136" s="1"/>
      </tp>
      <tp>
        <v>0</v>
        <stp/>
        <stp>bse_cm|10EFSL33A</stp>
        <stp>ATP</stp>
        <tr r="K140" s="1"/>
      </tp>
      <tp>
        <v>0</v>
        <stp/>
        <stp>bse_cm|MFLIV26</stp>
        <stp>LTP</stp>
        <tr r="H1500" s="1"/>
      </tp>
      <tp>
        <v>1043.8</v>
        <stp/>
        <stp>bse_cm|MFLIV25</stp>
        <stp>LTP</stp>
        <tr r="H280" s="1"/>
      </tp>
      <tp t="s">
        <v>00:00:00</v>
        <stp/>
        <stp>bse_cm|MFLIV26</stp>
        <stp>LTT</stp>
        <tr r="I1500" s="1"/>
      </tp>
      <tp t="s">
        <v>10:18:06</v>
        <stp/>
        <stp>bse_cm|MFLIV25</stp>
        <stp>LTT</stp>
        <tr r="I280" s="1"/>
      </tp>
      <tp>
        <v>-1.37</v>
        <stp/>
        <stp>bse_cm|10MFL24B</stp>
        <stp>% Change</stp>
        <tr r="J185" s="1"/>
      </tp>
      <tp>
        <v>0</v>
        <stp/>
        <stp>nse_cm|843SCFL27-YB</stp>
        <stp>Volume Traded Today</stp>
        <tr r="L929" s="1"/>
      </tp>
      <tp>
        <v>1061</v>
        <stp/>
        <stp>bse_cm|91EFSL24A</stp>
        <stp>High</stp>
        <tr r="N46" s="1"/>
      </tp>
      <tp>
        <v>990</v>
        <stp/>
        <stp>bse_cm|975MFL29A</stp>
        <stp xml:space="preserve">Low </stp>
        <tr r="O854" s="1"/>
      </tp>
      <tp>
        <v>0</v>
        <stp/>
        <stp>bse_cm|728IREDA26</stp>
        <stp>Bid Qty</stp>
        <tr r="D1203" s="1"/>
      </tp>
      <tp>
        <v>22</v>
        <stp/>
        <stp>bse_cm|753IREDA26</stp>
        <stp>Bid Qty</stp>
        <tr r="D487" s="1"/>
      </tp>
      <tp>
        <v>1083.23</v>
        <stp/>
        <stp>bse_cm|ICLFLZC29</stp>
        <stp xml:space="preserve">Low </stp>
        <tr r="O1613" s="1"/>
      </tp>
      <tp>
        <v>100</v>
        <stp/>
        <stp>bse_cm|774IREDA31</stp>
        <stp>Bid Qty</stp>
        <tr r="D17" s="1"/>
      </tp>
      <tp>
        <v>100</v>
        <stp/>
        <stp>bse_cm|749IREDA31</stp>
        <stp>Bid Qty</stp>
        <tr r="D568" s="1"/>
      </tp>
      <tp>
        <v>1000</v>
        <stp/>
        <stp>bse_cm|743IREDA36</stp>
        <stp>Bid Qty</stp>
        <tr r="D1441" s="1"/>
      </tp>
      <tp>
        <v>50</v>
        <stp/>
        <stp>bse_cm|768IREDA36</stp>
        <stp>Bid Qty</stp>
        <tr r="D543" s="1"/>
      </tp>
      <tp t="s">
        <v>925SCL29A</v>
        <stp/>
        <stp>bse_cm|925SCL29A</stp>
        <stp>Symbol</stp>
        <tr r="A268" s="1"/>
      </tp>
      <tp t="s">
        <v>925SCL28I</v>
        <stp/>
        <stp>bse_cm|925SCL28I</stp>
        <stp>Symbol</stp>
        <tr r="A822" s="1"/>
      </tp>
      <tp t="s">
        <v>925SCL28B</v>
        <stp/>
        <stp>bse_cm|925SCL28B</stp>
        <stp>Symbol</stp>
        <tr r="A894" s="1"/>
      </tp>
      <tp t="s">
        <v>925SCL28C</v>
        <stp/>
        <stp>bse_cm|925SCL28C</stp>
        <stp>Symbol</stp>
        <tr r="A824" s="1"/>
      </tp>
      <tp t="s">
        <v>925SCL28A</v>
        <stp/>
        <stp>bse_cm|925SCL28A</stp>
        <stp>Symbol</stp>
        <tr r="A938" s="1"/>
      </tp>
      <tp t="s">
        <v>925SCL25Z</v>
        <stp/>
        <stp>bse_cm|925SCL25Z</stp>
        <stp>Symbol</stp>
        <tr r="A790" s="1"/>
      </tp>
      <tp t="s">
        <v>925SCL25H</v>
        <stp/>
        <stp>bse_cm|925SCL25H</stp>
        <stp>Symbol</stp>
        <tr r="A886" s="1"/>
      </tp>
      <tp t="s">
        <v>925SCL25B</v>
        <stp/>
        <stp>bse_cm|925SCL25B</stp>
        <stp>Symbol</stp>
        <tr r="A1490" s="1"/>
      </tp>
      <tp t="s">
        <v>925SCL25C</v>
        <stp/>
        <stp>bse_cm|925SCL25C</stp>
        <stp>Symbol</stp>
        <tr r="A676" s="1"/>
      </tp>
      <tp t="s">
        <v>925SCL25A</v>
        <stp/>
        <stp>bse_cm|925SCL25A</stp>
        <stp>Symbol</stp>
        <tr r="A1515" s="1"/>
      </tp>
      <tp t="s">
        <v>925SCL25F</v>
        <stp/>
        <stp>bse_cm|925SCL25F</stp>
        <stp>Symbol</stp>
        <tr r="A719" s="1"/>
      </tp>
      <tp t="s">
        <v>925SCL25G</v>
        <stp/>
        <stp>bse_cm|925SCL25G</stp>
        <stp>Symbol</stp>
        <tr r="A717" s="1"/>
      </tp>
      <tp t="s">
        <v>925SFL27A</v>
        <stp/>
        <stp>bse_cm|925SFL27A</stp>
        <stp>Symbol</stp>
        <tr r="A848" s="1"/>
      </tp>
      <tp t="s">
        <v>925SCL26B</v>
        <stp/>
        <stp>bse_cm|925SCL26B</stp>
        <stp>Symbol</stp>
        <tr r="A1360" s="1"/>
      </tp>
      <tp t="s">
        <v>925SCL26C</v>
        <stp/>
        <stp>bse_cm|925SCL26C</stp>
        <stp>Symbol</stp>
        <tr r="A725" s="1"/>
      </tp>
      <tp t="s">
        <v>925SCL26A</v>
        <stp/>
        <stp>bse_cm|925SCL26A</stp>
        <stp>Symbol</stp>
        <tr r="A990" s="1"/>
      </tp>
      <tp t="s">
        <v>925SCL26D</v>
        <stp/>
        <stp>bse_cm|925SCL26D</stp>
        <stp>Symbol</stp>
        <tr r="A619" s="1"/>
      </tp>
      <tp t="s">
        <v>825MFL25A</v>
        <stp/>
        <stp>bse_cm|825MFL25A</stp>
        <stp>Symbol</stp>
        <tr r="A931" s="1"/>
      </tp>
      <tp t="s">
        <v>925KFL26A</v>
        <stp/>
        <stp>bse_cm|925KFL26A</stp>
        <stp>Symbol</stp>
        <tr r="A1479" s="1"/>
      </tp>
      <tp>
        <v>900</v>
        <stp/>
        <stp>bse_cm|10EFSL34A</stp>
        <stp>High</stp>
        <tr r="N131" s="1"/>
      </tp>
      <tp>
        <v>875</v>
        <stp/>
        <stp>bse_cm|11EFSL34A</stp>
        <stp>High</stp>
        <tr r="N1408" s="1"/>
      </tp>
      <tp t="s">
        <v>927MFL26A</v>
        <stp/>
        <stp>bse_cm|927MFL26A</stp>
        <stp>Symbol</stp>
        <tr r="A617" s="1"/>
      </tp>
      <tp>
        <v>12</v>
        <stp/>
        <stp>bse_cm|1049DLS25A</stp>
        <stp>Ask Qty</stp>
        <tr r="G119" s="1"/>
      </tp>
      <tp t="s">
        <v>920SCL23A</v>
        <stp/>
        <stp>bse_cm|920SCL23A</stp>
        <stp>Symbol</stp>
        <tr r="A1114" s="1"/>
      </tp>
      <tp>
        <v>0</v>
        <stp/>
        <stp>bse_cm|925SCL28B</stp>
        <stp>Open</stp>
        <tr r="M894" s="1"/>
      </tp>
      <tp>
        <v>0</v>
        <stp/>
        <stp>bse_cm|965SCL28B</stp>
        <stp>Open</stp>
        <tr r="M896" s="1"/>
      </tp>
      <tp>
        <v>0</v>
        <stp/>
        <stp>bse_cm|971SCL28B</stp>
        <stp>Open</stp>
        <tr r="M714" s="1"/>
      </tp>
      <tp>
        <v>0</v>
        <stp/>
        <stp>bse_cm|925SCL28C</stp>
        <stp>Open</stp>
        <tr r="M824" s="1"/>
      </tp>
      <tp>
        <v>0</v>
        <stp/>
        <stp>bse_cm|965SCL28C</stp>
        <stp>Open</stp>
        <tr r="M818" s="1"/>
      </tp>
      <tp>
        <v>0</v>
        <stp/>
        <stp>bse_cm|971SCL28C</stp>
        <stp>Open</stp>
        <tr r="M827" s="1"/>
      </tp>
      <tp>
        <v>0</v>
        <stp/>
        <stp>bse_cm|925SCL28A</stp>
        <stp>Open</stp>
        <tr r="M938" s="1"/>
      </tp>
      <tp>
        <v>0</v>
        <stp/>
        <stp>bse_cm|965SCL28A</stp>
        <stp>Open</stp>
        <tr r="M1136" s="1"/>
      </tp>
      <tp>
        <v>0</v>
        <stp/>
        <stp>bse_cm|971SCL28A</stp>
        <stp>Open</stp>
        <tr r="M1027" s="1"/>
      </tp>
      <tp>
        <v>0</v>
        <stp/>
        <stp>bse_cm|925SCL28I</stp>
        <stp>Open</stp>
        <tr r="M822" s="1"/>
      </tp>
      <tp>
        <v>0</v>
        <stp/>
        <stp>bse_cm|971SCL28I</stp>
        <stp>Open</stp>
        <tr r="M1471" s="1"/>
      </tp>
      <tp t="s">
        <v>IML16224</v>
        <stp/>
        <stp>bse_cm|IML16224</stp>
        <stp>Trading Symbol</stp>
        <tr r="B1499" s="1"/>
      </tp>
      <tp t="s">
        <v>93SCFL25</v>
        <stp/>
        <stp>bse_cm|93SCFL25</stp>
        <stp>Trading Symbol</stp>
        <tr r="B980" s="1"/>
      </tp>
      <tp t="s">
        <v>930SFL28</v>
        <stp/>
        <stp>bse_cm|930SFL28</stp>
        <stp>Trading Symbol</stp>
        <tr r="B10" s="1"/>
      </tp>
      <tp t="s">
        <v>931SFL26</v>
        <stp/>
        <stp>bse_cm|931SFL26</stp>
        <stp>Trading Symbol</stp>
        <tr r="B1492" s="1"/>
      </tp>
      <tp t="s">
        <v>935MFL29</v>
        <stp/>
        <stp>bse_cm|935MFL29</stp>
        <stp>Trading Symbol</stp>
        <tr r="B238" s="1"/>
      </tp>
      <tp>
        <v>1000</v>
        <stp/>
        <stp>nse_cm|SCLZC25C-NI</stp>
        <stp>Face Value</stp>
        <tr r="Q908" s="1"/>
      </tp>
      <tp>
        <v>1000</v>
        <stp/>
        <stp>nse_cm|SCLZC26C-NB</stp>
        <stp>Face Value</stp>
        <tr r="Q1537" s="1"/>
      </tp>
      <tp t="s">
        <v>925KFL27</v>
        <stp/>
        <stp>bse_cm|925KFL27</stp>
        <stp>Trading Symbol</stp>
        <tr r="B313" s="1"/>
      </tp>
      <tp t="s">
        <v>925KFL26</v>
        <stp/>
        <stp>bse_cm|925KFL26</stp>
        <stp>Trading Symbol</stp>
        <tr r="B775" s="1"/>
      </tp>
      <tp t="s">
        <v>925MFL25</v>
        <stp/>
        <stp>bse_cm|925MFL25</stp>
        <stp>Trading Symbol</stp>
        <tr r="B1466" s="1"/>
      </tp>
      <tp t="s">
        <v>925MFL26</v>
        <stp/>
        <stp>bse_cm|925MFL26</stp>
        <stp>Trading Symbol</stp>
        <tr r="B230" s="1"/>
      </tp>
      <tp t="s">
        <v>925SFL27</v>
        <stp/>
        <stp>bse_cm|925SFL27</stp>
        <stp>Trading Symbol</stp>
        <tr r="B849" s="1"/>
      </tp>
      <tp t="s">
        <v>925SFL26</v>
        <stp/>
        <stp>bse_cm|925SFL26</stp>
        <stp>Trading Symbol</stp>
        <tr r="B850" s="1"/>
      </tp>
      <tp t="s">
        <v>927MFL26</v>
        <stp/>
        <stp>bse_cm|927MFL26</stp>
        <stp>Trading Symbol</stp>
        <tr r="B1457" s="1"/>
      </tp>
      <tp>
        <v>1000</v>
        <stp/>
        <stp>bse_cm|CIFCZC26A</stp>
        <stp xml:space="preserve">Low </stp>
        <tr r="O737" s="1"/>
      </tp>
      <tp t="s">
        <v>910MFL26</v>
        <stp/>
        <stp>bse_cm|910MFL26</stp>
        <stp>Trading Symbol</stp>
        <tr r="B277" s="1"/>
      </tp>
      <tp t="s">
        <v>915MFL28</v>
        <stp/>
        <stp>bse_cm|915MFL28</stp>
        <stp>Trading Symbol</stp>
        <tr r="B283" s="1"/>
      </tp>
      <tp t="s">
        <v>915MFL25</v>
        <stp/>
        <stp>bse_cm|915MFL25</stp>
        <stp>Trading Symbol</stp>
        <tr r="B105" s="1"/>
      </tp>
      <tp t="s">
        <v>915MFL27</v>
        <stp/>
        <stp>bse_cm|915MFL27</stp>
        <stp>Trading Symbol</stp>
        <tr r="B614" s="1"/>
      </tp>
      <tp t="s">
        <v>INE01I507943</v>
        <stp/>
        <stp>bse_cm|985KAFL26</stp>
        <stp>Isin code</stp>
        <tr r="R1102" s="1"/>
      </tp>
      <tp t="s">
        <v>903SFL28</v>
        <stp/>
        <stp>bse_cm|903SFL28</stp>
        <stp>Trading Symbol</stp>
        <tr r="B397" s="1"/>
      </tp>
      <tp t="s">
        <v>905MFL28</v>
        <stp/>
        <stp>bse_cm|905MFL28</stp>
        <stp>Trading Symbol</stp>
        <tr r="B207" s="1"/>
      </tp>
      <tp>
        <v>1034</v>
        <stp/>
        <stp>bse_cm|975AHFL28</stp>
        <stp>High</stp>
        <tr r="N324" s="1"/>
      </tp>
      <tp>
        <v>1299</v>
        <stp/>
        <stp>bse_cm|935AHFL28</stp>
        <stp>High</stp>
        <tr r="N456" s="1"/>
      </tp>
      <tp t="s">
        <v>975MFL29</v>
        <stp/>
        <stp>bse_cm|975MFL29</stp>
        <stp>Trading Symbol</stp>
        <tr r="B683" s="1"/>
      </tp>
      <tp t="s">
        <v>975MFL25</v>
        <stp/>
        <stp>bse_cm|975MFL25</stp>
        <stp>Trading Symbol</stp>
        <tr r="B855" s="1"/>
      </tp>
      <tp t="s">
        <v>975NFL25</v>
        <stp/>
        <stp>bse_cm|975NFL25</stp>
        <stp>Trading Symbol</stp>
        <tr r="B623" s="1"/>
      </tp>
      <tp t="s">
        <v>INE866I08311</v>
        <stp/>
        <stp>nse_cm|IIFLZC25-ND</stp>
        <stp>Isin code</stp>
        <tr r="R1742" s="1"/>
      </tp>
      <tp t="s">
        <v>96IIFL28</v>
        <stp/>
        <stp>bse_cm|96IIFL28</stp>
        <stp>Trading Symbol</stp>
        <tr r="B118" s="1"/>
      </tp>
      <tp>
        <v>2076</v>
        <stp/>
        <stp>nse_cm|M&amp;MFIN-N3</stp>
        <stp>Ask Rate</stp>
        <tr r="F1723" s="1"/>
      </tp>
      <tp t="s">
        <v>95KAFL25</v>
        <stp/>
        <stp>bse_cm|95KAFL25</stp>
        <stp>Trading Symbol</stp>
        <tr r="B40" s="1"/>
      </tp>
      <tp t="s">
        <v>950KFL27</v>
        <stp/>
        <stp>bse_cm|950KFL27</stp>
        <stp>Trading Symbol</stp>
        <tr r="B143" s="1"/>
      </tp>
      <tp t="s">
        <v>950MFL27</v>
        <stp/>
        <stp>bse_cm|950MFL27</stp>
        <stp>Trading Symbol</stp>
        <tr r="B1147" s="1"/>
      </tp>
      <tp t="s">
        <v>950SFL27</v>
        <stp/>
        <stp>bse_cm|950SFL27</stp>
        <stp>Trading Symbol</stp>
        <tr r="B1144" s="1"/>
      </tp>
      <tp t="s">
        <v>944MFL28</v>
        <stp/>
        <stp>bse_cm|944MFL28</stp>
        <stp>Trading Symbol</stp>
        <tr r="B677" s="1"/>
      </tp>
      <tp t="s">
        <v>INE741K07595</v>
        <stp/>
        <stp>bse_cm|925CAGL26</stp>
        <stp>Isin code</stp>
        <tr r="R294" s="1"/>
      </tp>
      <tp>
        <v>1070</v>
        <stp/>
        <stp>bse_cm|805ABFL28</stp>
        <stp>High</stp>
        <tr r="N1371" s="1"/>
      </tp>
      <tp t="s">
        <v>INE148I07KZ5</v>
        <stp/>
        <stp>bse_cm|820SCFL25</stp>
        <stp>Isin code</stp>
        <tr r="R1059" s="1"/>
      </tp>
      <tp t="s">
        <v>INE027E07980</v>
        <stp/>
        <stp>nse_cm|884LTF29-N6</stp>
        <stp>Isin code</stp>
        <tr r="R1009" s="1"/>
      </tp>
      <tp t="s">
        <v>INE121A07RL4</v>
        <stp/>
        <stp>nse_cm|CIFCZC25-ND</stp>
        <stp>Isin code</stp>
        <tr r="R1435" s="1"/>
      </tp>
      <tp t="s">
        <v>INE01CY077S1</v>
        <stp/>
        <stp>bse_cm|1175IFL26</stp>
        <stp>Isin code</stp>
        <tr r="R1221" s="1"/>
      </tp>
      <tp t="s">
        <v>INE01CY077T9</v>
        <stp/>
        <stp>bse_cm|1150IFL26</stp>
        <stp>Isin code</stp>
        <tr r="R1225" s="1"/>
      </tp>
      <tp t="s">
        <v>INE906B07EP5</v>
        <stp/>
        <stp>bse_cm|769NHAI31</stp>
        <stp>Isin code</stp>
        <tr r="R465" s="1"/>
      </tp>
      <tp t="s">
        <v>TCHF30</v>
        <stp/>
        <stp>nse_cm|TCHF30-NB</stp>
        <stp>Symbol</stp>
        <tr r="A408" s="1"/>
      </tp>
      <tp t="s">
        <v>98NWFL30</v>
        <stp/>
        <stp>bse_cm|98NWFL30</stp>
        <stp>Trading Symbol</stp>
        <tr r="B231" s="1"/>
      </tp>
      <tp t="s">
        <v>INE01I507869</v>
        <stp/>
        <stp>bse_cm|975KAFL26</stp>
        <stp>Isin code</stp>
        <tr r="R859" s="1"/>
      </tp>
      <tp t="s">
        <v>INE148I07LA6</v>
        <stp/>
        <stp>bse_cm|866SCFL25</stp>
        <stp>Isin code</stp>
        <tr r="R342" s="1"/>
      </tp>
      <tp t="s">
        <v>INE148I07KW2</v>
        <stp/>
        <stp>bse_cm|850SCFL25</stp>
        <stp>Isin code</stp>
        <tr r="R1099" s="1"/>
      </tp>
      <tp t="s">
        <v>INE244L07309</v>
        <stp/>
        <stp>bse_cm|1030ICC26</stp>
        <stp>Isin code</stp>
        <tr r="R1538" s="1"/>
      </tp>
      <tp>
        <v>0</v>
        <stp/>
        <stp>nse_cm|957IIFLS27-NA</stp>
        <stp>% Change</stp>
        <tr r="J1495" s="1"/>
      </tp>
      <tp t="s">
        <v>INE906B07EI0</v>
        <stp/>
        <stp>bse_cm|735NHAI31</stp>
        <stp>Isin code</stp>
        <tr r="R565" s="1"/>
      </tp>
      <tp t="s">
        <v>990SCFL26</v>
        <stp/>
        <stp>bse_cm|990SCFL26</stp>
        <stp>Symbol</stp>
        <tr r="A1676" s="1"/>
      </tp>
      <tp t="s">
        <v>INE140A07765</v>
        <stp/>
        <stp>nse_cm|920PEL28-N2</stp>
        <stp>Isin code</stp>
        <tr r="R373" s="1"/>
      </tp>
      <tp t="s">
        <v>895NHFL25</v>
        <stp/>
        <stp>bse_cm|895NHFL25</stp>
        <stp>Symbol</stp>
        <tr r="A54" s="1"/>
      </tp>
      <tp t="s">
        <v>INE532F07BQ4</v>
        <stp/>
        <stp>bse_cm|995EFSL31</stp>
        <stp>Isin code</stp>
        <tr r="R192" s="1"/>
      </tp>
      <tp>
        <v>1085</v>
        <stp/>
        <stp>nse_cm|TCHF30-NB</stp>
        <stp>Ask Rate</stp>
        <tr r="F408" s="1"/>
      </tp>
      <tp>
        <v>875.4</v>
        <stp/>
        <stp>bse_cm|965ARKA26</stp>
        <stp>High</stp>
        <tr r="N869" s="1"/>
      </tp>
      <tp t="s">
        <v>INE148I07ME6</v>
        <stp/>
        <stp>nse_cm|915SCL27-Z7</stp>
        <stp>Isin code</stp>
        <tr r="R1475" s="1"/>
      </tp>
      <tp t="s">
        <v>93EFSL31A</v>
        <stp/>
        <stp>bse_cm|93EFSL31A</stp>
        <stp>Symbol</stp>
        <tr r="A85" s="1"/>
      </tp>
      <tp t="s">
        <v>INE532F07CB4</v>
        <stp/>
        <stp>bse_cm|970EFSL31</stp>
        <stp>Isin code</stp>
        <tr r="R220" s="1"/>
      </tp>
      <tp>
        <v>1000</v>
        <stp/>
        <stp>bse_cm|965ARKA28</stp>
        <stp>High</stp>
        <tr r="N1349" s="1"/>
      </tp>
      <tp t="s">
        <v>960EFSLA</v>
        <stp/>
        <stp>bse_cm|960EFSLA</stp>
        <stp>Trading Symbol</stp>
        <tr r="B699" s="1"/>
      </tp>
      <tp t="s">
        <v>967EFS28</v>
        <stp/>
        <stp>bse_cm|967EFS28</stp>
        <stp>Trading Symbol</stp>
        <tr r="B190" s="1"/>
      </tp>
      <tp t="s">
        <v>INE532F07BP6</v>
        <stp/>
        <stp>bse_cm|953EFSL31</stp>
        <stp>Isin code</stp>
        <tr r="R191" s="1"/>
      </tp>
      <tp>
        <v>0</v>
        <stp/>
        <stp>bse_cm|MFLV29</stp>
        <stp>LTP</stp>
        <tr r="H361" s="1"/>
      </tp>
      <tp t="s">
        <v>00:00:00</v>
        <stp/>
        <stp>bse_cm|MFLV29</stp>
        <stp>LTT</stp>
        <tr r="I361" s="1"/>
      </tp>
      <tp t="s">
        <v>00:00:00</v>
        <stp/>
        <stp>bse_cm|MFLV27</stp>
        <stp>LTT</stp>
        <tr r="I1508" s="1"/>
      </tp>
      <tp>
        <v>0</v>
        <stp/>
        <stp>bse_cm|MFLV27</stp>
        <stp>LTP</stp>
        <tr r="H1508" s="1"/>
      </tp>
      <tp t="s">
        <v>INE532F07CA6</v>
        <stp/>
        <stp>bse_cm|930EFSL31</stp>
        <stp>Isin code</stp>
        <tr r="R65" s="1"/>
      </tp>
      <tp t="s">
        <v>INE532F07GA7</v>
        <stp/>
        <stp>bse_cm|105EFSL29</stp>
        <stp>Isin code</stp>
        <tr r="R1358" s="1"/>
      </tp>
      <tp t="e">
        <v>#N/A</v>
        <stp/>
        <stp>bse_cm|MHFLZC24</stp>
        <stp>Ask Qty</stp>
        <tr r="G35" s="1"/>
      </tp>
      <tp>
        <v>500</v>
        <stp/>
        <stp>bse_cm|MHFLZC26</stp>
        <stp>Ask Qty</stp>
        <tr r="G1714" s="1"/>
      </tp>
      <tp t="s">
        <v>INE148I07RY3</v>
        <stp/>
        <stp>bse_cm|SCLZC26F</stp>
        <stp>Isin code</stp>
        <tr r="R898" s="1"/>
      </tp>
      <tp t="s">
        <v>INE148I07RK2</v>
        <stp/>
        <stp>bse_cm|SCLZC25F</stp>
        <stp>Isin code</stp>
        <tr r="R1542" s="1"/>
      </tp>
      <tp>
        <v>1307.27</v>
        <stp/>
        <stp>bse_cm|CAGL25A</stp>
        <stp xml:space="preserve">Low </stp>
        <tr r="O1701" s="1"/>
      </tp>
      <tp>
        <v>0</v>
        <stp/>
        <stp>bse_cm|953EFSL31</stp>
        <stp>Volume Traded Today</stp>
        <tr r="L191" s="1"/>
      </tp>
      <tp t="s">
        <v>NSE</v>
        <stp/>
        <stp>nse_cm|875SCFL27-Y9</stp>
        <stp>Exchange</stp>
        <tr r="C927" s="1"/>
      </tp>
      <tp>
        <v>1257</v>
        <stp/>
        <stp>bse_cm|EFSL24C</stp>
        <stp>High</stp>
        <tr r="N1755" s="1"/>
      </tp>
      <tp>
        <v>1030</v>
        <stp/>
        <stp>nse_cm|957ICCL25-YW</stp>
        <stp>LTP</stp>
        <tr r="H386" s="1"/>
      </tp>
      <tp t="s">
        <v/>
        <stp/>
        <stp>nse_cm|957ICCL25-YW</stp>
        <stp>LTT</stp>
        <tr r="I386" s="1"/>
      </tp>
      <tp>
        <v>0</v>
        <stp/>
        <stp>nse_cm|85PFL26A-N7</stp>
        <stp>Bid Qty</stp>
        <tr r="D1519" s="1"/>
      </tp>
      <tp>
        <v>1180</v>
        <stp/>
        <stp>nse_cm|873NTPC28-N5</stp>
        <stp>Bid Rate</stp>
        <tr r="E541" s="1"/>
      </tp>
      <tp>
        <v>1077</v>
        <stp/>
        <stp>nse_cm|1030ICC26-NJ</stp>
        <stp>Bid Rate</stp>
        <tr r="E1514" s="1"/>
      </tp>
      <tp>
        <v>0</v>
        <stp/>
        <stp>bse_cm|0MML29A</stp>
        <stp xml:space="preserve">Low </stp>
        <tr r="O1040" s="1"/>
      </tp>
      <tp>
        <v>0</v>
        <stp/>
        <stp>bse_cm|CCI110324</stp>
        <stp>LTP</stp>
        <tr r="H755" s="1"/>
      </tp>
      <tp t="s">
        <v>00:00:00</v>
        <stp/>
        <stp>bse_cm|CCI110324</stp>
        <stp>LTT</stp>
        <tr r="I755" s="1"/>
      </tp>
      <tp>
        <v>-100</v>
        <stp/>
        <stp>bse_cm|99JFPL25</stp>
        <stp>% Change</stp>
        <tr r="J1670" s="1"/>
      </tp>
      <tp>
        <v>0</v>
        <stp/>
        <stp>bse_cm|930NIDO32</stp>
        <stp>Volume Traded Today</stp>
        <tr r="L76" s="1"/>
      </tp>
      <tp>
        <v>0</v>
        <stp/>
        <stp>bse_cm|970NIDO32</stp>
        <stp>Volume Traded Today</stp>
        <tr r="L67" s="1"/>
      </tp>
      <tp>
        <v>0</v>
        <stp/>
        <stp>bse_cm|953NWIL32</stp>
        <stp>Volume Traded Today</stp>
        <tr r="L226" s="1"/>
      </tp>
      <tp>
        <v>1431</v>
        <stp/>
        <stp>bse_cm|KFLZC2A</stp>
        <stp xml:space="preserve">Low </stp>
        <tr r="O1760" s="1"/>
      </tp>
      <tp>
        <v>1011</v>
        <stp/>
        <stp>bse_cm|1060ECL29</stp>
        <stp>LTP</stp>
        <tr r="H272" s="1"/>
      </tp>
      <tp t="s">
        <v>00:00:00</v>
        <stp/>
        <stp>bse_cm|1060MML26</stp>
        <stp>LTT</stp>
        <tr r="I1218" s="1"/>
      </tp>
      <tp t="s">
        <v>09:37:51</v>
        <stp/>
        <stp>bse_cm|1060ECL29</stp>
        <stp>LTT</stp>
        <tr r="I272" s="1"/>
      </tp>
      <tp>
        <v>0</v>
        <stp/>
        <stp>bse_cm|1060MML26</stp>
        <stp>LTP</stp>
        <tr r="H1218" s="1"/>
      </tp>
      <tp>
        <v>226</v>
        <stp/>
        <stp>bse_cm|870NIDO25</stp>
        <stp>Volume Traded Today</stp>
        <tr r="L86" s="1"/>
      </tp>
      <tp>
        <v>0</v>
        <stp/>
        <stp>bse_cm|920NIDO26</stp>
        <stp>Volume Traded Today</stp>
        <tr r="L166" s="1"/>
      </tp>
      <tp>
        <v>0</v>
        <stp/>
        <stp>bse_cm|960NIDO26</stp>
        <stp>Volume Traded Today</stp>
        <tr r="L870" s="1"/>
      </tp>
      <tp>
        <v>1000</v>
        <stp/>
        <stp>nse_cm|879NHPC28-N5</stp>
        <stp>Face Value</stp>
        <tr r="Q464" s="1"/>
      </tp>
      <tp>
        <v>0</v>
        <stp/>
        <stp>nse_cm|85PCHFL26-N7</stp>
        <stp>Volume Traded Today</stp>
        <tr r="L712" s="1"/>
      </tp>
      <tp>
        <v>0</v>
        <stp/>
        <stp>bse_cm|1075KLM27</stp>
        <stp>LTP</stp>
        <tr r="H1117" s="1"/>
      </tp>
      <tp t="s">
        <v>00:00:00</v>
        <stp/>
        <stp>bse_cm|1065NFL27</stp>
        <stp>LTT</stp>
        <tr r="I182" s="1"/>
      </tp>
      <tp>
        <v>900.7</v>
        <stp/>
        <stp>nse_cm|971SCL29A-ZN</stp>
        <stp xml:space="preserve">Low </stp>
        <tr r="O861" s="1"/>
      </tp>
      <tp>
        <v>0</v>
        <stp/>
        <stp>bse_cm|1175KLM25</stp>
        <stp>LTP</stp>
        <tr r="H1691" s="1"/>
      </tp>
      <tp t="s">
        <v>00:00:00</v>
        <stp/>
        <stp>bse_cm|1075KLM27</stp>
        <stp>LTT</stp>
        <tr r="I1117" s="1"/>
      </tp>
      <tp>
        <v>0</v>
        <stp/>
        <stp>bse_cm|1065NFL27</stp>
        <stp>LTP</stp>
        <tr r="H182" s="1"/>
      </tp>
      <tp t="s">
        <v>00:00:00</v>
        <stp/>
        <stp>bse_cm|1175KLM25</stp>
        <stp>LTT</stp>
        <tr r="I1691" s="1"/>
      </tp>
      <tp>
        <v>1000</v>
        <stp/>
        <stp>nse_cm|91MOFSL27-N2</stp>
        <stp>Face Value</stp>
        <tr r="Q1611" s="1"/>
      </tp>
      <tp>
        <v>0</v>
        <stp/>
        <stp>bse_cm|843IHFL29</stp>
        <stp>Volume Traded Today</stp>
        <tr r="L139" s="1"/>
      </tp>
      <tp>
        <v>0</v>
        <stp/>
        <stp>nse_cm|925SCL25C-AR</stp>
        <stp>Open</stp>
        <tr r="M249" s="1"/>
      </tp>
      <tp>
        <v>1000.2</v>
        <stp/>
        <stp>nse_cm|1050NFL26-N7</stp>
        <stp>LTP</stp>
        <tr r="H259" s="1"/>
      </tp>
      <tp>
        <v>1110</v>
        <stp/>
        <stp>nse_cm|985ICCL28-NO</stp>
        <stp>ATP</stp>
        <tr r="K1605" s="1"/>
      </tp>
      <tp t="s">
        <v/>
        <stp/>
        <stp>nse_cm|1050NFL26-N7</stp>
        <stp>LTT</stp>
        <tr r="I259" s="1"/>
      </tp>
      <tp>
        <v>10</v>
        <stp/>
        <stp>nse_cm|87SCL27A-ZK</stp>
        <stp>Bid Qty</stp>
        <tr r="D1416" s="1"/>
      </tp>
      <tp>
        <v>1085</v>
        <stp/>
        <stp>nse_cm|105IIFL29-N7</stp>
        <stp>LTP</stp>
        <tr r="H270" s="1"/>
      </tp>
      <tp t="s">
        <v>10:06:25</v>
        <stp/>
        <stp>nse_cm|105IIFL29-N7</stp>
        <stp>LTT</stp>
        <tr r="I270" s="1"/>
      </tp>
      <tp t="s">
        <v/>
        <stp/>
        <stp>nse_cm|805ABFL28-N2</stp>
        <stp>LTT</stp>
        <tr r="I477" s="1"/>
      </tp>
      <tp>
        <v>1020</v>
        <stp/>
        <stp>nse_cm|805ABFL28-N2</stp>
        <stp>LTP</stp>
        <tr r="H477" s="1"/>
      </tp>
      <tp>
        <v>12</v>
        <stp/>
        <stp>nse_cm|87SCL24A-ZF</stp>
        <stp>Bid Qty</stp>
        <tr r="D959" s="1"/>
      </tp>
      <tp t="s">
        <v/>
        <stp/>
        <stp>nse_cm|1040NFL26-NA</stp>
        <stp>LTT</stp>
        <tr r="I678" s="1"/>
      </tp>
      <tp>
        <v>1000.05</v>
        <stp/>
        <stp>nse_cm|1040NFL26-NA</stp>
        <stp>LTP</stp>
        <tr r="H678" s="1"/>
      </tp>
      <tp>
        <v>841</v>
        <stp/>
        <stp>nse_cm|957ICCL28-NW</stp>
        <stp>LTP</stp>
        <tr r="H762" s="1"/>
      </tp>
      <tp t="s">
        <v/>
        <stp/>
        <stp>nse_cm|957ICCL28-NW</stp>
        <stp>LTT</stp>
        <tr r="I762" s="1"/>
      </tp>
      <tp t="s">
        <v/>
        <stp/>
        <stp>nse_cm|1075NFL25-N6</stp>
        <stp>LTT</stp>
        <tr r="I1438" s="1"/>
      </tp>
      <tp>
        <v>1018.89</v>
        <stp/>
        <stp>nse_cm|1075NFL25-N6</stp>
        <stp>LTP</stp>
        <tr r="H1438" s="1"/>
      </tp>
      <tp>
        <v>1000</v>
        <stp/>
        <stp>nse_cm|1065NFL27-NC</stp>
        <stp>LTP</stp>
        <tr r="H170" s="1"/>
      </tp>
      <tp>
        <v>0</v>
        <stp/>
        <stp>bse_cm|89SCL24A</stp>
        <stp>Ask Qty</stp>
        <tr r="G971" s="1"/>
      </tp>
      <tp t="s">
        <v>11:28:17</v>
        <stp/>
        <stp>nse_cm|1065NFL27-NC</stp>
        <stp>LTT</stp>
        <tr r="I170" s="1"/>
      </tp>
      <tp>
        <v>0</v>
        <stp/>
        <stp>bse_cm|843SCFL27</stp>
        <stp>Volume Traded Today</stp>
        <tr r="L1074" s="1"/>
      </tp>
      <tp>
        <v>0</v>
        <stp/>
        <stp>nse_cm|980ICCL28-NL</stp>
        <stp>ATP</stp>
        <tr r="K780" s="1"/>
      </tp>
      <tp t="s">
        <v>11:08:20</v>
        <stp/>
        <stp>nse_cm|875NHAI29-N6</stp>
        <stp>LTT</stp>
        <tr r="I495" s="1"/>
      </tp>
      <tp>
        <v>1172.25</v>
        <stp/>
        <stp>nse_cm|875NHAI29-N6</stp>
        <stp>LTP</stp>
        <tr r="H495" s="1"/>
      </tp>
      <tp>
        <v>989.95</v>
        <stp/>
        <stp>nse_cm|910CAGL25-N7</stp>
        <stp>LTP</stp>
        <tr r="H622" s="1"/>
      </tp>
      <tp t="s">
        <v/>
        <stp/>
        <stp>nse_cm|910CAGL25-N7</stp>
        <stp>LTT</stp>
        <tr r="I622" s="1"/>
      </tp>
      <tp>
        <v>0</v>
        <stp/>
        <stp>bse_cm|663PFCL31</stp>
        <stp>Volume Traded Today</stp>
        <tr r="L1208" s="1"/>
      </tp>
      <tp>
        <v>0</v>
        <stp/>
        <stp>bse_cm|683PFCL31</stp>
        <stp>Volume Traded Today</stp>
        <tr r="L449" s="1"/>
      </tp>
      <tp>
        <v>0</v>
        <stp/>
        <stp>bse_cm|753PFCL33</stp>
        <stp>Volume Traded Today</stp>
        <tr r="L426" s="1"/>
      </tp>
      <tp t="s">
        <v/>
        <stp/>
        <stp>nse_cm|1025NFL25-N5</stp>
        <stp>LTT</stp>
        <tr r="I1488" s="1"/>
      </tp>
      <tp>
        <v>999.8</v>
        <stp/>
        <stp>nse_cm|1025NFL25-N5</stp>
        <stp>LTP</stp>
        <tr r="H1488" s="1"/>
      </tp>
      <tp>
        <v>0</v>
        <stp/>
        <stp>nse_cm|1003SCL30-BW</stp>
        <stp>Bid Rate</stp>
        <tr r="E876" s="1"/>
      </tp>
      <tp>
        <v>1000</v>
        <stp/>
        <stp>nse_cm|1065NFL27-NC</stp>
        <stp>Face Value</stp>
        <tr r="Q170" s="1"/>
      </tp>
      <tp>
        <v>1000</v>
        <stp/>
        <stp>nse_cm|1119NFL27-ND</stp>
        <stp>Face Value</stp>
        <tr r="Q337" s="1"/>
      </tp>
      <tp t="s">
        <v/>
        <stp/>
        <stp>nse_cm|1090NFL26-NB</stp>
        <stp>LTT</stp>
        <tr r="I636" s="1"/>
      </tp>
      <tp>
        <v>1044.3399999999999</v>
        <stp/>
        <stp>nse_cm|1090NFL26-NB</stp>
        <stp>LTP</stp>
        <tr r="H636" s="1"/>
      </tp>
      <tp>
        <v>0</v>
        <stp/>
        <stp>nse_cm|89SCL24A-ZM</stp>
        <stp>Bid Qty</stp>
        <tr r="D970" s="1"/>
      </tp>
      <tp t="s">
        <v>INE549K07BH7</v>
        <stp/>
        <stp>bse_cm|MFLZC28F</stp>
        <stp>Isin code</stp>
        <tr r="R1268" s="1"/>
      </tp>
      <tp t="s">
        <v>INE549K07DJ9</v>
        <stp/>
        <stp>bse_cm|MFLZC27F</stp>
        <stp>Isin code</stp>
        <tr r="R1566" s="1"/>
      </tp>
      <tp t="s">
        <v>85CIFC27</v>
        <stp/>
        <stp>nse_cm|85CIFC27-NL</stp>
        <stp>Symbol</stp>
        <tr r="A973" s="1"/>
      </tp>
      <tp>
        <v>-100</v>
        <stp/>
        <stp>bse_cm|MFLZC24C</stp>
        <stp>% Change</stp>
        <tr r="J1551" s="1"/>
      </tp>
      <tp>
        <v>-0.09</v>
        <stp/>
        <stp>bse_cm|ECLZC24B</stp>
        <stp>% Change</stp>
        <tr r="J1767" s="1"/>
      </tp>
      <tp>
        <v>50</v>
        <stp/>
        <stp>nse_cm|750IRFC35-NK</stp>
        <stp>Volume Traded Today</stp>
        <tr r="L485" s="1"/>
      </tp>
      <tp>
        <v>2.5299999999999998</v>
        <stp/>
        <stp>bse_cm|MFLZC24D</stp>
        <stp>% Change</stp>
        <tr r="J1550" s="1"/>
      </tp>
      <tp>
        <v>-100</v>
        <stp/>
        <stp>bse_cm|KFLZC24D</stp>
        <stp>% Change</stp>
        <tr r="J1296" s="1"/>
      </tp>
      <tp>
        <v>0</v>
        <stp/>
        <stp>nse_cm|971SCL28I-BC</stp>
        <stp>ATP</stp>
        <tr r="K531" s="1"/>
      </tp>
      <tp>
        <v>0</v>
        <stp/>
        <stp>nse_cm|971SCL28C-BU</stp>
        <stp>ATP</stp>
        <tr r="K826" s="1"/>
      </tp>
      <tp>
        <v>0</v>
        <stp/>
        <stp>nse_cm|10ISFL26-N3</stp>
        <stp>Ask Qty</stp>
        <tr r="G1527" s="1"/>
      </tp>
      <tp>
        <v>30</v>
        <stp/>
        <stp>nse_cm|10IIFL29-N6</stp>
        <stp>Ask Qty</stp>
        <tr r="G193" s="1"/>
      </tp>
      <tp>
        <v>100</v>
        <stp/>
        <stp>nse_cm|10IIFL28-N4</stp>
        <stp>Ask Qty</stp>
        <tr r="G42" s="1"/>
      </tp>
      <tp>
        <v>0</v>
        <stp/>
        <stp>nse_cm|1003SCL30-BW</stp>
        <stp>Volume Traded Today</stp>
        <tr r="L876" s="1"/>
      </tp>
      <tp>
        <v>0</v>
        <stp/>
        <stp>nse_cm|1030ICC26-NJ</stp>
        <stp>Volume Traded Today</stp>
        <tr r="L1514" s="1"/>
      </tp>
      <tp>
        <v>0</v>
        <stp/>
        <stp>nse_cm|1035UCL26-NA</stp>
        <stp>Volume Traded Today</stp>
        <tr r="L1627" s="1"/>
      </tp>
      <tp>
        <v>0</v>
        <stp/>
        <stp>nse_cm|1035UCL24-N6</stp>
        <stp>Volume Traded Today</stp>
        <tr r="L591" s="1"/>
      </tp>
      <tp>
        <v>0</v>
        <stp/>
        <stp>nse_cm|1025UCL25-N8</stp>
        <stp>Volume Traded Today</stp>
        <tr r="L217" s="1"/>
      </tp>
      <tp>
        <v>1000</v>
        <stp/>
        <stp>nse_cm|971SCL28A-NT</stp>
        <stp>ATP</stp>
        <tr r="K680" s="1"/>
      </tp>
      <tp>
        <v>0</v>
        <stp/>
        <stp>nse_cm|1015SCL28-NR</stp>
        <stp>Volume Traded Today</stp>
        <tr r="L288" s="1"/>
      </tp>
      <tp>
        <v>0</v>
        <stp/>
        <stp>nse_cm|1015ECL29-NR</stp>
        <stp>Volume Traded Today</stp>
        <tr r="L204" s="1"/>
      </tp>
      <tp>
        <v>0</v>
        <stp/>
        <stp>bse_cm|866SCFL25</stp>
        <stp>LTP</stp>
        <tr r="H342" s="1"/>
      </tp>
      <tp t="s">
        <v>00:00:00</v>
        <stp/>
        <stp>bse_cm|866SCFL25</stp>
        <stp>LTT</stp>
        <tr r="I342" s="1"/>
      </tp>
      <tp>
        <v>0</v>
        <stp/>
        <stp>nse_cm|850IIFL27-NA</stp>
        <stp>Volume Traded Today</stp>
        <tr r="L608" s="1"/>
      </tp>
      <tp>
        <v>0</v>
        <stp/>
        <stp>nse_cm|940CAGL27-NB</stp>
        <stp>Volume Traded Today</stp>
        <tr r="L1367" s="1"/>
      </tp>
      <tp>
        <v>0</v>
        <stp/>
        <stp>nse_cm|957ISFL26-N2</stp>
        <stp>Volume Traded Today</stp>
        <tr r="L245" s="1"/>
      </tp>
      <tp>
        <v>0</v>
        <stp/>
        <stp>nse_cm|1075UCL25-N9</stp>
        <stp>Volume Traded Today</stp>
        <tr r="L498" s="1"/>
      </tp>
      <tp>
        <v>5</v>
        <stp/>
        <stp>nse_cm|1060ECL29-NS</stp>
        <stp>Volume Traded Today</stp>
        <tr r="L144" s="1"/>
      </tp>
      <tp>
        <v>0</v>
        <stp/>
        <stp>nse_cm|1050SCL30-NU</stp>
        <stp>Volume Traded Today</stp>
        <tr r="L893" s="1"/>
      </tp>
      <tp>
        <v>0</v>
        <stp/>
        <stp>nse_cm|945CAGL24-N1</stp>
        <stp>Volume Traded Today</stp>
        <tr r="L1704" s="1"/>
      </tp>
      <tp>
        <v>13</v>
        <stp/>
        <stp>nse_cm|1050UCL25-N7</stp>
        <stp>Volume Traded Today</stp>
        <tr r="L201" s="1"/>
      </tp>
      <tp>
        <v>0</v>
        <stp/>
        <stp>nse_cm|1040UCL25-N4</stp>
        <stp>Volume Traded Today</stp>
        <tr r="L669" s="1"/>
      </tp>
      <tp>
        <v>1250</v>
        <stp/>
        <stp>bse_cm|KFLZC28</stp>
        <stp xml:space="preserve">Low </stp>
        <tr r="O1290" s="1"/>
      </tp>
      <tp t="s">
        <v>00:00:00</v>
        <stp/>
        <stp>bse_cm|729IRFC26</stp>
        <stp>LTT</stp>
        <tr r="I367" s="1"/>
      </tp>
      <tp t="s">
        <v>00:00:00</v>
        <stp/>
        <stp>bse_cm|739HUDC31</stp>
        <stp>LTT</stp>
        <tr r="I1347" s="1"/>
      </tp>
      <tp>
        <v>0</v>
        <stp/>
        <stp>bse_cm|729IRFC26</stp>
        <stp>LTP</stp>
        <tr r="H367" s="1"/>
      </tp>
      <tp>
        <v>0</v>
        <stp/>
        <stp>bse_cm|739HUDC31</stp>
        <stp>LTP</stp>
        <tr r="H1347" s="1"/>
      </tp>
      <tp>
        <v>0</v>
        <stp/>
        <stp>bse_cm|704IRFC26</stp>
        <stp>ATP</stp>
        <tr r="K557" s="1"/>
      </tp>
      <tp t="s">
        <v>00:00:00</v>
        <stp/>
        <stp>bse_cm|966IFSL25</stp>
        <stp>LTT</stp>
        <tr r="I1051" s="1"/>
      </tp>
      <tp>
        <v>0</v>
        <stp/>
        <stp>bse_cm|966IFSL25</stp>
        <stp>LTP</stp>
        <tr r="H1051" s="1"/>
      </tp>
      <tp>
        <v>16</v>
        <stp/>
        <stp>nse_cm|792TCH25-N3</stp>
        <stp>Bid Qty</stp>
        <tr r="D1187" s="1"/>
      </tp>
      <tp>
        <v>992.4</v>
        <stp/>
        <stp>bse_cm|KFLZC29</stp>
        <stp xml:space="preserve">Low </stp>
        <tr r="O1639" s="1"/>
      </tp>
      <tp>
        <v>1091.23</v>
        <stp/>
        <stp>bse_cm|764IRFC31</stp>
        <stp>ATP</stp>
        <tr r="K466" s="1"/>
      </tp>
      <tp>
        <v>0</v>
        <stp/>
        <stp>bse_cm|1125KLM26</stp>
        <stp>Volume Traded Today</stp>
        <tr r="L1227" s="1"/>
      </tp>
      <tp>
        <v>0</v>
        <stp/>
        <stp>bse_cm|1035UCL24</stp>
        <stp>Volume Traded Today</stp>
        <tr r="L1580" s="1"/>
      </tp>
      <tp>
        <v>128</v>
        <stp/>
        <stp>bse_cm|1035UCL26</stp>
        <stp>Volume Traded Today</stp>
        <tr r="L1626" s="1"/>
      </tp>
      <tp t="s">
        <v>00:00:00</v>
        <stp/>
        <stp>bse_cm|MFCL16924</stp>
        <stp>LTT</stp>
        <tr r="I579" s="1"/>
      </tp>
      <tp>
        <v>0</v>
        <stp/>
        <stp>bse_cm|MFCL16924</stp>
        <stp>LTP</stp>
        <tr r="H579" s="1"/>
      </tp>
      <tp>
        <v>1001.11</v>
        <stp/>
        <stp>bse_cm|MFCL30424</stp>
        <stp>ATP</stp>
        <tr r="K1606" s="1"/>
      </tp>
      <tp>
        <v>1077</v>
        <stp/>
        <stp>nse_cm|905SC24-ZB</stp>
        <stp>High</stp>
        <tr r="N1374" s="1"/>
      </tp>
      <tp>
        <v>1076</v>
        <stp/>
        <stp>nse_cm|CIFCZC26A-N3</stp>
        <stp>Prev Close</stp>
        <tr r="P1565" s="1"/>
      </tp>
      <tp>
        <v>1136</v>
        <stp/>
        <stp>nse_cm|CIFCZC25A-N1</stp>
        <stp>Prev Close</stp>
        <tr r="P1730" s="1"/>
      </tp>
      <tp>
        <v>1060</v>
        <stp/>
        <stp>nse_cm|CIFCZC28A-N5</stp>
        <stp>Prev Close</stp>
        <tr r="P1559" s="1"/>
      </tp>
      <tp t="s">
        <v>09:44:22</v>
        <stp/>
        <stp>bse_cm|916NWIL27</stp>
        <stp>LTT</stp>
        <tr r="I209" s="1"/>
      </tp>
      <tp t="s">
        <v>11:23:47</v>
        <stp/>
        <stp>bse_cm|849NTPC25</stp>
        <stp>LTT</stp>
        <tr r="I443" s="1"/>
      </tp>
      <tp>
        <v>979</v>
        <stp/>
        <stp>bse_cm|916NWIL27</stp>
        <stp>LTP</stp>
        <tr r="H209" s="1"/>
      </tp>
      <tp>
        <v>5.24</v>
        <stp/>
        <stp>bse_cm|849NTPC25</stp>
        <stp>LTP</stp>
        <tr r="H443" s="1"/>
      </tp>
      <tp>
        <v>1110</v>
        <stp/>
        <stp>nse_cm|769NHAI31-NE</stp>
        <stp>Bid Rate</stp>
        <tr r="E461" s="1"/>
      </tp>
      <tp>
        <v>1157.0999999999999</v>
        <stp/>
        <stp>nse_cm|863IRFC29-NC</stp>
        <stp>Bid Rate</stp>
        <tr r="E554" s="1"/>
      </tp>
      <tp>
        <v>0</v>
        <stp/>
        <stp>bse_cm|905NIDO25</stp>
        <stp>LTP</stp>
        <tr r="H60" s="1"/>
      </tp>
      <tp>
        <v>937.2</v>
        <stp/>
        <stp>bse_cm|915NIDO27</stp>
        <stp>LTP</stp>
        <tr r="H59" s="1"/>
      </tp>
      <tp>
        <v>968.26</v>
        <stp/>
        <stp>bse_cm|955NIDO27</stp>
        <stp>LTP</stp>
        <tr r="H51" s="1"/>
      </tp>
      <tp>
        <v>0</v>
        <stp/>
        <stp>bse_cm|958NIDO27</stp>
        <stp>ATP</stp>
        <tr r="K1402" s="1"/>
      </tp>
      <tp t="s">
        <v>00:00:00</v>
        <stp/>
        <stp>bse_cm|905NIDO25</stp>
        <stp>LTT</stp>
        <tr r="I60" s="1"/>
      </tp>
      <tp t="s">
        <v>09:50:20</v>
        <stp/>
        <stp>bse_cm|915NIDO27</stp>
        <stp>LTT</stp>
        <tr r="I59" s="1"/>
      </tp>
      <tp t="s">
        <v>11:26:00</v>
        <stp/>
        <stp>bse_cm|955NIDO27</stp>
        <stp>LTT</stp>
        <tr r="I51" s="1"/>
      </tp>
      <tp>
        <v>1007.5</v>
        <stp/>
        <stp>nse_cm|9PCHFL31A-NA</stp>
        <stp>Bid Rate</stp>
        <tr r="E435" s="1"/>
      </tp>
      <tp>
        <v>0</v>
        <stp/>
        <stp>nse_cm|1075SCL34-ZR</stp>
        <stp>Volume Traded Today</stp>
        <tr r="L1366" s="1"/>
      </tp>
      <tp>
        <v>0</v>
        <stp/>
        <stp>nse_cm|875SCL23A-YI</stp>
        <stp>ATP</stp>
        <tr r="K1477" s="1"/>
      </tp>
      <tp>
        <v>0</v>
        <stp/>
        <stp>bse_cm|91EFSL24A</stp>
        <stp>ATP</stp>
        <tr r="K46" s="1"/>
      </tp>
      <tp>
        <v>0</v>
        <stp/>
        <stp>nse_cm|1050SCL31-ZP</stp>
        <stp>Volume Traded Today</stp>
        <tr r="L891" s="1"/>
      </tp>
      <tp>
        <v>10</v>
        <stp/>
        <stp>nse_cm|SCL310524-ZF</stp>
        <stp>Volume Traded Today</stp>
        <tr r="L593" s="1"/>
      </tp>
      <tp>
        <v>-100</v>
        <stp/>
        <stp>nse_cm|10SCL31A-ZO</stp>
        <stp>% Change</stp>
        <tr r="J864" s="1"/>
      </tp>
      <tp>
        <v>0</v>
        <stp/>
        <stp>nse_cm|1075SCL33-YK</stp>
        <stp>Volume Traded Today</stp>
        <tr r="L707" s="1"/>
      </tp>
      <tp t="s">
        <v>NSE</v>
        <stp/>
        <stp>nse_cm|925SCFL27-YA</stp>
        <stp>Exchange</stp>
        <tr r="C113" s="1"/>
      </tp>
      <tp t="e">
        <v>#N/A</v>
        <stp/>
        <stp>bse_cm|SFLZC24</stp>
        <stp xml:space="preserve">Low </stp>
        <tr r="O30" s="1"/>
      </tp>
      <tp>
        <v>1812.81</v>
        <stp/>
        <stp>bse_cm|KFLZC24</stp>
        <stp xml:space="preserve">Low </stp>
        <tr r="O1766" s="1"/>
      </tp>
      <tp>
        <v>0</v>
        <stp/>
        <stp>nse_cm|850SCFL25-Y4</stp>
        <stp>Volume Traded Today</stp>
        <tr r="L924" s="1"/>
      </tp>
      <tp t="s">
        <v>10:11:41</v>
        <stp/>
        <stp>bse_cm|916EFSL26</stp>
        <stp>LTT</stp>
        <tr r="I69" s="1"/>
      </tp>
      <tp>
        <v>0</v>
        <stp/>
        <stp>nse_cm|950IIFL27-Y2</stp>
        <stp>Volume Traded Today</stp>
        <tr r="L995" s="1"/>
      </tp>
      <tp>
        <v>950</v>
        <stp/>
        <stp>bse_cm|916EFSL26</stp>
        <stp>LTP</stp>
        <tr r="H69" s="1"/>
      </tp>
      <tp>
        <v>0</v>
        <stp/>
        <stp>nse_cm|971SCL28B-YD</stp>
        <stp>ATP</stp>
        <tr r="K828" s="1"/>
      </tp>
      <tp>
        <v>1292</v>
        <stp/>
        <stp>bse_cm|SFLZC25</stp>
        <stp xml:space="preserve">Low </stp>
        <tr r="O802" s="1"/>
      </tp>
      <tp>
        <v>1110</v>
        <stp/>
        <stp>bse_cm|MFLZC25</stp>
        <stp xml:space="preserve">Low </stp>
        <tr r="O1683" s="1"/>
      </tp>
      <tp>
        <v>1880</v>
        <stp/>
        <stp>bse_cm|KFLZC25</stp>
        <stp xml:space="preserve">Low </stp>
        <tr r="O1754" s="1"/>
      </tp>
      <tp>
        <v>1136.5</v>
        <stp/>
        <stp>bse_cm|MFLVI25</stp>
        <stp xml:space="preserve">Low </stp>
        <tr r="O1707" s="1"/>
      </tp>
      <tp>
        <v>1043.8</v>
        <stp/>
        <stp>bse_cm|MFLIV25</stp>
        <stp xml:space="preserve">Low </stp>
        <tr r="O280" s="1"/>
      </tp>
      <tp>
        <v>0</v>
        <stp/>
        <stp>nse_cm|1025SCL34-Z8</stp>
        <stp>Volume Traded Today</stp>
        <tr r="L128" s="1"/>
      </tp>
      <tp>
        <v>1160</v>
        <stp/>
        <stp>bse_cm|SFLZC26</stp>
        <stp xml:space="preserve">Low </stp>
        <tr r="O801" s="1"/>
      </tp>
      <tp>
        <v>1720</v>
        <stp/>
        <stp>bse_cm|MFLZC26</stp>
        <stp xml:space="preserve">Low </stp>
        <tr r="O1720" s="1"/>
      </tp>
      <tp>
        <v>1308.79</v>
        <stp/>
        <stp>bse_cm|KFLZC26</stp>
        <stp xml:space="preserve">Low </stp>
        <tr r="O1709" s="1"/>
      </tp>
      <tp>
        <v>0</v>
        <stp/>
        <stp>nse_cm|971SCL29A-ZN</stp>
        <stp>ATP</stp>
        <tr r="K861" s="1"/>
      </tp>
      <tp>
        <v>1285.8</v>
        <stp/>
        <stp>bse_cm|MFLVI26</stp>
        <stp xml:space="preserve">Low </stp>
        <tr r="O1719" s="1"/>
      </tp>
      <tp>
        <v>1019</v>
        <stp/>
        <stp>bse_cm|MFLIV26</stp>
        <stp xml:space="preserve">Low </stp>
        <tr r="O1500" s="1"/>
      </tp>
      <tp>
        <v>1062.5</v>
        <stp/>
        <stp>bse_cm|MFLII26</stp>
        <stp xml:space="preserve">Low </stp>
        <tr r="O390" s="1"/>
      </tp>
      <tp>
        <v>0</v>
        <stp/>
        <stp>nse_cm|1015SCL29-ZL</stp>
        <stp>Volume Traded Today</stp>
        <tr r="L1176" s="1"/>
      </tp>
      <tp>
        <v>960</v>
        <stp/>
        <stp>nse_cm|1025SCL34-Z8</stp>
        <stp>Ask Rate</stp>
        <tr r="F128" s="1"/>
      </tp>
      <tp>
        <v>0</v>
        <stp/>
        <stp>nse_cm|1025SCL33-YJ</stp>
        <stp>Volume Traded Today</stp>
        <tr r="L836" s="1"/>
      </tp>
      <tp>
        <v>1060</v>
        <stp/>
        <stp>bse_cm|MFLZC27</stp>
        <stp xml:space="preserve">Low </stp>
        <tr r="O1271" s="1"/>
      </tp>
      <tp>
        <v>0</v>
        <stp/>
        <stp>bse_cm|KFLZC27</stp>
        <stp xml:space="preserve">Low </stp>
        <tr r="O1292" s="1"/>
      </tp>
      <tp>
        <v>956</v>
        <stp/>
        <stp>bse_cm|MFLII27</stp>
        <stp xml:space="preserve">Low </stp>
        <tr r="O648" s="1"/>
      </tp>
      <tp>
        <v>0</v>
        <stp/>
        <stp>nse_cm|1003SCL31-ZQ</stp>
        <stp>Volume Traded Today</stp>
        <tr r="L688" s="1"/>
      </tp>
      <tp>
        <v>925</v>
        <stp/>
        <stp>bse_cm|944MFL28A</stp>
        <stp xml:space="preserve">Low </stp>
        <tr r="O1073" s="1"/>
      </tp>
      <tp>
        <v>975</v>
        <stp/>
        <stp>bse_cm|905MFL28A</stp>
        <stp xml:space="preserve">Low </stp>
        <tr r="O224" s="1"/>
      </tp>
      <tp t="s">
        <v>INE148I07QJ6</v>
        <stp/>
        <stp>nse_cm|SCLZC25C-NI</stp>
        <stp>Isin code</stp>
        <tr r="R908" s="1"/>
      </tp>
      <tp t="s">
        <v>835SCL23B</v>
        <stp/>
        <stp>bse_cm|835SCL23B</stp>
        <stp>Symbol</stp>
        <tr r="A167" s="1"/>
      </tp>
      <tp t="s">
        <v>835SCL23A</v>
        <stp/>
        <stp>bse_cm|835SCL23A</stp>
        <stp>Symbol</stp>
        <tr r="A1104" s="1"/>
      </tp>
      <tp t="s">
        <v>931SFL26A</v>
        <stp/>
        <stp>bse_cm|931SFL26A</stp>
        <stp>Symbol</stp>
        <tr r="A1086" s="1"/>
      </tp>
      <tp>
        <v>15</v>
        <stp/>
        <stp>bse_cm|775MFLTD28</stp>
        <stp>Bid Qty</stp>
        <tr r="D1192" s="1"/>
      </tp>
      <tp>
        <v>190</v>
        <stp/>
        <stp>bse_cm|775MFLTD25</stp>
        <stp>Bid Qty</stp>
        <tr r="D649" s="1"/>
      </tp>
      <tp>
        <v>150</v>
        <stp/>
        <stp>bse_cm|775MFLTD26</stp>
        <stp>Bid Qty</stp>
        <tr r="D652" s="1"/>
      </tp>
      <tp>
        <v>0</v>
        <stp/>
        <stp>bse_cm|925SCL29A</stp>
        <stp>Open</stp>
        <tr r="M268" s="1"/>
      </tp>
      <tp>
        <v>0</v>
        <stp/>
        <stp>bse_cm|971SCL29A</stp>
        <stp>Open</stp>
        <tr r="M862" s="1"/>
      </tp>
      <tp>
        <v>0</v>
        <stp/>
        <stp>nse_cm|960IIFLS26-N9</stp>
        <stp>% Change</stp>
        <tr r="J1489" s="1"/>
      </tp>
      <tp>
        <v>0</v>
        <stp/>
        <stp>nse_cm|920IIFLS26-N8</stp>
        <stp>% Change</stp>
        <tr r="J208" s="1"/>
      </tp>
      <tp>
        <v>910</v>
        <stp/>
        <stp>bse_cm|10EFSL33A</stp>
        <stp xml:space="preserve">Low </stp>
        <tr r="O140" s="1"/>
      </tp>
      <tp>
        <v>925</v>
        <stp/>
        <stp>bse_cm|10EFSL33B</stp>
        <stp xml:space="preserve">Low </stp>
        <tr r="O136" s="1"/>
      </tp>
      <tp t="s">
        <v>INE0BUS07981</v>
        <stp/>
        <stp>bse_cm|1050IML25</stp>
        <stp>Isin code</stp>
        <tr r="R499" s="1"/>
      </tp>
      <tp t="s">
        <v>932AEL27</v>
        <stp/>
        <stp>bse_cm|932AEL27</stp>
        <stp>Trading Symbol</stp>
        <tr r="B317" s="1"/>
      </tp>
      <tp t="s">
        <v>935PEL33</v>
        <stp/>
        <stp>bse_cm|935PEL33</stp>
        <stp>Trading Symbol</stp>
        <tr r="B368" s="1"/>
      </tp>
      <tp t="s">
        <v>INE01I507661</v>
        <stp/>
        <stp>bse_cm|1075KLM27</stp>
        <stp>Isin code</stp>
        <tr r="R1117" s="1"/>
      </tp>
      <tp t="s">
        <v>INE01I507653</v>
        <stp/>
        <stp>bse_cm|1050KLM27</stp>
        <stp>Isin code</stp>
        <tr r="R609" s="1"/>
      </tp>
      <tp t="s">
        <v>920PEL28</v>
        <stp/>
        <stp>bse_cm|920PEL28</stp>
        <stp>Trading Symbol</stp>
        <tr r="B440" s="1"/>
      </tp>
      <tp t="s">
        <v>925AEL26</v>
        <stp/>
        <stp>bse_cm|925AEL26</stp>
        <stp>Trading Symbol</stp>
        <tr r="B335" s="1"/>
      </tp>
      <tp>
        <v>1010.8</v>
        <stp/>
        <stp>bse_cm|CIFCZC25A</stp>
        <stp xml:space="preserve">Low </stp>
        <tr r="O1728" s="1"/>
      </tp>
      <tp t="s">
        <v>105MML25</v>
        <stp/>
        <stp>bse_cm|105MML25</stp>
        <stp>Trading Symbol</stp>
        <tr r="B1170" s="1"/>
      </tp>
      <tp t="s">
        <v>905PEL26</v>
        <stp/>
        <stp>bse_cm|905PEL26</stp>
        <stp>Trading Symbol</stp>
        <tr r="B1518" s="1"/>
      </tp>
      <tp t="s">
        <v>965AEL27</v>
        <stp/>
        <stp>bse_cm|965AEL27</stp>
        <stp>Trading Symbol</stp>
        <tr r="B370" s="1"/>
      </tp>
      <tp t="s">
        <v>965ICCL25I-NQ</v>
        <stp/>
        <stp>nse_cm|965ICCL25I-NQ</stp>
        <stp>Trading Symbol</stp>
        <tr r="B696" s="1"/>
      </tp>
      <tp t="s">
        <v>956AEL29</v>
        <stp/>
        <stp>bse_cm|956AEL29</stp>
        <stp>Trading Symbol</stp>
        <tr r="B311" s="1"/>
      </tp>
      <tp t="s">
        <v>INE530B08110</v>
        <stp/>
        <stp>nse_cm|IIFLZC28-NG</stp>
        <stp>Isin code</stp>
        <tr r="R1659" s="1"/>
      </tp>
      <tp t="s">
        <v>INE01I507836</v>
        <stp/>
        <stp>bse_cm|935KAFL25</stp>
        <stp>Isin code</stp>
        <tr r="R785" s="1"/>
      </tp>
      <tp t="s">
        <v>INE148I07LC2</v>
        <stp/>
        <stp>bse_cm|925SCFL27</stp>
        <stp>Isin code</stp>
        <tr r="R772" s="1"/>
      </tp>
      <tp t="s">
        <v>INE423A07310</v>
        <stp/>
        <stp>nse_cm|932AEL27-N3</stp>
        <stp>Isin code</stp>
        <tr r="R471" s="1"/>
      </tp>
      <tp t="s">
        <v>INE423A07328</v>
        <stp/>
        <stp>nse_cm|965AEL27-N4</stp>
        <stp>Isin code</stp>
        <tr r="R254" s="1"/>
      </tp>
      <tp t="s">
        <v>INE403Q08191</v>
        <stp/>
        <stp>bse_cm|1025KFL27</stp>
        <stp>Isin code</stp>
        <tr r="R767" s="1"/>
      </tp>
      <tp t="s">
        <v>INE741K07520</v>
        <stp/>
        <stp>bse_cm|910CAGL25</stp>
        <stp>Isin code</stp>
        <tr r="R351" s="1"/>
      </tp>
      <tp t="s">
        <v>MML11924</v>
        <stp/>
        <stp>bse_cm|MML11924</stp>
        <stp>Trading Symbol</stp>
        <tr r="B1536" s="1"/>
      </tp>
      <tp t="s">
        <v>INE532F07FO0</v>
        <stp/>
        <stp>bse_cm|1010EFS29</stp>
        <stp>Isin code</stp>
        <tr r="R726" s="1"/>
      </tp>
      <tp t="s">
        <v>INE741K07470</v>
        <stp/>
        <stp>bse_cm|960CAGL25</stp>
        <stp>Isin code</stp>
        <tr r="R347" s="1"/>
      </tp>
      <tp t="s">
        <v>INE01I507851</v>
        <stp/>
        <stp>bse_cm|975KAFL25</stp>
        <stp>Isin code</stp>
        <tr r="R860" s="1"/>
      </tp>
      <tp t="s">
        <v>INE804IA7014</v>
        <stp/>
        <stp>bse_cm|1015ECL29</stp>
        <stp>Isin code</stp>
        <tr r="R210" s="1"/>
      </tp>
      <tp t="s">
        <v>INE804IA7022</v>
        <stp/>
        <stp>bse_cm|1060ECL29</stp>
        <stp>Isin code</stp>
        <tr r="R272" s="1"/>
      </tp>
      <tp t="s">
        <v>INE039A07801</v>
        <stp/>
        <stp>nse_cm|99IFCI24-NH</stp>
        <stp>Isin code</stp>
        <tr r="R39" s="1"/>
      </tp>
      <tp t="s">
        <v>953NWIL32</v>
        <stp/>
        <stp>bse_cm|953NWIL32</stp>
        <stp>Symbol</stp>
        <tr r="A226" s="1"/>
      </tp>
      <tp t="s">
        <v>1125MML27</v>
        <stp/>
        <stp>bse_cm|1125MML27</stp>
        <stp>Symbol</stp>
        <tr r="A592" s="1"/>
      </tp>
      <tp t="s">
        <v>950KFIL26</v>
        <stp/>
        <stp>bse_cm|950KFIL26</stp>
        <stp>Symbol</stp>
        <tr r="A602" s="1"/>
      </tp>
      <tp t="s">
        <v>950CCIL25</v>
        <stp/>
        <stp>bse_cm|950CCIL25</stp>
        <stp>Symbol</stp>
        <tr r="A99" s="1"/>
      </tp>
      <tp t="s">
        <v>10IIFL28A</v>
        <stp/>
        <stp>bse_cm|10IIFL28A</stp>
        <stp>Symbol</stp>
        <tr r="A101" s="1"/>
      </tp>
      <tp>
        <v>940.2</v>
        <stp/>
        <stp>bse_cm|995EFSL31</stp>
        <stp xml:space="preserve">Low </stp>
        <tr r="O192" s="1"/>
      </tp>
      <tp>
        <v>896</v>
        <stp/>
        <stp>bse_cm|930EFSL31</stp>
        <stp xml:space="preserve">Low </stp>
        <tr r="O65" s="1"/>
      </tp>
      <tp>
        <v>915</v>
        <stp/>
        <stp>bse_cm|953EFSL31</stp>
        <stp xml:space="preserve">Low </stp>
        <tr r="O191" s="1"/>
      </tp>
      <tp>
        <v>1000</v>
        <stp/>
        <stp>bse_cm|970EFSL31</stp>
        <stp xml:space="preserve">Low </stp>
        <tr r="O220" s="1"/>
      </tp>
      <tp t="s">
        <v>1075KLM27</v>
        <stp/>
        <stp>bse_cm|1075KLM27</stp>
        <stp>Symbol</stp>
        <tr r="A1117" s="1"/>
      </tp>
      <tp t="s">
        <v>955NWIL27</v>
        <stp/>
        <stp>bse_cm|955NWIL27</stp>
        <stp>Symbol</stp>
        <tr r="A1480" s="1"/>
      </tp>
      <tp t="s">
        <v>10KAFL26B</v>
        <stp/>
        <stp>bse_cm|10KAFL26B</stp>
        <stp>Symbol</stp>
        <tr r="A1094" s="1"/>
      </tp>
      <tp t="s">
        <v>10KAFL26A</v>
        <stp/>
        <stp>bse_cm|10KAFL26A</stp>
        <stp>Symbol</stp>
        <tr r="A1095" s="1"/>
      </tp>
      <tp t="s">
        <v>1150IML28</v>
        <stp/>
        <stp>bse_cm|1150IML28</stp>
        <stp>Symbol</stp>
        <tr r="A92" s="1"/>
      </tp>
      <tp t="s">
        <v>1150IML29</v>
        <stp/>
        <stp>bse_cm|1150IML29</stp>
        <stp>Symbol</stp>
        <tr r="A601" s="1"/>
      </tp>
      <tp t="s">
        <v>1150MML29</v>
        <stp/>
        <stp>bse_cm|1150MML29</stp>
        <stp>Symbol</stp>
        <tr r="A248" s="1"/>
      </tp>
      <tp t="s">
        <v>INE148I07SN4</v>
        <stp/>
        <stp>nse_cm|971SCL29-Z0</stp>
        <stp>Isin code</stp>
        <tr r="R681" s="1"/>
      </tp>
      <tp>
        <v>903</v>
        <stp/>
        <stp>bse_cm|965EFSL32</stp>
        <stp xml:space="preserve">Low </stp>
        <tr r="O141" s="1"/>
      </tp>
      <tp t="s">
        <v>1050KLM27</v>
        <stp/>
        <stp>bse_cm|1050KLM27</stp>
        <stp>Symbol</stp>
        <tr r="A609" s="1"/>
      </tp>
      <tp t="s">
        <v>INE532F07DD8</v>
        <stp/>
        <stp>bse_cm|965EFSL32</stp>
        <stp>Isin code</stp>
        <tr r="R141" s="1"/>
      </tp>
      <tp t="s">
        <v>INE148I07MI7</v>
        <stp/>
        <stp>nse_cm|905SCL27-Z4</stp>
        <stp>Isin code</stp>
        <tr r="R947" s="1"/>
      </tp>
      <tp t="s">
        <v>10EFSL34A</v>
        <stp/>
        <stp>bse_cm|10EFSL34A</stp>
        <stp>Symbol</stp>
        <tr r="A131" s="1"/>
      </tp>
      <tp t="s">
        <v>10EFSL33B</v>
        <stp/>
        <stp>bse_cm|10EFSL33B</stp>
        <stp>Symbol</stp>
        <tr r="A136" s="1"/>
      </tp>
      <tp t="s">
        <v>10EFSL33A</v>
        <stp/>
        <stp>bse_cm|10EFSL33A</stp>
        <stp>Symbol</stp>
        <tr r="A140" s="1"/>
      </tp>
      <tp t="s">
        <v>INE148I07PZ4</v>
        <stp/>
        <stp>nse_cm|948SCL26-N9</stp>
        <stp>Isin code</stp>
        <tr r="R1632" s="1"/>
      </tp>
      <tp t="s">
        <v>INE033L07GN7</v>
        <stp/>
        <stp>nse_cm|792TCH25-N3</stp>
        <stp>Isin code</stp>
        <tr r="R1187" s="1"/>
      </tp>
      <tp>
        <v>-100</v>
        <stp/>
        <stp>bse_cm|92ICCL28</stp>
        <stp>% Change</stp>
        <tr r="J202" s="1"/>
      </tp>
      <tp t="s">
        <v>INE148I07QO6</v>
        <stp/>
        <stp>bse_cm|SCLZC26E</stp>
        <stp>Isin code</stp>
        <tr r="R900" s="1"/>
      </tp>
      <tp t="s">
        <v>INE148I07RF2</v>
        <stp/>
        <stp>bse_cm|SCLZC25E</stp>
        <stp>Isin code</stp>
        <tr r="R907" s="1"/>
      </tp>
      <tp>
        <v>-100</v>
        <stp/>
        <stp>bse_cm|CCILZC26</stp>
        <stp>% Change</stp>
        <tr r="J748" s="1"/>
      </tp>
      <tp>
        <v>-100</v>
        <stp/>
        <stp>bse_cm|CCILZC25</stp>
        <stp>% Change</stp>
        <tr r="J1376" s="1"/>
      </tp>
      <tp>
        <v>0</v>
        <stp/>
        <stp>bse_cm|960EFSL27</stp>
        <stp>Volume Traded Today</stp>
        <tr r="L70" s="1"/>
      </tp>
      <tp>
        <v>370</v>
        <stp/>
        <stp>bse_cm|920EFSL27</stp>
        <stp>Volume Traded Today</stp>
        <tr r="L55" s="1"/>
      </tp>
      <tp>
        <v>0</v>
        <stp/>
        <stp>bse_cm|950EFSL26</stp>
        <stp>Volume Traded Today</stp>
        <tr r="L1493" s="1"/>
      </tp>
      <tp>
        <v>0</v>
        <stp/>
        <stp>bse_cm|960EFSL26</stp>
        <stp>Volume Traded Today</stp>
        <tr r="L690" s="1"/>
      </tp>
      <tp>
        <v>0</v>
        <stp/>
        <stp>bse_cm|920EFSL26</stp>
        <stp>Volume Traded Today</stp>
        <tr r="L223" s="1"/>
      </tp>
      <tp t="s">
        <v>NSE</v>
        <stp/>
        <stp>nse_cm|866SCFL25-Y8</stp>
        <stp>Exchange</stp>
        <tr r="C158" s="1"/>
      </tp>
      <tp>
        <v>0</v>
        <stp/>
        <stp>nse_cm|925SCL28C-BS</stp>
        <stp>Open</stp>
        <tr r="M823" s="1"/>
      </tp>
      <tp>
        <v>-100</v>
        <stp/>
        <stp>bse_cm|CCILZC24</stp>
        <stp>% Change</stp>
        <tr r="J750" s="1"/>
      </tp>
      <tp>
        <v>0</v>
        <stp/>
        <stp>bse_cm|970EFSL31</stp>
        <stp>Volume Traded Today</stp>
        <tr r="L220" s="1"/>
      </tp>
      <tp>
        <v>62</v>
        <stp/>
        <stp>bse_cm|930EFSL31</stp>
        <stp>Volume Traded Today</stp>
        <tr r="L65" s="1"/>
      </tp>
      <tp>
        <v>0</v>
        <stp/>
        <stp>nse_cm|965SCL28C-BR</stp>
        <stp>Open</stp>
        <tr r="M817" s="1"/>
      </tp>
      <tp>
        <v>0</v>
        <stp/>
        <stp>nse_cm|980SCL33B-YL</stp>
        <stp xml:space="preserve">Low </stp>
        <tr r="O837" s="1"/>
      </tp>
      <tp>
        <v>0</v>
        <stp/>
        <stp>bse_cm|910CAGL25</stp>
        <stp>Volume Traded Today</stp>
        <tr r="L351" s="1"/>
      </tp>
      <tp>
        <v>0</v>
        <stp/>
        <stp>bse_cm|960CAGL25</stp>
        <stp>Volume Traded Today</stp>
        <tr r="L347" s="1"/>
      </tp>
      <tp>
        <v>0</v>
        <stp/>
        <stp>bse_cm|940CAGL27</stp>
        <stp>Volume Traded Today</stp>
        <tr r="L261" s="1"/>
      </tp>
      <tp>
        <v>0</v>
        <stp/>
        <stp>bse_cm|950CCIL25</stp>
        <stp>Volume Traded Today</stp>
        <tr r="L99" s="1"/>
      </tp>
      <tp>
        <v>0</v>
        <stp/>
        <stp>bse_cm|970CAGL28</stp>
        <stp>Volume Traded Today</stp>
        <tr r="L292" s="1"/>
      </tp>
      <tp>
        <v>0</v>
        <stp/>
        <stp>nse_cm|89SCL24A-ZM</stp>
        <stp>Ask Qty</stp>
        <tr r="G970" s="1"/>
      </tp>
      <tp>
        <v>0</v>
        <stp/>
        <stp>nse_cm|902SCL27A-ZI</stp>
        <stp xml:space="preserve">Low </stp>
        <tr r="O1353" s="1"/>
      </tp>
      <tp>
        <v>990</v>
        <stp/>
        <stp>bse_cm|EFSL27A</stp>
        <stp>High</stp>
        <tr r="N1649" s="1"/>
      </tp>
      <tp>
        <v>0</v>
        <stp/>
        <stp>nse_cm|971SCL28B-YD</stp>
        <stp xml:space="preserve">Low </stp>
        <tr r="O828" s="1"/>
      </tp>
      <tp>
        <v>-100</v>
        <stp/>
        <stp>bse_cm|85IIFL25</stp>
        <stp>% Change</stp>
        <tr r="J134" s="1"/>
      </tp>
      <tp t="s">
        <v>00:00:00</v>
        <stp/>
        <stp>bse_cm|1050SCL31</stp>
        <stp>LTT</stp>
        <tr r="I892" s="1"/>
      </tp>
      <tp t="s">
        <v>00:00:00</v>
        <stp/>
        <stp>bse_cm|1050SCL30</stp>
        <stp>LTT</stp>
        <tr r="I867" s="1"/>
      </tp>
      <tp>
        <v>0</v>
        <stp/>
        <stp>bse_cm|1050SCL31</stp>
        <stp>LTP</stp>
        <tr r="H892" s="1"/>
      </tp>
      <tp>
        <v>0</v>
        <stp/>
        <stp>bse_cm|1050SCL30</stp>
        <stp>LTP</stp>
        <tr r="H867" s="1"/>
      </tp>
      <tp>
        <v>-100</v>
        <stp/>
        <stp>bse_cm|94IFCI25</stp>
        <stp>% Change</stp>
        <tr r="J228" s="1"/>
      </tp>
      <tp>
        <v>1000</v>
        <stp/>
        <stp>nse_cm|97MOFSL34-N7</stp>
        <stp>Face Value</stp>
        <tr r="Q1599" s="1"/>
      </tp>
      <tp>
        <v>842.85</v>
        <stp/>
        <stp>bse_cm|IFL1942024</stp>
        <stp>Bid Rate</stp>
        <tr r="E1594" s="1"/>
      </tp>
      <tp>
        <v>836.2</v>
        <stp/>
        <stp>bse_cm|960IIFLS26</stp>
        <stp>Bid Rate</stp>
        <tr r="E872" s="1"/>
      </tp>
      <tp>
        <v>0</v>
        <stp/>
        <stp>bse_cm|735NHAI31</stp>
        <stp>Volume Traded Today</stp>
        <tr r="L565" s="1"/>
      </tp>
      <tp>
        <v>0</v>
        <stp/>
        <stp>bse_cm|98SCL27</stp>
        <stp>Ask Rate</stp>
        <tr r="F1545" s="1"/>
      </tp>
      <tp t="s">
        <v>NSE</v>
        <stp/>
        <stp>nse_cm|1050SCL31-ZP</stp>
        <stp>Exchange</stp>
        <tr r="C891" s="1"/>
      </tp>
      <tp t="s">
        <v>00:00:00</v>
        <stp/>
        <stp>bse_cm|1050UCL25</stp>
        <stp>LTT</stp>
        <tr r="I417" s="1"/>
      </tp>
      <tp>
        <v>0</v>
        <stp/>
        <stp>bse_cm|1050SFL26</stp>
        <stp>LTP</stp>
        <tr r="H890" s="1"/>
      </tp>
      <tp t="s">
        <v>00:00:00</v>
        <stp/>
        <stp>bse_cm|1050VCL25</stp>
        <stp>LTT</stp>
        <tr r="I656" s="1"/>
      </tp>
      <tp>
        <v>0</v>
        <stp/>
        <stp>bse_cm|1050UCL25</stp>
        <stp>LTP</stp>
        <tr r="H417" s="1"/>
      </tp>
      <tp t="s">
        <v>00:00:00</v>
        <stp/>
        <stp>bse_cm|1050SFL26</stp>
        <stp>LTT</stp>
        <tr r="I890" s="1"/>
      </tp>
      <tp>
        <v>0</v>
        <stp/>
        <stp>bse_cm|1050VCL25</stp>
        <stp>LTP</stp>
        <tr r="H656" s="1"/>
      </tp>
      <tp>
        <v>0</v>
        <stp/>
        <stp>bse_cm|1050IML25</stp>
        <stp>LTP</stp>
        <tr r="H499" s="1"/>
      </tp>
      <tp t="s">
        <v>00:00:00</v>
        <stp/>
        <stp>bse_cm|1050MML25</stp>
        <stp>LTT</stp>
        <tr r="I1503" s="1"/>
      </tp>
      <tp t="s">
        <v>00:00:00</v>
        <stp/>
        <stp>bse_cm|1050NFL26</stp>
        <stp>LTT</stp>
        <tr r="I260" s="1"/>
      </tp>
      <tp>
        <v>0</v>
        <stp/>
        <stp>bse_cm|1150IFL26</stp>
        <stp>LTP</stp>
        <tr r="H1225" s="1"/>
      </tp>
      <tp t="s">
        <v>00:00:00</v>
        <stp/>
        <stp>bse_cm|1050IML25</stp>
        <stp>LTT</stp>
        <tr r="I499" s="1"/>
      </tp>
      <tp>
        <v>0</v>
        <stp/>
        <stp>bse_cm|1050MML25</stp>
        <stp>LTP</stp>
        <tr r="H1503" s="1"/>
      </tp>
      <tp>
        <v>0</v>
        <stp/>
        <stp>bse_cm|1050NFL26</stp>
        <stp>LTP</stp>
        <tr r="H260" s="1"/>
      </tp>
      <tp>
        <v>945.01</v>
        <stp/>
        <stp>bse_cm|KFL070824</stp>
        <stp>ATP</stp>
        <tr r="K551" s="1"/>
      </tp>
      <tp>
        <v>0</v>
        <stp/>
        <stp>bse_cm|1080MML26</stp>
        <stp>ATP</stp>
        <tr r="K1163" s="1"/>
      </tp>
      <tp t="s">
        <v>00:00:00</v>
        <stp/>
        <stp>bse_cm|1150IFL26</stp>
        <stp>LTT</stp>
        <tr r="I1225" s="1"/>
      </tp>
      <tp>
        <v>815.2</v>
        <stp/>
        <stp>bse_cm|1080MML29</stp>
        <stp>ATP</stp>
        <tr r="K72" s="1"/>
      </tp>
      <tp t="s">
        <v>00:00:00</v>
        <stp/>
        <stp>bse_cm|1150IML29</stp>
        <stp>LTT</stp>
        <tr r="I601" s="1"/>
      </tp>
      <tp>
        <v>0</v>
        <stp/>
        <stp>bse_cm|1150MML29</stp>
        <stp>LTP</stp>
        <tr r="H248" s="1"/>
      </tp>
      <tp t="s">
        <v>00:00:00</v>
        <stp/>
        <stp>bse_cm|1250IFL29</stp>
        <stp>LTT</stp>
        <tr r="I1215" s="1"/>
      </tp>
      <tp>
        <v>0</v>
        <stp/>
        <stp>bse_cm|1050MML28</stp>
        <stp>LTP</stp>
        <tr r="H1159" s="1"/>
      </tp>
      <tp t="s">
        <v>00:00:00</v>
        <stp/>
        <stp>bse_cm|1150IML28</stp>
        <stp>LTT</stp>
        <tr r="I92" s="1"/>
      </tp>
      <tp>
        <v>0</v>
        <stp/>
        <stp>bse_cm|1150IML29</stp>
        <stp>LTP</stp>
        <tr r="H601" s="1"/>
      </tp>
      <tp t="s">
        <v>00:00:00</v>
        <stp/>
        <stp>bse_cm|1150MML29</stp>
        <stp>LTT</stp>
        <tr r="I248" s="1"/>
      </tp>
      <tp>
        <v>0</v>
        <stp/>
        <stp>bse_cm|1250IFL29</stp>
        <stp>LTP</stp>
        <tr r="H1215" s="1"/>
      </tp>
      <tp t="s">
        <v>00:00:00</v>
        <stp/>
        <stp>bse_cm|1050MML28</stp>
        <stp>LTT</stp>
        <tr r="I1159" s="1"/>
      </tp>
      <tp>
        <v>995</v>
        <stp/>
        <stp>bse_cm|1150IML28</stp>
        <stp>LTP</stp>
        <tr r="H92" s="1"/>
      </tp>
      <tp>
        <v>-</v>
        <stp/>
        <stp>bse_cm|99IFCI24</stp>
        <stp>% Change</stp>
        <tr r="J41" s="1"/>
      </tp>
      <tp>
        <v>50</v>
        <stp/>
        <stp>bse_cm|89SCL24A</stp>
        <stp>Bid Qty</stp>
        <tr r="D971" s="1"/>
      </tp>
      <tp>
        <v>0</v>
        <stp/>
        <stp>bse_cm|875NHAI29</stp>
        <stp>Volume Traded Today</stp>
        <tr r="L496" s="1"/>
      </tp>
      <tp>
        <v>0</v>
        <stp/>
        <stp>bse_cm|950NHFL26</stp>
        <stp>Volume Traded Today</stp>
        <tr r="L582" s="1"/>
      </tp>
      <tp>
        <v>0</v>
        <stp/>
        <stp>bse_cm|SCL310524</stp>
        <stp>LTP</stp>
        <tr r="H1345" s="1"/>
      </tp>
      <tp t="s">
        <v>00:00:00</v>
        <stp/>
        <stp>bse_cm|SCL310524</stp>
        <stp>LTT</stp>
        <tr r="I1345" s="1"/>
      </tp>
      <tp>
        <v>-100</v>
        <stp/>
        <stp>bse_cm|10IIFL28</stp>
        <stp>% Change</stp>
        <tr r="J68" s="1"/>
      </tp>
      <tp>
        <v>-100</v>
        <stp/>
        <stp>bse_cm|96IIFL28</stp>
        <stp>% Change</stp>
        <tr r="J118" s="1"/>
      </tp>
      <tp>
        <v>0</v>
        <stp/>
        <stp>bse_cm|950MFCL27</stp>
        <stp>Volume Traded Today</stp>
        <tr r="L1148" s="1"/>
      </tp>
      <tp>
        <v>0</v>
        <stp/>
        <stp>bse_cm|890MFCL26</stp>
        <stp>Volume Traded Today</stp>
        <tr r="L279" s="1"/>
      </tp>
      <tp>
        <v>0</v>
        <stp/>
        <stp>nse_cm|87SCL24A-ZF</stp>
        <stp>Ask Qty</stp>
        <tr r="G959" s="1"/>
      </tp>
      <tp>
        <v>20</v>
        <stp/>
        <stp>bse_cm|940MFCL26</stp>
        <stp>Volume Traded Today</stp>
        <tr r="L200" s="1"/>
      </tp>
      <tp>
        <v>835.2</v>
        <stp/>
        <stp>bse_cm|957IIFLS27</stp>
        <stp>Bid Rate</stp>
        <tr r="E687" s="1"/>
      </tp>
      <tp>
        <v>0</v>
        <stp/>
        <stp>bse_cm|950MMFL25</stp>
        <stp>Volume Traded Today</stp>
        <tr r="L1526" s="1"/>
      </tp>
      <tp>
        <v>0</v>
        <stp/>
        <stp>bse_cm|950MMFL26</stp>
        <stp>Volume Traded Today</stp>
        <tr r="L291" s="1"/>
      </tp>
      <tp>
        <v>0</v>
        <stp/>
        <stp>bse_cm|990MFCL29</stp>
        <stp>Volume Traded Today</stp>
        <tr r="L1449" s="1"/>
      </tp>
      <tp>
        <v>8</v>
        <stp/>
        <stp>nse_cm|87SCL27A-ZK</stp>
        <stp>Ask Qty</stp>
        <tr r="G1416" s="1"/>
      </tp>
      <tp>
        <v>0</v>
        <stp/>
        <stp>bse_cm|88SCL25</stp>
        <stp>Ask Rate</stp>
        <tr r="F987" s="1"/>
      </tp>
      <tp>
        <v>0</v>
        <stp/>
        <stp>nse_cm|1015SCL29-ZL</stp>
        <stp>Ask Rate</stp>
        <tr r="F1176" s="1"/>
      </tp>
      <tp>
        <v>-100</v>
        <stp/>
        <stp>bse_cm|10IIFL29</stp>
        <stp>% Change</stp>
        <tr r="J307" s="1"/>
      </tp>
      <tp>
        <v>-100</v>
        <stp/>
        <stp>bse_cm|10IFSL26</stp>
        <stp>% Change</stp>
        <tr r="J428" s="1"/>
      </tp>
      <tp>
        <v>950.2</v>
        <stp/>
        <stp>nse_cm|830CIFC26-N2</stp>
        <stp>Bid Rate</stp>
        <tr r="E1625" s="1"/>
      </tp>
      <tp>
        <v>1145.0999999999999</v>
        <stp/>
        <stp>nse_cm|840IRFC29-N8</stp>
        <stp>Bid Rate</stp>
        <tr r="E528" s="1"/>
      </tp>
      <tp>
        <v>0</v>
        <stp/>
        <stp>nse_cm|1025SCL33-YJ</stp>
        <stp>Ask Rate</stp>
        <tr r="F836" s="1"/>
      </tp>
      <tp>
        <v>1072</v>
        <stp/>
        <stp>bse_cm|10MFL24AA</stp>
        <stp>LTP</stp>
        <tr r="H475" s="1"/>
      </tp>
      <tp t="s">
        <v>00:00:00</v>
        <stp/>
        <stp>bse_cm|10MFL24AA</stp>
        <stp>LTT</stp>
        <tr r="I475" s="1"/>
      </tp>
      <tp>
        <v>1000</v>
        <stp/>
        <stp>nse_cm|93MOFSL34-N6</stp>
        <stp>Face Value</stp>
        <tr r="Q299" s="1"/>
      </tp>
      <tp>
        <v>0</v>
        <stp/>
        <stp>bse_cm|950KFIL26</stp>
        <stp>Volume Traded Today</stp>
        <tr r="L602" s="1"/>
      </tp>
      <tp>
        <v>901</v>
        <stp/>
        <stp>bse_cm|920IIFLS26</stp>
        <stp>Bid Rate</stp>
        <tr r="E613" s="1"/>
      </tp>
      <tp t="s">
        <v>IFCIZC24</v>
        <stp/>
        <stp>nse_cm|IFCIZC24-NI</stp>
        <stp>Symbol</stp>
        <tr r="A1768" s="1"/>
      </tp>
      <tp>
        <v>-100</v>
        <stp/>
        <stp>bse_cm|12ICFL25</stp>
        <stp>% Change</stp>
        <tr r="J1213" s="1"/>
      </tp>
      <tp>
        <v>-100</v>
        <stp/>
        <stp>bse_cm|CCILZC29</stp>
        <stp>% Change</stp>
        <tr r="J747" s="1"/>
      </tp>
      <tp>
        <v>-100</v>
        <stp/>
        <stp>bse_cm|98ICCL26</stp>
        <stp>% Change</stp>
        <tr r="J1412" s="1"/>
      </tp>
      <tp>
        <v>0</v>
        <stp/>
        <stp>bse_cm|980IFSL25</stp>
        <stp>Volume Traded Today</stp>
        <tr r="L474" s="1"/>
      </tp>
      <tp>
        <v>0</v>
        <stp/>
        <stp>bse_cm|940ICCL28</stp>
        <stp>Volume Traded Today</stp>
        <tr r="L1126" s="1"/>
      </tp>
      <tp>
        <v>0</v>
        <stp/>
        <stp>bse_cm|980ICCL28</stp>
        <stp>Volume Traded Today</stp>
        <tr r="L783" s="1"/>
      </tp>
      <tp>
        <v>0</v>
        <stp/>
        <stp>bse_cm|820IIFL27</stp>
        <stp>Volume Traded Today</stp>
        <tr r="L176" s="1"/>
      </tp>
      <tp>
        <v>0</v>
        <stp/>
        <stp>bse_cm|850IIFL27</stp>
        <stp>Volume Traded Today</stp>
        <tr r="L1407" s="1"/>
      </tp>
      <tp>
        <v>0</v>
        <stp/>
        <stp>bse_cm|960ISFL25</stp>
        <stp>Volume Traded Today</stp>
        <tr r="L871" s="1"/>
      </tp>
      <tp>
        <v>1000</v>
        <stp/>
        <stp>nse_cm|1015SCL29-ZL</stp>
        <stp>Prev Close</stp>
        <tr r="P1176" s="1"/>
      </tp>
      <tp>
        <v>930</v>
        <stp/>
        <stp>nse_cm|980SCL33D-YG</stp>
        <stp xml:space="preserve">Low </stp>
        <tr r="O830" s="1"/>
      </tp>
      <tp t="s">
        <v/>
        <stp/>
        <stp>nse_cm|925CAGL26-N9</stp>
        <stp>LTT</stp>
        <tr r="I639" s="1"/>
      </tp>
      <tp>
        <v>991.01</v>
        <stp/>
        <stp>nse_cm|925CAGL26-N9</stp>
        <stp>LTP</stp>
        <tr r="H639" s="1"/>
      </tp>
      <tp>
        <v>0</v>
        <stp/>
        <stp>nse_cm|925SCL28I-BA</stp>
        <stp>Open</stp>
        <tr r="M821" s="1"/>
      </tp>
      <tp>
        <v>1217</v>
        <stp/>
        <stp>nse_cm|867PFCL33-N7</stp>
        <stp>LTP</stp>
        <tr r="H550" s="1"/>
      </tp>
      <tp t="s">
        <v/>
        <stp/>
        <stp>nse_cm|867PFCL33-N7</stp>
        <stp>LTT</stp>
        <tr r="I550" s="1"/>
      </tp>
      <tp>
        <v>0</v>
        <stp/>
        <stp>bse_cm|990SCFL26</stp>
        <stp>Volume Traded Today</stp>
        <tr r="L1676" s="1"/>
      </tp>
      <tp>
        <v>0</v>
        <stp/>
        <stp>bse_cm|820SCFL25</stp>
        <stp>Volume Traded Today</stp>
        <tr r="L1059" s="1"/>
      </tp>
      <tp>
        <v>0</v>
        <stp/>
        <stp>bse_cm|850SCFL25</stp>
        <stp>Volume Traded Today</stp>
        <tr r="L1099" s="1"/>
      </tp>
      <tp t="s">
        <v/>
        <stp/>
        <stp>nse_cm|760PFCL35-N3</stp>
        <stp>LTT</stp>
        <tr r="I22" s="1"/>
      </tp>
      <tp>
        <v>1163.3</v>
        <stp/>
        <stp>nse_cm|760PFCL35-N3</stp>
        <stp>LTP</stp>
        <tr r="H22" s="1"/>
      </tp>
      <tp>
        <v>0</v>
        <stp/>
        <stp>bse_cm|750PFCL38</stp>
        <stp>Volume Traded Today</stp>
        <tr r="L1196" s="1"/>
      </tp>
      <tp>
        <v>19</v>
        <stp/>
        <stp>bse_cm|750PFCL26</stp>
        <stp>Volume Traded Today</stp>
        <tr r="L448" s="1"/>
      </tp>
      <tp>
        <v>0</v>
        <stp/>
        <stp>nse_cm|894SCL25A-ZI</stp>
        <stp>High</stp>
        <tr r="N963" s="1"/>
      </tp>
      <tp>
        <v>0</v>
        <stp/>
        <stp>nse_cm|925SCL25F-BD</stp>
        <stp>Open</stp>
        <tr r="M718" s="1"/>
      </tp>
      <tp t="s">
        <v>INE403Q07DZ2</v>
        <stp/>
        <stp>bse_cm|KFLZC26E</stp>
        <stp>Isin code</stp>
        <tr r="R1293" s="1"/>
      </tp>
      <tp t="s">
        <v>INE403Q07DX7</v>
        <stp/>
        <stp>bse_cm|KFLZC25E</stp>
        <stp>Isin code</stp>
        <tr r="R1530" s="1"/>
      </tp>
      <tp>
        <v>974.99</v>
        <stp/>
        <stp>bse_cm|88MFL28</stp>
        <stp>Ask Rate</stp>
        <tr r="F233" s="1"/>
      </tp>
      <tp>
        <v>50</v>
        <stp/>
        <stp>bse_cm|MHFLZC26</stp>
        <stp>Bid Qty</stp>
        <tr r="D1714" s="1"/>
      </tp>
      <tp t="e">
        <v>#N/A</v>
        <stp/>
        <stp>bse_cm|MHFLZC24</stp>
        <stp>Bid Qty</stp>
        <tr r="D35" s="1"/>
      </tp>
      <tp t="s">
        <v/>
        <stp/>
        <stp>nse_cm|830CIFC26-N2</stp>
        <stp>LTT</stp>
        <tr r="I1625" s="1"/>
      </tp>
      <tp>
        <v>1015.01</v>
        <stp/>
        <stp>nse_cm|830CIFC26-N2</stp>
        <stp>LTP</stp>
        <tr r="H1625" s="1"/>
      </tp>
      <tp>
        <v>0</v>
        <stp/>
        <stp>nse_cm|965SCL25E-BF</stp>
        <stp>Open</stp>
        <tr r="M413" s="1"/>
      </tp>
      <tp>
        <v>0</v>
        <stp/>
        <stp>nse_cm|85PFL26A-N7</stp>
        <stp>Ask Qty</stp>
        <tr r="G1519" s="1"/>
      </tp>
      <tp t="s">
        <v/>
        <stp/>
        <stp>nse_cm|AEL120924-N2</stp>
        <stp>LTT</stp>
        <tr r="I1673" s="1"/>
      </tp>
      <tp>
        <v>986</v>
        <stp/>
        <stp>nse_cm|AEL120924-N2</stp>
        <stp>LTP</stp>
        <tr r="H1673" s="1"/>
      </tp>
      <tp t="s">
        <v>NSE</v>
        <stp/>
        <stp>nse_cm|SCL310524-ZF</stp>
        <stp>Exchange</stp>
        <tr r="C593" s="1"/>
      </tp>
      <tp>
        <v>1000</v>
        <stp/>
        <stp>nse_cm|82HUDCO27-N2</stp>
        <stp>Face Value</stp>
        <tr r="Q532" s="1"/>
      </tp>
      <tp>
        <v>-100</v>
        <stp/>
        <stp>bse_cm|10ISFL26</stp>
        <stp>% Change</stp>
        <tr r="J1509" s="1"/>
      </tp>
      <tp>
        <v>1059.99</v>
        <stp/>
        <stp>nse_cm|734IRFC28-N4</stp>
        <stp>LTP</stp>
        <tr r="H455" s="1"/>
      </tp>
      <tp t="s">
        <v/>
        <stp/>
        <stp>nse_cm|734IRFC28-N4</stp>
        <stp>LTT</stp>
        <tr r="I455" s="1"/>
      </tp>
      <tp t="s">
        <v>INE549K08251</v>
        <stp/>
        <stp>bse_cm|MFLZC28E</stp>
        <stp>Isin code</stp>
        <tr r="R1269" s="1"/>
      </tp>
      <tp t="s">
        <v>INE549K08228</v>
        <stp/>
        <stp>bse_cm|MFLZC27E</stp>
        <stp>Isin code</stp>
        <tr r="R1677" s="1"/>
      </tp>
      <tp t="s">
        <v>INE549K07DI1</v>
        <stp/>
        <stp>bse_cm|MFLZC26E</stp>
        <stp>Isin code</stp>
        <tr r="R1651" s="1"/>
      </tp>
      <tp>
        <v>-100</v>
        <stp/>
        <stp>bse_cm|MFLZC27A</stp>
        <stp>% Change</stp>
        <tr r="J1270" s="1"/>
      </tp>
      <tp>
        <v>-100</v>
        <stp/>
        <stp>bse_cm|KFLZC27A</stp>
        <stp>% Change</stp>
        <tr r="J1291" s="1"/>
      </tp>
      <tp t="s">
        <v>79NHIT35</v>
        <stp/>
        <stp>nse_cm|79NHIT35-N1</stp>
        <stp>Symbol</stp>
        <tr r="A1589" s="1"/>
      </tp>
      <tp>
        <v>200</v>
        <stp/>
        <stp>nse_cm|764IRFC31-NO</stp>
        <stp>Volume Traded Today</stp>
        <tr r="L468" s="1"/>
      </tp>
      <tp>
        <v>0</v>
        <stp/>
        <stp>nse_cm|865IRFC29-NA</stp>
        <stp>Volume Traded Today</stp>
        <tr r="L491" s="1"/>
      </tp>
      <tp>
        <v>0</v>
        <stp/>
        <stp>nse_cm|965SCFL25-AB</stp>
        <stp>Volume Traded Today</stp>
        <tr r="L664" s="1"/>
      </tp>
      <tp>
        <v>-100</v>
        <stp/>
        <stp>bse_cm|MFLZC27C</stp>
        <stp>% Change</stp>
        <tr r="J1411" s="1"/>
      </tp>
      <tp>
        <v>0</v>
        <stp/>
        <stp>nse_cm|948SCL26A-NN</stp>
        <stp>ATP</stp>
        <tr r="K526" s="1"/>
      </tp>
      <tp>
        <v>-100</v>
        <stp/>
        <stp>bse_cm|MFLZC27B</stp>
        <stp>% Change</stp>
        <tr r="J1697" s="1"/>
      </tp>
      <tp>
        <v>840</v>
        <stp/>
        <stp>nse_cm|990SCL26D-AH</stp>
        <stp>LTP</stp>
        <tr r="H1556" s="1"/>
      </tp>
      <tp t="s">
        <v>10:14:33</v>
        <stp/>
        <stp>nse_cm|990SCL26D-AH</stp>
        <stp>LTT</stp>
        <tr r="I1556" s="1"/>
      </tp>
      <tp t="s">
        <v/>
        <stp/>
        <stp>nse_cm|990SCL26I-AV</stp>
        <stp>LTT</stp>
        <tr r="I1368" s="1"/>
      </tp>
      <tp>
        <v>865</v>
        <stp/>
        <stp>nse_cm|990SCL26I-AV</stp>
        <stp>LTP</stp>
        <tr r="H1368" s="1"/>
      </tp>
      <tp>
        <v>0</v>
        <stp/>
        <stp>nse_cm|940SCL26C-AU</stp>
        <stp>ATP</stp>
        <tr r="K793" s="1"/>
      </tp>
      <tp>
        <v>0</v>
        <stp/>
        <stp>nse_cm|990SCFL26-AJ</stp>
        <stp>Bid Rate</stp>
        <tr r="E1523" s="1"/>
      </tp>
      <tp>
        <v>-100</v>
        <stp/>
        <stp>bse_cm|MFLZC27E</stp>
        <stp>% Change</stp>
        <tr r="J1677" s="1"/>
      </tp>
      <tp t="s">
        <v>943ECL28</v>
        <stp/>
        <stp>nse_cm|943ECL28-NJ</stp>
        <stp>Symbol</stp>
        <tr r="A94" s="1"/>
      </tp>
      <tp t="s">
        <v>985ECL28</v>
        <stp/>
        <stp>nse_cm|985ECL28-NK</stp>
        <stp>Symbol</stp>
        <tr r="A52" s="1"/>
      </tp>
      <tp>
        <v>-100</v>
        <stp/>
        <stp>bse_cm|MFLZC27D</stp>
        <stp>% Change</stp>
        <tr r="J1700" s="1"/>
      </tp>
      <tp>
        <v>-100</v>
        <stp/>
        <stp>bse_cm|MFLZC27F</stp>
        <stp>% Change</stp>
        <tr r="J1566" s="1"/>
      </tp>
      <tp>
        <v>0</v>
        <stp/>
        <stp>nse_cm|863IRFC29-NC</stp>
        <stp>Volume Traded Today</stp>
        <tr r="L554" s="1"/>
      </tp>
      <tp t="s">
        <v>00:00:00</v>
        <stp/>
        <stp>bse_cm|755PFCL38</stp>
        <stp>LTT</stp>
        <tr r="I434" s="1"/>
      </tp>
      <tp>
        <v>0</v>
        <stp/>
        <stp>bse_cm|755PFCL38</stp>
        <stp>LTP</stp>
        <tr r="H434" s="1"/>
      </tp>
      <tp>
        <v>1040</v>
        <stp/>
        <stp>bse_cm|715PFCL36</stp>
        <stp>LTP</stp>
        <tr r="H437" s="1"/>
      </tp>
      <tp>
        <v>0</v>
        <stp/>
        <stp>bse_cm|695PFCL36</stp>
        <stp>LTP</stp>
        <tr r="H430" s="1"/>
      </tp>
      <tp>
        <v>0</v>
        <stp/>
        <stp>bse_cm|678PFCL36</stp>
        <stp>ATP</stp>
        <tr r="K1207" s="1"/>
      </tp>
      <tp>
        <v>0</v>
        <stp/>
        <stp>bse_cm|658PFCL31</stp>
        <stp>ATP</stp>
        <tr r="K1209" s="1"/>
      </tp>
      <tp t="s">
        <v>15:09:32</v>
        <stp/>
        <stp>bse_cm|715PFCL36</stp>
        <stp>LTT</stp>
        <tr r="I437" s="1"/>
      </tp>
      <tp t="s">
        <v>00:00:00</v>
        <stp/>
        <stp>bse_cm|695PFCL36</stp>
        <stp>LTT</stp>
        <tr r="I430" s="1"/>
      </tp>
      <tp>
        <v>0</v>
        <stp/>
        <stp>nse_cm|85IFL26-NX</stp>
        <stp>Open</stp>
        <tr r="M1388" s="1"/>
      </tp>
      <tp>
        <v>0</v>
        <stp/>
        <stp>bse_cm|565PFCL26</stp>
        <stp>LTP</stp>
        <tr r="H1210" s="1"/>
      </tp>
      <tp>
        <v>0</v>
        <stp/>
        <stp>bse_cm|745PFCL26</stp>
        <stp>LTP</stp>
        <tr r="H1200" s="1"/>
      </tp>
      <tp t="s">
        <v>00:00:00</v>
        <stp/>
        <stp>bse_cm|565PFCL26</stp>
        <stp>LTT</stp>
        <tr r="I1210" s="1"/>
      </tp>
      <tp t="s">
        <v>00:00:00</v>
        <stp/>
        <stp>bse_cm|745PFCL26</stp>
        <stp>LTT</stp>
        <tr r="I1200" s="1"/>
      </tp>
      <tp>
        <v>0</v>
        <stp/>
        <stp>bse_cm|925SCFL27</stp>
        <stp>LTP</stp>
        <tr r="H772" s="1"/>
      </tp>
      <tp>
        <v>0</v>
        <stp/>
        <stp>bse_cm|875SCFL27</stp>
        <stp>LTP</stp>
        <tr r="H1011" s="1"/>
      </tp>
      <tp>
        <v>0</v>
        <stp/>
        <stp>bse_cm|925SCFL25</stp>
        <stp>LTP</stp>
        <tr r="H774" s="1"/>
      </tp>
      <tp>
        <v>0</v>
        <stp/>
        <stp>bse_cm|965SCFL25</stp>
        <stp>LTP</stp>
        <tr r="H1106" s="1"/>
      </tp>
      <tp t="s">
        <v>00:00:00</v>
        <stp/>
        <stp>bse_cm|925SFCL25</stp>
        <stp>LTT</stp>
        <tr r="I1482" s="1"/>
      </tp>
      <tp t="s">
        <v>00:00:00</v>
        <stp/>
        <stp>bse_cm|925SCFL27</stp>
        <stp>LTT</stp>
        <tr r="I772" s="1"/>
      </tp>
      <tp t="s">
        <v>00:00:00</v>
        <stp/>
        <stp>bse_cm|875SCFL27</stp>
        <stp>LTT</stp>
        <tr r="I1011" s="1"/>
      </tp>
      <tp t="s">
        <v>00:00:00</v>
        <stp/>
        <stp>bse_cm|925SCFL25</stp>
        <stp>LTT</stp>
        <tr r="I774" s="1"/>
      </tp>
      <tp t="s">
        <v>00:00:00</v>
        <stp/>
        <stp>bse_cm|965SCFL25</stp>
        <stp>LTT</stp>
        <tr r="I1106" s="1"/>
      </tp>
      <tp>
        <v>0</v>
        <stp/>
        <stp>bse_cm|925SFCL25</stp>
        <stp>LTP</stp>
        <tr r="H1482" s="1"/>
      </tp>
      <tp>
        <v>0</v>
        <stp/>
        <stp>nse_cm|792TCH25-N3</stp>
        <stp>Ask Qty</stp>
        <tr r="G1187" s="1"/>
      </tp>
      <tp>
        <v>0</v>
        <stp/>
        <stp>nse_cm|940SCL26A-NK</stp>
        <stp>ATP</stp>
        <tr r="K906" s="1"/>
      </tp>
      <tp t="s">
        <v/>
        <stp/>
        <stp>nse_cm|990SCL26A-NL</stp>
        <stp>LTT</stp>
        <tr r="I1049" s="1"/>
      </tp>
      <tp>
        <v>1041.0999999999999</v>
        <stp/>
        <stp>nse_cm|990SCL26A-NL</stp>
        <stp>LTP</stp>
        <tr r="H1049" s="1"/>
      </tp>
      <tp>
        <v>175</v>
        <stp/>
        <stp>nse_cm|830PFCL27-N5</stp>
        <stp>Volume Traded Today</stp>
        <tr r="L400" s="1"/>
      </tp>
      <tp>
        <v>0</v>
        <stp/>
        <stp>nse_cm|960ISFL25-N1</stp>
        <stp>Volume Traded Today</stp>
        <tr r="L1695" s="1"/>
      </tp>
      <tp>
        <v>50</v>
        <stp/>
        <stp>nse_cm|970CAGL28-ND</stp>
        <stp>Volume Traded Today</stp>
        <tr r="L306" s="1"/>
      </tp>
      <tp>
        <v>0</v>
        <stp/>
        <stp>nse_cm|948SCL26D-AI</stp>
        <stp>ATP</stp>
        <tr r="K1690" s="1"/>
      </tp>
      <tp>
        <v>1238</v>
        <stp/>
        <stp>nse_cm|948SCL26I-AX</stp>
        <stp>ATP</stp>
        <tr r="K1708" s="1"/>
      </tp>
      <tp>
        <v>100</v>
        <stp/>
        <stp>nse_cm|736PFCL28-N2</stp>
        <stp>Volume Traded Today</stp>
        <tr r="L11" s="1"/>
      </tp>
      <tp>
        <v>1193</v>
        <stp/>
        <stp>bse_cm|SCLZC25</stp>
        <stp>High</stp>
        <tr r="N917" s="1"/>
      </tp>
      <tp>
        <v>0</v>
        <stp/>
        <stp>nse_cm|735PFCL35-N1</stp>
        <stp>Volume Traded Today</stp>
        <tr r="L26" s="1"/>
      </tp>
      <tp>
        <v>1745</v>
        <stp/>
        <stp>bse_cm|SCLZC26</stp>
        <stp>High</stp>
        <tr r="N1464" s="1"/>
      </tp>
      <tp>
        <v>100</v>
        <stp/>
        <stp>nse_cm|865IIFL28-NS</stp>
        <stp>Volume Traded Today</stp>
        <tr r="L74" s="1"/>
      </tp>
      <tp>
        <v>0</v>
        <stp/>
        <stp>bse_cm|CIFCZC28A</stp>
        <stp>ATP</stp>
        <tr r="K1396" s="1"/>
      </tp>
      <tp>
        <v>0</v>
        <stp/>
        <stp>bse_cm|MMFLZC27B</stp>
        <stp>ATP</stp>
        <tr r="K1570" s="1"/>
      </tp>
      <tp>
        <v>0</v>
        <stp/>
        <stp>bse_cm|MMFLZC27C</stp>
        <stp>ATP</stp>
        <tr r="K1463" s="1"/>
      </tp>
      <tp>
        <v>0</v>
        <stp/>
        <stp>bse_cm|MMFLZC27A</stp>
        <stp>ATP</stp>
        <tr r="K1260" s="1"/>
      </tp>
      <tp>
        <v>0</v>
        <stp/>
        <stp>bse_cm|707IRFC25</stp>
        <stp>ATP</stp>
        <tr r="K1653" s="1"/>
      </tp>
      <tp>
        <v>0</v>
        <stp/>
        <stp>bse_cm|MMFLZC27D</stp>
        <stp>ATP</stp>
        <tr r="K1406" s="1"/>
      </tp>
      <tp t="s">
        <v>00:00:00</v>
        <stp/>
        <stp>bse_cm|875IHFL29</stp>
        <stp>LTT</stp>
        <tr r="I1230" s="1"/>
      </tp>
      <tp t="s">
        <v>00:00:00</v>
        <stp/>
        <stp>bse_cm|865IIFL28</stp>
        <stp>LTT</stp>
        <tr r="I75" s="1"/>
      </tp>
      <tp t="s">
        <v>00:00:00</v>
        <stp/>
        <stp>bse_cm|965IFSL26</stp>
        <stp>LTT</stp>
        <tr r="I1142" s="1"/>
      </tp>
      <tp t="s">
        <v>00:00:00</v>
        <stp/>
        <stp>bse_cm|945IFSL25</stp>
        <stp>LTT</stp>
        <tr r="I483" s="1"/>
      </tp>
      <tp t="s">
        <v>00:00:00</v>
        <stp/>
        <stp>bse_cm|955IFSL25</stp>
        <stp>LTT</stp>
        <tr r="I1470" s="1"/>
      </tp>
      <tp>
        <v>-100</v>
        <stp/>
        <stp>bse_cm|MFLII27B</stp>
        <stp>% Change</stp>
        <tr r="J359" s="1"/>
      </tp>
      <tp>
        <v>0</v>
        <stp/>
        <stp>bse_cm|875IHFL29</stp>
        <stp>LTP</stp>
        <tr r="H1230" s="1"/>
      </tp>
      <tp>
        <v>0</v>
        <stp/>
        <stp>bse_cm|865IIFL28</stp>
        <stp>LTP</stp>
        <tr r="H75" s="1"/>
      </tp>
      <tp>
        <v>0</v>
        <stp/>
        <stp>bse_cm|965IFSL26</stp>
        <stp>LTP</stp>
        <tr r="H1142" s="1"/>
      </tp>
      <tp>
        <v>0</v>
        <stp/>
        <stp>bse_cm|945IFSL25</stp>
        <stp>LTP</stp>
        <tr r="H483" s="1"/>
      </tp>
      <tp>
        <v>0</v>
        <stp/>
        <stp>bse_cm|955IFSL25</stp>
        <stp>LTP</stp>
        <tr r="H1470" s="1"/>
      </tp>
      <tp t="s">
        <v>00:00:00</v>
        <stp/>
        <stp>bse_cm|105IIFL29</stp>
        <stp>LTT</stp>
        <tr r="I338" s="1"/>
      </tp>
      <tp>
        <v>0</v>
        <stp/>
        <stp>bse_cm|125ICFL26</stp>
        <stp>LTP</stp>
        <tr r="H1214" s="1"/>
      </tp>
      <tp>
        <v>0</v>
        <stp/>
        <stp>bse_cm|825IIFL25</stp>
        <stp>LTP</stp>
        <tr r="H47" s="1"/>
      </tp>
      <tp>
        <v>0</v>
        <stp/>
        <stp>bse_cm|115ICFL25</stp>
        <stp>LTP</stp>
        <tr r="H1548" s="1"/>
      </tp>
      <tp>
        <v>0</v>
        <stp/>
        <stp>bse_cm|875IIFL26</stp>
        <stp>LTP</stp>
        <tr r="H642" s="1"/>
      </tp>
      <tp t="s">
        <v>00:00:00</v>
        <stp/>
        <stp>bse_cm|985IIFL22</stp>
        <stp>LTT</stp>
        <tr r="I178" s="1"/>
      </tp>
      <tp t="s">
        <v>00:00:00</v>
        <stp/>
        <stp>bse_cm|985ICCL28</stp>
        <stp>LTT</stp>
        <tr r="I1483" s="1"/>
      </tp>
      <tp>
        <v>0</v>
        <stp/>
        <stp>bse_cm|105IIFL29</stp>
        <stp>LTP</stp>
        <tr r="H338" s="1"/>
      </tp>
      <tp t="s">
        <v>00:00:00</v>
        <stp/>
        <stp>bse_cm|125ICFL26</stp>
        <stp>LTT</stp>
        <tr r="I1214" s="1"/>
      </tp>
      <tp t="s">
        <v>00:00:00</v>
        <stp/>
        <stp>bse_cm|825IIFL25</stp>
        <stp>LTT</stp>
        <tr r="I47" s="1"/>
      </tp>
      <tp t="s">
        <v>00:00:00</v>
        <stp/>
        <stp>bse_cm|115ICFL25</stp>
        <stp>LTT</stp>
        <tr r="I1548" s="1"/>
      </tp>
      <tp t="s">
        <v>00:00:00</v>
        <stp/>
        <stp>bse_cm|875IIFL26</stp>
        <stp>LTT</stp>
        <tr r="I642" s="1"/>
      </tp>
      <tp>
        <v>0</v>
        <stp/>
        <stp>bse_cm|985IIFL22</stp>
        <stp>LTP</stp>
        <tr r="H178" s="1"/>
      </tp>
      <tp>
        <v>0</v>
        <stp/>
        <stp>bse_cm|985ICCL28</stp>
        <stp>LTP</stp>
        <tr r="H1483" s="1"/>
      </tp>
      <tp>
        <v>0</v>
        <stp/>
        <stp>bse_cm|IIFLZC26B</stp>
        <stp>ATP</stp>
        <tr r="K1179" s="1"/>
      </tp>
      <tp>
        <v>0</v>
        <stp/>
        <stp>bse_cm|KAFLZC26A</stp>
        <stp>ATP</stp>
        <tr r="K1710" s="1"/>
      </tp>
      <tp>
        <v>0</v>
        <stp/>
        <stp>bse_cm|IIFLZC26A</stp>
        <stp>ATP</stp>
        <tr r="K1674" s="1"/>
      </tp>
      <tp>
        <v>0</v>
        <stp/>
        <stp>bse_cm|MMFLZC25B</stp>
        <stp>ATP</stp>
        <tr r="K1581" s="1"/>
      </tp>
      <tp>
        <v>0</v>
        <stp/>
        <stp>bse_cm|MMFLZC25C</stp>
        <stp>ATP</stp>
        <tr r="K1263" s="1"/>
      </tp>
      <tp>
        <v>0</v>
        <stp/>
        <stp>bse_cm|MMFLZC25A</stp>
        <stp>ATP</stp>
        <tr r="K1264" s="1"/>
      </tp>
      <tp>
        <v>0</v>
        <stp/>
        <stp>bse_cm|IIFLZC25B</stp>
        <stp>ATP</stp>
        <tr r="K1685" s="1"/>
      </tp>
      <tp>
        <v>0</v>
        <stp/>
        <stp>bse_cm|IIFLZC25C</stp>
        <stp>ATP</stp>
        <tr r="K1750" s="1"/>
      </tp>
      <tp>
        <v>0</v>
        <stp/>
        <stp>bse_cm|MMFLZC25D</stp>
        <stp>ATP</stp>
        <tr r="K1262" s="1"/>
      </tp>
      <tp>
        <v>0</v>
        <stp/>
        <stp>bse_cm|IIFLZC25A</stp>
        <stp>ATP</stp>
        <tr r="K1737" s="1"/>
      </tp>
      <tp>
        <v>0</v>
        <stp/>
        <stp>bse_cm|935KAFL25</stp>
        <stp>LTP</stp>
        <tr r="H785" s="1"/>
      </tp>
      <tp>
        <v>0</v>
        <stp/>
        <stp>bse_cm|975KAFL25</stp>
        <stp>LTP</stp>
        <tr r="H860" s="1"/>
      </tp>
      <tp>
        <v>0</v>
        <stp/>
        <stp>bse_cm|985KAFL26</stp>
        <stp>LTP</stp>
        <tr r="H1102" s="1"/>
      </tp>
      <tp t="s">
        <v>00:00:00</v>
        <stp/>
        <stp>bse_cm|925KFIL25</stp>
        <stp>LTT</stp>
        <tr r="I776" s="1"/>
      </tp>
      <tp>
        <v>0</v>
        <stp/>
        <stp>bse_cm|975KAFL26</stp>
        <stp>LTP</stp>
        <tr r="H859" s="1"/>
      </tp>
      <tp t="s">
        <v>00:00:00</v>
        <stp/>
        <stp>bse_cm|935KAFL25</stp>
        <stp>LTT</stp>
        <tr r="I785" s="1"/>
      </tp>
      <tp t="s">
        <v>00:00:00</v>
        <stp/>
        <stp>bse_cm|975KAFL25</stp>
        <stp>LTT</stp>
        <tr r="I860" s="1"/>
      </tp>
      <tp t="s">
        <v>00:00:00</v>
        <stp/>
        <stp>bse_cm|985KAFL26</stp>
        <stp>LTT</stp>
        <tr r="I1102" s="1"/>
      </tp>
      <tp>
        <v>0</v>
        <stp/>
        <stp>bse_cm|925KFIL25</stp>
        <stp>LTP</stp>
        <tr r="H776" s="1"/>
      </tp>
      <tp t="s">
        <v>00:00:00</v>
        <stp/>
        <stp>bse_cm|975KAFL26</stp>
        <stp>LTT</stp>
        <tr r="I859" s="1"/>
      </tp>
      <tp>
        <v>0</v>
        <stp/>
        <stp>bse_cm|MMFLZC24D</stp>
        <stp>ATP</stp>
        <tr r="K1265" s="1"/>
      </tp>
      <tp>
        <v>0</v>
        <stp/>
        <stp>bse_cm|948JFPL25</stp>
        <stp>ATP</stp>
        <tr r="K490" s="1"/>
      </tp>
      <tp>
        <v>987.57</v>
        <stp/>
        <stp>bse_cm|9EFSL26</stp>
        <stp xml:space="preserve">Low </stp>
        <tr r="O581" s="1"/>
      </tp>
      <tp t="s">
        <v>00:00:00</v>
        <stp/>
        <stp>bse_cm|105MMFL25</stp>
        <stp>LTT</stp>
        <tr r="I1171" s="1"/>
      </tp>
      <tp t="s">
        <v>00:00:00</v>
        <stp/>
        <stp>bse_cm|925MFCL26</stp>
        <stp>LTT</stp>
        <tr r="I1610" s="1"/>
      </tp>
      <tp t="s">
        <v>00:00:00</v>
        <stp/>
        <stp>bse_cm|965MFCL27</stp>
        <stp>LTT</stp>
        <tr r="I618" s="1"/>
      </tp>
      <tp t="s">
        <v>00:00:00</v>
        <stp/>
        <stp>bse_cm|925MFCL27</stp>
        <stp>LTT</stp>
        <tr r="I262" s="1"/>
      </tp>
      <tp t="s">
        <v>00:00:00</v>
        <stp/>
        <stp>bse_cm|915MFCL27</stp>
        <stp>LTT</stp>
        <tr r="I1472" s="1"/>
      </tp>
      <tp>
        <v>0</v>
        <stp/>
        <stp>bse_cm|105MMFL25</stp>
        <stp>LTP</stp>
        <tr r="H1171" s="1"/>
      </tp>
      <tp>
        <v>0</v>
        <stp/>
        <stp>bse_cm|925MFCL26</stp>
        <stp>LTP</stp>
        <tr r="H1610" s="1"/>
      </tp>
      <tp>
        <v>0</v>
        <stp/>
        <stp>bse_cm|965MFCL27</stp>
        <stp>LTP</stp>
        <tr r="H618" s="1"/>
      </tp>
      <tp>
        <v>0</v>
        <stp/>
        <stp>bse_cm|925MFCL27</stp>
        <stp>LTP</stp>
        <tr r="H262" s="1"/>
      </tp>
      <tp>
        <v>0</v>
        <stp/>
        <stp>bse_cm|915MFCL27</stp>
        <stp>LTP</stp>
        <tr r="H1472" s="1"/>
      </tp>
      <tp t="s">
        <v>00:00:00</v>
        <stp/>
        <stp>bse_cm|975MMFL24</stp>
        <stp>LTT</stp>
        <tr r="I853" s="1"/>
      </tp>
      <tp>
        <v>0</v>
        <stp/>
        <stp>bse_cm|975MFCL29</stp>
        <stp>LTP</stp>
        <tr r="H856" s="1"/>
      </tp>
      <tp>
        <v>967.35</v>
        <stp/>
        <stp>bse_cm|945MFCL29</stp>
        <stp>LTP</stp>
        <tr r="H682" s="1"/>
      </tp>
      <tp t="s">
        <v>00:00:00</v>
        <stp/>
        <stp>bse_cm|975MMFL26</stp>
        <stp>LTT</stp>
        <tr r="I215" s="1"/>
      </tp>
      <tp>
        <v>0</v>
        <stp/>
        <stp>bse_cm|935MFCL29</stp>
        <stp>LTP</stp>
        <tr r="H239" s="1"/>
      </tp>
      <tp>
        <v>0</v>
        <stp/>
        <stp>bse_cm|975MMFL24</stp>
        <stp>LTP</stp>
        <tr r="H853" s="1"/>
      </tp>
      <tp t="s">
        <v>00:00:00</v>
        <stp/>
        <stp>bse_cm|975MFCL29</stp>
        <stp>LTT</stp>
        <tr r="I856" s="1"/>
      </tp>
      <tp t="s">
        <v>00:00:00</v>
        <stp/>
        <stp>bse_cm|945MFCL29</stp>
        <stp>LTT</stp>
        <tr r="I682" s="1"/>
      </tp>
      <tp>
        <v>0</v>
        <stp/>
        <stp>bse_cm|975MMFL26</stp>
        <stp>LTP</stp>
        <tr r="H215" s="1"/>
      </tp>
      <tp t="s">
        <v>00:00:00</v>
        <stp/>
        <stp>bse_cm|935MFCL29</stp>
        <stp>LTT</stp>
        <tr r="I239" s="1"/>
      </tp>
      <tp>
        <v>0</v>
        <stp/>
        <stp>nse_cm|8ABFL26-N0</stp>
        <stp>Open</stp>
        <tr r="M358" s="1"/>
      </tp>
      <tp>
        <v>0</v>
        <stp/>
        <stp>nse_cm|948SCL26B-Y8</stp>
        <stp>ATP</stp>
        <tr r="K159" s="1"/>
      </tp>
      <tp>
        <v>0</v>
        <stp/>
        <stp>bse_cm|1003VCL25</stp>
        <stp>Volume Traded Today</stp>
        <tr r="L151" s="1"/>
      </tp>
      <tp>
        <v>0</v>
        <stp/>
        <stp>bse_cm|965MFCL30</stp>
        <stp>LTP</stp>
        <tr r="H225" s="1"/>
      </tp>
      <tp>
        <v>0</v>
        <stp/>
        <stp>bse_cm|955MFCL30</stp>
        <stp>LTP</stp>
        <tr r="H1130" s="1"/>
      </tp>
      <tp t="s">
        <v>00:00:00</v>
        <stp/>
        <stp>bse_cm|965MFCL30</stp>
        <stp>LTT</stp>
        <tr r="I225" s="1"/>
      </tp>
      <tp t="s">
        <v>00:00:00</v>
        <stp/>
        <stp>bse_cm|955MFCL30</stp>
        <stp>LTT</stp>
        <tr r="I1130" s="1"/>
      </tp>
      <tp>
        <v>0</v>
        <stp/>
        <stp>bse_cm|1102NFL26</stp>
        <stp>Volume Traded Today</stp>
        <tr r="L567" s="1"/>
      </tp>
      <tp>
        <v>0</v>
        <stp/>
        <stp>bse_cm|1003SCL30</stp>
        <stp>Volume Traded Today</stp>
        <tr r="L877" s="1"/>
      </tp>
      <tp>
        <v>0</v>
        <stp/>
        <stp>bse_cm|1003SCL31</stp>
        <stp>Volume Traded Today</stp>
        <tr r="L727" s="1"/>
      </tp>
      <tp>
        <v>0</v>
        <stp/>
        <stp>bse_cm|995NWIL32</stp>
        <stp>LTP</stp>
        <tr r="H1023" s="1"/>
      </tp>
      <tp t="s">
        <v>00:00:00</v>
        <stp/>
        <stp>bse_cm|995NWIL32</stp>
        <stp>LTT</stp>
        <tr r="I1023" s="1"/>
      </tp>
      <tp>
        <v>-100</v>
        <stp/>
        <stp>bse_cm|MFLIV27D</stp>
        <stp>% Change</stp>
        <tr r="J1452" s="1"/>
      </tp>
      <tp>
        <v>0</v>
        <stp/>
        <stp>nse_cm|948SCL27A-ZJ</stp>
        <stp>ATP</stp>
        <tr r="K845" s="1"/>
      </tp>
      <tp>
        <v>1045.2</v>
        <stp/>
        <stp>bse_cm|9EFSL25</stp>
        <stp xml:space="preserve">Low </stp>
        <tr r="O606" s="1"/>
      </tp>
      <tp t="s">
        <v>00:00:00</v>
        <stp/>
        <stp>bse_cm|955NWIL27</stp>
        <stp>LTT</stp>
        <tr r="I1480" s="1"/>
      </tp>
      <tp t="s">
        <v>00:00:00</v>
        <stp/>
        <stp>bse_cm|915NWIL25</stp>
        <stp>LTT</stp>
        <tr r="I620" s="1"/>
      </tp>
      <tp>
        <v>0</v>
        <stp/>
        <stp>bse_cm|955NWIL27</stp>
        <stp>LTP</stp>
        <tr r="H1480" s="1"/>
      </tp>
      <tp>
        <v>0</v>
        <stp/>
        <stp>bse_cm|915NWIL25</stp>
        <stp>LTP</stp>
        <tr r="H620" s="1"/>
      </tp>
      <tp t="s">
        <v>00:00:00</v>
        <stp/>
        <stp>bse_cm|850NHAI29</stp>
        <stp>LTT</stp>
        <tr r="I580" s="1"/>
      </tp>
      <tp>
        <v>0</v>
        <stp/>
        <stp>bse_cm|850NHAI29</stp>
        <stp>LTP</stp>
        <tr r="H580" s="1"/>
      </tp>
      <tp>
        <v>0</v>
        <stp/>
        <stp>bse_cm|895NHFL25</stp>
        <stp>LTP</stp>
        <tr r="H54" s="1"/>
      </tp>
      <tp>
        <v>0</v>
        <stp/>
        <stp>bse_cm|958NHFL27</stp>
        <stp>ATP</stp>
        <tr r="K616" s="1"/>
      </tp>
      <tp t="s">
        <v>00:00:00</v>
        <stp/>
        <stp>bse_cm|895NHFL25</stp>
        <stp>LTT</stp>
        <tr r="I54" s="1"/>
      </tp>
      <tp>
        <v>0</v>
        <stp/>
        <stp>nse_cm|910TCAP28-NA</stp>
        <stp>Volume Traded Today</stp>
        <tr r="L411" s="1"/>
      </tp>
      <tp>
        <v>0</v>
        <stp/>
        <stp>bse_cm|1050CCI25</stp>
        <stp>Volume Traded Today</stp>
        <tr r="L173" s="1"/>
      </tp>
      <tp>
        <v>0</v>
        <stp/>
        <stp>bse_cm|965ARKA26</stp>
        <stp>ATP</stp>
        <tr r="K869" s="1"/>
      </tp>
      <tp>
        <v>0</v>
        <stp/>
        <stp>bse_cm|965ARKA28</stp>
        <stp>ATP</stp>
        <tr r="K1349" s="1"/>
      </tp>
      <tp t="s">
        <v>00:00:00</v>
        <stp/>
        <stp>bse_cm|935AHFL28</stp>
        <stp>LTT</stp>
        <tr r="I456" s="1"/>
      </tp>
      <tp t="s">
        <v>15:07:12</v>
        <stp/>
        <stp>bse_cm|975AHFL28</stp>
        <stp>LTT</stp>
        <tr r="I324" s="1"/>
      </tp>
      <tp>
        <v>0</v>
        <stp/>
        <stp>bse_cm|935AHFL28</stp>
        <stp>LTP</stp>
        <tr r="H456" s="1"/>
      </tp>
      <tp>
        <v>1034</v>
        <stp/>
        <stp>bse_cm|975AHFL28</stp>
        <stp>LTP</stp>
        <tr r="H324" s="1"/>
      </tp>
      <tp t="s">
        <v>00:00:00</v>
        <stp/>
        <stp>bse_cm|805ABFL28</stp>
        <stp>LTT</stp>
        <tr r="I1371" s="1"/>
      </tp>
      <tp>
        <v>0</v>
        <stp/>
        <stp>bse_cm|805ABFL28</stp>
        <stp>LTP</stp>
        <tr r="H1371" s="1"/>
      </tp>
      <tp>
        <v>0</v>
        <stp/>
        <stp>nse_cm|866SCFL25-Y8</stp>
        <stp>Volume Traded Today</stp>
        <tr r="L158" s="1"/>
      </tp>
      <tp>
        <v>0</v>
        <stp/>
        <stp>bse_cm|945CAGL24</stp>
        <stp>LTP</stp>
        <tr r="H566" s="1"/>
      </tp>
      <tp t="s">
        <v>00:00:00</v>
        <stp/>
        <stp>bse_cm|115CCIL28</stp>
        <stp>LTT</stp>
        <tr r="I382" s="1"/>
      </tp>
      <tp>
        <v>0</v>
        <stp/>
        <stp>bse_cm|925CAGL26</stp>
        <stp>LTP</stp>
        <tr r="H294" s="1"/>
      </tp>
      <tp t="s">
        <v>00:00:00</v>
        <stp/>
        <stp>bse_cm|945CAGL24</stp>
        <stp>LTT</stp>
        <tr r="I566" s="1"/>
      </tp>
      <tp>
        <v>0</v>
        <stp/>
        <stp>bse_cm|115CCIL28</stp>
        <stp>LTP</stp>
        <tr r="H382" s="1"/>
      </tp>
      <tp t="s">
        <v>00:00:00</v>
        <stp/>
        <stp>bse_cm|925CAGL26</stp>
        <stp>LTT</stp>
        <tr r="I294" s="1"/>
      </tp>
      <tp>
        <v>0</v>
        <stp/>
        <stp>nse_cm|894SCL25A-ZI</stp>
        <stp>LTP</stp>
        <tr r="H963" s="1"/>
      </tp>
      <tp t="s">
        <v/>
        <stp/>
        <stp>nse_cm|894SCL25A-ZI</stp>
        <stp>LTT</stp>
        <tr r="I963" s="1"/>
      </tp>
      <tp t="s">
        <v>00:00:00</v>
        <stp/>
        <stp>bse_cm|925ERFL28</stp>
        <stp>LTT</stp>
        <tr r="I147" s="1"/>
      </tp>
      <tp>
        <v>0</v>
        <stp/>
        <stp>bse_cm|925ERFL28</stp>
        <stp>LTP</stp>
        <tr r="H147" s="1"/>
      </tp>
      <tp>
        <v>0</v>
        <stp/>
        <stp>bse_cm|888ERFL28</stp>
        <stp>ATP</stp>
        <tr r="K216" s="1"/>
      </tp>
      <tp t="s">
        <v>00:00:00</v>
        <stp/>
        <stp>bse_cm|955EFSL26</stp>
        <stp>LTT</stp>
        <tr r="I503" s="1"/>
      </tp>
      <tp t="s">
        <v>00:00:00</v>
        <stp/>
        <stp>bse_cm|915EFSL26</stp>
        <stp>LTT</stp>
        <tr r="I93" s="1"/>
      </tp>
      <tp t="s">
        <v>00:00:00</v>
        <stp/>
        <stp>bse_cm|895EFSL26</stp>
        <stp>LTT</stp>
        <tr r="I109" s="1"/>
      </tp>
      <tp t="s">
        <v>09:41:07</v>
        <stp/>
        <stp>bse_cm|975EFSL27</stp>
        <stp>LTT</stp>
        <tr r="I45" s="1"/>
      </tp>
      <tp t="s">
        <v>00:00:00</v>
        <stp/>
        <stp>bse_cm|935EFSL27</stp>
        <stp>LTT</stp>
        <tr r="I157" s="1"/>
      </tp>
      <tp t="s">
        <v>00:00:00</v>
        <stp/>
        <stp>bse_cm|895EFSL25</stp>
        <stp>LTT</stp>
        <tr r="I700" s="1"/>
      </tp>
      <tp t="s">
        <v>00:00:00</v>
        <stp/>
        <stp>bse_cm|925EFSL25</stp>
        <stp>LTT</stp>
        <tr r="I632" s="1"/>
      </tp>
      <tp>
        <v>0</v>
        <stp/>
        <stp>bse_cm|105EFSL29</stp>
        <stp>LTP</stp>
        <tr r="H1358" s="1"/>
      </tp>
      <tp>
        <v>0</v>
        <stp/>
        <stp>bse_cm|955EFSL26</stp>
        <stp>LTP</stp>
        <tr r="H503" s="1"/>
      </tp>
      <tp>
        <v>0</v>
        <stp/>
        <stp>bse_cm|915EFSL26</stp>
        <stp>LTP</stp>
        <tr r="H93" s="1"/>
      </tp>
      <tp>
        <v>0</v>
        <stp/>
        <stp>bse_cm|895EFSL26</stp>
        <stp>LTP</stp>
        <tr r="H109" s="1"/>
      </tp>
      <tp>
        <v>924.2</v>
        <stp/>
        <stp>bse_cm|975EFSL27</stp>
        <stp>LTP</stp>
        <tr r="H45" s="1"/>
      </tp>
      <tp>
        <v>0</v>
        <stp/>
        <stp>bse_cm|935EFSL27</stp>
        <stp>LTP</stp>
        <tr r="H157" s="1"/>
      </tp>
      <tp>
        <v>0</v>
        <stp/>
        <stp>bse_cm|895EFSL25</stp>
        <stp>LTP</stp>
        <tr r="H700" s="1"/>
      </tp>
      <tp>
        <v>0</v>
        <stp/>
        <stp>bse_cm|925EFSL25</stp>
        <stp>LTP</stp>
        <tr r="H632" s="1"/>
      </tp>
      <tp t="s">
        <v>00:00:00</v>
        <stp/>
        <stp>bse_cm|105EFSL29</stp>
        <stp>LTT</stp>
        <tr r="I1358" s="1"/>
      </tp>
      <tp>
        <v>0</v>
        <stp/>
        <stp>bse_cm|10KAFL26B</stp>
        <stp>LTP</stp>
        <tr r="H1094" s="1"/>
      </tp>
      <tp>
        <v>0</v>
        <stp/>
        <stp>bse_cm|10KAFL26A</stp>
        <stp>LTP</stp>
        <tr r="H1095" s="1"/>
      </tp>
      <tp t="s">
        <v>00:00:00</v>
        <stp/>
        <stp>bse_cm|10KAFL26B</stp>
        <stp>LTT</stp>
        <tr r="I1094" s="1"/>
      </tp>
      <tp t="s">
        <v>00:00:00</v>
        <stp/>
        <stp>bse_cm|10KAFL26A</stp>
        <stp>LTT</stp>
        <tr r="I1095" s="1"/>
      </tp>
      <tp t="s">
        <v/>
        <stp/>
        <stp>nse_cm|990SCL26B-Y7</stp>
        <stp>LTT</stp>
        <tr r="I798" s="1"/>
      </tp>
      <tp>
        <v>0</v>
        <stp/>
        <stp>nse_cm|940SCL26B-Y6</stp>
        <stp>ATP</stp>
        <tr r="K795" s="1"/>
      </tp>
      <tp>
        <v>960</v>
        <stp/>
        <stp>nse_cm|990SCL26B-Y7</stp>
        <stp>LTP</stp>
        <tr r="H798" s="1"/>
      </tp>
      <tp>
        <v>10</v>
        <stp/>
        <stp>nse_cm|10IIFL28-N4</stp>
        <stp>Bid Qty</stp>
        <tr r="D42" s="1"/>
      </tp>
      <tp>
        <v>25</v>
        <stp/>
        <stp>nse_cm|10IIFL29-N6</stp>
        <stp>Bid Qty</stp>
        <tr r="D193" s="1"/>
      </tp>
      <tp>
        <v>50</v>
        <stp/>
        <stp>nse_cm|10ISFL26-N3</stp>
        <stp>Bid Qty</stp>
        <tr r="D1527" s="1"/>
      </tp>
      <tp>
        <v>0</v>
        <stp/>
        <stp>bse_cm|CIFCZC25A</stp>
        <stp>ATP</stp>
        <tr r="K1728" s="1"/>
      </tp>
      <tp>
        <v>0</v>
        <stp/>
        <stp>bse_cm|965EFSL32</stp>
        <stp>LTP</stp>
        <tr r="H141" s="1"/>
      </tp>
      <tp>
        <v>0</v>
        <stp/>
        <stp>bse_cm|995EFSL31</stp>
        <stp>LTP</stp>
        <tr r="H192" s="1"/>
      </tp>
      <tp t="s">
        <v>00:00:00</v>
        <stp/>
        <stp>bse_cm|965EFSL32</stp>
        <stp>LTT</stp>
        <tr r="I141" s="1"/>
      </tp>
      <tp t="s">
        <v>00:00:00</v>
        <stp/>
        <stp>bse_cm|995EFSL31</stp>
        <stp>LTT</stp>
        <tr r="I192" s="1"/>
      </tp>
      <tp>
        <v>1021.1</v>
        <stp/>
        <stp>bse_cm|875CIFC23B</stp>
        <stp>Bid Rate</stp>
        <tr r="E1394" s="1"/>
      </tp>
      <tp>
        <v>0</v>
        <stp/>
        <stp>bse_cm|CIFCZC26A</stp>
        <stp>ATP</stp>
        <tr r="K737" s="1"/>
      </tp>
      <tp>
        <v>1151</v>
        <stp/>
        <stp>nse_cm|750IRFC35-NK</stp>
        <stp>Bid Rate</stp>
        <tr r="E485" s="1"/>
      </tp>
      <tp>
        <v>0</v>
        <stp/>
        <stp>bse_cm|MMFLZC28B</stp>
        <stp>ATP</stp>
        <tr r="K1535" s="1"/>
      </tp>
      <tp>
        <v>0</v>
        <stp/>
        <stp>bse_cm|MMFLZC28A</stp>
        <stp>ATP</stp>
        <tr r="K1348" s="1"/>
      </tp>
      <tp>
        <v>0</v>
        <stp/>
        <stp>bse_cm|IIFLZC28B</stp>
        <stp>ATP</stp>
        <tr r="K1595" s="1"/>
      </tp>
      <tp>
        <v>0</v>
        <stp/>
        <stp>bse_cm|IIFLZC28C</stp>
        <stp>ATP</stp>
        <tr r="K1404" s="1"/>
      </tp>
      <tp>
        <v>0</v>
        <stp/>
        <stp>bse_cm|IIFLZC28A</stp>
        <stp>ATP</stp>
        <tr r="K1628" s="1"/>
      </tp>
      <tp t="s">
        <v>INE148I07QL2</v>
        <stp/>
        <stp>nse_cm|SCLZC25D-NJ</stp>
        <stp>Isin code</stp>
        <tr r="R1699" s="1"/>
      </tp>
      <tp>
        <v>0</v>
        <stp/>
        <stp>nse_cm|SCL25A-BH</stp>
        <stp>High</stp>
        <tr r="N1237" s="1"/>
      </tp>
      <tp>
        <v>1059</v>
        <stp/>
        <stp>nse_cm|SCL25B-BI</stp>
        <stp>High</stp>
        <tr r="N1403" s="1"/>
      </tp>
      <tp t="s">
        <v>905MFL28A</v>
        <stp/>
        <stp>bse_cm|905MFL28A</stp>
        <stp>Symbol</stp>
        <tr r="A224" s="1"/>
      </tp>
      <tp>
        <v>0</v>
        <stp/>
        <stp>bse_cm|775MFLTD26</stp>
        <stp>Ask Qty</stp>
        <tr r="G652" s="1"/>
      </tp>
      <tp>
        <v>0</v>
        <stp/>
        <stp>bse_cm|775MFLTD25</stp>
        <stp>Ask Qty</stp>
        <tr r="G649" s="1"/>
      </tp>
      <tp>
        <v>0</v>
        <stp/>
        <stp>bse_cm|775MFLTD28</stp>
        <stp>Ask Qty</stp>
        <tr r="G1192" s="1"/>
      </tp>
      <tp t="s">
        <v>104ECL29A</v>
        <stp/>
        <stp>bse_cm|104ECL29A</stp>
        <stp>Symbol</stp>
        <tr r="A79" s="1"/>
      </tp>
      <tp t="s">
        <v>902SCL27A</v>
        <stp/>
        <stp>bse_cm|902SCL27A</stp>
        <stp>Symbol</stp>
        <tr r="A1354" s="1"/>
      </tp>
      <tp t="s">
        <v>902SCL26I</v>
        <stp/>
        <stp>bse_cm|902SCL26I</stp>
        <stp>Symbol</stp>
        <tr r="A903" s="1"/>
      </tp>
      <tp t="s">
        <v>902SCL26A</v>
        <stp/>
        <stp>bse_cm|902SCL26A</stp>
        <stp>Symbol</stp>
        <tr r="A967" s="1"/>
      </tp>
      <tp>
        <v>0</v>
        <stp/>
        <stp>bse_cm|1119NFL27</stp>
        <stp>Ask Rate</stp>
        <tr r="F1140" s="1"/>
      </tp>
      <tp t="s">
        <v>INE01I507372</v>
        <stp/>
        <stp>bse_cm|1125KLM26</stp>
        <stp>Isin code</stp>
        <tr r="R1227" s="1"/>
      </tp>
      <tp t="e">
        <v>#N/A</v>
        <stp/>
        <stp>bse_cm|1075IML24</stp>
        <stp>Isin code</stp>
        <tr r="R33" s="1"/>
      </tp>
      <tp t="s">
        <v>INE01I507380</v>
        <stp/>
        <stp>bse_cm|1150KLM26</stp>
        <stp>Isin code</stp>
        <tr r="R1224" s="1"/>
      </tp>
      <tp>
        <v>0</v>
        <stp/>
        <stp>nse_cm|810TCHFL27-ND</stp>
        <stp>% Change</stp>
        <tr r="J1016" s="1"/>
      </tp>
      <tp>
        <v>930</v>
        <stp/>
        <stp>bse_cm|115CCIL28</stp>
        <stp>High</stp>
        <tr r="N382" s="1"/>
      </tp>
      <tp>
        <v>1000</v>
        <stp/>
        <stp>nse_cm|SFLZC25A-ZK</stp>
        <stp>Face Value</stp>
        <tr r="Q1582" s="1"/>
      </tp>
      <tp>
        <v>1000</v>
        <stp/>
        <stp>nse_cm|SFLZC26A-ZC</stp>
        <stp>Face Value</stp>
        <tr r="Q1716" s="1"/>
      </tp>
      <tp>
        <v>1000</v>
        <stp/>
        <stp>nse_cm|SCLZC25A-AS</stp>
        <stp>Face Value</stp>
        <tr r="Q1232" s="1"/>
      </tp>
      <tp>
        <v>1000</v>
        <stp/>
        <stp>nse_cm|SCLZC26A-NF</stp>
        <stp>Face Value</stp>
        <tr r="Q993" s="1"/>
      </tp>
      <tp>
        <v>979.93</v>
        <stp/>
        <stp>bse_cm|12ICLFL26</stp>
        <stp>High</stp>
        <tr r="N547" s="1"/>
      </tp>
      <tp t="s">
        <v>INE148I07NY2</v>
        <stp/>
        <stp>bse_cm|990SCFL26</stp>
        <stp>Isin code</stp>
        <tr r="R1676" s="1"/>
      </tp>
      <tp>
        <v>995</v>
        <stp/>
        <stp>bse_cm|11ICLFL25</stp>
        <stp>High</stp>
        <tr r="N452" s="1"/>
      </tp>
      <tp t="s">
        <v>INE148I07LE8</v>
        <stp/>
        <stp>bse_cm|889SCFL27</stp>
        <stp>Isin code</stp>
        <tr r="R484" s="1"/>
      </tp>
      <tp>
        <v>1005.2</v>
        <stp/>
        <stp>bse_cm|925CAGL26</stp>
        <stp>High</stp>
        <tr r="N294" s="1"/>
      </tp>
      <tp t="s">
        <v>CIFC28</v>
        <stp/>
        <stp>nse_cm|CIFC28-NB</stp>
        <stp>Symbol</stp>
        <tr r="A1618" s="1"/>
      </tp>
      <tp t="s">
        <v>INE423A07336</v>
        <stp/>
        <stp>nse_cm|956AEL29-N6</stp>
        <stp>Isin code</stp>
        <tr r="R298" s="1"/>
      </tp>
      <tp t="s">
        <v>95NIDO26</v>
        <stp/>
        <stp>bse_cm|95NIDO26</stp>
        <stp>Trading Symbol</stp>
        <tr r="B670" s="1"/>
      </tp>
      <tp>
        <v>993</v>
        <stp/>
        <stp>bse_cm|940CAGL27</stp>
        <stp>High</stp>
        <tr r="N261" s="1"/>
      </tp>
      <tp>
        <v>950</v>
        <stp/>
        <stp>bse_cm|950CCIL25</stp>
        <stp>High</stp>
        <tr r="N99" s="1"/>
      </tp>
      <tp>
        <v>995</v>
        <stp/>
        <stp>bse_cm|945CAGL24</stp>
        <stp>High</stp>
        <tr r="N566" s="1"/>
      </tp>
      <tp t="s">
        <v>INE557F07165</v>
        <stp/>
        <stp>nse_cm|865NHB34-N4</stp>
        <stp>Isin code</stp>
        <tr r="R1166" s="1"/>
      </tp>
      <tp>
        <v>999.21</v>
        <stp/>
        <stp>bse_cm|960CAGL25</stp>
        <stp>High</stp>
        <tr r="N347" s="1"/>
      </tp>
      <tp>
        <v>976</v>
        <stp/>
        <stp>bse_cm|910CAGL25</stp>
        <stp>High</stp>
        <tr r="N351" s="1"/>
      </tp>
      <tp>
        <v>916.8</v>
        <stp/>
        <stp>bse_cm|888ERFL28</stp>
        <stp xml:space="preserve">Low </stp>
        <tr r="O216" s="1"/>
      </tp>
      <tp t="s">
        <v>INE121A07RK6</v>
        <stp/>
        <stp>nse_cm|CIFCZC26-NF</stp>
        <stp>Isin code</stp>
        <tr r="R1561" s="1"/>
      </tp>
      <tp>
        <v>970</v>
        <stp/>
        <stp>bse_cm|925ERFL28</stp>
        <stp xml:space="preserve">Low </stp>
        <tr r="O147" s="1"/>
      </tp>
      <tp t="s">
        <v>INE027E07972</v>
        <stp/>
        <stp>nse_cm|935LTF29-N5</stp>
        <stp>Isin code</stp>
        <tr r="R395" s="1"/>
      </tp>
      <tp>
        <v>1000</v>
        <stp/>
        <stp>bse_cm|0SMCGSL27</stp>
        <stp>High</stp>
        <tr r="N1532" s="1"/>
      </tp>
      <tp>
        <v>1015</v>
        <stp/>
        <stp>bse_cm|970CAGL28</stp>
        <stp>High</stp>
        <tr r="N292" s="1"/>
      </tp>
      <tp>
        <v>990</v>
        <stp/>
        <stp>bse_cm|0SMCGSL26</stp>
        <stp>High</stp>
        <tr r="N589" s="1"/>
      </tp>
      <tp t="s">
        <v>INE403Q08159</v>
        <stp/>
        <stp>bse_cm|1025KFL26</stp>
        <stp>Isin code</stp>
        <tr r="R768" s="1"/>
      </tp>
      <tp t="s">
        <v>INE403Q07AX3</v>
        <stp/>
        <stp>bse_cm|1041KFL26</stp>
        <stp>Isin code</stp>
        <tr r="R1031" s="1"/>
      </tp>
      <tp t="s">
        <v>INE532F07EH7</v>
        <stp/>
        <stp>bse_cm|1010EFS28</stp>
        <stp>Isin code</stp>
        <tr r="R116" s="1"/>
      </tp>
      <tp t="s">
        <v>888IHFL25C-NR</v>
        <stp/>
        <stp>nse_cm|888IHFL25C-NR</stp>
        <stp>Trading Symbol</stp>
        <tr r="B1426" s="1"/>
      </tp>
      <tp t="s">
        <v>INE148I07LB4</v>
        <stp/>
        <stp>bse_cm|875SCFL27</stp>
        <stp>Isin code</stp>
        <tr r="R1011" s="1"/>
      </tp>
      <tp>
        <v>0</v>
        <stp/>
        <stp>bse_cm|85PCHFL26</stp>
        <stp>High</stp>
        <tr r="N713" s="1"/>
      </tp>
      <tp>
        <v>1030</v>
        <stp/>
        <stp>bse_cm|830CIFC26</stp>
        <stp>High</stp>
        <tr r="N1013" s="1"/>
      </tp>
      <tp t="s">
        <v>INE741K07462</v>
        <stp/>
        <stp>bse_cm|945CAGL24</stp>
        <stp>Isin code</stp>
        <tr r="R566" s="1"/>
      </tp>
      <tp t="s">
        <v>INE148I07LD0</v>
        <stp/>
        <stp>bse_cm|843SCFL27</stp>
        <stp>Isin code</stp>
        <tr r="R1074" s="1"/>
      </tp>
      <tp>
        <v>970</v>
        <stp/>
        <stp>bse_cm|925EFSL25</stp>
        <stp xml:space="preserve">Low </stp>
        <tr r="O632" s="1"/>
      </tp>
      <tp t="s">
        <v>1125KLM26</v>
        <stp/>
        <stp>bse_cm|1125KLM26</stp>
        <stp>Symbol</stp>
        <tr r="A1227" s="1"/>
      </tp>
      <tp>
        <v>1008</v>
        <stp/>
        <stp>bse_cm|895EFSL25</stp>
        <stp xml:space="preserve">Low </stp>
        <tr r="O700" s="1"/>
      </tp>
      <tp t="s">
        <v>IML160224</v>
        <stp/>
        <stp>bse_cm|IML160224</stp>
        <stp>Symbol</stp>
        <tr r="A1329" s="1"/>
      </tp>
      <tp t="s">
        <v>1025MML25</v>
        <stp/>
        <stp>bse_cm|1025MML25</stp>
        <stp>Symbol</stp>
        <tr r="A766" s="1"/>
      </tp>
      <tp t="s">
        <v>1025MML26</v>
        <stp/>
        <stp>bse_cm|1025MML26</stp>
        <stp>Symbol</stp>
        <tr r="A765" s="1"/>
      </tp>
      <tp>
        <v>1005.2</v>
        <stp/>
        <stp>bse_cm|895EFSL26</stp>
        <stp xml:space="preserve">Low </stp>
        <tr r="O109" s="1"/>
      </tp>
      <tp>
        <v>960</v>
        <stp/>
        <stp>bse_cm|935EFSL27</stp>
        <stp xml:space="preserve">Low </stp>
        <tr r="O157" s="1"/>
      </tp>
      <tp>
        <v>906</v>
        <stp/>
        <stp>bse_cm|920EFSL27</stp>
        <stp xml:space="preserve">Low </stp>
        <tr r="O55" s="1"/>
      </tp>
      <tp>
        <v>980</v>
        <stp/>
        <stp>bse_cm|957EFSL27</stp>
        <stp xml:space="preserve">Low </stp>
        <tr r="O576" s="1"/>
      </tp>
      <tp>
        <v>924.2</v>
        <stp/>
        <stp>bse_cm|975EFSL27</stp>
        <stp xml:space="preserve">Low </stp>
        <tr r="O45" s="1"/>
      </tp>
      <tp>
        <v>1001</v>
        <stp/>
        <stp>bse_cm|960EFSL27</stp>
        <stp xml:space="preserve">Low </stp>
        <tr r="O70" s="1"/>
      </tp>
      <tp t="s">
        <v>1015MML25</v>
        <stp/>
        <stp>bse_cm|1015MML25</stp>
        <stp>Symbol</stp>
        <tr r="A1103" s="1"/>
      </tp>
      <tp>
        <v>936</v>
        <stp/>
        <stp>bse_cm|916EFSL26</stp>
        <stp xml:space="preserve">Low </stp>
        <tr r="O69" s="1"/>
      </tp>
      <tp>
        <v>950</v>
        <stp/>
        <stp>bse_cm|915EFSL26</stp>
        <stp xml:space="preserve">Low </stp>
        <tr r="O93" s="1"/>
      </tp>
      <tp>
        <v>986</v>
        <stp/>
        <stp>bse_cm|939EFSL26</stp>
        <stp xml:space="preserve">Low </stp>
        <tr r="O188" s="1"/>
      </tp>
      <tp>
        <v>994.8</v>
        <stp/>
        <stp>bse_cm|920EFSL26</stp>
        <stp xml:space="preserve">Low </stp>
        <tr r="O223" s="1"/>
      </tp>
      <tp>
        <v>960</v>
        <stp/>
        <stp>bse_cm|950EFSL26</stp>
        <stp xml:space="preserve">Low </stp>
        <tr r="O1493" s="1"/>
      </tp>
      <tp>
        <v>972.2</v>
        <stp/>
        <stp>bse_cm|955EFSL26</stp>
        <stp xml:space="preserve">Low </stp>
        <tr r="O503" s="1"/>
      </tp>
      <tp>
        <v>985</v>
        <stp/>
        <stp>bse_cm|960EFSL26</stp>
        <stp xml:space="preserve">Low </stp>
        <tr r="O690" s="1"/>
      </tp>
      <tp>
        <v>980</v>
        <stp/>
        <stp>bse_cm|105EFSL29</stp>
        <stp xml:space="preserve">Low </stp>
        <tr r="O1358" s="1"/>
      </tp>
      <tp t="s">
        <v>1070MML25</v>
        <stp/>
        <stp>bse_cm|1070MML25</stp>
        <stp>Symbol</stp>
        <tr r="A1504" s="1"/>
      </tp>
      <tp t="s">
        <v>1075MML26</v>
        <stp/>
        <stp>bse_cm|1075MML26</stp>
        <stp>Symbol</stp>
        <tr r="A1115" s="1"/>
      </tp>
      <tp t="s">
        <v>1075MML27</v>
        <stp/>
        <stp>bse_cm|1075MML27</stp>
        <stp>Symbol</stp>
        <tr r="A1510" s="1"/>
      </tp>
      <tp t="e">
        <v>#N/A</v>
        <stp/>
        <stp>bse_cm|1075IML24</stp>
        <stp>Symbol</stp>
        <tr r="A33" s="1"/>
      </tp>
      <tp t="s">
        <v>1075IML27</v>
        <stp/>
        <stp>bse_cm|1075IML27</stp>
        <stp>Symbol</stp>
        <tr r="A96" s="1"/>
      </tp>
      <tp>
        <v>973.8</v>
        <stp/>
        <stp>bse_cm|101EFSL28</stp>
        <stp xml:space="preserve">Low </stp>
        <tr r="O211" s="1"/>
      </tp>
      <tp t="s">
        <v>1060MML26</v>
        <stp/>
        <stp>bse_cm|1060MML26</stp>
        <stp>Symbol</stp>
        <tr r="A1218" s="1"/>
      </tp>
      <tp t="s">
        <v>1175KLM25</v>
        <stp/>
        <stp>bse_cm|1175KLM25</stp>
        <stp>Symbol</stp>
        <tr r="A1691" s="1"/>
      </tp>
      <tp t="s">
        <v>1050MML28</v>
        <stp/>
        <stp>bse_cm|1050MML28</stp>
        <stp>Symbol</stp>
        <tr r="A1159" s="1"/>
      </tp>
      <tp t="s">
        <v>1050MML25</v>
        <stp/>
        <stp>bse_cm|1050MML25</stp>
        <stp>Symbol</stp>
        <tr r="A1503" s="1"/>
      </tp>
      <tp t="s">
        <v>1050IML25</v>
        <stp/>
        <stp>bse_cm|1050IML25</stp>
        <stp>Symbol</stp>
        <tr r="A499" s="1"/>
      </tp>
      <tp t="s">
        <v>INE020B07HP8</v>
        <stp/>
        <stp>nse_cm|846REC28-N6</stp>
        <stp>Isin code</stp>
        <tr r="R548" s="1"/>
      </tp>
      <tp t="s">
        <v>1150KLM26</v>
        <stp/>
        <stp>bse_cm|1150KLM26</stp>
        <stp>Symbol</stp>
        <tr r="A1224" s="1"/>
      </tp>
      <tp t="s">
        <v>91EFSL24A</v>
        <stp/>
        <stp>bse_cm|91EFSL24A</stp>
        <stp>Symbol</stp>
        <tr r="A46" s="1"/>
      </tp>
      <tp t="s">
        <v>1049DLS25A-Y5</v>
        <stp/>
        <stp>nse_cm|1049DLS25A-Y5</stp>
        <stp>Trading Symbol</stp>
        <tr r="B44" s="1"/>
      </tp>
      <tp t="s">
        <v>INE148I07MJ5</v>
        <stp/>
        <stp>nse_cm|955SCL27-Z5</stp>
        <stp>Isin code</stp>
        <tr r="R949" s="1"/>
      </tp>
      <tp t="s">
        <v>11DLSL25A</v>
        <stp/>
        <stp>bse_cm|11DLSL25A</stp>
        <stp>Symbol</stp>
        <tr r="A300" s="1"/>
      </tp>
      <tp t="s">
        <v>11EFSL34A</v>
        <stp/>
        <stp>bse_cm|11EFSL34A</stp>
        <stp>Symbol</stp>
        <tr r="A1408" s="1"/>
      </tp>
      <tp t="s">
        <v>MML110924</v>
        <stp/>
        <stp>bse_cm|MML110924</stp>
        <stp>Symbol</stp>
        <tr r="A1257" s="1"/>
      </tp>
      <tp t="s">
        <v>INE148I07PA7</v>
        <stp/>
        <stp>nse_cm|925SCL25-N5</stp>
        <stp>Isin code</stp>
        <tr r="R1474" s="1"/>
      </tp>
      <tp t="s">
        <v>965ARKA28</v>
        <stp/>
        <stp>bse_cm|965ARKA28</stp>
        <stp>Symbol</stp>
        <tr r="A1349" s="1"/>
      </tp>
      <tp t="s">
        <v>965ARKA26</v>
        <stp/>
        <stp>bse_cm|965ARKA26</stp>
        <stp>Symbol</stp>
        <tr r="A869" s="1"/>
      </tp>
      <tp t="s">
        <v>1080MML29</v>
        <stp/>
        <stp>bse_cm|1080MML29</stp>
        <stp>Symbol</stp>
        <tr r="A72" s="1"/>
      </tp>
      <tp t="s">
        <v>1080MML26</v>
        <stp/>
        <stp>bse_cm|1080MML26</stp>
        <stp>Symbol</stp>
        <tr r="A1163" s="1"/>
      </tp>
      <tp>
        <v>945</v>
        <stp/>
        <stp>bse_cm|967EFSL29</stp>
        <stp xml:space="preserve">Low </stp>
        <tr r="O102" s="1"/>
      </tp>
      <tp>
        <v>950</v>
        <stp/>
        <stp>bse_cm|967EFSL28</stp>
        <stp xml:space="preserve">Low </stp>
        <tr r="O205" s="1"/>
      </tp>
      <tp>
        <v>1726</v>
        <stp/>
        <stp>bse_cm|8MFLTD26</stp>
        <stp>Ask Qty</stp>
        <tr r="G321" s="1"/>
      </tp>
      <tp>
        <v>1011.12</v>
        <stp/>
        <stp>bse_cm|775MFL2025</stp>
        <stp>Bid Rate</stp>
        <tr r="E336" s="1"/>
      </tp>
      <tp>
        <v>200</v>
        <stp/>
        <stp>bse_cm|8MFLTD28</stp>
        <stp>Ask Qty</stp>
        <tr r="G366" s="1"/>
      </tp>
      <tp>
        <v>0</v>
        <stp/>
        <stp>bse_cm|MFLTDIII24</stp>
        <stp>Open</stp>
        <tr r="M1721" s="1"/>
      </tp>
      <tp>
        <v>960.2</v>
        <stp/>
        <stp>bse_cm|775MFLTD25</stp>
        <stp>Bid Rate</stp>
        <tr r="E649" s="1"/>
      </tp>
      <tp t="s">
        <v>INE148I07QP3</v>
        <stp/>
        <stp>bse_cm|SCLZC26D</stp>
        <stp>Isin code</stp>
        <tr r="R705" s="1"/>
      </tp>
      <tp t="s">
        <v>INE148I07QL2</v>
        <stp/>
        <stp>bse_cm|SCLZC25D</stp>
        <stp>Isin code</stp>
        <tr r="R1573" s="1"/>
      </tp>
      <tp>
        <v>1125</v>
        <stp/>
        <stp>bse_cm|CAGL27A</stp>
        <stp xml:space="preserve">Low </stp>
        <tr r="O1379" s="1"/>
      </tp>
      <tp>
        <v>925</v>
        <stp/>
        <stp>bse_cm|785MFL2028</stp>
        <stp>Bid Rate</stp>
        <tr r="E357" s="1"/>
      </tp>
      <tp>
        <v>0</v>
        <stp/>
        <stp>bse_cm|101EFSL28</stp>
        <stp>Volume Traded Today</stp>
        <tr r="L211" s="1"/>
      </tp>
      <tp>
        <v>0</v>
        <stp/>
        <stp>nse_cm|820SCFL25-Y7</stp>
        <stp>LTP</stp>
        <tr r="H926" s="1"/>
      </tp>
      <tp t="s">
        <v/>
        <stp/>
        <stp>nse_cm|820SCFL25-Y7</stp>
        <stp>LTT</stp>
        <tr r="I926" s="1"/>
      </tp>
      <tp>
        <v>964.8</v>
        <stp/>
        <stp>bse_cm|775MFL2026</stp>
        <stp>Bid Rate</stp>
        <tr r="E240" s="1"/>
      </tp>
      <tp>
        <v>1002.3</v>
        <stp/>
        <stp>bse_cm|EFSL26D</stp>
        <stp>High</stp>
        <tr r="N1617" s="1"/>
      </tp>
      <tp>
        <v>965.2</v>
        <stp/>
        <stp>bse_cm|775MFLTD26</stp>
        <stp>Bid Rate</stp>
        <tr r="E652" s="1"/>
      </tp>
      <tp>
        <v>1361.1</v>
        <stp/>
        <stp>nse_cm|891NTPC33-N6</stp>
        <stp>Bid Rate</stp>
        <tr r="E535" s="1"/>
      </tp>
      <tp>
        <v>1057</v>
        <stp/>
        <stp>bse_cm|CIFCZC28A</stp>
        <stp>Prev Close</stp>
        <tr r="P1396" s="1"/>
      </tp>
      <tp>
        <v>1000.28</v>
        <stp/>
        <stp>bse_cm|IIFLZC26B</stp>
        <stp>Prev Close</stp>
        <tr r="P1179" s="1"/>
      </tp>
      <tp>
        <v>1116.1500000000001</v>
        <stp/>
        <stp>bse_cm|IIFLZC26A</stp>
        <stp>Prev Close</stp>
        <tr r="P1674" s="1"/>
      </tp>
      <tp>
        <v>1216.25</v>
        <stp/>
        <stp>bse_cm|IIFLZC25C</stp>
        <stp>Prev Close</stp>
        <tr r="P1750" s="1"/>
      </tp>
      <tp>
        <v>1075</v>
        <stp/>
        <stp>bse_cm|IIFLZC25B</stp>
        <stp>Prev Close</stp>
        <tr r="P1685" s="1"/>
      </tp>
      <tp>
        <v>1134.94</v>
        <stp/>
        <stp>bse_cm|IIFLZC25A</stp>
        <stp>Prev Close</stp>
        <tr r="P1737" s="1"/>
      </tp>
      <tp>
        <v>1010.8</v>
        <stp/>
        <stp>bse_cm|CIFCZC25A</stp>
        <stp>Prev Close</stp>
        <tr r="P1728" s="1"/>
      </tp>
      <tp>
        <v>1000</v>
        <stp/>
        <stp>bse_cm|CIFCZC26A</stp>
        <stp>Prev Close</stp>
        <tr r="P737" s="1"/>
      </tp>
      <tp>
        <v>1048.23</v>
        <stp/>
        <stp>bse_cm|EFSL26C</stp>
        <stp>High</stp>
        <tr r="N1650" s="1"/>
      </tp>
      <tp>
        <v>1155.0999999999999</v>
        <stp/>
        <stp>bse_cm|IIFLZC28C</stp>
        <stp>Prev Close</stp>
        <tr r="P1404" s="1"/>
      </tp>
      <tp>
        <v>1028.98</v>
        <stp/>
        <stp>bse_cm|IIFLZC28B</stp>
        <stp>Prev Close</stp>
        <tr r="P1595" s="1"/>
      </tp>
      <tp>
        <v>1145</v>
        <stp/>
        <stp>bse_cm|IIFLZC28A</stp>
        <stp>Prev Close</stp>
        <tr r="P1628" s="1"/>
      </tp>
      <tp>
        <v>1018</v>
        <stp/>
        <stp>bse_cm|840CIFCL28</stp>
        <stp>Bid Rate</stp>
        <tr r="E419" s="1"/>
      </tp>
      <tp>
        <v>1105.25</v>
        <stp/>
        <stp>bse_cm|EFSL26B</stp>
        <stp>High</stp>
        <tr r="N1564" s="1"/>
      </tp>
      <tp>
        <v>1200</v>
        <stp/>
        <stp>bse_cm|EFSL26A</stp>
        <stp>High</stp>
        <tr r="N1567" s="1"/>
      </tp>
      <tp>
        <v>1054.02</v>
        <stp/>
        <stp>bse_cm|860CIFCL28</stp>
        <stp>Bid Rate</stp>
        <tr r="E1431" s="1"/>
      </tp>
      <tp t="s">
        <v/>
        <stp/>
        <stp>nse_cm|925SCFL27-YA</stp>
        <stp>LTT</stp>
        <tr r="I113" s="1"/>
      </tp>
      <tp>
        <v>985</v>
        <stp/>
        <stp>nse_cm|925SCFL27-YA</stp>
        <stp>LTP</stp>
        <tr r="H113" s="1"/>
      </tp>
      <tp>
        <v>-100</v>
        <stp/>
        <stp>bse_cm|CCILZC30</stp>
        <stp>% Change</stp>
        <tr r="J746" s="1"/>
      </tp>
      <tp>
        <v>1000</v>
        <stp/>
        <stp>nse_cm|980IFSL25-N5</stp>
        <stp>Face Value</stp>
        <tr r="Q476" s="1"/>
      </tp>
      <tp>
        <v>0</v>
        <stp/>
        <stp>bse_cm|1041KFL26</stp>
        <stp>LTP</stp>
        <tr r="H1031" s="1"/>
      </tp>
      <tp>
        <v>0</v>
        <stp/>
        <stp>bse_cm|MML110924</stp>
        <stp>ATP</stp>
        <tr r="K1257" s="1"/>
      </tp>
      <tp t="s">
        <v>00:00:00</v>
        <stp/>
        <stp>bse_cm|1041KFL26</stp>
        <stp>LTT</stp>
        <tr r="I1031" s="1"/>
      </tp>
      <tp>
        <v>0</v>
        <stp/>
        <stp>bse_cm|IFL190424</stp>
        <stp>LTP</stp>
        <tr r="H1663" s="1"/>
      </tp>
      <tp>
        <v>0</v>
        <stp/>
        <stp>bse_cm|AEL120924</stp>
        <stp>ATP</stp>
        <tr r="K1062" s="1"/>
      </tp>
      <tp t="s">
        <v>00:00:00</v>
        <stp/>
        <stp>bse_cm|IFL190424</stp>
        <stp>LTT</stp>
        <tr r="I1663" s="1"/>
      </tp>
      <tp>
        <v>0</v>
        <stp/>
        <stp>bse_cm|99SCL27</stp>
        <stp>Ask Rate</stp>
        <tr r="F1169" s="1"/>
      </tp>
      <tp t="s">
        <v>00:00:00</v>
        <stp/>
        <stp>bse_cm|1040UCL25</stp>
        <stp>LTT</stp>
        <tr r="I1612" s="1"/>
      </tp>
      <tp>
        <v>0</v>
        <stp/>
        <stp>bse_cm|1040UCL25</stp>
        <stp>LTP</stp>
        <tr r="H1612" s="1"/>
      </tp>
      <tp>
        <v>0</v>
        <stp/>
        <stp>bse_cm|1050KLM27</stp>
        <stp>LTP</stp>
        <tr r="H609" s="1"/>
      </tp>
      <tp t="s">
        <v>00:00:00</v>
        <stp/>
        <stp>bse_cm|1040NFL26</stp>
        <stp>LTT</stp>
        <tr r="I1453" s="1"/>
      </tp>
      <tp>
        <v>0</v>
        <stp/>
        <stp>bse_cm|1150KLM26</stp>
        <stp>LTP</stp>
        <tr r="H1224" s="1"/>
      </tp>
      <tp t="s">
        <v>00:00:00</v>
        <stp/>
        <stp>bse_cm|1050KLM27</stp>
        <stp>LTT</stp>
        <tr r="I609" s="1"/>
      </tp>
      <tp>
        <v>0</v>
        <stp/>
        <stp>bse_cm|1040NFL26</stp>
        <stp>LTP</stp>
        <tr r="H1453" s="1"/>
      </tp>
      <tp>
        <v>0</v>
        <stp/>
        <stp>bse_cm|1090NFL26</stp>
        <stp>ATP</stp>
        <tr r="K364" s="1"/>
      </tp>
      <tp t="s">
        <v>00:00:00</v>
        <stp/>
        <stp>bse_cm|1150KLM26</stp>
        <stp>LTT</stp>
        <tr r="I1224" s="1"/>
      </tp>
      <tp>
        <v>0</v>
        <stp/>
        <stp>bse_cm|714NHAI26</stp>
        <stp>Volume Traded Today</stp>
        <tr r="L1662" s="1"/>
      </tp>
      <tp>
        <v>0</v>
        <stp/>
        <stp>bse_cm|704NHAI26</stp>
        <stp>Volume Traded Today</stp>
        <tr r="L1204" s="1"/>
      </tp>
      <tp>
        <v>1000</v>
        <stp/>
        <stp>nse_cm|945IFSL25-N4</stp>
        <stp>Face Value</stp>
        <tr r="Q453" s="1"/>
      </tp>
      <tp>
        <v>1014</v>
        <stp/>
        <stp>nse_cm|99AEL29-N7</stp>
        <stp>Open</stp>
        <tr r="M246" s="1"/>
      </tp>
      <tp>
        <v>1044.01</v>
        <stp/>
        <stp>bse_cm|850CIFCL26</stp>
        <stp>Bid Rate</stp>
        <tr r="E1164" s="1"/>
      </tp>
      <tp>
        <v>0</v>
        <stp/>
        <stp>bse_cm|89SCL24</stp>
        <stp>Ask Rate</stp>
        <tr r="F1153" s="1"/>
      </tp>
      <tp>
        <v>0</v>
        <stp/>
        <stp>bse_cm|98SCL34</stp>
        <stp>Ask Rate</stp>
        <tr r="F1053" s="1"/>
      </tp>
      <tp t="s">
        <v>IFCIZC25</v>
        <stp/>
        <stp>nse_cm|IFCIZC25-NM</stp>
        <stp>Symbol</stp>
        <tr r="A1765" s="1"/>
      </tp>
      <tp>
        <v>840.8</v>
        <stp/>
        <stp>bse_cm|775MFLTD28</stp>
        <stp>Bid Rate</stp>
        <tr r="E1192" s="1"/>
      </tp>
      <tp>
        <v>0</v>
        <stp/>
        <stp>nse_cm|93SCL24A-ZN</stp>
        <stp>Ask Qty</stp>
        <tr r="G695" s="1"/>
      </tp>
      <tp>
        <v>0</v>
        <stp/>
        <stp>bse_cm|921ISFL25</stp>
        <stp>Volume Traded Today</stp>
        <tr r="L350" s="1"/>
      </tp>
      <tp>
        <v>1015</v>
        <stp/>
        <stp>nse_cm|1015SCL28-NR</stp>
        <stp>Prev Close</stp>
        <tr r="P288" s="1"/>
      </tp>
      <tp>
        <v>7548</v>
        <stp/>
        <stp>nse_cm|82HUDCO27-N2</stp>
        <stp>Volume Traded Today</stp>
        <tr r="L532" s="1"/>
      </tp>
      <tp t="s">
        <v/>
        <stp/>
        <stp>nse_cm|850NHAI29-N5</stp>
        <stp>LTT</stp>
        <tr r="I512" s="1"/>
      </tp>
      <tp>
        <v>1052.8</v>
        <stp/>
        <stp>nse_cm|825IIFL25-N7</stp>
        <stp>LTP</stp>
        <tr r="H49" s="1"/>
      </tp>
      <tp>
        <v>1150.5999999999999</v>
        <stp/>
        <stp>nse_cm|850NHAI29-N5</stp>
        <stp>LTP</stp>
        <tr r="H512" s="1"/>
      </tp>
      <tp t="s">
        <v/>
        <stp/>
        <stp>nse_cm|825IIFL25-N7</stp>
        <stp>LTT</stp>
        <tr r="I49" s="1"/>
      </tp>
      <tp t="s">
        <v/>
        <stp/>
        <stp>nse_cm|925ERFL28-N6</stp>
        <stp>LTT</stp>
        <tr r="I165" s="1"/>
      </tp>
      <tp>
        <v>959</v>
        <stp/>
        <stp>nse_cm|925ERFL28-N6</stp>
        <stp>LTP</stp>
        <tr r="H165" s="1"/>
      </tp>
      <tp>
        <v>993.62</v>
        <stp/>
        <stp>nse_cm|915SCL27A-ZL</stp>
        <stp>High</stp>
        <tr r="N966" s="1"/>
      </tp>
      <tp>
        <v>0</v>
        <stp/>
        <stp>nse_cm|1003SCL31-ZQ</stp>
        <stp>Ask Rate</stp>
        <tr r="F688" s="1"/>
      </tp>
      <tp>
        <v>0</v>
        <stp/>
        <stp>nse_cm|948SCL26A-NN</stp>
        <stp>Open</stp>
        <tr r="M526" s="1"/>
      </tp>
      <tp t="s">
        <v/>
        <stp/>
        <stp>nse_cm|921ISFL25-N0</stp>
        <stp>LTT</stp>
        <tr r="I287" s="1"/>
      </tp>
      <tp>
        <v>968.36</v>
        <stp/>
        <stp>nse_cm|921ISFL25-N0</stp>
        <stp>LTP</stp>
        <tr r="H287" s="1"/>
      </tp>
      <tp>
        <v>1014.29</v>
        <stp/>
        <stp>bse_cm|99AEL29</stp>
        <stp>Ask Rate</stp>
        <tr r="F243" s="1"/>
      </tp>
      <tp t="s">
        <v/>
        <stp/>
        <stp>nse_cm|820IIFL27-N9</stp>
        <stp>LTT</stp>
        <tr r="I266" s="1"/>
      </tp>
      <tp>
        <v>930</v>
        <stp/>
        <stp>nse_cm|820IIFL27-N9</stp>
        <stp>LTP</stp>
        <tr r="H266" s="1"/>
      </tp>
      <tp>
        <v>1126</v>
        <stp/>
        <stp>nse_cm|955SCL27A-ZJ</stp>
        <stp>High</stp>
        <tr r="N1437" s="1"/>
      </tp>
      <tp t="s">
        <v>NSE</v>
        <stp/>
        <stp>nse_cm|1075SCL33-YK</stp>
        <stp>Exchange</stp>
        <tr r="C707" s="1"/>
      </tp>
      <tp>
        <v>991</v>
        <stp/>
        <stp>bse_cm|89MFL26</stp>
        <stp>Ask Rate</stp>
        <tr r="F250" s="1"/>
      </tp>
      <tp>
        <v>1035.9000000000001</v>
        <stp/>
        <stp>nse_cm|9MMFSML-N2</stp>
        <stp xml:space="preserve">Low </stp>
        <tr r="O339" s="1"/>
      </tp>
      <tp>
        <v>26</v>
        <stp/>
        <stp>bse_cm|NIDOZC26</stp>
        <stp>Bid Qty</stp>
        <tr r="D27" s="1"/>
      </tp>
      <tp t="s">
        <v>INE403Q07CN0</v>
        <stp/>
        <stp>bse_cm|KFLZC26D</stp>
        <stp>Isin code</stp>
        <tr r="R1294" s="1"/>
      </tp>
      <tp t="s">
        <v>INE403Q07CK6</v>
        <stp/>
        <stp>bse_cm|KFLZC25D</stp>
        <stp>Isin code</stp>
        <tr r="R1735" s="1"/>
      </tp>
      <tp t="s">
        <v>INE403Q07BJ0</v>
        <stp/>
        <stp>bse_cm|KFLZC24D</stp>
        <stp>Isin code</stp>
        <tr r="R1296" s="1"/>
      </tp>
      <tp t="s">
        <v>BSE</v>
        <stp/>
        <stp>bse_cm|975MVAFL25</stp>
        <stp>Exchange</stp>
        <tr r="C458" s="1"/>
      </tp>
      <tp>
        <v>960</v>
        <stp/>
        <stp>nse_cm|925SCL26D-ZD</stp>
        <stp>High</stp>
        <tr r="N1448" s="1"/>
      </tp>
      <tp>
        <v>7</v>
        <stp/>
        <stp>bse_cm|CIFCZC25</stp>
        <stp>Bid Qty</stp>
        <tr r="D1436" s="1"/>
      </tp>
      <tp>
        <v>7</v>
        <stp/>
        <stp>bse_cm|IIFLZC28</stp>
        <stp>Bid Qty</stp>
        <tr r="D1660" s="1"/>
      </tp>
      <tp>
        <v>25</v>
        <stp/>
        <stp>bse_cm|CIFCZC26</stp>
        <stp>Bid Qty</stp>
        <tr r="D738" s="1"/>
      </tp>
      <tp>
        <v>28</v>
        <stp/>
        <stp>bse_cm|IIFLZC26</stp>
        <stp>Bid Qty</stp>
        <tr r="D1236" s="1"/>
      </tp>
      <tp>
        <v>12</v>
        <stp/>
        <stp>bse_cm|CIFCZC28</stp>
        <stp>Bid Qty</stp>
        <tr r="D736" s="1"/>
      </tp>
      <tp>
        <v>50</v>
        <stp/>
        <stp>bse_cm|IIFLZC25</stp>
        <stp>Bid Qty</stp>
        <tr r="D1743" s="1"/>
      </tp>
      <tp>
        <v>1000</v>
        <stp/>
        <stp>nse_cm|1025NFL25-N5</stp>
        <stp>Face Value</stp>
        <tr r="Q1488" s="1"/>
      </tp>
      <tp>
        <v>1000</v>
        <stp/>
        <stp>nse_cm|1075NFL25-N6</stp>
        <stp>Face Value</stp>
        <tr r="Q1438" s="1"/>
      </tp>
      <tp>
        <v>0</v>
        <stp/>
        <stp>bse_cm|MFLTDVII27</stp>
        <stp>Open</stp>
        <tr r="M1562" s="1"/>
      </tp>
      <tp>
        <v>0</v>
        <stp/>
        <stp>nse_cm|925SCL26C-ZA</stp>
        <stp>High</stp>
        <tr r="N724" s="1"/>
      </tp>
      <tp>
        <v>1000</v>
        <stp/>
        <stp>nse_cm|925SFCL25-AC</stp>
        <stp>Face Value</stp>
        <tr r="Q604" s="1"/>
      </tp>
      <tp>
        <v>1000.8</v>
        <stp/>
        <stp>bse_cm|MFLV26E</stp>
        <stp>High</stp>
        <tr r="N352" s="1"/>
      </tp>
      <tp>
        <v>0</v>
        <stp/>
        <stp>bse_cm|79IGT28</stp>
        <stp>Ask Rate</stp>
        <tr r="F1183" s="1"/>
      </tp>
      <tp>
        <v>0</v>
        <stp/>
        <stp>nse_cm|97SFL26A-NC</stp>
        <stp>Ask Qty</stp>
        <tr r="G784" s="1"/>
      </tp>
      <tp t="s">
        <v>INE414G07EC7</v>
        <stp/>
        <stp>bse_cm|MFLZC27D</stp>
        <stp>Isin code</stp>
        <tr r="R1700" s="1"/>
      </tp>
      <tp t="s">
        <v>INE549K07AO5</v>
        <stp/>
        <stp>bse_cm|MFLZC26D</stp>
        <stp>Isin code</stp>
        <tr r="R1440" s="1"/>
      </tp>
      <tp t="s">
        <v>INE549K07881</v>
        <stp/>
        <stp>bse_cm|MFLZC25D</stp>
        <stp>Isin code</stp>
        <tr r="R1520" s="1"/>
      </tp>
      <tp t="s">
        <v>INE414G07EF0</v>
        <stp/>
        <stp>bse_cm|MFLZC24D</stp>
        <stp>Isin code</stp>
        <tr r="R1550" s="1"/>
      </tp>
      <tp>
        <v>0</v>
        <stp/>
        <stp>nse_cm|925SCFL25-AD</stp>
        <stp>LTP</stp>
        <tr r="H773" s="1"/>
      </tp>
      <tp t="s">
        <v/>
        <stp/>
        <stp>nse_cm|925SCFL25-AD</stp>
        <stp>LTT</stp>
        <tr r="I773" s="1"/>
      </tp>
      <tp>
        <v>10</v>
        <stp/>
        <stp>nse_cm|96SFL24A-NB</stp>
        <stp>Ask Qty</stp>
        <tr r="G162" s="1"/>
      </tp>
      <tp>
        <v>950</v>
        <stp/>
        <stp>nse_cm|925SCL29A-ZM</stp>
        <stp>High</stp>
        <tr r="N1352" s="1"/>
      </tp>
      <tp>
        <v>1010</v>
        <stp/>
        <stp>nse_cm|965SCL26A-ZB</stp>
        <stp>High</stp>
        <tr r="N135" s="1"/>
      </tp>
      <tp>
        <v>0</v>
        <stp/>
        <stp>nse_cm|888SCL25D-NC</stp>
        <stp>Open</stp>
        <tr r="M916" s="1"/>
      </tp>
      <tp>
        <v>0</v>
        <stp/>
        <stp>nse_cm|9ICCL23A-N0</stp>
        <stp>Ask Qty</stp>
        <tr r="G657" s="1"/>
      </tp>
      <tp>
        <v>-100</v>
        <stp/>
        <stp>bse_cm|SCLZC26A</stp>
        <stp>% Change</stp>
        <tr r="J1343" s="1"/>
      </tp>
      <tp>
        <v>-100</v>
        <stp/>
        <stp>bse_cm|SFLZC26A</stp>
        <stp>% Change</stp>
        <tr r="J1713" s="1"/>
      </tp>
      <tp>
        <v>-100</v>
        <stp/>
        <stp>bse_cm|MFLZC26A</stp>
        <stp>% Change</stp>
        <tr r="J1715" s="1"/>
      </tp>
      <tp>
        <v>-100</v>
        <stp/>
        <stp>bse_cm|KFLZC26A</stp>
        <stp>% Change</stp>
        <tr r="J1442" s="1"/>
      </tp>
      <tp t="s">
        <v>85IIFL25</v>
        <stp/>
        <stp>nse_cm|85IIFL25-NO</stp>
        <stp>Symbol</stp>
        <tr r="A110" s="1"/>
      </tp>
      <tp t="s">
        <v>835IFL25</v>
        <stp/>
        <stp>nse_cm|835IFL25-NV</stp>
        <stp>Symbol</stp>
        <tr r="A98" s="1"/>
      </tp>
      <tp>
        <v>290</v>
        <stp/>
        <stp>nse_cm|9IIFL28A-NT</stp>
        <stp>Ask Qty</stp>
        <tr r="G80" s="1"/>
      </tp>
      <tp>
        <v>0</v>
        <stp/>
        <stp>nse_cm|925SFCL25-AC</stp>
        <stp>Volume Traded Today</stp>
        <tr r="L604" s="1"/>
      </tp>
      <tp>
        <v>-100</v>
        <stp/>
        <stp>bse_cm|SCLZC26C</stp>
        <stp>% Change</stp>
        <tr r="J1399" s="1"/>
      </tp>
      <tp>
        <v>-100</v>
        <stp/>
        <stp>bse_cm|MFLZC26C</stp>
        <stp>% Change</stp>
        <tr r="J1350" s="1"/>
      </tp>
      <tp>
        <v>-100</v>
        <stp/>
        <stp>bse_cm|KFLZC26C</stp>
        <stp>% Change</stp>
        <tr r="J1744" s="1"/>
      </tp>
      <tp>
        <v>0</v>
        <stp/>
        <stp>nse_cm|888SCL25D-NC</stp>
        <stp>LTP</stp>
        <tr r="H916" s="1"/>
      </tp>
      <tp t="s">
        <v/>
        <stp/>
        <stp>nse_cm|888SCL25D-NC</stp>
        <stp>LTT</stp>
        <tr r="I916" s="1"/>
      </tp>
      <tp>
        <v>-100</v>
        <stp/>
        <stp>bse_cm|SCLZC26B</stp>
        <stp>% Change</stp>
        <tr r="J992" s="1"/>
      </tp>
      <tp>
        <v>0</v>
        <stp/>
        <stp>nse_cm|843SCFL27-YB</stp>
        <stp>Ask Rate</stp>
        <tr r="F929" s="1"/>
      </tp>
      <tp>
        <v>-100</v>
        <stp/>
        <stp>bse_cm|MFLZC26B</stp>
        <stp>% Change</stp>
        <tr r="J1272" s="1"/>
      </tp>
      <tp>
        <v>-100</v>
        <stp/>
        <stp>bse_cm|KFLZC26B</stp>
        <stp>% Change</stp>
        <tr r="J1711" s="1"/>
      </tp>
      <tp t="s">
        <v/>
        <stp/>
        <stp>nse_cm|888SCL25E-N4</stp>
        <stp>LTT</stp>
        <tr r="I1444" s="1"/>
      </tp>
      <tp>
        <v>875</v>
        <stp/>
        <stp>nse_cm|888SCL25E-N4</stp>
        <stp>LTP</stp>
        <tr r="H1444" s="1"/>
      </tp>
      <tp>
        <v>20</v>
        <stp/>
        <stp>nse_cm|10NIDO26-N6</stp>
        <stp>Ask Qty</stp>
        <tr r="G66" s="1"/>
      </tp>
      <tp>
        <v>0</v>
        <stp/>
        <stp>nse_cm|950SCL23A-AP</stp>
        <stp>ATP</stp>
        <tr r="K1145" s="1"/>
      </tp>
      <tp>
        <v>-100</v>
        <stp/>
        <stp>bse_cm|SCLZC26E</stp>
        <stp>% Change</stp>
        <tr r="J900" s="1"/>
      </tp>
      <tp>
        <v>-100</v>
        <stp/>
        <stp>bse_cm|MFLZC26E</stp>
        <stp>% Change</stp>
        <tr r="J1651" s="1"/>
      </tp>
      <tp>
        <v>-100</v>
        <stp/>
        <stp>bse_cm|KFLZC26E</stp>
        <stp>% Change</stp>
        <tr r="J1293" s="1"/>
      </tp>
      <tp>
        <v>-100</v>
        <stp/>
        <stp>bse_cm|SCLZC26D</stp>
        <stp>% Change</stp>
        <tr r="J705" s="1"/>
      </tp>
      <tp>
        <v>-100</v>
        <stp/>
        <stp>bse_cm|MFLZC26D</stp>
        <stp>% Change</stp>
        <tr r="J1440" s="1"/>
      </tp>
      <tp>
        <v>-100</v>
        <stp/>
        <stp>bse_cm|KFLZC26D</stp>
        <stp>% Change</stp>
        <tr r="J1294" s="1"/>
      </tp>
      <tp>
        <v>-100</v>
        <stp/>
        <stp>bse_cm|SCLZC26G</stp>
        <stp>% Change</stp>
        <tr r="J799" s="1"/>
      </tp>
      <tp>
        <v>-100</v>
        <stp/>
        <stp>bse_cm|SCLZC26F</stp>
        <stp>% Change</stp>
        <tr r="J898" s="1"/>
      </tp>
      <tp>
        <v>830</v>
        <stp/>
        <stp>nse_cm|865SCL24B-Z8</stp>
        <stp>High</stp>
        <tr r="N952" s="1"/>
      </tp>
      <tp>
        <v>0</v>
        <stp/>
        <stp>nse_cm|888SCL25E-N4</stp>
        <stp>Open</stp>
        <tr r="M1444" s="1"/>
      </tp>
      <tp>
        <v>100</v>
        <stp/>
        <stp>nse_cm|738REC27TF-N2</stp>
        <stp>Bid Qty</stp>
        <tr r="D514" s="1"/>
      </tp>
      <tp>
        <v>-100</v>
        <stp/>
        <stp>bse_cm|SCLZC26H</stp>
        <stp>% Change</stp>
        <tr r="J814" s="1"/>
      </tp>
      <tp>
        <v>900</v>
        <stp/>
        <stp>nse_cm|980SCL33C-ND</stp>
        <stp>LTP</stp>
        <tr r="H1385" s="1"/>
      </tp>
      <tp t="s">
        <v/>
        <stp/>
        <stp>nse_cm|980SCL33C-ND</stp>
        <stp>LTT</stp>
        <tr r="I1385" s="1"/>
      </tp>
      <tp>
        <v>0</v>
        <stp/>
        <stp>bse_cm|889SCFL27</stp>
        <stp>ATP</stp>
        <tr r="K484" s="1"/>
      </tp>
      <tp t="s">
        <v/>
        <stp/>
        <stp>nse_cm|980SCL33A-N3</stp>
        <stp>LTT</stp>
        <tr r="I1055" s="1"/>
      </tp>
      <tp>
        <v>0</v>
        <stp/>
        <stp>nse_cm|980SCL33A-N3</stp>
        <stp>LTP</stp>
        <tr r="H1055" s="1"/>
      </tp>
      <tp>
        <v>0</v>
        <stp/>
        <stp>nse_cm|850SCL25A-NW</stp>
        <stp>ATP</stp>
        <tr r="K984" s="1"/>
      </tp>
      <tp>
        <v>0</v>
        <stp/>
        <stp>nse_cm|960CAGL25-N3</stp>
        <stp>Volume Traded Today</stp>
        <tr r="L305" s="1"/>
      </tp>
      <tp>
        <v>0</v>
        <stp/>
        <stp>bse_cm|689RECL24</stp>
        <stp>ATP</stp>
        <tr r="K1206" s="1"/>
      </tp>
      <tp>
        <v>0</v>
        <stp/>
        <stp>nse_cm|888SCL25A-AQ</stp>
        <stp>LTP</stp>
        <tr r="H910" s="1"/>
      </tp>
      <tp t="s">
        <v/>
        <stp/>
        <stp>nse_cm|888SCL25A-AQ</stp>
        <stp>LTT</stp>
        <tr r="I910" s="1"/>
      </tp>
      <tp>
        <v>0</v>
        <stp/>
        <stp>nse_cm|875IHFL29-ND</stp>
        <stp>Volume Traded Today</stp>
        <tr r="L77" s="1"/>
      </tp>
      <tp>
        <v>0</v>
        <stp/>
        <stp>nse_cm|875IIFL26-NM</stp>
        <stp>Volume Traded Today</stp>
        <tr r="L640" s="1"/>
      </tp>
      <tp>
        <v>0</v>
        <stp/>
        <stp>nse_cm|957NIDO26-N5</stp>
        <stp>Volume Traded Today</stp>
        <tr r="L255" s="1"/>
      </tp>
      <tp t="s">
        <v>00:00:00</v>
        <stp/>
        <stp>bse_cm|984IFSL26</stp>
        <stp>LTT</stp>
        <tr r="I457" s="1"/>
      </tp>
      <tp>
        <v>-100</v>
        <stp/>
        <stp>bse_cm|MFLII26B</stp>
        <stp>% Change</stp>
        <tr r="J1454" s="1"/>
      </tp>
      <tp>
        <v>0</v>
        <stp/>
        <stp>bse_cm|984IFSL26</stp>
        <stp>LTP</stp>
        <tr r="H457" s="1"/>
      </tp>
      <tp>
        <v>0</v>
        <stp/>
        <stp>bse_cm|1015MML25</stp>
        <stp>Volume Traded Today</stp>
        <tr r="L1103" s="1"/>
      </tp>
      <tp>
        <v>274</v>
        <stp/>
        <stp>bse_cm|1015ECL29</stp>
        <stp>Volume Traded Today</stp>
        <tr r="L210" s="1"/>
      </tp>
      <tp>
        <v>0</v>
        <stp/>
        <stp>bse_cm|1015SCL28</stp>
        <stp>Volume Traded Today</stp>
        <tr r="L327" s="1"/>
      </tp>
      <tp>
        <v>0</v>
        <stp/>
        <stp>bse_cm|1015SCL29</stp>
        <stp>Volume Traded Today</stp>
        <tr r="L1177" s="1"/>
      </tp>
      <tp>
        <v>0</v>
        <stp/>
        <stp>nse_cm|888SCL25B-Y2</stp>
        <stp>LTP</stp>
        <tr r="H789" s="1"/>
      </tp>
      <tp t="s">
        <v/>
        <stp/>
        <stp>nse_cm|888SCL25B-Y2</stp>
        <stp>LTT</stp>
        <tr r="I789" s="1"/>
      </tp>
      <tp>
        <v>0</v>
        <stp/>
        <stp>bse_cm|0MML27524</stp>
        <stp>LTP</stp>
        <tr r="H1042" s="1"/>
      </tp>
      <tp t="s">
        <v>00:00:00</v>
        <stp/>
        <stp>bse_cm|0MML27524</stp>
        <stp>LTT</stp>
        <tr r="I1042" s="1"/>
      </tp>
      <tp>
        <v>0</v>
        <stp/>
        <stp>nse_cm|888SCL26A-ZC</stp>
        <stp>LTP</stp>
        <tr r="H839" s="1"/>
      </tp>
      <tp t="s">
        <v/>
        <stp/>
        <stp>nse_cm|888SCL26A-ZC</stp>
        <stp>LTT</stp>
        <tr r="I839" s="1"/>
      </tp>
      <tp t="s">
        <v>00:00:00</v>
        <stp/>
        <stp>bse_cm|967NIDO28</stp>
        <stp>LTT</stp>
        <tr r="I227" s="1"/>
      </tp>
      <tp>
        <v>0</v>
        <stp/>
        <stp>bse_cm|967NIDO28</stp>
        <stp>LTP</stp>
        <tr r="H227" s="1"/>
      </tp>
      <tp>
        <v>0</v>
        <stp/>
        <stp>bse_cm|957NIDO26</stp>
        <stp>LTP</stp>
        <tr r="H329" s="1"/>
      </tp>
      <tp t="s">
        <v>00:00:00</v>
        <stp/>
        <stp>bse_cm|957NIDO26</stp>
        <stp>LTT</stp>
        <tr r="I329" s="1"/>
      </tp>
      <tp t="s">
        <v>NSE</v>
        <stp/>
        <stp>nse_cm|957ICCL25-YW</stp>
        <stp>Exchange</stp>
        <tr r="C386" s="1"/>
      </tp>
      <tp>
        <v>0</v>
        <stp/>
        <stp>nse_cm|875SCFL27-Y9</stp>
        <stp>Volume Traded Today</stp>
        <tr r="L927" s="1"/>
      </tp>
      <tp>
        <v>0</v>
        <stp/>
        <stp>nse_cm|955SCL27A-ZJ</stp>
        <stp>ATP</stp>
        <tr r="K1437" s="1"/>
      </tp>
      <tp>
        <v>960</v>
        <stp/>
        <stp>nse_cm|990SCL26B-Y7</stp>
        <stp xml:space="preserve">Low </stp>
        <tr r="O798" s="1"/>
      </tp>
      <tp>
        <v>0</v>
        <stp/>
        <stp>nse_cm|940SCL26B-Y6</stp>
        <stp xml:space="preserve">Low </stp>
        <tr r="O795" s="1"/>
      </tp>
      <tp>
        <v>0</v>
        <stp/>
        <stp>bse_cm|939EFSL26</stp>
        <stp>ATP</stp>
        <tr r="K188" s="1"/>
      </tp>
      <tp>
        <v>-100</v>
        <stp/>
        <stp>bse_cm|94MFL27A</stp>
        <stp>% Change</stp>
        <tr r="J420" s="1"/>
      </tp>
      <tp>
        <v>0</v>
        <stp/>
        <stp>nse_cm|980SCL33B-YL</stp>
        <stp>LTP</stp>
        <tr r="H837" s="1"/>
      </tp>
      <tp t="s">
        <v/>
        <stp/>
        <stp>nse_cm|980SCL33B-YL</stp>
        <stp>LTT</stp>
        <tr r="I837" s="1"/>
      </tp>
      <tp>
        <v>930</v>
        <stp/>
        <stp>nse_cm|980SCL33D-YG</stp>
        <stp>LTP</stp>
        <tr r="H830" s="1"/>
      </tp>
      <tp>
        <v>3</v>
        <stp/>
        <stp>nse_cm|10CAGL27-N5</stp>
        <stp>Bid Qty</stp>
        <tr r="D273" s="1"/>
      </tp>
      <tp t="s">
        <v/>
        <stp/>
        <stp>nse_cm|980SCL33D-YG</stp>
        <stp>LTT</stp>
        <tr r="I830" s="1"/>
      </tp>
      <tp>
        <v>1039.99</v>
        <stp/>
        <stp>nse_cm|82IGT31-NJ</stp>
        <stp>High</stp>
        <tr r="N375" s="1"/>
      </tp>
      <tp>
        <v>0</v>
        <stp/>
        <stp>bse_cm|1119NFL27</stp>
        <stp>Volume Traded Today</stp>
        <tr r="L1140" s="1"/>
      </tp>
      <tp>
        <v>0</v>
        <stp/>
        <stp>nse_cm|93SCL24A-ZN</stp>
        <stp>% Change</stp>
        <tr r="J695" s="1"/>
      </tp>
      <tp>
        <v>851</v>
        <stp/>
        <stp>bse_cm|EFSL26724A</stp>
        <stp>Bid Rate</stp>
        <tr r="E1468" s="1"/>
      </tp>
      <tp t="s">
        <v>INE721A07PP6</v>
        <stp/>
        <stp>nse_cm|SFLZC25A-ZK</stp>
        <stp>Isin code</stp>
        <tr r="R1582" s="1"/>
      </tp>
      <tp t="s">
        <v>915SCL27A</v>
        <stp/>
        <stp>bse_cm|915SCL27A</stp>
        <stp>Symbol</stp>
        <tr r="A951" s="1"/>
      </tp>
      <tp>
        <v>990.11</v>
        <stp/>
        <stp>bse_cm|95CCIL24A</stp>
        <stp xml:space="preserve">Low </stp>
        <tr r="O873" s="1"/>
      </tp>
      <tp>
        <v>0</v>
        <stp/>
        <stp>bse_cm|10KAFL26A</stp>
        <stp xml:space="preserve">Low </stp>
        <tr r="O1095" s="1"/>
      </tp>
      <tp>
        <v>975</v>
        <stp/>
        <stp>bse_cm|10KAFL26B</stp>
        <stp xml:space="preserve">Low </stp>
        <tr r="O1094" s="1"/>
      </tp>
      <tp t="s">
        <v>IIFLHFZC27</v>
        <stp/>
        <stp>bse_cm|IIFLHFZC27</stp>
        <stp>Trading Symbol</stp>
        <tr r="B1516" s="1"/>
      </tp>
      <tp>
        <v>947.2</v>
        <stp/>
        <stp>bse_cm|97EFSL31A</stp>
        <stp xml:space="preserve">Low </stp>
        <tr r="O598" s="1"/>
      </tp>
      <tp>
        <v>899.8</v>
        <stp/>
        <stp>bse_cm|93EFSL31A</stp>
        <stp xml:space="preserve">Low </stp>
        <tr r="O85" s="1"/>
      </tp>
      <tp>
        <v>9</v>
        <stp/>
        <stp>bse_cm|1049DLS25A</stp>
        <stp>Bid Qty</stp>
        <tr r="D119" s="1"/>
      </tp>
      <tp>
        <v>943</v>
        <stp/>
        <stp>bse_cm|96IIFL28A</stp>
        <stp>High</stp>
        <tr r="N88" s="1"/>
      </tp>
      <tp>
        <v>0</v>
        <stp/>
        <stp>nse_cm|SCL24A-ZS</stp>
        <stp>Open</stp>
        <tr r="M1751" s="1"/>
      </tp>
      <tp>
        <v>33</v>
        <stp/>
        <stp>bse_cm|753IREDA26</stp>
        <stp>Ask Qty</stp>
        <tr r="G487" s="1"/>
      </tp>
      <tp>
        <v>0</v>
        <stp/>
        <stp>bse_cm|728IREDA26</stp>
        <stp>Ask Qty</stp>
        <tr r="G1203" s="1"/>
      </tp>
      <tp t="s">
        <v>10SCL31A</v>
        <stp/>
        <stp>bse_cm|10SCL31A</stp>
        <stp>Trading Symbol</stp>
        <tr r="B865" s="1"/>
      </tp>
      <tp t="s">
        <v>10SCL30A</v>
        <stp/>
        <stp>bse_cm|10SCL30A</stp>
        <stp>Trading Symbol</stp>
        <tr r="B444" s="1"/>
      </tp>
      <tp>
        <v>981.8</v>
        <stp/>
        <stp>bse_cm|10IIFL28A</stp>
        <stp>High</stp>
        <tr r="N101" s="1"/>
      </tp>
      <tp t="s">
        <v>10MFL24B</v>
        <stp/>
        <stp>bse_cm|10MFL24B</stp>
        <stp>Trading Symbol</stp>
        <tr r="B185" s="1"/>
      </tp>
      <tp t="s">
        <v>10KFL24D</v>
        <stp/>
        <stp>bse_cm|10KFL24D</stp>
        <stp>Trading Symbol</stp>
        <tr r="B1424" s="1"/>
      </tp>
      <tp t="s">
        <v>10KFL27A</v>
        <stp/>
        <stp>bse_cm|10KFL27A</stp>
        <stp>Trading Symbol</stp>
        <tr r="B1092" s="1"/>
      </tp>
      <tp>
        <v>100</v>
        <stp/>
        <stp>bse_cm|768IREDA36</stp>
        <stp>Ask Qty</stp>
        <tr r="G543" s="1"/>
      </tp>
      <tp t="s">
        <v>10KFL28A</v>
        <stp/>
        <stp>bse_cm|10KFL28A</stp>
        <stp>Trading Symbol</stp>
        <tr r="B1423" s="1"/>
      </tp>
      <tp>
        <v>0</v>
        <stp/>
        <stp>bse_cm|743IREDA36</stp>
        <stp>Ask Qty</stp>
        <tr r="G1441" s="1"/>
      </tp>
      <tp>
        <v>70</v>
        <stp/>
        <stp>bse_cm|749IREDA31</stp>
        <stp>Ask Qty</stp>
        <tr r="G568" s="1"/>
      </tp>
      <tp>
        <v>50</v>
        <stp/>
        <stp>bse_cm|774IREDA31</stp>
        <stp>Ask Qty</stp>
        <tr r="G17" s="1"/>
      </tp>
      <tp t="s">
        <v>12IML26A</v>
        <stp/>
        <stp>bse_cm|12IML26A</stp>
        <stp>Trading Symbol</stp>
        <tr r="B1212" s="1"/>
      </tp>
      <tp>
        <v>1022</v>
        <stp/>
        <stp>bse_cm|MFCL30424</stp>
        <stp>High</stp>
        <tr r="N1606" s="1"/>
      </tp>
      <tp t="s">
        <v>1025SCL34A-ZT</v>
        <stp/>
        <stp>nse_cm|1025SCL34A-ZT</stp>
        <stp>Trading Symbol</stp>
        <tr r="B171" s="1"/>
      </tp>
      <tp t="s">
        <v>1025SCL33A-N1</v>
        <stp/>
        <stp>nse_cm|1025SCL33A-N1</stp>
        <stp>Trading Symbol</stp>
        <tr r="B834" s="1"/>
      </tp>
      <tp t="s">
        <v>1015SCL28A-AL</v>
        <stp/>
        <stp>nse_cm|1015SCL28A-AL</stp>
        <stp>Trading Symbol</stp>
        <tr r="B1443" s="1"/>
      </tp>
      <tp>
        <v>980</v>
        <stp/>
        <stp>bse_cm|MFCL16924</stp>
        <stp>High</stp>
        <tr r="N579" s="1"/>
      </tp>
      <tp t="s">
        <v>INE121A07RT7</v>
        <stp/>
        <stp>nse_cm|85CIFC27-NL</stp>
        <stp>Isin code</stp>
        <tr r="R973" s="1"/>
      </tp>
      <tp t="s">
        <v>10MFCL30</v>
        <stp/>
        <stp>bse_cm|10MFCL30</stp>
        <stp>Trading Symbol</stp>
        <tr r="B1091" s="1"/>
      </tp>
      <tp t="s">
        <v>1003SCL30A-NV</v>
        <stp/>
        <stp>nse_cm|1003SCL30A-NV</stp>
        <stp>Trading Symbol</stp>
        <tr r="B728" s="1"/>
      </tp>
      <tp>
        <v>0</v>
        <stp/>
        <stp>bse_cm|IFL19424A</stp>
        <stp>Ask Rate</stp>
        <tr r="F1419" s="1"/>
      </tp>
      <tp t="s">
        <v>104ECL24</v>
        <stp/>
        <stp>bse_cm|104ECL24</stp>
        <stp>Trading Symbol</stp>
        <tr r="B38" s="1"/>
      </tp>
      <tp t="s">
        <v>104ECL29</v>
        <stp/>
        <stp>bse_cm|104ECL29</stp>
        <stp>Trading Symbol</stp>
        <tr r="B149" s="1"/>
      </tp>
      <tp t="s">
        <v>INE741K07454</v>
        <stp/>
        <stp>nse_cm|CAGL24-N2</stp>
        <stp>Isin code</stp>
        <tr r="R1762" s="1"/>
      </tp>
      <tp t="s">
        <v>1075SCL33A-N2</v>
        <stp/>
        <stp>nse_cm|1075SCL33A-N2</stp>
        <stp>Trading Symbol</stp>
        <tr r="B630" s="1"/>
      </tp>
      <tp t="s">
        <v>INE01I507794</v>
        <stp/>
        <stp>bse_cm|950KLMF26</stp>
        <stp>Isin code</stp>
        <tr r="R278" s="1"/>
      </tp>
      <tp>
        <v>989</v>
        <stp/>
        <stp>bse_cm|955MFCL30</stp>
        <stp>High</stp>
        <tr r="N1130" s="1"/>
      </tp>
      <tp>
        <v>989</v>
        <stp/>
        <stp>bse_cm|965MFCL30</stp>
        <stp>High</stp>
        <tr r="N225" s="1"/>
      </tp>
      <tp t="s">
        <v>SCL310524A-ZK</v>
        <stp/>
        <stp>nse_cm|SCL310524A-ZK</stp>
        <stp>Trading Symbol</stp>
        <tr r="B1445" s="1"/>
      </tp>
      <tp t="s">
        <v>743REC35</v>
        <stp/>
        <stp>bse_cm|743REC35</stp>
        <stp>Trading Symbol</stp>
        <tr r="B513" s="1"/>
      </tp>
      <tp>
        <v>1369.5</v>
        <stp/>
        <stp>bse_cm|MMFLZC24D</stp>
        <stp xml:space="preserve">Low </stp>
        <tr r="O1265" s="1"/>
      </tp>
      <tp t="s">
        <v>INE027E07998</v>
        <stp/>
        <stp>nse_cm|898LTF29-N7</stp>
        <stp>Isin code</stp>
        <tr r="R385" s="1"/>
      </tp>
      <tp>
        <v>920</v>
        <stp/>
        <stp>bse_cm|EFSL26724</stp>
        <stp>High</stp>
        <tr r="N1336" s="1"/>
      </tp>
      <tp t="s">
        <v>866IIFC34B-N3</v>
        <stp/>
        <stp>nse_cm|866IIFC34B-N3</stp>
        <stp>Trading Symbol</stp>
        <tr r="B25" s="1"/>
      </tp>
      <tp t="s">
        <v>INE403Q07EU1</v>
        <stp/>
        <stp>bse_cm|1025KFL29</stp>
        <stp>Isin code</stp>
        <tr r="R196" s="1"/>
      </tp>
      <tp>
        <v>0</v>
        <stp/>
        <stp>bse_cm|MML11924B</stp>
        <stp>Ask Rate</stp>
        <tr r="F1255" s="1"/>
      </tp>
      <tp t="s">
        <v>709REC30</v>
        <stp/>
        <stp>bse_cm|709REC30</stp>
        <stp>Trading Symbol</stp>
        <tr r="B564" s="1"/>
      </tp>
      <tp>
        <v>970</v>
        <stp/>
        <stp>bse_cm|CCIL14824</stp>
        <stp>High</stp>
        <tr r="N753" s="1"/>
      </tp>
      <tp t="s">
        <v>93ARKA26</v>
        <stp/>
        <stp>bse_cm|93ARKA26</stp>
        <stp>Trading Symbol</stp>
        <tr r="B981" s="1"/>
      </tp>
      <tp t="s">
        <v>93ARKA25</v>
        <stp/>
        <stp>bse_cm|93ARKA25</stp>
        <stp>Trading Symbol</stp>
        <tr r="B1395" s="1"/>
      </tp>
      <tp t="s">
        <v>INE532F07FQ5</v>
        <stp/>
        <stp>bse_cm|EFSL26724</stp>
        <stp>Isin code</stp>
        <tr r="R1336" s="1"/>
      </tp>
      <tp>
        <v>1176</v>
        <stp/>
        <stp>bse_cm|MML11924C</stp>
        <stp>Ask Rate</stp>
        <tr r="F1623" s="1"/>
      </tp>
      <tp t="s">
        <v>718REC35</v>
        <stp/>
        <stp>bse_cm|718REC35</stp>
        <stp>Trading Symbol</stp>
        <tr r="B549" s="1"/>
      </tp>
      <tp t="s">
        <v>714REC25</v>
        <stp/>
        <stp>bse_cm|714REC25</stp>
        <stp>Trading Symbol</stp>
        <tr r="B518" s="1"/>
      </tp>
      <tp>
        <v>1900</v>
        <stp/>
        <stp>bse_cm|805MMFS32</stp>
        <stp>High</stp>
        <tr r="N1763" s="1"/>
      </tp>
      <tp>
        <v>0</v>
        <stp/>
        <stp>bse_cm|MML11924A</stp>
        <stp>Ask Rate</stp>
        <tr r="F1256" s="1"/>
      </tp>
      <tp t="s">
        <v>734REC30</v>
        <stp/>
        <stp>bse_cm|734REC30</stp>
        <stp>Trading Symbol</stp>
        <tr r="B524" s="1"/>
      </tp>
      <tp t="s">
        <v>843SCFL27</v>
        <stp/>
        <stp>bse_cm|843SCFL27</stp>
        <stp>Symbol</stp>
        <tr r="A1074" s="1"/>
      </tp>
      <tp t="s">
        <v>843IHFL29</v>
        <stp/>
        <stp>bse_cm|843IHFL29</stp>
        <stp>Symbol</stp>
        <tr r="A139" s="1"/>
      </tp>
      <tp t="s">
        <v>960NIDO26</v>
        <stp/>
        <stp>bse_cm|960NIDO26</stp>
        <stp>Symbol</stp>
        <tr r="A870" s="1"/>
      </tp>
      <tp>
        <v>999.9</v>
        <stp/>
        <stp>bse_cm|948JFPL25</stp>
        <stp xml:space="preserve">Low </stp>
        <tr r="O490" s="1"/>
      </tp>
      <tp t="s">
        <v>842IIFL26</v>
        <stp/>
        <stp>bse_cm|842IIFL26</stp>
        <stp>Symbol</stp>
        <tr r="A181" s="1"/>
      </tp>
      <tp t="s">
        <v>IFL19424A</v>
        <stp/>
        <stp>bse_cm|IFL19424A</stp>
        <stp>Symbol</stp>
        <tr r="A1419" s="1"/>
      </tp>
      <tp t="s">
        <v>735NHAI31</v>
        <stp/>
        <stp>bse_cm|735NHAI31</stp>
        <stp>Symbol</stp>
        <tr r="A565" s="1"/>
      </tp>
      <tp t="s">
        <v>1125CCI27</v>
        <stp/>
        <stp>bse_cm|1125CCI27</stp>
        <stp>Symbol</stp>
        <tr r="A1229" s="1"/>
      </tp>
      <tp t="s">
        <v>INE511C07706</v>
        <stp/>
        <stp>nse_cm|829PFL29-N6</stp>
        <stp>Isin code</stp>
        <tr r="R1451" s="1"/>
      </tp>
      <tp t="s">
        <v>715PFCL36</v>
        <stp/>
        <stp>bse_cm|715PFCL36</stp>
        <stp>Symbol</stp>
        <tr r="A437" s="1"/>
      </tp>
      <tp t="s">
        <v>915MFCL27</v>
        <stp/>
        <stp>bse_cm|915MFCL27</stp>
        <stp>Symbol</stp>
        <tr r="A1472" s="1"/>
      </tp>
      <tp t="s">
        <v>967NIDO28</v>
        <stp/>
        <stp>bse_cm|967NIDO28</stp>
        <stp>Symbol</stp>
        <tr r="A227" s="1"/>
      </tp>
      <tp>
        <v>0</v>
        <stp/>
        <stp>bse_cm|MFLV29</stp>
        <stp>ATP</stp>
        <tr r="K361" s="1"/>
      </tp>
      <tp>
        <v>0</v>
        <stp/>
        <stp>bse_cm|MFLV27</stp>
        <stp>ATP</stp>
        <tr r="K1508" s="1"/>
      </tp>
      <tp t="s">
        <v>840IRFC29</v>
        <stp/>
        <stp>bse_cm|840IRFC29</stp>
        <stp>Symbol</stp>
        <tr r="A1634" s="1"/>
      </tp>
      <tp t="s">
        <v>739NHAI26</v>
        <stp/>
        <stp>bse_cm|739NHAI26</stp>
        <stp>Symbol</stp>
        <tr r="A442" s="1"/>
      </tp>
      <tp>
        <v>836</v>
        <stp/>
        <stp>bse_cm|875KFL2025</stp>
        <stp>Bid Rate</stp>
        <tr r="E1158" s="1"/>
      </tp>
      <tp>
        <v>1038.74</v>
        <stp/>
        <stp>nse_cm|1119NFL27-ND</stp>
        <stp>Bid Rate</stp>
        <tr r="E337" s="1"/>
      </tp>
      <tp>
        <v>846</v>
        <stp/>
        <stp>bse_cm|NIDO010326</stp>
        <stp>Bid Rate</stp>
        <tr r="E1248" s="1"/>
      </tp>
      <tp>
        <v>0</v>
        <stp/>
        <stp>bse_cm|SFL2722024</stp>
        <stp>Ask Rate</stp>
        <tr r="F806" s="1"/>
      </tp>
      <tp>
        <v>1365.9</v>
        <stp/>
        <stp>bse_cm|749IREDA31</stp>
        <stp>Ask Rate</stp>
        <tr r="F568" s="1"/>
      </tp>
      <tp>
        <v>847.2</v>
        <stp/>
        <stp>bse_cm|NIDO010327</stp>
        <stp>Bid Rate</stp>
        <tr r="E1247" s="1"/>
      </tp>
      <tp t="s">
        <v>BSE</v>
        <stp/>
        <stp>bse_cm|92LTF29</stp>
        <stp>Exchange</stp>
        <tr r="C1088" s="1"/>
      </tp>
      <tp>
        <v>890</v>
        <stp/>
        <stp>bse_cm|1026NHFL34</stp>
        <stp>Bid Rate</stp>
        <tr r="E155" s="1"/>
      </tp>
      <tp>
        <v>1167.9100000000001</v>
        <stp/>
        <stp>bse_cm|774IREDA31</stp>
        <stp>Ask Rate</stp>
        <tr r="F17" s="1"/>
      </tp>
      <tp>
        <v>840.25</v>
        <stp/>
        <stp>bse_cm|1075NHFL34</stp>
        <stp>Bid Rate</stp>
        <tr r="E1553" s="1"/>
      </tp>
      <tp>
        <v>0</v>
        <stp/>
        <stp>bse_cm|KAFL28A</stp>
        <stp xml:space="preserve">Low </stp>
        <tr r="O1319" s="1"/>
      </tp>
      <tp>
        <v>990</v>
        <stp/>
        <stp>bse_cm|8MFL24A</stp>
        <stp xml:space="preserve">Low </stp>
        <tr r="O1549" s="1"/>
      </tp>
      <tp>
        <v>900</v>
        <stp/>
        <stp>bse_cm|1026NIDO34</stp>
        <stp>Bid Rate</stp>
        <tr r="E1018" s="1"/>
      </tp>
      <tp>
        <v>910</v>
        <stp/>
        <stp>bse_cm|1075NIDO34</stp>
        <stp>Bid Rate</stp>
        <tr r="E1021" s="1"/>
      </tp>
      <tp>
        <v>970</v>
        <stp/>
        <stp>nse_cm|921ISFL25-N0</stp>
        <stp>Bid Rate</stp>
        <tr r="E287" s="1"/>
      </tp>
      <tp>
        <v>0</v>
        <stp/>
        <stp>nse_cm|925SCL26D-ZD</stp>
        <stp>Volume Traded Today</stp>
        <tr r="L1448" s="1"/>
      </tp>
      <tp>
        <v>0</v>
        <stp/>
        <stp>nse_cm|925SCL29A-ZM</stp>
        <stp>Volume Traded Today</stp>
        <tr r="L1352" s="1"/>
      </tp>
      <tp>
        <v>0</v>
        <stp/>
        <stp>nse_cm|925SCL26C-ZA</stp>
        <stp>Volume Traded Today</stp>
        <tr r="L724" s="1"/>
      </tp>
      <tp>
        <v>1384</v>
        <stp/>
        <stp>bse_cm|768IREDA36</stp>
        <stp>Ask Rate</stp>
        <tr r="F543" s="1"/>
      </tp>
      <tp>
        <v>903</v>
        <stp/>
        <stp>bse_cm|1045NIDO33</stp>
        <stp>Bid Rate</stp>
        <tr r="E71" s="1"/>
      </tp>
      <tp>
        <v>0</v>
        <stp/>
        <stp>nse_cm|957ICCL25-YW</stp>
        <stp>ATP</stp>
        <tr r="K386" s="1"/>
      </tp>
      <tp>
        <v>1027</v>
        <stp/>
        <stp>bse_cm|825MFL2026</stp>
        <stp>Bid Rate</stp>
        <tr r="E318" s="1"/>
      </tp>
      <tp>
        <v>0</v>
        <stp/>
        <stp>bse_cm|743IREDA36</stp>
        <stp>Ask Rate</stp>
        <tr r="F1441" s="1"/>
      </tp>
      <tp>
        <v>-100</v>
        <stp/>
        <stp>bse_cm|KAFLZC30</stp>
        <stp>% Change</stp>
        <tr r="J1314" s="1"/>
      </tp>
      <tp>
        <v>0</v>
        <stp/>
        <stp>nse_cm|925SCL25H-Y0</stp>
        <stp>Volume Traded Today</stp>
        <tr r="L791" s="1"/>
      </tp>
      <tp>
        <v>0</v>
        <stp/>
        <stp>nse_cm|925SCL25B-Y3</stp>
        <stp>Volume Traded Today</stp>
        <tr r="L600" s="1"/>
      </tp>
      <tp>
        <v>0</v>
        <stp/>
        <stp>nse_cm|925SCL26B-YQ</stp>
        <stp>Volume Traded Today</stp>
        <tr r="L90" s="1"/>
      </tp>
      <tp>
        <v>0</v>
        <stp/>
        <stp>nse_cm|925SCL26A-YN</stp>
        <stp>Volume Traded Today</stp>
        <tr r="L838" s="1"/>
      </tp>
      <tp>
        <v>0</v>
        <stp/>
        <stp>nse_cm|925SCL28B-YC</stp>
        <stp>Volume Traded Today</stp>
        <tr r="L825" s="1"/>
      </tp>
      <tp>
        <v>1238</v>
        <stp/>
        <stp>nse_cm|948SCL26I-AX</stp>
        <stp>Open</stp>
        <tr r="M1708" s="1"/>
      </tp>
      <tp t="s">
        <v>BSE</v>
        <stp/>
        <stp>bse_cm|12IML26</stp>
        <stp>Exchange</stp>
        <tr r="C1494" s="1"/>
      </tp>
      <tp>
        <v>0</v>
        <stp/>
        <stp>bse_cm|CCI110324</stp>
        <stp>ATP</stp>
        <tr r="K755" s="1"/>
      </tp>
      <tp>
        <v>1346.2</v>
        <stp/>
        <stp>bse_cm|1060ECL29</stp>
        <stp>ATP</stp>
        <tr r="K272" s="1"/>
      </tp>
      <tp t="s">
        <v>BSE</v>
        <stp/>
        <stp>bse_cm|12KLM25</stp>
        <stp>Exchange</stp>
        <tr r="C1211" s="1"/>
      </tp>
      <tp>
        <v>0</v>
        <stp/>
        <stp>bse_cm|1060MML26</stp>
        <stp>ATP</stp>
        <tr r="K1218" s="1"/>
      </tp>
      <tp t="s">
        <v>BSE</v>
        <stp/>
        <stp>bse_cm|12IFL27</stp>
        <stp>Exchange</stp>
        <tr r="C258" s="1"/>
      </tp>
      <tp>
        <v>12</v>
        <stp/>
        <stp>bse_cm|87SCL24A</stp>
        <stp>Bid Qty</stp>
        <tr r="D1141" s="1"/>
      </tp>
      <tp>
        <v>12</v>
        <stp/>
        <stp>bse_cm|87SCL27A</stp>
        <stp>Bid Qty</stp>
        <tr r="D644" s="1"/>
      </tp>
      <tp>
        <v>0</v>
        <stp/>
        <stp>bse_cm|96SCL25</stp>
        <stp>Ask Rate</stp>
        <tr r="F1068" s="1"/>
      </tp>
      <tp>
        <v>950</v>
        <stp/>
        <stp>bse_cm|810MFL2028</stp>
        <stp>Bid Rate</stp>
        <tr r="E651" s="1"/>
      </tp>
      <tp>
        <v>20</v>
        <stp/>
        <stp>bse_cm|97SFL26A</stp>
        <stp>Bid Qty</stp>
        <tr r="D1089" s="1"/>
      </tp>
      <tp>
        <v>0</v>
        <stp/>
        <stp>bse_cm|1075KLM27</stp>
        <stp>ATP</stp>
        <tr r="K1117" s="1"/>
      </tp>
      <tp>
        <v>0</v>
        <stp/>
        <stp>bse_cm|1175KLM25</stp>
        <stp>ATP</stp>
        <tr r="K1691" s="1"/>
      </tp>
      <tp>
        <v>0</v>
        <stp/>
        <stp>bse_cm|1065NFL27</stp>
        <stp>ATP</stp>
        <tr r="K182" s="1"/>
      </tp>
      <tp t="s">
        <v>BSE</v>
        <stp/>
        <stp>bse_cm|12CCI29</stp>
        <stp>Exchange</stp>
        <tr r="C91" s="1"/>
      </tp>
      <tp>
        <v>0</v>
        <stp/>
        <stp>nse_cm|905SC24B-Z9</stp>
        <stp>Ask Qty</stp>
        <tr r="G637" s="1"/>
      </tp>
      <tp>
        <v>0</v>
        <stp/>
        <stp>nse_cm|888SCL25A-AQ</stp>
        <stp>Open</stp>
        <tr r="M910" s="1"/>
      </tp>
      <tp>
        <v>121</v>
        <stp/>
        <stp>bse_cm|94MFL27A</stp>
        <stp>Ask Qty</stp>
        <tr r="G420" s="1"/>
      </tp>
      <tp>
        <v>25</v>
        <stp/>
        <stp>bse_cm|EFSLZC28</stp>
        <stp>Bid Qty</stp>
        <tr r="D1637" s="1"/>
      </tp>
      <tp>
        <v>180</v>
        <stp/>
        <stp>bse_cm|EFSLZC26</stp>
        <stp>Bid Qty</stp>
        <tr r="D1712" s="1"/>
      </tp>
      <tp>
        <v>180</v>
        <stp/>
        <stp>bse_cm|EFSLZC25</stp>
        <stp>Bid Qty</stp>
        <tr r="D1741" s="1"/>
      </tp>
      <tp>
        <v>845.2</v>
        <stp/>
        <stp>bse_cm|NIDO010329</stp>
        <stp>Bid Rate</stp>
        <tr r="E1246" s="1"/>
      </tp>
      <tp>
        <v>0</v>
        <stp/>
        <stp>nse_cm|1050NFL26-N7</stp>
        <stp>ATP</stp>
        <tr r="K259" s="1"/>
      </tp>
      <tp>
        <v>1105</v>
        <stp/>
        <stp>nse_cm|985ICCL28-NO</stp>
        <stp>LTP</stp>
        <tr r="H1605" s="1"/>
      </tp>
      <tp t="s">
        <v>10:02:51</v>
        <stp/>
        <stp>nse_cm|985ICCL28-NO</stp>
        <stp>LTT</stp>
        <tr r="I1605" s="1"/>
      </tp>
      <tp>
        <v>0</v>
        <stp/>
        <stp>nse_cm|925SCL28A-NS</stp>
        <stp>Volume Traded Today</stp>
        <tr r="L895" s="1"/>
      </tp>
      <tp>
        <v>0</v>
        <stp/>
        <stp>nse_cm|925SCL25G-NY</stp>
        <stp>Volume Traded Today</stp>
        <tr r="L887" s="1"/>
      </tp>
      <tp>
        <v>0</v>
        <stp/>
        <stp>nse_cm|925SCL25A-NH</stp>
        <stp>Volume Traded Today</stp>
        <tr r="L715" s="1"/>
      </tp>
      <tp>
        <v>0</v>
        <stp/>
        <stp>nse_cm|925SCL25Z-NE</stp>
        <stp>Volume Traded Today</stp>
        <tr r="L914" s="1"/>
      </tp>
      <tp>
        <v>1085</v>
        <stp/>
        <stp>nse_cm|105IIFL29-N7</stp>
        <stp>ATP</stp>
        <tr r="K270" s="1"/>
      </tp>
      <tp>
        <v>0</v>
        <stp/>
        <stp>nse_cm|805ABFL28-N2</stp>
        <stp>ATP</stp>
        <tr r="K477" s="1"/>
      </tp>
      <tp>
        <v>1009.9</v>
        <stp/>
        <stp>bse_cm|EFSLZC26C</stp>
        <stp>Prev Close</stp>
        <tr r="P1332" s="1"/>
      </tp>
      <tp>
        <v>1121.31</v>
        <stp/>
        <stp>bse_cm|EFSLZC26B</stp>
        <stp>Prev Close</stp>
        <tr r="P1678" s="1"/>
      </tp>
      <tp>
        <v>1290.8</v>
        <stp/>
        <stp>bse_cm|EFSLZC26A</stp>
        <stp>Prev Close</stp>
        <tr r="P1574" s="1"/>
      </tp>
      <tp>
        <v>1026</v>
        <stp/>
        <stp>bse_cm|EFSLZC25A</stp>
        <stp>Prev Close</stp>
        <tr r="P1333" s="1"/>
      </tp>
      <tp>
        <v>0</v>
        <stp/>
        <stp>bse_cm|9SFL25A</stp>
        <stp>Open</stp>
        <tr r="M441" s="1"/>
      </tp>
      <tp>
        <v>965</v>
        <stp/>
        <stp>bse_cm|EFSLZC28C</stp>
        <stp>Prev Close</stp>
        <tr r="P1331" s="1"/>
      </tp>
      <tp>
        <v>0</v>
        <stp/>
        <stp>nse_cm|1040NFL26-NA</stp>
        <stp>ATP</stp>
        <tr r="K678" s="1"/>
      </tp>
      <tp>
        <v>0</v>
        <stp/>
        <stp>nse_cm|957ICCL28-NW</stp>
        <stp>ATP</stp>
        <tr r="K762" s="1"/>
      </tp>
      <tp>
        <v>0</v>
        <stp/>
        <stp>nse_cm|1075NFL25-N6</stp>
        <stp>ATP</stp>
        <tr r="K1438" s="1"/>
      </tp>
      <tp>
        <v>1010.3</v>
        <stp/>
        <stp>bse_cm|CIFC26A</stp>
        <stp>High</stp>
        <tr r="N740" s="1"/>
      </tp>
      <tp>
        <v>1000</v>
        <stp/>
        <stp>nse_cm|1065NFL27-NC</stp>
        <stp>ATP</stp>
        <tr r="K170" s="1"/>
      </tp>
      <tp>
        <v>1175</v>
        <stp/>
        <stp>bse_cm|76IGT26</stp>
        <stp>Ask Rate</stp>
        <tr r="F1608" s="1"/>
      </tp>
      <tp>
        <v>1068</v>
        <stp/>
        <stp>bse_cm|86LTF24</stp>
        <stp>Ask Rate</stp>
        <tr r="F8" s="1"/>
      </tp>
      <tp>
        <v>0</v>
        <stp/>
        <stp>bse_cm|96MFL25</stp>
        <stp>Ask Rate</stp>
        <tr r="F1392" s="1"/>
      </tp>
      <tp>
        <v>0</v>
        <stp/>
        <stp>nse_cm|980ICCL28-NL</stp>
        <stp>LTP</stp>
        <tr r="H780" s="1"/>
      </tp>
      <tp t="s">
        <v/>
        <stp/>
        <stp>nse_cm|980ICCL28-NL</stp>
        <stp>LTT</stp>
        <tr r="I780" s="1"/>
      </tp>
      <tp>
        <v>1172.8699999999999</v>
        <stp/>
        <stp>nse_cm|875NHAI29-N6</stp>
        <stp>ATP</stp>
        <tr r="K495" s="1"/>
      </tp>
      <tp>
        <v>0</v>
        <stp/>
        <stp>nse_cm|910CAGL25-N7</stp>
        <stp>ATP</stp>
        <tr r="K622" s="1"/>
      </tp>
      <tp>
        <v>1199.99</v>
        <stp/>
        <stp>bse_cm|DLSL25A</stp>
        <stp xml:space="preserve">Low </stp>
        <tr r="O1734" s="1"/>
      </tp>
      <tp>
        <v>0</v>
        <stp/>
        <stp>nse_cm|948SCL26D-AI</stp>
        <stp>Open</stp>
        <tr r="M1690" s="1"/>
      </tp>
      <tp>
        <v>0</v>
        <stp/>
        <stp>nse_cm|1025NFL25-N5</stp>
        <stp>ATP</stp>
        <tr r="K1488" s="1"/>
      </tp>
      <tp>
        <v>1000</v>
        <stp/>
        <stp>bse_cm|1025NWFL30</stp>
        <stp>Bid Rate</stp>
        <tr r="E1026" s="1"/>
      </tp>
      <tp>
        <v>983</v>
        <stp/>
        <stp>nse_cm|1015ECL29-NR</stp>
        <stp>Bid Rate</stp>
        <tr r="E204" s="1"/>
      </tp>
      <tp>
        <v>1050.0999999999999</v>
        <stp/>
        <stp>nse_cm|1015SCL28-NR</stp>
        <stp>Bid Rate</stp>
        <tr r="E288" s="1"/>
      </tp>
      <tp>
        <v>0</v>
        <stp/>
        <stp>nse_cm|920SCL23A-AO</stp>
        <stp>Volume Traded Today</stp>
        <tr r="L1113" s="1"/>
      </tp>
      <tp>
        <v>1119.9000000000001</v>
        <stp/>
        <stp>bse_cm|96ONE29</stp>
        <stp>Ask Rate</stp>
        <tr r="F1621" s="1"/>
      </tp>
      <tp t="s">
        <v>BSE</v>
        <stp/>
        <stp>bse_cm|SCFL310524</stp>
        <stp>Exchange</stp>
        <tr r="C1241" s="1"/>
      </tp>
      <tp>
        <v>0</v>
        <stp/>
        <stp>nse_cm|925SCL28C-BS</stp>
        <stp>Volume Traded Today</stp>
        <tr r="L823" s="1"/>
      </tp>
      <tp>
        <v>0</v>
        <stp/>
        <stp>nse_cm|925SCL28I-BA</stp>
        <stp>Volume Traded Today</stp>
        <tr r="L821" s="1"/>
      </tp>
      <tp>
        <v>0</v>
        <stp/>
        <stp>nse_cm|925SCL25F-BD</stp>
        <stp>Volume Traded Today</stp>
        <tr r="L718" s="1"/>
      </tp>
      <tp>
        <v>0</v>
        <stp/>
        <stp>nse_cm|1090NFL26-NB</stp>
        <stp>ATP</stp>
        <tr r="K636" s="1"/>
      </tp>
      <tp>
        <v>900</v>
        <stp/>
        <stp>bse_cm|MFLV29E</stp>
        <stp>High</stp>
        <tr r="N650" s="1"/>
      </tp>
      <tp t="s">
        <v>NSE</v>
        <stp/>
        <stp>nse_cm|IIFLZC28B-Y1</stp>
        <stp>Exchange</stp>
        <tr r="C1491" s="1"/>
      </tp>
      <tp>
        <v>10</v>
        <stp/>
        <stp>bse_cm|IFCIZC25</stp>
        <stp>Bid Qty</stp>
        <tr r="D1764" s="1"/>
      </tp>
      <tp>
        <v>20</v>
        <stp/>
        <stp>bse_cm|IFCIZC24</stp>
        <stp>Bid Qty</stp>
        <tr r="D1769" s="1"/>
      </tp>
      <tp>
        <v>0</v>
        <stp/>
        <stp>nse_cm|925SCL25C-AR</stp>
        <stp>Volume Traded Today</stp>
        <tr r="L249" s="1"/>
      </tp>
      <tp>
        <v>5</v>
        <stp/>
        <stp>nse_cm|975SCL28-NT</stp>
        <stp>Ask Qty</stp>
        <tr r="G142" s="1"/>
      </tp>
      <tp>
        <v>825.8</v>
        <stp/>
        <stp>bse_cm|9KSFL27</stp>
        <stp xml:space="preserve">Low </stp>
        <tr r="O1418" s="1"/>
      </tp>
      <tp>
        <v>-100</v>
        <stp/>
        <stp>bse_cm|MFLZC29A</stp>
        <stp>% Change</stp>
        <tr r="J1554" s="1"/>
      </tp>
      <tp>
        <v>50</v>
        <stp/>
        <stp>nse_cm|943ECL28-NJ</stp>
        <stp>Ask Qty</stp>
        <tr r="G94" s="1"/>
      </tp>
      <tp>
        <v>50</v>
        <stp/>
        <stp>nse_cm|888ERFL28-N5</stp>
        <stp>Volume Traded Today</stp>
        <tr r="L63" s="1"/>
      </tp>
      <tp>
        <v>45</v>
        <stp/>
        <stp>nse_cm|948SCL26-N9</stp>
        <stp>Ask Qty</stp>
        <tr r="G1632" s="1"/>
      </tp>
      <tp>
        <v>0</v>
        <stp/>
        <stp>nse_cm|940SCL26-N6</stp>
        <stp>Ask Qty</stp>
        <tr r="G921" s="1"/>
      </tp>
      <tp>
        <v>0</v>
        <stp/>
        <stp>nse_cm|935SCL28-NV</stp>
        <stp>Ask Qty</stp>
        <tr r="G986" s="1"/>
      </tp>
      <tp>
        <v>0</v>
        <stp/>
        <stp>bse_cm|MMFSL26</stp>
        <stp>High</stp>
        <tr r="N1258" s="1"/>
      </tp>
      <tp>
        <v>962.1</v>
        <stp/>
        <stp>bse_cm|9MFCL26</stp>
        <stp>High</stp>
        <tr r="N156" s="1"/>
      </tp>
      <tp t="s">
        <v>94IFCI25</v>
        <stp/>
        <stp>nse_cm|94IFCI25-NL</stp>
        <stp>Symbol</stp>
        <tr r="A235" s="1"/>
      </tp>
      <tp>
        <v>0</v>
        <stp/>
        <stp>nse_cm|925SCL26-NR</stp>
        <stp>Ask Qty</stp>
        <tr r="G991" s="1"/>
      </tp>
      <tp>
        <v>0</v>
        <stp/>
        <stp>nse_cm|925SCL25-N5</stp>
        <stp>Ask Qty</stp>
        <tr r="G1474" s="1"/>
      </tp>
      <tp>
        <v>27</v>
        <stp/>
        <stp>nse_cm|92ICCL28-ND</stp>
        <stp>Ask Qty</stp>
        <tr r="G203" s="1"/>
      </tp>
      <tp t="s">
        <v/>
        <stp/>
        <stp>nse_cm|971SCL28I-BC</stp>
        <stp>LTT</stp>
        <tr r="I531" s="1"/>
      </tp>
      <tp>
        <v>1</v>
        <stp/>
        <stp>nse_cm|915SCL26-NE</stp>
        <stp>Ask Qty</stp>
        <tr r="G58" s="1"/>
      </tp>
      <tp>
        <v>990</v>
        <stp/>
        <stp>nse_cm|971SCL28I-BC</stp>
        <stp>LTP</stp>
        <tr r="H531" s="1"/>
      </tp>
      <tp>
        <v>0</v>
        <stp/>
        <stp>nse_cm|971SCL28C-BU</stp>
        <stp>LTP</stp>
        <tr r="H826" s="1"/>
      </tp>
      <tp t="s">
        <v/>
        <stp/>
        <stp>nse_cm|971SCL28C-BU</stp>
        <stp>LTT</stp>
        <tr r="I826" s="1"/>
      </tp>
      <tp>
        <v>50</v>
        <stp/>
        <stp>nse_cm|94IFCI25-NL</stp>
        <stp>Ask Qty</stp>
        <tr r="G235" s="1"/>
      </tp>
      <tp>
        <v>0</v>
        <stp/>
        <stp>nse_cm|902SCL26-N8</stp>
        <stp>Ask Qty</stp>
        <tr r="G968" s="1"/>
      </tp>
      <tp t="s">
        <v>BSE</v>
        <stp/>
        <stp>bse_cm|1003SCL30A</stp>
        <stp>Exchange</stp>
        <tr r="C875" s="1"/>
      </tp>
      <tp>
        <v>0</v>
        <stp/>
        <stp>nse_cm|925SCL28-AM</stp>
        <stp>Ask Qty</stp>
        <tr r="G939" s="1"/>
      </tp>
      <tp>
        <v>1000</v>
        <stp/>
        <stp>nse_cm|971SCL28A-NT</stp>
        <stp>LTP</stp>
        <tr r="H680" s="1"/>
      </tp>
      <tp t="s">
        <v>15:11:55</v>
        <stp/>
        <stp>nse_cm|971SCL28A-NT</stp>
        <stp>LTT</stp>
        <tr r="I680" s="1"/>
      </tp>
      <tp>
        <v>0</v>
        <stp/>
        <stp>bse_cm|866SCFL25</stp>
        <stp>ATP</stp>
        <tr r="K342" s="1"/>
      </tp>
      <tp t="s">
        <v>INE148I07ML1</v>
        <stp/>
        <stp>bse_cm|905SC24B</stp>
        <stp>Isin code</stp>
        <tr r="R684" s="1"/>
      </tp>
      <tp>
        <v>5</v>
        <stp/>
        <stp>nse_cm|99IFCI24-NH</stp>
        <stp>Ask Qty</stp>
        <tr r="G39" s="1"/>
      </tp>
      <tp>
        <v>0</v>
        <stp/>
        <stp>nse_cm|888IRFC29-NE</stp>
        <stp>Volume Traded Today</stp>
        <tr r="L508" s="1"/>
      </tp>
      <tp>
        <v>975.8</v>
        <stp/>
        <stp>bse_cm|865MF25</stp>
        <stp>Ask Rate</stp>
        <tr r="F111" s="1"/>
      </tp>
      <tp>
        <v>0</v>
        <stp/>
        <stp>bse_cm|9TCAP28</stp>
        <stp>Open</stp>
        <tr r="M545" s="1"/>
      </tp>
      <tp>
        <v>0</v>
        <stp/>
        <stp>nse_cm|965SCL25-AG</stp>
        <stp>Ask Qty</stp>
        <tr r="G1577" s="1"/>
      </tp>
      <tp>
        <v>0</v>
        <stp/>
        <stp>nse_cm|965SCL28-AK</stp>
        <stp>Ask Qty</stp>
        <tr r="G1137" s="1"/>
      </tp>
      <tp>
        <v>0</v>
        <stp/>
        <stp>nse_cm|957SCL30-BX</stp>
        <stp>Ask Qty</stp>
        <tr r="G1109" s="1"/>
      </tp>
      <tp>
        <v>0</v>
        <stp/>
        <stp>nse_cm|985IIFL22-NC</stp>
        <stp>Volume Traded Today</stp>
        <tr r="L114" s="1"/>
      </tp>
      <tp>
        <v>10</v>
        <stp/>
        <stp>nse_cm|990SCL26-N7</stp>
        <stp>Ask Qty</stp>
        <tr r="G422" s="1"/>
      </tp>
      <tp>
        <v>264</v>
        <stp/>
        <stp>nse_cm|971SCL28-AN</stp>
        <stp>Ask Qty</stp>
        <tr r="G538" s="1"/>
      </tp>
      <tp>
        <v>115</v>
        <stp/>
        <stp>nse_cm|985ECL28-NK</stp>
        <stp>Ask Qty</stp>
        <tr r="G52" s="1"/>
      </tp>
      <tp>
        <v>8</v>
        <stp/>
        <stp>nse_cm|980SCL33-NX</stp>
        <stp>Ask Qty</stp>
        <tr r="G360" s="1"/>
      </tp>
      <tp>
        <v>0</v>
        <stp/>
        <stp>nse_cm|98ICCL26-NU</stp>
        <stp>Ask Qty</stp>
        <tr r="G1569" s="1"/>
      </tp>
      <tp>
        <v>0</v>
        <stp/>
        <stp>nse_cm|939SCL27-ZZ</stp>
        <stp>Ask Qty</stp>
        <tr r="G982" s="1"/>
      </tp>
      <tp>
        <v>0</v>
        <stp/>
        <stp>nse_cm|902SCL27-YU</stp>
        <stp>Ask Qty</stp>
        <tr r="G844" s="1"/>
      </tp>
      <tp t="s">
        <v>00:00:00</v>
        <stp/>
        <stp>bse_cm|704IRFC26</stp>
        <stp>LTT</stp>
        <tr r="I557" s="1"/>
      </tp>
      <tp>
        <v>0</v>
        <stp/>
        <stp>bse_cm|729IRFC26</stp>
        <stp>ATP</stp>
        <tr r="K367" s="1"/>
      </tp>
      <tp>
        <v>0</v>
        <stp/>
        <stp>bse_cm|739HUDC31</stp>
        <stp>ATP</stp>
        <tr r="K1347" s="1"/>
      </tp>
      <tp>
        <v>0</v>
        <stp/>
        <stp>bse_cm|704IRFC26</stp>
        <stp>LTP</stp>
        <tr r="H557" s="1"/>
      </tp>
      <tp>
        <v>0</v>
        <stp/>
        <stp>bse_cm|966IFSL25</stp>
        <stp>ATP</stp>
        <tr r="K1051" s="1"/>
      </tp>
      <tp>
        <v>1100</v>
        <stp/>
        <stp>bse_cm|764IRFC31</stp>
        <stp>LTP</stp>
        <tr r="H466" s="1"/>
      </tp>
      <tp t="s">
        <v>09:59:38</v>
        <stp/>
        <stp>bse_cm|764IRFC31</stp>
        <stp>LTT</stp>
        <tr r="I466" s="1"/>
      </tp>
      <tp>
        <v>0</v>
        <stp/>
        <stp>nse_cm|916SCL25-ZW</stp>
        <stp>Ask Qty</stp>
        <tr r="G1576" s="1"/>
      </tp>
      <tp>
        <v>0</v>
        <stp/>
        <stp>nse_cm|925SCL27-YR</stp>
        <stp>Ask Qty</stp>
        <tr r="G1415" s="1"/>
      </tp>
      <tp>
        <v>0</v>
        <stp/>
        <stp>nse_cm|925SCL29-YZ</stp>
        <stp>Ask Qty</stp>
        <tr r="G851" s="1"/>
      </tp>
      <tp>
        <v>0</v>
        <stp/>
        <stp>nse_cm|96SCL25-AA</stp>
        <stp>Open</stp>
        <tr r="M1067" s="1"/>
      </tp>
      <tp>
        <v>832.4</v>
        <stp/>
        <stp>bse_cm|1125KLM26A</stp>
        <stp>Bid Rate</stp>
        <tr r="E1226" s="1"/>
      </tp>
      <tp t="e">
        <v>#N/A</v>
        <stp/>
        <stp>bse_cm|1075IML24A</stp>
        <stp>Bid Rate</stp>
        <tr r="E32" s="1"/>
      </tp>
      <tp>
        <v>0</v>
        <stp/>
        <stp>nse_cm|915SCL27-Z7</stp>
        <stp>Ask Qty</stp>
        <tr r="G1475" s="1"/>
      </tp>
      <tp>
        <v>0</v>
        <stp/>
        <stp>nse_cm|905SCL25-ZT</stp>
        <stp>Ask Qty</stp>
        <tr r="G977" s="1"/>
      </tp>
      <tp>
        <v>0</v>
        <stp/>
        <stp>bse_cm|1025SCL34A</stp>
        <stp>Ask Rate</stp>
        <tr r="F672" s="1"/>
      </tp>
      <tp>
        <v>0</v>
        <stp/>
        <stp>bse_cm|SCL310524A</stp>
        <stp>Ask Rate</stp>
        <tr r="F918" s="1"/>
      </tp>
      <tp>
        <v>0</v>
        <stp/>
        <stp>nse_cm|905SCL27-Z4</stp>
        <stp>Ask Qty</stp>
        <tr r="G947" s="1"/>
      </tp>
      <tp>
        <v>0</v>
        <stp/>
        <stp>nse_cm|940SCL27-YS</stp>
        <stp>Ask Qty</stp>
        <tr r="G842" s="1"/>
      </tp>
      <tp>
        <v>100</v>
        <stp/>
        <stp>nse_cm|948SCL27-YV</stp>
        <stp>Ask Qty</stp>
        <tr r="G127" s="1"/>
      </tp>
      <tp>
        <v>0</v>
        <stp/>
        <stp>bse_cm|984ICCL26A</stp>
        <stp>Bid Rate</stp>
        <tr r="E883" s="1"/>
      </tp>
      <tp>
        <v>0</v>
        <stp/>
        <stp>nse_cm|971SCL29-Z0</stp>
        <stp>Ask Qty</stp>
        <tr r="G681" s="1"/>
      </tp>
      <tp>
        <v>0</v>
        <stp/>
        <stp>nse_cm|975SCL27-Z9</stp>
        <stp>Ask Qty</stp>
        <tr r="G885" s="1"/>
      </tp>
      <tp t="s">
        <v>15:12:44</v>
        <stp/>
        <stp>bse_cm|MFCL30424</stp>
        <stp>LTT</stp>
        <tr r="I1606" s="1"/>
      </tp>
      <tp>
        <v>0</v>
        <stp/>
        <stp>bse_cm|MFCL16924</stp>
        <stp>ATP</stp>
        <tr r="K579" s="1"/>
      </tp>
      <tp>
        <v>1019.97</v>
        <stp/>
        <stp>bse_cm|MFCL30424</stp>
        <stp>LTP</stp>
        <tr r="H1606" s="1"/>
      </tp>
      <tp t="s">
        <v>BSE</v>
        <stp/>
        <stp>bse_cm|925FL27</stp>
        <stp>Exchange</stp>
        <tr r="C615" s="1"/>
      </tp>
      <tp>
        <v>1017.16</v>
        <stp/>
        <stp>nse_cm|76IGT26-ND</stp>
        <stp>High</stp>
        <tr r="N527" s="1"/>
      </tp>
      <tp>
        <v>0</v>
        <stp/>
        <stp>nse_cm|77IGT28-NE</stp>
        <stp>High</stp>
        <tr r="N1190" s="1"/>
      </tp>
      <tp>
        <v>0</v>
        <stp/>
        <stp>nse_cm|889SCFL27-YC</stp>
        <stp>Volume Traded Today</stp>
        <tr r="L595" s="1"/>
      </tp>
      <tp>
        <v>19</v>
        <stp/>
        <stp>nse_cm|965SCL26-YO</stp>
        <stp>Ask Qty</stp>
        <tr r="G146" s="1"/>
      </tp>
      <tp>
        <v>0</v>
        <stp/>
        <stp>nse_cm|955SCL25-ZU</stp>
        <stp>Ask Qty</stp>
        <tr r="G1391" s="1"/>
      </tp>
      <tp>
        <v>0</v>
        <stp/>
        <stp>nse_cm|965SCL29-YX</stp>
        <stp>Ask Qty</stp>
        <tr r="G847" s="1"/>
      </tp>
      <tp>
        <v>0</v>
        <stp/>
        <stp>nse_cm|955SCL27-Z5</stp>
        <stp>Ask Qty</stp>
        <tr r="G949" s="1"/>
      </tp>
      <tp>
        <v>0</v>
        <stp/>
        <stp>nse_cm|957SCL31-Z3</stp>
        <stp>Ask Qty</stp>
        <tr r="G874" s="1"/>
      </tp>
      <tp>
        <v>979</v>
        <stp/>
        <stp>bse_cm|916NWIL27</stp>
        <stp>ATP</stp>
        <tr r="K209" s="1"/>
      </tp>
      <tp>
        <v>5.22</v>
        <stp/>
        <stp>bse_cm|849NTPC25</stp>
        <stp>ATP</stp>
        <tr r="K443" s="1"/>
      </tp>
      <tp>
        <v>0</v>
        <stp/>
        <stp>bse_cm|905NIDO25</stp>
        <stp>ATP</stp>
        <tr r="K60" s="1"/>
      </tp>
      <tp>
        <v>937.2</v>
        <stp/>
        <stp>bse_cm|915NIDO27</stp>
        <stp>ATP</stp>
        <tr r="K59" s="1"/>
      </tp>
      <tp>
        <v>950.86</v>
        <stp/>
        <stp>bse_cm|955NIDO27</stp>
        <stp>ATP</stp>
        <tr r="K51" s="1"/>
      </tp>
      <tp>
        <v>0</v>
        <stp/>
        <stp>bse_cm|958NIDO27</stp>
        <stp>LTP</stp>
        <tr r="H1402" s="1"/>
      </tp>
      <tp t="s">
        <v>00:00:00</v>
        <stp/>
        <stp>bse_cm|958NIDO27</stp>
        <stp>LTT</stp>
        <tr r="I1402" s="1"/>
      </tp>
      <tp>
        <v>970</v>
        <stp/>
        <stp>nse_cm|79IGT28-NF</stp>
        <stp>High</stp>
        <tr r="N692" s="1"/>
      </tp>
      <tp t="s">
        <v/>
        <stp/>
        <stp>nse_cm|875SCL23A-YI</stp>
        <stp>LTT</stp>
        <tr r="I1477" s="1"/>
      </tp>
      <tp>
        <v>970</v>
        <stp/>
        <stp>nse_cm|875SCL23A-YI</stp>
        <stp>LTP</stp>
        <tr r="H1477" s="1"/>
      </tp>
      <tp>
        <v>0</v>
        <stp/>
        <stp>nse_cm|990SCL27-YT</stp>
        <stp>Ask Qty</stp>
        <tr r="G1024" s="1"/>
      </tp>
      <tp t="s">
        <v>00:00:00</v>
        <stp/>
        <stp>bse_cm|91EFSL24A</stp>
        <stp>LTT</stp>
        <tr r="I46" s="1"/>
      </tp>
      <tp>
        <v>0</v>
        <stp/>
        <stp>bse_cm|91EFSL24A</stp>
        <stp>LTP</stp>
        <tr r="H46" s="1"/>
      </tp>
      <tp>
        <v>920</v>
        <stp/>
        <stp>bse_cm|1025KFL26A</stp>
        <stp>Bid Rate</stp>
        <tr r="E525" s="1"/>
      </tp>
      <tp>
        <v>980.2</v>
        <stp/>
        <stp>bse_cm|1010EFS28A</stp>
        <stp>Bid Rate</stp>
        <tr r="E78" s="1"/>
      </tp>
      <tp>
        <v>861.7</v>
        <stp/>
        <stp>bse_cm|1025KFL26B</stp>
        <stp>Bid Rate</stp>
        <tr r="E1422" s="1"/>
      </tp>
      <tp>
        <v>832.8</v>
        <stp/>
        <stp>bse_cm|1025KFL26C</stp>
        <stp>Bid Rate</stp>
        <tr r="E459" s="1"/>
      </tp>
      <tp>
        <v>0</v>
        <stp/>
        <stp>nse_cm|980SCL34-Z7</stp>
        <stp>Ask Qty</stp>
        <tr r="G884" s="1"/>
      </tp>
      <tp>
        <v>938.33</v>
        <stp/>
        <stp>bse_cm|916EFSL26</stp>
        <stp>ATP</stp>
        <tr r="K69" s="1"/>
      </tp>
      <tp>
        <v>0</v>
        <stp/>
        <stp>nse_cm|971SCL28B-YD</stp>
        <stp>LTP</stp>
        <tr r="H828" s="1"/>
      </tp>
      <tp t="s">
        <v/>
        <stp/>
        <stp>nse_cm|971SCL28B-YD</stp>
        <stp>LTT</stp>
        <tr r="I828" s="1"/>
      </tp>
      <tp>
        <v>0</v>
        <stp/>
        <stp>nse_cm|85PCHFL26-N7</stp>
        <stp>High</stp>
        <tr r="N712" s="1"/>
      </tp>
      <tp>
        <v>975</v>
        <stp/>
        <stp>nse_cm|971SCL29A-ZN</stp>
        <stp>LTP</stp>
        <tr r="H861" s="1"/>
      </tp>
      <tp t="s">
        <v/>
        <stp/>
        <stp>nse_cm|971SCL29A-ZN</stp>
        <stp>LTT</stp>
        <tr r="I861" s="1"/>
      </tp>
      <tp>
        <v>84</v>
        <stp/>
        <stp>bse_cm|1025MMF26A</stp>
        <stp>Ask Qty</stp>
        <tr r="G290" s="1"/>
      </tp>
      <tp>
        <v>0</v>
        <stp/>
        <stp>bse_cm|875TCAPS29</stp>
        <stp>Ask Qty</stp>
        <tr r="G935" s="1"/>
      </tp>
      <tp>
        <v>34</v>
        <stp/>
        <stp>bse_cm|865TCAPS27</stp>
        <stp>Ask Qty</stp>
        <tr r="G377" s="1"/>
      </tp>
      <tp>
        <v>20</v>
        <stp/>
        <stp>bse_cm|885TCAPS29</stp>
        <stp>Ask Qty</stp>
        <tr r="G12" s="1"/>
      </tp>
      <tp>
        <v>0</v>
        <stp/>
        <stp>bse_cm|855TCAPS27</stp>
        <stp>Ask Qty</stp>
        <tr r="G1004" s="1"/>
      </tp>
      <tp>
        <v>979.8</v>
        <stp/>
        <stp>bse_cm|865MFL25A</stp>
        <stp xml:space="preserve">Low </stp>
        <tr r="O153" s="1"/>
      </tp>
      <tp>
        <v>975</v>
        <stp/>
        <stp>bse_cm|825MFL25A</stp>
        <stp xml:space="preserve">Low </stp>
        <tr r="O931" s="1"/>
      </tp>
      <tp>
        <v>10</v>
        <stp/>
        <stp>bse_cm|1025KFL27A</stp>
        <stp>Ask Qty</stp>
        <tr r="G89" s="1"/>
      </tp>
      <tp>
        <v>0</v>
        <stp/>
        <stp>bse_cm|1125KLM26A</stp>
        <stp>Ask Qty</stp>
        <tr r="G1226" s="1"/>
      </tp>
      <tp t="e">
        <v>#N/A</v>
        <stp/>
        <stp>bse_cm|1075IML24A</stp>
        <stp>Ask Qty</stp>
        <tr r="G32" s="1"/>
      </tp>
      <tp>
        <v>0</v>
        <stp/>
        <stp>bse_cm|1025KFL26B</stp>
        <stp>Ask Qty</stp>
        <tr r="G1422" s="1"/>
      </tp>
      <tp>
        <v>20</v>
        <stp/>
        <stp>bse_cm|1025KFL26C</stp>
        <stp>Ask Qty</stp>
        <tr r="G459" s="1"/>
      </tp>
      <tp>
        <v>50</v>
        <stp/>
        <stp>bse_cm|1025KFL26A</stp>
        <stp>Ask Qty</stp>
        <tr r="G525" s="1"/>
      </tp>
      <tp>
        <v>0</v>
        <stp/>
        <stp>bse_cm|1015SCL28B</stp>
        <stp>Ask Qty</stp>
        <tr r="G1178" s="1"/>
      </tp>
      <tp>
        <v>0</v>
        <stp/>
        <stp>bse_cm|1015SCL28A</stp>
        <stp>Ask Qty</stp>
        <tr r="G1386" s="1"/>
      </tp>
      <tp>
        <v>0</v>
        <stp/>
        <stp>bse_cm|865SCL24B</stp>
        <stp>Open</stp>
        <tr r="M953" s="1"/>
      </tp>
      <tp t="s">
        <v>INE414G07GJ7</v>
        <stp/>
        <stp>bse_cm|MFLVII25G</stp>
        <stp>Isin code</stp>
        <tr r="R1729" s="1"/>
      </tp>
      <tp>
        <v>975</v>
        <stp/>
        <stp>bse_cm|875KFL25A</stp>
        <stp>High</stp>
        <tr r="N1157" s="1"/>
      </tp>
      <tp>
        <v>100</v>
        <stp/>
        <stp>bse_cm|739HUDCO31</stp>
        <stp>Ask Qty</stp>
        <tr r="G569" s="1"/>
      </tp>
      <tp>
        <v>12</v>
        <stp/>
        <stp>bse_cm|764HUDCO31</stp>
        <stp>Ask Qty</stp>
        <tr r="G16" s="1"/>
      </tp>
      <tp>
        <v>10</v>
        <stp/>
        <stp>bse_cm|769HUDCO31</stp>
        <stp>Ask Qty</stp>
        <tr r="G15" s="1"/>
      </tp>
      <tp t="s">
        <v>BSE</v>
        <stp/>
        <stp>bse_cm|1003VCL25</stp>
        <stp>Exchange</stp>
        <tr r="C151" s="1"/>
      </tp>
      <tp>
        <v>100</v>
        <stp/>
        <stp>bse_cm|727HUDCO26</stp>
        <stp>Ask Qty</stp>
        <tr r="G481" s="1"/>
      </tp>
      <tp>
        <v>61</v>
        <stp/>
        <stp>bse_cm|729HUDCO26</stp>
        <stp>Ask Qty</stp>
        <tr r="G523" s="1"/>
      </tp>
      <tp>
        <v>184</v>
        <stp/>
        <stp>bse_cm|704HUDCO26</stp>
        <stp>Ask Qty</stp>
        <tr r="G1724" s="1"/>
      </tp>
      <tp>
        <v>85</v>
        <stp/>
        <stp>bse_cm|702HUDCO26</stp>
        <stp>Ask Qty</stp>
        <tr r="G1718" s="1"/>
      </tp>
      <tp>
        <v>0</v>
        <stp/>
        <stp>bse_cm|1025SFL25A</stp>
        <stp>Ask Qty</stp>
        <tr r="G1070" s="1"/>
      </tp>
      <tp>
        <v>0</v>
        <stp/>
        <stp>bse_cm|0MML27524</stp>
        <stp>High</stp>
        <tr r="N1042" s="1"/>
      </tp>
      <tp t="s">
        <v>BSE</v>
        <stp/>
        <stp>bse_cm|SCL310524</stp>
        <stp>Exchange</stp>
        <tr r="C1345" s="1"/>
      </tp>
      <tp t="s">
        <v>INE039A07850</v>
        <stp/>
        <stp>nse_cm|IFCIZC25-NM</stp>
        <stp>Isin code</stp>
        <tr r="R1765" s="1"/>
      </tp>
      <tp t="s">
        <v>913ICCL24A-NF</v>
        <stp/>
        <stp>nse_cm|913ICCL24A-NF</stp>
        <stp>Trading Symbol</stp>
        <tr r="B781" s="1"/>
      </tp>
      <tp>
        <v>1025</v>
        <stp/>
        <stp>bse_cm|CCILZC25A</stp>
        <stp xml:space="preserve">Low </stp>
        <tr r="O749" s="1"/>
      </tp>
      <tp>
        <v>978</v>
        <stp/>
        <stp>bse_cm|915MFCL27</stp>
        <stp>High</stp>
        <tr r="N1472" s="1"/>
      </tp>
      <tp>
        <v>979.9</v>
        <stp/>
        <stp>bse_cm|925MFCL27</stp>
        <stp>High</stp>
        <tr r="N262" s="1"/>
      </tp>
      <tp>
        <v>960</v>
        <stp/>
        <stp>bse_cm|950MFCL27</stp>
        <stp>High</stp>
        <tr r="N1148" s="1"/>
      </tp>
      <tp>
        <v>1007.93</v>
        <stp/>
        <stp>bse_cm|965MFCL27</stp>
        <stp>High</stp>
        <tr r="N618" s="1"/>
      </tp>
      <tp>
        <v>967</v>
        <stp/>
        <stp>bse_cm|890MFCL26</stp>
        <stp>High</stp>
        <tr r="N279" s="1"/>
      </tp>
      <tp>
        <v>1071</v>
        <stp/>
        <stp>bse_cm|93MMFSL27</stp>
        <stp>High</stp>
        <tr r="N333" s="1"/>
      </tp>
      <tp>
        <v>1074.5</v>
        <stp/>
        <stp>bse_cm|92MMFSL27</stp>
        <stp>High</stp>
        <tr r="N384" s="1"/>
      </tp>
      <tp>
        <v>1007</v>
        <stp/>
        <stp>bse_cm|88MMFSL26</stp>
        <stp>High</stp>
        <tr r="N988" s="1"/>
      </tp>
      <tp t="s">
        <v>INE866I08303</v>
        <stp/>
        <stp>bse_cm|985IIFL22</stp>
        <stp>Isin code</stp>
        <tr r="R178" s="1"/>
      </tp>
      <tp>
        <v>1000</v>
        <stp/>
        <stp>bse_cm|925MFCL26</stp>
        <stp>High</stp>
        <tr r="N1610" s="1"/>
      </tp>
      <tp>
        <v>995.5</v>
        <stp/>
        <stp>bse_cm|105MMFL25</stp>
        <stp>High</stp>
        <tr r="N1171" s="1"/>
      </tp>
      <tp>
        <v>960.2</v>
        <stp/>
        <stp>bse_cm|940MFCL26</stp>
        <stp>High</stp>
        <tr r="N200" s="1"/>
      </tp>
      <tp>
        <v>0</v>
        <stp/>
        <stp>bse_cm|10MMLTD24</stp>
        <stp>High</stp>
        <tr r="N1615" s="1"/>
      </tp>
      <tp>
        <v>100</v>
        <stp/>
        <stp>bse_cm|MFLOPTII24</stp>
        <stp>Ask Qty</stp>
        <tr r="G559" s="1"/>
      </tp>
      <tp>
        <v>1026</v>
        <stp/>
        <stp>bse_cm|EFSLZC25A</stp>
        <stp xml:space="preserve">Low </stp>
        <tr r="O1333" s="1"/>
      </tp>
      <tp t="s">
        <v>CIFC26</v>
        <stp/>
        <stp>nse_cm|CIFC26-NK</stp>
        <stp>Symbol</stp>
        <tr r="A741" s="1"/>
      </tp>
      <tp t="s">
        <v>INE860H07IR8</v>
        <stp/>
        <stp>nse_cm|ABFL26-N1</stp>
        <stp>Isin code</stp>
        <tr r="R1679" s="1"/>
      </tp>
      <tp t="s">
        <v>INE244L07317</v>
        <stp/>
        <stp>bse_cm|980ICCL28</stp>
        <stp>Isin code</stp>
        <tr r="R783" s="1"/>
      </tp>
      <tp t="s">
        <v>INE244L07416</v>
        <stp/>
        <stp>bse_cm|985ICCL28</stp>
        <stp>Isin code</stp>
        <tr r="R1483" s="1"/>
      </tp>
      <tp t="s">
        <v>INE121A07RN0</v>
        <stp/>
        <stp>nse_cm|CIFCZC28-NH</stp>
        <stp>Isin code</stp>
        <tr r="R1607" s="1"/>
      </tp>
      <tp>
        <v>1134.94</v>
        <stp/>
        <stp>bse_cm|IIFLZC25A</stp>
        <stp xml:space="preserve">Low </stp>
        <tr r="O1737" s="1"/>
      </tp>
      <tp>
        <v>1005</v>
        <stp/>
        <stp>bse_cm|950MMFL26</stp>
        <stp>High</stp>
        <tr r="N291" s="1"/>
      </tp>
      <tp>
        <v>1010</v>
        <stp/>
        <stp>bse_cm|975MMFL26</stp>
        <stp>High</stp>
        <tr r="N215" s="1"/>
      </tp>
      <tp>
        <v>0</v>
        <stp/>
        <stp>bse_cm|825MMFS27</stp>
        <stp>High</stp>
        <tr r="N1381" s="1"/>
      </tp>
      <tp t="s">
        <v>INE774D07VE1</v>
        <stp/>
        <stp>bse_cm|825MMFS27</stp>
        <stp>Isin code</stp>
        <tr r="R1381" s="1"/>
      </tp>
      <tp t="s">
        <v>875CIFC23B-NJ</v>
        <stp/>
        <stp>nse_cm|875CIFC23B-NJ</stp>
        <stp>Trading Symbol</stp>
        <tr r="B346" s="1"/>
      </tp>
      <tp>
        <v>1425.18</v>
        <stp/>
        <stp>bse_cm|MMFLZC25D</stp>
        <stp xml:space="preserve">Low </stp>
        <tr r="O1262" s="1"/>
      </tp>
      <tp t="s">
        <v>INE530L07509</v>
        <stp/>
        <stp>bse_cm|930NIDO32</stp>
        <stp>Isin code</stp>
        <tr r="R76" s="1"/>
      </tp>
      <tp t="s">
        <v>INE244L07408</v>
        <stp/>
        <stp>bse_cm|940ICCL28</stp>
        <stp>Isin code</stp>
        <tr r="R1126" s="1"/>
      </tp>
      <tp t="s">
        <v>INE134E07CI7</v>
        <stp/>
        <stp>bse_cm|747PFCL33</stp>
        <stp>Isin code</stp>
        <tr r="R1199" s="1"/>
      </tp>
      <tp>
        <v>1216.25</v>
        <stp/>
        <stp>bse_cm|IIFLZC25C</stp>
        <stp xml:space="preserve">Low </stp>
        <tr r="O1750" s="1"/>
      </tp>
      <tp>
        <v>990</v>
        <stp/>
        <stp>bse_cm|975MMFL24</stp>
        <stp>High</stp>
        <tr r="N853" s="1"/>
      </tp>
      <tp>
        <v>0</v>
        <stp/>
        <stp>bse_cm|910TCAP28</stp>
        <stp>Open</stp>
        <tr r="M409" s="1"/>
      </tp>
      <tp>
        <v>1890</v>
        <stp/>
        <stp>bse_cm|915MMFS24</stp>
        <stp>High</stp>
        <tr r="N1752" s="1"/>
      </tp>
      <tp t="s">
        <v>INE134E07CH9</v>
        <stp/>
        <stp>bse_cm|753PFCL33</stp>
        <stp>Isin code</stp>
        <tr r="R426" s="1"/>
      </tp>
      <tp t="s">
        <v>INE403Q08217</v>
        <stp/>
        <stp>bse_cm|1025KFL28</stp>
        <stp>Isin code</stp>
        <tr r="R626" s="1"/>
      </tp>
      <tp t="s">
        <v>INE244L07549</v>
        <stp/>
        <stp>bse_cm|957ICCL28</stp>
        <stp>Isin code</stp>
        <tr r="R1572" s="1"/>
      </tp>
      <tp t="s">
        <v>INE860H07IT4</v>
        <stp/>
        <stp>bse_cm|805ABFL28</stp>
        <stp>Isin code</stp>
        <tr r="R1371" s="1"/>
      </tp>
      <tp>
        <v>1075</v>
        <stp/>
        <stp>bse_cm|IIFLZC25B</stp>
        <stp xml:space="preserve">Low </stp>
        <tr r="O1685" s="1"/>
      </tp>
      <tp>
        <v>1010</v>
        <stp/>
        <stp>bse_cm|950MMFL25</stp>
        <stp>High</stp>
        <tr r="N1526" s="1"/>
      </tp>
      <tp t="s">
        <v>INE101Q07AF0</v>
        <stp/>
        <stp>bse_cm|975MMFL26</stp>
        <stp>Isin code</stp>
        <tr r="R215" s="1"/>
      </tp>
      <tp>
        <v>1250</v>
        <stp/>
        <stp>bse_cm|MMFLZC25A</stp>
        <stp xml:space="preserve">Low </stp>
        <tr r="O1264" s="1"/>
      </tp>
      <tp>
        <v>995</v>
        <stp/>
        <stp>bse_cm|935MFCL29</stp>
        <stp>High</stp>
        <tr r="N239" s="1"/>
      </tp>
      <tp>
        <v>975</v>
        <stp/>
        <stp>bse_cm|945MFCL29</stp>
        <stp>High</stp>
        <tr r="N682" s="1"/>
      </tp>
      <tp>
        <v>985</v>
        <stp/>
        <stp>bse_cm|975MFCL29</stp>
        <stp>High</stp>
        <tr r="N856" s="1"/>
      </tp>
      <tp>
        <v>970</v>
        <stp/>
        <stp>bse_cm|990MFCL29</stp>
        <stp>High</stp>
        <tr r="N1449" s="1"/>
      </tp>
      <tp>
        <v>1090</v>
        <stp/>
        <stp>bse_cm|95MMFSL29</stp>
        <stp>High</stp>
        <tr r="N353" s="1"/>
      </tp>
      <tp t="s">
        <v>INE306N08292</v>
        <stp/>
        <stp>bse_cm|910TCAP28</stp>
        <stp>Isin code</stp>
        <tr r="R409" s="1"/>
      </tp>
      <tp t="s">
        <v>INE530L07517</v>
        <stp/>
        <stp>bse_cm|970NIDO32</stp>
        <stp>Isin code</stp>
        <tr r="R67" s="1"/>
      </tp>
      <tp t="s">
        <v>INE101Q07AL8</v>
        <stp/>
        <stp>bse_cm|950MMFL26</stp>
        <stp>Isin code</stp>
        <tr r="R291" s="1"/>
      </tp>
      <tp>
        <v>0</v>
        <stp/>
        <stp>bse_cm|MMFLZC25C</stp>
        <stp xml:space="preserve">Low </stp>
        <tr r="O1263" s="1"/>
      </tp>
      <tp>
        <v>1289</v>
        <stp/>
        <stp>bse_cm|MMFLZC25B</stp>
        <stp xml:space="preserve">Low </stp>
        <tr r="O1581" s="1"/>
      </tp>
      <tp t="s">
        <v>870NIDO25</v>
        <stp/>
        <stp>bse_cm|870NIDO25</stp>
        <stp>Symbol</stp>
        <tr r="A86" s="1"/>
      </tp>
      <tp t="s">
        <v>970NIDO32</v>
        <stp/>
        <stp>bse_cm|970NIDO32</stp>
        <stp>Symbol</stp>
        <tr r="A67" s="1"/>
      </tp>
      <tp>
        <v>950</v>
        <stp/>
        <stp>bse_cm|925KFIL25</stp>
        <stp xml:space="preserve">Low </stp>
        <tr r="O776" s="1"/>
      </tp>
      <tp t="s">
        <v>1035UCL24</v>
        <stp/>
        <stp>bse_cm|1035UCL24</stp>
        <stp>Symbol</stp>
        <tr r="A1580" s="1"/>
      </tp>
      <tp t="s">
        <v>1035UCL26</v>
        <stp/>
        <stp>bse_cm|1035UCL26</stp>
        <stp>Symbol</stp>
        <tr r="A1626" s="1"/>
      </tp>
      <tp t="s">
        <v>1025SCL33</v>
        <stp/>
        <stp>bse_cm|1025SCL33</stp>
        <stp>Symbol</stp>
        <tr r="A879" s="1"/>
      </tp>
      <tp t="s">
        <v>1025SCL34</v>
        <stp/>
        <stp>bse_cm|1025SCL34</stp>
        <stp>Symbol</stp>
        <tr r="A129" s="1"/>
      </tp>
      <tp t="s">
        <v>1075CCI26</v>
        <stp/>
        <stp>bse_cm|1075CCI26</stp>
        <stp>Symbol</stp>
        <tr r="A1425" s="1"/>
      </tp>
      <tp t="s">
        <v>1025UCL25</v>
        <stp/>
        <stp>bse_cm|1025UCL25</stp>
        <stp>Symbol</stp>
        <tr r="A326" s="1"/>
      </tp>
      <tp t="s">
        <v>1025UCL27</v>
        <stp/>
        <stp>bse_cm|1025UCL27</stp>
        <stp>Symbol</stp>
        <tr r="A1019" s="1"/>
      </tp>
      <tp t="s">
        <v>1015ECL29</v>
        <stp/>
        <stp>bse_cm|1015ECL29</stp>
        <stp>Symbol</stp>
        <tr r="A210" s="1"/>
      </tp>
      <tp t="s">
        <v>1015SCL28</v>
        <stp/>
        <stp>bse_cm|1015SCL28</stp>
        <stp>Symbol</stp>
        <tr r="A327" s="1"/>
      </tp>
      <tp t="s">
        <v>1015SCL29</v>
        <stp/>
        <stp>bse_cm|1015SCL29</stp>
        <stp>Symbol</stp>
        <tr r="A1177" s="1"/>
      </tp>
      <tp t="s">
        <v>850SCFL25</v>
        <stp/>
        <stp>bse_cm|850SCFL25</stp>
        <stp>Symbol</stp>
        <tr r="A1099" s="1"/>
      </tp>
      <tp t="s">
        <v>850IIFL27</v>
        <stp/>
        <stp>bse_cm|850IIFL27</stp>
        <stp>Symbol</stp>
        <tr r="A1407" s="1"/>
      </tp>
      <tp t="s">
        <v>950MMFL25</v>
        <stp/>
        <stp>bse_cm|950MMFL25</stp>
        <stp>Symbol</stp>
        <tr r="A1526" s="1"/>
      </tp>
      <tp t="s">
        <v>950MMFL26</v>
        <stp/>
        <stp>bse_cm|950MMFL26</stp>
        <stp>Symbol</stp>
        <tr r="A291" s="1"/>
      </tp>
      <tp t="s">
        <v>950NHFL26</v>
        <stp/>
        <stp>bse_cm|950NHFL26</stp>
        <stp>Symbol</stp>
        <tr r="A582" s="1"/>
      </tp>
      <tp t="s">
        <v>940CAGL27</v>
        <stp/>
        <stp>bse_cm|940CAGL27</stp>
        <stp>Symbol</stp>
        <tr r="A261" s="1"/>
      </tp>
      <tp>
        <v>955</v>
        <stp/>
        <stp>bse_cm|950KFIL26</stp>
        <stp xml:space="preserve">Low </stp>
        <tr r="O602" s="1"/>
      </tp>
      <tp t="s">
        <v>1050CCI25</v>
        <stp/>
        <stp>bse_cm|1050CCI25</stp>
        <stp>Symbol</stp>
        <tr r="A173" s="1"/>
      </tp>
      <tp t="s">
        <v>1003SCL30</v>
        <stp/>
        <stp>bse_cm|1003SCL30</stp>
        <stp>Symbol</stp>
        <tr r="A877" s="1"/>
      </tp>
      <tp t="s">
        <v>1003SCL31</v>
        <stp/>
        <stp>bse_cm|1003SCL31</stp>
        <stp>Symbol</stp>
        <tr r="A727" s="1"/>
      </tp>
      <tp t="s">
        <v>1003VCL25</v>
        <stp/>
        <stp>bse_cm|1003VCL25</stp>
        <stp>Symbol</stp>
        <tr r="A151" s="1"/>
      </tp>
      <tp t="s">
        <v>957ISFL26</v>
        <stp/>
        <stp>bse_cm|957ISFL26</stp>
        <stp>Symbol</stp>
        <tr r="A761" s="1"/>
      </tp>
      <tp>
        <v>0</v>
        <stp/>
        <stp>bse_cm|985KAFL26</stp>
        <stp xml:space="preserve">Low </stp>
        <tr r="O1102" s="1"/>
      </tp>
      <tp>
        <v>970</v>
        <stp/>
        <stp>bse_cm|975KAFL26</stp>
        <stp xml:space="preserve">Low </stp>
        <tr r="O859" s="1"/>
      </tp>
      <tp t="s">
        <v>1075SCL33</v>
        <stp/>
        <stp>bse_cm|1075SCL33</stp>
        <stp>Symbol</stp>
        <tr r="A881" s="1"/>
      </tp>
      <tp t="s">
        <v>1075SCL34</v>
        <stp/>
        <stp>bse_cm|1075SCL34</stp>
        <stp>Symbol</stp>
        <tr r="A888" s="1"/>
      </tp>
      <tp t="s">
        <v>1075CCL25</v>
        <stp/>
        <stp>bse_cm|1075CCL25</stp>
        <stp>Symbol</stp>
        <tr r="A1119" s="1"/>
      </tp>
      <tp t="s">
        <v>1075UCL25</v>
        <stp/>
        <stp>bse_cm|1075UCL25</stp>
        <stp>Symbol</stp>
        <tr r="A515" s="1"/>
      </tp>
      <tp>
        <v>1004</v>
        <stp/>
        <stp>bse_cm|957JFPL30</stp>
        <stp xml:space="preserve">Low </stp>
        <tr r="O760" s="1"/>
      </tp>
      <tp t="s">
        <v>1060ECL29</v>
        <stp/>
        <stp>bse_cm|1060ECL29</stp>
        <stp>Symbol</stp>
        <tr r="A272" s="1"/>
      </tp>
      <tp t="s">
        <v>CCI110324</v>
        <stp/>
        <stp>bse_cm|CCI110324</stp>
        <stp>Symbol</stp>
        <tr r="A755" s="1"/>
      </tp>
      <tp t="s">
        <v>945CAGL24</v>
        <stp/>
        <stp>bse_cm|945CAGL24</stp>
        <stp>Symbol</stp>
        <tr r="A566" s="1"/>
      </tp>
      <tp t="s">
        <v>1050UCL25</v>
        <stp/>
        <stp>bse_cm|1050UCL25</stp>
        <stp>Symbol</stp>
        <tr r="A417" s="1"/>
      </tp>
      <tp t="s">
        <v>1050VCL25</v>
        <stp/>
        <stp>bse_cm|1050VCL25</stp>
        <stp>Symbol</stp>
        <tr r="A656" s="1"/>
      </tp>
      <tp t="s">
        <v>1050SCL30</v>
        <stp/>
        <stp>bse_cm|1050SCL30</stp>
        <stp>Symbol</stp>
        <tr r="A867" s="1"/>
      </tp>
      <tp t="s">
        <v>1050SCL31</v>
        <stp/>
        <stp>bse_cm|1050SCL31</stp>
        <stp>Symbol</stp>
        <tr r="A892" s="1"/>
      </tp>
      <tp t="s">
        <v>SCL310524</v>
        <stp/>
        <stp>bse_cm|SCL310524</stp>
        <stp>Symbol</stp>
        <tr r="A1345" s="1"/>
      </tp>
      <tp>
        <v>0</v>
        <stp/>
        <stp>bse_cm|975KAFL25</stp>
        <stp xml:space="preserve">Low </stp>
        <tr r="O860" s="1"/>
      </tp>
      <tp>
        <v>0</v>
        <stp/>
        <stp>bse_cm|935KAFL25</stp>
        <stp xml:space="preserve">Low </stp>
        <tr r="O785" s="1"/>
      </tp>
      <tp t="s">
        <v>1040UCL25</v>
        <stp/>
        <stp>bse_cm|1040UCL25</stp>
        <stp>Symbol</stp>
        <tr r="A1612" s="1"/>
      </tp>
      <tp>
        <v>965.25</v>
        <stp/>
        <stp>bse_cm|950KLMF26</stp>
        <stp xml:space="preserve">Low </stp>
        <tr r="O278" s="1"/>
      </tp>
      <tp t="s">
        <v>958NHFL27</v>
        <stp/>
        <stp>bse_cm|958NHFL27</stp>
        <stp>Symbol</stp>
        <tr r="A616" s="1"/>
      </tp>
      <tp t="s">
        <v>750IRFC35</v>
        <stp/>
        <stp>bse_cm|750IRFC35</stp>
        <stp>Symbol</stp>
        <tr r="A488" s="1"/>
      </tp>
      <tp t="s">
        <v>11DLSL25A</v>
        <stp/>
        <stp>nse_cm|11DLSL25A-Y3</stp>
        <stp>Symbol</stp>
        <tr r="A64" s="1"/>
      </tp>
      <tp t="s">
        <v>DLSL25A-Y4</v>
        <stp/>
        <stp>nse_cm|DLSL25A-Y4</stp>
        <stp>Trading Symbol</stp>
        <tr r="B1732" s="1"/>
      </tp>
      <tp t="s">
        <v>753IRFC30</v>
        <stp/>
        <stp>bse_cm|753IRFC30</stp>
        <stp>Symbol</stp>
        <tr r="A454" s="1"/>
      </tp>
      <tp t="s">
        <v>729NHAI26</v>
        <stp/>
        <stp>bse_cm|729NHAI26</stp>
        <stp>Symbol</stp>
        <tr r="A348" s="1"/>
      </tp>
      <tp t="s">
        <v>1030ICC26</v>
        <stp/>
        <stp>bse_cm|1030ICC26</stp>
        <stp>Symbol</stp>
        <tr r="A1538" s="1"/>
      </tp>
      <tp>
        <v>-100</v>
        <stp/>
        <stp>bse_cm|MMFLZC27</stp>
        <stp>% Change</stp>
        <tr r="J1462" s="1"/>
      </tp>
      <tp>
        <v>-100</v>
        <stp/>
        <stp>bse_cm|CIFCZC28</stp>
        <stp>% Change</stp>
        <tr r="J736" s="1"/>
      </tp>
      <tp>
        <v>0</v>
        <stp/>
        <stp>bse_cm|728IREDA26</stp>
        <stp>Ask Rate</stp>
        <tr r="F1203" s="1"/>
      </tp>
      <tp>
        <v>-100</v>
        <stp/>
        <stp>bse_cm|MHFLZC26</stp>
        <stp>% Change</stp>
        <tr r="J1714" s="1"/>
      </tp>
      <tp>
        <v>-100</v>
        <stp/>
        <stp>bse_cm|MMFLZC26</stp>
        <stp>% Change</stp>
        <tr r="J1261" s="1"/>
      </tp>
      <tp>
        <v>-100</v>
        <stp/>
        <stp>bse_cm|IIFLZC26</stp>
        <stp>% Change</stp>
        <tr r="J1236" s="1"/>
      </tp>
      <tp>
        <v>-100</v>
        <stp/>
        <stp>bse_cm|KAFLZC26</stp>
        <stp>% Change</stp>
        <tr r="J1316" s="1"/>
      </tp>
      <tp>
        <v>1017</v>
        <stp/>
        <stp>nse_cm|980IFSL25-N5</stp>
        <stp>Bid Rate</stp>
        <tr r="E476" s="1"/>
      </tp>
      <tp>
        <v>-100</v>
        <stp/>
        <stp>bse_cm|9SFL2026</stp>
        <stp>% Change</stp>
        <tr r="J1473" s="1"/>
      </tp>
      <tp>
        <v>-100</v>
        <stp/>
        <stp>bse_cm|8MFL2026</stp>
        <stp>% Change</stp>
        <tr r="J451" s="1"/>
      </tp>
      <tp>
        <v>-100</v>
        <stp/>
        <stp>bse_cm|8MFLTD26</stp>
        <stp>% Change</stp>
        <tr r="J321" s="1"/>
      </tp>
      <tp>
        <v>-100</v>
        <stp/>
        <stp>bse_cm|MMFLZC25</stp>
        <stp>% Change</stp>
        <tr r="J1731" s="1"/>
      </tp>
      <tp>
        <v>-100</v>
        <stp/>
        <stp>bse_cm|NWFLZC25</stp>
        <stp>% Change</stp>
        <tr r="J1758" s="1"/>
      </tp>
      <tp>
        <v>-100</v>
        <stp/>
        <stp>bse_cm|IIFLZC25</stp>
        <stp>% Change</stp>
        <tr r="J1743" s="1"/>
      </tp>
      <tp>
        <v>980</v>
        <stp/>
        <stp>bse_cm|9MFL25A</stp>
        <stp xml:space="preserve">Low </stp>
        <tr r="O702" s="1"/>
      </tp>
      <tp t="e">
        <v>#N/A</v>
        <stp/>
        <stp>bse_cm|MHFLZC24</stp>
        <stp>% Change</stp>
        <tr r="J35" s="1"/>
      </tp>
      <tp>
        <v>1000</v>
        <stp/>
        <stp>bse_cm|JMFPTBIL25</stp>
        <stp>High</stp>
        <tr r="N9" s="1"/>
      </tp>
      <tp>
        <v>0</v>
        <stp/>
        <stp>bse_cm|830CIFC26</stp>
        <stp>Volume Traded Today</stp>
        <tr r="L1013" s="1"/>
      </tp>
      <tp>
        <v>1164.01</v>
        <stp/>
        <stp>nse_cm|875NHAI29-N6</stp>
        <stp>Bid Rate</stp>
        <tr r="E495" s="1"/>
      </tp>
      <tp>
        <v>1040</v>
        <stp/>
        <stp>nse_cm|960ISFL25-N1</stp>
        <stp>Bid Rate</stp>
        <tr r="E1695" s="1"/>
      </tp>
      <tp>
        <v>870.2</v>
        <stp/>
        <stp>bse_cm|IML1622024</stp>
        <stp>Bid Rate</stp>
        <tr r="E1328" s="1"/>
      </tp>
      <tp>
        <v>990</v>
        <stp/>
        <stp>bse_cm|EFSL28A</stp>
        <stp>High</stp>
        <tr r="N1335" s="1"/>
      </tp>
      <tp>
        <v>1108</v>
        <stp/>
        <stp>bse_cm|97SFL29</stp>
        <stp>Ask Rate</stp>
        <tr r="F21" s="1"/>
      </tp>
      <tp>
        <v>0</v>
        <stp/>
        <stp>nse_cm|835SCL23A-YH</stp>
        <stp>Volume Traded Today</stp>
        <tr r="L833" s="1"/>
      </tp>
      <tp>
        <v>0</v>
        <stp/>
        <stp>nse_cm|835SCL23B-YM</stp>
        <stp>Volume Traded Today</stp>
        <tr r="L179" s="1"/>
      </tp>
      <tp>
        <v>1076.99</v>
        <stp/>
        <stp>bse_cm|753IREDA26</stp>
        <stp>Ask Rate</stp>
        <tr r="F487" s="1"/>
      </tp>
      <tp>
        <v>1065</v>
        <stp/>
        <stp>bse_cm|97SFL28</stp>
        <stp>Ask Rate</stp>
        <tr r="F23" s="1"/>
      </tp>
      <tp>
        <v>0</v>
        <stp/>
        <stp>bse_cm|1071KFL25</stp>
        <stp>ATP</stp>
        <tr r="K1122" s="1"/>
      </tp>
      <tp>
        <v>100</v>
        <stp/>
        <stp>bse_cm|95KFL27A</stp>
        <stp>Ask Qty</stp>
        <tr r="G132" s="1"/>
      </tp>
      <tp>
        <v>0</v>
        <stp/>
        <stp>bse_cm|87SCL27</stp>
        <stp>Ask Rate</stp>
        <tr r="F978" s="1"/>
      </tp>
      <tp>
        <v>976.2</v>
        <stp/>
        <stp>nse_cm|910CAGL25-N7</stp>
        <stp>Bid Rate</stp>
        <tr r="E622" s="1"/>
      </tp>
      <tp>
        <v>0</v>
        <stp/>
        <stp>bse_cm|1070MML25</stp>
        <stp>ATP</stp>
        <tr r="K1504" s="1"/>
      </tp>
      <tp>
        <v>1</v>
        <stp/>
        <stp>bse_cm|96SFL24A</stp>
        <stp>Bid Qty</stp>
        <tr r="D633" s="1"/>
      </tp>
      <tp>
        <v>1048.99</v>
        <stp/>
        <stp>bse_cm|97SFL26</stp>
        <stp>Ask Rate</stp>
        <tr r="F405" s="1"/>
      </tp>
      <tp>
        <v>0</v>
        <stp/>
        <stp>bse_cm|87SCL25</stp>
        <stp>Ask Rate</stp>
        <tr r="F958" s="1"/>
      </tp>
      <tp>
        <v>0</v>
        <stp/>
        <stp>bse_cm|1075UCL25</stp>
        <stp>ATP</stp>
        <tr r="K515" s="1"/>
      </tp>
      <tp t="e">
        <v>#N/A</v>
        <stp/>
        <stp>bse_cm|1075IML24</stp>
        <stp>ATP</stp>
        <tr r="K33" s="1"/>
      </tp>
      <tp>
        <v>0</v>
        <stp/>
        <stp>bse_cm|1075IML27</stp>
        <stp>ATP</stp>
        <tr r="K96" s="1"/>
      </tp>
      <tp>
        <v>0</v>
        <stp/>
        <stp>bse_cm|1175IFL26</stp>
        <stp>ATP</stp>
        <tr r="K1221" s="1"/>
      </tp>
      <tp>
        <v>0</v>
        <stp/>
        <stp>bse_cm|1075MML27</stp>
        <stp>ATP</stp>
        <tr r="K1510" s="1"/>
      </tp>
      <tp>
        <v>0</v>
        <stp/>
        <stp>bse_cm|1075MML26</stp>
        <stp>ATP</stp>
        <tr r="K1115" s="1"/>
      </tp>
      <tp>
        <v>0</v>
        <stp/>
        <stp>bse_cm|1075NFL25</stp>
        <stp>ATP</stp>
        <tr r="K643" s="1"/>
      </tp>
      <tp>
        <v>0</v>
        <stp/>
        <stp>bse_cm|1125CCI27</stp>
        <stp>ATP</stp>
        <tr r="K1229" s="1"/>
      </tp>
      <tp>
        <v>0</v>
        <stp/>
        <stp>bse_cm|1075CCL25</stp>
        <stp>ATP</stp>
        <tr r="K1119" s="1"/>
      </tp>
      <tp>
        <v>1098.55</v>
        <stp/>
        <stp>nse_cm|764IRFC31-NO</stp>
        <stp>Prev Close</stp>
        <tr r="P468" s="1"/>
      </tp>
      <tp>
        <v>921</v>
        <stp/>
        <stp>nse_cm|820IIFL27-N9</stp>
        <stp>Bid Rate</stp>
        <tr r="E266" s="1"/>
      </tp>
      <tp>
        <v>0</v>
        <stp/>
        <stp>bse_cm|1075SCL34</stp>
        <stp>ATP</stp>
        <tr r="K888" s="1"/>
      </tp>
      <tp>
        <v>0</v>
        <stp/>
        <stp>bse_cm|1075SCL33</stp>
        <stp>ATP</stp>
        <tr r="K881" s="1"/>
      </tp>
      <tp>
        <v>-100</v>
        <stp/>
        <stp>bse_cm|CIFCZC25</stp>
        <stp>% Change</stp>
        <tr r="J1436" s="1"/>
      </tp>
      <tp>
        <v>966</v>
        <stp/>
        <stp>nse_cm|960CAGL25-N3</stp>
        <stp>Bid Rate</stp>
        <tr r="E305" s="1"/>
      </tp>
      <tp>
        <v>-100</v>
        <stp/>
        <stp>bse_cm|CIFCZC26</stp>
        <stp>% Change</stp>
        <tr r="J738" s="1"/>
      </tp>
      <tp>
        <v>-100</v>
        <stp/>
        <stp>bse_cm|IIFLHF29</stp>
        <stp>% Change</stp>
        <tr r="J1631" s="1"/>
      </tp>
      <tp>
        <v>919</v>
        <stp/>
        <stp>bse_cm|1003NIDO29</stp>
        <stp>Bid Rate</stp>
        <tr r="E679" s="1"/>
      </tp>
      <tp>
        <v>820.2</v>
        <stp/>
        <stp>bse_cm|1050NIDO29</stp>
        <stp>Bid Rate</stp>
        <tr r="E1124" s="1"/>
      </tp>
      <tp>
        <v>0</v>
        <stp/>
        <stp>bse_cm|840IRFC29</stp>
        <stp>Volume Traded Today</stp>
        <tr r="L1634" s="1"/>
      </tp>
      <tp>
        <v>-100</v>
        <stp/>
        <stp>bse_cm|MMFLZC28</stp>
        <stp>% Change</stp>
        <tr r="J1259" s="1"/>
      </tp>
      <tp>
        <v>-1.85</v>
        <stp/>
        <stp>bse_cm|IIFLZC28</stp>
        <stp>% Change</stp>
        <tr r="J1660" s="1"/>
      </tp>
      <tp>
        <v>-100</v>
        <stp/>
        <stp>bse_cm|KAFLZC28</stp>
        <stp>% Change</stp>
        <tr r="J1315" s="1"/>
      </tp>
      <tp t="s">
        <v>BSE</v>
        <stp/>
        <stp>bse_cm|82IGT31</stp>
        <stp>Exchange</stp>
        <tr r="C383" s="1"/>
      </tp>
      <tp>
        <v>-100</v>
        <stp/>
        <stp>bse_cm|8MFLTD28</stp>
        <stp>% Change</stp>
        <tr r="J366" s="1"/>
      </tp>
      <tp>
        <v>830.2</v>
        <stp/>
        <stp>bse_cm|1003NHFL29</stp>
        <stp>Bid Rate</stp>
        <tr r="E605" s="1"/>
      </tp>
      <tp>
        <v>925</v>
        <stp/>
        <stp>bse_cm|1010NIDO28</stp>
        <stp>Bid Rate</stp>
        <tr r="E199" s="1"/>
      </tp>
      <tp>
        <v>840.2</v>
        <stp/>
        <stp>bse_cm|1050NHFL29</stp>
        <stp>Bid Rate</stp>
        <tr r="E1125" s="1"/>
      </tp>
      <tp>
        <v>0</v>
        <stp/>
        <stp>bse_cm|750IRFC35</stp>
        <stp>Volume Traded Today</stp>
        <tr r="L488" s="1"/>
      </tp>
      <tp t="s">
        <v>BSE</v>
        <stp/>
        <stp>bse_cm|93SCL24</stp>
        <stp>Exchange</stp>
        <tr r="C945" s="1"/>
      </tp>
      <tp t="s">
        <v>BSE</v>
        <stp/>
        <stp>bse_cm|93SCL25</stp>
        <stp>Exchange</stp>
        <tr r="C729" s="1"/>
      </tp>
      <tp>
        <v>940.01</v>
        <stp/>
        <stp>nse_cm|96IIFL28A-NF</stp>
        <stp>LTP</stp>
        <tr r="H81" s="1"/>
      </tp>
      <tp t="s">
        <v/>
        <stp/>
        <stp>nse_cm|96IIFL28A-NF</stp>
        <stp>LTT</stp>
        <tr r="I81" s="1"/>
      </tp>
      <tp>
        <v>0</v>
        <stp/>
        <stp>bse_cm|85PFL26A</stp>
        <stp>Ask Qty</stp>
        <tr r="G711" s="1"/>
      </tp>
      <tp>
        <v>0</v>
        <stp/>
        <stp>nse_cm|816ABFL29-NC</stp>
        <stp>ATP</stp>
        <tr r="K732" s="1"/>
      </tp>
      <tp>
        <v>0</v>
        <stp/>
        <stp>nse_cm|931SFL26A-NA</stp>
        <stp>Volume Traded Today</stp>
        <tr r="L786" s="1"/>
      </tp>
      <tp>
        <v>0</v>
        <stp/>
        <stp>nse_cm|1119NFL27-ND</stp>
        <stp>ATP</stp>
        <tr r="K337" s="1"/>
      </tp>
      <tp t="s">
        <v>INE414G07GI9</v>
        <stp/>
        <stp>bse_cm|MFLVI32F</stp>
        <stp>Isin code</stp>
        <tr r="R704" s="1"/>
      </tp>
      <tp t="s">
        <v>INE414G07FV4</v>
        <stp/>
        <stp>bse_cm|MFLVI31F</stp>
        <stp>Isin code</stp>
        <tr r="R354" s="1"/>
      </tp>
      <tp>
        <v>1019.88</v>
        <stp/>
        <stp>nse_cm|1102NFL26-N8</stp>
        <stp>ATP</stp>
        <tr r="K587" s="1"/>
      </tp>
      <tp>
        <v>0</v>
        <stp/>
        <stp>nse_cm|940ICCL28-NN</stp>
        <stp>ATP</stp>
        <tr r="K779" s="1"/>
      </tp>
      <tp>
        <v>1028</v>
        <stp/>
        <stp>bse_cm|87LTF27</stp>
        <stp>Ask Rate</stp>
        <tr r="F412" s="1"/>
      </tp>
      <tp t="s">
        <v>15:10:45</v>
        <stp/>
        <stp>nse_cm|892PFCL33-N8</stp>
        <stp>LTT</stp>
        <tr r="I530" s="1"/>
      </tp>
      <tp>
        <v>1375</v>
        <stp/>
        <stp>nse_cm|892PFCL33-N8</stp>
        <stp>LTP</stp>
        <tr r="H530" s="1"/>
      </tp>
      <tp>
        <v>1064</v>
        <stp/>
        <stp>nse_cm|830PFCL27-N5</stp>
        <stp>Bid Rate</stp>
        <tr r="E400" s="1"/>
      </tp>
      <tp>
        <v>1460</v>
        <stp/>
        <stp>nse_cm|848NTPC28-N2</stp>
        <stp>Prev Close</stp>
        <tr r="P1405" s="1"/>
      </tp>
      <tp>
        <v>1000</v>
        <stp/>
        <stp>nse_cm|825IIFL25-N7</stp>
        <stp>Face Value</stp>
        <tr r="Q49" s="1"/>
      </tp>
      <tp>
        <v>1111</v>
        <stp/>
        <stp>nse_cm|769NHAI31-NE</stp>
        <stp>ATP</stp>
        <tr r="K461" s="1"/>
      </tp>
      <tp>
        <v>1000</v>
        <stp/>
        <stp>nse_cm|760PFCL35-N3</stp>
        <stp>Face Value</stp>
        <tr r="Q22" s="1"/>
      </tp>
      <tp>
        <v>1182</v>
        <stp/>
        <stp>nse_cm|873NTPC28-N5</stp>
        <stp>Prev Close</stp>
        <tr r="P541" s="1"/>
      </tp>
      <tp>
        <v>1000</v>
        <stp/>
        <stp>nse_cm|735PFCL35-N1</stp>
        <stp>Face Value</stp>
        <tr r="Q26" s="1"/>
      </tp>
      <tp>
        <v>1065</v>
        <stp/>
        <stp>bse_cm|1025NWFL25</stp>
        <stp>Bid Rate</stp>
        <tr r="E154" s="1"/>
      </tp>
      <tp>
        <v>-100</v>
        <stp/>
        <stp>bse_cm|JMFPZC26</stp>
        <stp>% Change</stp>
        <tr r="J1323" s="1"/>
      </tp>
      <tp>
        <v>0</v>
        <stp/>
        <stp>bse_cm|77IGT28</stp>
        <stp>Ask Rate</stp>
        <tr r="F1191" s="1"/>
      </tp>
      <tp>
        <v>-100</v>
        <stp/>
        <stp>bse_cm|JMFPZC25</stp>
        <stp>% Change</stp>
        <tr r="J1324" s="1"/>
      </tp>
      <tp>
        <v>1165.0999999999999</v>
        <stp/>
        <stp>nse_cm|760PFCL35-N3</stp>
        <stp>Bid Rate</stp>
        <tr r="E22" s="1"/>
      </tp>
      <tp>
        <v>0</v>
        <stp/>
        <stp>nse_cm|879SCL26-NC</stp>
        <stp>Ask Qty</stp>
        <tr r="G720" s="1"/>
      </tp>
      <tp>
        <v>-100</v>
        <stp/>
        <stp>bse_cm|KFLZC28A</stp>
        <stp>% Change</stp>
        <tr r="J1289" s="1"/>
      </tp>
      <tp>
        <v>1051.5</v>
        <stp/>
        <stp>nse_cm|9SCFL25-Y5</stp>
        <stp>High</stp>
        <tr r="N389" s="1"/>
      </tp>
      <tp>
        <v>100</v>
        <stp/>
        <stp>nse_cm|865SCL26-N8</stp>
        <stp>Ask Qty</stp>
        <tr r="G310" s="1"/>
      </tp>
      <tp t="s">
        <v/>
        <stp/>
        <stp>nse_cm|965SCL25E-BF</stp>
        <stp>LTT</stp>
        <tr r="I413" s="1"/>
      </tp>
      <tp>
        <v>965.82</v>
        <stp/>
        <stp>nse_cm|965SCL25E-BF</stp>
        <stp>LTP</stp>
        <tr r="H413" s="1"/>
      </tp>
      <tp t="s">
        <v/>
        <stp/>
        <stp>nse_cm|965SCL28C-BR</stp>
        <stp>LTT</stp>
        <tr r="I817" s="1"/>
      </tp>
      <tp>
        <v>0</v>
        <stp/>
        <stp>nse_cm|965SCL28C-BR</stp>
        <stp>LTP</stp>
        <tr r="H817" s="1"/>
      </tp>
      <tp>
        <v>-100</v>
        <stp/>
        <stp>bse_cm|KFLZC28C</stp>
        <stp>% Change</stp>
        <tr r="J1287" s="1"/>
      </tp>
      <tp>
        <v>-100</v>
        <stp/>
        <stp>bse_cm|KFLZC28B</stp>
        <stp>% Change</stp>
        <tr r="J1288" s="1"/>
      </tp>
      <tp>
        <v>1051</v>
        <stp/>
        <stp>nse_cm|97SFL28-YS</stp>
        <stp>High</stp>
        <tr r="N19" s="1"/>
      </tp>
      <tp>
        <v>0</v>
        <stp/>
        <stp>nse_cm|801TCH28-N7</stp>
        <stp>Ask Qty</stp>
        <tr r="G1181" s="1"/>
      </tp>
      <tp>
        <v>1</v>
        <stp/>
        <stp>nse_cm|801TCH25-N4</stp>
        <stp>Ask Qty</stp>
        <tr r="G493" s="1"/>
      </tp>
      <tp>
        <v>-100</v>
        <stp/>
        <stp>bse_cm|MFLZC28E</stp>
        <stp>% Change</stp>
        <tr r="J1269" s="1"/>
      </tp>
      <tp>
        <v>0</v>
        <stp/>
        <stp>nse_cm|990SCFL26-AJ</stp>
        <stp>Volume Traded Today</stp>
        <tr r="L1523" s="1"/>
      </tp>
      <tp t="s">
        <v>99IFCI24</v>
        <stp/>
        <stp>nse_cm|99IFCI24-NH</stp>
        <stp>Symbol</stp>
        <tr r="A39" s="1"/>
      </tp>
      <tp>
        <v>925.2</v>
        <stp/>
        <stp>nse_cm|948SCL26B-Y8</stp>
        <stp>High</stp>
        <tr r="N159" s="1"/>
      </tp>
      <tp>
        <v>0</v>
        <stp/>
        <stp>nse_cm|84CIFCL28-NA</stp>
        <stp>ATP</stp>
        <tr r="K388" s="1"/>
      </tp>
      <tp>
        <v>-100</v>
        <stp/>
        <stp>bse_cm|MFLZC28F</stp>
        <stp>% Change</stp>
        <tr r="J1268" s="1"/>
      </tp>
      <tp>
        <v>0</v>
        <stp/>
        <stp>bse_cm|697PFCL36</stp>
        <stp>ATP</stp>
        <tr r="K431" s="1"/>
      </tp>
      <tp>
        <v>0</v>
        <stp/>
        <stp>bse_cm|747PFCL33</stp>
        <stp>ATP</stp>
        <tr r="K1199" s="1"/>
      </tp>
      <tp>
        <v>1105</v>
        <stp/>
        <stp>nse_cm|97SFL29-YZ</stp>
        <stp>High</stp>
        <tr r="N20" s="1"/>
      </tp>
      <tp>
        <v>0</v>
        <stp/>
        <stp>nse_cm|888SCL25B-Y2</stp>
        <stp>High</stp>
        <tr r="N789" s="1"/>
      </tp>
      <tp t="s">
        <v>09:39:01</v>
        <stp/>
        <stp>nse_cm|965SCL25A-NF</stp>
        <stp>LTT</stp>
        <tr r="I163" s="1"/>
      </tp>
      <tp>
        <v>1056.8</v>
        <stp/>
        <stp>nse_cm|965SCL25A-NF</stp>
        <stp>LTP</stp>
        <tr r="H163" s="1"/>
      </tp>
      <tp t="s">
        <v/>
        <stp/>
        <stp>nse_cm|965SCL28A-NQ</stp>
        <stp>LTT</stp>
        <tr r="I897" s="1"/>
      </tp>
      <tp>
        <v>910.2</v>
        <stp/>
        <stp>nse_cm|965SCL25F-NZ</stp>
        <stp>LTP</stp>
        <tr r="H1362" s="1"/>
      </tp>
      <tp>
        <v>0</v>
        <stp/>
        <stp>nse_cm|965SCL28A-NQ</stp>
        <stp>LTP</stp>
        <tr r="H897" s="1"/>
      </tp>
      <tp t="s">
        <v/>
        <stp/>
        <stp>nse_cm|965SCL25F-NZ</stp>
        <stp>LTT</stp>
        <tr r="I1362" s="1"/>
      </tp>
      <tp>
        <v>900</v>
        <stp/>
        <stp>nse_cm|965SCL25C-N0</stp>
        <stp>LTP</stp>
        <tr r="H507" s="1"/>
      </tp>
      <tp t="s">
        <v/>
        <stp/>
        <stp>nse_cm|965SCL25C-N0</stp>
        <stp>LTT</stp>
        <tr r="I507" s="1"/>
      </tp>
      <tp>
        <v>0</v>
        <stp/>
        <stp>nse_cm|888SCL25-NG</stp>
        <stp>Ask Qty</stp>
        <tr r="G912" s="1"/>
      </tp>
      <tp>
        <v>5</v>
        <stp/>
        <stp>nse_cm|889SCL26-NS</stp>
        <stp>Ask Qty</stp>
        <tr r="G222" s="1"/>
      </tp>
      <tp>
        <v>0</v>
        <stp/>
        <stp>nse_cm|889SCL28-NU</stp>
        <stp>Ask Qty</stp>
        <tr r="G989" s="1"/>
      </tp>
      <tp>
        <v>0</v>
        <stp/>
        <stp>nse_cm|885SCL26-N9</stp>
        <stp>Ask Qty</stp>
        <tr r="G686" s="1"/>
      </tp>
      <tp>
        <v>0</v>
        <stp/>
        <stp>nse_cm|833SCL24-ZE</stp>
        <stp>Ask Qty</stp>
        <tr r="G957" s="1"/>
      </tp>
      <tp>
        <v>0</v>
        <stp/>
        <stp>bse_cm|957ISFL26</stp>
        <stp>ATP</stp>
        <tr r="K761" s="1"/>
      </tp>
      <tp t="s">
        <v>00:00:00</v>
        <stp/>
        <stp>bse_cm|865IRFC29</stp>
        <stp>LTT</stp>
        <tr r="I501" s="1"/>
      </tp>
      <tp>
        <v>0</v>
        <stp/>
        <stp>bse_cm|865IRFC29</stp>
        <stp>LTP</stp>
        <tr r="H501" s="1"/>
      </tp>
      <tp>
        <v>0</v>
        <stp/>
        <stp>bse_cm|957ICCL25</stp>
        <stp>ATP</stp>
        <tr r="K432" s="1"/>
      </tp>
      <tp>
        <v>0</v>
        <stp/>
        <stp>bse_cm|957ICCL28</stp>
        <stp>ATP</stp>
        <tr r="K1572" s="1"/>
      </tp>
      <tp>
        <v>0</v>
        <stp/>
        <stp>bse_cm|728IRFC30</stp>
        <stp>ATP</stp>
        <tr r="K469" s="1"/>
      </tp>
      <tp>
        <v>0</v>
        <stp/>
        <stp>bse_cm|735IRFC31</stp>
        <stp>LTP</stp>
        <tr r="H1427" s="1"/>
      </tp>
      <tp t="s">
        <v>00:00:00</v>
        <stp/>
        <stp>bse_cm|725IRFC35</stp>
        <stp>LTT</stp>
        <tr r="I560" s="1"/>
      </tp>
      <tp t="s">
        <v>00:00:00</v>
        <stp/>
        <stp>bse_cm|735IRFC31</stp>
        <stp>LTT</stp>
        <tr r="I1427" s="1"/>
      </tp>
      <tp>
        <v>0</v>
        <stp/>
        <stp>bse_cm|725IRFC35</stp>
        <stp>LTP</stp>
        <tr r="H560" s="1"/>
      </tp>
      <tp>
        <v>0</v>
        <stp/>
        <stp>nse_cm|820SCL25-YO</stp>
        <stp>Ask Qty</stp>
        <tr r="G932" s="1"/>
      </tp>
      <tp>
        <v>0</v>
        <stp/>
        <stp>bse_cm|CCILZC25A</stp>
        <stp>ATP</stp>
        <tr r="K749" s="1"/>
      </tp>
      <tp>
        <v>0</v>
        <stp/>
        <stp>bse_cm|957JFPL30</stp>
        <stp>ATP</stp>
        <tr r="K760" s="1"/>
      </tp>
      <tp t="s">
        <v>00:00:00</v>
        <stp/>
        <stp>bse_cm|950KLMF26</stp>
        <stp>LTT</stp>
        <tr r="I278" s="1"/>
      </tp>
      <tp>
        <v>0</v>
        <stp/>
        <stp>bse_cm|950KLMF26</stp>
        <stp>LTP</stp>
        <tr r="H278" s="1"/>
      </tp>
      <tp t="s">
        <v>00:00:00</v>
        <stp/>
        <stp>bse_cm|11DLSL25A</stp>
        <stp>LTT</stp>
        <tr r="I300" s="1"/>
      </tp>
      <tp>
        <v>0</v>
        <stp/>
        <stp>bse_cm|11DLSL25A</stp>
        <stp>LTP</stp>
        <tr r="H300" s="1"/>
      </tp>
      <tp>
        <v>4</v>
        <stp/>
        <stp>nse_cm|105UCL2026-NB</stp>
        <stp>Ask Qty</stp>
        <tr r="G130" s="1"/>
      </tp>
      <tp>
        <v>0</v>
        <stp/>
        <stp>nse_cm|843SCL27-YS</stp>
        <stp>Ask Qty</stp>
        <tr r="G944" s="1"/>
      </tp>
      <tp>
        <v>0</v>
        <stp/>
        <stp>nse_cm|865SCL24-ZA</stp>
        <stp>Ask Qty</stp>
        <tr r="G954" s="1"/>
      </tp>
      <tp>
        <v>0</v>
        <stp/>
        <stp>nse_cm|850SCL25-YL</stp>
        <stp>Ask Qty</stp>
        <tr r="G922" s="1"/>
      </tp>
      <tp>
        <v>990</v>
        <stp/>
        <stp>nse_cm|850IIFL27-NA</stp>
        <stp>Bid Rate</stp>
        <tr r="E608" s="1"/>
      </tp>
      <tp>
        <v>0</v>
        <stp/>
        <stp>nse_cm|866SCL25-YP</stp>
        <stp>Ask Qty</stp>
        <tr r="G933" s="1"/>
      </tp>
      <tp>
        <v>0</v>
        <stp/>
        <stp>nse_cm|857SCL24-ZQ</stp>
        <stp>Ask Qty</stp>
        <tr r="G975" s="1"/>
      </tp>
      <tp>
        <v>0</v>
        <stp/>
        <stp>bse_cm|1025SFL25A</stp>
        <stp>Ask Rate</stp>
        <tr r="F1070" s="1"/>
      </tp>
      <tp>
        <v>0</v>
        <stp/>
        <stp>nse_cm|875SCL27-YQ</stp>
        <stp>Ask Qty</stp>
        <tr r="G937" s="1"/>
      </tp>
      <tp>
        <v>1001</v>
        <stp/>
        <stp>nse_cm|1102NFL26-N8</stp>
        <stp>Bid Rate</stp>
        <tr r="E587" s="1"/>
      </tp>
      <tp>
        <v>5</v>
        <stp/>
        <stp>nse_cm|847SCL25-Z2</stp>
        <stp>Ask Qty</stp>
        <tr r="G212" s="1"/>
      </tp>
      <tp>
        <v>0</v>
        <stp/>
        <stp>nse_cm|888SCL26-YP</stp>
        <stp>Ask Qty</stp>
        <tr r="G841" s="1"/>
      </tp>
      <tp>
        <v>54</v>
        <stp/>
        <stp>nse_cm|889SCL27-YT</stp>
        <stp>Ask Qty</stp>
        <tr r="G120" s="1"/>
      </tp>
      <tp>
        <v>705.2</v>
        <stp/>
        <stp>nse_cm|980ICCL28-NL</stp>
        <stp>Bid Rate</stp>
        <tr r="E780" s="1"/>
      </tp>
      <tp t="s">
        <v/>
        <stp/>
        <stp>nse_cm|965SCL28B-YB</stp>
        <stp>LTT</stp>
        <tr r="I819" s="1"/>
      </tp>
      <tp>
        <v>0</v>
        <stp/>
        <stp>nse_cm|965SCL28B-YB</stp>
        <stp>LTP</stp>
        <tr r="H819" s="1"/>
      </tp>
      <tp t="s">
        <v>00:00:00</v>
        <stp/>
        <stp>bse_cm|11EFSL34A</stp>
        <stp>LTT</stp>
        <tr r="I1408" s="1"/>
      </tp>
      <tp t="s">
        <v>00:00:00</v>
        <stp/>
        <stp>bse_cm|10EFSL34A</stp>
        <stp>LTT</stp>
        <tr r="I131" s="1"/>
      </tp>
      <tp>
        <v>0</v>
        <stp/>
        <stp>bse_cm|11EFSL34A</stp>
        <stp>LTP</stp>
        <tr r="H1408" s="1"/>
      </tp>
      <tp>
        <v>0</v>
        <stp/>
        <stp>bse_cm|10EFSL34A</stp>
        <stp>LTP</stp>
        <tr r="H131" s="1"/>
      </tp>
      <tp>
        <v>893.71</v>
        <stp/>
        <stp>bse_cm|1025KFL27A</stp>
        <stp>Bid Rate</stp>
        <tr r="E89" s="1"/>
      </tp>
      <tp t="s">
        <v>NSE</v>
        <stp/>
        <stp>nse_cm|889SCFL27-YC</stp>
        <stp>Exchange</stp>
        <tr r="C595" s="1"/>
      </tp>
      <tp>
        <v>1035.5999999999999</v>
        <stp/>
        <stp>nse_cm|965SCL25B-Y1</stp>
        <stp>LTP</stp>
        <tr r="H1502" s="1"/>
      </tp>
      <tp t="s">
        <v/>
        <stp/>
        <stp>nse_cm|965SCL25B-Y1</stp>
        <stp>LTT</stp>
        <tr r="I1502" s="1"/>
      </tp>
      <tp>
        <v>821.65</v>
        <stp/>
        <stp>bse_cm|1010EFS29A</stp>
        <stp>Bid Rate</stp>
        <tr r="E1593" s="1"/>
      </tp>
      <tp>
        <v>1010</v>
        <stp/>
        <stp>nse_cm|965SCL26A-ZB</stp>
        <stp>LTP</stp>
        <tr r="H135" s="1"/>
      </tp>
      <tp t="s">
        <v/>
        <stp/>
        <stp>nse_cm|965SCL26A-ZB</stp>
        <stp>LTT</stp>
        <tr r="I135" s="1"/>
      </tp>
      <tp>
        <v>0</v>
        <stp/>
        <stp>nse_cm|894SCL24-ZR</stp>
        <stp>Ask Qty</stp>
        <tr r="G661" s="1"/>
      </tp>
      <tp>
        <v>0</v>
        <stp/>
        <stp>nse_cm|894SCL27-ZY</stp>
        <stp>Ask Qty</stp>
        <tr r="G731" s="1"/>
      </tp>
      <tp>
        <v>0</v>
        <stp/>
        <stp>nse_cm|940ICCL28-NN</stp>
        <stp>Bid Rate</stp>
        <tr r="E779" s="1"/>
      </tp>
      <tp>
        <v>1011.45</v>
        <stp/>
        <stp>nse_cm|970CAGL28-ND</stp>
        <stp>Bid Rate</stp>
        <tr r="E306" s="1"/>
      </tp>
      <tp>
        <v>0</v>
        <stp/>
        <stp>bse_cm|96IIFL28A</stp>
        <stp>ATP</stp>
        <tr r="K88" s="1"/>
      </tp>
      <tp>
        <v>0</v>
        <stp/>
        <stp>bse_cm|10IIFL28A</stp>
        <stp>ATP</stp>
        <tr r="K101" s="1"/>
      </tp>
      <tp>
        <v>830</v>
        <stp/>
        <stp>nse_cm|865SCL24B-Z8</stp>
        <stp>LTP</stp>
        <tr r="H952" s="1"/>
      </tp>
      <tp t="s">
        <v/>
        <stp/>
        <stp>nse_cm|865SCL24B-Z8</stp>
        <stp>LTT</stp>
        <tr r="I952" s="1"/>
      </tp>
      <tp>
        <v>5</v>
        <stp/>
        <stp>nse_cm|894SCL25-Z3</stp>
        <stp>Ask Qty</stp>
        <tr r="G1698" s="1"/>
      </tp>
      <tp>
        <v>992.57</v>
        <stp/>
        <stp>nse_cm|940CAGL27-NB</stp>
        <stp>Bid Rate</stp>
        <tr r="E1367" s="1"/>
      </tp>
      <tp>
        <v>0</v>
        <stp/>
        <stp>bse_cm|957EFSL27</stp>
        <stp>ATP</stp>
        <tr r="K576" s="1"/>
      </tp>
      <tp>
        <v>0</v>
        <stp/>
        <stp>bse_cm|967EFSL28</stp>
        <stp>ATP</stp>
        <tr r="K205" s="1"/>
      </tp>
      <tp>
        <v>0</v>
        <stp/>
        <stp>bse_cm|967EFSL29</stp>
        <stp>ATP</stp>
        <tr r="K102" s="1"/>
      </tp>
      <tp t="s">
        <v>09:42:53</v>
        <stp/>
        <stp>bse_cm|93EFSL31A</stp>
        <stp>LTT</stp>
        <tr r="I85" s="1"/>
      </tp>
      <tp t="s">
        <v>00:00:00</v>
        <stp/>
        <stp>bse_cm|97EFSL31A</stp>
        <stp>LTT</stp>
        <tr r="I598" s="1"/>
      </tp>
      <tp>
        <v>899.8</v>
        <stp/>
        <stp>bse_cm|93EFSL31A</stp>
        <stp>LTP</stp>
        <tr r="H85" s="1"/>
      </tp>
      <tp>
        <v>0</v>
        <stp/>
        <stp>bse_cm|97EFSL31A</stp>
        <stp>LTP</stp>
        <tr r="H598" s="1"/>
      </tp>
      <tp>
        <v>930</v>
        <stp/>
        <stp>nse_cm|9IIFL28-Y0</stp>
        <stp>High</stp>
        <tr r="N175" s="1"/>
      </tp>
      <tp t="s">
        <v>00:00:00</v>
        <stp/>
        <stp>bse_cm|10EFSL33B</stp>
        <stp>LTT</stp>
        <tr r="I136" s="1"/>
      </tp>
      <tp t="s">
        <v>00:00:00</v>
        <stp/>
        <stp>bse_cm|10EFSL33A</stp>
        <stp>LTT</stp>
        <tr r="I140" s="1"/>
      </tp>
      <tp>
        <v>940</v>
        <stp/>
        <stp>bse_cm|10EFSL33B</stp>
        <stp>LTP</stp>
        <tr r="H136" s="1"/>
      </tp>
      <tp>
        <v>0</v>
        <stp/>
        <stp>bse_cm|10EFSL33A</stp>
        <stp>LTP</stp>
        <tr r="H140" s="1"/>
      </tp>
      <tp>
        <v>0</v>
        <stp/>
        <stp>bse_cm|MFLIV26</stp>
        <stp>ATP</stp>
        <tr r="K1500" s="1"/>
      </tp>
      <tp>
        <v>1043.8</v>
        <stp/>
        <stp>bse_cm|MFLIV25</stp>
        <stp>ATP</stp>
        <tr r="K280" s="1"/>
      </tp>
      <tp>
        <v>1048</v>
        <stp/>
        <stp>nse_cm|94SFL28-YL</stp>
        <stp>High</stp>
        <tr r="N5" s="1"/>
      </tp>
      <tp t="s">
        <v>BSE</v>
        <stp/>
        <stp>bse_cm|1102NFL26</stp>
        <stp>Exchange</stp>
        <tr r="C567" s="1"/>
      </tp>
      <tp t="s">
        <v>BSE</v>
        <stp/>
        <stp>bse_cm|EFS290424</stp>
        <stp>Exchange</stp>
        <tr r="C570" s="1"/>
      </tp>
      <tp>
        <v>15</v>
        <stp/>
        <stp>bse_cm|791JMFPL26</stp>
        <stp>Ask Qty</stp>
        <tr r="G276" s="1"/>
      </tp>
      <tp>
        <v>1008.75</v>
        <stp/>
        <stp>bse_cm|9PCHFL31A</stp>
        <stp xml:space="preserve">Low </stp>
        <tr r="O301" s="1"/>
      </tp>
      <tp t="s">
        <v>INE148I08272</v>
        <stp/>
        <stp>nse_cm|SCLZC26A-NF</stp>
        <stp>Isin code</stp>
        <tr r="R993" s="1"/>
      </tp>
      <tp>
        <v>1004.99</v>
        <stp/>
        <stp>bse_cm|975MFL24B</stp>
        <stp xml:space="preserve">Low </stp>
        <tr r="O415" s="1"/>
      </tp>
      <tp>
        <v>0</v>
        <stp/>
        <stp>bse_cm|925SCL25Z</stp>
        <stp>Open</stp>
        <tr r="M790" s="1"/>
      </tp>
      <tp>
        <v>0</v>
        <stp/>
        <stp>bse_cm|1045EFS34A</stp>
        <stp>Ask Qty</stp>
        <tr r="G1029" s="1"/>
      </tp>
      <tp>
        <v>20</v>
        <stp/>
        <stp>bse_cm|820JMFPL26</stp>
        <stp>Ask Qty</stp>
        <tr r="G349" s="1"/>
      </tp>
      <tp>
        <v>113</v>
        <stp/>
        <stp>bse_cm|1045EFS33B</stp>
        <stp>Ask Qty</stp>
        <tr r="G117" s="1"/>
      </tp>
      <tp>
        <v>182</v>
        <stp/>
        <stp>bse_cm|1045EFS33A</stp>
        <stp>Ask Qty</stp>
        <tr r="G95" s="1"/>
      </tp>
      <tp>
        <v>127</v>
        <stp/>
        <stp>bse_cm|830JMFPL30</stp>
        <stp>Ask Qty</stp>
        <tr r="G251" s="1"/>
      </tp>
      <tp>
        <v>0</v>
        <stp/>
        <stp>bse_cm|925SCL25B</stp>
        <stp>Open</stp>
        <tr r="M1490" s="1"/>
      </tp>
      <tp>
        <v>0</v>
        <stp/>
        <stp>bse_cm|965SCL25B</stp>
        <stp>Open</stp>
        <tr r="M1507" s="1"/>
      </tp>
      <tp>
        <v>55</v>
        <stp/>
        <stp>bse_cm|125ICLFL28</stp>
        <stp>Bid Qty</stp>
        <tr r="D264" s="1"/>
      </tp>
      <tp>
        <v>50</v>
        <stp/>
        <stp>bse_cm|115ICLFL25</stp>
        <stp>Bid Qty</stp>
        <tr r="D1223" s="1"/>
      </tp>
      <tp>
        <v>0</v>
        <stp/>
        <stp>bse_cm|888SCL25B</stp>
        <stp>Open</stp>
        <tr r="M909" s="1"/>
      </tp>
      <tp>
        <v>0</v>
        <stp/>
        <stp>bse_cm|925SCL25C</stp>
        <stp>Open</stp>
        <tr r="M676" s="1"/>
      </tp>
      <tp>
        <v>0</v>
        <stp/>
        <stp>bse_cm|965SCL25C</stp>
        <stp>Open</stp>
        <tr r="M506" s="1"/>
      </tp>
      <tp>
        <v>0</v>
        <stp/>
        <stp>bse_cm|888SCL25A</stp>
        <stp>Open</stp>
        <tr r="M911" s="1"/>
      </tp>
      <tp>
        <v>0</v>
        <stp/>
        <stp>bse_cm|894SCL25A</stp>
        <stp>Open</stp>
        <tr r="M1235" s="1"/>
      </tp>
      <tp>
        <v>0</v>
        <stp/>
        <stp>bse_cm|850SCL25A</stp>
        <stp>Open</stp>
        <tr r="M1387" s="1"/>
      </tp>
      <tp t="s">
        <v>85PCHFL26</v>
        <stp/>
        <stp>bse_cm|85PCHFL26</stp>
        <stp>Symbol</stp>
        <tr r="A713" s="1"/>
      </tp>
      <tp>
        <v>0</v>
        <stp/>
        <stp>bse_cm|925SCL25A</stp>
        <stp>Open</stp>
        <tr r="M1515" s="1"/>
      </tp>
      <tp>
        <v>0</v>
        <stp/>
        <stp>bse_cm|965SCL25A</stp>
        <stp>Open</stp>
        <tr r="M234" s="1"/>
      </tp>
      <tp>
        <v>0</v>
        <stp/>
        <stp>bse_cm|MFLTDVI25</stp>
        <stp>Open</stp>
        <tr r="M1686" s="1"/>
      </tp>
      <tp>
        <v>0</v>
        <stp/>
        <stp>bse_cm|925SCL25F</stp>
        <stp>Open</stp>
        <tr r="M719" s="1"/>
      </tp>
      <tp>
        <v>0</v>
        <stp/>
        <stp>bse_cm|965SCL25F</stp>
        <stp>Open</stp>
        <tr r="M673" s="1"/>
      </tp>
      <tp>
        <v>0</v>
        <stp/>
        <stp>bse_cm|925SCL25G</stp>
        <stp>Open</stp>
        <tr r="M717" s="1"/>
      </tp>
      <tp>
        <v>0</v>
        <stp/>
        <stp>bse_cm|MFLTDII27</stp>
        <stp>Open</stp>
        <tr r="M297" s="1"/>
      </tp>
      <tp>
        <v>0</v>
        <stp/>
        <stp>bse_cm|888SCL25E</stp>
        <stp>Open</stp>
        <tr r="M1356" s="1"/>
      </tp>
      <tp>
        <v>0</v>
        <stp/>
        <stp>bse_cm|888SCL25D</stp>
        <stp>Open</stp>
        <tr r="M788" s="1"/>
      </tp>
      <tp>
        <v>0</v>
        <stp/>
        <stp>bse_cm|965SCL25E</stp>
        <stp>Open</stp>
        <tr r="M414" s="1"/>
      </tp>
      <tp t="s">
        <v>BSE</v>
        <stp/>
        <stp>bse_cm|SFL270224</stp>
        <stp>Exchange</stp>
        <tr r="C808" s="1"/>
      </tp>
      <tp>
        <v>1014</v>
        <stp/>
        <stp>bse_cm|11DLSL25A</stp>
        <stp xml:space="preserve">Low </stp>
        <tr r="O300" s="1"/>
      </tp>
      <tp t="s">
        <v>BSE</v>
        <stp/>
        <stp>bse_cm|1003SCL31</stp>
        <stp>Exchange</stp>
        <tr r="C727" s="1"/>
      </tp>
      <tp>
        <v>0</v>
        <stp/>
        <stp>bse_cm|1075SCL33B</stp>
        <stp>Ask Qty</stp>
        <tr r="G706" s="1"/>
      </tp>
      <tp>
        <v>0</v>
        <stp/>
        <stp>bse_cm|1025SCL33A</stp>
        <stp>Ask Qty</stp>
        <tr r="G835" s="1"/>
      </tp>
      <tp>
        <v>0</v>
        <stp/>
        <stp>bse_cm|1075SCL33A</stp>
        <stp>Ask Qty</stp>
        <tr r="G629" s="1"/>
      </tp>
      <tp>
        <v>0</v>
        <stp/>
        <stp>bse_cm|925SCL25H</stp>
        <stp>Open</stp>
        <tr r="M886" s="1"/>
      </tp>
      <tp t="s">
        <v>BSE</v>
        <stp/>
        <stp>bse_cm|1003SCL30</stp>
        <stp>Exchange</stp>
        <tr r="C877" s="1"/>
      </tp>
      <tp>
        <v>0</v>
        <stp/>
        <stp>bse_cm|1025SCL34A</stp>
        <stp>Ask Qty</stp>
        <tr r="G672" s="1"/>
      </tp>
      <tp t="s">
        <v>INE0BUS07AT5</v>
        <stp/>
        <stp>bse_cm|1150IML29</stp>
        <stp>Isin code</stp>
        <tr r="R601" s="1"/>
      </tp>
      <tp>
        <v>1025.78</v>
        <stp/>
        <stp>bse_cm|93MOFSL34</stp>
        <stp>High</stp>
        <tr r="N312" s="1"/>
      </tp>
      <tp>
        <v>1070</v>
        <stp/>
        <stp>bse_cm|97MOFSL34</stp>
        <stp>High</stp>
        <tr r="N1600" s="1"/>
      </tp>
      <tp>
        <v>941</v>
        <stp/>
        <stp>bse_cm|967NIDO28</stp>
        <stp>High</stp>
        <tr r="N227" s="1"/>
      </tp>
      <tp>
        <v>1059</v>
        <stp/>
        <stp>bse_cm|739NHAI26</stp>
        <stp>High</stp>
        <tr r="N442" s="1"/>
      </tp>
      <tp>
        <v>1027</v>
        <stp/>
        <stp>bse_cm|729NHAI26</stp>
        <stp>High</stp>
        <tr r="N348" s="1"/>
      </tp>
      <tp>
        <v>1030</v>
        <stp/>
        <stp>bse_cm|714NHAI26</stp>
        <stp>High</stp>
        <tr r="N1662" s="1"/>
      </tp>
      <tp>
        <v>0</v>
        <stp/>
        <stp>bse_cm|704NHAI26</stp>
        <stp>High</stp>
        <tr r="N1204" s="1"/>
      </tp>
      <tp>
        <v>1199.95</v>
        <stp/>
        <stp>bse_cm|875NHAI29</stp>
        <stp>High</stp>
        <tr r="N496" s="1"/>
      </tp>
      <tp>
        <v>1153.51</v>
        <stp/>
        <stp>bse_cm|850NHAI29</stp>
        <stp>High</stp>
        <tr r="N580" s="1"/>
      </tp>
      <tp>
        <v>1290.8</v>
        <stp/>
        <stp>bse_cm|EFSLZC26A</stp>
        <stp xml:space="preserve">Low </stp>
        <tr r="O1574" s="1"/>
      </tp>
      <tp t="s">
        <v>INE134E07AP6</v>
        <stp/>
        <stp>bse_cm|683PFCL31</stp>
        <stp>Isin code</stp>
        <tr r="R449" s="1"/>
      </tp>
      <tp t="s">
        <v>INE134E07AL5</v>
        <stp/>
        <stp>bse_cm|682PFCL31</stp>
        <stp>Isin code</stp>
        <tr r="R433" s="1"/>
      </tp>
      <tp t="s">
        <v>95CCIL25</v>
        <stp/>
        <stp>bse_cm|95CCIL25</stp>
        <stp>Trading Symbol</stp>
        <tr r="B37" s="1"/>
      </tp>
      <tp t="s">
        <v>925IHFL25D-N6</v>
        <stp/>
        <stp>nse_cm|925IHFL25D-N6</stp>
        <stp>Trading Symbol</stp>
        <tr r="B575" s="1"/>
      </tp>
      <tp t="s">
        <v>925ICCL24A-NE</v>
        <stp/>
        <stp>nse_cm|925ICCL24A-NE</stp>
        <stp>Trading Symbol</stp>
        <tr r="B1393" s="1"/>
      </tp>
      <tp t="s">
        <v>875IIFL26A-NQ</v>
        <stp/>
        <stp>nse_cm|875IIFL26A-NQ</stp>
        <stp>Trading Symbol</stp>
        <tr r="B634" s="1"/>
      </tp>
      <tp>
        <v>1009.9</v>
        <stp/>
        <stp>bse_cm|EFSLZC26C</stp>
        <stp xml:space="preserve">Low </stp>
        <tr r="O1332" s="1"/>
      </tp>
      <tp>
        <v>1108.24</v>
        <stp/>
        <stp>bse_cm|EFSLZC26B</stp>
        <stp xml:space="preserve">Low </stp>
        <tr r="O1678" s="1"/>
      </tp>
      <tp t="s">
        <v>INE244L07184</v>
        <stp/>
        <stp>nse_cm|92ICCL28-ND</stp>
        <stp>Isin code</stp>
        <tr r="R203" s="1"/>
      </tp>
      <tp t="s">
        <v>INE134E07AK7</v>
        <stp/>
        <stp>bse_cm|663PFCL31</stp>
        <stp>Isin code</stp>
        <tr r="R1208" s="1"/>
      </tp>
      <tp t="s">
        <v>81TCHF28</v>
        <stp/>
        <stp>bse_cm|81TCHF28</stp>
        <stp>Trading Symbol</stp>
        <tr r="B479" s="1"/>
      </tp>
      <tp>
        <v>1116.1500000000001</v>
        <stp/>
        <stp>bse_cm|IIFLZC26A</stp>
        <stp xml:space="preserve">Low </stp>
        <tr r="O1674" s="1"/>
      </tp>
      <tp t="s">
        <v>INE01CY077P7</v>
        <stp/>
        <stp>bse_cm|1250IFL29</stp>
        <stp>Isin code</stp>
        <tr r="R1215" s="1"/>
      </tp>
      <tp>
        <v>1180</v>
        <stp/>
        <stp>bse_cm|750IRFC35</stp>
        <stp xml:space="preserve">Low </stp>
        <tr r="O488" s="1"/>
      </tp>
      <tp>
        <v>1475</v>
        <stp/>
        <stp>bse_cm|725IRFC35</stp>
        <stp xml:space="preserve">Low </stp>
        <tr r="O560" s="1"/>
      </tp>
      <tp t="s">
        <v>83TCHF25</v>
        <stp/>
        <stp>bse_cm|83TCHF25</stp>
        <stp>Trading Symbol</stp>
        <tr r="B489" s="1"/>
      </tp>
      <tp t="s">
        <v>83TCHF28</v>
        <stp/>
        <stp>bse_cm|83TCHF28</stp>
        <stp>Trading Symbol</stp>
        <tr r="B832" s="1"/>
      </tp>
      <tp>
        <v>1541.62</v>
        <stp/>
        <stp>bse_cm|KAFLZC26A</stp>
        <stp xml:space="preserve">Low </stp>
        <tr r="O1710" s="1"/>
      </tp>
      <tp t="s">
        <v>EFSL26724</v>
        <stp/>
        <stp>bse_cm|EFSL26724</stp>
        <stp>Symbol</stp>
        <tr r="A1336" s="1"/>
      </tp>
      <tp t="s">
        <v>INE866I08295</v>
        <stp/>
        <stp>bse_cm|105IIFL29</stp>
        <stp>Isin code</stp>
        <tr r="R338" s="1"/>
      </tp>
      <tp t="s">
        <v>INE134E07AO9</v>
        <stp/>
        <stp>bse_cm|658PFCL31</stp>
        <stp>Isin code</stp>
        <tr r="R1209" s="1"/>
      </tp>
      <tp t="s">
        <v>82TCHF25</v>
        <stp/>
        <stp>bse_cm|82TCHF25</stp>
        <stp>Trading Symbol</stp>
        <tr r="B1015" s="1"/>
      </tp>
      <tp>
        <v>1000</v>
        <stp/>
        <stp>bse_cm|IIFLZC26B</stp>
        <stp xml:space="preserve">Low </stp>
        <tr r="O1179" s="1"/>
      </tp>
      <tp t="s">
        <v>INE557F07124</v>
        <stp/>
        <stp>nse_cm|888NHB29-N5</stp>
        <stp>Isin code</stp>
        <tr r="R504" s="1"/>
      </tp>
      <tp>
        <v>1000</v>
        <stp/>
        <stp>bse_cm|960NIDO26</stp>
        <stp>High</stp>
        <tr r="N870" s="1"/>
      </tp>
      <tp>
        <v>999</v>
        <stp/>
        <stp>bse_cm|958NHFL27</stp>
        <stp>High</stp>
        <tr r="N616" s="1"/>
      </tp>
      <tp>
        <v>936.85</v>
        <stp/>
        <stp>bse_cm|957NIDO26</stp>
        <stp>High</stp>
        <tr r="N329" s="1"/>
      </tp>
      <tp>
        <v>983</v>
        <stp/>
        <stp>bse_cm|920NIDO26</stp>
        <stp>High</stp>
        <tr r="N166" s="1"/>
      </tp>
      <tp t="s">
        <v>INE121A07RV3</v>
        <stp/>
        <stp>nse_cm|86CIFC29-NN</stp>
        <stp>Isin code</stp>
        <tr r="R1340" s="1"/>
      </tp>
      <tp>
        <v>1011.5</v>
        <stp/>
        <stp>bse_cm|MFLIII25C</stp>
        <stp>High</stp>
        <tr r="N213" s="1"/>
      </tp>
      <tp t="s">
        <v>IFL19424</v>
        <stp/>
        <stp>bse_cm|IFL19424</stp>
        <stp>Trading Symbol</stp>
        <tr r="B1344" s="1"/>
      </tp>
      <tp t="s">
        <v>84TCHF28</v>
        <stp/>
        <stp>bse_cm|84TCHF28</stp>
        <stp>Trading Symbol</stp>
        <tr r="B403" s="1"/>
      </tp>
      <tp>
        <v>974</v>
        <stp/>
        <stp>bse_cm|950NHFL26</stp>
        <stp>High</stp>
        <tr r="N582" s="1"/>
      </tp>
      <tp>
        <v>968.26</v>
        <stp/>
        <stp>bse_cm|955NIDO27</stp>
        <stp>High</stp>
        <tr r="N51" s="1"/>
      </tp>
      <tp>
        <v>948</v>
        <stp/>
        <stp>bse_cm|958NIDO27</stp>
        <stp>High</stp>
        <tr r="N1402" s="1"/>
      </tp>
      <tp>
        <v>937.2</v>
        <stp/>
        <stp>bse_cm|915NIDO27</stp>
        <stp>High</stp>
        <tr r="N59" s="1"/>
      </tp>
      <tp t="s">
        <v>INE101Q07995</v>
        <stp/>
        <stp>bse_cm|950MMFL25</stp>
        <stp>Isin code</stp>
        <tr r="R1526" s="1"/>
      </tp>
      <tp>
        <v>1091</v>
        <stp/>
        <stp>bse_cm|764IRFC31</stp>
        <stp xml:space="preserve">Low </stp>
        <tr r="O466" s="1"/>
      </tp>
      <tp>
        <v>1095.45</v>
        <stp/>
        <stp>bse_cm|735IRFC31</stp>
        <stp xml:space="preserve">Low </stp>
        <tr r="O1427" s="1"/>
      </tp>
      <tp>
        <v>1084</v>
        <stp/>
        <stp>bse_cm|10MFL24AA</stp>
        <stp>Ask Rate</stp>
        <tr r="F475" s="1"/>
      </tp>
      <tp>
        <v>980.5</v>
        <stp/>
        <stp>bse_cm|870NIDO25</stp>
        <stp>High</stp>
        <tr r="N86" s="1"/>
      </tp>
      <tp t="s">
        <v>910TCAP28</v>
        <stp/>
        <stp>bse_cm|910TCAP28</stp>
        <stp>Symbol</stp>
        <tr r="A409" s="1"/>
      </tp>
      <tp>
        <v>1099.9000000000001</v>
        <stp/>
        <stp>bse_cm|753IRFC30</stp>
        <stp xml:space="preserve">Low </stp>
        <tr r="O454" s="1"/>
      </tp>
      <tp>
        <v>1103.75</v>
        <stp/>
        <stp>bse_cm|728IRFC30</stp>
        <stp xml:space="preserve">Low </stp>
        <tr r="O469" s="1"/>
      </tp>
      <tp>
        <v>1015.51</v>
        <stp/>
        <stp>bse_cm|905NIDO25</stp>
        <stp>High</stp>
        <tr r="N60" s="1"/>
      </tp>
      <tp>
        <v>960.25</v>
        <stp/>
        <stp>bse_cm|895NHFL25</stp>
        <stp>High</stp>
        <tr r="N54" s="1"/>
      </tp>
      <tp>
        <v>0</v>
        <stp/>
        <stp>nse_cm|SCL310524A-ZK</stp>
        <stp>% Change</stp>
        <tr r="J1445" s="1"/>
      </tp>
      <tp>
        <v>1000</v>
        <stp/>
        <stp>bse_cm|915NWIL25</stp>
        <stp>High</stp>
        <tr r="N620" s="1"/>
      </tp>
      <tp t="s">
        <v>714NHAI26</v>
        <stp/>
        <stp>bse_cm|714NHAI26</stp>
        <stp>Symbol</stp>
        <tr r="A1662" s="1"/>
      </tp>
      <tp t="s">
        <v>795IGT31</v>
        <stp/>
        <stp>bse_cm|795IGT31</stp>
        <stp>Trading Symbol</stp>
        <tr r="B1186" s="1"/>
      </tp>
      <tp t="s">
        <v>797IGT31</v>
        <stp/>
        <stp>bse_cm|797IGT31</stp>
        <stp>Trading Symbol</stp>
        <tr r="B381" s="1"/>
      </tp>
      <tp t="s">
        <v>960ISFL25</v>
        <stp/>
        <stp>bse_cm|960ISFL25</stp>
        <stp>Symbol</stp>
        <tr r="A871" s="1"/>
      </tp>
      <tp t="s">
        <v>970CAGL28</v>
        <stp/>
        <stp>bse_cm|970CAGL28</stp>
        <stp>Symbol</stp>
        <tr r="A292" s="1"/>
      </tp>
      <tp>
        <v>979</v>
        <stp/>
        <stp>bse_cm|916NWIL27</stp>
        <stp>High</stp>
        <tr r="N209" s="1"/>
      </tp>
      <tp>
        <v>990</v>
        <stp/>
        <stp>bse_cm|955NWIL27</stp>
        <stp>High</stp>
        <tr r="N1480" s="1"/>
      </tp>
      <tp>
        <v>5.26</v>
        <stp/>
        <stp>bse_cm|849NTPC25</stp>
        <stp>High</stp>
        <tr r="N443" s="1"/>
      </tp>
      <tp t="s">
        <v>866SCFL25</v>
        <stp/>
        <stp>bse_cm|866SCFL25</stp>
        <stp>Symbol</stp>
        <tr r="A342" s="1"/>
      </tp>
      <tp t="s">
        <v>MFCL16924</v>
        <stp/>
        <stp>bse_cm|MFCL16924</stp>
        <stp>Symbol</stp>
        <tr r="A579" s="1"/>
      </tp>
      <tp t="s">
        <v>965SCFL25</v>
        <stp/>
        <stp>bse_cm|965SCFL25</stp>
        <stp>Symbol</stp>
        <tr r="A1106" s="1"/>
      </tp>
      <tp t="s">
        <v>865IIFL28</v>
        <stp/>
        <stp>bse_cm|865IIFL28</stp>
        <stp>Symbol</stp>
        <tr r="A75" s="1"/>
      </tp>
      <tp t="s">
        <v>935MFCL29</v>
        <stp/>
        <stp>bse_cm|935MFCL29</stp>
        <stp>Symbol</stp>
        <tr r="A239" s="1"/>
      </tp>
      <tp t="s">
        <v>995NWIL32</v>
        <stp/>
        <stp>bse_cm|995NWIL32</stp>
        <stp>Symbol</stp>
        <tr r="A1023" s="1"/>
      </tp>
      <tp t="s">
        <v>764IRFC31</v>
        <stp/>
        <stp>bse_cm|764IRFC31</stp>
        <stp>Symbol</stp>
        <tr r="A466" s="1"/>
      </tp>
      <tp t="s">
        <v>865IRFC29</v>
        <stp/>
        <stp>bse_cm|865IRFC29</stp>
        <stp>Symbol</stp>
        <tr r="A501" s="1"/>
      </tp>
      <tp t="s">
        <v>INE148I07GJ7</v>
        <stp/>
        <stp>nse_cm|865SCL26-N8</stp>
        <stp>Isin code</stp>
        <tr r="R310" s="1"/>
      </tp>
      <tp t="s">
        <v>772IGT31</v>
        <stp/>
        <stp>bse_cm|772IGT31</stp>
        <stp>Trading Symbol</stp>
        <tr r="B1194" s="1"/>
      </tp>
      <tp t="s">
        <v>925SCL25Z</v>
        <stp/>
        <stp>nse_cm|925SCL25Z-NE</stp>
        <stp>Symbol</stp>
        <tr r="A914" s="1"/>
      </tp>
      <tp t="s">
        <v>769IGT28</v>
        <stp/>
        <stp>bse_cm|769IGT28</stp>
        <stp>Trading Symbol</stp>
        <tr r="B1195" s="1"/>
      </tp>
      <tp>
        <v>170</v>
        <stp/>
        <stp>bse_cm|MFLOPTII24</stp>
        <stp>Bid Qty</stp>
        <tr r="D559" s="1"/>
      </tp>
      <tp t="s">
        <v>749IGT28</v>
        <stp/>
        <stp>bse_cm|749IGT28</stp>
        <stp>Trading Symbol</stp>
        <tr r="B1198" s="1"/>
      </tp>
      <tp t="s">
        <v>745IGT26</v>
        <stp/>
        <stp>bse_cm|745IGT26</stp>
        <stp>Trading Symbol</stp>
        <tr r="B1202" s="1"/>
      </tp>
      <tp>
        <v>0</v>
        <stp/>
        <stp>bse_cm|SFLZC26</stp>
        <stp>Volume Traded Today</stp>
        <tr r="L801" s="1"/>
      </tp>
      <tp t="e">
        <v>#N/A</v>
        <stp/>
        <stp>bse_cm|SFLZC24</stp>
        <stp>Volume Traded Today</stp>
        <tr r="L30" s="1"/>
      </tp>
      <tp>
        <v>0</v>
        <stp/>
        <stp>bse_cm|SFLZC25</stp>
        <stp>Volume Traded Today</stp>
        <tr r="L802" s="1"/>
      </tp>
      <tp>
        <v>0</v>
        <stp/>
        <stp>nse_cm|965SCL28A-NQ</stp>
        <stp>Open</stp>
        <tr r="M897" s="1"/>
      </tp>
      <tp t="e">
        <v>#N/A</v>
        <stp/>
        <stp>bse_cm|1025MHFL24</stp>
        <stp>Bid Rate</stp>
        <tr r="E29" s="1"/>
      </tp>
      <tp t="e">
        <v>#N/A</v>
        <stp/>
        <stp>bse_cm|1065MHFL24</stp>
        <stp>Bid Rate</stp>
        <tr r="E36" s="1"/>
      </tp>
      <tp>
        <v>0</v>
        <stp/>
        <stp>nse_cm|820SCFL25-Y7</stp>
        <stp>ATP</stp>
        <tr r="K926" s="1"/>
      </tp>
      <tp>
        <v>0</v>
        <stp/>
        <stp>nse_cm|925SCL28A-NS</stp>
        <stp>Open</stp>
        <tr r="M895" s="1"/>
      </tp>
      <tp>
        <v>0</v>
        <stp/>
        <stp>nse_cm|902SCL27A-ZI</stp>
        <stp>Volume Traded Today</stp>
        <tr r="L1353" s="1"/>
      </tp>
      <tp t="s">
        <v>BSE</v>
        <stp/>
        <stp>bse_cm|10KFL28</stp>
        <stp>Exchange</stp>
        <tr r="C674" s="1"/>
      </tp>
      <tp>
        <v>991</v>
        <stp/>
        <stp>bse_cm|104SMCGS29</stp>
        <stp>Bid Rate</stp>
        <tr r="E206" s="1"/>
      </tp>
      <tp>
        <v>0</v>
        <stp/>
        <stp>bse_cm|SCLZC26</stp>
        <stp>Volume Traded Today</stp>
        <tr r="L1464" s="1"/>
      </tp>
      <tp>
        <v>0</v>
        <stp/>
        <stp>bse_cm|SCLZC25</stp>
        <stp>Volume Traded Today</stp>
        <tr r="L917" s="1"/>
      </tp>
      <tp>
        <v>836.8</v>
        <stp/>
        <stp>bse_cm|1025MMFL26</stp>
        <stp>Bid Rate</stp>
        <tr r="E320" s="1"/>
      </tp>
      <tp>
        <v>0</v>
        <stp/>
        <stp>nse_cm|925SCL25G-NY</stp>
        <stp>Open</stp>
        <tr r="M887" s="1"/>
      </tp>
      <tp>
        <v>0</v>
        <stp/>
        <stp>nse_cm|965SCL25F-NZ</stp>
        <stp>Open</stp>
        <tr r="M1362" s="1"/>
      </tp>
      <tp>
        <v>0</v>
        <stp/>
        <stp>nse_cm|925SCFL27-YA</stp>
        <stp>ATP</stp>
        <tr r="K113" s="1"/>
      </tp>
      <tp>
        <v>1051.5</v>
        <stp/>
        <stp>bse_cm|94SFL28</stp>
        <stp>Ask Rate</stp>
        <tr r="F24" s="1"/>
      </tp>
      <tp t="s">
        <v>00:00:00</v>
        <stp/>
        <stp>bse_cm|MML110924</stp>
        <stp>LTT</stp>
        <tr r="I1257" s="1"/>
      </tp>
      <tp>
        <v>0</v>
        <stp/>
        <stp>bse_cm|1041KFL26</stp>
        <stp>ATP</stp>
        <tr r="K1031" s="1"/>
      </tp>
      <tp>
        <v>0</v>
        <stp/>
        <stp>bse_cm|MML110924</stp>
        <stp>LTP</stp>
        <tr r="H1257" s="1"/>
      </tp>
      <tp>
        <v>0</v>
        <stp/>
        <stp>bse_cm|IFL190424</stp>
        <stp>ATP</stp>
        <tr r="K1663" s="1"/>
      </tp>
      <tp>
        <v>0</v>
        <stp/>
        <stp>bse_cm|AEL120924</stp>
        <stp>LTP</stp>
        <tr r="H1062" s="1"/>
      </tp>
      <tp t="s">
        <v>00:00:00</v>
        <stp/>
        <stp>bse_cm|AEL120924</stp>
        <stp>LTT</stp>
        <tr r="I1062" s="1"/>
      </tp>
      <tp>
        <v>-0.1</v>
        <stp/>
        <stp>bse_cm|89EFSL25</stp>
        <stp>% Change</stp>
        <tr r="J87" s="1"/>
      </tp>
      <tp>
        <v>700</v>
        <stp/>
        <stp>bse_cm|85PFL26A</stp>
        <stp>Bid Qty</stp>
        <tr r="D711" s="1"/>
      </tp>
      <tp>
        <v>0</v>
        <stp/>
        <stp>bse_cm|769NHAI31</stp>
        <stp>Volume Traded Today</stp>
        <tr r="L465" s="1"/>
      </tp>
      <tp>
        <v>0</v>
        <stp/>
        <stp>bse_cm|94SCL27</stp>
        <stp>Ask Rate</stp>
        <tr r="F1152" s="1"/>
      </tp>
      <tp>
        <v>0</v>
        <stp/>
        <stp>bse_cm|1040UCL25</stp>
        <stp>ATP</stp>
        <tr r="K1612" s="1"/>
      </tp>
      <tp>
        <v>0</v>
        <stp/>
        <stp>bse_cm|1050KLM27</stp>
        <stp>ATP</stp>
        <tr r="K609" s="1"/>
      </tp>
      <tp t="s">
        <v>00:00:00</v>
        <stp/>
        <stp>bse_cm|1090NFL26</stp>
        <stp>LTT</stp>
        <tr r="I364" s="1"/>
      </tp>
      <tp>
        <v>0</v>
        <stp/>
        <stp>bse_cm|1150KLM26</stp>
        <stp>ATP</stp>
        <tr r="K1224" s="1"/>
      </tp>
      <tp>
        <v>822.1</v>
        <stp/>
        <stp>nse_cm|1035UCL26-NA</stp>
        <stp>Bid Rate</stp>
        <tr r="E1627" s="1"/>
      </tp>
      <tp>
        <v>0</v>
        <stp/>
        <stp>bse_cm|1040NFL26</stp>
        <stp>ATP</stp>
        <tr r="K1453" s="1"/>
      </tp>
      <tp>
        <v>0</v>
        <stp/>
        <stp>bse_cm|1090NFL26</stp>
        <stp>LTP</stp>
        <tr r="H364" s="1"/>
      </tp>
      <tp t="s">
        <v>BSE</v>
        <stp/>
        <stp>bse_cm|10KFL25</stp>
        <stp>Exchange</stp>
        <tr r="C1093" s="1"/>
      </tp>
      <tp>
        <v>1049</v>
        <stp/>
        <stp>nse_cm|97SFL26-Z9</stp>
        <stp>High</stp>
        <tr r="N438" s="1"/>
      </tp>
      <tp>
        <v>1</v>
        <stp/>
        <stp>bse_cm|739NHAI26</stp>
        <stp>Volume Traded Today</stp>
        <tr r="L442" s="1"/>
      </tp>
      <tp>
        <v>100</v>
        <stp/>
        <stp>bse_cm|729NHAI26</stp>
        <stp>Volume Traded Today</stp>
        <tr r="L348" s="1"/>
      </tp>
      <tp>
        <v>-100</v>
        <stp/>
        <stp>bse_cm|10EFSL27</stp>
        <stp>% Change</stp>
        <tr r="J1139" s="1"/>
      </tp>
      <tp>
        <v>-100</v>
        <stp/>
        <stp>bse_cm|96EFSL27</stp>
        <stp>% Change</stp>
        <tr r="J1050" s="1"/>
      </tp>
      <tp>
        <v>825.5</v>
        <stp/>
        <stp>bse_cm|102SMCGS27</stp>
        <stp>Bid Rate</stp>
        <tr r="E1017" s="1"/>
      </tp>
      <tp>
        <v>952.02</v>
        <stp/>
        <stp>bse_cm|MFCL160924</stp>
        <stp>Bid Rate</stp>
        <tr r="E572" s="1"/>
      </tp>
      <tp t="s">
        <v>BSE</v>
        <stp/>
        <stp>bse_cm|10KFL27</stp>
        <stp>Exchange</stp>
        <tr r="C675" s="1"/>
      </tp>
      <tp>
        <v>-100</v>
        <stp/>
        <stp>bse_cm|96EFSL26</stp>
        <stp>% Change</stp>
        <tr r="J1465" s="1"/>
      </tp>
      <tp>
        <v>-100</v>
        <stp/>
        <stp>bse_cm|92EFSL26</stp>
        <stp>% Change</stp>
        <tr r="J186" s="1"/>
      </tp>
      <tp>
        <v>-0.1</v>
        <stp/>
        <stp>bse_cm|98EFSL26</stp>
        <stp>% Change</stp>
        <tr r="J82" s="1"/>
      </tp>
      <tp>
        <v>110</v>
        <stp/>
        <stp>bse_cm|9PCHFL31A</stp>
        <stp>Volume Traded Today</stp>
        <tr r="L301" s="1"/>
      </tp>
      <tp t="s">
        <v>BSE</v>
        <stp/>
        <stp>bse_cm|10NFL25</stp>
        <stp>Exchange</stp>
        <tr r="C1568" s="1"/>
      </tp>
      <tp t="s">
        <v>BSE</v>
        <stp/>
        <stp>bse_cm|10MFL25</stp>
        <stp>Exchange</stp>
        <tr r="C577" s="1"/>
      </tp>
      <tp>
        <v>0</v>
        <stp/>
        <stp>bse_cm|753IRFC30</stp>
        <stp>Volume Traded Today</stp>
        <tr r="L454" s="1"/>
      </tp>
      <tp t="s">
        <v>BSE</v>
        <stp/>
        <stp>bse_cm|1015SCFL29</stp>
        <stp>Exchange</stp>
        <tr r="C1355" s="1"/>
      </tp>
      <tp>
        <v>960</v>
        <stp/>
        <stp>bse_cm|9KFL26B</stp>
        <stp>High</stp>
        <tr r="N667" s="1"/>
      </tp>
      <tp>
        <v>0</v>
        <stp/>
        <stp>nse_cm|825IIFL25-N7</stp>
        <stp>ATP</stp>
        <tr r="K49" s="1"/>
      </tp>
      <tp>
        <v>0</v>
        <stp/>
        <stp>nse_cm|850NHAI29-N5</stp>
        <stp>ATP</stp>
        <tr r="K512" s="1"/>
      </tp>
      <tp>
        <v>0</v>
        <stp/>
        <stp>nse_cm|925ERFL28-N6</stp>
        <stp>ATP</stp>
        <tr r="K165" s="1"/>
      </tp>
      <tp t="s">
        <v>NSE</v>
        <stp/>
        <stp>nse_cm|11DLSL25A-Y3</stp>
        <stp>Exchange</stp>
        <tr r="C64" s="1"/>
      </tp>
      <tp t="s">
        <v>BSE</v>
        <stp/>
        <stp>bse_cm|10SFL25</stp>
        <stp>Exchange</stp>
        <tr r="C1681" s="1"/>
      </tp>
      <tp>
        <v>0</v>
        <stp/>
        <stp>bse_cm|0SFL27A</stp>
        <stp>Open</stp>
        <tr r="M1034" s="1"/>
      </tp>
      <tp>
        <v>2</v>
        <stp/>
        <stp>bse_cm|95KFL27A</stp>
        <stp>Bid Qty</stp>
        <tr r="D132" s="1"/>
      </tp>
      <tp t="s">
        <v>BSE</v>
        <stp/>
        <stp>bse_cm|10SFL27</stp>
        <stp>Exchange</stp>
        <tr r="C863" s="1"/>
      </tp>
      <tp>
        <v>965</v>
        <stp/>
        <stp>bse_cm|9KFL26A</stp>
        <stp>High</stp>
        <tr r="N1083" s="1"/>
      </tp>
      <tp>
        <v>980</v>
        <stp/>
        <stp>bse_cm|9MFL30A</stp>
        <stp>High</stp>
        <tr r="N289" s="1"/>
      </tp>
      <tp>
        <v>0</v>
        <stp/>
        <stp>bse_cm|96SFL24A</stp>
        <stp>Ask Qty</stp>
        <tr r="G633" s="1"/>
      </tp>
      <tp t="s">
        <v>BSE</v>
        <stp/>
        <stp>bse_cm|10VCL25</stp>
        <stp>Exchange</stp>
        <tr r="C1646" s="1"/>
      </tp>
      <tp>
        <v>0</v>
        <stp/>
        <stp>nse_cm|921ISFL25-N0</stp>
        <stp>ATP</stp>
        <tr r="K287" s="1"/>
      </tp>
      <tp>
        <v>1000</v>
        <stp/>
        <stp>bse_cm|84MFL25</stp>
        <stp>Ask Rate</stp>
        <tr r="F316" s="1"/>
      </tp>
      <tp>
        <v>0</v>
        <stp/>
        <stp>nse_cm|925SCL25A-NH</stp>
        <stp>Open</stp>
        <tr r="M715" s="1"/>
      </tp>
      <tp>
        <v>0</v>
        <stp/>
        <stp>nse_cm|820IIFL27-N9</stp>
        <stp>ATP</stp>
        <tr r="K266" s="1"/>
      </tp>
      <tp>
        <v>1035</v>
        <stp/>
        <stp>bse_cm|94MFL27</stp>
        <stp>Ask Rate</stp>
        <tr r="F189" s="1"/>
      </tp>
      <tp>
        <v>0</v>
        <stp/>
        <stp>nse_cm|948SCL27A-ZJ</stp>
        <stp>High</stp>
        <tr r="N845" s="1"/>
      </tp>
      <tp>
        <v>0</v>
        <stp/>
        <stp>nse_cm|902SCL26A-NM</stp>
        <stp>Volume Traded Today</stp>
        <tr r="L904" s="1"/>
      </tp>
      <tp t="s">
        <v>BSE</v>
        <stp/>
        <stp>bse_cm|704HUDCO26</stp>
        <stp>Exchange</stp>
        <tr r="C1724" s="1"/>
      </tp>
      <tp t="s">
        <v>BSE</v>
        <stp/>
        <stp>bse_cm|702HUDCO26</stp>
        <stp>Exchange</stp>
        <tr r="C1718" s="1"/>
      </tp>
      <tp>
        <v>0</v>
        <stp/>
        <stp>nse_cm|902SCL26I-AW</stp>
        <stp>Volume Traded Today</stp>
        <tr r="L1383" s="1"/>
      </tp>
      <tp>
        <v>1000</v>
        <stp/>
        <stp>nse_cm|AEL120924-N2</stp>
        <stp>Face Value</stp>
        <tr r="Q1673" s="1"/>
      </tp>
      <tp>
        <v>1000</v>
        <stp/>
        <stp>nse_cm|830CIFC26-N2</stp>
        <stp>Face Value</stp>
        <tr r="Q1625" s="1"/>
      </tp>
      <tp>
        <v>0</v>
        <stp/>
        <stp>nse_cm|925SCL25Z-NE</stp>
        <stp>Open</stp>
        <tr r="M914" s="1"/>
      </tp>
      <tp t="s">
        <v>BSE</v>
        <stp/>
        <stp>bse_cm|727HUDCO26</stp>
        <stp>Exchange</stp>
        <tr r="C481" s="1"/>
      </tp>
      <tp t="s">
        <v>BSE</v>
        <stp/>
        <stp>bse_cm|729HUDCO26</stp>
        <stp>Exchange</stp>
        <tr r="C523" s="1"/>
      </tp>
      <tp>
        <v>1056.8</v>
        <stp/>
        <stp>nse_cm|965SCL25A-NF</stp>
        <stp>Open</stp>
        <tr r="M163" s="1"/>
      </tp>
      <tp>
        <v>1000</v>
        <stp/>
        <stp>nse_cm|875IIFL26-NM</stp>
        <stp>Face Value</stp>
        <tr r="Q640" s="1"/>
      </tp>
      <tp>
        <v>1000</v>
        <stp/>
        <stp>nse_cm|842IIFL26-NL</stp>
        <stp>Face Value</stp>
        <tr r="Q145" s="1"/>
      </tp>
      <tp>
        <v>0</v>
        <stp/>
        <stp>nse_cm|888SCL26A-ZC</stp>
        <stp>High</stp>
        <tr r="N839" s="1"/>
      </tp>
      <tp>
        <v>0</v>
        <stp/>
        <stp>nse_cm|925SCFL25-AD</stp>
        <stp>ATP</stp>
        <tr r="K773" s="1"/>
      </tp>
      <tp>
        <v>100000</v>
        <stp/>
        <stp>nse_cm|950IIFL27-Y2</stp>
        <stp>Face Value</stp>
        <tr r="Q995" s="1"/>
      </tp>
      <tp>
        <v>980</v>
        <stp/>
        <stp>bse_cm|MFLOPTII24</stp>
        <stp>High</stp>
        <tr r="N559" s="1"/>
      </tp>
      <tp>
        <v>12</v>
        <stp/>
        <stp>nse_cm|894SCL27-ZY</stp>
        <stp>Bid Qty</stp>
        <tr r="D731" s="1"/>
      </tp>
      <tp>
        <v>7</v>
        <stp/>
        <stp>nse_cm|894SCL24-ZR</stp>
        <stp>Bid Qty</stp>
        <tr r="D661" s="1"/>
      </tp>
      <tp t="s">
        <v>865IFL28</v>
        <stp/>
        <stp>nse_cm|865IFL28-NZ</stp>
        <stp>Symbol</stp>
        <tr r="A103" s="1"/>
      </tp>
      <tp t="s">
        <v>81ABFL33</v>
        <stp/>
        <stp>nse_cm|81ABFL33-N5</stp>
        <stp>Symbol</stp>
        <tr r="A1588" s="1"/>
      </tp>
      <tp>
        <v>10</v>
        <stp/>
        <stp>nse_cm|894SCL25-Z3</stp>
        <stp>Bid Qty</stp>
        <tr r="D1698" s="1"/>
      </tp>
      <tp t="s">
        <v>96IIFL28</v>
        <stp/>
        <stp>nse_cm|96IIFL28-N5</stp>
        <stp>Symbol</stp>
        <tr r="A106" s="1"/>
      </tp>
      <tp>
        <v>5</v>
        <stp/>
        <stp>nse_cm|889SCL27-YT</stp>
        <stp>Bid Qty</stp>
        <tr r="D120" s="1"/>
      </tp>
      <tp>
        <v>0</v>
        <stp/>
        <stp>nse_cm|888SCL26-YP</stp>
        <stp>Bid Qty</stp>
        <tr r="D841" s="1"/>
      </tp>
      <tp>
        <v>0</v>
        <stp/>
        <stp>nse_cm|888SCL25D-NC</stp>
        <stp>ATP</stp>
        <tr r="K916" s="1"/>
      </tp>
      <tp>
        <v>0</v>
        <stp/>
        <stp>nse_cm|888SCL25E-N4</stp>
        <stp>ATP</stp>
        <tr r="K1444" s="1"/>
      </tp>
      <tp t="s">
        <v/>
        <stp/>
        <stp>nse_cm|950SCL23A-AP</stp>
        <stp>LTT</stp>
        <tr r="I1145" s="1"/>
      </tp>
      <tp>
        <v>990</v>
        <stp/>
        <stp>nse_cm|950SCL23A-AP</stp>
        <stp>LTP</stp>
        <tr r="H1145" s="1"/>
      </tp>
      <tp>
        <v>1050.2</v>
        <stp/>
        <stp>nse_cm|93SCL24-ZP</stp>
        <stp>High</stp>
        <tr r="N1506" s="1"/>
      </tp>
      <tp>
        <v>1113.3599999999999</v>
        <stp/>
        <stp>nse_cm|98SCL27-ZX</stp>
        <stp>High</stp>
        <tr r="N1378" s="1"/>
      </tp>
      <tp>
        <v>20</v>
        <stp/>
        <stp>nse_cm|820SCL25-YO</stp>
        <stp>Bid Qty</stp>
        <tr r="D932" s="1"/>
      </tp>
      <tp>
        <v>6</v>
        <stp/>
        <stp>nse_cm|105UCL2026-NB</stp>
        <stp>Bid Qty</stp>
        <tr r="D130" s="1"/>
      </tp>
      <tp t="s">
        <v>10IIFL28</v>
        <stp/>
        <stp>nse_cm|10IIFL28-N4</stp>
        <stp>Symbol</stp>
        <tr r="A42" s="1"/>
      </tp>
      <tp>
        <v>10</v>
        <stp/>
        <stp>nse_cm|833SCL24-ZE</stp>
        <stp>Bid Qty</stp>
        <tr r="D957" s="1"/>
      </tp>
      <tp>
        <v>0</v>
        <stp/>
        <stp>nse_cm|980SCL33C-ND</stp>
        <stp>ATP</stp>
        <tr r="K1385" s="1"/>
      </tp>
      <tp>
        <v>0</v>
        <stp/>
        <stp>bse_cm|889SCFL27</stp>
        <stp>LTP</stp>
        <tr r="H484" s="1"/>
      </tp>
      <tp t="s">
        <v>00:00:00</v>
        <stp/>
        <stp>bse_cm|889SCFL27</stp>
        <stp>LTT</stp>
        <tr r="I484" s="1"/>
      </tp>
      <tp>
        <v>0</v>
        <stp/>
        <stp>nse_cm|980SCL33A-N3</stp>
        <stp>ATP</stp>
        <tr r="K1055" s="1"/>
      </tp>
      <tp t="s">
        <v/>
        <stp/>
        <stp>nse_cm|850SCL25A-NW</stp>
        <stp>LTT</stp>
        <tr r="I984" s="1"/>
      </tp>
      <tp>
        <v>931</v>
        <stp/>
        <stp>nse_cm|850SCL25A-NW</stp>
        <stp>LTP</stp>
        <tr r="H984" s="1"/>
      </tp>
      <tp>
        <v>0</v>
        <stp/>
        <stp>bse_cm|689RECL24</stp>
        <stp>LTP</stp>
        <tr r="H1206" s="1"/>
      </tp>
      <tp t="s">
        <v>00:00:00</v>
        <stp/>
        <stp>bse_cm|689RECL24</stp>
        <stp>LTT</stp>
        <tr r="I1206" s="1"/>
      </tp>
      <tp>
        <v>0</v>
        <stp/>
        <stp>nse_cm|888SCL25A-AQ</stp>
        <stp>ATP</stp>
        <tr r="K910" s="1"/>
      </tp>
      <tp>
        <v>1</v>
        <stp/>
        <stp>nse_cm|866SCL25-YP</stp>
        <stp>Bid Qty</stp>
        <tr r="D933" s="1"/>
      </tp>
      <tp>
        <v>0</v>
        <stp/>
        <stp>nse_cm|857SCL24-ZQ</stp>
        <stp>Bid Qty</stp>
        <tr r="D975" s="1"/>
      </tp>
      <tp>
        <v>400</v>
        <stp/>
        <stp>nse_cm|10IIFL28A-NE</stp>
        <stp>Volume Traded Today</stp>
        <tr r="L108" s="1"/>
      </tp>
      <tp>
        <v>0</v>
        <stp/>
        <stp>nse_cm|965SCL25C-N0</stp>
        <stp>Open</stp>
        <tr r="M507" s="1"/>
      </tp>
      <tp>
        <v>0</v>
        <stp/>
        <stp>nse_cm|875SCL27-YQ</stp>
        <stp>Bid Qty</stp>
        <tr r="D937" s="1"/>
      </tp>
      <tp t="s">
        <v>BSE</v>
        <stp/>
        <stp>bse_cm|SFL270224A</stp>
        <stp>Exchange</stp>
        <tr r="C807" s="1"/>
      </tp>
      <tp>
        <v>0</v>
        <stp/>
        <stp>nse_cm|98SCL34-ZS</stp>
        <stp>High</stp>
        <tr r="N1052" s="1"/>
      </tp>
      <tp>
        <v>1</v>
        <stp/>
        <stp>nse_cm|847SCL25-Z2</stp>
        <stp>Bid Qty</stp>
        <tr r="D212" s="1"/>
      </tp>
      <tp>
        <v>20</v>
        <stp/>
        <stp>nse_cm|843SCL27-YS</stp>
        <stp>Bid Qty</stp>
        <tr r="D944" s="1"/>
      </tp>
      <tp t="s">
        <v>749IGT28</v>
        <stp/>
        <stp>nse_cm|749IGT28-NG</stp>
        <stp>Symbol</stp>
        <tr r="A1197" s="1"/>
      </tp>
      <tp t="s">
        <v>769IGT28</v>
        <stp/>
        <stp>nse_cm|769IGT28-NH</stp>
        <stp>Symbol</stp>
        <tr r="A1487" s="1"/>
      </tp>
      <tp>
        <v>20</v>
        <stp/>
        <stp>nse_cm|850SCL25-YL</stp>
        <stp>Bid Qty</stp>
        <tr r="D922" s="1"/>
      </tp>
      <tp>
        <v>20</v>
        <stp/>
        <stp>nse_cm|865SCL24-ZA</stp>
        <stp>Bid Qty</stp>
        <tr r="D954" s="1"/>
      </tp>
      <tp>
        <v>1150</v>
        <stp/>
        <stp>nse_cm|82HUDCO27-N2</stp>
        <stp>Open</stp>
        <tr r="M532" s="1"/>
      </tp>
      <tp t="s">
        <v>78ABFL33</v>
        <stp/>
        <stp>nse_cm|78ABFL33-N4</stp>
        <stp>Symbol</stp>
        <tr r="A371" s="1"/>
      </tp>
      <tp>
        <v>0</v>
        <stp/>
        <stp>bse_cm|984IFSL26</stp>
        <stp>ATP</stp>
        <tr r="K457" s="1"/>
      </tp>
      <tp>
        <v>0</v>
        <stp/>
        <stp>nse_cm|94SCL27-ZG</stp>
        <stp>High</stp>
        <tr r="N1151" s="1"/>
      </tp>
      <tp>
        <v>0</v>
        <stp/>
        <stp>nse_cm|888SCL25B-Y2</stp>
        <stp>ATP</stp>
        <tr r="K789" s="1"/>
      </tp>
      <tp>
        <v>0</v>
        <stp/>
        <stp>nse_cm|888SCL25-NG</stp>
        <stp>Bid Qty</stp>
        <tr r="D912" s="1"/>
      </tp>
      <tp>
        <v>20</v>
        <stp/>
        <stp>nse_cm|889SCL28-NU</stp>
        <stp>Bid Qty</stp>
        <tr r="D989" s="1"/>
      </tp>
      <tp>
        <v>5</v>
        <stp/>
        <stp>nse_cm|889SCL26-NS</stp>
        <stp>Bid Qty</stp>
        <tr r="D222" s="1"/>
      </tp>
      <tp>
        <v>954</v>
        <stp/>
        <stp>bse_cm|9IIFL28</stp>
        <stp xml:space="preserve">Low </stp>
        <tr r="O126" s="1"/>
      </tp>
      <tp>
        <v>0</v>
        <stp/>
        <stp>bse_cm|0MML27524</stp>
        <stp>ATP</stp>
        <tr r="K1042" s="1"/>
      </tp>
      <tp>
        <v>50</v>
        <stp/>
        <stp>nse_cm|885SCL26-N9</stp>
        <stp>Bid Qty</stp>
        <tr r="D686" s="1"/>
      </tp>
      <tp t="s">
        <v>BSE</v>
        <stp/>
        <stp>bse_cm|905SC24</stp>
        <stp>Exchange</stp>
        <tr r="C573" s="1"/>
      </tp>
      <tp>
        <v>973.6</v>
        <stp/>
        <stp>nse_cm|99SCL27-ZH</stp>
        <stp>High</stp>
        <tr r="N1168" s="1"/>
      </tp>
      <tp>
        <v>0</v>
        <stp/>
        <stp>nse_cm|888SCL26A-ZC</stp>
        <stp>ATP</stp>
        <tr r="K839" s="1"/>
      </tp>
      <tp>
        <v>907.05</v>
        <stp/>
        <stp>nse_cm|843IHFL29-NC</stp>
        <stp>Bid Rate</stp>
        <tr r="E123" s="1"/>
      </tp>
      <tp>
        <v>0</v>
        <stp/>
        <stp>bse_cm|967NIDO28</stp>
        <stp>ATP</stp>
        <tr r="K227" s="1"/>
      </tp>
      <tp>
        <v>0</v>
        <stp/>
        <stp>bse_cm|957NIDO26</stp>
        <stp>ATP</stp>
        <tr r="K329" s="1"/>
      </tp>
      <tp>
        <v>0</v>
        <stp/>
        <stp>bse_cm|1030ICC26</stp>
        <stp>Volume Traded Today</stp>
        <tr r="L1538" s="1"/>
      </tp>
      <tp>
        <v>1300</v>
        <stp/>
        <stp>nse_cm|DLSL25A-Y4</stp>
        <stp>High</stp>
        <tr r="N1732" s="1"/>
      </tp>
      <tp>
        <v>6</v>
        <stp/>
        <stp>nse_cm|801TCH25-N4</stp>
        <stp>Bid Qty</stp>
        <tr r="D493" s="1"/>
      </tp>
      <tp>
        <v>10</v>
        <stp/>
        <stp>nse_cm|801TCH28-N7</stp>
        <stp>Bid Qty</stp>
        <tr r="D1181" s="1"/>
      </tp>
      <tp>
        <v>1126</v>
        <stp/>
        <stp>nse_cm|955SCL27A-ZJ</stp>
        <stp>LTP</stp>
        <tr r="H1437" s="1"/>
      </tp>
      <tp t="s">
        <v/>
        <stp/>
        <stp>nse_cm|955SCL27A-ZJ</stp>
        <stp>LTT</stp>
        <tr r="I1437" s="1"/>
      </tp>
      <tp>
        <v>18</v>
        <stp/>
        <stp>nse_cm|879SCL26-NC</stp>
        <stp>Bid Qty</stp>
        <tr r="D720" s="1"/>
      </tp>
      <tp>
        <v>10</v>
        <stp/>
        <stp>nse_cm|865SCL26-N8</stp>
        <stp>Bid Qty</stp>
        <tr r="D310" s="1"/>
      </tp>
      <tp t="s">
        <v>00:00:00</v>
        <stp/>
        <stp>bse_cm|939EFSL26</stp>
        <stp>LTT</stp>
        <tr r="I188" s="1"/>
      </tp>
      <tp>
        <v>0</v>
        <stp/>
        <stp>bse_cm|939EFSL26</stp>
        <stp>LTP</stp>
        <tr r="H188" s="1"/>
      </tp>
      <tp>
        <v>1035</v>
        <stp/>
        <stp>nse_cm|93SCL25-ZH</stp>
        <stp>High</stp>
        <tr r="N961" s="1"/>
      </tp>
      <tp>
        <v>0</v>
        <stp/>
        <stp>nse_cm|980SCL33B-YL</stp>
        <stp>ATP</stp>
        <tr r="K837" s="1"/>
      </tp>
      <tp>
        <v>0</v>
        <stp/>
        <stp>nse_cm|980SCL33D-YG</stp>
        <stp>ATP</stp>
        <tr r="K830" s="1"/>
      </tp>
      <tp t="s">
        <v>0MOFSL27</v>
        <stp/>
        <stp>nse_cm|0MOFSL27-N3</stp>
        <stp>Symbol</stp>
        <tr r="A1038" s="1"/>
      </tp>
      <tp>
        <v>960.2</v>
        <stp/>
        <stp>bse_cm|913ICCL24A</stp>
        <stp>Bid Rate</stp>
        <tr r="E1162" s="1"/>
      </tp>
      <tp>
        <v>1095.0999999999999</v>
        <stp/>
        <stp>bse_cm|739NHAI31A</stp>
        <stp>Bid Rate</stp>
        <tr r="E546" s="1"/>
      </tp>
      <tp>
        <v>972</v>
        <stp/>
        <stp>nse_cm|1035UCL24-N6</stp>
        <stp>Bid Rate</stp>
        <tr r="E591" s="1"/>
      </tp>
      <tp>
        <v>1016.8</v>
        <stp/>
        <stp>bse_cm|925ICCL24A</stp>
        <stp>Bid Rate</stp>
        <tr r="E1072" s="1"/>
      </tp>
      <tp>
        <v>971</v>
        <stp/>
        <stp>nse_cm|91SFL27-ZI</stp>
        <stp>High</stp>
        <tr r="N533" s="1"/>
      </tp>
      <tp>
        <v>899</v>
        <stp/>
        <stp>bse_cm|1035UCL26</stp>
        <stp>Ask Rate</stp>
        <tr r="F1626" s="1"/>
      </tp>
      <tp>
        <v>20</v>
        <stp/>
        <stp>bse_cm|1025SCL33A</stp>
        <stp>Bid Qty</stp>
        <tr r="D835" s="1"/>
      </tp>
      <tp>
        <v>0</v>
        <stp/>
        <stp>bse_cm|1075SCL33A</stp>
        <stp>Bid Qty</stp>
        <tr r="D629" s="1"/>
      </tp>
      <tp>
        <v>10</v>
        <stp/>
        <stp>bse_cm|1075SCL33B</stp>
        <stp>Bid Qty</stp>
        <tr r="D706" s="1"/>
      </tp>
      <tp t="s">
        <v>BSE</v>
        <stp/>
        <stp>bse_cm|MML110924</stp>
        <stp>Exchange</stp>
        <tr r="C1257" s="1"/>
      </tp>
      <tp>
        <v>0</v>
        <stp/>
        <stp>bse_cm|1025UCL27</stp>
        <stp>Ask Rate</stp>
        <tr r="F1019" s="1"/>
      </tp>
      <tp t="s">
        <v>BSE</v>
        <stp/>
        <stp>bse_cm|IML160224</stp>
        <stp>Exchange</stp>
        <tr r="C1329" s="1"/>
      </tp>
      <tp>
        <v>0</v>
        <stp/>
        <stp>bse_cm|1035UCL24</stp>
        <stp>Ask Rate</stp>
        <tr r="F1580" s="1"/>
      </tp>
      <tp>
        <v>1065</v>
        <stp/>
        <stp>bse_cm|1075UCL25</stp>
        <stp>Ask Rate</stp>
        <tr r="F515" s="1"/>
      </tp>
      <tp>
        <v>1009.8</v>
        <stp/>
        <stp>bse_cm|1025UCL25</stp>
        <stp>Ask Rate</stp>
        <tr r="F326" s="1"/>
      </tp>
      <tp>
        <v>0</v>
        <stp/>
        <stp>bse_cm|RFLNIFT25</stp>
        <stp>High</stp>
        <tr r="N1242" s="1"/>
      </tp>
      <tp>
        <v>1029.8</v>
        <stp/>
        <stp>bse_cm|950MFL27A</stp>
        <stp xml:space="preserve">Low </stp>
        <tr r="O241" s="1"/>
      </tp>
      <tp t="s">
        <v>BSE</v>
        <stp/>
        <stp>bse_cm|1041KFL26</stp>
        <stp>Exchange</stp>
        <tr r="C1031" s="1"/>
      </tp>
      <tp>
        <v>1061.7</v>
        <stp/>
        <stp>bse_cm|850MFL27A</stp>
        <stp xml:space="preserve">Low </stp>
        <tr r="O355" s="1"/>
      </tp>
      <tp>
        <v>0</v>
        <stp/>
        <stp>bse_cm|1025SFL25</stp>
        <stp>Ask Rate</stp>
        <tr r="F1071" s="1"/>
      </tp>
      <tp t="s">
        <v>BSE</v>
        <stp/>
        <stp>bse_cm|1071KFL25</stp>
        <stp>Exchange</stp>
        <tr r="C1122" s="1"/>
      </tp>
      <tp>
        <v>5</v>
        <stp/>
        <stp>bse_cm|1025SCL34A</stp>
        <stp>Bid Qty</stp>
        <tr r="D672" s="1"/>
      </tp>
      <tp>
        <v>1115.0999999999999</v>
        <stp/>
        <stp>bse_cm|1015SCL28</stp>
        <stp>Ask Rate</stp>
        <tr r="F327" s="1"/>
      </tp>
      <tp>
        <v>963.96</v>
        <stp/>
        <stp>bse_cm|1025SFL28</stp>
        <stp>Ask Rate</stp>
        <tr r="F100" s="1"/>
      </tp>
      <tp>
        <v>0</v>
        <stp/>
        <stp>bse_cm|1015SCL29</stp>
        <stp>Ask Rate</stp>
        <tr r="F1177" s="1"/>
      </tp>
      <tp>
        <v>0</v>
        <stp/>
        <stp>bse_cm|1025SFL29</stp>
        <stp>Ask Rate</stp>
        <tr r="F1446" s="1"/>
      </tp>
      <tp>
        <v>0</v>
        <stp/>
        <stp>bse_cm|115ICLFL25</stp>
        <stp>Ask Qty</stp>
        <tr r="G1223" s="1"/>
      </tp>
      <tp>
        <v>50</v>
        <stp/>
        <stp>bse_cm|125ICLFL28</stp>
        <stp>Ask Qty</stp>
        <tr r="G264" s="1"/>
      </tp>
      <tp t="s">
        <v>BSE</v>
        <stp/>
        <stp>bse_cm|IFL190424</stp>
        <stp>Exchange</stp>
        <tr r="C1663" s="1"/>
      </tp>
      <tp t="s">
        <v>BSE</v>
        <stp/>
        <stp>bse_cm|AEL120924</stp>
        <stp>Exchange</stp>
        <tr r="C1062" s="1"/>
      </tp>
      <tp t="s">
        <v>BSE</v>
        <stp/>
        <stp>bse_cm|CCI110324</stp>
        <stp>Exchange</stp>
        <tr r="C755" s="1"/>
      </tp>
      <tp>
        <v>0</v>
        <stp/>
        <stp>bse_cm|1025KFL28</stp>
        <stp>Ask Rate</stp>
        <tr r="F626" s="1"/>
      </tp>
      <tp>
        <v>0</v>
        <stp/>
        <stp>bse_cm|990SCL26B</stp>
        <stp>Open</stp>
        <tr r="M1048" s="1"/>
      </tp>
      <tp>
        <v>0</v>
        <stp/>
        <stp>bse_cm|925SCL26B</stp>
        <stp>Open</stp>
        <tr r="M1360" s="1"/>
      </tp>
      <tp>
        <v>0</v>
        <stp/>
        <stp>bse_cm|948SCL26B</stp>
        <stp>Open</stp>
        <tr r="M470" s="1"/>
      </tp>
      <tp>
        <v>0</v>
        <stp/>
        <stp>bse_cm|940SCL26B</stp>
        <stp>Open</stp>
        <tr r="M905" s="1"/>
      </tp>
      <tp>
        <v>998</v>
        <stp/>
        <stp>bse_cm|1025KFL29</stp>
        <stp>Ask Rate</stp>
        <tr r="F196" s="1"/>
      </tp>
      <tp>
        <v>50</v>
        <stp/>
        <stp>bse_cm|1045EFS34A</stp>
        <stp>Bid Qty</stp>
        <tr r="D1029" s="1"/>
      </tp>
      <tp>
        <v>974</v>
        <stp/>
        <stp>bse_cm|995ECL29A</stp>
        <stp>High</stp>
        <tr r="N152" s="1"/>
      </tp>
      <tp>
        <v>0</v>
        <stp/>
        <stp>bse_cm|925SCL26C</stp>
        <stp>Open</stp>
        <tr r="M725" s="1"/>
      </tp>
      <tp>
        <v>0</v>
        <stp/>
        <stp>bse_cm|940SCL26C</stp>
        <stp>Open</stp>
        <tr r="M794" s="1"/>
      </tp>
      <tp>
        <v>0</v>
        <stp/>
        <stp>bse_cm|888SCL26A</stp>
        <stp>Open</stp>
        <tr r="M840" s="1"/>
      </tp>
      <tp>
        <v>0</v>
        <stp/>
        <stp>bse_cm|990SCL26A</stp>
        <stp>Open</stp>
        <tr r="M1057" s="1"/>
      </tp>
      <tp>
        <v>0</v>
        <stp/>
        <stp>bse_cm|902SCL26A</stp>
        <stp>Open</stp>
        <tr r="M967" s="1"/>
      </tp>
      <tp>
        <v>0</v>
        <stp/>
        <stp>bse_cm|925SCL26A</stp>
        <stp>Open</stp>
        <tr r="M990" s="1"/>
      </tp>
      <tp>
        <v>0</v>
        <stp/>
        <stp>bse_cm|948SCL26A</stp>
        <stp>Open</stp>
        <tr r="M494" s="1"/>
      </tp>
      <tp>
        <v>0</v>
        <stp/>
        <stp>bse_cm|940SCL26A</stp>
        <stp>Open</stp>
        <tr r="M920" s="1"/>
      </tp>
      <tp>
        <v>0</v>
        <stp/>
        <stp>bse_cm|965SCL26A</stp>
        <stp>Open</stp>
        <tr r="M1481" s="1"/>
      </tp>
      <tp>
        <v>0</v>
        <stp/>
        <stp>bse_cm|1075CCL25</stp>
        <stp>Ask Rate</stp>
        <tr r="F1119" s="1"/>
      </tp>
      <tp>
        <v>2</v>
        <stp/>
        <stp>bse_cm|820JMFPL26</stp>
        <stp>Bid Qty</stp>
        <tr r="D349" s="1"/>
      </tp>
      <tp>
        <v>0</v>
        <stp/>
        <stp>bse_cm|1075CCI26</stp>
        <stp>Ask Rate</stp>
        <tr r="F1425" s="1"/>
      </tp>
      <tp>
        <v>15</v>
        <stp/>
        <stp>bse_cm|1045EFS33A</stp>
        <stp>Bid Qty</stp>
        <tr r="D95" s="1"/>
      </tp>
      <tp>
        <v>50</v>
        <stp/>
        <stp>bse_cm|1045EFS33B</stp>
        <stp>Bid Qty</stp>
        <tr r="D117" s="1"/>
      </tp>
      <tp>
        <v>0</v>
        <stp/>
        <stp>bse_cm|990SCL26D</stp>
        <stp>Open</stp>
        <tr r="M1534" s="1"/>
      </tp>
      <tp>
        <v>0</v>
        <stp/>
        <stp>bse_cm|925SCL26D</stp>
        <stp>Open</stp>
        <tr r="M619" s="1"/>
      </tp>
      <tp>
        <v>0</v>
        <stp/>
        <stp>bse_cm|931SFL26A</stp>
        <stp>Open</stp>
        <tr r="M1086" s="1"/>
      </tp>
      <tp>
        <v>0</v>
        <stp/>
        <stp>bse_cm|948SCL26D</stp>
        <stp>Open</stp>
        <tr r="M1081" s="1"/>
      </tp>
      <tp>
        <v>200</v>
        <stp/>
        <stp>bse_cm|830JMFPL30</stp>
        <stp>Bid Qty</stp>
        <tr r="D251" s="1"/>
      </tp>
      <tp>
        <v>0</v>
        <stp/>
        <stp>bse_cm|1125CCI27</stp>
        <stp>Ask Rate</stp>
        <tr r="F1229" s="1"/>
      </tp>
      <tp>
        <v>0</v>
        <stp/>
        <stp>bse_cm|1075NFL25</stp>
        <stp>Ask Rate</stp>
        <tr r="F643" s="1"/>
      </tp>
      <tp>
        <v>0</v>
        <stp/>
        <stp>bse_cm|1025NFL25</stp>
        <stp>Ask Rate</stp>
        <tr r="F624" s="1"/>
      </tp>
      <tp>
        <v>0</v>
        <stp/>
        <stp>bse_cm|1075MML26</stp>
        <stp>Ask Rate</stp>
        <tr r="F1115" s="1"/>
      </tp>
      <tp>
        <v>0</v>
        <stp/>
        <stp>bse_cm|1025MML26</stp>
        <stp>Ask Rate</stp>
        <tr r="F765" s="1"/>
      </tp>
      <tp>
        <v>5</v>
        <stp/>
        <stp>bse_cm|791JMFPL26</stp>
        <stp>Bid Qty</stp>
        <tr r="D276" s="1"/>
      </tp>
      <tp>
        <v>0</v>
        <stp/>
        <stp>bse_cm|1075MML27</stp>
        <stp>Ask Rate</stp>
        <tr r="F1510" s="1"/>
      </tp>
      <tp>
        <v>1000</v>
        <stp/>
        <stp>bse_cm|1125MML27</stp>
        <stp>Ask Rate</stp>
        <tr r="F592" s="1"/>
      </tp>
      <tp>
        <v>960</v>
        <stp/>
        <stp>bse_cm|104ECL29A</stp>
        <stp>High</stp>
        <tr r="N79" s="1"/>
      </tp>
      <tp t="s">
        <v>BSE</v>
        <stp/>
        <stp>bse_cm|1050SCL31</stp>
        <stp>Exchange</stp>
        <tr r="C892" s="1"/>
      </tp>
      <tp>
        <v>1003.4</v>
        <stp/>
        <stp>bse_cm|1065NFL27</stp>
        <stp>Ask Rate</stp>
        <tr r="F182" s="1"/>
      </tp>
      <tp t="s">
        <v>BSE</v>
        <stp/>
        <stp>bse_cm|1050SCL30</stp>
        <stp>Exchange</stp>
        <tr r="C867" s="1"/>
      </tp>
      <tp>
        <v>0</v>
        <stp/>
        <stp>bse_cm|1015MML25</stp>
        <stp>Ask Rate</stp>
        <tr r="F1103" s="1"/>
      </tp>
      <tp>
        <v>0</v>
        <stp/>
        <stp>bse_cm|1025MML25</stp>
        <stp>Ask Rate</stp>
        <tr r="F766" s="1"/>
      </tp>
      <tp>
        <v>0</v>
        <stp/>
        <stp>bse_cm|990SCL26I</stp>
        <stp>Open</stp>
        <tr r="M797" s="1"/>
      </tp>
      <tp>
        <v>0</v>
        <stp/>
        <stp>bse_cm|902SCL26I</stp>
        <stp>Open</stp>
        <tr r="M903" s="1"/>
      </tp>
      <tp>
        <v>0</v>
        <stp/>
        <stp>bse_cm|948SCL26I</stp>
        <stp>Open</stp>
        <tr r="M1080" s="1"/>
      </tp>
      <tp>
        <v>0</v>
        <stp/>
        <stp>bse_cm|1175IFL26</stp>
        <stp>Ask Rate</stp>
        <tr r="F1221" s="1"/>
      </tp>
      <tp>
        <v>0</v>
        <stp/>
        <stp>bse_cm|1025KFL25</stp>
        <stp>Ask Rate</stp>
        <tr r="F638" s="1"/>
      </tp>
      <tp>
        <v>0</v>
        <stp/>
        <stp>bse_cm|1225IFL27</stp>
        <stp>Ask Rate</stp>
        <tr r="F1216" s="1"/>
      </tp>
      <tp>
        <v>1200</v>
        <stp/>
        <stp>bse_cm|1175KLM25</stp>
        <stp>Ask Rate</stp>
        <tr r="F1691" s="1"/>
      </tp>
      <tp>
        <v>980</v>
        <stp/>
        <stp>bse_cm|1075IML27</stp>
        <stp>Ask Rate</stp>
        <tr r="F96" s="1"/>
      </tp>
      <tp t="s">
        <v>INE103C07033</v>
        <stp/>
        <stp>bse_cm|0SMCGSL26</stp>
        <stp>Isin code</stp>
        <tr r="R589" s="1"/>
      </tp>
      <tp>
        <v>0</v>
        <stp/>
        <stp>bse_cm|1025KFL26</stp>
        <stp>Ask Rate</stp>
        <tr r="F768" s="1"/>
      </tp>
      <tp t="e">
        <v>#N/A</v>
        <stp/>
        <stp>bse_cm|1075IML24</stp>
        <stp>Ask Rate</stp>
        <tr r="F33" s="1"/>
      </tp>
      <tp>
        <v>0</v>
        <stp/>
        <stp>bse_cm|1125KLM26</stp>
        <stp>Ask Rate</stp>
        <tr r="F1227" s="1"/>
      </tp>
      <tp>
        <v>1002</v>
        <stp/>
        <stp>bse_cm|1015ECL29</stp>
        <stp>Ask Rate</stp>
        <tr r="F210" s="1"/>
      </tp>
      <tp>
        <v>0</v>
        <stp/>
        <stp>bse_cm|1025KFL27</stp>
        <stp>Ask Rate</stp>
        <tr r="F767" s="1"/>
      </tp>
      <tp>
        <v>0</v>
        <stp/>
        <stp>bse_cm|1075KLM27</stp>
        <stp>Ask Rate</stp>
        <tr r="F1117" s="1"/>
      </tp>
      <tp t="s">
        <v>735MFL25</v>
        <stp/>
        <stp>bse_cm|735MFL25</stp>
        <stp>Trading Symbol</stp>
        <tr r="B308" s="1"/>
      </tp>
      <tp t="s">
        <v>NSE</v>
        <stp/>
        <stp>nse_cm|ICCL25-NS</stp>
        <stp>Exchange</stp>
        <tr r="C1401" s="1"/>
      </tp>
      <tp t="s">
        <v>INE0BUS07940</v>
        <stp/>
        <stp>bse_cm|1150IML28</stp>
        <stp>Isin code</stp>
        <tr r="R92" s="1"/>
      </tp>
      <tp t="s">
        <v>725MFL24</v>
        <stp/>
        <stp>bse_cm|725MFL24</stp>
        <stp>Trading Symbol</stp>
        <tr r="B446" s="1"/>
      </tp>
      <tp t="s">
        <v>1015SCL28B-AZ</v>
        <stp/>
        <stp>nse_cm|1015SCL28B-AZ</stp>
        <stp>Trading Symbol</stp>
        <tr r="B1614" s="1"/>
      </tp>
      <tp>
        <v>1020</v>
        <stp/>
        <stp>bse_cm|CIFCZC28A</stp>
        <stp xml:space="preserve">Low </stp>
        <tr r="O1396" s="1"/>
      </tp>
      <tp>
        <v>1036.71</v>
        <stp/>
        <stp>bse_cm|91MOFSL27</stp>
        <stp>High</stp>
        <tr r="N1558" s="1"/>
      </tp>
      <tp t="s">
        <v>1075SCL33B-NW</v>
        <stp/>
        <stp>nse_cm|1075SCL33B-NW</stp>
        <stp>Trading Symbol</stp>
        <tr r="B889" s="1"/>
      </tp>
      <tp t="s">
        <v>775MFL25</v>
        <stp/>
        <stp>bse_cm|775MFL25</stp>
        <stp>Trading Symbol</stp>
        <tr r="B1369" s="1"/>
      </tp>
      <tp t="s">
        <v>775MFL27</v>
        <stp/>
        <stp>bse_cm|775MFL27</stp>
        <stp>Trading Symbol</stp>
        <tr r="B694" s="1"/>
      </tp>
      <tp t="s">
        <v>775MFL26</v>
        <stp/>
        <stp>bse_cm|775MFL26</stp>
        <stp>Trading Symbol</stp>
        <tr r="B328" s="1"/>
      </tp>
      <tp>
        <v>1124.0999999999999</v>
        <stp/>
        <stp>bse_cm|735NHAI31</stp>
        <stp>High</stp>
        <tr r="N565" s="1"/>
      </tp>
      <tp>
        <v>1106.18</v>
        <stp/>
        <stp>bse_cm|769NHAI31</stp>
        <stp>High</stp>
        <tr r="N465" s="1"/>
      </tp>
      <tp>
        <v>1001.64</v>
        <stp/>
        <stp>bse_cm|960ISFL25</stp>
        <stp xml:space="preserve">Low </stp>
        <tr r="O871" s="1"/>
      </tp>
      <tp>
        <v>960.25</v>
        <stp/>
        <stp>bse_cm|921ISFL25</stp>
        <stp xml:space="preserve">Low </stp>
        <tr r="O350" s="1"/>
      </tp>
      <tp t="s">
        <v>760MFL25</v>
        <stp/>
        <stp>bse_cm|760MFL25</stp>
        <stp>Trading Symbol</stp>
        <tr r="B482" s="1"/>
      </tp>
      <tp>
        <v>947</v>
        <stp/>
        <stp>bse_cm|957ISFL26</stp>
        <stp xml:space="preserve">Low </stp>
        <tr r="O761" s="1"/>
      </tp>
      <tp t="s">
        <v>925IHFL25E-N8</v>
        <stp/>
        <stp>nse_cm|925IHFL25E-N8</stp>
        <stp>Trading Symbol</stp>
        <tr r="B561" s="1"/>
      </tp>
      <tp t="s">
        <v>750MFL27</v>
        <stp/>
        <stp>bse_cm|750MFL27</stp>
        <stp>Trading Symbol</stp>
        <tr r="B274" s="1"/>
      </tp>
      <tp t="s">
        <v>NSE</v>
        <stp/>
        <stp>nse_cm|DLSL25-NW</stp>
        <stp>Exchange</stp>
        <tr r="C1745" s="1"/>
      </tp>
      <tp>
        <v>915</v>
        <stp/>
        <stp>bse_cm|970NIDO32</stp>
        <stp>High</stp>
        <tr r="N67" s="1"/>
      </tp>
      <tp>
        <v>892.5</v>
        <stp/>
        <stp>bse_cm|930NIDO32</stp>
        <stp>High</stp>
        <tr r="N76" s="1"/>
      </tp>
      <tp>
        <v>1360</v>
        <stp/>
        <stp>bse_cm|840IRFC29</stp>
        <stp xml:space="preserve">Low </stp>
        <tr r="O1634" s="1"/>
      </tp>
      <tp>
        <v>1150.2</v>
        <stp/>
        <stp>bse_cm|865IRFC29</stp>
        <stp xml:space="preserve">Low </stp>
        <tr r="O501" s="1"/>
      </tp>
      <tp>
        <v>1060.0999999999999</v>
        <stp/>
        <stp>bse_cm|704IRFC26</stp>
        <stp xml:space="preserve">Low </stp>
        <tr r="O557" s="1"/>
      </tp>
      <tp>
        <v>1129.06</v>
        <stp/>
        <stp>bse_cm|739HUDC31</stp>
        <stp xml:space="preserve">Low </stp>
        <tr r="O1347" s="1"/>
      </tp>
      <tp>
        <v>1014.01</v>
        <stp/>
        <stp>bse_cm|729IRFC26</stp>
        <stp xml:space="preserve">Low </stp>
        <tr r="O367" s="1"/>
      </tp>
      <tp>
        <v>0</v>
        <stp/>
        <stp>bse_cm|MML27524A</stp>
        <stp>Ask Rate</stp>
        <tr r="F1250" s="1"/>
      </tp>
      <tp>
        <v>1191</v>
        <stp/>
        <stp>bse_cm|MMFLZC27D</stp>
        <stp xml:space="preserve">Low </stp>
        <tr r="O1406" s="1"/>
      </tp>
      <tp>
        <v>1005</v>
        <stp/>
        <stp>bse_cm|707IRFC25</stp>
        <stp xml:space="preserve">Low </stp>
        <tr r="O1653" s="1"/>
      </tp>
      <tp>
        <v>1018.35</v>
        <stp/>
        <stp>bse_cm|732IRFC25</stp>
        <stp xml:space="preserve">Low </stp>
        <tr r="O174" s="1"/>
      </tp>
      <tp t="s">
        <v>INE414G08348</v>
        <stp/>
        <stp>bse_cm|915MMFS24</stp>
        <stp>Isin code</stp>
        <tr r="R1752" s="1"/>
      </tp>
      <tp t="s">
        <v>88NWIL25</v>
        <stp/>
        <stp>bse_cm|88NWIL25</stp>
        <stp>Trading Symbol</stp>
        <tr r="B219" s="1"/>
      </tp>
      <tp t="s">
        <v>78ABFL33</v>
        <stp/>
        <stp>bse_cm|78ABFL33</stp>
        <stp>Trading Symbol</stp>
        <tr r="B378" s="1"/>
      </tp>
      <tp t="s">
        <v>INE860H07IU2</v>
        <stp/>
        <stp>nse_cm|ABFL28-N3</stp>
        <stp>Isin code</stp>
        <tr r="R1063" s="1"/>
      </tp>
      <tp t="s">
        <v>INE532F07FJ0</v>
        <stp/>
        <stp>bse_cm|1045EFS34</stp>
        <stp>Isin code</stp>
        <tr r="R1450" s="1"/>
      </tp>
      <tp t="s">
        <v>785MFL28</v>
        <stp/>
        <stp>bse_cm|785MFL28</stp>
        <stp>Trading Symbol</stp>
        <tr r="B439" s="1"/>
      </tp>
      <tp t="s">
        <v>INE101Q07946</v>
        <stp/>
        <stp>bse_cm|975MMFL24</stp>
        <stp>Isin code</stp>
        <tr r="R853" s="1"/>
      </tp>
      <tp>
        <v>1379</v>
        <stp/>
        <stp>bse_cm|MMFLZC27A</stp>
        <stp xml:space="preserve">Low </stp>
        <tr r="O1260" s="1"/>
      </tp>
      <tp t="s">
        <v>INE741K07579</v>
        <stp/>
        <stp>bse_cm|970CAGL28</stp>
        <stp>Isin code</stp>
        <tr r="R292" s="1"/>
      </tp>
      <tp>
        <v>0</v>
        <stp/>
        <stp>bse_cm|10MVAFL25</stp>
        <stp>Open</stp>
        <tr r="M1675" s="1"/>
      </tp>
      <tp>
        <v>1284</v>
        <stp/>
        <stp>bse_cm|MMFLZC27C</stp>
        <stp xml:space="preserve">Low </stp>
        <tr r="O1463" s="1"/>
      </tp>
      <tp>
        <v>1285</v>
        <stp/>
        <stp>bse_cm|MMFLZC27B</stp>
        <stp xml:space="preserve">Low </stp>
        <tr r="O1570" s="1"/>
      </tp>
      <tp>
        <v>1040</v>
        <stp/>
        <stp>bse_cm|980IFSL25</stp>
        <stp xml:space="preserve">Low </stp>
        <tr r="O474" s="1"/>
      </tp>
      <tp>
        <v>622</v>
        <stp/>
        <stp>bse_cm|955IFSL25</stp>
        <stp xml:space="preserve">Low </stp>
        <tr r="O1470" s="1"/>
      </tp>
      <tp>
        <v>993</v>
        <stp/>
        <stp>bse_cm|945IFSL25</stp>
        <stp xml:space="preserve">Low </stp>
        <tr r="O483" s="1"/>
      </tp>
      <tp>
        <v>1000</v>
        <stp/>
        <stp>bse_cm|966IFSL25</stp>
        <stp xml:space="preserve">Low </stp>
        <tr r="O1051" s="1"/>
      </tp>
      <tp t="s">
        <v>KAF080824</v>
        <stp/>
        <stp>bse_cm|KAF080824</stp>
        <stp>Symbol</stp>
        <tr r="A1322" s="1"/>
      </tp>
      <tp t="s">
        <v>NSE</v>
        <stp/>
        <stp>nse_cm|9PEL25-N0</stp>
        <stp>Exchange</stp>
        <tr r="C341" s="1"/>
      </tp>
      <tp t="s">
        <v>704NHAI26</v>
        <stp/>
        <stp>bse_cm|704NHAI26</stp>
        <stp>Symbol</stp>
        <tr r="A1204" s="1"/>
      </tp>
      <tp t="s">
        <v>960CAGL25</v>
        <stp/>
        <stp>bse_cm|960CAGL25</stp>
        <stp>Symbol</stp>
        <tr r="A347" s="1"/>
      </tp>
      <tp>
        <v>919.44</v>
        <stp/>
        <stp>bse_cm|843IHFL29</stp>
        <stp xml:space="preserve">Low </stp>
        <tr r="O139" s="1"/>
      </tp>
      <tp>
        <v>916.5</v>
        <stp/>
        <stp>bse_cm|865IIFL28</stp>
        <stp xml:space="preserve">Low </stp>
        <tr r="O75" s="1"/>
      </tp>
      <tp>
        <v>939.8</v>
        <stp/>
        <stp>bse_cm|875IHFL29</stp>
        <stp xml:space="preserve">Low </stp>
        <tr r="O1230" s="1"/>
      </tp>
      <tp>
        <v>1000</v>
        <stp/>
        <stp>bse_cm|984IFSL26</stp>
        <stp xml:space="preserve">Low </stp>
        <tr r="O457" s="1"/>
      </tp>
      <tp>
        <v>975</v>
        <stp/>
        <stp>bse_cm|965IFSL26</stp>
        <stp xml:space="preserve">Low </stp>
        <tr r="O1142" s="1"/>
      </tp>
      <tp t="s">
        <v>955NIDO27</v>
        <stp/>
        <stp>bse_cm|955NIDO27</stp>
        <stp>Symbol</stp>
        <tr r="A51" s="1"/>
      </tp>
      <tp>
        <v>1025</v>
        <stp/>
        <stp>bse_cm|957ICCL25</stp>
        <stp xml:space="preserve">Low </stp>
        <tr r="O432" s="1"/>
      </tp>
      <tp t="s">
        <v>925SFCL25</v>
        <stp/>
        <stp>bse_cm|925SFCL25</stp>
        <stp>Symbol</stp>
        <tr r="A1482" s="1"/>
      </tp>
      <tp t="s">
        <v>875SCFL27</v>
        <stp/>
        <stp>bse_cm|875SCFL27</stp>
        <stp>Symbol</stp>
        <tr r="A1011" s="1"/>
      </tp>
      <tp t="s">
        <v>875IIFL26</v>
        <stp/>
        <stp>bse_cm|875IIFL26</stp>
        <stp>Symbol</stp>
        <tr r="A642" s="1"/>
      </tp>
      <tp t="s">
        <v>875IHFL29</v>
        <stp/>
        <stp>bse_cm|875IHFL29</stp>
        <stp>Symbol</stp>
        <tr r="A1230" s="1"/>
      </tp>
      <tp t="s">
        <v>975KAFL25</v>
        <stp/>
        <stp>bse_cm|975KAFL25</stp>
        <stp>Symbol</stp>
        <tr r="A860" s="1"/>
      </tp>
      <tp t="s">
        <v>975KAFL26</v>
        <stp/>
        <stp>bse_cm|975KAFL26</stp>
        <stp>Symbol</stp>
        <tr r="A859" s="1"/>
      </tp>
      <tp t="s">
        <v>975MMFL24</v>
        <stp/>
        <stp>bse_cm|975MMFL24</stp>
        <stp>Symbol</stp>
        <tr r="A853" s="1"/>
      </tp>
      <tp t="s">
        <v>975MMFL26</v>
        <stp/>
        <stp>bse_cm|975MMFL26</stp>
        <stp>Symbol</stp>
        <tr r="A215" s="1"/>
      </tp>
      <tp t="s">
        <v>925MFCL27</v>
        <stp/>
        <stp>bse_cm|925MFCL27</stp>
        <stp>Symbol</stp>
        <tr r="A262" s="1"/>
      </tp>
      <tp t="s">
        <v>925MFCL26</v>
        <stp/>
        <stp>bse_cm|925MFCL26</stp>
        <stp>Symbol</stp>
        <tr r="A1610" s="1"/>
      </tp>
      <tp t="s">
        <v>975AHFL28</v>
        <stp/>
        <stp>bse_cm|975AHFL28</stp>
        <stp>Symbol</stp>
        <tr r="A324" s="1"/>
      </tp>
      <tp>
        <v>940</v>
        <stp/>
        <stp>bse_cm|995NWIL32</stp>
        <stp>High</stp>
        <tr r="N1023" s="1"/>
      </tp>
      <tp>
        <v>994</v>
        <stp/>
        <stp>bse_cm|953NWIL32</stp>
        <stp>High</stp>
        <tr r="N226" s="1"/>
      </tp>
      <tp t="s">
        <v>957NIDO26</v>
        <stp/>
        <stp>bse_cm|957NIDO26</stp>
        <stp>Symbol</stp>
        <tr r="A329" s="1"/>
      </tp>
      <tp t="s">
        <v>958NIDO27</v>
        <stp/>
        <stp>bse_cm|958NIDO27</stp>
        <stp>Symbol</stp>
        <tr r="A1402" s="1"/>
      </tp>
      <tp>
        <v>0</v>
        <stp/>
        <stp>bse_cm|980ICCL28</stp>
        <stp xml:space="preserve">Low </stp>
        <tr r="O783" s="1"/>
      </tp>
      <tp>
        <v>830.1</v>
        <stp/>
        <stp>bse_cm|985ICCL28</stp>
        <stp xml:space="preserve">Low </stp>
        <tr r="O1483" s="1"/>
      </tp>
      <tp>
        <v>975.7</v>
        <stp/>
        <stp>bse_cm|985IIFL22</stp>
        <stp xml:space="preserve">Low </stp>
        <tr r="O178" s="1"/>
      </tp>
      <tp>
        <v>1094.52</v>
        <stp/>
        <stp>bse_cm|957ICCL28</stp>
        <stp xml:space="preserve">Low </stp>
        <tr r="O1572" s="1"/>
      </tp>
      <tp>
        <v>0</v>
        <stp/>
        <stp>bse_cm|940ICCL28</stp>
        <stp xml:space="preserve">Low </stp>
        <tr r="O1126" s="1"/>
      </tp>
      <tp t="s">
        <v>INE148I07SY1</v>
        <stp/>
        <stp>nse_cm|975SCL27-Z9</stp>
        <stp>Isin code</stp>
        <tr r="R885" s="1"/>
      </tp>
      <tp t="s">
        <v>NSE</v>
        <stp/>
        <stp>nse_cm|CAGL26-NA</stp>
        <stp>Exchange</stp>
        <tr r="C735" s="1"/>
      </tp>
      <tp t="s">
        <v>INE148I07GK5</v>
        <stp/>
        <stp>nse_cm|885SCL26-N9</stp>
        <stp>Isin code</stp>
        <tr r="R686" s="1"/>
      </tp>
      <tp t="s">
        <v>NSE</v>
        <stp/>
        <stp>nse_cm|CAGL27-NC</stp>
        <stp>Exchange</stp>
        <tr r="C733" s="1"/>
      </tp>
      <tp>
        <v>1398</v>
        <stp/>
        <stp>bse_cm|105IIFL29</stp>
        <stp xml:space="preserve">Low </stp>
        <tr r="O338" s="1"/>
      </tp>
      <tp>
        <v>930.2</v>
        <stp/>
        <stp>bse_cm|850IIFL27</stp>
        <stp xml:space="preserve">Low </stp>
        <tr r="O1407" s="1"/>
      </tp>
      <tp>
        <v>990</v>
        <stp/>
        <stp>bse_cm|84CIFCL28</stp>
        <stp xml:space="preserve">Low </stp>
        <tr r="O387" s="1"/>
      </tp>
      <tp>
        <v>941.8</v>
        <stp/>
        <stp>bse_cm|820IIFL27</stp>
        <stp xml:space="preserve">Low </stp>
        <tr r="O176" s="1"/>
      </tp>
      <tp t="s">
        <v>NSE</v>
        <stp/>
        <stp>nse_cm|CAGL28-NE</stp>
        <stp>Exchange</stp>
        <tr r="C756" s="1"/>
      </tp>
      <tp>
        <v>949.9</v>
        <stp/>
        <stp>bse_cm|842IIFL26</stp>
        <stp xml:space="preserve">Low </stp>
        <tr r="O181" s="1"/>
      </tp>
      <tp>
        <v>964.8</v>
        <stp/>
        <stp>bse_cm|875IIFL26</stp>
        <stp xml:space="preserve">Low </stp>
        <tr r="O642" s="1"/>
      </tp>
      <tp>
        <v>1052.54</v>
        <stp/>
        <stp>bse_cm|115ICFL25</stp>
        <stp xml:space="preserve">Low </stp>
        <tr r="O1548" s="1"/>
      </tp>
      <tp>
        <v>1000</v>
        <stp/>
        <stp>bse_cm|125ICFL26</stp>
        <stp xml:space="preserve">Low </stp>
        <tr r="O1214" s="1"/>
      </tp>
      <tp>
        <v>1042.0999999999999</v>
        <stp/>
        <stp>bse_cm|825IIFL25</stp>
        <stp xml:space="preserve">Low </stp>
        <tr r="O47" s="1"/>
      </tp>
      <tp t="s">
        <v>INEl48I07QA5</v>
        <stp/>
        <stp>bse_cm|SCLZC26H</stp>
        <stp>Isin code</stp>
        <tr r="R814" s="1"/>
      </tp>
      <tp t="s">
        <v>BSE</v>
        <stp/>
        <stp>bse_cm|10EFS33</stp>
        <stp>Exchange</stp>
        <tr r="C112" s="1"/>
      </tp>
      <tp>
        <v>0</v>
        <stp/>
        <stp>bse_cm|95CCIL24A</stp>
        <stp>Volume Traded Today</stp>
        <tr r="L873" s="1"/>
      </tp>
      <tp>
        <v>-100</v>
        <stp/>
        <stp>bse_cm|NIDOZC26</stp>
        <stp>% Change</stp>
        <tr r="J27" s="1"/>
      </tp>
      <tp t="s">
        <v>BSE</v>
        <stp/>
        <stp>bse_cm|11MML28</stp>
        <stp>Exchange</stp>
        <tr r="C1131" s="1"/>
      </tp>
      <tp t="s">
        <v>BSE</v>
        <stp/>
        <stp>bse_cm|11CCL26</stp>
        <stp>Exchange</stp>
        <tr r="C1219" s="1"/>
      </tp>
      <tp t="s">
        <v>BSE</v>
        <stp/>
        <stp>bse_cm|11CCI26</stp>
        <stp>Exchange</stp>
        <tr r="C1220" s="1"/>
      </tp>
      <tp t="s">
        <v>BSE</v>
        <stp/>
        <stp>bse_cm|81MFL28</stp>
        <stp>Exchange</stp>
        <tr r="C314" s="1"/>
      </tp>
      <tp>
        <v>-100</v>
        <stp/>
        <stp>bse_cm|11DLSL25</stp>
        <stp>% Change</stp>
        <tr r="J1539" s="1"/>
      </tp>
      <tp>
        <v>964</v>
        <stp/>
        <stp>bse_cm|9MFL27A</stp>
        <stp xml:space="preserve">Low </stp>
        <tr r="O257" s="1"/>
      </tp>
      <tp>
        <v>0</v>
        <stp/>
        <stp>nse_cm|915SCL27A-ZL</stp>
        <stp>Volume Traded Today</stp>
        <tr r="L966" s="1"/>
      </tp>
      <tp>
        <v>49</v>
        <stp/>
        <stp>bse_cm|IFCIZC24</stp>
        <stp>Ask Qty</stp>
        <tr r="G1769" s="1"/>
      </tp>
      <tp>
        <v>20</v>
        <stp/>
        <stp>bse_cm|IFCIZC25</stp>
        <stp>Ask Qty</stp>
        <tr r="G1764" s="1"/>
      </tp>
      <tp>
        <v>830</v>
        <stp/>
        <stp>nse_cm|87SCL27-Z6</stp>
        <stp>High</stp>
        <tr r="N950" s="1"/>
      </tp>
      <tp>
        <v>0</v>
        <stp/>
        <stp>bse_cm|1050SCL31</stp>
        <stp>ATP</stp>
        <tr r="K892" s="1"/>
      </tp>
      <tp>
        <v>0</v>
        <stp/>
        <stp>bse_cm|1050SCL30</stp>
        <stp>ATP</stp>
        <tr r="K867" s="1"/>
      </tp>
      <tp t="s">
        <v>BSE</v>
        <stp/>
        <stp>bse_cm|11IML26</stp>
        <stp>Exchange</stp>
        <tr r="C1132" s="1"/>
      </tp>
      <tp>
        <v>1000</v>
        <stp/>
        <stp>bse_cm|1010MFCL30</stp>
        <stp>Bid Rate</stp>
        <tr r="E285" s="1"/>
      </tp>
      <tp>
        <v>0</v>
        <stp/>
        <stp>bse_cm|1050SFL26</stp>
        <stp>ATP</stp>
        <tr r="K890" s="1"/>
      </tp>
      <tp>
        <v>0</v>
        <stp/>
        <stp>bse_cm|1050UCL25</stp>
        <stp>ATP</stp>
        <tr r="K417" s="1"/>
      </tp>
      <tp>
        <v>0</v>
        <stp/>
        <stp>bse_cm|1050VCL25</stp>
        <stp>ATP</stp>
        <tr r="K656" s="1"/>
      </tp>
      <tp>
        <v>0</v>
        <stp/>
        <stp>bse_cm|1050IML25</stp>
        <stp>ATP</stp>
        <tr r="K499" s="1"/>
      </tp>
      <tp t="s">
        <v>09:54:37</v>
        <stp/>
        <stp>bse_cm|KFL070824</stp>
        <stp>LTT</stp>
        <tr r="I551" s="1"/>
      </tp>
      <tp t="s">
        <v>00:00:00</v>
        <stp/>
        <stp>bse_cm|1080MML26</stp>
        <stp>LTT</stp>
        <tr r="I1163" s="1"/>
      </tp>
      <tp>
        <v>0</v>
        <stp/>
        <stp>bse_cm|1150IFL26</stp>
        <stp>ATP</stp>
        <tr r="K1225" s="1"/>
      </tp>
      <tp>
        <v>0</v>
        <stp/>
        <stp>bse_cm|1050MML25</stp>
        <stp>ATP</stp>
        <tr r="K1503" s="1"/>
      </tp>
      <tp>
        <v>0</v>
        <stp/>
        <stp>bse_cm|1050NFL26</stp>
        <stp>ATP</stp>
        <tr r="K260" s="1"/>
      </tp>
      <tp>
        <v>945.01</v>
        <stp/>
        <stp>bse_cm|KFL070824</stp>
        <stp>LTP</stp>
        <tr r="H551" s="1"/>
      </tp>
      <tp>
        <v>0</v>
        <stp/>
        <stp>bse_cm|1080MML26</stp>
        <stp>LTP</stp>
        <tr r="H1163" s="1"/>
      </tp>
      <tp t="s">
        <v>BSE</v>
        <stp/>
        <stp>bse_cm|11IML27</stp>
        <stp>Exchange</stp>
        <tr r="C177" s="1"/>
      </tp>
      <tp>
        <v>815.2</v>
        <stp/>
        <stp>bse_cm|1080MML29</stp>
        <stp>LTP</stp>
        <tr r="H72" s="1"/>
      </tp>
      <tp>
        <v>0</v>
        <stp/>
        <stp>bse_cm|1150MML29</stp>
        <stp>ATP</stp>
        <tr r="K248" s="1"/>
      </tp>
      <tp>
        <v>0</v>
        <stp/>
        <stp>bse_cm|1050MML28</stp>
        <stp>ATP</stp>
        <tr r="K1159" s="1"/>
      </tp>
      <tp t="s">
        <v>10:27:03</v>
        <stp/>
        <stp>bse_cm|1080MML29</stp>
        <stp>LTT</stp>
        <tr r="I72" s="1"/>
      </tp>
      <tp>
        <v>0</v>
        <stp/>
        <stp>bse_cm|1150IML29</stp>
        <stp>ATP</stp>
        <tr r="K601" s="1"/>
      </tp>
      <tp>
        <v>0</v>
        <stp/>
        <stp>bse_cm|1250IFL29</stp>
        <stp>ATP</stp>
        <tr r="K1215" s="1"/>
      </tp>
      <tp>
        <v>0</v>
        <stp/>
        <stp>bse_cm|1150IML28</stp>
        <stp>ATP</stp>
        <tr r="K92" s="1"/>
      </tp>
      <tp>
        <v>-100</v>
        <stp/>
        <stp>bse_cm|10EFSL34</stp>
        <stp>% Change</stp>
        <tr r="J164" s="1"/>
      </tp>
      <tp>
        <v>-100</v>
        <stp/>
        <stp>bse_cm|11EFSL34</stp>
        <stp>% Change</stp>
        <tr r="J1429" s="1"/>
      </tp>
      <tp>
        <v>0</v>
        <stp/>
        <stp>bse_cm|SCL310524</stp>
        <stp>ATP</stp>
        <tr r="K1345" s="1"/>
      </tp>
      <tp t="s">
        <v>BSE</v>
        <stp/>
        <stp>bse_cm|11IFL25</stp>
        <stp>Exchange</stp>
        <tr r="C1421" s="1"/>
      </tp>
      <tp>
        <v>0</v>
        <stp/>
        <stp>bse_cm|CCIL14824</stp>
        <stp>Volume Traded Today</stp>
        <tr r="L753" s="1"/>
      </tp>
      <tp>
        <v>0</v>
        <stp/>
        <stp>bse_cm|10MFL24AA</stp>
        <stp>ATP</stp>
        <tr r="K475" s="1"/>
      </tp>
      <tp>
        <v>-100</v>
        <stp/>
        <stp>bse_cm|97EFSL31</stp>
        <stp>% Change</stp>
        <tr r="J635" s="1"/>
      </tp>
      <tp>
        <v>-100</v>
        <stp/>
        <stp>bse_cm|93EFSL31</stp>
        <stp>% Change</stp>
        <tr r="J83" s="1"/>
      </tp>
      <tp>
        <v>-100</v>
        <stp/>
        <stp>bse_cm|10EFSL33</stp>
        <stp>% Change</stp>
        <tr r="J150" s="1"/>
      </tp>
      <tp>
        <v>5</v>
        <stp/>
        <stp>bse_cm|732IRFC25</stp>
        <stp>Volume Traded Today</stp>
        <tr r="L174" s="1"/>
      </tp>
      <tp>
        <v>959</v>
        <stp/>
        <stp>nse_cm|1025SCL34-Z8</stp>
        <stp>Prev Close</stp>
        <tr r="P128" s="1"/>
      </tp>
      <tp>
        <v>985.79</v>
        <stp/>
        <stp>nse_cm|SCL310524-ZF</stp>
        <stp>Prev Close</stp>
        <tr r="P593" s="1"/>
      </tp>
      <tp>
        <v>975</v>
        <stp/>
        <stp>nse_cm|1075SCL34-ZR</stp>
        <stp>Prev Close</stp>
        <tr r="P1366" s="1"/>
      </tp>
      <tp t="s">
        <v>INE774D08MG3</v>
        <stp/>
        <stp>bse_cm|MMFSL26A</stp>
        <stp>Isin code</stp>
        <tr r="R1722" s="1"/>
      </tp>
      <tp>
        <v>0</v>
        <stp/>
        <stp>nse_cm|925CAGL26-N9</stp>
        <stp>ATP</stp>
        <tr r="K639" s="1"/>
      </tp>
      <tp>
        <v>0</v>
        <stp/>
        <stp>bse_cm|87SCL27A</stp>
        <stp>Ask Qty</stp>
        <tr r="G644" s="1"/>
      </tp>
      <tp>
        <v>0</v>
        <stp/>
        <stp>bse_cm|95KFL27</stp>
        <stp>Ask Rate</stp>
        <tr r="F607" s="1"/>
      </tp>
      <tp>
        <v>0</v>
        <stp/>
        <stp>bse_cm|9SFL26A</stp>
        <stp>Open</stp>
        <tr r="M1065" s="1"/>
      </tp>
      <tp>
        <v>991</v>
        <stp/>
        <stp>bse_cm|NIDO25A</stp>
        <stp>High</stp>
        <tr r="N1245" s="1"/>
      </tp>
      <tp>
        <v>0</v>
        <stp/>
        <stp>bse_cm|97SFL26A</stp>
        <stp>Ask Qty</stp>
        <tr r="G1089" s="1"/>
      </tp>
      <tp>
        <v>1000</v>
        <stp/>
        <stp>bse_cm|95KFL26</stp>
        <stp>Ask Rate</stp>
        <tr r="F253" s="1"/>
      </tp>
      <tp>
        <v>0</v>
        <stp/>
        <stp>bse_cm|85KFL25</stp>
        <stp>Ask Rate</stp>
        <tr r="F641" s="1"/>
      </tp>
      <tp>
        <v>0</v>
        <stp/>
        <stp>nse_cm|867PFCL33-N7</stp>
        <stp>ATP</stp>
        <tr r="K550" s="1"/>
      </tp>
      <tp>
        <v>975</v>
        <stp/>
        <stp>bse_cm|95KLM25</stp>
        <stp>Ask Rate</stp>
        <tr r="F73" s="1"/>
      </tp>
      <tp t="s">
        <v>BSE</v>
        <stp/>
        <stp>bse_cm|91SFL27</stp>
        <stp>Exchange</stp>
        <tr r="C574" s="1"/>
      </tp>
      <tp>
        <v>0</v>
        <stp/>
        <stp>bse_cm|87SCL24A</stp>
        <stp>Ask Qty</stp>
        <tr r="G1141" s="1"/>
      </tp>
      <tp>
        <v>0</v>
        <stp/>
        <stp>bse_cm|85IFL26</stp>
        <stp>Ask Rate</stp>
        <tr r="F1357" s="1"/>
      </tp>
      <tp>
        <v>1356</v>
        <stp/>
        <stp>nse_cm|892PFCL33-N8</stp>
        <stp>Bid Rate</stp>
        <tr r="E530" s="1"/>
      </tp>
      <tp t="s">
        <v>BSE</v>
        <stp/>
        <stp>bse_cm|11UCL26</stp>
        <stp>Exchange</stp>
        <tr r="C323" s="1"/>
      </tp>
      <tp>
        <v>50</v>
        <stp/>
        <stp>bse_cm|94MFL27A</stp>
        <stp>Bid Qty</stp>
        <tr r="D420" s="1"/>
      </tp>
      <tp>
        <v>0</v>
        <stp/>
        <stp>bse_cm|95MFL25</stp>
        <stp>Ask Rate</stp>
        <tr r="F1420" s="1"/>
      </tp>
      <tp>
        <v>15</v>
        <stp/>
        <stp>bse_cm|EFSLZC25</stp>
        <stp>Ask Qty</stp>
        <tr r="G1741" s="1"/>
      </tp>
      <tp>
        <v>150</v>
        <stp/>
        <stp>bse_cm|EFSLZC26</stp>
        <stp>Ask Qty</stp>
        <tr r="G1712" s="1"/>
      </tp>
      <tp>
        <v>5</v>
        <stp/>
        <stp>bse_cm|EFSLZC28</stp>
        <stp>Ask Qty</stp>
        <tr r="G1637" s="1"/>
      </tp>
      <tp t="s">
        <v>BSE</v>
        <stp/>
        <stp>bse_cm|10SCL31</stp>
        <stp>Exchange</stp>
        <tr r="C1085" s="1"/>
      </tp>
      <tp>
        <v>0</v>
        <stp/>
        <stp>nse_cm|760PFCL35-N3</stp>
        <stp>ATP</stp>
        <tr r="K22" s="1"/>
      </tp>
      <tp>
        <v>1080</v>
        <stp/>
        <stp>bse_cm|85LTF26</stp>
        <stp>Ask Rate</stp>
        <tr r="F410" s="1"/>
      </tp>
      <tp>
        <v>0</v>
        <stp/>
        <stp>bse_cm|9SCL26B</stp>
        <stp>Open</stp>
        <tr r="M1135" s="1"/>
      </tp>
      <tp>
        <v>3</v>
        <stp/>
        <stp>nse_cm|905SC24B-Z9</stp>
        <stp>Bid Qty</stp>
        <tr r="D637" s="1"/>
      </tp>
      <tp t="s">
        <v>BSE</v>
        <stp/>
        <stp>bse_cm|1003SCFL31</stp>
        <stp>Exchange</stp>
        <tr r="C1076" s="1"/>
      </tp>
      <tp t="s">
        <v>BSE</v>
        <stp/>
        <stp>bse_cm|1050SCFL31</stp>
        <stp>Exchange</stp>
        <tr r="C1123" s="1"/>
      </tp>
      <tp>
        <v>1000</v>
        <stp/>
        <stp>nse_cm|820IIFL27-N9</stp>
        <stp>Face Value</stp>
        <tr r="Q266" s="1"/>
      </tp>
      <tp t="s">
        <v>BSE</v>
        <stp/>
        <stp>bse_cm|764HUDCO31</stp>
        <stp>Exchange</stp>
        <tr r="C16" s="1"/>
      </tp>
      <tp t="s">
        <v>BSE</v>
        <stp/>
        <stp>bse_cm|769HUDCO31</stp>
        <stp>Exchange</stp>
        <tr r="C15" s="1"/>
      </tp>
      <tp>
        <v>0</v>
        <stp/>
        <stp>nse_cm|830CIFC26-N2</stp>
        <stp>ATP</stp>
        <tr r="K1625" s="1"/>
      </tp>
      <tp>
        <v>1000</v>
        <stp/>
        <stp>nse_cm|84CIFCL28-NA</stp>
        <stp>Face Value</stp>
        <tr r="Q388" s="1"/>
      </tp>
      <tp>
        <v>0</v>
        <stp/>
        <stp>nse_cm|AEL120924-N2</stp>
        <stp>ATP</stp>
        <tr r="K1673" s="1"/>
      </tp>
      <tp t="s">
        <v>BSE</v>
        <stp/>
        <stp>bse_cm|739HUDCO31</stp>
        <stp>Exchange</stp>
        <tr r="C569" s="1"/>
      </tp>
      <tp t="s">
        <v>BSE</v>
        <stp/>
        <stp>bse_cm|1025SCFL34</stp>
        <stp>Exchange</stp>
        <tr r="C1025" s="1"/>
      </tp>
      <tp t="s">
        <v>BSE</v>
        <stp/>
        <stp>bse_cm|1075SCFL34</stp>
        <stp>Exchange</stp>
        <tr r="C1020" s="1"/>
      </tp>
      <tp>
        <v>1000</v>
        <stp/>
        <stp>nse_cm|957NIDO26-N5</stp>
        <stp>Face Value</stp>
        <tr r="Q255" s="1"/>
      </tp>
      <tp>
        <v>0</v>
        <stp/>
        <stp>nse_cm|734IRFC28-N4</stp>
        <stp>ATP</stp>
        <tr r="K455" s="1"/>
      </tp>
      <tp>
        <v>1000</v>
        <stp/>
        <stp>nse_cm|850IIFL27-NA</stp>
        <stp>Face Value</stp>
        <tr r="Q608" s="1"/>
      </tp>
      <tp>
        <v>1000</v>
        <stp/>
        <stp>nse_cm|85PCHFL26-N7</stp>
        <stp>Face Value</stp>
        <tr r="Q712" s="1"/>
      </tp>
      <tp t="s">
        <v>86CIFC29</v>
        <stp/>
        <stp>nse_cm|86CIFC29-NN</stp>
        <stp>Symbol</stp>
        <tr r="A1340" s="1"/>
      </tp>
      <tp>
        <v>20</v>
        <stp/>
        <stp>nse_cm|980SCL34-Z7</stp>
        <stp>Bid Qty</stp>
        <tr r="D884" s="1"/>
      </tp>
      <tp t="s">
        <v/>
        <stp/>
        <stp>nse_cm|948SCL26A-NN</stp>
        <stp>LTT</stp>
        <tr r="I526" s="1"/>
      </tp>
      <tp>
        <v>1002</v>
        <stp/>
        <stp>nse_cm|948SCL26A-NN</stp>
        <stp>LTP</stp>
        <tr r="H526" s="1"/>
      </tp>
      <tp>
        <v>5</v>
        <stp/>
        <stp>nse_cm|990SCL27-YT</stp>
        <stp>Bid Qty</stp>
        <tr r="D1024" s="1"/>
      </tp>
      <tp>
        <v>840</v>
        <stp/>
        <stp>nse_cm|990SCL26D-AH</stp>
        <stp>ATP</stp>
        <tr r="K1556" s="1"/>
      </tp>
      <tp t="s">
        <v/>
        <stp/>
        <stp>nse_cm|940SCL26C-AU</stp>
        <stp>LTT</stp>
        <tr r="I793" s="1"/>
      </tp>
      <tp>
        <v>0</v>
        <stp/>
        <stp>nse_cm|990SCL26I-AV</stp>
        <stp>ATP</stp>
        <tr r="K1368" s="1"/>
      </tp>
      <tp>
        <v>0</v>
        <stp/>
        <stp>nse_cm|940SCL26C-AU</stp>
        <stp>LTP</stp>
        <tr r="H793" s="1"/>
      </tp>
      <tp>
        <v>0</v>
        <stp/>
        <stp>bse_cm|0NHFL29</stp>
        <stp>High</stp>
        <tr r="N1035" s="1"/>
      </tp>
      <tp>
        <v>0</v>
        <stp/>
        <stp>nse_cm|87SCL25-ZV</stp>
        <stp>High</stp>
        <tr r="N979" s="1"/>
      </tp>
      <tp>
        <v>9</v>
        <stp/>
        <stp>nse_cm|925SCL29-YZ</stp>
        <stp>Bid Qty</stp>
        <tr r="D851" s="1"/>
      </tp>
      <tp>
        <v>5</v>
        <stp/>
        <stp>nse_cm|925SCL27-YR</stp>
        <stp>Bid Qty</stp>
        <tr r="D1415" s="1"/>
      </tp>
      <tp>
        <v>12</v>
        <stp/>
        <stp>nse_cm|916SCL25-ZW</stp>
        <stp>Bid Qty</stp>
        <tr r="D1576" s="1"/>
      </tp>
      <tp t="s">
        <v>BSE</v>
        <stp/>
        <stp>bse_cm|1025SCL33A</stp>
        <stp>Exchange</stp>
        <tr r="C835" s="1"/>
      </tp>
      <tp t="s">
        <v>BSE</v>
        <stp/>
        <stp>bse_cm|1075SCL33A</stp>
        <stp>Exchange</stp>
        <tr r="C629" s="1"/>
      </tp>
      <tp>
        <v>0</v>
        <stp/>
        <stp>bse_cm|755PFCL38</stp>
        <stp>ATP</stp>
        <tr r="K434" s="1"/>
      </tp>
      <tp t="s">
        <v>00:00:00</v>
        <stp/>
        <stp>bse_cm|658PFCL31</stp>
        <stp>LTT</stp>
        <tr r="I1209" s="1"/>
      </tp>
      <tp>
        <v>1037.76</v>
        <stp/>
        <stp>bse_cm|715PFCL36</stp>
        <stp>ATP</stp>
        <tr r="K437" s="1"/>
      </tp>
      <tp>
        <v>0</v>
        <stp/>
        <stp>bse_cm|695PFCL36</stp>
        <stp>ATP</stp>
        <tr r="K430" s="1"/>
      </tp>
      <tp>
        <v>0</v>
        <stp/>
        <stp>bse_cm|678PFCL36</stp>
        <stp>LTP</stp>
        <tr r="H1207" s="1"/>
      </tp>
      <tp>
        <v>0</v>
        <stp/>
        <stp>bse_cm|658PFCL31</stp>
        <stp>LTP</stp>
        <tr r="H1209" s="1"/>
      </tp>
      <tp t="s">
        <v>00:00:00</v>
        <stp/>
        <stp>bse_cm|678PFCL36</stp>
        <stp>LTT</stp>
        <tr r="I1207" s="1"/>
      </tp>
      <tp>
        <v>14</v>
        <stp/>
        <stp>nse_cm|915SCL27-Z7</stp>
        <stp>Bid Qty</stp>
        <tr r="D1475" s="1"/>
      </tp>
      <tp>
        <v>10</v>
        <stp/>
        <stp>nse_cm|905SCL25-ZT</stp>
        <stp>Bid Qty</stp>
        <tr r="D977" s="1"/>
      </tp>
      <tp>
        <v>0</v>
        <stp/>
        <stp>bse_cm|565PFCL26</stp>
        <stp>ATP</stp>
        <tr r="K1210" s="1"/>
      </tp>
      <tp>
        <v>0</v>
        <stp/>
        <stp>bse_cm|745PFCL26</stp>
        <stp>ATP</stp>
        <tr r="K1200" s="1"/>
      </tp>
      <tp t="s">
        <v>10IIFL29</v>
        <stp/>
        <stp>nse_cm|10IIFL29-N6</stp>
        <stp>Symbol</stp>
        <tr r="A193" s="1"/>
      </tp>
      <tp>
        <v>10</v>
        <stp/>
        <stp>nse_cm|905SCL27-Z4</stp>
        <stp>Bid Qty</stp>
        <tr r="D947" s="1"/>
      </tp>
      <tp>
        <v>0</v>
        <stp/>
        <stp>nse_cm|902SCL27-YU</stp>
        <stp>Bid Qty</stp>
        <tr r="D844" s="1"/>
      </tp>
      <tp>
        <v>20</v>
        <stp/>
        <stp>nse_cm|939SCL27-ZZ</stp>
        <stp>Bid Qty</stp>
        <tr r="D982" s="1"/>
      </tp>
      <tp>
        <v>0</v>
        <stp/>
        <stp>bse_cm|925SCFL27</stp>
        <stp>ATP</stp>
        <tr r="K772" s="1"/>
      </tp>
      <tp>
        <v>0</v>
        <stp/>
        <stp>bse_cm|875SCFL27</stp>
        <stp>ATP</stp>
        <tr r="K1011" s="1"/>
      </tp>
      <tp>
        <v>0</v>
        <stp/>
        <stp>bse_cm|925SCFL25</stp>
        <stp>ATP</stp>
        <tr r="K774" s="1"/>
      </tp>
      <tp>
        <v>0</v>
        <stp/>
        <stp>bse_cm|965SCFL25</stp>
        <stp>ATP</stp>
        <tr r="K1106" s="1"/>
      </tp>
      <tp>
        <v>0</v>
        <stp/>
        <stp>bse_cm|925SFCL25</stp>
        <stp>ATP</stp>
        <tr r="K1482" s="1"/>
      </tp>
      <tp>
        <v>960</v>
        <stp/>
        <stp>bse_cm|0NHFL26</stp>
        <stp>High</stp>
        <tr r="N1037" s="1"/>
      </tp>
      <tp>
        <v>0</v>
        <stp/>
        <stp>nse_cm|940SCL26A-NK</stp>
        <stp>LTP</stp>
        <tr r="H906" s="1"/>
      </tp>
      <tp t="s">
        <v/>
        <stp/>
        <stp>nse_cm|940SCL26A-NK</stp>
        <stp>LTT</stp>
        <tr r="I906" s="1"/>
      </tp>
      <tp>
        <v>0</v>
        <stp/>
        <stp>nse_cm|990SCL26A-NL</stp>
        <stp>ATP</stp>
        <tr r="K1049" s="1"/>
      </tp>
      <tp t="s">
        <v>BSE</v>
        <stp/>
        <stp>bse_cm|1075SCL33B</stp>
        <stp>Exchange</stp>
        <tr r="C706" s="1"/>
      </tp>
      <tp>
        <v>0</v>
        <stp/>
        <stp>bse_cm|0NHFL27</stp>
        <stp>High</stp>
        <tr r="N1036" s="1"/>
      </tp>
      <tp>
        <v>875</v>
        <stp/>
        <stp>nse_cm|948SCL26D-AI</stp>
        <stp>LTP</stp>
        <tr r="H1690" s="1"/>
      </tp>
      <tp>
        <v>12</v>
        <stp/>
        <stp>nse_cm|965SCL26-YO</stp>
        <stp>Bid Qty</stp>
        <tr r="D146" s="1"/>
      </tp>
      <tp t="s">
        <v/>
        <stp/>
        <stp>nse_cm|948SCL26D-AI</stp>
        <stp>LTT</stp>
        <tr r="I1690" s="1"/>
      </tp>
      <tp>
        <v>13</v>
        <stp/>
        <stp>nse_cm|965SCL29-YX</stp>
        <stp>Bid Qty</stp>
        <tr r="D847" s="1"/>
      </tp>
      <tp>
        <v>1238</v>
        <stp/>
        <stp>nse_cm|948SCL26I-AX</stp>
        <stp>LTP</stp>
        <tr r="H1708" s="1"/>
      </tp>
      <tp t="s">
        <v>09:57:55</v>
        <stp/>
        <stp>nse_cm|948SCL26I-AX</stp>
        <stp>LTT</stp>
        <tr r="I1708" s="1"/>
      </tp>
      <tp>
        <v>0</v>
        <stp/>
        <stp>nse_cm|955SCL25-ZU</stp>
        <stp>Bid Qty</stp>
        <tr r="D1391" s="1"/>
      </tp>
      <tp>
        <v>0</v>
        <stp/>
        <stp>nse_cm|957SCL31-Z3</stp>
        <stp>Bid Qty</stp>
        <tr r="D874" s="1"/>
      </tp>
      <tp>
        <v>10</v>
        <stp/>
        <stp>nse_cm|955SCL27-Z5</stp>
        <stp>Bid Qty</stp>
        <tr r="D949" s="1"/>
      </tp>
      <tp>
        <v>3</v>
        <stp/>
        <stp>nse_cm|948SCL27-YV</stp>
        <stp>Bid Qty</stp>
        <tr r="D127" s="1"/>
      </tp>
      <tp>
        <v>0</v>
        <stp/>
        <stp>nse_cm|940SCL27-YS</stp>
        <stp>Bid Qty</stp>
        <tr r="D842" s="1"/>
      </tp>
      <tp>
        <v>0</v>
        <stp/>
        <stp>nse_cm|975SCL27-Z9</stp>
        <stp>Bid Qty</stp>
        <tr r="D885" s="1"/>
      </tp>
      <tp>
        <v>12</v>
        <stp/>
        <stp>nse_cm|971SCL29-Z0</stp>
        <stp>Bid Qty</stp>
        <tr r="D681" s="1"/>
      </tp>
      <tp>
        <v>10</v>
        <stp/>
        <stp>nse_cm|925SCL28-AM</stp>
        <stp>Bid Qty</stp>
        <tr r="D939" s="1"/>
      </tp>
      <tp t="s">
        <v>00:00:00</v>
        <stp/>
        <stp>bse_cm|CIFCZC28A</stp>
        <stp>LTT</stp>
        <tr r="I1396" s="1"/>
      </tp>
      <tp>
        <v>0</v>
        <stp/>
        <stp>bse_cm|CIFCZC28A</stp>
        <stp>LTP</stp>
        <tr r="H1396" s="1"/>
      </tp>
      <tp>
        <v>0</v>
        <stp/>
        <stp>bse_cm|MMFLZC27B</stp>
        <stp>LTP</stp>
        <tr r="H1570" s="1"/>
      </tp>
      <tp t="s">
        <v>00:00:00</v>
        <stp/>
        <stp>bse_cm|707IRFC25</stp>
        <stp>LTT</stp>
        <tr r="I1653" s="1"/>
      </tp>
      <tp>
        <v>0</v>
        <stp/>
        <stp>bse_cm|MMFLZC27C</stp>
        <stp>LTP</stp>
        <tr r="H1463" s="1"/>
      </tp>
      <tp t="s">
        <v>00:00:00</v>
        <stp/>
        <stp>bse_cm|MMFLZC27D</stp>
        <stp>LTT</stp>
        <tr r="I1406" s="1"/>
      </tp>
      <tp>
        <v>0</v>
        <stp/>
        <stp>bse_cm|MMFLZC27A</stp>
        <stp>LTP</stp>
        <tr r="H1260" s="1"/>
      </tp>
      <tp t="s">
        <v>00:00:00</v>
        <stp/>
        <stp>bse_cm|MMFLZC27B</stp>
        <stp>LTT</stp>
        <tr r="I1570" s="1"/>
      </tp>
      <tp>
        <v>0</v>
        <stp/>
        <stp>bse_cm|707IRFC25</stp>
        <stp>LTP</stp>
        <tr r="H1653" s="1"/>
      </tp>
      <tp t="s">
        <v>00:00:00</v>
        <stp/>
        <stp>bse_cm|MMFLZC27C</stp>
        <stp>LTT</stp>
        <tr r="I1463" s="1"/>
      </tp>
      <tp>
        <v>0</v>
        <stp/>
        <stp>bse_cm|MMFLZC27D</stp>
        <stp>LTP</stp>
        <tr r="H1406" s="1"/>
      </tp>
      <tp t="s">
        <v>00:00:00</v>
        <stp/>
        <stp>bse_cm|MMFLZC27A</stp>
        <stp>LTT</stp>
        <tr r="I1260" s="1"/>
      </tp>
      <tp>
        <v>990</v>
        <stp/>
        <stp>nse_cm|1025UCL25-N8</stp>
        <stp>Bid Rate</stp>
        <tr r="E217" s="1"/>
      </tp>
      <tp>
        <v>0</v>
        <stp/>
        <stp>bse_cm|875IHFL29</stp>
        <stp>ATP</stp>
        <tr r="K1230" s="1"/>
      </tp>
      <tp>
        <v>0</v>
        <stp/>
        <stp>bse_cm|865IIFL28</stp>
        <stp>ATP</stp>
        <tr r="K75" s="1"/>
      </tp>
      <tp>
        <v>0</v>
        <stp/>
        <stp>bse_cm|965IFSL26</stp>
        <stp>ATP</stp>
        <tr r="K1142" s="1"/>
      </tp>
      <tp>
        <v>0</v>
        <stp/>
        <stp>bse_cm|945IFSL25</stp>
        <stp>ATP</stp>
        <tr r="K483" s="1"/>
      </tp>
      <tp>
        <v>0</v>
        <stp/>
        <stp>bse_cm|955IFSL25</stp>
        <stp>ATP</stp>
        <tr r="K1470" s="1"/>
      </tp>
      <tp>
        <v>0</v>
        <stp/>
        <stp>bse_cm|125ICFL26</stp>
        <stp>ATP</stp>
        <tr r="K1214" s="1"/>
      </tp>
      <tp>
        <v>0</v>
        <stp/>
        <stp>bse_cm|825IIFL25</stp>
        <stp>ATP</stp>
        <tr r="K47" s="1"/>
      </tp>
      <tp>
        <v>0</v>
        <stp/>
        <stp>bse_cm|115ICFL25</stp>
        <stp>ATP</stp>
        <tr r="K1548" s="1"/>
      </tp>
      <tp>
        <v>0</v>
        <stp/>
        <stp>bse_cm|875IIFL26</stp>
        <stp>ATP</stp>
        <tr r="K642" s="1"/>
      </tp>
      <tp>
        <v>0</v>
        <stp/>
        <stp>bse_cm|105IIFL29</stp>
        <stp>ATP</stp>
        <tr r="K338" s="1"/>
      </tp>
      <tp>
        <v>0</v>
        <stp/>
        <stp>bse_cm|985IIFL22</stp>
        <stp>ATP</stp>
        <tr r="K178" s="1"/>
      </tp>
      <tp>
        <v>0</v>
        <stp/>
        <stp>bse_cm|985ICCL28</stp>
        <stp>ATP</stp>
        <tr r="K1483" s="1"/>
      </tp>
      <tp t="s">
        <v>00:00:00</v>
        <stp/>
        <stp>bse_cm|IIFLZC26B</stp>
        <stp>LTT</stp>
        <tr r="I1179" s="1"/>
      </tp>
      <tp t="s">
        <v>00:00:00</v>
        <stp/>
        <stp>bse_cm|KAFLZC26A</stp>
        <stp>LTT</stp>
        <tr r="I1710" s="1"/>
      </tp>
      <tp t="s">
        <v>00:00:00</v>
        <stp/>
        <stp>bse_cm|IIFLZC26A</stp>
        <stp>LTT</stp>
        <tr r="I1674" s="1"/>
      </tp>
      <tp>
        <v>0</v>
        <stp/>
        <stp>bse_cm|IIFLZC26B</stp>
        <stp>LTP</stp>
        <tr r="H1179" s="1"/>
      </tp>
      <tp>
        <v>0</v>
        <stp/>
        <stp>bse_cm|KAFLZC26A</stp>
        <stp>LTP</stp>
        <tr r="H1710" s="1"/>
      </tp>
      <tp>
        <v>0</v>
        <stp/>
        <stp>bse_cm|IIFLZC26A</stp>
        <stp>LTP</stp>
        <tr r="H1674" s="1"/>
      </tp>
      <tp>
        <v>46</v>
        <stp/>
        <stp>nse_cm|89SCL24-ZO</stp>
        <stp>High</stp>
        <tr r="N972" s="1"/>
      </tp>
      <tp>
        <v>25</v>
        <stp/>
        <stp>nse_cm|99IFCI24-NH</stp>
        <stp>Bid Qty</stp>
        <tr r="D39" s="1"/>
      </tp>
      <tp>
        <v>0</v>
        <stp/>
        <stp>bse_cm|MMFLZC25B</stp>
        <stp>LTP</stp>
        <tr r="H1581" s="1"/>
      </tp>
      <tp t="s">
        <v>00:00:00</v>
        <stp/>
        <stp>bse_cm|IIFLZC25B</stp>
        <stp>LTT</stp>
        <tr r="I1685" s="1"/>
      </tp>
      <tp>
        <v>0</v>
        <stp/>
        <stp>bse_cm|MMFLZC25C</stp>
        <stp>LTP</stp>
        <tr r="H1263" s="1"/>
      </tp>
      <tp t="s">
        <v>00:00:00</v>
        <stp/>
        <stp>bse_cm|IIFLZC25C</stp>
        <stp>LTT</stp>
        <tr r="I1750" s="1"/>
      </tp>
      <tp t="s">
        <v>00:00:00</v>
        <stp/>
        <stp>bse_cm|MMFLZC25D</stp>
        <stp>LTT</stp>
        <tr r="I1262" s="1"/>
      </tp>
      <tp>
        <v>0</v>
        <stp/>
        <stp>bse_cm|MMFLZC25A</stp>
        <stp>LTP</stp>
        <tr r="H1264" s="1"/>
      </tp>
      <tp t="s">
        <v>00:00:00</v>
        <stp/>
        <stp>bse_cm|IIFLZC25A</stp>
        <stp>LTT</stp>
        <tr r="I1737" s="1"/>
      </tp>
      <tp t="s">
        <v>00:00:00</v>
        <stp/>
        <stp>bse_cm|MMFLZC25B</stp>
        <stp>LTT</stp>
        <tr r="I1581" s="1"/>
      </tp>
      <tp>
        <v>0</v>
        <stp/>
        <stp>bse_cm|IIFLZC25B</stp>
        <stp>LTP</stp>
        <tr r="H1685" s="1"/>
      </tp>
      <tp t="s">
        <v>00:00:00</v>
        <stp/>
        <stp>bse_cm|MMFLZC25C</stp>
        <stp>LTT</stp>
        <tr r="I1263" s="1"/>
      </tp>
      <tp>
        <v>0</v>
        <stp/>
        <stp>bse_cm|IIFLZC25C</stp>
        <stp>LTP</stp>
        <tr r="H1750" s="1"/>
      </tp>
      <tp>
        <v>0</v>
        <stp/>
        <stp>bse_cm|MMFLZC25D</stp>
        <stp>LTP</stp>
        <tr r="H1262" s="1"/>
      </tp>
      <tp t="s">
        <v>00:00:00</v>
        <stp/>
        <stp>bse_cm|MMFLZC25A</stp>
        <stp>LTT</stp>
        <tr r="I1264" s="1"/>
      </tp>
      <tp>
        <v>0</v>
        <stp/>
        <stp>bse_cm|IIFLZC25A</stp>
        <stp>LTP</stp>
        <tr r="H1737" s="1"/>
      </tp>
      <tp>
        <v>0</v>
        <stp/>
        <stp>bse_cm|935KAFL25</stp>
        <stp>ATP</stp>
        <tr r="K785" s="1"/>
      </tp>
      <tp>
        <v>0</v>
        <stp/>
        <stp>bse_cm|975KAFL25</stp>
        <stp>ATP</stp>
        <tr r="K860" s="1"/>
      </tp>
      <tp>
        <v>0</v>
        <stp/>
        <stp>bse_cm|985KAFL26</stp>
        <stp>ATP</stp>
        <tr r="K1102" s="1"/>
      </tp>
      <tp>
        <v>0</v>
        <stp/>
        <stp>bse_cm|975KAFL26</stp>
        <stp>ATP</stp>
        <tr r="K859" s="1"/>
      </tp>
      <tp>
        <v>0</v>
        <stp/>
        <stp>bse_cm|925KFIL25</stp>
        <stp>ATP</stp>
        <tr r="K776" s="1"/>
      </tp>
      <tp>
        <v>0</v>
        <stp/>
        <stp>bse_cm|965ICCL25I</stp>
        <stp>Bid Rate</stp>
        <tr r="E1430" s="1"/>
      </tp>
      <tp t="s">
        <v>00:00:00</v>
        <stp/>
        <stp>bse_cm|MMFLZC24D</stp>
        <stp>LTT</stp>
        <tr r="I1265" s="1"/>
      </tp>
      <tp>
        <v>0</v>
        <stp/>
        <stp>bse_cm|MMFLZC24D</stp>
        <stp>LTP</stp>
        <tr r="H1265" s="1"/>
      </tp>
      <tp t="s">
        <v>00:00:00</v>
        <stp/>
        <stp>bse_cm|948JFPL25</stp>
        <stp>LTT</stp>
        <tr r="I490" s="1"/>
      </tp>
      <tp>
        <v>0</v>
        <stp/>
        <stp>bse_cm|948JFPL25</stp>
        <stp>LTP</stp>
        <tr r="H490" s="1"/>
      </tp>
      <tp>
        <v>0</v>
        <stp/>
        <stp>nse_cm|965SCL28-AK</stp>
        <stp>Bid Qty</stp>
        <tr r="D1137" s="1"/>
      </tp>
      <tp>
        <v>12</v>
        <stp/>
        <stp>nse_cm|965SCL25-AG</stp>
        <stp>Bid Qty</stp>
        <tr r="D1577" s="1"/>
      </tp>
      <tp>
        <v>0</v>
        <stp/>
        <stp>nse_cm|957SCL30-BX</stp>
        <stp>Bid Qty</stp>
        <tr r="D1109" s="1"/>
      </tp>
      <tp>
        <v>0</v>
        <stp/>
        <stp>bse_cm|105MMFL25</stp>
        <stp>ATP</stp>
        <tr r="K1171" s="1"/>
      </tp>
      <tp>
        <v>0</v>
        <stp/>
        <stp>bse_cm|925MFCL26</stp>
        <stp>ATP</stp>
        <tr r="K1610" s="1"/>
      </tp>
      <tp>
        <v>0</v>
        <stp/>
        <stp>bse_cm|965MFCL27</stp>
        <stp>ATP</stp>
        <tr r="K618" s="1"/>
      </tp>
      <tp>
        <v>0</v>
        <stp/>
        <stp>bse_cm|925MFCL27</stp>
        <stp>ATP</stp>
        <tr r="K262" s="1"/>
      </tp>
      <tp>
        <v>0</v>
        <stp/>
        <stp>bse_cm|915MFCL27</stp>
        <stp>ATP</stp>
        <tr r="K1472" s="1"/>
      </tp>
      <tp>
        <v>0</v>
        <stp/>
        <stp>bse_cm|975MFCL29</stp>
        <stp>ATP</stp>
        <tr r="K856" s="1"/>
      </tp>
      <tp>
        <v>0</v>
        <stp/>
        <stp>bse_cm|945MFCL29</stp>
        <stp>ATP</stp>
        <tr r="K682" s="1"/>
      </tp>
      <tp>
        <v>0</v>
        <stp/>
        <stp>bse_cm|935MFCL29</stp>
        <stp>ATP</stp>
        <tr r="K239" s="1"/>
      </tp>
      <tp>
        <v>0</v>
        <stp/>
        <stp>bse_cm|975MMFL24</stp>
        <stp>ATP</stp>
        <tr r="K853" s="1"/>
      </tp>
      <tp>
        <v>0</v>
        <stp/>
        <stp>bse_cm|975MMFL26</stp>
        <stp>ATP</stp>
        <tr r="K215" s="1"/>
      </tp>
      <tp>
        <v>925.2</v>
        <stp/>
        <stp>nse_cm|948SCL26B-Y8</stp>
        <stp>LTP</stp>
        <tr r="H159" s="1"/>
      </tp>
      <tp t="s">
        <v/>
        <stp/>
        <stp>nse_cm|948SCL26B-Y8</stp>
        <stp>LTT</stp>
        <tr r="I159" s="1"/>
      </tp>
      <tp>
        <v>10</v>
        <stp/>
        <stp>nse_cm|990SCL26-N7</stp>
        <stp>Bid Qty</stp>
        <tr r="D422" s="1"/>
      </tp>
      <tp>
        <v>1</v>
        <stp/>
        <stp>nse_cm|985ECL28-NK</stp>
        <stp>Bid Qty</stp>
        <tr r="D52" s="1"/>
      </tp>
      <tp>
        <v>100</v>
        <stp/>
        <stp>nse_cm|971SCL28-AN</stp>
        <stp>Bid Qty</stp>
        <tr r="D538" s="1"/>
      </tp>
      <tp>
        <v>8</v>
        <stp/>
        <stp>nse_cm|980SCL33-NX</stp>
        <stp>Bid Qty</stp>
        <tr r="D360" s="1"/>
      </tp>
      <tp>
        <v>0</v>
        <stp/>
        <stp>bse_cm|965MFCL30</stp>
        <stp>ATP</stp>
        <tr r="K225" s="1"/>
      </tp>
      <tp>
        <v>0</v>
        <stp/>
        <stp>bse_cm|955MFCL30</stp>
        <stp>ATP</stp>
        <tr r="K1130" s="1"/>
      </tp>
      <tp>
        <v>0</v>
        <stp/>
        <stp>nse_cm|98ICCL26-NU</stp>
        <stp>Bid Qty</stp>
        <tr r="D1569" s="1"/>
      </tp>
      <tp>
        <v>0</v>
        <stp/>
        <stp>bse_cm|995NWIL32</stp>
        <stp>ATP</stp>
        <tr r="K1023" s="1"/>
      </tp>
      <tp>
        <v>0</v>
        <stp/>
        <stp>nse_cm|11DLSL25A-Y3</stp>
        <stp>Volume Traded Today</stp>
        <tr r="L64" s="1"/>
      </tp>
      <tp>
        <v>825.2</v>
        <stp/>
        <stp>bse_cm|925ICCL25I</stp>
        <stp>Bid Rate</stp>
        <tr r="E782" s="1"/>
      </tp>
      <tp>
        <v>0</v>
        <stp/>
        <stp>nse_cm|948SCL27A-ZJ</stp>
        <stp>LTP</stp>
        <tr r="H845" s="1"/>
      </tp>
      <tp t="s">
        <v/>
        <stp/>
        <stp>nse_cm|948SCL27A-ZJ</stp>
        <stp>LTT</stp>
        <tr r="I845" s="1"/>
      </tp>
      <tp>
        <v>0</v>
        <stp/>
        <stp>bse_cm|955NWIL27</stp>
        <stp>ATP</stp>
        <tr r="K1480" s="1"/>
      </tp>
      <tp>
        <v>0</v>
        <stp/>
        <stp>bse_cm|915NWIL25</stp>
        <stp>ATP</stp>
        <tr r="K620" s="1"/>
      </tp>
      <tp>
        <v>0</v>
        <stp/>
        <stp>bse_cm|850NHAI29</stp>
        <stp>ATP</stp>
        <tr r="K580" s="1"/>
      </tp>
      <tp>
        <v>0</v>
        <stp/>
        <stp>bse_cm|895NHFL25</stp>
        <stp>ATP</stp>
        <tr r="K54" s="1"/>
      </tp>
      <tp>
        <v>0</v>
        <stp/>
        <stp>bse_cm|958NHFL27</stp>
        <stp>LTP</stp>
        <tr r="H616" s="1"/>
      </tp>
      <tp t="s">
        <v>00:00:00</v>
        <stp/>
        <stp>bse_cm|958NHFL27</stp>
        <stp>LTT</stp>
        <tr r="I616" s="1"/>
      </tp>
      <tp>
        <v>0</v>
        <stp/>
        <stp>bse_cm|965ARKA26</stp>
        <stp>LTP</stp>
        <tr r="H869" s="1"/>
      </tp>
      <tp t="s">
        <v>00:00:00</v>
        <stp/>
        <stp>bse_cm|965ARKA26</stp>
        <stp>LTT</stp>
        <tr r="I869" s="1"/>
      </tp>
      <tp>
        <v>951</v>
        <stp/>
        <stp>nse_cm|842IIFL26-NL</stp>
        <stp>Bid Rate</stp>
        <tr r="E145" s="1"/>
      </tp>
      <tp t="s">
        <v>00:00:00</v>
        <stp/>
        <stp>bse_cm|965ARKA28</stp>
        <stp>LTT</stp>
        <tr r="I1349" s="1"/>
      </tp>
      <tp>
        <v>0</v>
        <stp/>
        <stp>bse_cm|965ARKA28</stp>
        <stp>LTP</stp>
        <tr r="H1349" s="1"/>
      </tp>
      <tp>
        <v>0</v>
        <stp/>
        <stp>bse_cm|935AHFL28</stp>
        <stp>ATP</stp>
        <tr r="K456" s="1"/>
      </tp>
      <tp>
        <v>1034</v>
        <stp/>
        <stp>bse_cm|975AHFL28</stp>
        <stp>ATP</stp>
        <tr r="K324" s="1"/>
      </tp>
      <tp>
        <v>0</v>
        <stp/>
        <stp>bse_cm|805ABFL28</stp>
        <stp>ATP</stp>
        <tr r="K1371" s="1"/>
      </tp>
      <tp t="s">
        <v>NSE</v>
        <stp/>
        <stp>nse_cm|9SFL25A-ZH</stp>
        <stp>Exchange</stp>
        <tr r="C463" s="1"/>
      </tp>
      <tp>
        <v>1026</v>
        <stp/>
        <stp>nse_cm|88SCL25-ZG</stp>
        <stp>High</stp>
        <tr r="N960" s="1"/>
      </tp>
      <tp>
        <v>1100.0999999999999</v>
        <stp/>
        <stp>bse_cm|948ICCL25A</stp>
        <stp>Bid Rate</stp>
        <tr r="E1398" s="1"/>
      </tp>
      <tp>
        <v>50</v>
        <stp/>
        <stp>nse_cm|943ECL28-NJ</stp>
        <stp>Bid Qty</stp>
        <tr r="D94" s="1"/>
      </tp>
      <tp>
        <v>882.8</v>
        <stp/>
        <stp>bse_cm|955ICCL25A</stp>
        <stp>Bid Rate</stp>
        <tr r="E1143" s="1"/>
      </tp>
      <tp>
        <v>0</v>
        <stp/>
        <stp>nse_cm|940SCL26-N6</stp>
        <stp>Bid Qty</stp>
        <tr r="D921" s="1"/>
      </tp>
      <tp>
        <v>25</v>
        <stp/>
        <stp>nse_cm|948SCL26-N9</stp>
        <stp>Bid Qty</stp>
        <tr r="D1632" s="1"/>
      </tp>
      <tp>
        <v>5</v>
        <stp/>
        <stp>nse_cm|975SCL28-NT</stp>
        <stp>Bid Qty</stp>
        <tr r="D142" s="1"/>
      </tp>
      <tp>
        <v>0</v>
        <stp/>
        <stp>bse_cm|945CAGL24</stp>
        <stp>ATP</stp>
        <tr r="K566" s="1"/>
      </tp>
      <tp>
        <v>0</v>
        <stp/>
        <stp>bse_cm|925CAGL26</stp>
        <stp>ATP</stp>
        <tr r="K294" s="1"/>
      </tp>
      <tp>
        <v>0</v>
        <stp/>
        <stp>bse_cm|115CCIL28</stp>
        <stp>ATP</stp>
        <tr r="K382" s="1"/>
      </tp>
      <tp>
        <v>833.1</v>
        <stp/>
        <stp>bse_cm|966ICCL25A</stp>
        <stp>Bid Rate</stp>
        <tr r="E846" s="1"/>
      </tp>
      <tp>
        <v>0</v>
        <stp/>
        <stp>nse_cm|894SCL25A-ZI</stp>
        <stp>ATP</stp>
        <tr r="K963" s="1"/>
      </tp>
      <tp>
        <v>100</v>
        <stp/>
        <stp>nse_cm|915SCL26-NE</stp>
        <stp>Bid Qty</stp>
        <tr r="D58" s="1"/>
      </tp>
      <tp t="s">
        <v>00:00:00</v>
        <stp/>
        <stp>bse_cm|888ERFL28</stp>
        <stp>LTT</stp>
        <tr r="I216" s="1"/>
      </tp>
      <tp>
        <v>0</v>
        <stp/>
        <stp>bse_cm|925ERFL28</stp>
        <stp>ATP</stp>
        <tr r="K147" s="1"/>
      </tp>
      <tp>
        <v>0</v>
        <stp/>
        <stp>bse_cm|888ERFL28</stp>
        <stp>LTP</stp>
        <tr r="H216" s="1"/>
      </tp>
      <tp>
        <v>0</v>
        <stp/>
        <stp>bse_cm|105EFSL29</stp>
        <stp>ATP</stp>
        <tr r="K1358" s="1"/>
      </tp>
      <tp>
        <v>0</v>
        <stp/>
        <stp>bse_cm|955EFSL26</stp>
        <stp>ATP</stp>
        <tr r="K503" s="1"/>
      </tp>
      <tp>
        <v>0</v>
        <stp/>
        <stp>bse_cm|915EFSL26</stp>
        <stp>ATP</stp>
        <tr r="K93" s="1"/>
      </tp>
      <tp>
        <v>0</v>
        <stp/>
        <stp>bse_cm|895EFSL26</stp>
        <stp>ATP</stp>
        <tr r="K109" s="1"/>
      </tp>
      <tp>
        <v>924.2</v>
        <stp/>
        <stp>bse_cm|975EFSL27</stp>
        <stp>ATP</stp>
        <tr r="K45" s="1"/>
      </tp>
      <tp>
        <v>0</v>
        <stp/>
        <stp>bse_cm|935EFSL27</stp>
        <stp>ATP</stp>
        <tr r="K157" s="1"/>
      </tp>
      <tp>
        <v>0</v>
        <stp/>
        <stp>bse_cm|895EFSL25</stp>
        <stp>ATP</stp>
        <tr r="K700" s="1"/>
      </tp>
      <tp>
        <v>0</v>
        <stp/>
        <stp>bse_cm|925EFSL25</stp>
        <stp>ATP</stp>
        <tr r="K632" s="1"/>
      </tp>
      <tp>
        <v>0</v>
        <stp/>
        <stp>bse_cm|10KAFL26B</stp>
        <stp>ATP</stp>
        <tr r="K1094" s="1"/>
      </tp>
      <tp>
        <v>0</v>
        <stp/>
        <stp>bse_cm|10KAFL26A</stp>
        <stp>ATP</stp>
        <tr r="K1095" s="1"/>
      </tp>
      <tp t="s">
        <v>10IFSL26</v>
        <stp/>
        <stp>nse_cm|10IFSL26-N7</stp>
        <stp>Symbol</stp>
        <tr r="A293" s="1"/>
      </tp>
      <tp t="s">
        <v>NSE</v>
        <stp/>
        <stp>nse_cm|910TCAP28-NA</stp>
        <stp>Exchange</stp>
        <tr r="C411" s="1"/>
      </tp>
      <tp t="s">
        <v/>
        <stp/>
        <stp>nse_cm|940SCL26B-Y6</stp>
        <stp>LTT</stp>
        <tr r="I795" s="1"/>
      </tp>
      <tp>
        <v>10</v>
        <stp/>
        <stp>nse_cm|94IFCI25-NL</stp>
        <stp>Bid Qty</stp>
        <tr r="D235" s="1"/>
      </tp>
      <tp>
        <v>0</v>
        <stp/>
        <stp>nse_cm|940SCL26B-Y6</stp>
        <stp>LTP</stp>
        <tr r="H795" s="1"/>
      </tp>
      <tp>
        <v>0</v>
        <stp/>
        <stp>nse_cm|990SCL26B-Y7</stp>
        <stp>ATP</stp>
        <tr r="K798" s="1"/>
      </tp>
      <tp t="s">
        <v>00:00:00</v>
        <stp/>
        <stp>bse_cm|CIFCZC25A</stp>
        <stp>LTT</stp>
        <tr r="I1728" s="1"/>
      </tp>
      <tp>
        <v>0</v>
        <stp/>
        <stp>bse_cm|CIFCZC25A</stp>
        <stp>LTP</stp>
        <tr r="H1728" s="1"/>
      </tp>
      <tp t="s">
        <v>0MOFSL26</v>
        <stp/>
        <stp>nse_cm|0MOFSL26-N1</stp>
        <stp>Symbol</stp>
        <tr r="A1644" s="1"/>
      </tp>
      <tp>
        <v>974.5</v>
        <stp/>
        <stp>nse_cm|1025NFL25-N5</stp>
        <stp>Bid Rate</stp>
        <tr r="E1488" s="1"/>
      </tp>
      <tp>
        <v>0</v>
        <stp/>
        <stp>bse_cm|965EFSL32</stp>
        <stp>ATP</stp>
        <tr r="K141" s="1"/>
      </tp>
      <tp>
        <v>0</v>
        <stp/>
        <stp>bse_cm|995EFSL31</stp>
        <stp>ATP</stp>
        <tr r="K192" s="1"/>
      </tp>
      <tp>
        <v>0</v>
        <stp/>
        <stp>nse_cm|902SCL26-N8</stp>
        <stp>Bid Qty</stp>
        <tr r="D968" s="1"/>
      </tp>
      <tp>
        <v>1655</v>
        <stp/>
        <stp>bse_cm|MHLZC26</stp>
        <stp xml:space="preserve">Low </stp>
        <tr r="O1522" s="1"/>
      </tp>
      <tp>
        <v>0</v>
        <stp/>
        <stp>nse_cm|935SCL28-NV</stp>
        <stp>Bid Qty</stp>
        <tr r="D986" s="1"/>
      </tp>
      <tp t="s">
        <v>00:00:00</v>
        <stp/>
        <stp>bse_cm|CIFCZC26A</stp>
        <stp>LTT</stp>
        <tr r="I737" s="1"/>
      </tp>
      <tp>
        <v>0</v>
        <stp/>
        <stp>bse_cm|CIFCZC26A</stp>
        <stp>LTP</stp>
        <tr r="H737" s="1"/>
      </tp>
      <tp>
        <v>20</v>
        <stp/>
        <stp>nse_cm|925SCL26-NR</stp>
        <stp>Bid Qty</stp>
        <tr r="D991" s="1"/>
      </tp>
      <tp>
        <v>0</v>
        <stp/>
        <stp>bse_cm|MMFLZC28B</stp>
        <stp>LTP</stp>
        <tr r="H1535" s="1"/>
      </tp>
      <tp t="s">
        <v>00:00:00</v>
        <stp/>
        <stp>bse_cm|IIFLZC28B</stp>
        <stp>LTT</stp>
        <tr r="I1595" s="1"/>
      </tp>
      <tp t="s">
        <v>00:00:00</v>
        <stp/>
        <stp>bse_cm|IIFLZC28C</stp>
        <stp>LTT</stp>
        <tr r="I1404" s="1"/>
      </tp>
      <tp>
        <v>0</v>
        <stp/>
        <stp>bse_cm|MMFLZC28A</stp>
        <stp>LTP</stp>
        <tr r="H1348" s="1"/>
      </tp>
      <tp t="s">
        <v>00:00:00</v>
        <stp/>
        <stp>bse_cm|IIFLZC28A</stp>
        <stp>LTT</stp>
        <tr r="I1628" s="1"/>
      </tp>
      <tp t="s">
        <v>00:00:00</v>
        <stp/>
        <stp>bse_cm|MMFLZC28B</stp>
        <stp>LTT</stp>
        <tr r="I1535" s="1"/>
      </tp>
      <tp>
        <v>0</v>
        <stp/>
        <stp>bse_cm|IIFLZC28B</stp>
        <stp>LTP</stp>
        <tr r="H1595" s="1"/>
      </tp>
      <tp>
        <v>0</v>
        <stp/>
        <stp>bse_cm|IIFLZC28C</stp>
        <stp>LTP</stp>
        <tr r="H1404" s="1"/>
      </tp>
      <tp t="s">
        <v>00:00:00</v>
        <stp/>
        <stp>bse_cm|MMFLZC28A</stp>
        <stp>LTT</stp>
        <tr r="I1348" s="1"/>
      </tp>
      <tp>
        <v>0</v>
        <stp/>
        <stp>bse_cm|IIFLZC28A</stp>
        <stp>LTP</stp>
        <tr r="H1628" s="1"/>
      </tp>
      <tp>
        <v>10</v>
        <stp/>
        <stp>nse_cm|92ICCL28-ND</stp>
        <stp>Bid Qty</stp>
        <tr r="D203" s="1"/>
      </tp>
      <tp>
        <v>11</v>
        <stp/>
        <stp>nse_cm|925SCL25-N5</stp>
        <stp>Bid Qty</stp>
        <tr r="D1474" s="1"/>
      </tp>
      <tp t="s">
        <v>NSE</v>
        <stp/>
        <stp>nse_cm|CAGL25-N8</stp>
        <stp>Exchange</stp>
        <tr r="C710" s="1"/>
      </tp>
      <tp t="s">
        <v>BSE</v>
        <stp/>
        <stp>bse_cm|1070MML25</stp>
        <stp>Exchange</stp>
        <tr r="C1504" s="1"/>
      </tp>
      <tp t="s">
        <v>BSE</v>
        <stp/>
        <stp>bse_cm|1050MML25</stp>
        <stp>Exchange</stp>
        <tr r="C1503" s="1"/>
      </tp>
      <tp t="s">
        <v>BSE</v>
        <stp/>
        <stp>bse_cm|1090NFL26</stp>
        <stp>Exchange</stp>
        <tr r="C364" s="1"/>
      </tp>
      <tp t="s">
        <v>BSE</v>
        <stp/>
        <stp>bse_cm|1050NFL26</stp>
        <stp>Exchange</stp>
        <tr r="C260" s="1"/>
      </tp>
      <tp t="s">
        <v>BSE</v>
        <stp/>
        <stp>bse_cm|1040NFL26</stp>
        <stp>Exchange</stp>
        <tr r="C1453" s="1"/>
      </tp>
      <tp>
        <v>50</v>
        <stp/>
        <stp>bse_cm|764HUDCO31</stp>
        <stp>Bid Qty</stp>
        <tr r="D16" s="1"/>
      </tp>
      <tp>
        <v>12</v>
        <stp/>
        <stp>bse_cm|769HUDCO31</stp>
        <stp>Bid Qty</stp>
        <tr r="D15" s="1"/>
      </tp>
      <tp>
        <v>100</v>
        <stp/>
        <stp>bse_cm|739HUDCO31</stp>
        <stp>Bid Qty</stp>
        <tr r="D569" s="1"/>
      </tp>
      <tp t="s">
        <v>BSE</v>
        <stp/>
        <stp>bse_cm|KFL070824</stp>
        <stp>Exchange</stp>
        <tr r="C551" s="1"/>
      </tp>
      <tp>
        <v>0</v>
        <stp/>
        <stp>bse_cm|704HUDCO26</stp>
        <stp>Bid Qty</stp>
        <tr r="D1724" s="1"/>
      </tp>
      <tp>
        <v>0</v>
        <stp/>
        <stp>bse_cm|702HUDCO26</stp>
        <stp>Bid Qty</stp>
        <tr r="D1718" s="1"/>
      </tp>
      <tp>
        <v>15</v>
        <stp/>
        <stp>bse_cm|727HUDCO26</stp>
        <stp>Bid Qty</stp>
        <tr r="D481" s="1"/>
      </tp>
      <tp>
        <v>100</v>
        <stp/>
        <stp>bse_cm|729HUDCO26</stp>
        <stp>Bid Qty</stp>
        <tr r="D523" s="1"/>
      </tp>
      <tp t="s">
        <v>BSE</v>
        <stp/>
        <stp>bse_cm|1080MML26</stp>
        <stp>Exchange</stp>
        <tr r="C1163" s="1"/>
      </tp>
      <tp t="s">
        <v>BSE</v>
        <stp/>
        <stp>bse_cm|1060MML26</stp>
        <stp>Exchange</stp>
        <tr r="C1218" s="1"/>
      </tp>
      <tp>
        <v>0</v>
        <stp/>
        <stp>bse_cm|1075SCL33</stp>
        <stp>Ask Rate</stp>
        <tr r="F881" s="1"/>
      </tp>
      <tp>
        <v>0</v>
        <stp/>
        <stp>bse_cm|1025SCL33</stp>
        <stp>Ask Rate</stp>
        <tr r="F879" s="1"/>
      </tp>
      <tp t="s">
        <v>BSE</v>
        <stp/>
        <stp>bse_cm|1050IML25</stp>
        <stp>Exchange</stp>
        <tr r="C499" s="1"/>
      </tp>
      <tp t="s">
        <v>BSE</v>
        <stp/>
        <stp>bse_cm|1050KLM27</stp>
        <stp>Exchange</stp>
        <tr r="C609" s="1"/>
      </tp>
      <tp t="s">
        <v>BSE</v>
        <stp/>
        <stp>bse_cm|1060ECL29</stp>
        <stp>Exchange</stp>
        <tr r="C272" s="1"/>
      </tp>
      <tp t="s">
        <v>BSE</v>
        <stp/>
        <stp>bse_cm|1010EFS29</stp>
        <stp>Exchange</stp>
        <tr r="C726" s="1"/>
      </tp>
      <tp>
        <v>999</v>
        <stp/>
        <stp>bse_cm|927MFL26A</stp>
        <stp xml:space="preserve">Low </stp>
        <tr r="O617" s="1"/>
      </tp>
      <tp>
        <v>0</v>
        <stp/>
        <stp>bse_cm|1075SCL34</stp>
        <stp>Ask Rate</stp>
        <tr r="F888" s="1"/>
      </tp>
      <tp>
        <v>960</v>
        <stp/>
        <stp>bse_cm|1025SCL34</stp>
        <stp>Ask Rate</stp>
        <tr r="F129" s="1"/>
      </tp>
      <tp t="s">
        <v>BSE</v>
        <stp/>
        <stp>bse_cm|1150KLM26</stp>
        <stp>Exchange</stp>
        <tr r="C1224" s="1"/>
      </tp>
      <tp t="s">
        <v>BSE</v>
        <stp/>
        <stp>bse_cm|1010EFS28</stp>
        <stp>Exchange</stp>
        <tr r="C116" s="1"/>
      </tp>
      <tp>
        <v>965</v>
        <stp/>
        <stp>bse_cm|865MFL26A</stp>
        <stp xml:space="preserve">Low </stp>
        <tr r="O242" s="1"/>
      </tp>
      <tp>
        <v>954</v>
        <stp/>
        <stp>bse_cm|875MFL26A</stp>
        <stp xml:space="preserve">Low </stp>
        <tr r="O286" s="1"/>
      </tp>
      <tp>
        <v>950.22</v>
        <stp/>
        <stp>bse_cm|890MFL26A</stp>
        <stp xml:space="preserve">Low </stp>
        <tr r="O698" s="1"/>
      </tp>
      <tp>
        <v>15</v>
        <stp/>
        <stp>bse_cm|1025SFL25A</stp>
        <stp>Bid Qty</stp>
        <tr r="D1070" s="1"/>
      </tp>
      <tp t="s">
        <v>BSE</v>
        <stp/>
        <stp>bse_cm|1030ICC26</stp>
        <stp>Exchange</stp>
        <tr r="C1538" s="1"/>
      </tp>
      <tp t="s">
        <v>BSE</v>
        <stp/>
        <stp>bse_cm|1150IFL26</stp>
        <stp>Exchange</stp>
        <tr r="C1225" s="1"/>
      </tp>
      <tp t="s">
        <v>BSE</v>
        <stp/>
        <stp>bse_cm|1150IML29</stp>
        <stp>Exchange</stp>
        <tr r="C601" s="1"/>
      </tp>
      <tp t="s">
        <v>BSE</v>
        <stp/>
        <stp>bse_cm|1250IFL29</stp>
        <stp>Exchange</stp>
        <tr r="C1215" s="1"/>
      </tp>
      <tp t="s">
        <v>BSE</v>
        <stp/>
        <stp>bse_cm|1150IML28</stp>
        <stp>Exchange</stp>
        <tr r="C92" s="1"/>
      </tp>
      <tp t="s">
        <v>NSE</v>
        <stp/>
        <stp>nse_cm|ABFL28-N3</stp>
        <stp>Exchange</stp>
        <tr r="C1063" s="1"/>
      </tp>
      <tp t="s">
        <v>NSE</v>
        <stp/>
        <stp>nse_cm|CAGL24-N2</stp>
        <stp>Exchange</stp>
        <tr r="C1762" s="1"/>
      </tp>
      <tp t="s">
        <v>NSE</v>
        <stp/>
        <stp>nse_cm|ABFL26-N1</stp>
        <stp>Exchange</stp>
        <tr r="C1679" s="1"/>
      </tp>
      <tp>
        <v>107</v>
        <stp/>
        <stp>bse_cm|1015SCL28A</stp>
        <stp>Bid Qty</stp>
        <tr r="D1386" s="1"/>
      </tp>
      <tp>
        <v>5</v>
        <stp/>
        <stp>bse_cm|1015SCL28B</stp>
        <stp>Bid Qty</stp>
        <tr r="D1178" s="1"/>
      </tp>
      <tp t="s">
        <v>BSE</v>
        <stp/>
        <stp>bse_cm|1080MML29</stp>
        <stp>Exchange</stp>
        <tr r="C72" s="1"/>
      </tp>
      <tp t="s">
        <v>BSE</v>
        <stp/>
        <stp>bse_cm|1150MML29</stp>
        <stp>Exchange</stp>
        <tr r="C248" s="1"/>
      </tp>
      <tp t="s">
        <v>BSE</v>
        <stp/>
        <stp>bse_cm|1050MML28</stp>
        <stp>Exchange</stp>
        <tr r="C1159" s="1"/>
      </tp>
      <tp t="s">
        <v>BSE</v>
        <stp/>
        <stp>bse_cm|1050CCI25</stp>
        <stp>Exchange</stp>
        <tr r="C173" s="1"/>
      </tp>
      <tp t="s">
        <v>BSE</v>
        <stp/>
        <stp>bse_cm|KAF080824</stp>
        <stp>Exchange</stp>
        <tr r="C1322" s="1"/>
      </tp>
      <tp>
        <v>0</v>
        <stp/>
        <stp>bse_cm|1045EFS34</stp>
        <stp>Ask Rate</stp>
        <tr r="F1450" s="1"/>
      </tp>
      <tp>
        <v>0</v>
        <stp/>
        <stp>bse_cm|902SCL27A</stp>
        <stp>Open</stp>
        <tr r="M1354" s="1"/>
      </tp>
      <tp>
        <v>0</v>
        <stp/>
        <stp>bse_cm|915SCL27A</stp>
        <stp>Open</stp>
        <tr r="M951" s="1"/>
      </tp>
      <tp>
        <v>0</v>
        <stp/>
        <stp>bse_cm|948SCL27A</stp>
        <stp>Open</stp>
        <tr r="M697" s="1"/>
      </tp>
      <tp>
        <v>0</v>
        <stp/>
        <stp>bse_cm|955SCL27A</stp>
        <stp>Open</stp>
        <tr r="M948" s="1"/>
      </tp>
      <tp>
        <v>980</v>
        <stp/>
        <stp>nse_cm|9IIFL28A-NT</stp>
        <stp>Prev Close</stp>
        <tr r="P80" s="1"/>
      </tp>
      <tp>
        <v>920</v>
        <stp/>
        <stp>bse_cm|925KFL26A</stp>
        <stp>High</stp>
        <tr r="N1479" s="1"/>
      </tp>
      <tp>
        <v>900</v>
        <stp/>
        <stp>nse_cm|96SFL24A-NB</stp>
        <stp>Prev Close</stp>
        <tr r="P162" s="1"/>
      </tp>
      <tp>
        <v>1000</v>
        <stp/>
        <stp>nse_cm|97SFL26A-NC</stp>
        <stp>Prev Close</stp>
        <tr r="P784" s="1"/>
      </tp>
      <tp>
        <v>0</v>
        <stp/>
        <stp>bse_cm|1045EFS33</stp>
        <stp>Ask Rate</stp>
        <tr r="F1030" s="1"/>
      </tp>
      <tp>
        <v>970</v>
        <stp/>
        <stp>bse_cm|875KFL26A</stp>
        <stp>High</stp>
        <tr r="N1155" s="1"/>
      </tp>
      <tp>
        <v>1280</v>
        <stp/>
        <stp>nse_cm|85PFL26A-N7</stp>
        <stp>Prev Close</stp>
        <tr r="P1519" s="1"/>
      </tp>
      <tp>
        <v>0</v>
        <stp/>
        <stp>bse_cm|925SFL27A</stp>
        <stp>Open</stp>
        <tr r="M848" s="1"/>
      </tp>
      <tp t="s">
        <v>BSE</v>
        <stp/>
        <stp>bse_cm|1050UCL25</stp>
        <stp>Exchange</stp>
        <tr r="C417" s="1"/>
      </tp>
      <tp t="s">
        <v>BSE</v>
        <stp/>
        <stp>bse_cm|1040UCL25</stp>
        <stp>Exchange</stp>
        <tr r="C1612" s="1"/>
      </tp>
      <tp>
        <v>17</v>
        <stp/>
        <stp>bse_cm|855TCAPS27</stp>
        <stp>Bid Qty</stp>
        <tr r="D1004" s="1"/>
      </tp>
      <tp>
        <v>1</v>
        <stp/>
        <stp>bse_cm|865TCAPS27</stp>
        <stp>Bid Qty</stp>
        <tr r="D377" s="1"/>
      </tp>
      <tp>
        <v>30</v>
        <stp/>
        <stp>bse_cm|885TCAPS29</stp>
        <stp>Bid Qty</stp>
        <tr r="D12" s="1"/>
      </tp>
      <tp>
        <v>16</v>
        <stp/>
        <stp>bse_cm|875TCAPS29</stp>
        <stp>Bid Qty</stp>
        <tr r="D935" s="1"/>
      </tp>
      <tp t="s">
        <v>BSE</v>
        <stp/>
        <stp>bse_cm|1050VCL25</stp>
        <stp>Exchange</stp>
        <tr r="C656" s="1"/>
      </tp>
      <tp>
        <v>23</v>
        <stp/>
        <stp>bse_cm|1025MMF26A</stp>
        <stp>Bid Qty</stp>
        <tr r="D290" s="1"/>
      </tp>
      <tp>
        <v>10</v>
        <stp/>
        <stp>bse_cm|1025KFL27A</stp>
        <stp>Bid Qty</stp>
        <tr r="D89" s="1"/>
      </tp>
      <tp t="s">
        <v>BSE</v>
        <stp/>
        <stp>bse_cm|1050SFL26</stp>
        <stp>Exchange</stp>
        <tr r="C890" s="1"/>
      </tp>
      <tp>
        <v>22</v>
        <stp/>
        <stp>bse_cm|1025KFL26A</stp>
        <stp>Bid Qty</stp>
        <tr r="D525" s="1"/>
      </tp>
      <tp>
        <v>10</v>
        <stp/>
        <stp>bse_cm|1025KFL26C</stp>
        <stp>Bid Qty</stp>
        <tr r="D459" s="1"/>
      </tp>
      <tp>
        <v>20</v>
        <stp/>
        <stp>bse_cm|1025KFL26B</stp>
        <stp>Bid Qty</stp>
        <tr r="D1422" s="1"/>
      </tp>
      <tp t="s">
        <v>INE103C07058</v>
        <stp/>
        <stp>bse_cm|0SMCGSL27</stp>
        <stp>Isin code</stp>
        <tr r="R1532" s="1"/>
      </tp>
      <tp>
        <v>20</v>
        <stp/>
        <stp>bse_cm|1125KLM26A</stp>
        <stp>Bid Qty</stp>
        <tr r="D1226" s="1"/>
      </tp>
      <tp t="e">
        <v>#N/A</v>
        <stp/>
        <stp>bse_cm|1075IML24A</stp>
        <stp>Bid Qty</stp>
        <tr r="D32" s="1"/>
      </tp>
      <tp t="s">
        <v>76NHAI31</v>
        <stp/>
        <stp>bse_cm|76NHAI31</stp>
        <stp>Trading Symbol</stp>
        <tr r="B478" s="1"/>
      </tp>
      <tp>
        <v>1000</v>
        <stp/>
        <stp>bse_cm|915NWIL25</stp>
        <stp xml:space="preserve">Low </stp>
        <tr r="O620" s="1"/>
      </tp>
      <tp>
        <v>0</v>
        <stp/>
        <stp>bse_cm|750PFCL38</stp>
        <stp>Open</stp>
        <tr r="M1196" s="1"/>
      </tp>
      <tp>
        <v>0</v>
        <stp/>
        <stp>bse_cm|755PFCL38</stp>
        <stp>Open</stp>
        <tr r="M434" s="1"/>
      </tp>
      <tp t="s">
        <v>886ONE25</v>
        <stp/>
        <stp>bse_cm|886ONE25</stp>
        <stp>Trading Symbol</stp>
        <tr r="B723" s="1"/>
      </tp>
      <tp>
        <v>979</v>
        <stp/>
        <stp>bse_cm|916NWIL27</stp>
        <stp xml:space="preserve">Low </stp>
        <tr r="O209" s="1"/>
      </tp>
      <tp>
        <v>985</v>
        <stp/>
        <stp>bse_cm|955NWIL27</stp>
        <stp xml:space="preserve">Low </stp>
        <tr r="O1480" s="1"/>
      </tp>
      <tp t="s">
        <v>10CAGL27</v>
        <stp/>
        <stp>bse_cm|10CAGL27</stp>
        <stp>Trading Symbol</stp>
        <tr r="B282" s="1"/>
      </tp>
      <tp>
        <v>5.21</v>
        <stp/>
        <stp>bse_cm|849NTPC25</stp>
        <stp xml:space="preserve">Low </stp>
        <tr r="O443" s="1"/>
      </tp>
      <tp t="s">
        <v>898ONE26</v>
        <stp/>
        <stp>bse_cm|898ONE26</stp>
        <stp>Trading Symbol</stp>
        <tr r="B1154" s="1"/>
      </tp>
      <tp t="s">
        <v>891ONE25</v>
        <stp/>
        <stp>bse_cm|891ONE25</stp>
        <stp>Trading Symbol</stp>
        <tr r="B1339" s="1"/>
      </tp>
      <tp t="s">
        <v>ABFL28</v>
        <stp/>
        <stp>nse_cm|ABFL28-N3</stp>
        <stp>Symbol</stp>
        <tr r="A1063" s="1"/>
      </tp>
      <tp t="s">
        <v>INE020B07JP4</v>
        <stp/>
        <stp>bse_cm|689RECL24</stp>
        <stp>Isin code</stp>
        <tr r="R1206" s="1"/>
      </tp>
      <tp t="s">
        <v>INE530L07475</v>
        <stp/>
        <stp>bse_cm|915NIDO27</stp>
        <stp>Isin code</stp>
        <tr r="R59" s="1"/>
      </tp>
      <tp t="s">
        <v>INE423A07369</v>
        <stp/>
        <stp>bse_cm|AEL120924</stp>
        <stp>Isin code</stp>
        <tr r="R1062" s="1"/>
      </tp>
      <tp t="s">
        <v>INE121A07QW3</v>
        <stp/>
        <stp>bse_cm|830CIFC26</stp>
        <stp>Isin code</stp>
        <tr r="R1013" s="1"/>
      </tp>
      <tp t="s">
        <v>EFS290424</v>
        <stp/>
        <stp>bse_cm|EFS290424</stp>
        <stp>Symbol</stp>
        <tr r="A570" s="1"/>
      </tp>
      <tp t="s">
        <v>1045EFS34</v>
        <stp/>
        <stp>bse_cm|1045EFS34</stp>
        <stp>Symbol</stp>
        <tr r="A1450" s="1"/>
      </tp>
      <tp t="s">
        <v>1045EFS33</v>
        <stp/>
        <stp>bse_cm|1045EFS33</stp>
        <stp>Symbol</stp>
        <tr r="A1030" s="1"/>
      </tp>
      <tp t="s">
        <v>805MMFS32</v>
        <stp/>
        <stp>bse_cm|805MMFS32</stp>
        <stp>Symbol</stp>
        <tr r="A1763" s="1"/>
      </tp>
      <tp>
        <v>0</v>
        <stp/>
        <stp>bse_cm|663PFCL31</stp>
        <stp>Open</stp>
        <tr r="M1208" s="1"/>
      </tp>
      <tp>
        <v>0</v>
        <stp/>
        <stp>bse_cm|658PFCL31</stp>
        <stp>Open</stp>
        <tr r="M1209" s="1"/>
      </tp>
      <tp>
        <v>0</v>
        <stp/>
        <stp>bse_cm|682PFCL31</stp>
        <stp>Open</stp>
        <tr r="M433" s="1"/>
      </tp>
      <tp>
        <v>0</v>
        <stp/>
        <stp>bse_cm|683PFCL31</stp>
        <stp>Open</stp>
        <tr r="M449" s="1"/>
      </tp>
      <tp t="s">
        <v>INE134E07CG1</v>
        <stp/>
        <stp>bse_cm|745PFCL26</stp>
        <stp>Isin code</stp>
        <tr r="R1200" s="1"/>
      </tp>
      <tp t="s">
        <v>INE01CY077H4</v>
        <stp/>
        <stp>bse_cm|115ICFL25</stp>
        <stp>Isin code</stp>
        <tr r="R1548" s="1"/>
      </tp>
      <tp>
        <v>0</v>
        <stp/>
        <stp>bse_cm|753PFCL33</stp>
        <stp>Open</stp>
        <tr r="M426" s="1"/>
      </tp>
      <tp>
        <v>0</v>
        <stp/>
        <stp>bse_cm|747PFCL33</stp>
        <stp>Open</stp>
        <tr r="M1199" s="1"/>
      </tp>
      <tp>
        <v>0</v>
        <stp/>
        <stp>bse_cm|MFLVII25G</stp>
        <stp>Open</stp>
        <tr r="M1729" s="1"/>
      </tp>
      <tp t="s">
        <v>INE134E07CF3</v>
        <stp/>
        <stp>bse_cm|750PFCL26</stp>
        <stp>Isin code</stp>
        <tr r="R448" s="1"/>
      </tp>
      <tp t="s">
        <v>58PFCL26</v>
        <stp/>
        <stp>bse_cm|58PFCL26</stp>
        <stp>Trading Symbol</stp>
        <tr r="B369" s="1"/>
      </tp>
      <tp t="s">
        <v>INE532F07DZ1</v>
        <stp/>
        <stp>bse_cm|1045EFS33</stp>
        <stp>Isin code</stp>
        <tr r="R1030" s="1"/>
      </tp>
      <tp t="s">
        <v>INE414G08330</v>
        <stp/>
        <stp>bse_cm|805MMFS32</stp>
        <stp>Isin code</stp>
        <tr r="R1763" s="1"/>
      </tp>
      <tp t="s">
        <v>948ICCL25A-NG</v>
        <stp/>
        <stp>nse_cm|948ICCL25A-NG</stp>
        <stp>Trading Symbol</stp>
        <tr r="B1736" s="1"/>
      </tp>
      <tp t="s">
        <v>INE557F07157</v>
        <stp/>
        <stp>nse_cm|868NHB29-N3</stp>
        <stp>Isin code</stp>
        <tr r="R1342" s="1"/>
      </tp>
      <tp t="s">
        <v>INE01I507AA8</v>
        <stp/>
        <stp>bse_cm|KAF080824</stp>
        <stp>Isin code</stp>
        <tr r="R1322" s="1"/>
      </tp>
      <tp t="s">
        <v>INE530L07483</v>
        <stp/>
        <stp>bse_cm|955NIDO27</stp>
        <stp>Isin code</stp>
        <tr r="R51" s="1"/>
      </tp>
      <tp t="s">
        <v>INE530B07179</v>
        <stp/>
        <stp>bse_cm|875IIFL26</stp>
        <stp>Isin code</stp>
        <tr r="R642" s="1"/>
      </tp>
      <tp t="s">
        <v>INE530L07731</v>
        <stp/>
        <stp>bse_cm|958NIDO27</stp>
        <stp>Isin code</stp>
        <tr r="R1402" s="1"/>
      </tp>
      <tp t="s">
        <v>1010EFS28</v>
        <stp/>
        <stp>bse_cm|1010EFS28</stp>
        <stp>Symbol</stp>
        <tr r="A116" s="1"/>
      </tp>
      <tp t="s">
        <v>1010EFS29</v>
        <stp/>
        <stp>bse_cm|1010EFS29</stp>
        <stp>Symbol</stp>
        <tr r="A726" s="1"/>
      </tp>
      <tp t="s">
        <v>INE530L07749</v>
        <stp/>
        <stp>bse_cm|950NHFL26</stp>
        <stp>Isin code</stp>
        <tr r="R582" s="1"/>
      </tp>
      <tp t="s">
        <v>INE051307AW4</v>
        <stp/>
        <stp>bse_cm|1050CCI25</stp>
        <stp>Isin code</stp>
        <tr r="R173" s="1"/>
      </tp>
      <tp t="s">
        <v>INE051307AN3</v>
        <stp/>
        <stp>bse_cm|1075CCL25</stp>
        <stp>Isin code</stp>
        <tr r="R1119" s="1"/>
      </tp>
      <tp>
        <v>0</v>
        <stp/>
        <stp>bse_cm|678PFCL36</stp>
        <stp>Open</stp>
        <tr r="M1207" s="1"/>
      </tp>
      <tp>
        <v>0</v>
        <stp/>
        <stp>bse_cm|695PFCL36</stp>
        <stp>Open</stp>
        <tr r="M430" s="1"/>
      </tp>
      <tp>
        <v>0</v>
        <stp/>
        <stp>bse_cm|697PFCL36</stp>
        <stp>Open</stp>
        <tr r="M431" s="1"/>
      </tp>
      <tp t="s">
        <v>INE530B07161</v>
        <stp/>
        <stp>bse_cm|842IIFL26</stp>
        <stp>Isin code</stp>
        <tr r="R181" s="1"/>
      </tp>
      <tp t="s">
        <v>INE134E07AT8</v>
        <stp/>
        <stp>bse_cm|715PFCL36</stp>
        <stp>Isin code</stp>
        <tr r="R437" s="1"/>
      </tp>
      <tp>
        <v>1030</v>
        <stp/>
        <stp>bse_cm|715PFCL36</stp>
        <stp>Open</stp>
        <tr r="M437" s="1"/>
      </tp>
      <tp t="s">
        <v>753PFCL33</v>
        <stp/>
        <stp>bse_cm|753PFCL33</stp>
        <stp>Symbol</stp>
        <tr r="A426" s="1"/>
      </tp>
      <tp t="s">
        <v>920NIDO26</v>
        <stp/>
        <stp>bse_cm|920NIDO26</stp>
        <stp>Symbol</stp>
        <tr r="A166" s="1"/>
      </tp>
      <tp>
        <v>1025.78</v>
        <stp/>
        <stp>bse_cm|93MOFSL34</stp>
        <stp xml:space="preserve">Low </stp>
        <tr r="O312" s="1"/>
      </tp>
      <tp>
        <v>1060</v>
        <stp/>
        <stp>bse_cm|97MOFSL34</stp>
        <stp xml:space="preserve">Low </stp>
        <tr r="O1600" s="1"/>
      </tp>
      <tp t="s">
        <v>SFL270224</v>
        <stp/>
        <stp>bse_cm|SFL270224</stp>
        <stp>Symbol</stp>
        <tr r="A808" s="1"/>
      </tp>
      <tp t="s">
        <v>1025KFL28</v>
        <stp/>
        <stp>bse_cm|1025KFL28</stp>
        <stp>Symbol</stp>
        <tr r="A626" s="1"/>
      </tp>
      <tp t="s">
        <v>1025KFL29</v>
        <stp/>
        <stp>bse_cm|1025KFL29</stp>
        <stp>Symbol</stp>
        <tr r="A196" s="1"/>
      </tp>
      <tp t="s">
        <v>1025NFL25</v>
        <stp/>
        <stp>bse_cm|1025NFL25</stp>
        <stp>Symbol</stp>
        <tr r="A624" s="1"/>
      </tp>
      <tp t="s">
        <v>1025KFL26</v>
        <stp/>
        <stp>bse_cm|1025KFL26</stp>
        <stp>Symbol</stp>
        <tr r="A768" s="1"/>
      </tp>
      <tp t="s">
        <v>1025KFL27</v>
        <stp/>
        <stp>bse_cm|1025KFL27</stp>
        <stp>Symbol</stp>
        <tr r="A767" s="1"/>
      </tp>
      <tp t="s">
        <v>1025KFL25</v>
        <stp/>
        <stp>bse_cm|1025KFL25</stp>
        <stp>Symbol</stp>
        <tr r="A638" s="1"/>
      </tp>
      <tp t="s">
        <v>1025SFL25</v>
        <stp/>
        <stp>bse_cm|1025SFL25</stp>
        <stp>Symbol</stp>
        <tr r="A1071" s="1"/>
      </tp>
      <tp t="s">
        <v>1025SFL28</v>
        <stp/>
        <stp>bse_cm|1025SFL28</stp>
        <stp>Symbol</stp>
        <tr r="A100" s="1"/>
      </tp>
      <tp t="s">
        <v>1025SFL29</v>
        <stp/>
        <stp>bse_cm|1025SFL29</stp>
        <stp>Symbol</stp>
        <tr r="A1446" s="1"/>
      </tp>
      <tp>
        <v>941</v>
        <stp/>
        <stp>bse_cm|967NIDO28</stp>
        <stp xml:space="preserve">Low </stp>
        <tr r="O227" s="1"/>
      </tp>
      <tp t="s">
        <v>750PFCL26</v>
        <stp/>
        <stp>bse_cm|750PFCL26</stp>
        <stp>Symbol</stp>
        <tr r="A448" s="1"/>
      </tp>
      <tp t="s">
        <v>750PFCL38</v>
        <stp/>
        <stp>bse_cm|750PFCL38</stp>
        <stp>Symbol</stp>
        <tr r="A1196" s="1"/>
      </tp>
      <tp t="s">
        <v>950MFCL27</v>
        <stp/>
        <stp>bse_cm|950MFCL27</stp>
        <stp>Symbol</stp>
        <tr r="A1148" s="1"/>
      </tp>
      <tp t="s">
        <v>875NHAI29</v>
        <stp/>
        <stp>bse_cm|875NHAI29</stp>
        <stp>Symbol</stp>
        <tr r="A496" s="1"/>
      </tp>
      <tp t="s">
        <v>910CAGL25</v>
        <stp/>
        <stp>bse_cm|910CAGL25</stp>
        <stp>Symbol</stp>
        <tr r="A351" s="1"/>
      </tp>
      <tp>
        <v>1051.5</v>
        <stp/>
        <stp>bse_cm|739NHAI26</stp>
        <stp xml:space="preserve">Low </stp>
        <tr r="O442" s="1"/>
      </tp>
      <tp>
        <v>1027</v>
        <stp/>
        <stp>bse_cm|729NHAI26</stp>
        <stp xml:space="preserve">Low </stp>
        <tr r="O348" s="1"/>
      </tp>
      <tp>
        <v>1030</v>
        <stp/>
        <stp>bse_cm|714NHAI26</stp>
        <stp xml:space="preserve">Low </stp>
        <tr r="O1662" s="1"/>
      </tp>
      <tp>
        <v>0</v>
        <stp/>
        <stp>bse_cm|704NHAI26</stp>
        <stp xml:space="preserve">Low </stp>
        <tr r="O1204" s="1"/>
      </tp>
      <tp>
        <v>1174.9000000000001</v>
        <stp/>
        <stp>bse_cm|875NHAI29</stp>
        <stp xml:space="preserve">Low </stp>
        <tr r="O496" s="1"/>
      </tp>
      <tp>
        <v>1153.51</v>
        <stp/>
        <stp>bse_cm|850NHAI29</stp>
        <stp xml:space="preserve">Low </stp>
        <tr r="O580" s="1"/>
      </tp>
      <tp t="s">
        <v>BSE</v>
        <stp/>
        <stp>bse_cm|MML11924A</stp>
        <stp>Exchange</stp>
        <tr r="C1256" s="1"/>
      </tp>
      <tp t="s">
        <v>957ICCL28</v>
        <stp/>
        <stp>bse_cm|957ICCL28</stp>
        <stp>Symbol</stp>
        <tr r="A1572" s="1"/>
      </tp>
      <tp t="s">
        <v>957ICCL25</v>
        <stp/>
        <stp>bse_cm|957ICCL25</stp>
        <stp>Symbol</stp>
        <tr r="A432" s="1"/>
      </tp>
      <tp>
        <v>1290.8</v>
        <stp/>
        <stp>bse_cm|EFSLZC26A</stp>
        <stp>High</stp>
        <tr r="N1574" s="1"/>
      </tp>
      <tp t="s">
        <v>1071KFL25</v>
        <stp/>
        <stp>bse_cm|1071KFL25</stp>
        <stp>Symbol</stp>
        <tr r="A1122" s="1"/>
      </tp>
      <tp t="s">
        <v>1075NFL25</v>
        <stp/>
        <stp>bse_cm|1075NFL25</stp>
        <stp>Symbol</stp>
        <tr r="A643" s="1"/>
      </tp>
      <tp t="s">
        <v>1065NFL27</v>
        <stp/>
        <stp>bse_cm|1065NFL27</stp>
        <stp>Symbol</stp>
        <tr r="A182" s="1"/>
      </tp>
      <tp t="s">
        <v>755PFCL38</v>
        <stp/>
        <stp>bse_cm|755PFCL38</stp>
        <stp>Symbol</stp>
        <tr r="A434" s="1"/>
      </tp>
      <tp t="s">
        <v>BSE</v>
        <stp/>
        <stp>bse_cm|MML11924C</stp>
        <stp>Exchange</stp>
        <tr r="C1623" s="1"/>
      </tp>
      <tp t="s">
        <v>105IIFL29</v>
        <stp/>
        <stp>bse_cm|105IIFL29</stp>
        <stp>Symbol</stp>
        <tr r="A338" s="1"/>
      </tp>
      <tp t="s">
        <v>955MFCL30</v>
        <stp/>
        <stp>bse_cm|955MFCL30</stp>
        <stp>Symbol</stp>
        <tr r="A1130" s="1"/>
      </tp>
      <tp t="s">
        <v>105MMFL25</v>
        <stp/>
        <stp>bse_cm|105MMFL25</stp>
        <stp>Symbol</stp>
        <tr r="A1171" s="1"/>
      </tp>
      <tp>
        <v>1009.9</v>
        <stp/>
        <stp>bse_cm|EFSLZC26C</stp>
        <stp>High</stp>
        <tr r="N1332" s="1"/>
      </tp>
      <tp t="s">
        <v>805ABFL28</v>
        <stp/>
        <stp>bse_cm|805ABFL28</stp>
        <stp>Symbol</stp>
        <tr r="A1371" s="1"/>
      </tp>
      <tp t="s">
        <v>1050NFL26</v>
        <stp/>
        <stp>bse_cm|1050NFL26</stp>
        <stp>Symbol</stp>
        <tr r="A260" s="1"/>
      </tp>
      <tp t="s">
        <v>1050SFL26</v>
        <stp/>
        <stp>bse_cm|1050SFL26</stp>
        <stp>Symbol</stp>
        <tr r="A890" s="1"/>
      </tp>
      <tp t="s">
        <v>BSE</v>
        <stp/>
        <stp>bse_cm|MML11924B</stp>
        <stp>Exchange</stp>
        <tr r="C1255" s="1"/>
      </tp>
      <tp>
        <v>1121.31</v>
        <stp/>
        <stp>bse_cm|EFSLZC26B</stp>
        <stp>High</stp>
        <tr r="N1678" s="1"/>
      </tp>
      <tp t="s">
        <v>1040NFL26</v>
        <stp/>
        <stp>bse_cm|1040NFL26</stp>
        <stp>Symbol</stp>
        <tr r="A1453" s="1"/>
      </tp>
      <tp t="s">
        <v>IFL190424</v>
        <stp/>
        <stp>bse_cm|IFL190424</stp>
        <stp>Symbol</stp>
        <tr r="A1663" s="1"/>
      </tp>
      <tp t="s">
        <v>1041KFL26</v>
        <stp/>
        <stp>bse_cm|1041KFL26</stp>
        <stp>Symbol</stp>
        <tr r="A1031" s="1"/>
      </tp>
      <tp t="s">
        <v>BSE</v>
        <stp/>
        <stp>bse_cm|IFL19424A</stp>
        <stp>Exchange</stp>
        <tr r="C1419" s="1"/>
      </tp>
      <tp t="s">
        <v>704IRFC26</v>
        <stp/>
        <stp>bse_cm|704IRFC26</stp>
        <stp>Symbol</stp>
        <tr r="A557" s="1"/>
      </tp>
      <tp t="s">
        <v>MFCL30424</v>
        <stp/>
        <stp>bse_cm|MFCL30424</stp>
        <stp>Symbol</stp>
        <tr r="A1606" s="1"/>
      </tp>
      <tp>
        <v>1116.1500000000001</v>
        <stp/>
        <stp>bse_cm|IIFLZC26A</stp>
        <stp>High</stp>
        <tr r="N1674" s="1"/>
      </tp>
      <tp t="s">
        <v>INE532F07DT4</v>
        <stp/>
        <stp>bse_cm|967EFSL28</stp>
        <stp>Isin code</stp>
        <tr r="R205" s="1"/>
      </tp>
      <tp>
        <v>1541.62</v>
        <stp/>
        <stp>bse_cm|KAFLZC26A</stp>
        <stp>High</stp>
        <tr r="N1710" s="1"/>
      </tp>
      <tp>
        <v>1229.99</v>
        <stp/>
        <stp>bse_cm|750IRFC35</stp>
        <stp>High</stp>
        <tr r="N488" s="1"/>
      </tp>
      <tp>
        <v>1475</v>
        <stp/>
        <stp>bse_cm|725IRFC35</stp>
        <stp>High</stp>
        <tr r="N560" s="1"/>
      </tp>
      <tp t="s">
        <v>1090NFL26</v>
        <stp/>
        <stp>bse_cm|1090NFL26</stp>
        <stp>Symbol</stp>
        <tr r="A364" s="1"/>
      </tp>
      <tp t="s">
        <v>658PFCL31</v>
        <stp/>
        <stp>bse_cm|658PFCL31</stp>
        <stp>Symbol</stp>
        <tr r="A1209" s="1"/>
      </tp>
      <tp t="s">
        <v>707IRFC25</v>
        <stp/>
        <stp>bse_cm|707IRFC25</stp>
        <stp>Symbol</stp>
        <tr r="A1653" s="1"/>
      </tp>
      <tp>
        <v>1000.55</v>
        <stp/>
        <stp>bse_cm|IIFLZC26B</stp>
        <stp>High</stp>
        <tr r="N1179" s="1"/>
      </tp>
      <tp t="s">
        <v>KFL070824</v>
        <stp/>
        <stp>bse_cm|KFL070824</stp>
        <stp>Symbol</stp>
        <tr r="A551" s="1"/>
      </tp>
      <tp>
        <v>1000</v>
        <stp/>
        <stp>bse_cm|960NIDO26</stp>
        <stp xml:space="preserve">Low </stp>
        <tr r="O870" s="1"/>
      </tp>
      <tp>
        <v>970</v>
        <stp/>
        <stp>bse_cm|958NHFL27</stp>
        <stp xml:space="preserve">Low </stp>
        <tr r="O616" s="1"/>
      </tp>
      <tp>
        <v>936.85</v>
        <stp/>
        <stp>bse_cm|957NIDO26</stp>
        <stp xml:space="preserve">Low </stp>
        <tr r="O329" s="1"/>
      </tp>
      <tp>
        <v>982</v>
        <stp/>
        <stp>bse_cm|920NIDO26</stp>
        <stp xml:space="preserve">Low </stp>
        <tr r="O166" s="1"/>
      </tp>
      <tp>
        <v>974</v>
        <stp/>
        <stp>bse_cm|950NHFL26</stp>
        <stp xml:space="preserve">Low </stp>
        <tr r="O582" s="1"/>
      </tp>
      <tp>
        <v>950</v>
        <stp/>
        <stp>bse_cm|955NIDO27</stp>
        <stp xml:space="preserve">Low </stp>
        <tr r="O51" s="1"/>
      </tp>
      <tp>
        <v>948</v>
        <stp/>
        <stp>bse_cm|958NIDO27</stp>
        <stp xml:space="preserve">Low </stp>
        <tr r="O1402" s="1"/>
      </tp>
      <tp>
        <v>937.2</v>
        <stp/>
        <stp>bse_cm|915NIDO27</stp>
        <stp xml:space="preserve">Low </stp>
        <tr r="O59" s="1"/>
      </tp>
      <tp>
        <v>1000.5</v>
        <stp/>
        <stp>bse_cm|MFLIII25C</stp>
        <stp xml:space="preserve">Low </stp>
        <tr r="O213" s="1"/>
      </tp>
      <tp>
        <v>980</v>
        <stp/>
        <stp>bse_cm|870NIDO25</stp>
        <stp xml:space="preserve">Low </stp>
        <tr r="O86" s="1"/>
      </tp>
      <tp>
        <v>1100</v>
        <stp/>
        <stp>bse_cm|764IRFC31</stp>
        <stp>High</stp>
        <tr r="N466" s="1"/>
      </tp>
      <tp>
        <v>1095.45</v>
        <stp/>
        <stp>bse_cm|735IRFC31</stp>
        <stp>High</stp>
        <tr r="N1427" s="1"/>
      </tp>
      <tp>
        <v>960.2</v>
        <stp/>
        <stp>bse_cm|895NHFL25</stp>
        <stp xml:space="preserve">Low </stp>
        <tr r="O54" s="1"/>
      </tp>
      <tp>
        <v>1010.2</v>
        <stp/>
        <stp>bse_cm|905NIDO25</stp>
        <stp xml:space="preserve">Low </stp>
        <tr r="O60" s="1"/>
      </tp>
      <tp>
        <v>1100</v>
        <stp/>
        <stp>bse_cm|753IRFC30</stp>
        <stp>High</stp>
        <tr r="N454" s="1"/>
      </tp>
      <tp>
        <v>1103.75</v>
        <stp/>
        <stp>bse_cm|728IRFC30</stp>
        <stp>High</stp>
        <tr r="N469" s="1"/>
      </tp>
      <tp>
        <v>0</v>
        <stp/>
        <stp>bse_cm|10EFSL33B</stp>
        <stp>Volume Traded Today</stp>
        <tr r="L136" s="1"/>
      </tp>
      <tp>
        <v>0</v>
        <stp/>
        <stp>bse_cm|10EFSL33A</stp>
        <stp>Volume Traded Today</stp>
        <tr r="L140" s="1"/>
      </tp>
      <tp>
        <v>0</v>
        <stp/>
        <stp>bse_cm|KAFLZC26</stp>
        <stp>Ask Qty</stp>
        <tr r="G1316" s="1"/>
      </tp>
      <tp>
        <v>960</v>
        <stp/>
        <stp>bse_cm|9KFL26B</stp>
        <stp xml:space="preserve">Low </stp>
        <tr r="O667" s="1"/>
      </tp>
      <tp>
        <v>0</v>
        <stp/>
        <stp>bse_cm|KAFLZC28</stp>
        <stp>Ask Qty</stp>
        <tr r="G1315" s="1"/>
      </tp>
      <tp>
        <v>999</v>
        <stp/>
        <stp>nse_cm|945IFSL25-N4</stp>
        <stp>Bid Rate</stp>
        <tr r="E453" s="1"/>
      </tp>
      <tp>
        <v>882</v>
        <stp/>
        <stp>bse_cm|875PCHFL31</stp>
        <stp>Bid Rate</stp>
        <tr r="E1172" s="1"/>
      </tp>
      <tp>
        <v>0</v>
        <stp/>
        <stp>nse_cm|843SCFL27-YB</stp>
        <stp>ATP</stp>
        <tr r="K929" s="1"/>
      </tp>
      <tp>
        <v>0</v>
        <stp/>
        <stp>bse_cm|KAFLZC30</stp>
        <stp>Ask Qty</stp>
        <tr r="G1314" s="1"/>
      </tp>
      <tp t="s">
        <v>BSE</v>
        <stp/>
        <stp>bse_cm|96ONE29</stp>
        <stp>Exchange</stp>
        <tr r="C1621" s="1"/>
      </tp>
      <tp>
        <v>1</v>
        <stp/>
        <stp>bse_cm|93EFSL31A</stp>
        <stp>Volume Traded Today</stp>
        <tr r="L85" s="1"/>
      </tp>
      <tp>
        <v>0</v>
        <stp/>
        <stp>bse_cm|97EFSL31A</stp>
        <stp>Volume Traded Today</stp>
        <tr r="L598" s="1"/>
      </tp>
      <tp>
        <v>969.5</v>
        <stp/>
        <stp>nse_cm|965IFSL26-N6</stp>
        <stp>Bid Rate</stp>
        <tr r="E1346" s="1"/>
      </tp>
      <tp>
        <v>965</v>
        <stp/>
        <stp>bse_cm|9KFL26A</stp>
        <stp xml:space="preserve">Low </stp>
        <tr r="O1083" s="1"/>
      </tp>
      <tp>
        <v>980</v>
        <stp/>
        <stp>bse_cm|9MFL30A</stp>
        <stp xml:space="preserve">Low </stp>
        <tr r="O289" s="1"/>
      </tp>
      <tp>
        <v>982</v>
        <stp/>
        <stp>nse_cm|105IIFL29-N7</stp>
        <stp>Bid Rate</stp>
        <tr r="E270" s="1"/>
      </tp>
      <tp>
        <v>1040.8</v>
        <stp/>
        <stp>nse_cm|825IIFL25-N7</stp>
        <stp>Bid Rate</stp>
        <tr r="E49" s="1"/>
      </tp>
      <tp>
        <v>0</v>
        <stp/>
        <stp>nse_cm|865SCL24B-Z8</stp>
        <stp>Volume Traded Today</stp>
        <tr r="L952" s="1"/>
      </tp>
      <tp>
        <v>0</v>
        <stp/>
        <stp>nse_cm|965SCL26A-ZB</stp>
        <stp>Volume Traded Today</stp>
        <tr r="L135" s="1"/>
      </tp>
      <tp>
        <v>1000</v>
        <stp/>
        <stp>nse_cm|IIFLZC28B-Y1</stp>
        <stp>Ask Rate</stp>
        <tr r="F1491" s="1"/>
      </tp>
      <tp>
        <v>-100</v>
        <stp/>
        <stp>bse_cm|85CIFC27</stp>
        <stp>% Change</stp>
        <tr r="J974" s="1"/>
      </tp>
      <tp>
        <v>-100</v>
        <stp/>
        <stp>bse_cm|IFCIZC24</stp>
        <stp>% Change</stp>
        <tr r="J1769" s="1"/>
      </tp>
      <tp>
        <v>1156.0999999999999</v>
        <stp/>
        <stp>nse_cm|850NHAI29-N5</stp>
        <stp>Bid Rate</stp>
        <tr r="E512" s="1"/>
      </tp>
      <tp>
        <v>0</v>
        <stp/>
        <stp>nse_cm|948SCL27A-ZJ</stp>
        <stp xml:space="preserve">Low </stp>
        <tr r="O845" s="1"/>
      </tp>
      <tp>
        <v>945</v>
        <stp/>
        <stp>bse_cm|1075KAFL29</stp>
        <stp>Bid Rate</stp>
        <tr r="E125" s="1"/>
      </tp>
      <tp>
        <v>910.2</v>
        <stp/>
        <stp>bse_cm|790MMFSL27</stp>
        <stp>Bid Rate</stp>
        <tr r="E1189" s="1"/>
      </tp>
      <tp>
        <v>0</v>
        <stp/>
        <stp>bse_cm|10EFSL34A</stp>
        <stp>Volume Traded Today</stp>
        <tr r="L131" s="1"/>
      </tp>
      <tp>
        <v>0</v>
        <stp/>
        <stp>bse_cm|11EFSL34A</stp>
        <stp>Volume Traded Today</stp>
        <tr r="L1408" s="1"/>
      </tp>
      <tp>
        <v>-100</v>
        <stp/>
        <stp>bse_cm|IFCIZC25</stp>
        <stp>% Change</stp>
        <tr r="J1764" s="1"/>
      </tp>
      <tp>
        <v>0</v>
        <stp/>
        <stp>nse_cm|965SCL25B-Y1</stp>
        <stp>Volume Traded Today</stp>
        <tr r="L1502" s="1"/>
      </tp>
      <tp>
        <v>992.53</v>
        <stp/>
        <stp>nse_cm|925CAGL26-N9</stp>
        <stp>Bid Rate</stp>
        <tr r="E639" s="1"/>
      </tp>
      <tp>
        <v>0</v>
        <stp/>
        <stp>nse_cm|965SCL28B-YB</stp>
        <stp>Volume Traded Today</stp>
        <tr r="L819" s="1"/>
      </tp>
      <tp>
        <v>0</v>
        <stp/>
        <stp>bse_cm|SCFL310524</stp>
        <stp>Ask Rate</stp>
        <tr r="F1241" s="1"/>
      </tp>
      <tp>
        <v>0</v>
        <stp/>
        <stp>bse_cm|10KFL28A</stp>
        <stp>Ask Qty</stp>
        <tr r="G1423" s="1"/>
      </tp>
      <tp>
        <v>901.7</v>
        <stp/>
        <stp>bse_cm|1050KAFL28</stp>
        <stp>Bid Rate</stp>
        <tr r="E610" s="1"/>
      </tp>
      <tp>
        <v>837</v>
        <stp/>
        <stp>bse_cm|1075KAFL28</stp>
        <stp>Bid Rate</stp>
        <tr r="E1118" s="1"/>
      </tp>
      <tp>
        <v>950.2</v>
        <stp/>
        <stp>bse_cm|791JMFPL26</stp>
        <stp>Bid Rate</stp>
        <tr r="E276" s="1"/>
      </tp>
      <tp>
        <v>0</v>
        <stp/>
        <stp>bse_cm|IML160224</stp>
        <stp>ATP</stp>
        <tr r="K1329" s="1"/>
      </tp>
      <tp t="s">
        <v>BSE</v>
        <stp/>
        <stp>bse_cm|76IGT26</stp>
        <stp>Exchange</stp>
        <tr r="C1608" s="1"/>
      </tp>
      <tp>
        <v>825.4</v>
        <stp/>
        <stp>bse_cm|1025KAFL27</stp>
        <stp>Bid Rate</stp>
        <tr r="E769" s="1"/>
      </tp>
      <tp>
        <v>0</v>
        <stp/>
        <stp>bse_cm|10KFL27A</stp>
        <stp>Ask Qty</stp>
        <tr r="G1092" s="1"/>
      </tp>
      <tp>
        <v>825.45</v>
        <stp/>
        <stp>bse_cm|1050KAFL27</stp>
        <stp>Bid Rate</stp>
        <tr r="E1160" s="1"/>
      </tp>
      <tp>
        <v>0</v>
        <stp/>
        <stp>bse_cm|KAF080824</stp>
        <stp>ATP</stp>
        <tr r="K1322" s="1"/>
      </tp>
      <tp>
        <v>0</v>
        <stp/>
        <stp>nse_cm|DLSL25-NW</stp>
        <stp>ATP</stp>
        <tr r="K1745" s="1"/>
      </tp>
      <tp>
        <v>12</v>
        <stp/>
        <stp>bse_cm|93SCL24A</stp>
        <stp>Bid Qty</stp>
        <tr r="D1361" s="1"/>
      </tp>
      <tp>
        <v>870.21</v>
        <stp/>
        <stp>bse_cm|1125KAFL27</stp>
        <stp>Bid Rate</stp>
        <tr r="E1228" s="1"/>
      </tp>
      <tp>
        <v>850</v>
        <stp/>
        <stp>bse_cm|1075KLMA28</stp>
        <stp>Bid Rate</stp>
        <tr r="E1116" s="1"/>
      </tp>
      <tp>
        <v>975</v>
        <stp/>
        <stp>bse_cm|1050KLMA28</stp>
        <stp>Bid Rate</stp>
        <tr r="E611" s="1"/>
      </tp>
      <tp>
        <v>835.2</v>
        <stp/>
        <stp>bse_cm|1025KAFL25</stp>
        <stp>Bid Rate</stp>
        <tr r="E770" s="1"/>
      </tp>
      <tp>
        <v>850.2</v>
        <stp/>
        <stp>bse_cm|1050KAFL25</stp>
        <stp>Bid Rate</stp>
        <tr r="E1161" s="1"/>
      </tp>
      <tp>
        <v>0</v>
        <stp/>
        <stp>bse_cm|SFL270224</stp>
        <stp>ATP</stp>
        <tr r="K808" s="1"/>
      </tp>
      <tp>
        <v>-100</v>
        <stp/>
        <stp>bse_cm|86CIFC29</stp>
        <stp>% Change</stp>
        <tr r="J1341" s="1"/>
      </tp>
      <tp>
        <v>0</v>
        <stp/>
        <stp>bse_cm|10KFL24D</stp>
        <stp>Ask Qty</stp>
        <tr r="G1424" s="1"/>
      </tp>
      <tp>
        <v>0</v>
        <stp/>
        <stp>bse_cm|11DLSL25A</stp>
        <stp>Volume Traded Today</stp>
        <tr r="L300" s="1"/>
      </tp>
      <tp>
        <v>0</v>
        <stp/>
        <stp>bse_cm|1025SFL29</stp>
        <stp>ATP</stp>
        <tr r="K1446" s="1"/>
      </tp>
      <tp>
        <v>0</v>
        <stp/>
        <stp>bse_cm|1025SFL28</stp>
        <stp>ATP</stp>
        <tr r="K100" s="1"/>
      </tp>
      <tp>
        <v>0</v>
        <stp/>
        <stp>bse_cm|1025SFL25</stp>
        <stp>ATP</stp>
        <tr r="K1071" s="1"/>
      </tp>
      <tp>
        <v>0</v>
        <stp/>
        <stp>bse_cm|1025UCL25</stp>
        <stp>ATP</stp>
        <tr r="K326" s="1"/>
      </tp>
      <tp>
        <v>0</v>
        <stp/>
        <stp>bse_cm|1025UCL27</stp>
        <stp>ATP</stp>
        <tr r="K1019" s="1"/>
      </tp>
      <tp>
        <v>0</v>
        <stp/>
        <stp>bse_cm|1025KFL27</stp>
        <stp>ATP</stp>
        <tr r="K767" s="1"/>
      </tp>
      <tp>
        <v>0</v>
        <stp/>
        <stp>bse_cm|1025KFL26</stp>
        <stp>ATP</stp>
        <tr r="K768" s="1"/>
      </tp>
      <tp>
        <v>0</v>
        <stp/>
        <stp>bse_cm|1225IFL27</stp>
        <stp>ATP</stp>
        <tr r="K1216" s="1"/>
      </tp>
      <tp>
        <v>0</v>
        <stp/>
        <stp>bse_cm|1025KFL25</stp>
        <stp>ATP</stp>
        <tr r="K638" s="1"/>
      </tp>
      <tp>
        <v>0</v>
        <stp/>
        <stp>bse_cm|1025MML25</stp>
        <stp>ATP</stp>
        <tr r="K766" s="1"/>
      </tp>
      <tp>
        <v>996.42</v>
        <stp/>
        <stp>bse_cm|1125MML27</stp>
        <stp>ATP</stp>
        <tr r="K592" s="1"/>
      </tp>
      <tp>
        <v>0</v>
        <stp/>
        <stp>bse_cm|1025MML26</stp>
        <stp>ATP</stp>
        <tr r="K765" s="1"/>
      </tp>
      <tp>
        <v>0</v>
        <stp/>
        <stp>bse_cm|1025NFL25</stp>
        <stp>ATP</stp>
        <tr r="K624" s="1"/>
      </tp>
      <tp>
        <v>0</v>
        <stp/>
        <stp>bse_cm|1075CCI26</stp>
        <stp>ATP</stp>
        <tr r="K1425" s="1"/>
      </tp>
      <tp>
        <v>0</v>
        <stp/>
        <stp>bse_cm|1025KFL29</stp>
        <stp>ATP</stp>
        <tr r="K196" s="1"/>
      </tp>
      <tp>
        <v>0</v>
        <stp/>
        <stp>bse_cm|1025KFL28</stp>
        <stp>ATP</stp>
        <tr r="K626" s="1"/>
      </tp>
      <tp>
        <v>0</v>
        <stp/>
        <stp>bse_cm|950KLMF26</stp>
        <stp>Volume Traded Today</stp>
        <tr r="L278" s="1"/>
      </tp>
      <tp>
        <v>0</v>
        <stp/>
        <stp>bse_cm|1025SCL34</stp>
        <stp>ATP</stp>
        <tr r="K129" s="1"/>
      </tp>
      <tp>
        <v>0</v>
        <stp/>
        <stp>bse_cm|1025SCL33</stp>
        <stp>ATP</stp>
        <tr r="K879" s="1"/>
      </tp>
      <tp>
        <v>-1.56</v>
        <stp/>
        <stp>bse_cm|10CAGL27</stp>
        <stp>% Change</stp>
        <tr r="J282" s="1"/>
      </tp>
      <tp>
        <v>0</v>
        <stp/>
        <stp>bse_cm|MML27524A</stp>
        <stp>ATP</stp>
        <tr r="K1250" s="1"/>
      </tp>
      <tp>
        <v>-100</v>
        <stp/>
        <stp>bse_cm|95CCIL25</stp>
        <stp>% Change</stp>
        <tr r="J37" s="1"/>
      </tp>
      <tp>
        <v>10</v>
        <stp/>
        <stp>bse_cm|10MFL24B</stp>
        <stp>Ask Qty</stp>
        <tr r="G185" s="1"/>
      </tp>
      <tp>
        <v>980.11</v>
        <stp/>
        <stp>nse_cm|805ABFL28-N2</stp>
        <stp>Bid Rate</stp>
        <tr r="E477" s="1"/>
      </tp>
      <tp>
        <v>956.5</v>
        <stp/>
        <stp>nse_cm|925ERFL28-N6</stp>
        <stp>Bid Rate</stp>
        <tr r="E165" s="1"/>
      </tp>
      <tp>
        <v>0</v>
        <stp/>
        <stp>nse_cm|888SCL26A-ZC</stp>
        <stp xml:space="preserve">Low </stp>
        <tr r="O839" s="1"/>
      </tp>
      <tp>
        <v>0</v>
        <stp/>
        <stp>bse_cm|MML11924A</stp>
        <stp>ATP</stp>
        <tr r="K1256" s="1"/>
      </tp>
      <tp>
        <v>0</v>
        <stp/>
        <stp>bse_cm|MML11924C</stp>
        <stp>ATP</stp>
        <tr r="K1623" s="1"/>
      </tp>
      <tp>
        <v>0</v>
        <stp/>
        <stp>bse_cm|MML11924B</stp>
        <stp>ATP</stp>
        <tr r="K1255" s="1"/>
      </tp>
      <tp>
        <v>0</v>
        <stp/>
        <stp>bse_cm|IFL19424A</stp>
        <stp>ATP</stp>
        <tr r="K1419" s="1"/>
      </tp>
      <tp>
        <v>-100</v>
        <stp/>
        <stp>bse_cm|11CCIL26</stp>
        <stp>% Change</stp>
        <tr r="J625" s="1"/>
      </tp>
      <tp>
        <v>0</v>
        <stp/>
        <stp>bse_cm|865IRFC29</stp>
        <stp>Volume Traded Today</stp>
        <tr r="L501" s="1"/>
      </tp>
      <tp>
        <v>0</v>
        <stp/>
        <stp>nse_cm|10SCL30A-BV</stp>
        <stp>Bid Qty</stp>
        <tr r="D445" s="1"/>
      </tp>
      <tp>
        <v>1000</v>
        <stp/>
        <stp>nse_cm|1025SCL33-YJ</stp>
        <stp>Prev Close</stp>
        <tr r="P836" s="1"/>
      </tp>
      <tp>
        <v>972.3</v>
        <stp/>
        <stp>nse_cm|1075SCL33-YK</stp>
        <stp>Prev Close</stp>
        <tr r="P707" s="1"/>
      </tp>
      <tp t="s">
        <v>BSE</v>
        <stp/>
        <stp>bse_cm|86LTF24</stp>
        <stp>Exchange</stp>
        <tr r="C8" s="1"/>
      </tp>
      <tp>
        <v>961</v>
        <stp/>
        <stp>nse_cm|945CAGL24-N1</stp>
        <stp>Bid Rate</stp>
        <tr r="E1704" s="1"/>
      </tp>
      <tp>
        <v>990</v>
        <stp/>
        <stp>nse_cm|1050UCL25-N7</stp>
        <stp>Prev Close</stp>
        <tr r="P201" s="1"/>
      </tp>
      <tp>
        <v>995</v>
        <stp/>
        <stp>nse_cm|1040UCL25-N4</stp>
        <stp>Prev Close</stp>
        <tr r="P669" s="1"/>
      </tp>
      <tp>
        <v>1060</v>
        <stp/>
        <stp>nse_cm|1075UCL25-N9</stp>
        <stp>Prev Close</stp>
        <tr r="P498" s="1"/>
      </tp>
      <tp>
        <v>997</v>
        <stp/>
        <stp>nse_cm|1025UCL25-N8</stp>
        <stp>Prev Close</stp>
        <tr r="P217" s="1"/>
      </tp>
      <tp t="s">
        <v>BSE</v>
        <stp/>
        <stp>bse_cm|96MFL25</stp>
        <stp>Exchange</stp>
        <tr r="C1392" s="1"/>
      </tp>
      <tp>
        <v>-100</v>
        <stp/>
        <stp>bse_cm|11CCIL27</stp>
        <stp>% Change</stp>
        <tr r="J691" s="1"/>
      </tp>
      <tp>
        <v>980</v>
        <stp/>
        <stp>bse_cm|MFLOPTII24</stp>
        <stp xml:space="preserve">Low </stp>
        <tr r="O559" s="1"/>
      </tp>
      <tp>
        <v>0</v>
        <stp/>
        <stp>bse_cm|725IRFC35</stp>
        <stp>Volume Traded Today</stp>
        <tr r="L560" s="1"/>
      </tp>
      <tp>
        <v>0</v>
        <stp/>
        <stp>bse_cm|735IRFC31</stp>
        <stp>Volume Traded Today</stp>
        <tr r="L1427" s="1"/>
      </tp>
      <tp>
        <v>0</v>
        <stp/>
        <stp>nse_cm|965SCL25C-N0</stp>
        <stp>Volume Traded Today</stp>
        <tr r="L507" s="1"/>
      </tp>
      <tp>
        <v>0</v>
        <stp/>
        <stp>nse_cm|965SCL28A-NQ</stp>
        <stp>Volume Traded Today</stp>
        <tr r="L897" s="1"/>
      </tp>
      <tp>
        <v>0</v>
        <stp/>
        <stp>nse_cm|965SCL25F-NZ</stp>
        <stp>Volume Traded Today</stp>
        <tr r="L1362" s="1"/>
      </tp>
      <tp>
        <v>39</v>
        <stp/>
        <stp>nse_cm|965SCL25A-NF</stp>
        <stp>Volume Traded Today</stp>
        <tr r="L163" s="1"/>
      </tp>
      <tp>
        <v>10</v>
        <stp/>
        <stp>bse_cm|9MMFSL26</stp>
        <stp>Bid Qty</stp>
        <tr r="D334" s="1"/>
      </tp>
      <tp t="s">
        <v>BSE</v>
        <stp/>
        <stp>bse_cm|96SCL25</stp>
        <stp>Exchange</stp>
        <tr r="C1068" s="1"/>
      </tp>
      <tp>
        <v>1050</v>
        <stp/>
        <stp>bse_cm|12IFL27</stp>
        <stp>Ask Rate</stp>
        <tr r="F258" s="1"/>
      </tp>
      <tp>
        <v>0</v>
        <stp/>
        <stp>bse_cm|12KLM25</stp>
        <stp>Ask Rate</stp>
        <tr r="F1211" s="1"/>
      </tp>
      <tp>
        <v>100</v>
        <stp/>
        <stp>bse_cm|0MOFSL26</stp>
        <stp>Bid Qty</stp>
        <tr r="D1645" s="1"/>
      </tp>
      <tp>
        <v>22</v>
        <stp/>
        <stp>bse_cm|0MOFSL27</stp>
        <stp>Bid Qty</stp>
        <tr r="D1039" s="1"/>
      </tp>
      <tp>
        <v>0</v>
        <stp/>
        <stp>bse_cm|12IML26</stp>
        <stp>Ask Rate</stp>
        <tr r="F1494" s="1"/>
      </tp>
      <tp>
        <v>0</v>
        <stp/>
        <stp>nse_cm|843IHFL29-NC</stp>
        <stp>ATP</stp>
        <tr r="K123" s="1"/>
      </tp>
      <tp>
        <v>10</v>
        <stp/>
        <stp>nse_cm|10SCL31A-ZO</stp>
        <stp>Bid Qty</stp>
        <tr r="D864" s="1"/>
      </tp>
      <tp>
        <v>1010</v>
        <stp/>
        <stp>bse_cm|12CCI29</stp>
        <stp>Ask Rate</stp>
        <tr r="F91" s="1"/>
      </tp>
      <tp>
        <v>0</v>
        <stp/>
        <stp>nse_cm|842IIFL26-NL</stp>
        <stp>ATP</stp>
        <tr r="K145" s="1"/>
      </tp>
      <tp>
        <v>1011.21</v>
        <stp/>
        <stp>nse_cm|97SFL26-Z9</stp>
        <stp xml:space="preserve">Low </stp>
        <tr r="O438" s="1"/>
      </tp>
      <tp t="s">
        <v>BSE</v>
        <stp/>
        <stp>bse_cm|774IREDA31</stp>
        <stp>Exchange</stp>
        <tr r="C17" s="1"/>
      </tp>
      <tp>
        <v>819.56</v>
        <stp/>
        <stp>nse_cm|1050SCL30-NU</stp>
        <stp>Bid Rate</stp>
        <tr r="E893" s="1"/>
      </tp>
      <tp>
        <v>0</v>
        <stp/>
        <stp>bse_cm|92LTF29</stp>
        <stp>Ask Rate</stp>
        <tr r="F1088" s="1"/>
      </tp>
      <tp t="s">
        <v/>
        <stp/>
        <stp>nse_cm|990SCFL26-AJ</stp>
        <stp>LTT</stp>
        <tr r="I1523" s="1"/>
      </tp>
      <tp>
        <v>1105</v>
        <stp/>
        <stp>nse_cm|990SCFL26-AJ</stp>
        <stp>LTP</stp>
        <tr r="H1523" s="1"/>
      </tp>
      <tp t="s">
        <v>BSE</v>
        <stp/>
        <stp>bse_cm|SFL2722024</stp>
        <stp>Exchange</stp>
        <tr r="C806" s="1"/>
      </tp>
      <tp t="s">
        <v>BSE</v>
        <stp/>
        <stp>bse_cm|749IREDA31</stp>
        <stp>Exchange</stp>
        <tr r="C568" s="1"/>
      </tp>
      <tp>
        <v>1000</v>
        <stp/>
        <stp>nse_cm|105IIFL29-N7</stp>
        <stp>Face Value</stp>
        <tr r="Q270" s="1"/>
      </tp>
      <tp>
        <v>0</v>
        <stp/>
        <stp>nse_cm|840IRFC29-N8</stp>
        <stp>ATP</stp>
        <tr r="K528" s="1"/>
      </tp>
      <tp>
        <v>0</v>
        <stp/>
        <stp>nse_cm|965SCL28C-BR</stp>
        <stp>Volume Traded Today</stp>
        <tr r="L817" s="1"/>
      </tp>
      <tp>
        <v>0</v>
        <stp/>
        <stp>nse_cm|965SCL25E-BF</stp>
        <stp>Volume Traded Today</stp>
        <tr r="L413" s="1"/>
      </tp>
      <tp t="s">
        <v>BSE</v>
        <stp/>
        <stp>bse_cm|743IREDA36</stp>
        <stp>Exchange</stp>
        <tr r="C1441" s="1"/>
      </tp>
      <tp>
        <v>1129.0999999999999</v>
        <stp/>
        <stp>nse_cm|735PFCL35-N1</stp>
        <stp>Bid Rate</stp>
        <tr r="E26" s="1"/>
      </tp>
      <tp t="s">
        <v>BSE</v>
        <stp/>
        <stp>bse_cm|768IREDA36</stp>
        <stp>Exchange</stp>
        <tr r="C543" s="1"/>
      </tp>
      <tp>
        <v>71</v>
        <stp/>
        <stp>nse_cm|865IFL28-NZ</stp>
        <stp>Ask Qty</stp>
        <tr r="G103" s="1"/>
      </tp>
      <tp t="s">
        <v>925AEL26</v>
        <stp/>
        <stp>nse_cm|925AEL26-N1</stp>
        <stp>Symbol</stp>
        <tr r="A330" s="1"/>
      </tp>
      <tp>
        <v>75</v>
        <stp/>
        <stp>nse_cm|85IIFL25-NO</stp>
        <stp>Ask Qty</stp>
        <tr r="G110" s="1"/>
      </tp>
      <tp>
        <v>83</v>
        <stp/>
        <stp>nse_cm|835IFL25-NV</stp>
        <stp>Ask Qty</stp>
        <tr r="G98" s="1"/>
      </tp>
      <tp>
        <v>0</v>
        <stp/>
        <stp>nse_cm|94SCL27-ZG</stp>
        <stp xml:space="preserve">Low </stp>
        <tr r="O1151" s="1"/>
      </tp>
      <tp>
        <v>954</v>
        <stp/>
        <stp>bse_cm|9IIFL28</stp>
        <stp>High</stp>
        <tr r="N126" s="1"/>
      </tp>
      <tp>
        <v>0</v>
        <stp/>
        <stp>nse_cm|829PFL29-N6</stp>
        <stp>Ask Qty</stp>
        <tr r="G1451" s="1"/>
      </tp>
      <tp>
        <v>10</v>
        <stp/>
        <stp>nse_cm|81ABFL33-N5</stp>
        <stp>Ask Qty</stp>
        <tr r="G1588" s="1"/>
      </tp>
      <tp>
        <v>973.6</v>
        <stp/>
        <stp>nse_cm|99SCL27-ZH</stp>
        <stp xml:space="preserve">Low </stp>
        <tr r="O1168" s="1"/>
      </tp>
      <tp>
        <v>911.01</v>
        <stp/>
        <stp>nse_cm|865IIFL28-NS</stp>
        <stp>Bid Rate</stp>
        <tr r="E74" s="1"/>
      </tp>
      <tp t="s">
        <v>BSE</v>
        <stp/>
        <stp>bse_cm|1025SCL34A</stp>
        <stp>Exchange</stp>
        <tr r="C672" s="1"/>
      </tp>
      <tp t="s">
        <v>BSE</v>
        <stp/>
        <stp>bse_cm|SCL310524A</stp>
        <stp>Exchange</stp>
        <tr r="C918" s="1"/>
      </tp>
      <tp>
        <v>0</v>
        <stp/>
        <stp>bse_cm|682PFCL31</stp>
        <stp>ATP</stp>
        <tr r="K433" s="1"/>
      </tp>
      <tp>
        <v>0</v>
        <stp/>
        <stp>bse_cm|MFLVII25G</stp>
        <stp>ATP</stp>
        <tr r="K1729" s="1"/>
      </tp>
      <tp>
        <v>1300</v>
        <stp/>
        <stp>nse_cm|DLSL25A-Y4</stp>
        <stp xml:space="preserve">Low </stp>
        <tr r="O1732" s="1"/>
      </tp>
      <tp>
        <v>1690</v>
        <stp/>
        <stp>nse_cm|892PFCL33-N8</stp>
        <stp>Volume Traded Today</stp>
        <tr r="L530" s="1"/>
      </tp>
      <tp>
        <v>0</v>
        <stp/>
        <stp>nse_cm|931SFL26A-NA</stp>
        <stp>LTP</stp>
        <tr r="H786" s="1"/>
      </tp>
      <tp t="s">
        <v/>
        <stp/>
        <stp>nse_cm|931SFL26A-NA</stp>
        <stp>LTT</stp>
        <tr r="I786" s="1"/>
      </tp>
      <tp>
        <v>1035</v>
        <stp/>
        <stp>nse_cm|93SCL25-ZH</stp>
        <stp xml:space="preserve">Low </stp>
        <tr r="O961" s="1"/>
      </tp>
      <tp>
        <v>0</v>
        <stp/>
        <stp>nse_cm|96IIFL28A-NF</stp>
        <stp>Volume Traded Today</stp>
        <tr r="L81" s="1"/>
      </tp>
      <tp>
        <v>0</v>
        <stp/>
        <stp>nse_cm|85CIFC27-NL</stp>
        <stp>Ask Qty</stp>
        <tr r="G973" s="1"/>
      </tp>
      <tp t="s">
        <v>893NHB29</v>
        <stp/>
        <stp>nse_cm|893NHB29-N6</stp>
        <stp>Symbol</stp>
        <tr r="A529" s="1"/>
      </tp>
      <tp t="s">
        <v>888NHB29</v>
        <stp/>
        <stp>nse_cm|888NHB29-N5</stp>
        <stp>Symbol</stp>
        <tr r="A504" s="1"/>
      </tp>
      <tp t="s">
        <v>868NHB29</v>
        <stp/>
        <stp>nse_cm|868NHB29-N3</stp>
        <stp>Symbol</stp>
        <tr r="A1342" s="1"/>
      </tp>
      <tp>
        <v>929</v>
        <stp/>
        <stp>bse_cm|920EFSL27A</stp>
        <stp>Bid Rate</stp>
        <tr r="E685" s="1"/>
      </tp>
      <tp>
        <v>0</v>
        <stp/>
        <stp>bse_cm|925FL27</stp>
        <stp>Ask Rate</stp>
        <tr r="F615" s="1"/>
      </tp>
      <tp>
        <v>0</v>
        <stp/>
        <stp>nse_cm|86CIFC29-NN</stp>
        <stp>Ask Qty</stp>
        <tr r="G1340" s="1"/>
      </tp>
      <tp>
        <v>971</v>
        <stp/>
        <stp>nse_cm|91SFL27-ZI</stp>
        <stp xml:space="preserve">Low </stp>
        <tr r="O533" s="1"/>
      </tp>
      <tp>
        <v>1026</v>
        <stp/>
        <stp>nse_cm|93MOFSL34-N6</stp>
        <stp>Open</stp>
        <tr r="M299" s="1"/>
      </tp>
      <tp t="s">
        <v>00:00:00</v>
        <stp/>
        <stp>bse_cm|840IRFC29</stp>
        <stp>LTT</stp>
        <tr r="I1634" s="1"/>
      </tp>
      <tp>
        <v>939.2</v>
        <stp/>
        <stp>nse_cm|875IHFL29-ND</stp>
        <stp>Bid Rate</stp>
        <tr r="E77" s="1"/>
      </tp>
      <tp>
        <v>0</v>
        <stp/>
        <stp>bse_cm|840IRFC29</stp>
        <stp>LTP</stp>
        <tr r="H1634" s="1"/>
      </tp>
      <tp>
        <v>0</v>
        <stp/>
        <stp>bse_cm|842IIFL26</stp>
        <stp>ATP</stp>
        <tr r="K181" s="1"/>
      </tp>
      <tp>
        <v>0</v>
        <stp/>
        <stp>nse_cm|97MOFSL34-N7</stp>
        <stp>Open</stp>
        <tr r="M1599" s="1"/>
      </tp>
      <tp t="s">
        <v>00:00:00</v>
        <stp/>
        <stp>bse_cm|750IRFC35</stp>
        <stp>LTT</stp>
        <tr r="I488" s="1"/>
      </tp>
      <tp>
        <v>0</v>
        <stp/>
        <stp>bse_cm|750IRFC35</stp>
        <stp>LTP</stp>
        <tr r="H488" s="1"/>
      </tp>
      <tp>
        <v>1000</v>
        <stp/>
        <stp>nse_cm|812REC27-NI</stp>
        <stp>Bid Qty</stp>
        <tr r="D462" s="1"/>
      </tp>
      <tp>
        <v>0</v>
        <stp/>
        <stp>bse_cm|1003SCL30A</stp>
        <stp>Ask Rate</stp>
        <tr r="F875" s="1"/>
      </tp>
      <tp>
        <v>50</v>
        <stp/>
        <stp>nse_cm|875SFL27-ZF</stp>
        <stp>Ask Qty</stp>
        <tr r="G379" s="1"/>
      </tp>
      <tp>
        <v>1000</v>
        <stp/>
        <stp>nse_cm|861REC34-ND</stp>
        <stp>Bid Qty</stp>
        <tr r="D583" s="1"/>
      </tp>
      <tp>
        <v>100</v>
        <stp/>
        <stp>nse_cm|863REC29-NC</stp>
        <stp>Bid Qty</stp>
        <tr r="D1633" s="1"/>
      </tp>
      <tp>
        <v>1000</v>
        <stp/>
        <stp>nse_cm|862REC33-NA</stp>
        <stp>Bid Qty</stp>
        <tr r="D563" s="1"/>
      </tp>
      <tp>
        <v>1050.2</v>
        <stp/>
        <stp>nse_cm|93SCL24-ZP</stp>
        <stp xml:space="preserve">Low </stp>
        <tr r="O1506" s="1"/>
      </tp>
      <tp>
        <v>0</v>
        <stp/>
        <stp>nse_cm|866SFL25-ZE</stp>
        <stp>Ask Qty</stp>
        <tr r="G1389" s="1"/>
      </tp>
      <tp>
        <v>0</v>
        <stp/>
        <stp>nse_cm|91MOFSL27-N2</stp>
        <stp>Open</stp>
        <tr r="M1611" s="1"/>
      </tp>
      <tp>
        <v>902.2</v>
        <stp/>
        <stp>bse_cm|890ICCL23A</stp>
        <stp>Bid Rate</stp>
        <tr r="E1486" s="1"/>
      </tp>
      <tp>
        <v>3</v>
        <stp/>
        <stp>nse_cm|871REC28-N9</stp>
        <stp>Bid Qty</stp>
        <tr r="D542" s="1"/>
      </tp>
      <tp>
        <v>0</v>
        <stp/>
        <stp>bse_cm|905SC24B</stp>
        <stp>Ask Qty</stp>
        <tr r="G684" s="1"/>
      </tp>
      <tp>
        <v>50</v>
        <stp/>
        <stp>nse_cm|79NHIT47-N3</stp>
        <stp>Ask Qty</stp>
        <tr r="G1585" s="1"/>
      </tp>
      <tp>
        <v>20</v>
        <stp/>
        <stp>nse_cm|79NHIT40-N2</stp>
        <stp>Ask Qty</stp>
        <tr r="G1587" s="1"/>
      </tp>
      <tp>
        <v>380</v>
        <stp/>
        <stp>nse_cm|79NHIT35-N1</stp>
        <stp>Ask Qty</stp>
        <tr r="G1589" s="1"/>
      </tp>
      <tp>
        <v>1000</v>
        <stp/>
        <stp>nse_cm|IIFLZC28B-Y1</stp>
        <stp>Prev Close</stp>
        <tr r="P1491" s="1"/>
      </tp>
      <tp>
        <v>1060.01</v>
        <stp/>
        <stp>nse_cm|IIFLZC26B-NY</stp>
        <stp>Prev Close</stp>
        <tr r="P1629" s="1"/>
      </tp>
      <tp>
        <v>1075.8</v>
        <stp/>
        <stp>nse_cm|IIFLZC25B-NW</stp>
        <stp>Prev Close</stp>
        <tr r="P1684" s="1"/>
      </tp>
      <tp>
        <v>100</v>
        <stp/>
        <stp>nse_cm|846REC28-N6</stp>
        <stp>Bid Qty</stp>
        <tr r="D548" s="1"/>
      </tp>
      <tp>
        <v>1113.3599999999999</v>
        <stp/>
        <stp>nse_cm|98SCL27-ZX</stp>
        <stp xml:space="preserve">Low </stp>
        <tr r="O1378" s="1"/>
      </tp>
      <tp>
        <v>984</v>
        <stp/>
        <stp>nse_cm|985IIFL22-NC</stp>
        <stp>Bid Rate</stp>
        <tr r="E114" s="1"/>
      </tp>
      <tp t="s">
        <v>BSE</v>
        <stp/>
        <stp>bse_cm|865MF25</stp>
        <stp>Exchange</stp>
        <tr r="C111" s="1"/>
      </tp>
      <tp>
        <v>1009.03</v>
        <stp/>
        <stp>bse_cm|MFLIII25C</stp>
        <stp>ATP</stp>
        <tr r="K213" s="1"/>
      </tp>
      <tp>
        <v>984</v>
        <stp/>
        <stp>nse_cm|835SCL23B-YM</stp>
        <stp>LTP</stp>
        <tr r="H179" s="1"/>
      </tp>
      <tp t="s">
        <v/>
        <stp/>
        <stp>nse_cm|835SCL23A-YH</stp>
        <stp>LTT</stp>
        <tr r="I833" s="1"/>
      </tp>
      <tp t="s">
        <v/>
        <stp/>
        <stp>nse_cm|835SCL23B-YM</stp>
        <stp>LTT</stp>
        <tr r="I179" s="1"/>
      </tp>
      <tp>
        <v>0</v>
        <stp/>
        <stp>nse_cm|835SCL23A-YH</stp>
        <stp>LTP</stp>
        <tr r="H833" s="1"/>
      </tp>
      <tp>
        <v>915</v>
        <stp/>
        <stp>nse_cm|875IIFL26-NM</stp>
        <stp>Bid Rate</stp>
        <tr r="E640" s="1"/>
      </tp>
      <tp>
        <v>0</v>
        <stp/>
        <stp>nse_cm|86LTF24-NJ</stp>
        <stp>Open</stp>
        <tr r="M7" s="1"/>
      </tp>
      <tp>
        <v>835.27</v>
        <stp/>
        <stp>bse_cm|875MFCL26C</stp>
        <stp>Bid Rate</stp>
        <tr r="E309" s="1"/>
      </tp>
      <tp>
        <v>850.25</v>
        <stp/>
        <stp>bse_cm|KFL070824A</stp>
        <stp>Bid Rate</stp>
        <tr r="E1313" s="1"/>
      </tp>
      <tp>
        <v>822</v>
        <stp/>
        <stp>bse_cm|EFS290424A</stp>
        <stp>Bid Rate</stp>
        <tr r="E571" s="1"/>
      </tp>
      <tp>
        <v>22</v>
        <stp/>
        <stp>nse_cm|888REC29-NF</stp>
        <stp>Bid Qty</stp>
        <tr r="D522" s="1"/>
      </tp>
      <tp>
        <v>100</v>
        <stp/>
        <stp>nse_cm|886REC34-NG</stp>
        <stp>Bid Qty</stp>
        <tr r="D536" s="1"/>
      </tp>
      <tp>
        <v>1001.1</v>
        <stp/>
        <stp>nse_cm|1050NFL26-N7</stp>
        <stp>Bid Rate</stp>
        <tr r="E259" s="1"/>
      </tp>
      <tp>
        <v>990</v>
        <stp/>
        <stp>nse_cm|1050UCL25-N7</stp>
        <stp>Bid Rate</stp>
        <tr r="E201" s="1"/>
      </tp>
      <tp>
        <v>0</v>
        <stp/>
        <stp>bse_cm|830CIFC26</stp>
        <stp>LTP</stp>
        <tr r="H1013" s="1"/>
      </tp>
      <tp t="s">
        <v>00:00:00</v>
        <stp/>
        <stp>bse_cm|830CIFC26</stp>
        <stp>LTT</stp>
        <tr r="I1013" s="1"/>
      </tp>
      <tp>
        <v>1027</v>
        <stp/>
        <stp>nse_cm|87LTF27-NH</stp>
        <stp>Open</stp>
        <tr r="M407" s="1"/>
      </tp>
      <tp>
        <v>712.4</v>
        <stp/>
        <stp>bse_cm|866ICCL23A</stp>
        <stp>Bid Rate</stp>
        <tr r="E1075" s="1"/>
      </tp>
      <tp>
        <v>847.2</v>
        <stp/>
        <stp>bse_cm|KFL070824B</stp>
        <stp>Bid Rate</stp>
        <tr r="E1312" s="1"/>
      </tp>
      <tp>
        <v>875</v>
        <stp/>
        <stp>nse_cm|985ICCL28-NO</stp>
        <stp>Bid Rate</stp>
        <tr r="E1605" s="1"/>
      </tp>
      <tp>
        <v>846.8</v>
        <stp/>
        <stp>bse_cm|KFL070824C</stp>
        <stp>Bid Rate</stp>
        <tr r="E1311" s="1"/>
      </tp>
      <tp>
        <v>-100</v>
        <stp/>
        <stp>bse_cm|9IIFL28A</stp>
        <stp>% Change</stp>
        <tr r="J218" s="1"/>
      </tp>
      <tp>
        <v>840</v>
        <stp/>
        <stp>bse_cm|950MFCL27D</stp>
        <stp>Bid Rate</stp>
        <tr r="E1496" s="1"/>
      </tp>
      <tp>
        <v>976</v>
        <stp/>
        <stp>bse_cm|MFCL16924B</stp>
        <stp>Bid Rate</stp>
        <tr r="E1284" s="1"/>
      </tp>
      <tp>
        <v>840.65</v>
        <stp/>
        <stp>bse_cm|KFL070824D</stp>
        <stp>Bid Rate</stp>
        <tr r="E1310" s="1"/>
      </tp>
      <tp>
        <v>0</v>
        <stp/>
        <stp>nse_cm|98SCL34-ZS</stp>
        <stp xml:space="preserve">Low </stp>
        <tr r="O1052" s="1"/>
      </tp>
      <tp>
        <v>0</v>
        <stp/>
        <stp>nse_cm|85LTF26-NM</stp>
        <stp>Open</stp>
        <tr r="M365" s="1"/>
      </tp>
      <tp>
        <v>960</v>
        <stp/>
        <stp>bse_cm|MFCL16924C</stp>
        <stp>Bid Rate</stp>
        <tr r="E660" s="1"/>
      </tp>
      <tp>
        <v>977.5</v>
        <stp/>
        <stp>bse_cm|MFCL16924A</stp>
        <stp>Bid Rate</stp>
        <tr r="E1285" s="1"/>
      </tp>
      <tp>
        <v>995</v>
        <stp/>
        <stp>bse_cm|1003VCL25</stp>
        <stp>Ask Rate</stp>
        <tr r="F151" s="1"/>
      </tp>
      <tp>
        <v>945</v>
        <stp/>
        <stp>bse_cm|995ECL29A</stp>
        <stp xml:space="preserve">Low </stp>
        <tr r="O152" s="1"/>
      </tp>
      <tp>
        <v>11</v>
        <stp/>
        <stp>bse_cm|SFL270224A</stp>
        <stp>Bid Qty</stp>
        <tr r="D807" s="1"/>
      </tp>
      <tp>
        <v>6</v>
        <stp/>
        <stp>bse_cm|1003SCL30A</stp>
        <stp>Bid Qty</stp>
        <tr r="D875" s="1"/>
      </tp>
      <tp>
        <v>0</v>
        <stp/>
        <stp>bse_cm|SCL310524</stp>
        <stp>Ask Rate</stp>
        <tr r="F1345" s="1"/>
      </tp>
      <tp t="s">
        <v>INE721A07PH3</v>
        <stp/>
        <stp>nse_cm|SFLZC26A-ZC</stp>
        <stp>Isin code</stp>
        <tr r="R1716" s="1"/>
      </tp>
      <tp>
        <v>908.3</v>
        <stp/>
        <stp>bse_cm|104ECL29A</stp>
        <stp xml:space="preserve">Low </stp>
        <tr r="O79" s="1"/>
      </tp>
      <tp>
        <v>0</v>
        <stp/>
        <stp>bse_cm|AEL120924A</stp>
        <stp>Ask Qty</stp>
        <tr r="G1524" s="1"/>
      </tp>
      <tp>
        <v>68</v>
        <stp/>
        <stp>bse_cm|AEL120924B</stp>
        <stp>Ask Qty</stp>
        <tr r="G1641" s="1"/>
      </tp>
      <tp>
        <v>26</v>
        <stp/>
        <stp>bse_cm|CCI110324A</stp>
        <stp>Ask Qty</stp>
        <tr r="G1590" s="1"/>
      </tp>
      <tp t="s">
        <v>10MVAFL25</v>
        <stp/>
        <stp>bse_cm|10MVAFL25</stp>
        <stp>Symbol</stp>
        <tr r="A1675" s="1"/>
      </tp>
      <tp t="s">
        <v>INE414G07GF5</v>
        <stp/>
        <stp>bse_cm|MFLIII25C</stp>
        <stp>Isin code</stp>
        <tr r="R213" s="1"/>
      </tp>
      <tp>
        <v>0</v>
        <stp/>
        <stp>bse_cm|RFLNIFT25</stp>
        <stp xml:space="preserve">Low </stp>
        <tr r="O1242" s="1"/>
      </tp>
      <tp>
        <v>1029.8</v>
        <stp/>
        <stp>bse_cm|950MFL27A</stp>
        <stp>High</stp>
        <tr r="N241" s="1"/>
      </tp>
      <tp t="s">
        <v>738REC27TF-N2</v>
        <stp/>
        <stp>nse_cm|738REC27TF-N2</stp>
        <stp>Trading Symbol</stp>
        <tr r="B514" s="1"/>
      </tp>
      <tp>
        <v>1061.7</v>
        <stp/>
        <stp>bse_cm|850MFL27A</stp>
        <stp>High</stp>
        <tr r="N355" s="1"/>
      </tp>
      <tp>
        <v>5</v>
        <stp/>
        <stp>bse_cm|994SMCGS29</stp>
        <stp>Bid Qty</stp>
        <tr r="D221" s="1"/>
      </tp>
      <tp>
        <v>10</v>
        <stp/>
        <stp>bse_cm|EFS290424A</stp>
        <stp>Bid Qty</stp>
        <tr r="D571" s="1"/>
      </tp>
      <tp>
        <v>13</v>
        <stp/>
        <stp>bse_cm|102SMCGS27</stp>
        <stp>Bid Qty</stp>
        <tr r="D1017" s="1"/>
      </tp>
      <tp>
        <v>10</v>
        <stp/>
        <stp>bse_cm|104SMCGS29</stp>
        <stp>Bid Qty</stp>
        <tr r="D206" s="1"/>
      </tp>
      <tp>
        <v>622</v>
        <stp/>
        <stp>bse_cm|955IFSL25</stp>
        <stp>High</stp>
        <tr r="N1470" s="1"/>
      </tp>
      <tp>
        <v>993</v>
        <stp/>
        <stp>bse_cm|945IFSL25</stp>
        <stp>High</stp>
        <tr r="N483" s="1"/>
      </tp>
      <tp>
        <v>1000</v>
        <stp/>
        <stp>bse_cm|966IFSL25</stp>
        <stp>High</stp>
        <tr r="N1051" s="1"/>
      </tp>
      <tp>
        <v>1042</v>
        <stp/>
        <stp>bse_cm|980IFSL25</stp>
        <stp>High</stp>
        <tr r="N474" s="1"/>
      </tp>
      <tp t="s">
        <v>INE039A07819</v>
        <stp/>
        <stp>nse_cm|IFCIZC24-NI</stp>
        <stp>Isin code</stp>
        <tr r="R1768" s="1"/>
      </tp>
      <tp t="s">
        <v>12ICFL25</v>
        <stp/>
        <stp>bse_cm|12ICFL25</stp>
        <stp>Trading Symbol</stp>
        <tr r="B1213" s="1"/>
      </tp>
      <tp t="s">
        <v>11KAFL27</v>
        <stp/>
        <stp>bse_cm|11KAFL27</stp>
        <stp>Trading Symbol</stp>
        <tr r="B184" s="1"/>
      </tp>
      <tp t="s">
        <v>11KAFL26</v>
        <stp/>
        <stp>bse_cm|11KAFL26</stp>
        <stp>Trading Symbol</stp>
        <tr r="B671" s="1"/>
      </tp>
      <tp t="s">
        <v>11KAFL29</v>
        <stp/>
        <stp>bse_cm|11KAFL29</stp>
        <stp>Trading Symbol</stp>
        <tr r="B662" s="1"/>
      </tp>
      <tp t="s">
        <v>985ONE34</v>
        <stp/>
        <stp>bse_cm|985ONE34</stp>
        <stp>Trading Symbol</stp>
        <tr r="B1101" s="1"/>
      </tp>
      <tp t="s">
        <v>10IIFL29</v>
        <stp/>
        <stp>bse_cm|10IIFL29</stp>
        <stp>Trading Symbol</stp>
        <tr r="B307" s="1"/>
      </tp>
      <tp t="s">
        <v>10IIFL28</v>
        <stp/>
        <stp>bse_cm|10IIFL28</stp>
        <stp>Trading Symbol</stp>
        <tr r="B68" s="1"/>
      </tp>
      <tp t="s">
        <v>10ISFL26</v>
        <stp/>
        <stp>bse_cm|10ISFL26</stp>
        <stp>Trading Symbol</stp>
        <tr r="B1509" s="1"/>
      </tp>
      <tp t="s">
        <v>10KAFL26</v>
        <stp/>
        <stp>bse_cm|10KAFL26</stp>
        <stp>Trading Symbol</stp>
        <tr r="B1096" s="1"/>
      </tp>
      <tp t="s">
        <v>10KSFL25</v>
        <stp/>
        <stp>bse_cm|10KSFL25</stp>
        <stp>Trading Symbol</stp>
        <tr r="B107" s="1"/>
      </tp>
      <tp t="s">
        <v>10MMFL27</v>
        <stp/>
        <stp>bse_cm|10MMFL27</stp>
        <stp>Trading Symbol</stp>
        <tr r="B1090" s="1"/>
      </tp>
      <tp t="s">
        <v>10NHFL27</v>
        <stp/>
        <stp>bse_cm|10NHFL27</stp>
        <stp>Trading Symbol</stp>
        <tr r="B658" s="1"/>
      </tp>
      <tp>
        <v>919.44</v>
        <stp/>
        <stp>bse_cm|843IHFL29</stp>
        <stp>High</stp>
        <tr r="N139" s="1"/>
      </tp>
      <tp>
        <v>924</v>
        <stp/>
        <stp>bse_cm|865IIFL28</stp>
        <stp>High</stp>
        <tr r="N75" s="1"/>
      </tp>
      <tp>
        <v>943.8</v>
        <stp/>
        <stp>bse_cm|875IHFL29</stp>
        <stp>High</stp>
        <tr r="N1230" s="1"/>
      </tp>
      <tp>
        <v>975</v>
        <stp/>
        <stp>bse_cm|965IFSL26</stp>
        <stp>High</stp>
        <tr r="N1142" s="1"/>
      </tp>
      <tp>
        <v>1000</v>
        <stp/>
        <stp>bse_cm|984IFSL26</stp>
        <stp>High</stp>
        <tr r="N457" s="1"/>
      </tp>
      <tp>
        <v>1025</v>
        <stp/>
        <stp>bse_cm|957ICCL25</stp>
        <stp>High</stp>
        <tr r="N432" s="1"/>
      </tp>
      <tp>
        <v>994</v>
        <stp/>
        <stp>bse_cm|953NWIL32</stp>
        <stp xml:space="preserve">Low </stp>
        <tr r="O226" s="1"/>
      </tp>
      <tp>
        <v>940</v>
        <stp/>
        <stp>bse_cm|995NWIL32</stp>
        <stp xml:space="preserve">Low </stp>
        <tr r="O1023" s="1"/>
      </tp>
      <tp t="s">
        <v>955ICCL25A-NH</v>
        <stp/>
        <stp>nse_cm|955ICCL25A-NH</stp>
        <stp>Trading Symbol</stp>
        <tr r="B486" s="1"/>
      </tp>
      <tp t="s">
        <v>INE549K07EG3</v>
        <stp/>
        <stp>bse_cm|990MFCL29</stp>
        <stp>Isin code</stp>
        <tr r="R1449" s="1"/>
      </tp>
      <tp t="s">
        <v>INE134E07AR2</v>
        <stp/>
        <stp>bse_cm|697PFCL36</stp>
        <stp>Isin code</stp>
        <tr r="R431" s="1"/>
      </tp>
      <tp t="s">
        <v>INE134E07AS0</v>
        <stp/>
        <stp>bse_cm|695PFCL36</stp>
        <stp>Isin code</stp>
        <tr r="R430" s="1"/>
      </tp>
      <tp t="s">
        <v>921ONE29</v>
        <stp/>
        <stp>bse_cm|921ONE29</stp>
        <stp>Trading Symbol</stp>
        <tr r="B1112" s="1"/>
      </tp>
      <tp t="s">
        <v>921ONE27</v>
        <stp/>
        <stp>bse_cm|921ONE27</stp>
        <stp>Trading Symbol</stp>
        <tr r="B1428" s="1"/>
      </tp>
      <tp t="s">
        <v>922ONE25</v>
        <stp/>
        <stp>bse_cm|922ONE25</stp>
        <stp>Trading Symbol</stp>
        <tr r="B1111" s="1"/>
      </tp>
      <tp t="s">
        <v>926ONE29</v>
        <stp/>
        <stp>bse_cm|926ONE29</stp>
        <stp>Trading Symbol</stp>
        <tr r="B1467" s="1"/>
      </tp>
      <tp>
        <v>1100</v>
        <stp/>
        <stp>bse_cm|957ICCL28</stp>
        <stp>High</stp>
        <tr r="N1572" s="1"/>
      </tp>
      <tp>
        <v>0</v>
        <stp/>
        <stp>bse_cm|940ICCL28</stp>
        <stp>High</stp>
        <tr r="N1126" s="1"/>
      </tp>
      <tp>
        <v>875</v>
        <stp/>
        <stp>bse_cm|985ICCL28</stp>
        <stp>High</stp>
        <tr r="N1483" s="1"/>
      </tp>
      <tp>
        <v>0</v>
        <stp/>
        <stp>bse_cm|980ICCL28</stp>
        <stp>High</stp>
        <tr r="N783" s="1"/>
      </tp>
      <tp>
        <v>980</v>
        <stp/>
        <stp>bse_cm|985IIFL22</stp>
        <stp>High</stp>
        <tr r="N178" s="1"/>
      </tp>
      <tp t="s">
        <v>915MMFS24</v>
        <stp/>
        <stp>bse_cm|915MMFS24</stp>
        <stp>Symbol</stp>
        <tr r="A1752" s="1"/>
      </tp>
      <tp t="s">
        <v>INE477L07AN9</v>
        <stp/>
        <stp>bse_cm|820IIFL27</stp>
        <stp>Isin code</stp>
        <tr r="R176" s="1"/>
      </tp>
      <tp t="s">
        <v>INE549K07DP6</v>
        <stp/>
        <stp>bse_cm|975MFCL29</stp>
        <stp>Isin code</stp>
        <tr r="R856" s="1"/>
      </tp>
      <tp t="s">
        <v>INE134E07AQ4</v>
        <stp/>
        <stp>bse_cm|678PFCL36</stp>
        <stp>Isin code</stp>
        <tr r="R1207" s="1"/>
      </tp>
      <tp t="s">
        <v>935ONE26</v>
        <stp/>
        <stp>bse_cm|935ONE26</stp>
        <stp>Trading Symbol</stp>
        <tr r="B1173" s="1"/>
      </tp>
      <tp t="s">
        <v>INE549K07EK5</v>
        <stp/>
        <stp>bse_cm|945MFCL29</stp>
        <stp>Isin code</stp>
        <tr r="R682" s="1"/>
      </tp>
      <tp t="s">
        <v>INE051307BG5</v>
        <stp/>
        <stp>bse_cm|CCIL14824</stp>
        <stp>Isin code</stp>
        <tr r="R753" s="1"/>
      </tp>
      <tp t="s">
        <v>AEL120924B-N8</v>
        <stp/>
        <stp>nse_cm|AEL120924B-N8</stp>
        <stp>Trading Symbol</stp>
        <tr r="B1640" s="1"/>
      </tp>
      <tp t="s">
        <v>INE121A07RE9</v>
        <stp/>
        <stp>bse_cm|84CIFCL28</stp>
        <stp>Isin code</stp>
        <tr r="R387" s="1"/>
      </tp>
      <tp t="s">
        <v>903ONE26</v>
        <stp/>
        <stp>bse_cm|903ONE26</stp>
        <stp>Trading Symbol</stp>
        <tr r="B843" s="1"/>
      </tp>
      <tp t="s">
        <v>INE530L07566</v>
        <stp/>
        <stp>bse_cm|920NIDO26</stp>
        <stp>Isin code</stp>
        <tr r="R166" s="1"/>
      </tp>
      <tp t="s">
        <v>916ONE27</v>
        <stp/>
        <stp>bse_cm|916ONE27</stp>
        <stp>Trading Symbol</stp>
        <tr r="B267" s="1"/>
      </tp>
      <tp t="s">
        <v>916ONE25</v>
        <stp/>
        <stp>bse_cm|916ONE25</stp>
        <stp>Trading Symbol</stp>
        <tr r="B965" s="1"/>
      </tp>
      <tp>
        <v>1398</v>
        <stp/>
        <stp>bse_cm|105IIFL29</stp>
        <stp>High</stp>
        <tr r="N338" s="1"/>
      </tp>
      <tp t="s">
        <v>INE530L07210</v>
        <stp/>
        <stp>bse_cm|957NIDO26</stp>
        <stp>Isin code</stp>
        <tr r="R329" s="1"/>
      </tp>
      <tp t="s">
        <v>961ONE27</v>
        <stp/>
        <stp>bse_cm|961ONE27</stp>
        <stp>Trading Symbol</stp>
        <tr r="B628" s="1"/>
      </tp>
      <tp t="s">
        <v>966ONE29</v>
        <stp/>
        <stp>bse_cm|966ONE29</stp>
        <stp>Trading Symbol</stp>
        <tr r="B281" s="1"/>
      </tp>
      <tp>
        <v>999.99</v>
        <stp/>
        <stp>bse_cm|850IIFL27</stp>
        <stp>High</stp>
        <tr r="N1407" s="1"/>
      </tp>
      <tp>
        <v>990</v>
        <stp/>
        <stp>bse_cm|84CIFCL28</stp>
        <stp>High</stp>
        <tr r="N387" s="1"/>
      </tp>
      <tp>
        <v>941.8</v>
        <stp/>
        <stp>bse_cm|820IIFL27</stp>
        <stp>High</stp>
        <tr r="N176" s="1"/>
      </tp>
      <tp t="s">
        <v>INE549K07DV4</v>
        <stp/>
        <stp>bse_cm|935MFCL29</stp>
        <stp>Isin code</stp>
        <tr r="R239" s="1"/>
      </tp>
      <tp>
        <v>949.9</v>
        <stp/>
        <stp>bse_cm|842IIFL26</stp>
        <stp>High</stp>
        <tr r="N181" s="1"/>
      </tp>
      <tp>
        <v>0</v>
        <stp/>
        <stp>bse_cm|565PFCL26</stp>
        <stp>Open</stp>
        <tr r="M1210" s="1"/>
      </tp>
      <tp>
        <v>965</v>
        <stp/>
        <stp>bse_cm|875IIFL26</stp>
        <stp>High</stp>
        <tr r="N642" s="1"/>
      </tp>
      <tp>
        <v>1052.54</v>
        <stp/>
        <stp>bse_cm|115ICFL25</stp>
        <stp>High</stp>
        <tr r="N1548" s="1"/>
      </tp>
      <tp t="s">
        <v>INE477L07AO7</v>
        <stp/>
        <stp>bse_cm|850IIFL27</stp>
        <stp>Isin code</stp>
        <tr r="R1407" s="1"/>
      </tp>
      <tp t="s">
        <v>INE051307AR4</v>
        <stp/>
        <stp>bse_cm|CCI110324</stp>
        <stp>Isin code</stp>
        <tr r="R755" s="1"/>
      </tp>
      <tp t="s">
        <v>INE530L07806</v>
        <stp/>
        <stp>bse_cm|958NHFL27</stp>
        <stp>Isin code</stp>
        <tr r="R616" s="1"/>
      </tp>
      <tp t="s">
        <v>INE516Y07360</v>
        <stp/>
        <stp>bse_cm|85PCHFL26</stp>
        <stp>Isin code</stp>
        <tr r="R713" s="1"/>
      </tp>
      <tp t="s">
        <v>941ONE26</v>
        <stp/>
        <stp>bse_cm|941ONE26</stp>
        <stp>Trading Symbol</stp>
        <tr r="B263" s="1"/>
      </tp>
      <tp t="s">
        <v>944ONE34</v>
        <stp/>
        <stp>bse_cm|944ONE34</stp>
        <stp>Trading Symbol</stp>
        <tr r="B269" s="1"/>
      </tp>
      <tp>
        <v>1071.5</v>
        <stp/>
        <stp>bse_cm|125ICFL26</stp>
        <stp>High</stp>
        <tr r="N1214" s="1"/>
      </tp>
      <tp>
        <v>1042.0999999999999</v>
        <stp/>
        <stp>bse_cm|825IIFL25</stp>
        <stp>High</stp>
        <tr r="N47" s="1"/>
      </tp>
      <tp t="s">
        <v>INE530L07608</v>
        <stp/>
        <stp>bse_cm|960NIDO26</stp>
        <stp>Isin code</stp>
        <tr r="R870" s="1"/>
      </tp>
      <tp>
        <v>0</v>
        <stp/>
        <stp>nse_cm|1025SCL34A-ZT</stp>
        <stp>% Change</stp>
        <tr r="J171" s="1"/>
      </tp>
      <tp t="s">
        <v>955ONE27</v>
        <stp/>
        <stp>bse_cm|955ONE27</stp>
        <stp>Trading Symbol</stp>
        <tr r="B1129" s="1"/>
      </tp>
      <tp>
        <v>0</v>
        <stp/>
        <stp>bse_cm|750PFCL26</stp>
        <stp>Open</stp>
        <tr r="M448" s="1"/>
      </tp>
      <tp>
        <v>0</v>
        <stp/>
        <stp>bse_cm|745PFCL26</stp>
        <stp>Open</stp>
        <tr r="M1200" s="1"/>
      </tp>
      <tp t="s">
        <v>930NIDO32</v>
        <stp/>
        <stp>bse_cm|930NIDO32</stp>
        <stp>Symbol</stp>
        <tr r="A76" s="1"/>
      </tp>
      <tp>
        <v>1057</v>
        <stp/>
        <stp>bse_cm|CIFCZC28A</stp>
        <stp>High</stp>
        <tr r="N1396" s="1"/>
      </tp>
      <tp>
        <v>1036.71</v>
        <stp/>
        <stp>bse_cm|91MOFSL27</stp>
        <stp xml:space="preserve">Low </stp>
        <tr r="O1558" s="1"/>
      </tp>
      <tp t="s">
        <v>1119NFL27</v>
        <stp/>
        <stp>bse_cm|1119NFL27</stp>
        <stp>Symbol</stp>
        <tr r="A1140" s="1"/>
      </tp>
      <tp t="s">
        <v>940ICCL28</v>
        <stp/>
        <stp>bse_cm|940ICCL28</stp>
        <stp>Symbol</stp>
        <tr r="A1126" s="1"/>
      </tp>
      <tp t="s">
        <v>940MFCL26</v>
        <stp/>
        <stp>bse_cm|940MFCL26</stp>
        <stp>Symbol</stp>
        <tr r="A200" s="1"/>
      </tp>
      <tp t="s">
        <v>1102NFL26</v>
        <stp/>
        <stp>bse_cm|1102NFL26</stp>
        <stp>Symbol</stp>
        <tr r="A567" s="1"/>
      </tp>
      <tp t="s">
        <v>747PFCL33</v>
        <stp/>
        <stp>bse_cm|747PFCL33</stp>
        <stp>Symbol</stp>
        <tr r="A1199" s="1"/>
      </tp>
      <tp>
        <v>1124.0999999999999</v>
        <stp/>
        <stp>bse_cm|735NHAI31</stp>
        <stp xml:space="preserve">Low </stp>
        <tr r="O565" s="1"/>
      </tp>
      <tp>
        <v>1105</v>
        <stp/>
        <stp>bse_cm|769NHAI31</stp>
        <stp xml:space="preserve">Low </stp>
        <tr r="O465" s="1"/>
      </tp>
      <tp t="s">
        <v>1175IFL26</v>
        <stp/>
        <stp>bse_cm|1175IFL26</stp>
        <stp>Symbol</stp>
        <tr r="A1221" s="1"/>
      </tp>
      <tp t="s">
        <v>739HUDC31</v>
        <stp/>
        <stp>bse_cm|739HUDC31</stp>
        <stp>Symbol</stp>
        <tr r="A1347" s="1"/>
      </tp>
      <tp>
        <v>1029.1199999999999</v>
        <stp/>
        <stp>bse_cm|960ISFL25</stp>
        <stp>High</stp>
        <tr r="N871" s="1"/>
      </tp>
      <tp>
        <v>972.82</v>
        <stp/>
        <stp>bse_cm|921ISFL25</stp>
        <stp>High</stp>
        <tr r="N350" s="1"/>
      </tp>
      <tp t="s">
        <v>745PFCL26</v>
        <stp/>
        <stp>bse_cm|745PFCL26</stp>
        <stp>Symbol</stp>
        <tr r="A1200" s="1"/>
      </tp>
      <tp t="s">
        <v>115ICFL25</v>
        <stp/>
        <stp>bse_cm|115ICFL25</stp>
        <stp>Symbol</stp>
        <tr r="A1548" s="1"/>
      </tp>
      <tp t="s">
        <v>945MFCL29</v>
        <stp/>
        <stp>bse_cm|945MFCL29</stp>
        <stp>Symbol</stp>
        <tr r="A682" s="1"/>
      </tp>
      <tp>
        <v>947.01</v>
        <stp/>
        <stp>bse_cm|957ISFL26</stp>
        <stp>High</stp>
        <tr r="N761" s="1"/>
      </tp>
      <tp t="s">
        <v>1150IFL26</v>
        <stp/>
        <stp>bse_cm|1150IFL26</stp>
        <stp>Symbol</stp>
        <tr r="A1225" s="1"/>
      </tp>
      <tp t="s">
        <v>INE148I07LN9</v>
        <stp/>
        <stp>nse_cm|9SCL25-YM</stp>
        <stp>Isin code</stp>
        <tr r="R97" s="1"/>
      </tp>
      <tp t="s">
        <v>INE532F07EY2</v>
        <stp/>
        <stp>bse_cm|967EFSL29</stp>
        <stp>Isin code</stp>
        <tr r="R102" s="1"/>
      </tp>
      <tp>
        <v>915</v>
        <stp/>
        <stp>bse_cm|970NIDO32</stp>
        <stp xml:space="preserve">Low </stp>
        <tr r="O67" s="1"/>
      </tp>
      <tp>
        <v>892.5</v>
        <stp/>
        <stp>bse_cm|930NIDO32</stp>
        <stp xml:space="preserve">Low </stp>
        <tr r="O76" s="1"/>
      </tp>
      <tp>
        <v>1191</v>
        <stp/>
        <stp>bse_cm|MMFLZC27D</stp>
        <stp>High</stp>
        <tr r="N1406" s="1"/>
      </tp>
      <tp>
        <v>1360</v>
        <stp/>
        <stp>bse_cm|840IRFC29</stp>
        <stp>High</stp>
        <tr r="N1634" s="1"/>
      </tp>
      <tp>
        <v>1156</v>
        <stp/>
        <stp>bse_cm|865IRFC29</stp>
        <stp>High</stp>
        <tr r="N501" s="1"/>
      </tp>
      <tp>
        <v>1060.0999999999999</v>
        <stp/>
        <stp>bse_cm|704IRFC26</stp>
        <stp>High</stp>
        <tr r="N557" s="1"/>
      </tp>
      <tp>
        <v>1129.06</v>
        <stp/>
        <stp>bse_cm|739HUDC31</stp>
        <stp>High</stp>
        <tr r="N1347" s="1"/>
      </tp>
      <tp>
        <v>1014.5</v>
        <stp/>
        <stp>bse_cm|729IRFC26</stp>
        <stp>High</stp>
        <tr r="N367" s="1"/>
      </tp>
      <tp t="s">
        <v>INE148I07QE7</v>
        <stp/>
        <stp>nse_cm|902SCL26-N8</stp>
        <stp>Isin code</stp>
        <tr r="R968" s="1"/>
      </tp>
      <tp>
        <v>1005</v>
        <stp/>
        <stp>bse_cm|707IRFC25</stp>
        <stp>High</stp>
        <tr r="N1653" s="1"/>
      </tp>
      <tp>
        <v>1018.35</v>
        <stp/>
        <stp>bse_cm|732IRFC25</stp>
        <stp>High</stp>
        <tr r="N174" s="1"/>
      </tp>
      <tp t="s">
        <v>INE774D08MP4</v>
        <stp/>
        <stp>bse_cm|95MMFSL29</stp>
        <stp>Isin code</stp>
        <tr r="R353" s="1"/>
      </tp>
      <tp>
        <v>1379</v>
        <stp/>
        <stp>bse_cm|MMFLZC27A</stp>
        <stp>High</stp>
        <tr r="N1260" s="1"/>
      </tp>
      <tp t="s">
        <v>CCIL14824</v>
        <stp/>
        <stp>bse_cm|CCIL14824</stp>
        <stp>Symbol</stp>
        <tr r="A753" s="1"/>
      </tp>
      <tp>
        <v>1284</v>
        <stp/>
        <stp>bse_cm|MMFLZC27C</stp>
        <stp>High</stp>
        <tr r="N1463" s="1"/>
      </tp>
      <tp t="s">
        <v>769NHAI31</v>
        <stp/>
        <stp>bse_cm|769NHAI31</stp>
        <stp>Symbol</stp>
        <tr r="A465" s="1"/>
      </tp>
      <tp>
        <v>1303.78</v>
        <stp/>
        <stp>bse_cm|MMFLZC27B</stp>
        <stp>High</stp>
        <tr r="N1570" s="1"/>
      </tp>
      <tp>
        <v>0</v>
        <stp/>
        <stp>nse_cm|971SCL29A-ZN</stp>
        <stp>Volume Traded Today</stp>
        <tr r="L861" s="1"/>
      </tp>
      <tp>
        <v>0</v>
        <stp/>
        <stp>nse_cm|1025SCL33-YJ</stp>
        <stp>ATP</stp>
        <tr r="K836" s="1"/>
      </tp>
      <tp>
        <v>0</v>
        <stp/>
        <stp>nse_cm|1015SCL29-ZL</stp>
        <stp>ATP</stp>
        <tr r="K1176" s="1"/>
      </tp>
      <tp>
        <v>1070</v>
        <stp/>
        <stp>bse_cm|1025JFCS28</stp>
        <stp>Bid Rate</stp>
        <tr r="E363" s="1"/>
      </tp>
      <tp>
        <v>991</v>
        <stp/>
        <stp>bse_cm|NIDO25A</stp>
        <stp xml:space="preserve">Low </stp>
        <tr r="O1245" s="1"/>
      </tp>
      <tp>
        <v>905.2</v>
        <stp/>
        <stp>bse_cm|875TCAPS29</stp>
        <stp>Bid Rate</stp>
        <tr r="E935" s="1"/>
      </tp>
      <tp>
        <v>0</v>
        <stp/>
        <stp>nse_cm|1003SCL31-ZQ</stp>
        <stp>ATP</stp>
        <tr r="K688" s="1"/>
      </tp>
      <tp>
        <v>0</v>
        <stp/>
        <stp>nse_cm|950IIFL27-Y2</stp>
        <stp>ATP</stp>
        <tr r="K995" s="1"/>
      </tp>
      <tp>
        <v>0</v>
        <stp/>
        <stp>nse_cm|850SCFL25-Y4</stp>
        <stp>ATP</stp>
        <tr r="K924" s="1"/>
      </tp>
      <tp>
        <v>0</v>
        <stp/>
        <stp>nse_cm|1025SCL34-Z8</stp>
        <stp>ATP</stp>
        <tr r="K128" s="1"/>
      </tp>
      <tp>
        <v>0</v>
        <stp/>
        <stp>nse_cm|92LTF29-N4</stp>
        <stp>Open</stp>
        <tr r="M1087" s="1"/>
      </tp>
      <tp>
        <v>0</v>
        <stp/>
        <stp>nse_cm|971SCL28B-YD</stp>
        <stp>Volume Traded Today</stp>
        <tr r="L828" s="1"/>
      </tp>
      <tp>
        <v>838.95</v>
        <stp/>
        <stp>bse_cm|KAFL080824</stp>
        <stp>Bid Rate</stp>
        <tr r="E1417" s="1"/>
      </tp>
      <tp>
        <v>905.4</v>
        <stp/>
        <stp>bse_cm|795MMFSL32</stp>
        <stp>Bid Rate</stp>
        <tr r="E1184" s="1"/>
      </tp>
      <tp>
        <v>985.79</v>
        <stp/>
        <stp>nse_cm|SCL310524-ZF</stp>
        <stp>ATP</stp>
        <tr r="K593" s="1"/>
      </tp>
      <tp>
        <v>0</v>
        <stp/>
        <stp>nse_cm|1050SCL31-ZP</stp>
        <stp>ATP</stp>
        <tr r="K891" s="1"/>
      </tp>
      <tp>
        <v>0</v>
        <stp/>
        <stp>nse_cm|1075SCL33-YK</stp>
        <stp>ATP</stp>
        <tr r="K707" s="1"/>
      </tp>
      <tp>
        <v>942.1</v>
        <stp/>
        <stp>nse_cm|957NIDO26-N5</stp>
        <stp>Bid Rate</stp>
        <tr r="E255" s="1"/>
      </tp>
      <tp t="s">
        <v>BSE</v>
        <stp/>
        <stp>bse_cm|77IGT28</stp>
        <stp>Exchange</stp>
        <tr r="C1191" s="1"/>
      </tp>
      <tp>
        <v>0</v>
        <stp/>
        <stp>nse_cm|1075SCL34-ZR</stp>
        <stp>ATP</stp>
        <tr r="K1366" s="1"/>
      </tp>
      <tp>
        <v>0</v>
        <stp/>
        <stp>bse_cm|91EFSL24A</stp>
        <stp>Volume Traded Today</stp>
        <tr r="L46" s="1"/>
      </tp>
      <tp t="s">
        <v>CIFCZC25</v>
        <stp/>
        <stp>nse_cm|CIFCZC25-ND</stp>
        <stp>Symbol</stp>
        <tr r="A1435" s="1"/>
      </tp>
      <tp>
        <v>0</v>
        <stp/>
        <stp>nse_cm|875SCL23A-YI</stp>
        <stp>Volume Traded Today</stp>
        <tr r="L1477" s="1"/>
      </tp>
      <tp>
        <v>975</v>
        <stp/>
        <stp>bse_cm|875PCHFL26</stp>
        <stp>Bid Rate</stp>
        <tr r="E331" s="1"/>
      </tp>
      <tp>
        <v>0</v>
        <stp/>
        <stp>bse_cm|958NIDO27</stp>
        <stp>Volume Traded Today</stp>
        <tr r="L1402" s="1"/>
      </tp>
      <tp>
        <v>0</v>
        <stp/>
        <stp>bse_cm|93SCL25</stp>
        <stp>Ask Rate</stp>
        <tr r="F729" s="1"/>
      </tp>
      <tp t="s">
        <v/>
        <stp/>
        <stp>nse_cm|889SCFL27-YC</stp>
        <stp>LTT</stp>
        <tr r="I595" s="1"/>
      </tp>
      <tp>
        <v>940.35</v>
        <stp/>
        <stp>nse_cm|889SCFL27-YC</stp>
        <stp>LTP</stp>
        <tr r="H595" s="1"/>
      </tp>
      <tp>
        <v>1051.02</v>
        <stp/>
        <stp>bse_cm|CCILZC25A</stp>
        <stp>Prev Close</stp>
        <tr r="P749" s="1"/>
      </tp>
      <tp>
        <v>158</v>
        <stp/>
        <stp>bse_cm|MFCL30424</stp>
        <stp>Volume Traded Today</stp>
        <tr r="L1606" s="1"/>
      </tp>
      <tp>
        <v>0</v>
        <stp/>
        <stp>bse_cm|93SCL24</stp>
        <stp>Ask Rate</stp>
        <tr r="F945" s="1"/>
      </tp>
      <tp>
        <v>865.2</v>
        <stp/>
        <stp>nse_cm|1040NFL26-NA</stp>
        <stp>Bid Rate</stp>
        <tr r="E678" s="1"/>
      </tp>
      <tp>
        <v>0</v>
        <stp/>
        <stp>bse_cm|1035UCL24</stp>
        <stp>ATP</stp>
        <tr r="K1580" s="1"/>
      </tp>
      <tp t="s">
        <v>BSE</v>
        <stp/>
        <stp>bse_cm|87LTF27</stp>
        <stp>Exchange</stp>
        <tr r="C412" s="1"/>
      </tp>
      <tp>
        <v>898.21</v>
        <stp/>
        <stp>bse_cm|1035UCL26</stp>
        <stp>ATP</stp>
        <tr r="K1626" s="1"/>
      </tp>
      <tp>
        <v>0</v>
        <stp/>
        <stp>bse_cm|1125KLM26</stp>
        <stp>ATP</stp>
        <tr r="K1227" s="1"/>
      </tp>
      <tp>
        <v>935.2</v>
        <stp/>
        <stp>bse_cm|855TCAPS27</stp>
        <stp>Bid Rate</stp>
        <tr r="E1004" s="1"/>
      </tp>
      <tp>
        <v>0</v>
        <stp/>
        <stp>bse_cm|704IRFC26</stp>
        <stp>Volume Traded Today</stp>
        <tr r="L557" s="1"/>
      </tp>
      <tp>
        <v>1025.0999999999999</v>
        <stp/>
        <stp>bse_cm|865TCAPS27</stp>
        <stp>Bid Rate</stp>
        <tr r="E377" s="1"/>
      </tp>
      <tp>
        <v>1041</v>
        <stp/>
        <stp>bse_cm|885TCAPS29</stp>
        <stp>Bid Rate</stp>
        <tr r="E12" s="1"/>
      </tp>
      <tp>
        <v>995</v>
        <stp/>
        <stp>nse_cm|1035UCL24-N6</stp>
        <stp>Prev Close</stp>
        <tr r="P591" s="1"/>
      </tp>
      <tp>
        <v>1179.92</v>
        <stp/>
        <stp>nse_cm|750IRFC35-NK</stp>
        <stp>Prev Close</stp>
        <tr r="P485" s="1"/>
      </tp>
      <tp>
        <v>210</v>
        <stp/>
        <stp>bse_cm|764IRFC31</stp>
        <stp>Volume Traded Today</stp>
        <tr r="L466" s="1"/>
      </tp>
      <tp t="s">
        <v/>
        <stp/>
        <stp>nse_cm|985IIFL22-NC</stp>
        <stp>LTT</stp>
        <tr r="I114" s="1"/>
      </tp>
      <tp>
        <v>994</v>
        <stp/>
        <stp>nse_cm|985IIFL22-NC</stp>
        <stp>LTP</stp>
        <tr r="H114" s="1"/>
      </tp>
      <tp>
        <v>983.07</v>
        <stp/>
        <stp>nse_cm|1050UCL25-N7</stp>
        <stp>ATP</stp>
        <tr r="K201" s="1"/>
      </tp>
      <tp>
        <v>0</v>
        <stp/>
        <stp>nse_cm|945CAGL24-N1</stp>
        <stp>ATP</stp>
        <tr r="K1704" s="1"/>
      </tp>
      <tp>
        <v>0</v>
        <stp/>
        <stp>nse_cm|1050SCL30-NU</stp>
        <stp>ATP</stp>
        <tr r="K893" s="1"/>
      </tp>
      <tp>
        <v>0</v>
        <stp/>
        <stp>nse_cm|1040UCL25-N4</stp>
        <stp>ATP</stp>
        <tr r="K669" s="1"/>
      </tp>
      <tp t="s">
        <v>BSE</v>
        <stp/>
        <stp>bse_cm|87SCL25</stp>
        <stp>Exchange</stp>
        <tr r="C958" s="1"/>
      </tp>
      <tp>
        <v>10</v>
        <stp/>
        <stp>bse_cm|12IML26A</stp>
        <stp>Bid Qty</stp>
        <tr r="D1212" s="1"/>
      </tp>
      <tp>
        <v>0</v>
        <stp/>
        <stp>nse_cm|1075UCL25-N9</stp>
        <stp>ATP</stp>
        <tr r="K498" s="1"/>
      </tp>
      <tp>
        <v>1183</v>
        <stp/>
        <stp>nse_cm|888IRFC29-NE</stp>
        <stp>LTP</stp>
        <tr r="H508" s="1"/>
      </tp>
      <tp t="s">
        <v/>
        <stp/>
        <stp>nse_cm|888IRFC29-NE</stp>
        <stp>LTT</stp>
        <tr r="I508" s="1"/>
      </tp>
      <tp t="s">
        <v>BSE</v>
        <stp/>
        <stp>bse_cm|97SFL26</stp>
        <stp>Exchange</stp>
        <tr r="C405" s="1"/>
      </tp>
      <tp>
        <v>0</v>
        <stp/>
        <stp>nse_cm|957ISFL26-N2</stp>
        <stp>ATP</stp>
        <tr r="K245" s="1"/>
      </tp>
      <tp>
        <v>0</v>
        <stp/>
        <stp>nse_cm|902SCL26A-NM</stp>
        <stp>Open</stp>
        <tr r="M904" s="1"/>
      </tp>
      <tp t="s">
        <v>BSE</v>
        <stp/>
        <stp>bse_cm|87SCL27</stp>
        <stp>Exchange</stp>
        <tr r="C978" s="1"/>
      </tp>
      <tp>
        <v>964</v>
        <stp/>
        <stp>bse_cm|9MFL27A</stp>
        <stp>High</stp>
        <tr r="N257" s="1"/>
      </tp>
      <tp>
        <v>1015.5</v>
        <stp/>
        <stp>nse_cm|1060ECL29-NS</stp>
        <stp>ATP</stp>
        <tr r="K144" s="1"/>
      </tp>
      <tp>
        <v>25</v>
        <stp/>
        <stp>bse_cm|CCILZC30</stp>
        <stp>Bid Qty</stp>
        <tr r="D746" s="1"/>
      </tp>
      <tp>
        <v>24</v>
        <stp/>
        <stp>nse_cm|971SCL28A-NT</stp>
        <stp>Volume Traded Today</stp>
        <tr r="L680" s="1"/>
      </tp>
      <tp>
        <v>1048</v>
        <stp/>
        <stp>bse_cm|82IGT31</stp>
        <stp>Ask Rate</stp>
        <tr r="F383" s="1"/>
      </tp>
      <tp>
        <v>0</v>
        <stp/>
        <stp>nse_cm|1015ECL29-NR</stp>
        <stp>ATP</stp>
        <tr r="K204" s="1"/>
      </tp>
      <tp>
        <v>0</v>
        <stp/>
        <stp>nse_cm|1015SCL28-NR</stp>
        <stp>ATP</stp>
        <tr r="K288" s="1"/>
      </tp>
      <tp>
        <v>0</v>
        <stp/>
        <stp>nse_cm|850IIFL27-NA</stp>
        <stp>ATP</stp>
        <tr r="K608" s="1"/>
      </tp>
      <tp>
        <v>25</v>
        <stp/>
        <stp>bse_cm|CCILZC29</stp>
        <stp>Bid Qty</stp>
        <tr r="D747" s="1"/>
      </tp>
      <tp>
        <v>25</v>
        <stp/>
        <stp>bse_cm|CCILZC26</stp>
        <stp>Bid Qty</stp>
        <tr r="D748" s="1"/>
      </tp>
      <tp>
        <v>20</v>
        <stp/>
        <stp>bse_cm|CCILZC24</stp>
        <stp>Bid Qty</stp>
        <tr r="D750" s="1"/>
      </tp>
      <tp>
        <v>16</v>
        <stp/>
        <stp>bse_cm|CCILZC25</stp>
        <stp>Bid Qty</stp>
        <tr r="D1376" s="1"/>
      </tp>
      <tp>
        <v>0</v>
        <stp/>
        <stp>nse_cm|940CAGL27-NB</stp>
        <stp>ATP</stp>
        <tr r="K1367" s="1"/>
      </tp>
      <tp>
        <v>830</v>
        <stp/>
        <stp>nse_cm|87SCL27-Z6</stp>
        <stp xml:space="preserve">Low </stp>
        <tr r="O950" s="1"/>
      </tp>
      <tp>
        <v>0</v>
        <stp/>
        <stp>nse_cm|1035UCL24-N6</stp>
        <stp>ATP</stp>
        <tr r="K591" s="1"/>
      </tp>
      <tp>
        <v>0</v>
        <stp/>
        <stp>nse_cm|1035UCL26-NA</stp>
        <stp>ATP</stp>
        <tr r="K1627" s="1"/>
      </tp>
      <tp>
        <v>0</v>
        <stp/>
        <stp>bse_cm|10SCL31A</stp>
        <stp>Ask Qty</stp>
        <tr r="G865" s="1"/>
      </tp>
      <tp>
        <v>0</v>
        <stp/>
        <stp>nse_cm|1025UCL25-N8</stp>
        <stp>ATP</stp>
        <tr r="K217" s="1"/>
      </tp>
      <tp>
        <v>52</v>
        <stp/>
        <stp>bse_cm|10SCL30A</stp>
        <stp>Ask Qty</stp>
        <tr r="G444" s="1"/>
      </tp>
      <tp>
        <v>0</v>
        <stp/>
        <stp>nse_cm|971SCL28C-BU</stp>
        <stp>Volume Traded Today</stp>
        <tr r="L826" s="1"/>
      </tp>
      <tp>
        <v>0</v>
        <stp/>
        <stp>nse_cm|971SCL28I-BC</stp>
        <stp>Volume Traded Today</stp>
        <tr r="L531" s="1"/>
      </tp>
      <tp>
        <v>0</v>
        <stp/>
        <stp>nse_cm|1030ICC26-NJ</stp>
        <stp>ATP</stp>
        <tr r="K1514" s="1"/>
      </tp>
      <tp>
        <v>0</v>
        <stp/>
        <stp>nse_cm|1003SCL30-BW</stp>
        <stp>ATP</stp>
        <tr r="K876" s="1"/>
      </tp>
      <tp>
        <v>1170</v>
        <stp/>
        <stp>nse_cm|750IRFC35-NK</stp>
        <stp>ATP</stp>
        <tr r="K485" s="1"/>
      </tp>
      <tp t="s">
        <v>BSE</v>
        <stp/>
        <stp>bse_cm|728IREDA26</stp>
        <stp>Exchange</stp>
        <tr r="C1203" s="1"/>
      </tp>
      <tp t="s">
        <v>BSE</v>
        <stp/>
        <stp>bse_cm|753IREDA26</stp>
        <stp>Exchange</stp>
        <tr r="C487" s="1"/>
      </tp>
      <tp>
        <v>1000</v>
        <stp/>
        <stp>nse_cm|970CAGL28-ND</stp>
        <stp>Face Value</stp>
        <tr r="Q306" s="1"/>
      </tp>
      <tp t="s">
        <v>BSE</v>
        <stp/>
        <stp>bse_cm|97SFL28</stp>
        <stp>Exchange</stp>
        <tr r="C23" s="1"/>
      </tp>
      <tp t="s">
        <v>BSE</v>
        <stp/>
        <stp>bse_cm|97SFL29</stp>
        <stp>Exchange</stp>
        <tr r="C21" s="1"/>
      </tp>
      <tp t="s">
        <v>09:51:42</v>
        <stp/>
        <stp>nse_cm|888ERFL28-N5</stp>
        <stp>LTT</stp>
        <tr r="I63" s="1"/>
      </tp>
      <tp>
        <v>905.2</v>
        <stp/>
        <stp>nse_cm|888ERFL28-N5</stp>
        <stp>LTP</stp>
        <tr r="H63" s="1"/>
      </tp>
      <tp>
        <v>20</v>
        <stp/>
        <stp>nse_cm|975NFL25-N0</stp>
        <stp>Ask Qty</stp>
        <tr r="G256" s="1"/>
      </tp>
      <tp>
        <v>173</v>
        <stp/>
        <stp>nse_cm|96IIFL28-N5</stp>
        <stp>Ask Qty</stp>
        <tr r="G106" s="1"/>
      </tp>
      <tp>
        <v>44.1</v>
        <stp/>
        <stp>nse_cm|89SCL24-ZO</stp>
        <stp xml:space="preserve">Low </stp>
        <tr r="O972" s="1"/>
      </tp>
      <tp>
        <v>983</v>
        <stp/>
        <stp>nse_cm|925SCL25C-AR</stp>
        <stp>LTP</stp>
        <tr r="H249" s="1"/>
      </tp>
      <tp t="s">
        <v/>
        <stp/>
        <stp>nse_cm|925SCL25C-AR</stp>
        <stp>LTT</stp>
        <tr r="I249" s="1"/>
      </tp>
      <tp t="s">
        <v>93SCFL25</v>
        <stp/>
        <stp>nse_cm|93SCFL25-Z1</stp>
        <stp>Symbol</stp>
        <tr r="A946" s="1"/>
      </tp>
      <tp>
        <v>1000</v>
        <stp/>
        <stp>bse_cm|7PFCL31</stp>
        <stp>Open</stp>
        <tr r="M425" s="1"/>
      </tp>
      <tp t="s">
        <v/>
        <stp/>
        <stp>nse_cm|925SCL28I-BA</stp>
        <stp>LTT</stp>
        <tr r="I821" s="1"/>
      </tp>
      <tp>
        <v>0</v>
        <stp/>
        <stp>nse_cm|925SCL28I-BA</stp>
        <stp>LTP</stp>
        <tr r="H821" s="1"/>
      </tp>
      <tp t="s">
        <v/>
        <stp/>
        <stp>nse_cm|925SCL25F-BD</stp>
        <stp>LTT</stp>
        <tr r="I718" s="1"/>
      </tp>
      <tp>
        <v>0</v>
        <stp/>
        <stp>nse_cm|925SCL25F-BD</stp>
        <stp>LTP</stp>
        <tr r="H718" s="1"/>
      </tp>
      <tp t="s">
        <v/>
        <stp/>
        <stp>nse_cm|925SCL28C-BS</stp>
        <stp>LTT</stp>
        <tr r="I823" s="1"/>
      </tp>
      <tp>
        <v>1025.1300000000001</v>
        <stp/>
        <stp>nse_cm|925SCL28C-BS</stp>
        <stp>LTP</stp>
        <tr r="H823" s="1"/>
      </tp>
      <tp>
        <v>0</v>
        <stp/>
        <stp>nse_cm|889SCFL27-YC</stp>
        <stp>Ask Rate</stp>
        <tr r="F595" s="1"/>
      </tp>
      <tp t="s">
        <v>965AEL27</v>
        <stp/>
        <stp>nse_cm|965AEL27-N4</stp>
        <stp>Symbol</stp>
        <tr r="A254" s="1"/>
      </tp>
      <tp t="s">
        <v>932AEL27</v>
        <stp/>
        <stp>nse_cm|932AEL27-N3</stp>
        <stp>Symbol</stp>
        <tr r="A471" s="1"/>
      </tp>
      <tp>
        <v>965.78</v>
        <stp/>
        <stp>nse_cm|920SCL23A-AO</stp>
        <stp>LTP</stp>
        <tr r="H1113" s="1"/>
      </tp>
      <tp t="s">
        <v/>
        <stp/>
        <stp>nse_cm|920SCL23A-AO</stp>
        <stp>LTT</stp>
        <tr r="I1113" s="1"/>
      </tp>
      <tp>
        <v>1000</v>
        <stp/>
        <stp>bse_cm|MFLTDVI25</stp>
        <stp>Face Value</stp>
        <tr r="Q1686" s="1"/>
      </tp>
      <tp>
        <v>1000</v>
        <stp/>
        <stp>bse_cm|MFOPTVI24</stp>
        <stp>Face Value</stp>
        <tr r="Q1547" s="1"/>
      </tp>
      <tp>
        <v>1026</v>
        <stp/>
        <stp>nse_cm|88SCL25-ZG</stp>
        <stp xml:space="preserve">Low </stp>
        <tr r="O960" s="1"/>
      </tp>
      <tp>
        <v>0</v>
        <stp/>
        <stp>bse_cm|683PFCL31</stp>
        <stp>ATP</stp>
        <tr r="K449" s="1"/>
      </tp>
      <tp>
        <v>0</v>
        <stp/>
        <stp>bse_cm|663PFCL31</stp>
        <stp>ATP</stp>
        <tr r="K1208" s="1"/>
      </tp>
      <tp>
        <v>0</v>
        <stp/>
        <stp>bse_cm|753PFCL33</stp>
        <stp>ATP</stp>
        <tr r="K426" s="1"/>
      </tp>
      <tp t="s">
        <v>10CAGL27</v>
        <stp/>
        <stp>nse_cm|10CAGL27-N5</stp>
        <stp>Symbol</stp>
        <tr r="A273" s="1"/>
      </tp>
      <tp>
        <v>100000</v>
        <stp/>
        <stp>bse_cm|RFLNIFT25</stp>
        <stp>Prev Close</stp>
        <tr r="P1242" s="1"/>
      </tp>
      <tp>
        <v>1005.2</v>
        <stp/>
        <stp>bse_cm|960EFSL26C</stp>
        <stp>Bid Rate</stp>
        <tr r="E137" s="1"/>
      </tp>
      <tp>
        <v>-100</v>
        <stp/>
        <stp>bse_cm|MMFSL26A</stp>
        <stp>% Change</stp>
        <tr r="J1722" s="1"/>
      </tp>
      <tp>
        <v>928.3</v>
        <stp/>
        <stp>bse_cm|955EFSL26A</stp>
        <stp>Bid Rate</stp>
        <tr r="E214" s="1"/>
      </tp>
      <tp>
        <v>0</v>
        <stp/>
        <stp>bse_cm|843SCFL27</stp>
        <stp>ATP</stp>
        <tr r="K1074" s="1"/>
      </tp>
      <tp>
        <v>1000.2</v>
        <stp/>
        <stp>bse_cm|955EFSL26B</stp>
        <stp>Bid Rate</stp>
        <tr r="E666" s="1"/>
      </tp>
      <tp>
        <v>0</v>
        <stp/>
        <stp>nse_cm|980ICCL28-NL</stp>
        <stp>Volume Traded Today</stp>
        <tr r="L780" s="1"/>
      </tp>
      <tp t="s">
        <v>BSE</v>
        <stp/>
        <stp>bse_cm|1025SFL25A</stp>
        <stp>Exchange</stp>
        <tr r="C1070" s="1"/>
      </tp>
      <tp>
        <v>956</v>
        <stp/>
        <stp>bse_cm|920EFSL26B</stp>
        <stp>Bid Rate</stp>
        <tr r="E247" s="1"/>
      </tp>
      <tp>
        <v>931.7</v>
        <stp/>
        <stp>bse_cm|915EFSL26A</stp>
        <stp>Bid Rate</stp>
        <tr r="E187" s="1"/>
      </tp>
      <tp>
        <v>975</v>
        <stp/>
        <stp>nse_cm|925SCL25A-NH</stp>
        <stp>LTP</stp>
        <tr r="H715" s="1"/>
      </tp>
      <tp t="s">
        <v/>
        <stp/>
        <stp>nse_cm|925SCL25A-NH</stp>
        <stp>LTT</stp>
        <tr r="I715" s="1"/>
      </tp>
      <tp t="s">
        <v/>
        <stp/>
        <stp>nse_cm|925SCL25Z-NE</stp>
        <stp>LTT</stp>
        <tr r="I914" s="1"/>
      </tp>
      <tp>
        <v>0</v>
        <stp/>
        <stp>nse_cm|925SCL25Z-NE</stp>
        <stp>LTP</stp>
        <tr r="H914" s="1"/>
      </tp>
      <tp>
        <v>0</v>
        <stp/>
        <stp>nse_cm|925SCL25G-NY</stp>
        <stp>LTP</stp>
        <tr r="H887" s="1"/>
      </tp>
      <tp t="s">
        <v/>
        <stp/>
        <stp>nse_cm|925SCL28A-NS</stp>
        <stp>LTT</stp>
        <tr r="I895" s="1"/>
      </tp>
      <tp t="s">
        <v/>
        <stp/>
        <stp>nse_cm|925SCL25G-NY</stp>
        <stp>LTT</stp>
        <tr r="I887" s="1"/>
      </tp>
      <tp>
        <v>0</v>
        <stp/>
        <stp>nse_cm|925SCL28A-NS</stp>
        <stp>LTP</stp>
        <tr r="H895" s="1"/>
      </tp>
      <tp>
        <v>1655</v>
        <stp/>
        <stp>bse_cm|MHLZC26</stp>
        <stp>High</stp>
        <tr r="N1522" s="1"/>
      </tp>
      <tp>
        <v>6</v>
        <stp/>
        <stp>nse_cm|985ICCL28-NO</stp>
        <stp>Volume Traded Today</stp>
        <tr r="L1605" s="1"/>
      </tp>
      <tp t="s">
        <v>83TCHF25</v>
        <stp/>
        <stp>nse_cm|83TCHF25-N6</stp>
        <stp>Symbol</stp>
        <tr r="A472" s="1"/>
      </tp>
      <tp t="s">
        <v>82TCHF25</v>
        <stp/>
        <stp>nse_cm|82TCHF25-N5</stp>
        <stp>Symbol</stp>
        <tr r="A1014" s="1"/>
      </tp>
      <tp>
        <v>940</v>
        <stp/>
        <stp>bse_cm|920EFSL26A</stp>
        <stp>Bid Rate</stp>
        <tr r="E61" s="1"/>
      </tp>
      <tp>
        <v>25</v>
        <stp/>
        <stp>nse_cm|903SFL28-YI</stp>
        <stp>Ask Qty</stp>
        <tr r="G372" s="1"/>
      </tp>
      <tp>
        <v>0</v>
        <stp/>
        <stp>nse_cm|93SCFL25-Z1</stp>
        <stp>Ask Qty</stp>
        <tr r="G946" s="1"/>
      </tp>
      <tp>
        <v>0</v>
        <stp/>
        <stp>bse_cm|843IHFL29</stp>
        <stp>ATP</stp>
        <tr r="K139" s="1"/>
      </tp>
      <tp>
        <v>250</v>
        <stp/>
        <stp>nse_cm|931SFL26-Z5</stp>
        <stp>Ask Qty</stp>
        <tr r="G519" s="1"/>
      </tp>
      <tp>
        <v>1000</v>
        <stp/>
        <stp>bse_cm|0SMCGSL27</stp>
        <stp>Prev Close</stp>
        <tr r="P1532" s="1"/>
      </tp>
      <tp>
        <v>988.5</v>
        <stp/>
        <stp>bse_cm|0SMCGSL26</stp>
        <stp>Prev Close</stp>
        <tr r="P589" s="1"/>
      </tp>
      <tp>
        <v>15</v>
        <stp/>
        <stp>nse_cm|930SFL28-YP</stp>
        <stp>Ask Qty</stp>
        <tr r="G6" s="1"/>
      </tp>
      <tp>
        <v>0</v>
        <stp/>
        <stp>bse_cm|0NHFL29</stp>
        <stp xml:space="preserve">Low </stp>
        <tr r="O1035" s="1"/>
      </tp>
      <tp>
        <v>0</v>
        <stp/>
        <stp>nse_cm|85PCHFL26-N7</stp>
        <stp>ATP</stp>
        <tr r="K712" s="1"/>
      </tp>
      <tp>
        <v>0</v>
        <stp/>
        <stp>nse_cm|87SCL25-ZV</stp>
        <stp xml:space="preserve">Low </stp>
        <tr r="O979" s="1"/>
      </tp>
      <tp>
        <v>0</v>
        <stp/>
        <stp>bse_cm|953NWIL32</stp>
        <stp>ATP</stp>
        <tr r="K226" s="1"/>
      </tp>
      <tp>
        <v>1195</v>
        <stp/>
        <stp>nse_cm|IIFLZC28C-N6</stp>
        <stp>Prev Close</stp>
        <tr r="P1656" s="1"/>
      </tp>
      <tp>
        <v>1232</v>
        <stp/>
        <stp>nse_cm|IIFLZC25C-N8</stp>
        <stp>Prev Close</stp>
        <tr r="P1748" s="1"/>
      </tp>
      <tp>
        <v>0</v>
        <stp/>
        <stp>bse_cm|930NIDO32</stp>
        <stp>ATP</stp>
        <tr r="K76" s="1"/>
      </tp>
      <tp>
        <v>0</v>
        <stp/>
        <stp>bse_cm|970NIDO32</stp>
        <stp>ATP</stp>
        <tr r="K67" s="1"/>
      </tp>
      <tp>
        <v>980.35</v>
        <stp/>
        <stp>bse_cm|870NIDO25</stp>
        <stp>ATP</stp>
        <tr r="K86" s="1"/>
      </tp>
      <tp>
        <v>0</v>
        <stp/>
        <stp>bse_cm|920NIDO26</stp>
        <stp>ATP</stp>
        <tr r="K166" s="1"/>
      </tp>
      <tp>
        <v>0</v>
        <stp/>
        <stp>bse_cm|960NIDO26</stp>
        <stp>ATP</stp>
        <tr r="K870" s="1"/>
      </tp>
      <tp>
        <v>100</v>
        <stp/>
        <stp>nse_cm|956AEL29-N6</stp>
        <stp>Bid Qty</stp>
        <tr r="D298" s="1"/>
      </tp>
      <tp t="s">
        <v/>
        <stp/>
        <stp>nse_cm|925SCL26A-YN</stp>
        <stp>LTT</stp>
        <tr r="I838" s="1"/>
      </tp>
      <tp t="s">
        <v/>
        <stp/>
        <stp>nse_cm|925SCL28B-YC</stp>
        <stp>LTT</stp>
        <tr r="I825" s="1"/>
      </tp>
      <tp>
        <v>0</v>
        <stp/>
        <stp>nse_cm|925SCL26A-YN</stp>
        <stp>LTP</stp>
        <tr r="H838" s="1"/>
      </tp>
      <tp>
        <v>820.8</v>
        <stp/>
        <stp>nse_cm|925SCL28B-YC</stp>
        <stp>LTP</stp>
        <tr r="H825" s="1"/>
      </tp>
      <tp>
        <v>975</v>
        <stp/>
        <stp>nse_cm|925SCL26B-YQ</stp>
        <stp>LTP</stp>
        <tr r="H90" s="1"/>
      </tp>
      <tp t="s">
        <v/>
        <stp/>
        <stp>nse_cm|925SCL26B-YQ</stp>
        <stp>LTT</stp>
        <tr r="I90" s="1"/>
      </tp>
      <tp>
        <v>995</v>
        <stp/>
        <stp>nse_cm|1040UCL25-N4</stp>
        <stp>Bid Rate</stp>
        <tr r="E669" s="1"/>
      </tp>
      <tp>
        <v>-100</v>
        <stp/>
        <stp>bse_cm|9ICCL23A</stp>
        <stp>% Change</stp>
        <tr r="J1434" s="1"/>
      </tp>
      <tp>
        <v>905.4</v>
        <stp/>
        <stp>bse_cm|105MMFL25A</stp>
        <stp>Bid Rate</stp>
        <tr r="E1364" s="1"/>
      </tp>
      <tp>
        <v>0</v>
        <stp/>
        <stp>nse_cm|925SCL25H-Y0</stp>
        <stp>LTP</stp>
        <tr r="H791" s="1"/>
      </tp>
      <tp>
        <v>960</v>
        <stp/>
        <stp>nse_cm|925SCL25B-Y3</stp>
        <stp>LTP</stp>
        <tr r="H600" s="1"/>
      </tp>
      <tp t="s">
        <v/>
        <stp/>
        <stp>nse_cm|925SCL25H-Y0</stp>
        <stp>LTT</stp>
        <tr r="I791" s="1"/>
      </tp>
      <tp t="s">
        <v/>
        <stp/>
        <stp>nse_cm|925SCL25B-Y3</stp>
        <stp>LTT</stp>
        <tr r="I600" s="1"/>
      </tp>
      <tp>
        <v>950</v>
        <stp/>
        <stp>nse_cm|925SCL29A-ZM</stp>
        <stp>LTP</stp>
        <tr r="H1352" s="1"/>
      </tp>
      <tp t="s">
        <v/>
        <stp/>
        <stp>nse_cm|925SCL26D-ZD</stp>
        <stp>LTT</stp>
        <tr r="I1448" s="1"/>
      </tp>
      <tp>
        <v>0</v>
        <stp/>
        <stp>nse_cm|925SCL26C-ZA</stp>
        <stp>LTP</stp>
        <tr r="H724" s="1"/>
      </tp>
      <tp t="s">
        <v/>
        <stp/>
        <stp>nse_cm|925SCL29A-ZM</stp>
        <stp>LTT</stp>
        <tr r="I1352" s="1"/>
      </tp>
      <tp>
        <v>960</v>
        <stp/>
        <stp>nse_cm|925SCL26D-ZD</stp>
        <stp>LTP</stp>
        <tr r="H1448" s="1"/>
      </tp>
      <tp t="s">
        <v/>
        <stp/>
        <stp>nse_cm|925SCL26C-ZA</stp>
        <stp>LTT</stp>
        <tr r="I724" s="1"/>
      </tp>
      <tp>
        <v>960</v>
        <stp/>
        <stp>bse_cm|0NHFL26</stp>
        <stp xml:space="preserve">Low </stp>
        <tr r="O1037" s="1"/>
      </tp>
      <tp>
        <v>875.2</v>
        <stp/>
        <stp>bse_cm|105MMFL25B</stp>
        <stp>Bid Rate</stp>
        <tr r="E1390" s="1"/>
      </tp>
      <tp>
        <v>0</v>
        <stp/>
        <stp>bse_cm|0NHFL27</stp>
        <stp xml:space="preserve">Low </stp>
        <tr r="O1036" s="1"/>
      </tp>
      <tp>
        <v>957</v>
        <stp/>
        <stp>bse_cm|105MMFL25C</stp>
        <stp>Bid Rate</stp>
        <tr r="E480" s="1"/>
      </tp>
      <tp>
        <v>50</v>
        <stp/>
        <stp>nse_cm|965AEL27-N4</stp>
        <stp>Bid Qty</stp>
        <tr r="D254" s="1"/>
      </tp>
      <tp>
        <v>0</v>
        <stp/>
        <stp>bse_cm|953EFSL31</stp>
        <stp>ATP</stp>
        <tr r="K191" s="1"/>
      </tp>
      <tp>
        <v>1187</v>
        <stp/>
        <stp>nse_cm|SCLZC25-YN</stp>
        <stp>Bid Rate</stp>
        <tr r="E1727" s="1"/>
      </tp>
      <tp>
        <v>0</v>
        <stp/>
        <stp>nse_cm|89SCL24A-ZM</stp>
        <stp>% Change</stp>
        <tr r="J970" s="1"/>
      </tp>
      <tp>
        <v>20</v>
        <stp/>
        <stp>nse_cm|905PEL26-N1</stp>
        <stp>Bid Qty</stp>
        <tr r="D500" s="1"/>
      </tp>
      <tp>
        <v>100</v>
        <stp/>
        <stp>nse_cm|935PEL33-N3</stp>
        <stp>Bid Qty</stp>
        <tr r="D1375" s="1"/>
      </tp>
      <tp>
        <v>50</v>
        <stp/>
        <stp>nse_cm|932AEL27-N3</stp>
        <stp>Bid Qty</stp>
        <tr r="D471" s="1"/>
      </tp>
      <tp>
        <v>100</v>
        <stp/>
        <stp>nse_cm|925AEL26-N1</stp>
        <stp>Bid Qty</stp>
        <tr r="D330" s="1"/>
      </tp>
      <tp>
        <v>0</v>
        <stp/>
        <stp>nse_cm|920PEL28-N2</stp>
        <stp>Bid Qty</stp>
        <tr r="D373" s="1"/>
      </tp>
      <tp t="s">
        <v>84CIFCL28</v>
        <stp/>
        <stp>bse_cm|84CIFCL28</stp>
        <stp>Symbol</stp>
        <tr r="A387" s="1"/>
      </tp>
      <tp>
        <v>0</v>
        <stp/>
        <stp>bse_cm|1003SCL30</stp>
        <stp>Ask Rate</stp>
        <tr r="F877" s="1"/>
      </tp>
      <tp>
        <v>0</v>
        <stp/>
        <stp>bse_cm|1003SCL31</stp>
        <stp>Ask Rate</stp>
        <tr r="F727" s="1"/>
      </tp>
      <tp>
        <v>0</v>
        <stp/>
        <stp>bse_cm|SFL270224</stp>
        <stp>Ask Rate</stp>
        <tr r="F808" s="1"/>
      </tp>
      <tp>
        <v>0</v>
        <stp/>
        <stp>bse_cm|KFL070824B</stp>
        <stp>Ask Qty</stp>
        <tr r="G1312" s="1"/>
      </tp>
      <tp>
        <v>0</v>
        <stp/>
        <stp>bse_cm|KFL070824C</stp>
        <stp>Ask Qty</stp>
        <tr r="G1311" s="1"/>
      </tp>
      <tp>
        <v>0</v>
        <stp/>
        <stp>bse_cm|KFL070824A</stp>
        <stp>Ask Qty</stp>
        <tr r="G1313" s="1"/>
      </tp>
      <tp>
        <v>0</v>
        <stp/>
        <stp>bse_cm|KFL070824D</stp>
        <stp>Ask Qty</stp>
        <tr r="G1310" s="1"/>
      </tp>
      <tp>
        <v>861.7</v>
        <stp/>
        <stp>bse_cm|925KFL26A</stp>
        <stp xml:space="preserve">Low </stp>
        <tr r="O1479" s="1"/>
      </tp>
      <tp>
        <v>0</v>
        <stp/>
        <stp>bse_cm|MFOPTVI24</stp>
        <stp>Open</stp>
        <tr r="M1547" s="1"/>
      </tp>
      <tp>
        <v>0</v>
        <stp/>
        <stp>bse_cm|MFOPTIV24</stp>
        <stp>Open</stp>
        <tr r="M380" s="1"/>
      </tp>
      <tp t="s">
        <v>INE148I07QB3</v>
        <stp/>
        <stp>nse_cm|SCLZC26C-NB</stp>
        <stp>Isin code</stp>
        <tr r="R1537" s="1"/>
      </tp>
      <tp>
        <v>970</v>
        <stp/>
        <stp>bse_cm|875KFL26A</stp>
        <stp xml:space="preserve">Low </stp>
        <tr r="O1155" s="1"/>
      </tp>
      <tp>
        <v>100</v>
        <stp/>
        <stp>bse_cm|1010EFS29A</stp>
        <stp>Ask Qty</stp>
        <tr r="G1593" s="1"/>
      </tp>
      <tp>
        <v>20</v>
        <stp/>
        <stp>bse_cm|SCL310524A</stp>
        <stp>Bid Qty</stp>
        <tr r="D918" s="1"/>
      </tp>
      <tp>
        <v>92</v>
        <stp/>
        <stp>bse_cm|1010EFS28A</stp>
        <stp>Ask Qty</stp>
        <tr r="G78" s="1"/>
      </tp>
      <tp t="s">
        <v>11ICLFL25</v>
        <stp/>
        <stp>bse_cm|11ICLFL25</stp>
        <stp>Symbol</stp>
        <tr r="A452" s="1"/>
      </tp>
      <tp>
        <v>1000</v>
        <stp/>
        <stp>nse_cm|905SC24B-Z9</stp>
        <stp>Face Value</stp>
        <tr r="Q637" s="1"/>
      </tp>
      <tp>
        <v>200</v>
        <stp/>
        <stp>bse_cm|975MVAFL25</stp>
        <stp>Bid Qty</stp>
        <tr r="D458" s="1"/>
      </tp>
      <tp t="s">
        <v>INE148I07ML1</v>
        <stp/>
        <stp>nse_cm|905SC24B-Z9</stp>
        <stp>Isin code</stp>
        <tr r="R637" s="1"/>
      </tp>
      <tp>
        <v>13</v>
        <stp/>
        <stp>bse_cm|10SMCGSL26</stp>
        <stp>Bid Qty</stp>
        <tr r="D138" s="1"/>
      </tp>
      <tp>
        <v>15</v>
        <stp/>
        <stp>bse_cm|IFL1942024</stp>
        <stp>Bid Qty</stp>
        <tr r="D1594" s="1"/>
      </tp>
      <tp>
        <v>13</v>
        <stp/>
        <stp>bse_cm|897MOFSL29</stp>
        <stp>Bid Qty</stp>
        <tr r="D332" s="1"/>
      </tp>
      <tp>
        <v>180</v>
        <stp/>
        <stp>bse_cm|885MOFSL26</stp>
        <stp>Bid Qty</stp>
        <tr r="D1643" s="1"/>
      </tp>
      <tp>
        <v>999</v>
        <stp/>
        <stp>bse_cm|927MFL26A</stp>
        <stp>High</stp>
        <tr r="N617" s="1"/>
      </tp>
      <tp>
        <v>50</v>
        <stp/>
        <stp>bse_cm|935MOFSL29</stp>
        <stp>Bid Qty</stp>
        <tr r="D1602" s="1"/>
      </tp>
      <tp>
        <v>950.22</v>
        <stp/>
        <stp>bse_cm|890MFL26A</stp>
        <stp>High</stp>
        <tr r="N698" s="1"/>
      </tp>
      <tp>
        <v>965</v>
        <stp/>
        <stp>bse_cm|865MFL26A</stp>
        <stp>High</stp>
        <tr r="N242" s="1"/>
      </tp>
      <tp>
        <v>954</v>
        <stp/>
        <stp>bse_cm|875MFL26A</stp>
        <stp>High</stp>
        <tr r="N286" s="1"/>
      </tp>
      <tp>
        <v>1</v>
        <stp/>
        <stp>bse_cm|800MMFSL27</stp>
        <stp>Bid Qty</stp>
        <tr r="D436" s="1"/>
      </tp>
      <tp>
        <v>1</v>
        <stp/>
        <stp>bse_cm|872MMFSL26</stp>
        <stp>Bid Qty</stp>
        <tr r="D406" s="1"/>
      </tp>
      <tp>
        <v>20</v>
        <stp/>
        <stp>bse_cm|853MMFSL26</stp>
        <stp>Bid Qty</stp>
        <tr r="D1005" s="1"/>
      </tp>
      <tp>
        <v>5</v>
        <stp/>
        <stp>bse_cm|805MMFSL32</stp>
        <stp>Bid Qty</stp>
        <tr r="D401" s="1"/>
      </tp>
      <tp>
        <v>3</v>
        <stp/>
        <stp>bse_cm|935MMFSL29</stp>
        <stp>Bid Qty</stp>
        <tr r="D1174" s="1"/>
      </tp>
      <tp>
        <v>20</v>
        <stp/>
        <stp>bse_cm|795MMFSL32</stp>
        <stp>Bid Qty</stp>
        <tr r="D1184" s="1"/>
      </tp>
      <tp>
        <v>20</v>
        <stp/>
        <stp>bse_cm|790MMFSL27</stp>
        <stp>Bid Qty</stp>
        <tr r="D1189" s="1"/>
      </tp>
      <tp>
        <v>960</v>
        <stp/>
        <stp>bse_cm|EFS290424</stp>
        <stp>Ask Rate</stp>
        <tr r="F570" s="1"/>
      </tp>
      <tp>
        <v>1180</v>
        <stp/>
        <stp>bse_cm|1102NFL26</stp>
        <stp>Ask Rate</stp>
        <tr r="F567" s="1"/>
      </tp>
      <tp>
        <v>18</v>
        <stp/>
        <stp>bse_cm|IML1622024</stp>
        <stp>Bid Qty</stp>
        <tr r="D1328" s="1"/>
      </tp>
      <tp>
        <v>0</v>
        <stp/>
        <stp>bse_cm|SFL2722024</stp>
        <stp>Ask Qty</stp>
        <tr r="G806" s="1"/>
      </tp>
      <tp t="s">
        <v>INE05F407CH1</v>
        <stp/>
        <stp>bse_cm|1080MML29</stp>
        <stp>Isin code</stp>
        <tr r="R72" s="1"/>
      </tp>
      <tp>
        <v>999.9</v>
        <stp/>
        <stp>bse_cm|948JFPL25</stp>
        <stp>High</stp>
        <tr r="N490" s="1"/>
      </tp>
      <tp t="s">
        <v>INE05F407CO7</v>
        <stp/>
        <stp>bse_cm|1150MML29</stp>
        <stp>Isin code</stp>
        <tr r="R248" s="1"/>
      </tp>
      <tp t="s">
        <v>INE530L07590</v>
        <stp/>
        <stp>bse_cm|895NHFL25</stp>
        <stp>Isin code</stp>
        <tr r="R54" s="1"/>
      </tp>
      <tp>
        <v>0</v>
        <stp/>
        <stp>bse_cm|925SFCL25</stp>
        <stp>Open</stp>
        <tr r="M1482" s="1"/>
      </tp>
      <tp t="e">
        <v>#N/A</v>
        <stp/>
        <stp>bse_cm|975SFL024</stp>
        <stp>Open</stp>
        <tr r="M31" s="1"/>
      </tp>
      <tp t="s">
        <v>975IML26</v>
        <stp/>
        <stp>bse_cm|975IML26</stp>
        <stp>Trading Symbol</stp>
        <tr r="B646" s="1"/>
      </tp>
      <tp t="s">
        <v>975MML25</v>
        <stp/>
        <stp>bse_cm|975MML25</stp>
        <stp>Trading Symbol</stp>
        <tr r="B852" s="1"/>
      </tp>
      <tp>
        <v>0</v>
        <stp/>
        <stp>bse_cm|875SCFL27</stp>
        <stp>Open</stp>
        <tr r="M1011" s="1"/>
      </tp>
      <tp>
        <v>0</v>
        <stp/>
        <stp>bse_cm|843SCFL27</stp>
        <stp>Open</stp>
        <tr r="M1074" s="1"/>
      </tp>
      <tp>
        <v>0</v>
        <stp/>
        <stp>bse_cm|889SCFL27</stp>
        <stp>Open</stp>
        <tr r="M484" s="1"/>
      </tp>
      <tp>
        <v>0</v>
        <stp/>
        <stp>bse_cm|990SCFL26</stp>
        <stp>Open</stp>
        <tr r="M1676" s="1"/>
      </tp>
      <tp t="s">
        <v>966ICCL25A-NI</v>
        <stp/>
        <stp>nse_cm|966ICCL25A-NI</stp>
        <stp>Trading Symbol</stp>
        <tr r="B1461" s="1"/>
      </tp>
      <tp t="s">
        <v>866ICCL23A-NY</v>
        <stp/>
        <stp>nse_cm|866ICCL23A-NY</stp>
        <stp>Trading Symbol</stp>
        <tr r="B759" s="1"/>
      </tp>
      <tp t="s">
        <v>965MML25</v>
        <stp/>
        <stp>bse_cm|965MML25</stp>
        <stp>Trading Symbol</stp>
        <tr r="B1107" s="1"/>
      </tp>
      <tp>
        <v>0</v>
        <stp/>
        <stp>bse_cm|925SCFL27</stp>
        <stp>Open</stp>
        <tr r="M772" s="1"/>
      </tp>
      <tp t="s">
        <v>965IHFL25D-N7</v>
        <stp/>
        <stp>nse_cm|965IHFL25D-N7</stp>
        <stp>Trading Symbol</stp>
        <tr r="B1469" s="1"/>
      </tp>
      <tp t="s">
        <v>950MML24</v>
        <stp/>
        <stp>bse_cm|950MML24</stp>
        <stp>Trading Symbol</stp>
        <tr r="B304" s="1"/>
      </tp>
      <tp>
        <v>0</v>
        <stp/>
        <stp>bse_cm|820SCFL25</stp>
        <stp>Open</stp>
        <tr r="M1059" s="1"/>
      </tp>
      <tp>
        <v>0</v>
        <stp/>
        <stp>bse_cm|866SCFL25</stp>
        <stp>Open</stp>
        <tr r="M342" s="1"/>
      </tp>
      <tp>
        <v>0</v>
        <stp/>
        <stp>bse_cm|850SCFL25</stp>
        <stp>Open</stp>
        <tr r="M1099" s="1"/>
      </tp>
      <tp>
        <v>0</v>
        <stp/>
        <stp>bse_cm|925SCFL25</stp>
        <stp>Open</stp>
        <tr r="M774" s="1"/>
      </tp>
      <tp>
        <v>0</v>
        <stp/>
        <stp>bse_cm|965SCFL25</stp>
        <stp>Open</stp>
        <tr r="M1106" s="1"/>
      </tp>
      <tp t="s">
        <v>INE134E07AI1</v>
        <stp/>
        <stp>bse_cm|565PFCL26</stp>
        <stp>Isin code</stp>
        <tr r="R1210" s="1"/>
      </tp>
      <tp t="s">
        <v>825MMFS27</v>
        <stp/>
        <stp>bse_cm|825MMFS27</stp>
        <stp>Symbol</stp>
        <tr r="A1381" s="1"/>
      </tp>
      <tp t="s">
        <v>INE530L07459</v>
        <stp/>
        <stp>bse_cm|905NIDO25</stp>
        <stp>Isin code</stp>
        <tr r="R60" s="1"/>
      </tp>
      <tp t="s">
        <v>AEL120924A-N5</v>
        <stp/>
        <stp>nse_cm|AEL120924A-N5</stp>
        <stp>Trading Symbol</stp>
        <tr r="B1555" s="1"/>
      </tp>
      <tp t="s">
        <v>INE00XE07143</v>
        <stp/>
        <stp>bse_cm|10MVAFL25</stp>
        <stp>Isin code</stp>
        <tr r="R1675" s="1"/>
      </tp>
      <tp t="s">
        <v>792TCH25</v>
        <stp/>
        <stp>bse_cm|792TCH25</stp>
        <stp>Trading Symbol</stp>
        <tr r="B1188" s="1"/>
      </tp>
      <tp t="s">
        <v>INE051307BB6</v>
        <stp/>
        <stp>bse_cm|1125CCI27</stp>
        <stp>Isin code</stp>
        <tr r="R1229" s="1"/>
      </tp>
      <tp>
        <v>990</v>
        <stp/>
        <stp>bse_cm|MFCL30424</stp>
        <stp xml:space="preserve">Low </stp>
        <tr r="O1606" s="1"/>
      </tp>
      <tp t="s">
        <v>1225IFL27</v>
        <stp/>
        <stp>bse_cm|1225IFL27</stp>
        <stp>Symbol</stp>
        <tr r="A1216" s="1"/>
      </tp>
      <tp t="s">
        <v>MML11924A</v>
        <stp/>
        <stp>bse_cm|MML11924A</stp>
        <stp>Symbol</stp>
        <tr r="A1256" s="1"/>
      </tp>
      <tp t="s">
        <v>MML11924B</v>
        <stp/>
        <stp>bse_cm|MML11924B</stp>
        <stp>Symbol</stp>
        <tr r="A1255" s="1"/>
      </tp>
      <tp t="s">
        <v>MML11924C</v>
        <stp/>
        <stp>bse_cm|MML11924C</stp>
        <stp>Symbol</stp>
        <tr r="A1623" s="1"/>
      </tp>
      <tp t="s">
        <v>921ISFL25</v>
        <stp/>
        <stp>bse_cm|921ISFL25</stp>
        <stp>Symbol</stp>
        <tr r="A350" s="1"/>
      </tp>
      <tp>
        <v>980</v>
        <stp/>
        <stp>bse_cm|MFCL16924</stp>
        <stp xml:space="preserve">Low </stp>
        <tr r="O579" s="1"/>
      </tp>
      <tp t="s">
        <v>820SCFL25</v>
        <stp/>
        <stp>bse_cm|820SCFL25</stp>
        <stp>Symbol</stp>
        <tr r="A1059" s="1"/>
      </tp>
      <tp t="s">
        <v>820IIFL27</v>
        <stp/>
        <stp>bse_cm|820IIFL27</stp>
        <stp>Symbol</stp>
        <tr r="A176" s="1"/>
      </tp>
      <tp t="s">
        <v>728IRFC30</v>
        <stp/>
        <stp>bse_cm|728IRFC30</stp>
        <stp>Symbol</stp>
        <tr r="A469" s="1"/>
      </tp>
      <tp t="s">
        <v>729IRFC26</v>
        <stp/>
        <stp>bse_cm|729IRFC26</stp>
        <stp>Symbol</stp>
        <tr r="A367" s="1"/>
      </tp>
      <tp t="s">
        <v>905NIDO25</v>
        <stp/>
        <stp>bse_cm|905NIDO25</stp>
        <stp>Symbol</stp>
        <tr r="A60" s="1"/>
      </tp>
      <tp>
        <v>989</v>
        <stp/>
        <stp>bse_cm|955MFCL30</stp>
        <stp xml:space="preserve">Low </stp>
        <tr r="O1130" s="1"/>
      </tp>
      <tp>
        <v>985</v>
        <stp/>
        <stp>bse_cm|965MFCL30</stp>
        <stp xml:space="preserve">Low </stp>
        <tr r="O225" s="1"/>
      </tp>
      <tp t="s">
        <v>BSE</v>
        <stp/>
        <stp>bse_cm|10MFL24AA</stp>
        <stp>Exchange</stp>
        <tr r="C475" s="1"/>
      </tp>
      <tp t="s">
        <v>925SCFL27</v>
        <stp/>
        <stp>bse_cm|925SCFL27</stp>
        <stp>Symbol</stp>
        <tr r="A772" s="1"/>
      </tp>
      <tp t="s">
        <v>925SCFL25</v>
        <stp/>
        <stp>bse_cm|925SCFL25</stp>
        <stp>Symbol</stp>
        <tr r="A774" s="1"/>
      </tp>
      <tp t="s">
        <v>125ICFL26</v>
        <stp/>
        <stp>bse_cm|125ICFL26</stp>
        <stp>Symbol</stp>
        <tr r="A1214" s="1"/>
      </tp>
      <tp t="s">
        <v>825IIFL25</v>
        <stp/>
        <stp>bse_cm|825IIFL25</stp>
        <stp>Symbol</stp>
        <tr r="A47" s="1"/>
      </tp>
      <tp t="s">
        <v>975MFCL29</v>
        <stp/>
        <stp>bse_cm|975MFCL29</stp>
        <stp>Symbol</stp>
        <tr r="A856" s="1"/>
      </tp>
      <tp t="s">
        <v>850NHAI29</v>
        <stp/>
        <stp>bse_cm|850NHAI29</stp>
        <stp>Symbol</stp>
        <tr r="A580" s="1"/>
      </tp>
      <tp t="s">
        <v>925ERFL28</v>
        <stp/>
        <stp>bse_cm|925ERFL28</stp>
        <stp>Symbol</stp>
        <tr r="A147" s="1"/>
      </tp>
      <tp t="s">
        <v>1250IFL29</v>
        <stp/>
        <stp>bse_cm|1250IFL29</stp>
        <stp>Symbol</stp>
        <tr r="A1215" s="1"/>
      </tp>
      <tp t="s">
        <v>CIF27-NM</v>
        <stp/>
        <stp>nse_cm|CIF27-NM</stp>
        <stp>Trading Symbol</stp>
        <tr r="B1665" s="1"/>
      </tp>
      <tp t="s">
        <v>725IRFC35</v>
        <stp/>
        <stp>bse_cm|725IRFC35</stp>
        <stp>Symbol</stp>
        <tr r="A560" s="1"/>
      </tp>
      <tp>
        <v>1369.5</v>
        <stp/>
        <stp>bse_cm|MMFLZC24D</stp>
        <stp>High</stp>
        <tr r="N1265" s="1"/>
      </tp>
      <tp>
        <v>920</v>
        <stp/>
        <stp>bse_cm|EFSL26724</stp>
        <stp xml:space="preserve">Low </stp>
        <tr r="O1336" s="1"/>
      </tp>
      <tp t="s">
        <v>678PFCL36</v>
        <stp/>
        <stp>bse_cm|678PFCL36</stp>
        <stp>Symbol</stp>
        <tr r="A1207" s="1"/>
      </tp>
      <tp>
        <v>970</v>
        <stp/>
        <stp>bse_cm|CCIL14824</stp>
        <stp xml:space="preserve">Low </stp>
        <tr r="O753" s="1"/>
      </tp>
      <tp>
        <v>1900</v>
        <stp/>
        <stp>bse_cm|805MMFS32</stp>
        <stp xml:space="preserve">Low </stp>
        <tr r="O1763" s="1"/>
      </tp>
      <tp>
        <v>0</v>
        <stp/>
        <stp>bse_cm|CIFCZC26A</stp>
        <stp>Volume Traded Today</stp>
        <tr r="L737" s="1"/>
      </tp>
      <tp>
        <v>0</v>
        <stp/>
        <stp>nse_cm|848NTPC28-N2</stp>
        <stp>Bid Rate</stp>
        <tr r="E1405" s="1"/>
      </tp>
      <tp>
        <v>1078.8699999999999</v>
        <stp/>
        <stp>bse_cm|729HUDCO26</stp>
        <stp>Ask Rate</stp>
        <tr r="F523" s="1"/>
      </tp>
      <tp>
        <v>1067.99</v>
        <stp/>
        <stp>bse_cm|727HUDCO26</stp>
        <stp>Ask Rate</stp>
        <tr r="F481" s="1"/>
      </tp>
      <tp>
        <v>0</v>
        <stp/>
        <stp>bse_cm|IIFLZC28C</stp>
        <stp>Volume Traded Today</stp>
        <tr r="L1404" s="1"/>
      </tp>
      <tp>
        <v>0</v>
        <stp/>
        <stp>bse_cm|IIFLZC28B</stp>
        <stp>Volume Traded Today</stp>
        <tr r="L1595" s="1"/>
      </tp>
      <tp>
        <v>0</v>
        <stp/>
        <stp>bse_cm|IIFLZC28A</stp>
        <stp>Volume Traded Today</stp>
        <tr r="L1628" s="1"/>
      </tp>
      <tp>
        <v>0</v>
        <stp/>
        <stp>bse_cm|MMFLZC28B</stp>
        <stp>Volume Traded Today</stp>
        <tr r="L1535" s="1"/>
      </tp>
      <tp>
        <v>0</v>
        <stp/>
        <stp>bse_cm|MMFLZC28A</stp>
        <stp>Volume Traded Today</stp>
        <tr r="L1348" s="1"/>
      </tp>
      <tp>
        <v>0</v>
        <stp/>
        <stp>nse_cm|940SCL26B-Y6</stp>
        <stp>Volume Traded Today</stp>
        <tr r="L795" s="1"/>
      </tp>
      <tp>
        <v>1183</v>
        <stp/>
        <stp>nse_cm|888IRFC29-NE</stp>
        <stp>Prev Close</stp>
        <tr r="P508" s="1"/>
      </tp>
      <tp>
        <v>0</v>
        <stp/>
        <stp>bse_cm|888ERFL28</stp>
        <stp>Volume Traded Today</stp>
        <tr r="L216" s="1"/>
      </tp>
      <tp>
        <v>1010.3</v>
        <stp/>
        <stp>bse_cm|CIFC26A</stp>
        <stp xml:space="preserve">Low </stp>
        <tr r="O740" s="1"/>
      </tp>
      <tp>
        <v>2107.8000000000002</v>
        <stp/>
        <stp>bse_cm|704HUDCO26</stp>
        <stp>Ask Rate</stp>
        <tr r="F1724" s="1"/>
      </tp>
      <tp>
        <v>1761.9</v>
        <stp/>
        <stp>bse_cm|702HUDCO26</stp>
        <stp>Ask Rate</stp>
        <tr r="F1718" s="1"/>
      </tp>
      <tp>
        <v>0</v>
        <stp/>
        <stp>bse_cm|CIFCZC25A</stp>
        <stp>Volume Traded Today</stp>
        <tr r="L1728" s="1"/>
      </tp>
      <tp>
        <v>0</v>
        <stp/>
        <stp>nse_cm|866SCFL25-Y8</stp>
        <stp>ATP</stp>
        <tr r="K158" s="1"/>
      </tp>
      <tp>
        <v>1000</v>
        <stp/>
        <stp>nse_cm|892NHPC33-N6</stp>
        <stp>Face Value</stp>
        <tr r="Q534" s="1"/>
      </tp>
      <tp>
        <v>877.2</v>
        <stp/>
        <stp>bse_cm|1050ICCL28</stp>
        <stp>Bid Rate</stp>
        <tr r="E1133" s="1"/>
      </tp>
      <tp>
        <v>812.5</v>
        <stp/>
        <stp>bse_cm|1003ICCL28</stp>
        <stp>Bid Rate</stp>
        <tr r="E655" s="1"/>
      </tp>
      <tp>
        <v>920.2</v>
        <stp/>
        <stp>bse_cm|1030ICCL28</stp>
        <stp>Bid Rate</stp>
        <tr r="E1521" s="1"/>
      </tp>
      <tp>
        <v>1000</v>
        <stp/>
        <stp>nse_cm|971SCL28A-NT</stp>
        <stp>Open</stp>
        <tr r="M680" s="1"/>
      </tp>
      <tp>
        <v>970</v>
        <stp/>
        <stp>nse_cm|957ISFL26-N2</stp>
        <stp>Bid Rate</stp>
        <tr r="E245" s="1"/>
      </tp>
      <tp>
        <v>1199.99</v>
        <stp/>
        <stp>bse_cm|DLSL25A</stp>
        <stp>High</stp>
        <tr r="N1734" s="1"/>
      </tp>
      <tp>
        <v>0</v>
        <stp/>
        <stp>bse_cm|965ARKA26</stp>
        <stp>Volume Traded Today</stp>
        <tr r="L869" s="1"/>
      </tp>
      <tp>
        <v>0</v>
        <stp/>
        <stp>bse_cm|965ARKA28</stp>
        <stp>Volume Traded Today</stp>
        <tr r="L1349" s="1"/>
      </tp>
      <tp t="s">
        <v>CIFCZC26</v>
        <stp/>
        <stp>nse_cm|CIFCZC26-NF</stp>
        <stp>Symbol</stp>
        <tr r="A1561" s="1"/>
      </tp>
      <tp>
        <v>-100</v>
        <stp/>
        <stp>bse_cm|MVAFZC25</stp>
        <stp>% Change</stp>
        <tr r="J1746" s="1"/>
      </tp>
      <tp>
        <v>959</v>
        <stp/>
        <stp>nse_cm|925ERFL28-N6</stp>
        <stp>Prev Close</stp>
        <tr r="P165" s="1"/>
      </tp>
      <tp t="s">
        <v/>
        <stp/>
        <stp>nse_cm|11DLSL25A-Y3</stp>
        <stp>LTT</stp>
        <tr r="I64" s="1"/>
      </tp>
      <tp>
        <v>1000</v>
        <stp/>
        <stp>nse_cm|11DLSL25A-Y3</stp>
        <stp>LTP</stp>
        <tr r="H64" s="1"/>
      </tp>
      <tp>
        <v>0</v>
        <stp/>
        <stp>bse_cm|10SFL27</stp>
        <stp>Ask Rate</stp>
        <tr r="F863" s="1"/>
      </tp>
      <tp>
        <v>0</v>
        <stp/>
        <stp>nse_cm|910TCAP28-NA</stp>
        <stp>ATP</stp>
        <tr r="K411" s="1"/>
      </tp>
      <tp>
        <v>0</v>
        <stp/>
        <stp>bse_cm|1050CCI25</stp>
        <stp>ATP</stp>
        <tr r="K173" s="1"/>
      </tp>
      <tp>
        <v>0</v>
        <stp/>
        <stp>nse_cm|948SCL27A-ZJ</stp>
        <stp>Volume Traded Today</stp>
        <tr r="L845" s="1"/>
      </tp>
      <tp>
        <v>864</v>
        <stp/>
        <stp>bse_cm|1225ICLF26</stp>
        <stp>Bid Rate</stp>
        <tr r="E1217" s="1"/>
      </tp>
      <tp>
        <v>840.2</v>
        <stp/>
        <stp>bse_cm|1175ICLF25</stp>
        <stp>Bid Rate</stp>
        <tr r="E1222" s="1"/>
      </tp>
      <tp>
        <v>0</v>
        <stp/>
        <stp>bse_cm|958NHFL27</stp>
        <stp>Volume Traded Today</stp>
        <tr r="L616" s="1"/>
      </tp>
      <tp>
        <v>0</v>
        <stp/>
        <stp>nse_cm|948SCL26B-Y8</stp>
        <stp>Volume Traded Today</stp>
        <tr r="L159" s="1"/>
      </tp>
      <tp>
        <v>0</v>
        <stp/>
        <stp>bse_cm|1003VCL25</stp>
        <stp>ATP</stp>
        <tr r="K151" s="1"/>
      </tp>
      <tp>
        <v>1035.5</v>
        <stp/>
        <stp>nse_cm|11DLSL25A-Y3</stp>
        <stp>Ask Rate</stp>
        <tr r="F64" s="1"/>
      </tp>
      <tp>
        <v>1200</v>
        <stp/>
        <stp>bse_cm|10SFL25</stp>
        <stp>Ask Rate</stp>
        <tr r="F1681" s="1"/>
      </tp>
      <tp>
        <v>0</v>
        <stp/>
        <stp>bse_cm|1003SCL31</stp>
        <stp>ATP</stp>
        <tr r="K727" s="1"/>
      </tp>
      <tp>
        <v>0</v>
        <stp/>
        <stp>bse_cm|1003SCL30</stp>
        <stp>ATP</stp>
        <tr r="K877" s="1"/>
      </tp>
      <tp>
        <v>0</v>
        <stp/>
        <stp>bse_cm|1102NFL26</stp>
        <stp>ATP</stp>
        <tr r="K567" s="1"/>
      </tp>
      <tp>
        <v>0</v>
        <stp/>
        <stp>bse_cm|12IML26A</stp>
        <stp>Ask Qty</stp>
        <tr r="G1212" s="1"/>
      </tp>
      <tp>
        <v>0</v>
        <stp/>
        <stp>bse_cm|1015SCFL29</stp>
        <stp>Ask Rate</stp>
        <tr r="F1355" s="1"/>
      </tp>
      <tp>
        <v>0</v>
        <stp/>
        <stp>bse_cm|1025ICCL26</stp>
        <stp>Bid Rate</stp>
        <tr r="E1175" s="1"/>
      </tp>
      <tp>
        <v>1269.9000000000001</v>
        <stp/>
        <stp>nse_cm|863IRFC29-NC</stp>
        <stp>Prev Close</stp>
        <tr r="P554" s="1"/>
      </tp>
      <tp>
        <v>1166</v>
        <stp/>
        <stp>nse_cm|865IRFC29-NA</stp>
        <stp>Prev Close</stp>
        <tr r="P491" s="1"/>
      </tp>
      <tp>
        <v>20</v>
        <stp/>
        <stp>bse_cm|10SCL31A</stp>
        <stp>Bid Qty</stp>
        <tr r="D865" s="1"/>
      </tp>
      <tp>
        <v>0</v>
        <stp/>
        <stp>bse_cm|IIFLZC25C</stp>
        <stp>Volume Traded Today</stp>
        <tr r="L1750" s="1"/>
      </tp>
      <tp>
        <v>0</v>
        <stp/>
        <stp>bse_cm|IIFLZC25B</stp>
        <stp>Volume Traded Today</stp>
        <tr r="L1685" s="1"/>
      </tp>
      <tp>
        <v>0</v>
        <stp/>
        <stp>bse_cm|IIFLZC25A</stp>
        <stp>Volume Traded Today</stp>
        <tr r="L1737" s="1"/>
      </tp>
      <tp>
        <v>0</v>
        <stp/>
        <stp>bse_cm|MMFLZC25D</stp>
        <stp>Volume Traded Today</stp>
        <tr r="L1262" s="1"/>
      </tp>
      <tp>
        <v>0</v>
        <stp/>
        <stp>bse_cm|MMFLZC25C</stp>
        <stp>Volume Traded Today</stp>
        <tr r="L1263" s="1"/>
      </tp>
      <tp>
        <v>0</v>
        <stp/>
        <stp>bse_cm|MMFLZC25B</stp>
        <stp>Volume Traded Today</stp>
        <tr r="L1581" s="1"/>
      </tp>
      <tp>
        <v>0</v>
        <stp/>
        <stp>bse_cm|MMFLZC25A</stp>
        <stp>Volume Traded Today</stp>
        <tr r="L1264" s="1"/>
      </tp>
      <tp>
        <v>825.2</v>
        <stp/>
        <stp>bse_cm|MFLV29E</stp>
        <stp xml:space="preserve">Low </stp>
        <tr r="O650" s="1"/>
      </tp>
      <tp t="s">
        <v>BSE</v>
        <stp/>
        <stp>bse_cm|94MFL27</stp>
        <stp>Exchange</stp>
        <tr r="C189" s="1"/>
      </tp>
      <tp>
        <v>1</v>
        <stp/>
        <stp>bse_cm|10SCL30A</stp>
        <stp>Bid Qty</stp>
        <tr r="D444" s="1"/>
      </tp>
      <tp>
        <v>0</v>
        <stp/>
        <stp>bse_cm|948JFPL25</stp>
        <stp>Volume Traded Today</stp>
        <tr r="L490" s="1"/>
      </tp>
      <tp>
        <v>0</v>
        <stp/>
        <stp>bse_cm|MMFLZC24D</stp>
        <stp>Volume Traded Today</stp>
        <tr r="L1265" s="1"/>
      </tp>
      <tp>
        <v>0</v>
        <stp/>
        <stp>bse_cm|CCILZC30</stp>
        <stp>Ask Qty</stp>
        <tr r="G746" s="1"/>
      </tp>
      <tp>
        <v>1158</v>
        <stp/>
        <stp>nse_cm|840IRFC29-N8</stp>
        <stp>Prev Close</stp>
        <tr r="P528" s="1"/>
      </tp>
      <tp>
        <v>931</v>
        <stp/>
        <stp>bse_cm|1003IIFL29</stp>
        <stp>Bid Rate</stp>
        <tr r="E1078" s="1"/>
      </tp>
      <tp>
        <v>846</v>
        <stp/>
        <stp>bse_cm|1050IIFL29</stp>
        <stp>Bid Rate</stp>
        <tr r="E763" s="1"/>
      </tp>
      <tp>
        <v>0</v>
        <stp/>
        <stp>bse_cm|CIFCZC28A</stp>
        <stp>Volume Traded Today</stp>
        <tr r="L1396" s="1"/>
      </tp>
      <tp>
        <v>0</v>
        <stp/>
        <stp>bse_cm|707IRFC25</stp>
        <stp>Volume Traded Today</stp>
        <tr r="L1653" s="1"/>
      </tp>
      <tp>
        <v>0</v>
        <stp/>
        <stp>bse_cm|MMFLZC27D</stp>
        <stp>Volume Traded Today</stp>
        <tr r="L1406" s="1"/>
      </tp>
      <tp>
        <v>0</v>
        <stp/>
        <stp>bse_cm|MMFLZC27C</stp>
        <stp>Volume Traded Today</stp>
        <tr r="L1463" s="1"/>
      </tp>
      <tp>
        <v>0</v>
        <stp/>
        <stp>bse_cm|MMFLZC27B</stp>
        <stp>Volume Traded Today</stp>
        <tr r="L1570" s="1"/>
      </tp>
      <tp>
        <v>1058.83</v>
        <stp/>
        <stp>bse_cm|1030IFSL26</stp>
        <stp>Bid Rate</stp>
        <tr r="E1654" s="1"/>
      </tp>
      <tp>
        <v>0</v>
        <stp/>
        <stp>bse_cm|MMFLZC27A</stp>
        <stp>Volume Traded Today</stp>
        <tr r="L1260" s="1"/>
      </tp>
      <tp>
        <v>0</v>
        <stp/>
        <stp>bse_cm|CCILZC25</stp>
        <stp>Ask Qty</stp>
        <tr r="G1376" s="1"/>
      </tp>
      <tp>
        <v>0</v>
        <stp/>
        <stp>bse_cm|CCILZC24</stp>
        <stp>Ask Qty</stp>
        <tr r="G750" s="1"/>
      </tp>
      <tp>
        <v>0</v>
        <stp/>
        <stp>bse_cm|CCILZC26</stp>
        <stp>Ask Qty</stp>
        <tr r="G748" s="1"/>
      </tp>
      <tp>
        <v>0</v>
        <stp/>
        <stp>bse_cm|CCILZC29</stp>
        <stp>Ask Qty</stp>
        <tr r="G747" s="1"/>
      </tp>
      <tp>
        <v>1000</v>
        <stp/>
        <stp>nse_cm|1003SCL31-ZQ</stp>
        <stp>Prev Close</stp>
        <tr r="P688" s="1"/>
      </tp>
      <tp>
        <v>1000</v>
        <stp/>
        <stp>nse_cm|1050SCL31-ZP</stp>
        <stp>Prev Close</stp>
        <tr r="P891" s="1"/>
      </tp>
      <tp t="s">
        <v>BSE</v>
        <stp/>
        <stp>bse_cm|84MFL25</stp>
        <stp>Exchange</stp>
        <tr r="C316" s="1"/>
      </tp>
      <tp>
        <v>1015</v>
        <stp/>
        <stp>bse_cm|10VCL25</stp>
        <stp>Ask Rate</stp>
        <tr r="F1646" s="1"/>
      </tp>
      <tp>
        <v>0</v>
        <stp/>
        <stp>bse_cm|KAFLZC26A</stp>
        <stp>Volume Traded Today</stp>
        <tr r="L1710" s="1"/>
      </tp>
      <tp>
        <v>0</v>
        <stp/>
        <stp>bse_cm|IIFLZC26B</stp>
        <stp>Volume Traded Today</stp>
        <tr r="L1179" s="1"/>
      </tp>
      <tp>
        <v>0</v>
        <stp/>
        <stp>bse_cm|IIFLZC26A</stp>
        <stp>Volume Traded Today</stp>
        <tr r="L1674" s="1"/>
      </tp>
      <tp>
        <v>920</v>
        <stp/>
        <stp>nse_cm|865IIFL28-NS</stp>
        <stp>ATP</stp>
        <tr r="K74" s="1"/>
      </tp>
      <tp>
        <v>0</v>
        <stp/>
        <stp>bse_cm|10KFL27</stp>
        <stp>Ask Rate</stp>
        <tr r="F675" s="1"/>
      </tp>
      <tp>
        <v>0</v>
        <stp/>
        <stp>nse_cm|735PFCL35-N1</stp>
        <stp>ATP</stp>
        <tr r="K26" s="1"/>
      </tp>
      <tp>
        <v>-100</v>
        <stp/>
        <stp>bse_cm|10ARKA28</stp>
        <stp>% Change</stp>
        <tr r="J1400" s="1"/>
      </tp>
      <tp>
        <v>21</v>
        <stp/>
        <stp>nse_cm|948SCL26I-AX</stp>
        <stp>Volume Traded Today</stp>
        <tr r="L1708" s="1"/>
      </tp>
      <tp>
        <v>0</v>
        <stp/>
        <stp>nse_cm|948SCL26D-AI</stp>
        <stp>Volume Traded Today</stp>
        <tr r="L1690" s="1"/>
      </tp>
      <tp>
        <v>0</v>
        <stp/>
        <stp>bse_cm|10KFL25</stp>
        <stp>Ask Rate</stp>
        <tr r="F1093" s="1"/>
      </tp>
      <tp t="s">
        <v>BSE</v>
        <stp/>
        <stp>bse_cm|94SCL27</stp>
        <stp>Exchange</stp>
        <tr r="C1152" s="1"/>
      </tp>
      <tp>
        <v>0</v>
        <stp/>
        <stp>bse_cm|KAFL28A</stp>
        <stp>High</stp>
        <tr r="N1319" s="1"/>
      </tp>
      <tp>
        <v>991</v>
        <stp/>
        <stp>bse_cm|8MFL24A</stp>
        <stp>High</stp>
        <tr r="N1549" s="1"/>
      </tp>
      <tp>
        <v>1102.0999999999999</v>
        <stp/>
        <stp>nse_cm|736PFCL28-N2</stp>
        <stp>ATP</stp>
        <tr r="K11" s="1"/>
      </tp>
      <tp>
        <v>1098</v>
        <stp/>
        <stp>bse_cm|10MFL25</stp>
        <stp>Ask Rate</stp>
        <tr r="F577" s="1"/>
      </tp>
      <tp>
        <v>1024</v>
        <stp/>
        <stp>nse_cm|970CAGL28-ND</stp>
        <stp>ATP</stp>
        <tr r="K306" s="1"/>
      </tp>
      <tp>
        <v>0</v>
        <stp/>
        <stp>nse_cm|940SCL26A-NK</stp>
        <stp>Volume Traded Today</stp>
        <tr r="L906" s="1"/>
      </tp>
      <tp>
        <v>0</v>
        <stp/>
        <stp>nse_cm|960ISFL25-N1</stp>
        <stp>ATP</stp>
        <tr r="K1695" s="1"/>
      </tp>
      <tp>
        <v>960</v>
        <stp/>
        <stp>bse_cm|1003ISFL28</stp>
        <stp>Bid Rate</stp>
        <tr r="E1456" s="1"/>
      </tp>
      <tp>
        <v>946</v>
        <stp/>
        <stp>bse_cm|1050ISFL28</stp>
        <stp>Bid Rate</stp>
        <tr r="E1497" s="1"/>
      </tp>
      <tp>
        <v>0</v>
        <stp/>
        <stp>nse_cm|830PFCL27-N5</stp>
        <stp>ATP</stp>
        <tr r="K400" s="1"/>
      </tp>
      <tp>
        <v>0</v>
        <stp/>
        <stp>bse_cm|658PFCL31</stp>
        <stp>Volume Traded Today</stp>
        <tr r="L1209" s="1"/>
      </tp>
      <tp>
        <v>0</v>
        <stp/>
        <stp>bse_cm|678PFCL36</stp>
        <stp>Volume Traded Today</stp>
        <tr r="L1207" s="1"/>
      </tp>
      <tp>
        <v>0</v>
        <stp/>
        <stp>bse_cm|10NFL25</stp>
        <stp>Ask Rate</stp>
        <tr r="F1568" s="1"/>
      </tp>
      <tp>
        <v>0</v>
        <stp/>
        <stp>nse_cm|863IRFC29-NC</stp>
        <stp>ATP</stp>
        <tr r="K554" s="1"/>
      </tp>
      <tp>
        <v>0</v>
        <stp/>
        <stp>nse_cm|940SCL26C-AU</stp>
        <stp>Volume Traded Today</stp>
        <tr r="L793" s="1"/>
      </tp>
      <tp>
        <v>1281.0999999999999</v>
        <stp/>
        <stp>nse_cm|867PFCL33-N7</stp>
        <stp>Bid Rate</stp>
        <tr r="E550" s="1"/>
      </tp>
      <tp>
        <v>100000</v>
        <stp/>
        <stp>nse_cm|816ABFL29-NC</stp>
        <stp>Face Value</stp>
        <tr r="Q732" s="1"/>
      </tp>
      <tp t="s">
        <v>BSE</v>
        <stp/>
        <stp>bse_cm|94SFL28</stp>
        <stp>Exchange</stp>
        <tr r="C24" s="1"/>
      </tp>
      <tp>
        <v>-100</v>
        <stp/>
        <stp>bse_cm|93ARKA25</stp>
        <stp>% Change</stp>
        <tr r="J1395" s="1"/>
      </tp>
      <tp>
        <v>0</v>
        <stp/>
        <stp>nse_cm|948SCL26A-NN</stp>
        <stp>Volume Traded Today</stp>
        <tr r="L526" s="1"/>
      </tp>
      <tp>
        <v>1092.6500000000001</v>
        <stp/>
        <stp>nse_cm|764IRFC31-NO</stp>
        <stp>ATP</stp>
        <tr r="K468" s="1"/>
      </tp>
      <tp>
        <v>0</v>
        <stp/>
        <stp>nse_cm|931SFL26A-NA</stp>
        <stp>Open</stp>
        <tr r="M786" s="1"/>
      </tp>
      <tp>
        <v>0</v>
        <stp/>
        <stp>nse_cm|980SCL33C-ND</stp>
        <stp>Open</stp>
        <tr r="M1385" s="1"/>
      </tp>
      <tp>
        <v>0</v>
        <stp/>
        <stp>nse_cm|965SCFL25-AB</stp>
        <stp>ATP</stp>
        <tr r="K664" s="1"/>
      </tp>
      <tp>
        <v>0</v>
        <stp/>
        <stp>nse_cm|865IRFC29-NA</stp>
        <stp>ATP</stp>
        <tr r="K491" s="1"/>
      </tp>
      <tp t="s">
        <v>IIFLHF29</v>
        <stp/>
        <stp>nse_cm|IIFLHF29-NE</stp>
        <stp>Symbol</stp>
        <tr r="A1630" s="1"/>
      </tp>
      <tp>
        <v>-100</v>
        <stp/>
        <stp>bse_cm|93ARKA26</stp>
        <stp>% Change</stp>
        <tr r="J981" s="1"/>
      </tp>
      <tp>
        <v>0</v>
        <stp/>
        <stp>bse_cm|10KFL28</stp>
        <stp>Ask Rate</stp>
        <tr r="F674" s="1"/>
      </tp>
      <tp>
        <v>1234</v>
        <stp/>
        <stp>nse_cm|965AEL27-N4</stp>
        <stp>Ask Qty</stp>
        <tr r="G254" s="1"/>
      </tp>
      <tp>
        <v>9</v>
        <stp/>
        <stp>nse_cm|956AEL29-N6</stp>
        <stp>Ask Qty</stp>
        <tr r="G298" s="1"/>
      </tp>
      <tp>
        <v>840.2</v>
        <stp/>
        <stp>nse_cm|957ICCL28-NW</stp>
        <stp>Bid Rate</stp>
        <tr r="E762" s="1"/>
      </tp>
      <tp t="s">
        <v>98ICCL26</v>
        <stp/>
        <stp>nse_cm|98ICCL26-NU</stp>
        <stp>Symbol</stp>
        <tr r="A1569" s="1"/>
      </tp>
      <tp>
        <v>100</v>
        <stp/>
        <stp>nse_cm|932AEL27-N3</stp>
        <stp>Ask Qty</stp>
        <tr r="G471" s="1"/>
      </tp>
      <tp>
        <v>0</v>
        <stp/>
        <stp>nse_cm|935PEL33-N3</stp>
        <stp>Ask Qty</stp>
        <tr r="G1375" s="1"/>
      </tp>
      <tp>
        <v>0</v>
        <stp/>
        <stp>nse_cm|77IGT28-NE</stp>
        <stp xml:space="preserve">Low </stp>
        <tr r="O1190" s="1"/>
      </tp>
      <tp>
        <v>1010</v>
        <stp/>
        <stp>nse_cm|76IGT26-ND</stp>
        <stp xml:space="preserve">Low </stp>
        <tr r="O527" s="1"/>
      </tp>
      <tp>
        <v>250</v>
        <stp/>
        <stp>nse_cm|920PEL28-N2</stp>
        <stp>Ask Qty</stp>
        <tr r="G373" s="1"/>
      </tp>
      <tp>
        <v>17</v>
        <stp/>
        <stp>nse_cm|925AEL26-N1</stp>
        <stp>Ask Qty</stp>
        <tr r="G330" s="1"/>
      </tp>
      <tp>
        <v>200</v>
        <stp/>
        <stp>nse_cm|905PEL26-N1</stp>
        <stp>Ask Qty</stp>
        <tr r="G500" s="1"/>
      </tp>
      <tp>
        <v>970</v>
        <stp/>
        <stp>nse_cm|79IGT28-NF</stp>
        <stp xml:space="preserve">Low </stp>
        <tr r="O692" s="1"/>
      </tp>
      <tp>
        <v>0</v>
        <stp/>
        <stp>bse_cm|750PFCL38</stp>
        <stp>ATP</stp>
        <tr r="K1196" s="1"/>
      </tp>
      <tp>
        <v>5</v>
        <stp/>
        <stp>nse_cm|930SFL28-YP</stp>
        <stp>Bid Qty</stp>
        <tr r="D6" s="1"/>
      </tp>
      <tp>
        <v>1003.95</v>
        <stp/>
        <stp>bse_cm|750PFCL26</stp>
        <stp>ATP</stp>
        <tr r="K448" s="1"/>
      </tp>
      <tp>
        <v>0</v>
        <stp/>
        <stp>nse_cm|980SCL33A-N3</stp>
        <stp>Open</stp>
        <tr r="M1055" s="1"/>
      </tp>
      <tp>
        <v>10</v>
        <stp/>
        <stp>nse_cm|903SFL28-YI</stp>
        <stp>Bid Qty</stp>
        <tr r="D372" s="1"/>
      </tp>
      <tp>
        <v>0</v>
        <stp/>
        <stp>nse_cm|93SCFL25-Z1</stp>
        <stp>Bid Qty</stp>
        <tr r="D946" s="1"/>
      </tp>
      <tp>
        <v>0</v>
        <stp/>
        <stp>bse_cm|990SCFL26</stp>
        <stp>ATP</stp>
        <tr r="K1676" s="1"/>
      </tp>
      <tp>
        <v>0</v>
        <stp/>
        <stp>bse_cm|820SCFL25</stp>
        <stp>ATP</stp>
        <tr r="K1059" s="1"/>
      </tp>
      <tp>
        <v>0</v>
        <stp/>
        <stp>bse_cm|850SCFL25</stp>
        <stp>ATP</stp>
        <tr r="K1099" s="1"/>
      </tp>
      <tp>
        <v>25</v>
        <stp/>
        <stp>nse_cm|931SFL26-Z5</stp>
        <stp>Bid Qty</stp>
        <tr r="D519" s="1"/>
      </tp>
      <tp>
        <v>991.44</v>
        <stp/>
        <stp>bse_cm|875EFSL24A</stp>
        <stp>Bid Rate</stp>
        <tr r="E229" s="1"/>
      </tp>
      <tp>
        <v>985</v>
        <stp/>
        <stp>bse_cm|948IFSL25B</stp>
        <stp>Bid Rate</stp>
        <tr r="E599" s="1"/>
      </tp>
      <tp>
        <v>1090</v>
        <stp/>
        <stp>bse_cm|905SC24</stp>
        <stp>Ask Rate</stp>
        <tr r="F573" s="1"/>
      </tp>
      <tp>
        <v>0</v>
        <stp/>
        <stp>nse_cm|85PCHFL26-N7</stp>
        <stp xml:space="preserve">Low </stp>
        <tr r="O712" s="1"/>
      </tp>
      <tp>
        <v>0</v>
        <stp/>
        <stp>bse_cm|960ISFL25</stp>
        <stp>ATP</stp>
        <tr r="K871" s="1"/>
      </tp>
      <tp t="s">
        <v>11:08:30</v>
        <stp/>
        <stp>bse_cm|732IRFC25</stp>
        <stp>LTT</stp>
        <tr r="I174" s="1"/>
      </tp>
      <tp>
        <v>1018.35</v>
        <stp/>
        <stp>bse_cm|732IRFC25</stp>
        <stp>LTP</stp>
        <tr r="H174" s="1"/>
      </tp>
      <tp>
        <v>0</v>
        <stp/>
        <stp>bse_cm|980IFSL25</stp>
        <stp>ATP</stp>
        <tr r="K474" s="1"/>
      </tp>
      <tp>
        <v>0</v>
        <stp/>
        <stp>bse_cm|820IIFL27</stp>
        <stp>ATP</stp>
        <tr r="K176" s="1"/>
      </tp>
      <tp>
        <v>0</v>
        <stp/>
        <stp>bse_cm|850IIFL27</stp>
        <stp>ATP</stp>
        <tr r="K1407" s="1"/>
      </tp>
      <tp>
        <v>0</v>
        <stp/>
        <stp>bse_cm|980ICCL28</stp>
        <stp>ATP</stp>
        <tr r="K783" s="1"/>
      </tp>
      <tp>
        <v>0</v>
        <stp/>
        <stp>bse_cm|940ICCL28</stp>
        <stp>ATP</stp>
        <tr r="K1126" s="1"/>
      </tp>
      <tp>
        <v>825.8</v>
        <stp/>
        <stp>bse_cm|9KSFL27</stp>
        <stp>High</stp>
        <tr r="N1418" s="1"/>
      </tp>
      <tp>
        <v>1165.0999999999999</v>
        <stp/>
        <stp>nse_cm|888IRFC29-NE</stp>
        <stp>Bid Rate</stp>
        <tr r="E508" s="1"/>
      </tp>
      <tp>
        <v>1034.5</v>
        <stp/>
        <stp>nse_cm|1075UCL25-N9</stp>
        <stp>Bid Rate</stp>
        <tr r="E498" s="1"/>
      </tp>
      <tp>
        <v>0</v>
        <stp/>
        <stp>bse_cm|950KFIL26</stp>
        <stp>ATP</stp>
        <tr r="K602" s="1"/>
      </tp>
      <tp t="s">
        <v>898LTF29</v>
        <stp/>
        <stp>nse_cm|898LTF29-N7</stp>
        <stp>Symbol</stp>
        <tr r="A385" s="1"/>
      </tp>
      <tp t="s">
        <v>884LTF29</v>
        <stp/>
        <stp>nse_cm|884LTF29-N6</stp>
        <stp>Symbol</stp>
        <tr r="A1009" s="1"/>
      </tp>
      <tp t="s">
        <v>813LTF29</v>
        <stp/>
        <stp>nse_cm|813LTF29-NP</stp>
        <stp>Symbol</stp>
        <tr r="A1000" s="1"/>
      </tp>
      <tp>
        <v>862.4</v>
        <stp/>
        <stp>bse_cm|1025MMF26A</stp>
        <stp>Bid Rate</stp>
        <tr r="E290" s="1"/>
      </tp>
      <tp t="s">
        <v>935LTF29</v>
        <stp/>
        <stp>nse_cm|935LTF29-N5</stp>
        <stp>Symbol</stp>
        <tr r="A395" s="1"/>
      </tp>
      <tp>
        <v>0</v>
        <stp/>
        <stp>bse_cm|MMFSL26</stp>
        <stp xml:space="preserve">Low </stp>
        <tr r="O1258" s="1"/>
      </tp>
      <tp>
        <v>962.1</v>
        <stp/>
        <stp>bse_cm|9MFCL26</stp>
        <stp xml:space="preserve">Low </stp>
        <tr r="O156" s="1"/>
      </tp>
      <tp>
        <v>960.2</v>
        <stp/>
        <stp>bse_cm|940MFCL26</stp>
        <stp>ATP</stp>
        <tr r="K200" s="1"/>
      </tp>
      <tp>
        <v>0</v>
        <stp/>
        <stp>bse_cm|890MFCL26</stp>
        <stp>ATP</stp>
        <tr r="K279" s="1"/>
      </tp>
      <tp>
        <v>0</v>
        <stp/>
        <stp>bse_cm|950MFCL27</stp>
        <stp>ATP</stp>
        <tr r="K1148" s="1"/>
      </tp>
      <tp>
        <v>0</v>
        <stp/>
        <stp>bse_cm|990MFCL29</stp>
        <stp>ATP</stp>
        <tr r="K1449" s="1"/>
      </tp>
      <tp>
        <v>0</v>
        <stp/>
        <stp>bse_cm|950MMFL25</stp>
        <stp>ATP</stp>
        <tr r="K1526" s="1"/>
      </tp>
      <tp>
        <v>0</v>
        <stp/>
        <stp>bse_cm|950MMFL26</stp>
        <stp>ATP</stp>
        <tr r="K291" s="1"/>
      </tp>
      <tp>
        <v>0</v>
        <stp/>
        <stp>bse_cm|CCIL14824</stp>
        <stp>LTP</stp>
        <tr r="H753" s="1"/>
      </tp>
      <tp t="s">
        <v>00:00:00</v>
        <stp/>
        <stp>bse_cm|CCIL14824</stp>
        <stp>LTT</stp>
        <tr r="I753" s="1"/>
      </tp>
      <tp>
        <v>0</v>
        <stp/>
        <stp>bse_cm|735NHAI31</stp>
        <stp>ATP</stp>
        <tr r="K565" s="1"/>
      </tp>
      <tp>
        <v>0</v>
        <stp/>
        <stp>bse_cm|SFL270224A</stp>
        <stp>Ask Rate</stp>
        <tr r="F807" s="1"/>
      </tp>
      <tp>
        <v>0</v>
        <stp/>
        <stp>bse_cm|875NHAI29</stp>
        <stp>ATP</stp>
        <tr r="K496" s="1"/>
      </tp>
      <tp>
        <v>0</v>
        <stp/>
        <stp>bse_cm|950NHFL26</stp>
        <stp>ATP</stp>
        <tr r="K582" s="1"/>
      </tp>
      <tp>
        <v>1</v>
        <stp/>
        <stp>bse_cm|KFL070824</stp>
        <stp>Volume Traded Today</stp>
        <tr r="L551" s="1"/>
      </tp>
      <tp>
        <v>0</v>
        <stp/>
        <stp>bse_cm|1080MML26</stp>
        <stp>Volume Traded Today</stp>
        <tr r="L1163" s="1"/>
      </tp>
      <tp>
        <v>10</v>
        <stp/>
        <stp>bse_cm|1080MML29</stp>
        <stp>Volume Traded Today</stp>
        <tr r="L72" s="1"/>
      </tp>
      <tp>
        <v>935</v>
        <stp/>
        <stp>nse_cm|96IIFL28A-NF</stp>
        <stp>Bid Rate</stp>
        <tr r="E81" s="1"/>
      </tp>
      <tp>
        <v>847.2</v>
        <stp/>
        <stp>bse_cm|MFCL30424A</stp>
        <stp>Bid Rate</stp>
        <tr r="E1283" s="1"/>
      </tp>
      <tp t="s">
        <v/>
        <stp/>
        <stp>nse_cm|915SCL27A-ZL</stp>
        <stp>LTT</stp>
        <tr r="I966" s="1"/>
      </tp>
      <tp>
        <v>993.62</v>
        <stp/>
        <stp>nse_cm|915SCL27A-ZL</stp>
        <stp>LTP</stp>
        <tr r="H966" s="1"/>
      </tp>
      <tp>
        <v>0</v>
        <stp/>
        <stp>bse_cm|910CAGL25</stp>
        <stp>ATP</stp>
        <tr r="K351" s="1"/>
      </tp>
      <tp>
        <v>0</v>
        <stp/>
        <stp>bse_cm|960CAGL25</stp>
        <stp>ATP</stp>
        <tr r="K347" s="1"/>
      </tp>
      <tp>
        <v>0</v>
        <stp/>
        <stp>bse_cm|950CCIL25</stp>
        <stp>ATP</stp>
        <tr r="K99" s="1"/>
      </tp>
      <tp>
        <v>0</v>
        <stp/>
        <stp>bse_cm|940CAGL27</stp>
        <stp>ATP</stp>
        <tr r="K261" s="1"/>
      </tp>
      <tp>
        <v>0</v>
        <stp/>
        <stp>bse_cm|970CAGL28</stp>
        <stp>ATP</stp>
        <tr r="K292" s="1"/>
      </tp>
      <tp>
        <v>1005</v>
        <stp/>
        <stp>bse_cm|MFCL30424B</stp>
        <stp>Bid Rate</stp>
        <tr r="E1282" s="1"/>
      </tp>
      <tp>
        <v>50</v>
        <stp/>
        <stp>nse_cm|975NFL25-N0</stp>
        <stp>Bid Qty</stp>
        <tr r="D256" s="1"/>
      </tp>
      <tp>
        <v>100</v>
        <stp/>
        <stp>nse_cm|96IIFL28-N5</stp>
        <stp>Bid Qty</stp>
        <tr r="D106" s="1"/>
      </tp>
      <tp>
        <v>975</v>
        <stp/>
        <stp>nse_cm|10IIFL28A-NE</stp>
        <stp>Bid Rate</stp>
        <tr r="E108" s="1"/>
      </tp>
      <tp>
        <v>976</v>
        <stp/>
        <stp>bse_cm|MFCL30424C</stp>
        <stp>Bid Rate</stp>
        <tr r="E1552" s="1"/>
      </tp>
      <tp>
        <v>0</v>
        <stp/>
        <stp>bse_cm|960EFSL26</stp>
        <stp>ATP</stp>
        <tr r="K690" s="1"/>
      </tp>
      <tp>
        <v>0</v>
        <stp/>
        <stp>bse_cm|950EFSL26</stp>
        <stp>ATP</stp>
        <tr r="K1493" s="1"/>
      </tp>
      <tp>
        <v>0</v>
        <stp/>
        <stp>bse_cm|920EFSL26</stp>
        <stp>ATP</stp>
        <tr r="K223" s="1"/>
      </tp>
      <tp>
        <v>0</v>
        <stp/>
        <stp>bse_cm|960EFSL27</stp>
        <stp>ATP</stp>
        <tr r="K70" s="1"/>
      </tp>
      <tp>
        <v>924.27</v>
        <stp/>
        <stp>bse_cm|920EFSL27</stp>
        <stp>ATP</stp>
        <tr r="K55" s="1"/>
      </tp>
      <tp>
        <v>0</v>
        <stp/>
        <stp>bse_cm|MFLVIII26H</stp>
        <stp>Open</stp>
        <tr r="M1575" s="1"/>
      </tp>
      <tp t="s">
        <v>00:00:00</v>
        <stp/>
        <stp>bse_cm|95CCIL24A</stp>
        <stp>LTT</stp>
        <tr r="I873" s="1"/>
      </tp>
      <tp>
        <v>-100</v>
        <stp/>
        <stp>bse_cm|10KFL28A</stp>
        <stp>% Change</stp>
        <tr r="J1423" s="1"/>
      </tp>
      <tp>
        <v>0</v>
        <stp/>
        <stp>bse_cm|95CCIL24A</stp>
        <stp>LTP</stp>
        <tr r="H873" s="1"/>
      </tp>
      <tp>
        <v>848.8</v>
        <stp/>
        <stp>bse_cm|MFCL30424D</stp>
        <stp>Bid Rate</stp>
        <tr r="E1281" s="1"/>
      </tp>
      <tp>
        <v>0</v>
        <stp/>
        <stp>bse_cm|970EFSL31</stp>
        <stp>ATP</stp>
        <tr r="K220" s="1"/>
      </tp>
      <tp>
        <v>896</v>
        <stp/>
        <stp>bse_cm|930EFSL31</stp>
        <stp>ATP</stp>
        <tr r="K65" s="1"/>
      </tp>
      <tp>
        <v>1010</v>
        <stp/>
        <stp>nse_cm|1075NFL25-N6</stp>
        <stp>Bid Rate</stp>
        <tr r="E1438" s="1"/>
      </tp>
      <tp t="s">
        <v>BSE</v>
        <stp/>
        <stp>bse_cm|1025MML25</stp>
        <stp>Exchange</stp>
        <tr r="C766" s="1"/>
      </tp>
      <tp t="s">
        <v>BSE</v>
        <stp/>
        <stp>bse_cm|1015MML25</stp>
        <stp>Exchange</stp>
        <tr r="C1103" s="1"/>
      </tp>
      <tp>
        <v>0</v>
        <stp/>
        <stp>bse_cm|1050SCL30</stp>
        <stp>Ask Rate</stp>
        <tr r="F867" s="1"/>
      </tp>
      <tp t="s">
        <v>BSE</v>
        <stp/>
        <stp>bse_cm|1065NFL27</stp>
        <stp>Exchange</stp>
        <tr r="C182" s="1"/>
      </tp>
      <tp t="s">
        <v>INE148I07RL0</v>
        <stp/>
        <stp>nse_cm|SCLZC26G-YA</stp>
        <stp>Isin code</stp>
        <tr r="R815" s="1"/>
      </tp>
      <tp>
        <v>0</v>
        <stp/>
        <stp>bse_cm|1050SCL31</stp>
        <stp>Ask Rate</stp>
        <tr r="F892" s="1"/>
      </tp>
      <tp t="s">
        <v>BSE</v>
        <stp/>
        <stp>bse_cm|1075MML27</stp>
        <stp>Exchange</stp>
        <tr r="C1510" s="1"/>
      </tp>
      <tp t="s">
        <v>BSE</v>
        <stp/>
        <stp>bse_cm|1125MML27</stp>
        <stp>Exchange</stp>
        <tr r="C592" s="1"/>
      </tp>
      <tp>
        <v>0</v>
        <stp/>
        <stp>bse_cm|795MMFSL32</stp>
        <stp>Ask Qty</stp>
        <tr r="G1184" s="1"/>
      </tp>
      <tp t="s">
        <v>BSE</v>
        <stp/>
        <stp>bse_cm|1025MML26</stp>
        <stp>Exchange</stp>
        <tr r="C765" s="1"/>
      </tp>
      <tp t="s">
        <v>BSE</v>
        <stp/>
        <stp>bse_cm|1075MML26</stp>
        <stp>Exchange</stp>
        <tr r="C1115" s="1"/>
      </tp>
      <tp t="s">
        <v>BSE</v>
        <stp/>
        <stp>bse_cm|1025NFL25</stp>
        <stp>Exchange</stp>
        <tr r="C624" s="1"/>
      </tp>
      <tp t="s">
        <v>BSE</v>
        <stp/>
        <stp>bse_cm|1075NFL25</stp>
        <stp>Exchange</stp>
        <tr r="C643" s="1"/>
      </tp>
      <tp>
        <v>0</v>
        <stp/>
        <stp>bse_cm|790MMFSL27</stp>
        <stp>Ask Qty</stp>
        <tr r="G1189" s="1"/>
      </tp>
      <tp t="s">
        <v>BSE</v>
        <stp/>
        <stp>bse_cm|1075KLM27</stp>
        <stp>Exchange</stp>
        <tr r="C1117" s="1"/>
      </tp>
      <tp t="s">
        <v>BSE</v>
        <stp/>
        <stp>bse_cm|1015ECL29</stp>
        <stp>Exchange</stp>
        <tr r="C210" s="1"/>
      </tp>
      <tp t="s">
        <v>BSE</v>
        <stp/>
        <stp>bse_cm|1025KFL27</stp>
        <stp>Exchange</stp>
        <tr r="C767" s="1"/>
      </tp>
      <tp t="s">
        <v>BSE</v>
        <stp/>
        <stp>bse_cm|1125KLM26</stp>
        <stp>Exchange</stp>
        <tr r="C1227" s="1"/>
      </tp>
      <tp t="e">
        <v>#N/A</v>
        <stp/>
        <stp>bse_cm|1075IML24</stp>
        <stp>Exchange</stp>
        <tr r="C33" s="1"/>
      </tp>
      <tp t="s">
        <v>888SCL25B</v>
        <stp/>
        <stp>bse_cm|888SCL25B</stp>
        <stp>Symbol</stp>
        <tr r="A909" s="1"/>
      </tp>
      <tp t="s">
        <v>888SCL25A</v>
        <stp/>
        <stp>bse_cm|888SCL25A</stp>
        <stp>Symbol</stp>
        <tr r="A911" s="1"/>
      </tp>
      <tp t="s">
        <v>888SCL25E</v>
        <stp/>
        <stp>bse_cm|888SCL25E</stp>
        <stp>Symbol</stp>
        <tr r="A1356" s="1"/>
      </tp>
      <tp t="s">
        <v>888SCL25D</v>
        <stp/>
        <stp>bse_cm|888SCL25D</stp>
        <stp>Symbol</stp>
        <tr r="A788" s="1"/>
      </tp>
      <tp t="s">
        <v>BSE</v>
        <stp/>
        <stp>bse_cm|1025KFL26</stp>
        <stp>Exchange</stp>
        <tr r="C768" s="1"/>
      </tp>
      <tp t="s">
        <v>888SCL26A</v>
        <stp/>
        <stp>bse_cm|888SCL26A</stp>
        <stp>Symbol</stp>
        <tr r="A840" s="1"/>
      </tp>
      <tp>
        <v>945</v>
        <stp/>
        <stp>bse_cm|875KFL25A</stp>
        <stp xml:space="preserve">Low </stp>
        <tr r="O1157" s="1"/>
      </tp>
      <tp t="s">
        <v>BSE</v>
        <stp/>
        <stp>bse_cm|1075IML27</stp>
        <stp>Exchange</stp>
        <tr r="C96" s="1"/>
      </tp>
      <tp t="s">
        <v>BSE</v>
        <stp/>
        <stp>bse_cm|1175KLM25</stp>
        <stp>Exchange</stp>
        <tr r="C1691" s="1"/>
      </tp>
      <tp t="s">
        <v>BSE</v>
        <stp/>
        <stp>bse_cm|1025KFL25</stp>
        <stp>Exchange</stp>
        <tr r="C638" s="1"/>
      </tp>
      <tp t="s">
        <v>BSE</v>
        <stp/>
        <stp>bse_cm|1225IFL27</stp>
        <stp>Exchange</stp>
        <tr r="C1216" s="1"/>
      </tp>
      <tp>
        <v>0</v>
        <stp/>
        <stp>bse_cm|IML1622024</stp>
        <stp>Ask Qty</stp>
        <tr r="G1328" s="1"/>
      </tp>
      <tp t="s">
        <v>BSE</v>
        <stp/>
        <stp>bse_cm|1175IFL26</stp>
        <stp>Exchange</stp>
        <tr r="C1221" s="1"/>
      </tp>
      <tp>
        <v>19</v>
        <stp/>
        <stp>bse_cm|SFL2722024</stp>
        <stp>Bid Qty</stp>
        <tr r="D806" s="1"/>
      </tp>
      <tp>
        <v>1</v>
        <stp/>
        <stp>bse_cm|IFL1942024</stp>
        <stp>Ask Qty</stp>
        <tr r="G1594" s="1"/>
      </tp>
      <tp t="s">
        <v>BSE</v>
        <stp/>
        <stp>bse_cm|1025KFL29</stp>
        <stp>Exchange</stp>
        <tr r="C196" s="1"/>
      </tp>
      <tp t="s">
        <v>12ICLFL26</v>
        <stp/>
        <stp>bse_cm|12ICLFL26</stp>
        <stp>Symbol</stp>
        <tr r="A547" s="1"/>
      </tp>
      <tp t="s">
        <v>BSE</v>
        <stp/>
        <stp>bse_cm|1025KFL28</stp>
        <stp>Exchange</stp>
        <tr r="C626" s="1"/>
      </tp>
      <tp>
        <v>238</v>
        <stp/>
        <stp>bse_cm|10SMCGSL26</stp>
        <stp>Ask Qty</stp>
        <tr r="G138" s="1"/>
      </tp>
      <tp t="s">
        <v>BSE</v>
        <stp/>
        <stp>bse_cm|1125CCI27</stp>
        <stp>Exchange</stp>
        <tr r="C1229" s="1"/>
      </tp>
      <tp t="s">
        <v>980SCL33B</v>
        <stp/>
        <stp>bse_cm|980SCL33B</stp>
        <stp>Symbol</stp>
        <tr r="A1054" s="1"/>
      </tp>
      <tp t="s">
        <v>980SCL33C</v>
        <stp/>
        <stp>bse_cm|980SCL33C</stp>
        <stp>Symbol</stp>
        <tr r="A1384" s="1"/>
      </tp>
      <tp t="s">
        <v>980SCL33A</v>
        <stp/>
        <stp>bse_cm|980SCL33A</stp>
        <stp>Symbol</stp>
        <tr r="A1056" s="1"/>
      </tp>
      <tp t="s">
        <v>980SCL33D</v>
        <stp/>
        <stp>bse_cm|980SCL33D</stp>
        <stp>Symbol</stp>
        <tr r="A1022" s="1"/>
      </tp>
      <tp>
        <v>0</v>
        <stp/>
        <stp>bse_cm|0MML27524</stp>
        <stp xml:space="preserve">Low </stp>
        <tr r="O1042" s="1"/>
      </tp>
      <tp>
        <v>0</v>
        <stp/>
        <stp>bse_cm|853MMFSL26</stp>
        <stp>Ask Qty</stp>
        <tr r="G1005" s="1"/>
      </tp>
      <tp>
        <v>10</v>
        <stp/>
        <stp>bse_cm|872MMFSL26</stp>
        <stp>Ask Qty</stp>
        <tr r="G406" s="1"/>
      </tp>
      <tp>
        <v>25</v>
        <stp/>
        <stp>bse_cm|800MMFSL27</stp>
        <stp>Ask Qty</stp>
        <tr r="G436" s="1"/>
      </tp>
      <tp t="s">
        <v>BSE</v>
        <stp/>
        <stp>bse_cm|1075CCI26</stp>
        <stp>Exchange</stp>
        <tr r="C1425" s="1"/>
      </tp>
      <tp>
        <v>0</v>
        <stp/>
        <stp>bse_cm|935MMFSL29</stp>
        <stp>Ask Qty</stp>
        <tr r="G1174" s="1"/>
      </tp>
      <tp>
        <v>10</v>
        <stp/>
        <stp>bse_cm|805MMFSL32</stp>
        <stp>Ask Qty</stp>
        <tr r="G401" s="1"/>
      </tp>
      <tp t="s">
        <v>BSE</v>
        <stp/>
        <stp>bse_cm|1075CCL25</stp>
        <stp>Exchange</stp>
        <tr r="C1119" s="1"/>
      </tp>
      <tp>
        <v>180</v>
        <stp/>
        <stp>bse_cm|885MOFSL26</stp>
        <stp>Ask Qty</stp>
        <tr r="G1643" s="1"/>
      </tp>
      <tp>
        <v>156</v>
        <stp/>
        <stp>bse_cm|897MOFSL29</stp>
        <stp>Ask Qty</stp>
        <tr r="G332" s="1"/>
      </tp>
      <tp>
        <v>1000</v>
        <stp/>
        <stp>bse_cm|935MOFSL29</stp>
        <stp>Ask Qty</stp>
        <tr r="G1602" s="1"/>
      </tp>
      <tp t="s">
        <v>BSE</v>
        <stp/>
        <stp>bse_cm|1015SCL29</stp>
        <stp>Exchange</stp>
        <tr r="C1177" s="1"/>
      </tp>
      <tp t="s">
        <v>BSE</v>
        <stp/>
        <stp>bse_cm|1025SFL29</stp>
        <stp>Exchange</stp>
        <tr r="C1446" s="1"/>
      </tp>
      <tp t="s">
        <v>BSE</v>
        <stp/>
        <stp>bse_cm|1015SCL28</stp>
        <stp>Exchange</stp>
        <tr r="C327" s="1"/>
      </tp>
      <tp t="s">
        <v>BSE</v>
        <stp/>
        <stp>bse_cm|1025SFL28</stp>
        <stp>Exchange</stp>
        <tr r="C100" s="1"/>
      </tp>
      <tp>
        <v>1020</v>
        <stp/>
        <stp>nse_cm|9ICCL23A-N0</stp>
        <stp>Prev Close</stp>
        <tr r="P657" s="1"/>
      </tp>
      <tp t="s">
        <v>89SCL24A</v>
        <stp/>
        <stp>bse_cm|89SCL24A</stp>
        <stp>Trading Symbol</stp>
        <tr r="B971" s="1"/>
      </tp>
      <tp>
        <v>0</v>
        <stp/>
        <stp>bse_cm|CCI110324</stp>
        <stp>Ask Rate</stp>
        <tr r="F755" s="1"/>
      </tp>
      <tp>
        <v>950</v>
        <stp/>
        <stp>nse_cm|93SCL24A-ZN</stp>
        <stp>Prev Close</stp>
        <tr r="P695" s="1"/>
      </tp>
      <tp>
        <v>0</v>
        <stp/>
        <stp>bse_cm|AEL120924</stp>
        <stp>Ask Rate</stp>
        <tr r="F1062" s="1"/>
      </tp>
      <tp>
        <v>979.8</v>
        <stp/>
        <stp>bse_cm|865MFL25A</stp>
        <stp>High</stp>
        <tr r="N153" s="1"/>
      </tp>
      <tp>
        <v>975</v>
        <stp/>
        <stp>bse_cm|825MFL25A</stp>
        <stp>High</stp>
        <tr r="N931" s="1"/>
      </tp>
      <tp>
        <v>0</v>
        <stp/>
        <stp>nse_cm|89SCL24A-ZM</stp>
        <stp>Prev Close</stp>
        <tr r="P970" s="1"/>
      </tp>
      <tp>
        <v>978.9</v>
        <stp/>
        <stp>nse_cm|87SCL27A-ZK</stp>
        <stp>Prev Close</stp>
        <tr r="P1416" s="1"/>
      </tp>
      <tp>
        <v>990</v>
        <stp/>
        <stp>nse_cm|87SCL24A-ZF</stp>
        <stp>Prev Close</stp>
        <tr r="P959" s="1"/>
      </tp>
      <tp>
        <v>298</v>
        <stp/>
        <stp>bse_cm|975MVAFL25</stp>
        <stp>Ask Qty</stp>
        <tr r="G458" s="1"/>
      </tp>
      <tp>
        <v>1040</v>
        <stp/>
        <stp>bse_cm|IFL190424</stp>
        <stp>Ask Rate</stp>
        <tr r="F1663" s="1"/>
      </tp>
      <tp t="s">
        <v>BSE</v>
        <stp/>
        <stp>bse_cm|1025UCL25</stp>
        <stp>Exchange</stp>
        <tr r="C326" s="1"/>
      </tp>
      <tp t="s">
        <v>BSE</v>
        <stp/>
        <stp>bse_cm|1075UCL25</stp>
        <stp>Exchange</stp>
        <tr r="C515" s="1"/>
      </tp>
      <tp t="s">
        <v>85PFL26A</v>
        <stp/>
        <stp>bse_cm|85PFL26A</stp>
        <stp>Trading Symbol</stp>
        <tr r="B711" s="1"/>
      </tp>
      <tp t="s">
        <v>BSE</v>
        <stp/>
        <stp>bse_cm|1035UCL24</stp>
        <stp>Exchange</stp>
        <tr r="C1580" s="1"/>
      </tp>
      <tp>
        <v>0</v>
        <stp/>
        <stp>bse_cm|IML160224</stp>
        <stp>Ask Rate</stp>
        <tr r="F1329" s="1"/>
      </tp>
      <tp>
        <v>54</v>
        <stp/>
        <stp>bse_cm|KFL070824D</stp>
        <stp>Bid Qty</stp>
        <tr r="D1310" s="1"/>
      </tp>
      <tp>
        <v>23</v>
        <stp/>
        <stp>bse_cm|KFL070824A</stp>
        <stp>Bid Qty</stp>
        <tr r="D1313" s="1"/>
      </tp>
      <tp>
        <v>27</v>
        <stp/>
        <stp>bse_cm|KFL070824C</stp>
        <stp>Bid Qty</stp>
        <tr r="D1311" s="1"/>
      </tp>
      <tp>
        <v>25</v>
        <stp/>
        <stp>bse_cm|KFL070824B</stp>
        <stp>Bid Qty</stp>
        <tr r="D1312" s="1"/>
      </tp>
      <tp t="s">
        <v>BSE</v>
        <stp/>
        <stp>bse_cm|1025UCL27</stp>
        <stp>Exchange</stp>
        <tr r="C1019" s="1"/>
      </tp>
      <tp t="s">
        <v>87SCL24A</v>
        <stp/>
        <stp>bse_cm|87SCL24A</stp>
        <stp>Trading Symbol</stp>
        <tr r="B1141" s="1"/>
      </tp>
      <tp t="s">
        <v>87SCL27A</v>
        <stp/>
        <stp>bse_cm|87SCL27A</stp>
        <stp>Trading Symbol</stp>
        <tr r="B644" s="1"/>
      </tp>
      <tp>
        <v>0</v>
        <stp/>
        <stp>bse_cm|MML110924</stp>
        <stp>Ask Rate</stp>
        <tr r="F1257" s="1"/>
      </tp>
      <tp t="s">
        <v>BSE</v>
        <stp/>
        <stp>bse_cm|1035UCL26</stp>
        <stp>Exchange</stp>
        <tr r="C1626" s="1"/>
      </tp>
      <tp>
        <v>10</v>
        <stp/>
        <stp>bse_cm|1010EFS29A</stp>
        <stp>Bid Qty</stp>
        <tr r="D1593" s="1"/>
      </tp>
      <tp>
        <v>898</v>
        <stp/>
        <stp>nse_cm|10SCL30A-BV</stp>
        <stp>Prev Close</stp>
        <tr r="P445" s="1"/>
      </tp>
      <tp>
        <v>1000</v>
        <stp/>
        <stp>nse_cm|10SCL31A-ZO</stp>
        <stp>Prev Close</stp>
        <tr r="P864" s="1"/>
      </tp>
      <tp>
        <v>0</v>
        <stp/>
        <stp>bse_cm|1071KFL25</stp>
        <stp>Ask Rate</stp>
        <tr r="F1122" s="1"/>
      </tp>
      <tp>
        <v>170</v>
        <stp/>
        <stp>bse_cm|1010EFS28A</stp>
        <stp>Bid Qty</stp>
        <tr r="D78" s="1"/>
      </tp>
      <tp>
        <v>0</v>
        <stp/>
        <stp>bse_cm|SCL310524A</stp>
        <stp>Ask Qty</stp>
        <tr r="G918" s="1"/>
      </tp>
      <tp t="s">
        <v>BSE</v>
        <stp/>
        <stp>bse_cm|1025SFL25</stp>
        <stp>Exchange</stp>
        <tr r="C1071" s="1"/>
      </tp>
      <tp>
        <v>0</v>
        <stp/>
        <stp>bse_cm|1041KFL26</stp>
        <stp>Ask Rate</stp>
        <tr r="F1031" s="1"/>
      </tp>
      <tp t="s">
        <v>10NIDO27</v>
        <stp/>
        <stp>bse_cm|10NIDO27</stp>
        <stp>Trading Symbol</stp>
        <tr r="B597" s="1"/>
      </tp>
      <tp t="s">
        <v>10NIDO26</v>
        <stp/>
        <stp>bse_cm|10NIDO26</stp>
        <stp>Trading Symbol</stp>
        <tr r="B62" s="1"/>
      </tp>
      <tp t="s">
        <v>INE05F407BB6</v>
        <stp/>
        <stp>bse_cm|1050MML28</stp>
        <stp>Isin code</stp>
        <tr r="R1159" s="1"/>
      </tp>
      <tp t="s">
        <v>10NIDO33</v>
        <stp/>
        <stp>bse_cm|10NIDO33</stp>
        <stp>Trading Symbol</stp>
        <tr r="B1447" s="1"/>
      </tp>
      <tp>
        <v>0</v>
        <stp/>
        <stp>nse_cm|CAGL27-NC</stp>
        <stp>Ask Rate</stp>
        <tr r="F733" s="1"/>
      </tp>
      <tp>
        <v>950</v>
        <stp/>
        <stp>bse_cm|925KFIL25</stp>
        <stp>High</stp>
        <tr r="N776" s="1"/>
      </tp>
      <tp>
        <v>0</v>
        <stp/>
        <stp>nse_cm|CAGL26-NA</stp>
        <stp>Ask Rate</stp>
        <tr r="F735" s="1"/>
      </tp>
      <tp>
        <v>960</v>
        <stp/>
        <stp>bse_cm|950KFIL26</stp>
        <stp>High</stp>
        <tr r="N602" s="1"/>
      </tp>
      <tp t="s">
        <v>9ICCL23A</v>
        <stp/>
        <stp>bse_cm|9ICCL23A</stp>
        <stp>Trading Symbol</stp>
        <tr r="B1434" s="1"/>
      </tp>
      <tp t="s">
        <v>9IIFL28A</v>
        <stp/>
        <stp>bse_cm|9IIFL28A</stp>
        <stp>Trading Symbol</stp>
        <tr r="B218" s="1"/>
      </tp>
      <tp>
        <v>970</v>
        <stp/>
        <stp>bse_cm|975KAFL26</stp>
        <stp>High</stp>
        <tr r="N859" s="1"/>
      </tp>
      <tp>
        <v>0</v>
        <stp/>
        <stp>bse_cm|985KAFL26</stp>
        <stp>High</stp>
        <tr r="N1102" s="1"/>
      </tp>
      <tp t="s">
        <v>975KLM25</v>
        <stp/>
        <stp>bse_cm|975KLM25</stp>
        <stp>Trading Symbol</stp>
        <tr r="B858" s="1"/>
      </tp>
      <tp t="s">
        <v>CAGL28</v>
        <stp/>
        <stp>nse_cm|CAGL28-NE</stp>
        <stp>Symbol</stp>
        <tr r="A756" s="1"/>
      </tp>
      <tp>
        <v>1004</v>
        <stp/>
        <stp>bse_cm|957JFPL30</stp>
        <stp>High</stp>
        <tr r="N760" s="1"/>
      </tp>
      <tp t="s">
        <v>INE530B07187</v>
        <stp/>
        <stp>nse_cm|IIFLZC26-NN</stp>
        <stp>Isin code</stp>
        <tr r="R1696" s="1"/>
      </tp>
      <tp>
        <v>0</v>
        <stp/>
        <stp>nse_cm|CAGL28-NE</stp>
        <stp>Ask Rate</stp>
        <tr r="F756" s="1"/>
      </tp>
      <tp t="s">
        <v>950KLM25</v>
        <stp/>
        <stp>bse_cm|950KLM25</stp>
        <stp>Trading Symbol</stp>
        <tr r="B1150" s="1"/>
      </tp>
      <tp>
        <v>0</v>
        <stp/>
        <stp>bse_cm|975KAFL25</stp>
        <stp>High</stp>
        <tr r="N860" s="1"/>
      </tp>
      <tp>
        <v>0</v>
        <stp/>
        <stp>bse_cm|935KAFL25</stp>
        <stp>High</stp>
        <tr r="N785" s="1"/>
      </tp>
      <tp t="s">
        <v>INE01CY077J0</v>
        <stp/>
        <stp>bse_cm|125ICFL26</stp>
        <stp>Isin code</stp>
        <tr r="R1214" s="1"/>
      </tp>
      <tp t="s">
        <v>INE477L07AL3</v>
        <stp/>
        <stp>bse_cm|825IIFL25</stp>
        <stp>Isin code</stp>
        <tr r="R47" s="1"/>
      </tp>
      <tp>
        <v>1084.5</v>
        <stp/>
        <stp>nse_cm|9PEL25-N0</stp>
        <stp>Ask Rate</stp>
        <tr r="F341" s="1"/>
      </tp>
      <tp>
        <v>965.25</v>
        <stp/>
        <stp>bse_cm|950KLMF26</stp>
        <stp>High</stp>
        <tr r="N278" s="1"/>
      </tp>
      <tp t="s">
        <v>INE01CY077U7</v>
        <stp/>
        <stp>bse_cm|IFL190424</stp>
        <stp>Isin code</stp>
        <tr r="R1663" s="1"/>
      </tp>
      <tp t="s">
        <v>68PFCL31</v>
        <stp/>
        <stp>bse_cm|68PFCL31</stp>
        <stp>Trading Symbol</stp>
        <tr r="B1205" s="1"/>
      </tp>
      <tp t="s">
        <v>INE530L07442</v>
        <stp/>
        <stp>bse_cm|870NIDO25</stp>
        <stp>Isin code</stp>
        <tr r="R86" s="1"/>
      </tp>
      <tp t="s">
        <v>INE051307AZ7</v>
        <stp/>
        <stp>bse_cm|1075CCI26</stp>
        <stp>Isin code</stp>
        <tr r="R1425" s="1"/>
      </tp>
      <tp>
        <v>0</v>
        <stp/>
        <stp>bse_cm|689RECL24</stp>
        <stp>Open</stp>
        <tr r="M1206" s="1"/>
      </tp>
      <tp t="s">
        <v>663PFCL31</v>
        <stp/>
        <stp>bse_cm|663PFCL31</stp>
        <stp>Symbol</stp>
        <tr r="A1208" s="1"/>
      </tp>
      <tp t="s">
        <v>DLSL25</v>
        <stp/>
        <stp>nse_cm|DLSL25-NW</stp>
        <stp>Symbol</stp>
        <tr r="A1745" s="1"/>
      </tp>
      <tp t="s">
        <v>BSE</v>
        <stp/>
        <stp>bse_cm|MML27524A</stp>
        <stp>Exchange</stp>
        <tr r="C1250" s="1"/>
      </tp>
      <tp>
        <v>1051.02</v>
        <stp/>
        <stp>bse_cm|CCILZC25A</stp>
        <stp>High</stp>
        <tr r="N749" s="1"/>
      </tp>
      <tp>
        <v>967</v>
        <stp/>
        <stp>bse_cm|890MFCL26</stp>
        <stp xml:space="preserve">Low </stp>
        <tr r="O279" s="1"/>
      </tp>
      <tp>
        <v>978</v>
        <stp/>
        <stp>bse_cm|915MFCL27</stp>
        <stp xml:space="preserve">Low </stp>
        <tr r="O1472" s="1"/>
      </tp>
      <tp>
        <v>979.9</v>
        <stp/>
        <stp>bse_cm|925MFCL27</stp>
        <stp xml:space="preserve">Low </stp>
        <tr r="O262" s="1"/>
      </tp>
      <tp>
        <v>960</v>
        <stp/>
        <stp>bse_cm|950MFCL27</stp>
        <stp xml:space="preserve">Low </stp>
        <tr r="O1148" s="1"/>
      </tp>
      <tp>
        <v>1007.93</v>
        <stp/>
        <stp>bse_cm|965MFCL27</stp>
        <stp xml:space="preserve">Low </stp>
        <tr r="O618" s="1"/>
      </tp>
      <tp>
        <v>1007</v>
        <stp/>
        <stp>bse_cm|88MMFSL26</stp>
        <stp xml:space="preserve">Low </stp>
        <tr r="O988" s="1"/>
      </tp>
      <tp>
        <v>1070.01</v>
        <stp/>
        <stp>bse_cm|93MMFSL27</stp>
        <stp xml:space="preserve">Low </stp>
        <tr r="O333" s="1"/>
      </tp>
      <tp>
        <v>1031.99</v>
        <stp/>
        <stp>bse_cm|92MMFSL27</stp>
        <stp xml:space="preserve">Low </stp>
        <tr r="O384" s="1"/>
      </tp>
      <tp>
        <v>1000</v>
        <stp/>
        <stp>bse_cm|925MFCL26</stp>
        <stp xml:space="preserve">Low </stp>
        <tr r="O1610" s="1"/>
      </tp>
      <tp>
        <v>995</v>
        <stp/>
        <stp>bse_cm|105MMFL25</stp>
        <stp xml:space="preserve">Low </stp>
        <tr r="O1171" s="1"/>
      </tp>
      <tp>
        <v>960.2</v>
        <stp/>
        <stp>bse_cm|940MFCL26</stp>
        <stp xml:space="preserve">Low </stp>
        <tr r="O200" s="1"/>
      </tp>
      <tp>
        <v>0</v>
        <stp/>
        <stp>bse_cm|10MMLTD24</stp>
        <stp xml:space="preserve">Low </stp>
        <tr r="O1615" s="1"/>
      </tp>
      <tp>
        <v>1299.3</v>
        <stp/>
        <stp>nse_cm|DLSL25-NW</stp>
        <stp>Ask Rate</stp>
        <tr r="F1745" s="1"/>
      </tp>
      <tp>
        <v>1026</v>
        <stp/>
        <stp>bse_cm|EFSLZC25A</stp>
        <stp>High</stp>
        <tr r="N1333" s="1"/>
      </tp>
      <tp t="s">
        <v>915NIDO27</v>
        <stp/>
        <stp>bse_cm|915NIDO27</stp>
        <stp>Symbol</stp>
        <tr r="A59" s="1"/>
      </tp>
      <tp t="s">
        <v>565PFCL26</v>
        <stp/>
        <stp>bse_cm|565PFCL26</stp>
        <stp>Symbol</stp>
        <tr r="A1210" s="1"/>
      </tp>
      <tp t="s">
        <v>935KAFL25</v>
        <stp/>
        <stp>bse_cm|935KAFL25</stp>
        <stp>Symbol</stp>
        <tr r="A785" s="1"/>
      </tp>
      <tp t="s">
        <v>965MFCL30</v>
        <stp/>
        <stp>bse_cm|965MFCL30</stp>
        <stp>Symbol</stp>
        <tr r="A225" s="1"/>
      </tp>
      <tp t="s">
        <v>965MFCL27</v>
        <stp/>
        <stp>bse_cm|965MFCL27</stp>
        <stp>Symbol</stp>
        <tr r="A618" s="1"/>
      </tp>
      <tp t="s">
        <v>935AHFL28</v>
        <stp/>
        <stp>bse_cm|935AHFL28</stp>
        <stp>Symbol</stp>
        <tr r="A456" s="1"/>
      </tp>
      <tp t="s">
        <v>925CAGL26</v>
        <stp/>
        <stp>bse_cm|925CAGL26</stp>
        <stp>Symbol</stp>
        <tr r="A294" s="1"/>
      </tp>
      <tp t="s">
        <v>INE020B07HS2</v>
        <stp/>
        <stp>nse_cm|871REC28-N9</stp>
        <stp>Isin code</stp>
        <tr r="R542" s="1"/>
      </tp>
      <tp>
        <v>1134.94</v>
        <stp/>
        <stp>bse_cm|IIFLZC25A</stp>
        <stp>High</stp>
        <tr r="N1737" s="1"/>
      </tp>
      <tp>
        <v>1005</v>
        <stp/>
        <stp>bse_cm|950MMFL26</stp>
        <stp xml:space="preserve">Low </stp>
        <tr r="O291" s="1"/>
      </tp>
      <tp>
        <v>1010</v>
        <stp/>
        <stp>bse_cm|975MMFL26</stp>
        <stp xml:space="preserve">Low </stp>
        <tr r="O215" s="1"/>
      </tp>
      <tp>
        <v>0</v>
        <stp/>
        <stp>bse_cm|825MMFS27</stp>
        <stp xml:space="preserve">Low </stp>
        <tr r="O1381" s="1"/>
      </tp>
      <tp t="s">
        <v>735IRFC31</v>
        <stp/>
        <stp>bse_cm|735IRFC31</stp>
        <stp>Symbol</stp>
        <tr r="A1427" s="1"/>
      </tp>
      <tp>
        <v>1425.18</v>
        <stp/>
        <stp>bse_cm|MMFLZC25D</stp>
        <stp>High</stp>
        <tr r="N1262" s="1"/>
      </tp>
      <tp>
        <v>1216.25</v>
        <stp/>
        <stp>bse_cm|IIFLZC25C</stp>
        <stp>High</stp>
        <tr r="N1750" s="1"/>
      </tp>
      <tp>
        <v>990</v>
        <stp/>
        <stp>bse_cm|975MMFL24</stp>
        <stp xml:space="preserve">Low </stp>
        <tr r="O853" s="1"/>
      </tp>
      <tp>
        <v>1890</v>
        <stp/>
        <stp>bse_cm|915MMFS24</stp>
        <stp xml:space="preserve">Low </stp>
        <tr r="O1752" s="1"/>
      </tp>
      <tp>
        <v>0</v>
        <stp/>
        <stp>nse_cm|ICCL25-NS</stp>
        <stp>Ask Rate</stp>
        <tr r="F1401" s="1"/>
      </tp>
      <tp t="s">
        <v>AEL120924</v>
        <stp/>
        <stp>bse_cm|AEL120924</stp>
        <stp>Symbol</stp>
        <tr r="A1062" s="1"/>
      </tp>
      <tp>
        <v>1075</v>
        <stp/>
        <stp>bse_cm|IIFLZC25B</stp>
        <stp>High</stp>
        <tr r="N1685" s="1"/>
      </tp>
      <tp>
        <v>1010</v>
        <stp/>
        <stp>bse_cm|950MMFL25</stp>
        <stp xml:space="preserve">Low </stp>
        <tr r="O1526" s="1"/>
      </tp>
      <tp t="s">
        <v>830CIFC26</v>
        <stp/>
        <stp>bse_cm|830CIFC26</stp>
        <stp>Symbol</stp>
        <tr r="A1013" s="1"/>
      </tp>
      <tp>
        <v>1250</v>
        <stp/>
        <stp>bse_cm|MMFLZC25A</stp>
        <stp>High</stp>
        <tr r="N1264" s="1"/>
      </tp>
      <tp>
        <v>970</v>
        <stp/>
        <stp>bse_cm|990MFCL29</stp>
        <stp xml:space="preserve">Low </stp>
        <tr r="O1449" s="1"/>
      </tp>
      <tp>
        <v>995</v>
        <stp/>
        <stp>bse_cm|935MFCL29</stp>
        <stp xml:space="preserve">Low </stp>
        <tr r="O239" s="1"/>
      </tp>
      <tp>
        <v>967.35</v>
        <stp/>
        <stp>bse_cm|945MFCL29</stp>
        <stp xml:space="preserve">Low </stp>
        <tr r="O682" s="1"/>
      </tp>
      <tp>
        <v>985</v>
        <stp/>
        <stp>bse_cm|975MFCL29</stp>
        <stp xml:space="preserve">Low </stp>
        <tr r="O856" s="1"/>
      </tp>
      <tp>
        <v>1082.0999999999999</v>
        <stp/>
        <stp>bse_cm|95MMFSL29</stp>
        <stp xml:space="preserve">Low </stp>
        <tr r="O353" s="1"/>
      </tp>
      <tp t="s">
        <v>732IRFC25</v>
        <stp/>
        <stp>bse_cm|732IRFC25</stp>
        <stp>Symbol</stp>
        <tr r="A174" s="1"/>
      </tp>
      <tp>
        <v>0</v>
        <stp/>
        <stp>bse_cm|MMFLZC25C</stp>
        <stp>High</stp>
        <tr r="N1263" s="1"/>
      </tp>
      <tp>
        <v>1290</v>
        <stp/>
        <stp>bse_cm|MMFLZC25B</stp>
        <stp>High</stp>
        <tr r="N1581" s="1"/>
      </tp>
      <tp>
        <v>0</v>
        <stp/>
        <stp>bse_cm|1119NFL27</stp>
        <stp>ATP</stp>
        <tr r="K1140" s="1"/>
      </tp>
      <tp>
        <v>924.2</v>
        <stp/>
        <stp>nse_cm|888ERFL28-N5</stp>
        <stp>Prev Close</stp>
        <tr r="P63" s="1"/>
      </tp>
      <tp>
        <v>0</v>
        <stp/>
        <stp>bse_cm|939EFSL26</stp>
        <stp>Volume Traded Today</stp>
        <tr r="L188" s="1"/>
      </tp>
      <tp>
        <v>1170</v>
        <stp/>
        <stp>bse_cm|769HUDCO31</stp>
        <stp>Ask Rate</stp>
        <tr r="F15" s="1"/>
      </tp>
      <tp>
        <v>1161.99</v>
        <stp/>
        <stp>bse_cm|764HUDCO31</stp>
        <stp>Ask Rate</stp>
        <tr r="F16" s="1"/>
      </tp>
      <tp>
        <v>0</v>
        <stp/>
        <stp>bse_cm|IIFLHFZC27</stp>
        <stp>Open</stp>
        <tr r="M1516" s="1"/>
      </tp>
      <tp>
        <v>0</v>
        <stp/>
        <stp>bse_cm|1003SCFL31</stp>
        <stp>Ask Rate</stp>
        <tr r="F1076" s="1"/>
      </tp>
      <tp>
        <v>0</v>
        <stp/>
        <stp>bse_cm|1050SCFL31</stp>
        <stp>Ask Rate</stp>
        <tr r="F1123" s="1"/>
      </tp>
      <tp>
        <v>5.21</v>
        <stp/>
        <stp>nse_cm|849NTPC25-N7</stp>
        <stp>Bid Rate</stp>
        <tr r="E302" s="1"/>
      </tp>
      <tp>
        <v>1541.62</v>
        <stp/>
        <stp>bse_cm|KAFLZC26A</stp>
        <stp>Prev Close</stp>
        <tr r="P1710" s="1"/>
      </tp>
      <tp>
        <v>0</v>
        <stp/>
        <stp>nse_cm|955SCL27A-ZJ</stp>
        <stp>Volume Traded Today</stp>
        <tr r="L1437" s="1"/>
      </tp>
      <tp>
        <v>1148.05</v>
        <stp/>
        <stp>nse_cm|879NHPC28-N5</stp>
        <stp>Bid Rate</stp>
        <tr r="E464" s="1"/>
      </tp>
      <tp>
        <v>0</v>
        <stp/>
        <stp>bse_cm|1025SCFL34</stp>
        <stp>Ask Rate</stp>
        <tr r="F1025" s="1"/>
      </tp>
      <tp>
        <v>0</v>
        <stp/>
        <stp>bse_cm|1075SCFL34</stp>
        <stp>Ask Rate</stp>
        <tr r="F1020" s="1"/>
      </tp>
      <tp>
        <v>1359.9</v>
        <stp/>
        <stp>bse_cm|739HUDCO31</stp>
        <stp>Ask Rate</stp>
        <tr r="F569" s="1"/>
      </tp>
      <tp>
        <v>0</v>
        <stp/>
        <stp>nse_cm|875SCFL27-Y9</stp>
        <stp>ATP</stp>
        <tr r="K927" s="1"/>
      </tp>
      <tp t="s">
        <v>BSE</v>
        <stp/>
        <stp>bse_cm|85IFL26</stp>
        <stp>Exchange</stp>
        <tr r="C1357" s="1"/>
      </tp>
      <tp>
        <v>1233.5</v>
        <stp/>
        <stp>bse_cm|91SFL27</stp>
        <stp>Ask Rate</stp>
        <tr r="F574" s="1"/>
      </tp>
      <tp>
        <v>0</v>
        <stp/>
        <stp>bse_cm|0MOFSL27</stp>
        <stp>Ask Qty</stp>
        <tr r="G1039" s="1"/>
      </tp>
      <tp>
        <v>27</v>
        <stp/>
        <stp>bse_cm|0MOFSL26</stp>
        <stp>Ask Qty</stp>
        <tr r="G1645" s="1"/>
      </tp>
      <tp>
        <v>1075.8</v>
        <stp/>
        <stp>bse_cm|10MFL24AA</stp>
        <stp>Prev Close</stp>
        <tr r="P475" s="1"/>
      </tp>
      <tp>
        <v>0</v>
        <stp/>
        <stp>bse_cm|1030ICC26</stp>
        <stp>LTP</stp>
        <tr r="H1538" s="1"/>
      </tp>
      <tp t="s">
        <v>BSE</v>
        <stp/>
        <stp>bse_cm|95KLM25</stp>
        <stp>Exchange</stp>
        <tr r="C73" s="1"/>
      </tp>
      <tp t="s">
        <v>00:00:00</v>
        <stp/>
        <stp>bse_cm|1030ICC26</stp>
        <stp>LTT</stp>
        <tr r="I1538" s="1"/>
      </tp>
      <tp t="s">
        <v>BSE</v>
        <stp/>
        <stp>bse_cm|85KFL25</stp>
        <stp>Exchange</stp>
        <tr r="C641" s="1"/>
      </tp>
      <tp t="s">
        <v>BSE</v>
        <stp/>
        <stp>bse_cm|95KFL26</stp>
        <stp>Exchange</stp>
        <tr r="C253" s="1"/>
      </tp>
      <tp>
        <v>-100</v>
        <stp/>
        <stp>bse_cm|78ABFL33</stp>
        <stp>% Change</stp>
        <tr r="J378" s="1"/>
      </tp>
      <tp>
        <v>-100</v>
        <stp/>
        <stp>bse_cm|81ABFL33</stp>
        <stp>% Change</stp>
        <tr r="J1603" s="1"/>
      </tp>
      <tp>
        <v>10</v>
        <stp/>
        <stp>bse_cm|9MMFSL26</stp>
        <stp>Ask Qty</stp>
        <tr r="G334" s="1"/>
      </tp>
      <tp>
        <v>998.01</v>
        <stp/>
        <stp>nse_cm|1065NFL27-NC</stp>
        <stp>Bid Rate</stp>
        <tr r="E170" s="1"/>
      </tp>
      <tp t="s">
        <v>BSE</v>
        <stp/>
        <stp>bse_cm|95KFL27</stp>
        <stp>Exchange</stp>
        <tr r="C607" s="1"/>
      </tp>
      <tp>
        <v>0</v>
        <stp/>
        <stp>nse_cm|850SCL25A-NW</stp>
        <stp>Open</stp>
        <tr r="M984" s="1"/>
      </tp>
      <tp>
        <v>0</v>
        <stp/>
        <stp>bse_cm|1015SCL29</stp>
        <stp>ATP</stp>
        <tr r="K1177" s="1"/>
      </tp>
      <tp>
        <v>0</v>
        <stp/>
        <stp>bse_cm|1015SCL28</stp>
        <stp>ATP</stp>
        <tr r="K327" s="1"/>
      </tp>
      <tp>
        <v>1170.3599999999999</v>
        <stp/>
        <stp>bse_cm|1015ECL29</stp>
        <stp>ATP</stp>
        <tr r="K210" s="1"/>
      </tp>
      <tp>
        <v>0</v>
        <stp/>
        <stp>bse_cm|1015MML25</stp>
        <stp>ATP</stp>
        <tr r="K1103" s="1"/>
      </tp>
      <tp>
        <v>0</v>
        <stp/>
        <stp>nse_cm|10NFL25-N9</stp>
        <stp>Open</stp>
        <tr r="M345" s="1"/>
      </tp>
      <tp>
        <v>0</v>
        <stp/>
        <stp>nse_cm|10SCL31A-ZO</stp>
        <stp>Ask Qty</stp>
        <tr r="G864" s="1"/>
      </tp>
      <tp t="s">
        <v>IIFLZC28</v>
        <stp/>
        <stp>nse_cm|IIFLZC28-NG</stp>
        <stp>Symbol</stp>
        <tr r="A1659" s="1"/>
      </tp>
      <tp t="s">
        <v>BSE</v>
        <stp/>
        <stp>bse_cm|85LTF26</stp>
        <stp>Exchange</stp>
        <tr r="C410" s="1"/>
      </tp>
      <tp>
        <v>0</v>
        <stp/>
        <stp>bse_cm|10SCL31</stp>
        <stp>Ask Rate</stp>
        <tr r="F1085" s="1"/>
      </tp>
      <tp>
        <v>1000</v>
        <stp/>
        <stp>nse_cm|1050SCL30-NU</stp>
        <stp>Prev Close</stp>
        <tr r="P893" s="1"/>
      </tp>
      <tp>
        <v>900</v>
        <stp/>
        <stp>nse_cm|1035UCL26-NA</stp>
        <stp>Prev Close</stp>
        <tr r="P1627" s="1"/>
      </tp>
      <tp>
        <v>0</v>
        <stp/>
        <stp>nse_cm|1003SCL30-BW</stp>
        <stp>Prev Close</stp>
        <tr r="P876" s="1"/>
      </tp>
      <tp t="s">
        <v>BSE</v>
        <stp/>
        <stp>bse_cm|95MFL25</stp>
        <stp>Exchange</stp>
        <tr r="C1420" s="1"/>
      </tp>
      <tp>
        <v>1069.9000000000001</v>
        <stp/>
        <stp>bse_cm|11UCL26</stp>
        <stp>Ask Rate</stp>
        <tr r="F323" s="1"/>
      </tp>
      <tp>
        <v>0</v>
        <stp/>
        <stp>nse_cm|875IHFL29-ND</stp>
        <stp>ATP</stp>
        <tr r="K77" s="1"/>
      </tp>
      <tp>
        <v>0</v>
        <stp/>
        <stp>nse_cm|875IIFL26-NM</stp>
        <stp>ATP</stp>
        <tr r="K640" s="1"/>
      </tp>
      <tp>
        <v>0</v>
        <stp/>
        <stp>bse_cm|11IFL25</stp>
        <stp>Ask Rate</stp>
        <tr r="F1421" s="1"/>
      </tp>
      <tp>
        <v>1</v>
        <stp/>
        <stp>bse_cm|10KFL24D</stp>
        <stp>Bid Qty</stp>
        <tr r="D1424" s="1"/>
      </tp>
      <tp>
        <v>0</v>
        <stp/>
        <stp>nse_cm|957NIDO26-N5</stp>
        <stp>ATP</stp>
        <tr r="K255" s="1"/>
      </tp>
      <tp>
        <v>975</v>
        <stp/>
        <stp>nse_cm|10IIFL28A-NE</stp>
        <stp>LTP</stp>
        <tr r="H108" s="1"/>
      </tp>
      <tp t="s">
        <v>11:14:40</v>
        <stp/>
        <stp>nse_cm|10IIFL28A-NE</stp>
        <stp>LTT</stp>
        <tr r="I108" s="1"/>
      </tp>
      <tp>
        <v>1000</v>
        <stp/>
        <stp>nse_cm|985IIFL22-NC</stp>
        <stp>Face Value</stp>
        <tr r="Q114" s="1"/>
      </tp>
      <tp>
        <v>18</v>
        <stp/>
        <stp>bse_cm|10KFL27A</stp>
        <stp>Bid Qty</stp>
        <tr r="D1092" s="1"/>
      </tp>
      <tp>
        <v>1012</v>
        <stp/>
        <stp>bse_cm|11IML27</stp>
        <stp>Ask Rate</stp>
        <tr r="F177" s="1"/>
      </tp>
      <tp>
        <v>990</v>
        <stp/>
        <stp>bse_cm|9MFL25A</stp>
        <stp>High</stp>
        <tr r="N702" s="1"/>
      </tp>
      <tp>
        <v>0</v>
        <stp/>
        <stp>bse_cm|93SCL24A</stp>
        <stp>Ask Qty</stp>
        <tr r="G1361" s="1"/>
      </tp>
      <tp>
        <v>1000</v>
        <stp/>
        <stp>bse_cm|JMFPTBIL25</stp>
        <stp xml:space="preserve">Low </stp>
        <tr r="O9" s="1"/>
      </tp>
      <tp>
        <v>0</v>
        <stp/>
        <stp>bse_cm|11IML26</stp>
        <stp>Ask Rate</stp>
        <tr r="F1132" s="1"/>
      </tp>
      <tp>
        <v>0</v>
        <stp/>
        <stp>nse_cm|990SCL26A-NL</stp>
        <stp>Open</stp>
        <tr r="M1049" s="1"/>
      </tp>
      <tp>
        <v>0</v>
        <stp/>
        <stp>bse_cm|889SCFL27</stp>
        <stp>Volume Traded Today</stp>
        <tr r="L484" s="1"/>
      </tp>
      <tp>
        <v>86</v>
        <stp/>
        <stp>nse_cm|10SCL30A-BV</stp>
        <stp>Ask Qty</stp>
        <tr r="G445" s="1"/>
      </tp>
      <tp>
        <v>0</v>
        <stp/>
        <stp>nse_cm|940SCL26A-NK</stp>
        <stp>Open</stp>
        <tr r="M906" s="1"/>
      </tp>
      <tp>
        <v>0</v>
        <stp/>
        <stp>nse_cm|850SCL25A-NW</stp>
        <stp>Volume Traded Today</stp>
        <tr r="L984" s="1"/>
      </tp>
      <tp>
        <v>0</v>
        <stp/>
        <stp>nse_cm|960CAGL25-N3</stp>
        <stp>ATP</stp>
        <tr r="K305" s="1"/>
      </tp>
      <tp>
        <v>0</v>
        <stp/>
        <stp>bse_cm|689RECL24</stp>
        <stp>Volume Traded Today</stp>
        <tr r="L1206" s="1"/>
      </tp>
      <tp>
        <v>960.4</v>
        <stp/>
        <stp>bse_cm|EFSL28A</stp>
        <stp xml:space="preserve">Low </stp>
        <tr r="O1335" s="1"/>
      </tp>
      <tp>
        <v>800</v>
        <stp/>
        <stp>nse_cm|980ICCL28-NL</stp>
        <stp>Face Value</stp>
        <tr r="Q780" s="1"/>
      </tp>
      <tp>
        <v>800</v>
        <stp/>
        <stp>nse_cm|985ICCL28-NO</stp>
        <stp>Face Value</stp>
        <tr r="Q1605" s="1"/>
      </tp>
      <tp>
        <v>5</v>
        <stp/>
        <stp>bse_cm|10MFL24B</stp>
        <stp>Bid Qty</stp>
        <tr r="D185" s="1"/>
      </tp>
      <tp>
        <v>0</v>
        <stp/>
        <stp>bse_cm|11CCI26</stp>
        <stp>Ask Rate</stp>
        <tr r="F1220" s="1"/>
      </tp>
      <tp>
        <v>0</v>
        <stp/>
        <stp>bse_cm|11CCL26</stp>
        <stp>Ask Rate</stp>
        <tr r="F1219" s="1"/>
      </tp>
      <tp>
        <v>1012.3</v>
        <stp/>
        <stp>bse_cm|81MFL28</stp>
        <stp>Ask Rate</stp>
        <tr r="F314" s="1"/>
      </tp>
      <tp>
        <v>0</v>
        <stp/>
        <stp>bse_cm|11MML28</stp>
        <stp>Ask Rate</stp>
        <tr r="F1131" s="1"/>
      </tp>
      <tp>
        <v>20</v>
        <stp/>
        <stp>bse_cm|KAFLZC28</stp>
        <stp>Bid Qty</stp>
        <tr r="D1315" s="1"/>
      </tp>
      <tp>
        <v>24</v>
        <stp/>
        <stp>bse_cm|KAFLZC26</stp>
        <stp>Bid Qty</stp>
        <tr r="D1316" s="1"/>
      </tp>
      <tp>
        <v>1000</v>
        <stp/>
        <stp>nse_cm|957ICCL28-NW</stp>
        <stp>Face Value</stp>
        <tr r="Q762" s="1"/>
      </tp>
      <tp>
        <v>1000</v>
        <stp/>
        <stp>nse_cm|805ABFL28-N2</stp>
        <stp>Face Value</stp>
        <tr r="Q477" s="1"/>
      </tp>
      <tp>
        <v>0</v>
        <stp/>
        <stp>nse_cm|950SCL23A-AP</stp>
        <stp>Volume Traded Today</stp>
        <tr r="L1145" s="1"/>
      </tp>
      <tp>
        <v>940</v>
        <stp/>
        <stp>bse_cm|10EFS33</stp>
        <stp>Ask Rate</stp>
        <tr r="F112" s="1"/>
      </tp>
      <tp>
        <v>20</v>
        <stp/>
        <stp>bse_cm|KAFLZC30</stp>
        <stp>Bid Qty</stp>
        <tr r="D1314" s="1"/>
      </tp>
      <tp>
        <v>800</v>
        <stp/>
        <stp>nse_cm|940ICCL28-NN</stp>
        <stp>Face Value</stp>
        <tr r="Q779" s="1"/>
      </tp>
      <tp>
        <v>1000</v>
        <stp/>
        <stp>nse_cm|910TCAP28-NA</stp>
        <stp>Face Value</stp>
        <tr r="Q411" s="1"/>
      </tp>
      <tp>
        <v>10</v>
        <stp/>
        <stp>bse_cm|10KFL28A</stp>
        <stp>Bid Qty</stp>
        <tr r="D1423" s="1"/>
      </tp>
      <tp>
        <v>1035</v>
        <stp/>
        <stp>nse_cm|1060ECL29-NS</stp>
        <stp>Bid Rate</stp>
        <tr r="E144" s="1"/>
      </tp>
      <tp>
        <v>0</v>
        <stp/>
        <stp>nse_cm|925SFCL25-AC</stp>
        <stp>ATP</stp>
        <tr r="K604" s="1"/>
      </tp>
      <tp>
        <v>1102.0999999999999</v>
        <stp/>
        <stp>nse_cm|736PFCL28-N2</stp>
        <stp>Bid Rate</stp>
        <tr r="E11" s="1"/>
      </tp>
      <tp>
        <v>1</v>
        <stp/>
        <stp>nse_cm|886REC34-NG</stp>
        <stp>Ask Qty</stp>
        <tr r="G536" s="1"/>
      </tp>
      <tp>
        <v>5</v>
        <stp/>
        <stp>nse_cm|888REC29-NF</stp>
        <stp>Ask Qty</stp>
        <tr r="G522" s="1"/>
      </tp>
      <tp>
        <v>0</v>
        <stp/>
        <stp>bse_cm|9SCFL25</stp>
        <stp>Open</stp>
        <tr r="M1505" s="1"/>
      </tp>
      <tp>
        <v>1071.9000000000001</v>
        <stp/>
        <stp>nse_cm|9SFL25A-ZH</stp>
        <stp>Ask Rate</stp>
        <tr r="F463" s="1"/>
      </tp>
      <tp>
        <v>952.5</v>
        <stp/>
        <stp>bse_cm|895EFSL25A</stp>
        <stp>Bid Rate</stp>
        <tr r="E594" s="1"/>
      </tp>
      <tp t="s">
        <v/>
        <stp/>
        <stp>nse_cm|902SCL26I-AW</stp>
        <stp>LTT</stp>
        <tr r="I1383" s="1"/>
      </tp>
      <tp>
        <v>650</v>
        <stp/>
        <stp>nse_cm|902SCL26I-AW</stp>
        <stp>LTP</stp>
        <tr r="H1383" s="1"/>
      </tp>
      <tp>
        <v>1054.99</v>
        <stp/>
        <stp>nse_cm|910TCAP28-NA</stp>
        <stp>Ask Rate</stp>
        <tr r="F411" s="1"/>
      </tp>
      <tp t="s">
        <v/>
        <stp/>
        <stp>nse_cm|902SCL26A-NM</stp>
        <stp>LTT</stp>
        <tr r="I904" s="1"/>
      </tp>
      <tp>
        <v>0</v>
        <stp/>
        <stp>nse_cm|902SCL26A-NM</stp>
        <stp>LTP</stp>
        <tr r="H904" s="1"/>
      </tp>
      <tp>
        <v>1</v>
        <stp/>
        <stp>nse_cm|812REC27-NI</stp>
        <stp>Ask Qty</stp>
        <tr r="G462" s="1"/>
      </tp>
      <tp>
        <v>190</v>
        <stp/>
        <stp>nse_cm|79NHIT35-N1</stp>
        <stp>Bid Qty</stp>
        <tr r="D1589" s="1"/>
      </tp>
      <tp>
        <v>30</v>
        <stp/>
        <stp>nse_cm|79NHIT40-N2</stp>
        <stp>Bid Qty</stp>
        <tr r="D1587" s="1"/>
      </tp>
      <tp>
        <v>5</v>
        <stp/>
        <stp>nse_cm|79NHIT47-N3</stp>
        <stp>Bid Qty</stp>
        <tr r="D1585" s="1"/>
      </tp>
      <tp>
        <v>500</v>
        <stp/>
        <stp>nse_cm|846REC28-N6</stp>
        <stp>Ask Qty</stp>
        <tr r="G548" s="1"/>
      </tp>
      <tp>
        <v>497</v>
        <stp/>
        <stp>nse_cm|862REC33-NA</stp>
        <stp>Ask Qty</stp>
        <tr r="G563" s="1"/>
      </tp>
      <tp>
        <v>9</v>
        <stp/>
        <stp>nse_cm|863REC29-NC</stp>
        <stp>Ask Qty</stp>
        <tr r="G1633" s="1"/>
      </tp>
      <tp>
        <v>930</v>
        <stp/>
        <stp>nse_cm|9IIFL28-Y0</stp>
        <stp xml:space="preserve">Low </stp>
        <tr r="O175" s="1"/>
      </tp>
      <tp>
        <v>24</v>
        <stp/>
        <stp>nse_cm|861REC34-ND</stp>
        <stp>Ask Qty</stp>
        <tr r="G583" s="1"/>
      </tp>
      <tp>
        <v>50</v>
        <stp/>
        <stp>nse_cm|875SFL27-ZF</stp>
        <stp>Bid Qty</stp>
        <tr r="D379" s="1"/>
      </tp>
      <tp>
        <v>1134.08</v>
        <stp/>
        <stp>nse_cm|82HUDCO27-N2</stp>
        <stp>ATP</stp>
        <tr r="K532" s="1"/>
      </tp>
      <tp>
        <v>50</v>
        <stp/>
        <stp>nse_cm|866SFL25-ZE</stp>
        <stp>Bid Qty</stp>
        <tr r="D1389" s="1"/>
      </tp>
      <tp>
        <v>1048</v>
        <stp/>
        <stp>nse_cm|94SFL28-YL</stp>
        <stp xml:space="preserve">Low </stp>
        <tr r="O5" s="1"/>
      </tp>
      <tp>
        <v>12</v>
        <stp/>
        <stp>bse_cm|905SC24B</stp>
        <stp>Bid Qty</stp>
        <tr r="D684" s="1"/>
      </tp>
      <tp>
        <v>2</v>
        <stp/>
        <stp>nse_cm|871REC28-N9</stp>
        <stp>Ask Qty</stp>
        <tr r="G542" s="1"/>
      </tp>
      <tp>
        <v>0</v>
        <stp/>
        <stp>bse_cm|921ISFL25</stp>
        <stp>ATP</stp>
        <tr r="K350" s="1"/>
      </tp>
      <tp>
        <v>0</v>
        <stp/>
        <stp>bse_cm|1075SCL33B</stp>
        <stp>Ask Rate</stp>
        <tr r="F706" s="1"/>
      </tp>
      <tp>
        <v>1051.5</v>
        <stp/>
        <stp>nse_cm|9SCFL25-Y5</stp>
        <stp xml:space="preserve">Low </stp>
        <tr r="O389" s="1"/>
      </tp>
      <tp>
        <v>0</v>
        <stp/>
        <stp>bse_cm|753IRFC30</stp>
        <stp>LTP</stp>
        <tr r="H454" s="1"/>
      </tp>
      <tp t="s">
        <v>00:00:00</v>
        <stp/>
        <stp>bse_cm|753IRFC30</stp>
        <stp>LTT</stp>
        <tr r="I454" s="1"/>
      </tp>
      <tp>
        <v>1008.8</v>
        <stp/>
        <stp>bse_cm|9PCHFL31A</stp>
        <stp>LTP</stp>
        <tr r="H301" s="1"/>
      </tp>
      <tp t="s">
        <v>10:16:42</v>
        <stp/>
        <stp>bse_cm|9PCHFL31A</stp>
        <stp>LTT</stp>
        <tr r="I301" s="1"/>
      </tp>
      <tp>
        <v>1051</v>
        <stp/>
        <stp>nse_cm|97SFL28-YS</stp>
        <stp xml:space="preserve">Low </stp>
        <tr r="O19" s="1"/>
      </tp>
      <tp>
        <v>0</v>
        <stp/>
        <stp>bse_cm|1025SCL33A</stp>
        <stp>Ask Rate</stp>
        <tr r="F835" s="1"/>
      </tp>
      <tp>
        <v>0</v>
        <stp/>
        <stp>bse_cm|1075SCL33A</stp>
        <stp>Ask Rate</stp>
        <tr r="F629" s="1"/>
      </tp>
      <tp>
        <v>100</v>
        <stp/>
        <stp>nse_cm|86CIFC29-NN</stp>
        <stp>Bid Qty</stp>
        <tr r="D1340" s="1"/>
      </tp>
      <tp>
        <v>925.2</v>
        <stp/>
        <stp>nse_cm|948SCL26B-Y8</stp>
        <stp xml:space="preserve">Low </stp>
        <tr r="O159" s="1"/>
      </tp>
      <tp>
        <v>0</v>
        <stp/>
        <stp>bse_cm|769NHAI31</stp>
        <stp>LTP</stp>
        <tr r="H465" s="1"/>
      </tp>
      <tp t="s">
        <v>00:00:00</v>
        <stp/>
        <stp>bse_cm|769NHAI31</stp>
        <stp>LTT</stp>
        <tr r="I465" s="1"/>
      </tp>
      <tp>
        <v>1030</v>
        <stp/>
        <stp>nse_cm|IIFLZC28A-NU</stp>
        <stp>Prev Close</stp>
        <tr r="P1624" s="1"/>
      </tp>
      <tp>
        <v>1120</v>
        <stp/>
        <stp>nse_cm|IIFLZC26A-NR</stp>
        <stp>Prev Close</stp>
        <tr r="P1680" s="1"/>
      </tp>
      <tp>
        <v>1140.22</v>
        <stp/>
        <stp>nse_cm|IIFLZC25A-NP</stp>
        <stp>Prev Close</stp>
        <tr r="P1578" s="1"/>
      </tp>
      <tp>
        <v>0</v>
        <stp/>
        <stp>bse_cm|MML110924</stp>
        <stp>Volume Traded Today</stp>
        <tr r="L1257" s="1"/>
      </tp>
      <tp>
        <v>0</v>
        <stp/>
        <stp>bse_cm|AEL120924</stp>
        <stp>Volume Traded Today</stp>
        <tr r="L1062" s="1"/>
      </tp>
      <tp t="s">
        <v>09:24:46</v>
        <stp/>
        <stp>bse_cm|729NHAI26</stp>
        <stp>LTT</stp>
        <tr r="I348" s="1"/>
      </tp>
      <tp t="s">
        <v>09:26:43</v>
        <stp/>
        <stp>bse_cm|739NHAI26</stp>
        <stp>LTT</stp>
        <tr r="I442" s="1"/>
      </tp>
      <tp>
        <v>0</v>
        <stp/>
        <stp>bse_cm|704NHAI26</stp>
        <stp>ATP</stp>
        <tr r="K1204" s="1"/>
      </tp>
      <tp>
        <v>0</v>
        <stp/>
        <stp>bse_cm|714NHAI26</stp>
        <stp>ATP</stp>
        <tr r="K1662" s="1"/>
      </tp>
      <tp>
        <v>1027</v>
        <stp/>
        <stp>bse_cm|729NHAI26</stp>
        <stp>LTP</stp>
        <tr r="H348" s="1"/>
      </tp>
      <tp>
        <v>1051.5</v>
        <stp/>
        <stp>bse_cm|739NHAI26</stp>
        <stp>LTP</stp>
        <tr r="H442" s="1"/>
      </tp>
      <tp>
        <v>0</v>
        <stp/>
        <stp>nse_cm|11UCL26-NC</stp>
        <stp>Open</stp>
        <tr r="M322" s="1"/>
      </tp>
      <tp>
        <v>0</v>
        <stp/>
        <stp>bse_cm|1090NFL26</stp>
        <stp>Volume Traded Today</stp>
        <tr r="L364" s="1"/>
      </tp>
      <tp>
        <v>25</v>
        <stp/>
        <stp>nse_cm|85CIFC27-NL</stp>
        <stp>Bid Qty</stp>
        <tr r="D973" s="1"/>
      </tp>
      <tp>
        <v>170</v>
        <stp/>
        <stp>nse_cm|85IIFL25-NO</stp>
        <stp>Bid Qty</stp>
        <tr r="D110" s="1"/>
      </tp>
      <tp>
        <v>1105</v>
        <stp/>
        <stp>nse_cm|97SFL29-YZ</stp>
        <stp xml:space="preserve">Low </stp>
        <tr r="O20" s="1"/>
      </tp>
      <tp>
        <v>100</v>
        <stp/>
        <stp>nse_cm|865IFL28-NZ</stp>
        <stp>Bid Qty</stp>
        <tr r="D103" s="1"/>
      </tp>
      <tp>
        <v>0</v>
        <stp/>
        <stp>bse_cm|SCLZC26</stp>
        <stp>LTP</stp>
        <tr r="H1464" s="1"/>
      </tp>
      <tp>
        <v>0</v>
        <stp/>
        <stp>bse_cm|SCLZC25</stp>
        <stp>LTP</stp>
        <tr r="H917" s="1"/>
      </tp>
      <tp t="s">
        <v>00:00:00</v>
        <stp/>
        <stp>bse_cm|SCLZC26</stp>
        <stp>LTT</stp>
        <tr r="I1464" s="1"/>
      </tp>
      <tp t="s">
        <v>00:00:00</v>
        <stp/>
        <stp>bse_cm|SCLZC25</stp>
        <stp>LTT</stp>
        <tr r="I917" s="1"/>
      </tp>
      <tp>
        <v>90</v>
        <stp/>
        <stp>nse_cm|81ABFL33-N5</stp>
        <stp>Bid Qty</stp>
        <tr r="D1588" s="1"/>
      </tp>
      <tp>
        <v>0</v>
        <stp/>
        <stp>bse_cm|101EFSL28</stp>
        <stp>ATP</stp>
        <tr r="K211" s="1"/>
      </tp>
      <tp>
        <v>0</v>
        <stp/>
        <stp>nse_cm|888SCL25B-Y2</stp>
        <stp xml:space="preserve">Low </stp>
        <tr r="O789" s="1"/>
      </tp>
      <tp>
        <v>0</v>
        <stp/>
        <stp>bse_cm|MFLVIII27H</stp>
        <stp>Open</stp>
        <tr r="M1274" s="1"/>
      </tp>
      <tp>
        <v>0</v>
        <stp/>
        <stp>nse_cm|902SCL27A-ZI</stp>
        <stp>LTP</stp>
        <tr r="H1353" s="1"/>
      </tp>
      <tp t="s">
        <v/>
        <stp/>
        <stp>nse_cm|902SCL27A-ZI</stp>
        <stp>LTT</stp>
        <tr r="I1353" s="1"/>
      </tp>
      <tp>
        <v>29</v>
        <stp/>
        <stp>nse_cm|835IFL25-NV</stp>
        <stp>Bid Qty</stp>
        <tr r="D98" s="1"/>
      </tp>
      <tp>
        <v>0</v>
        <stp/>
        <stp>bse_cm|SFLZC26</stp>
        <stp>LTP</stp>
        <tr r="H801" s="1"/>
      </tp>
      <tp>
        <v>0</v>
        <stp/>
        <stp>bse_cm|SFLZC25</stp>
        <stp>LTP</stp>
        <tr r="H802" s="1"/>
      </tp>
      <tp t="e">
        <v>#N/A</v>
        <stp/>
        <stp>bse_cm|SFLZC24</stp>
        <stp>LTP</stp>
        <tr r="H30" s="1"/>
      </tp>
      <tp t="s">
        <v>00:00:00</v>
        <stp/>
        <stp>bse_cm|SFLZC26</stp>
        <stp>LTT</stp>
        <tr r="I801" s="1"/>
      </tp>
      <tp t="s">
        <v>00:00:00</v>
        <stp/>
        <stp>bse_cm|SFLZC25</stp>
        <stp>LTT</stp>
        <tr r="I802" s="1"/>
      </tp>
      <tp t="e">
        <v>#N/A</v>
        <stp/>
        <stp>bse_cm|SFLZC24</stp>
        <stp>LTT</stp>
        <tr r="I30" s="1"/>
      </tp>
      <tp>
        <v>0</v>
        <stp/>
        <stp>nse_cm|816ABFL29-NC</stp>
        <stp>Bid Rate</stp>
        <tr r="E732" s="1"/>
      </tp>
      <tp>
        <v>300</v>
        <stp/>
        <stp>nse_cm|829PFL29-N6</stp>
        <stp>Bid Qty</stp>
        <tr r="D1451" s="1"/>
      </tp>
      <tp>
        <v>0</v>
        <stp/>
        <stp>bse_cm|1050VCL25</stp>
        <stp>Ask Rate</stp>
        <tr r="F656" s="1"/>
      </tp>
      <tp>
        <v>1069.8</v>
        <stp/>
        <stp>bse_cm|1040UCL25</stp>
        <stp>Ask Rate</stp>
        <tr r="F1612" s="1"/>
      </tp>
      <tp>
        <v>1025</v>
        <stp/>
        <stp>bse_cm|1050UCL25</stp>
        <stp>Ask Rate</stp>
        <tr r="F417" s="1"/>
      </tp>
      <tp>
        <v>8</v>
        <stp/>
        <stp>bse_cm|EFS290424A</stp>
        <stp>Ask Qty</stp>
        <tr r="G571" s="1"/>
      </tp>
      <tp>
        <v>50</v>
        <stp/>
        <stp>bse_cm|104SMCGS29</stp>
        <stp>Ask Qty</stp>
        <tr r="G206" s="1"/>
      </tp>
      <tp>
        <v>0</v>
        <stp/>
        <stp>bse_cm|102SMCGS27</stp>
        <stp>Ask Qty</stp>
        <tr r="G1017" s="1"/>
      </tp>
      <tp>
        <v>0</v>
        <stp/>
        <stp>bse_cm|1050SFL26</stp>
        <stp>Ask Rate</stp>
        <tr r="F890" s="1"/>
      </tp>
      <tp t="s">
        <v>995ECL29A</v>
        <stp/>
        <stp>bse_cm|995ECL29A</stp>
        <stp>Symbol</stp>
        <tr r="A152" s="1"/>
      </tp>
      <tp t="s">
        <v>894SCL25A</v>
        <stp/>
        <stp>bse_cm|894SCL25A</stp>
        <stp>Symbol</stp>
        <tr r="A1235" s="1"/>
      </tp>
      <tp t="s">
        <v>BSE</v>
        <stp/>
        <stp>bse_cm|1045EFS34</stp>
        <stp>Exchange</stp>
        <tr r="C1450" s="1"/>
      </tp>
      <tp>
        <v>1015</v>
        <stp/>
        <stp>bse_cm|11DLSL25A</stp>
        <stp>High</stp>
        <tr r="N300" s="1"/>
      </tp>
      <tp t="s">
        <v>990SCL26I</v>
        <stp/>
        <stp>bse_cm|990SCL26I</stp>
        <stp>Symbol</stp>
        <tr r="A797" s="1"/>
      </tp>
      <tp t="s">
        <v>990SCL26B</v>
        <stp/>
        <stp>bse_cm|990SCL26B</stp>
        <stp>Symbol</stp>
        <tr r="A1048" s="1"/>
      </tp>
      <tp t="s">
        <v>990SCL26A</v>
        <stp/>
        <stp>bse_cm|990SCL26A</stp>
        <stp>Symbol</stp>
        <tr r="A1057" s="1"/>
      </tp>
      <tp t="s">
        <v>990SCL26D</v>
        <stp/>
        <stp>bse_cm|990SCL26D</stp>
        <stp>Symbol</stp>
        <tr r="A1534" s="1"/>
      </tp>
      <tp t="s">
        <v>890MFL26A</v>
        <stp/>
        <stp>bse_cm|890MFL26A</stp>
        <stp>Symbol</stp>
        <tr r="A698" s="1"/>
      </tp>
      <tp>
        <v>986</v>
        <stp/>
        <stp>bse_cm|994SMCGS29</stp>
        <stp>Ask Qty</stp>
        <tr r="G221" s="1"/>
      </tp>
      <tp t="s">
        <v>BSE</v>
        <stp/>
        <stp>bse_cm|1045EFS33</stp>
        <stp>Exchange</stp>
        <tr r="C1030" s="1"/>
      </tp>
      <tp>
        <v>1240</v>
        <stp/>
        <stp>nse_cm|ABFL26-N1</stp>
        <stp>Ask Rate</stp>
        <tr r="F1679" s="1"/>
      </tp>
      <tp>
        <v>0</v>
        <stp/>
        <stp>bse_cm|980SCL33B</stp>
        <stp>Open</stp>
        <tr r="M1054" s="1"/>
      </tp>
      <tp>
        <v>1198</v>
        <stp/>
        <stp>nse_cm|CAGL24-N2</stp>
        <stp>Ask Rate</stp>
        <tr r="F1762" s="1"/>
      </tp>
      <tp>
        <v>0</v>
        <stp/>
        <stp>bse_cm|980SCL33C</stp>
        <stp>Open</stp>
        <tr r="M1384" s="1"/>
      </tp>
      <tp>
        <v>0</v>
        <stp/>
        <stp>bse_cm|835SCL23B</stp>
        <stp>Open</stp>
        <tr r="M167" s="1"/>
      </tp>
      <tp>
        <v>0</v>
        <stp/>
        <stp>nse_cm|ABFL28-N3</stp>
        <stp>Ask Rate</stp>
        <tr r="F1063" s="1"/>
      </tp>
      <tp>
        <v>995</v>
        <stp/>
        <stp>bse_cm|1150IML28</stp>
        <stp>Ask Rate</stp>
        <tr r="F92" s="1"/>
      </tp>
      <tp>
        <v>0</v>
        <stp/>
        <stp>bse_cm|835SCL23A</stp>
        <stp>Open</stp>
        <tr r="M1104" s="1"/>
      </tp>
      <tp>
        <v>0</v>
        <stp/>
        <stp>bse_cm|875SCL23A</stp>
        <stp>Open</stp>
        <tr r="M194" s="1"/>
      </tp>
      <tp>
        <v>0</v>
        <stp/>
        <stp>bse_cm|1250IFL29</stp>
        <stp>Ask Rate</stp>
        <tr r="F1215" s="1"/>
      </tp>
      <tp>
        <v>0</v>
        <stp/>
        <stp>bse_cm|1150IML29</stp>
        <stp>Ask Rate</stp>
        <tr r="F601" s="1"/>
      </tp>
      <tp>
        <v>0</v>
        <stp/>
        <stp>bse_cm|980SCL33A</stp>
        <stp>Open</stp>
        <tr r="M1056" s="1"/>
      </tp>
      <tp>
        <v>0</v>
        <stp/>
        <stp>bse_cm|920SCL23A</stp>
        <stp>Open</stp>
        <tr r="M1114" s="1"/>
      </tp>
      <tp>
        <v>0</v>
        <stp/>
        <stp>bse_cm|950SCL23A</stp>
        <stp>Open</stp>
        <tr r="M1146" s="1"/>
      </tp>
      <tp>
        <v>1009</v>
        <stp/>
        <stp>bse_cm|9PCHFL31A</stp>
        <stp>High</stp>
        <tr r="N301" s="1"/>
      </tp>
      <tp>
        <v>1000</v>
        <stp/>
        <stp>bse_cm|1050CCI25</stp>
        <stp>Ask Rate</stp>
        <tr r="F173" s="1"/>
      </tp>
      <tp>
        <v>0</v>
        <stp/>
        <stp>bse_cm|KAF080824</stp>
        <stp>Ask Rate</stp>
        <tr r="F1322" s="1"/>
      </tp>
      <tp>
        <v>0</v>
        <stp/>
        <stp>bse_cm|1050MML28</stp>
        <stp>Ask Rate</stp>
        <tr r="F1159" s="1"/>
      </tp>
      <tp>
        <v>27</v>
        <stp/>
        <stp>bse_cm|AEL120924B</stp>
        <stp>Bid Qty</stp>
        <tr r="D1641" s="1"/>
      </tp>
      <tp>
        <v>100</v>
        <stp/>
        <stp>bse_cm|AEL120924A</stp>
        <stp>Bid Qty</stp>
        <tr r="D1524" s="1"/>
      </tp>
      <tp>
        <v>0</v>
        <stp/>
        <stp>bse_cm|980SCL33D</stp>
        <stp>Open</stp>
        <tr r="M1022" s="1"/>
      </tp>
      <tp>
        <v>960</v>
        <stp/>
        <stp>bse_cm|1080MML29</stp>
        <stp>Ask Rate</stp>
        <tr r="F72" s="1"/>
      </tp>
      <tp>
        <v>1070</v>
        <stp/>
        <stp>bse_cm|1150MML29</stp>
        <stp>Ask Rate</stp>
        <tr r="F248" s="1"/>
      </tp>
      <tp>
        <v>27</v>
        <stp/>
        <stp>bse_cm|CCI110324A</stp>
        <stp>Bid Qty</stp>
        <tr r="D1590" s="1"/>
      </tp>
      <tp>
        <v>1005</v>
        <stp/>
        <stp>bse_cm|975MFL24B</stp>
        <stp>High</stp>
        <tr r="N415" s="1"/>
      </tp>
      <tp t="s">
        <v>BSE</v>
        <stp/>
        <stp>bse_cm|1025SCL33</stp>
        <stp>Exchange</stp>
        <tr r="C879" s="1"/>
      </tp>
      <tp t="s">
        <v>BSE</v>
        <stp/>
        <stp>bse_cm|1075SCL33</stp>
        <stp>Exchange</stp>
        <tr r="C881" s="1"/>
      </tp>
      <tp t="s">
        <v>95KFL27A</v>
        <stp/>
        <stp>bse_cm|95KFL27A</stp>
        <stp>Trading Symbol</stp>
        <tr r="B132" s="1"/>
      </tp>
      <tp>
        <v>0</v>
        <stp/>
        <stp>bse_cm|1080MML26</stp>
        <stp>Ask Rate</stp>
        <tr r="F1163" s="1"/>
      </tp>
      <tp>
        <v>0</v>
        <stp/>
        <stp>bse_cm|1060MML26</stp>
        <stp>Ask Rate</stp>
        <tr r="F1218" s="1"/>
      </tp>
      <tp t="s">
        <v>94MFL27A</v>
        <stp/>
        <stp>bse_cm|94MFL27A</stp>
        <stp>Trading Symbol</stp>
        <tr r="B420" s="1"/>
      </tp>
      <tp>
        <v>0</v>
        <stp/>
        <stp>bse_cm|1003SCL30A</stp>
        <stp>Ask Qty</stp>
        <tr r="G875" s="1"/>
      </tp>
      <tp t="s">
        <v>97SFL26A</v>
        <stp/>
        <stp>bse_cm|97SFL26A</stp>
        <stp>Trading Symbol</stp>
        <tr r="B1089" s="1"/>
      </tp>
      <tp>
        <v>963</v>
        <stp/>
        <stp>bse_cm|KFL070824</stp>
        <stp>Ask Rate</stp>
        <tr r="F551" s="1"/>
      </tp>
      <tp t="s">
        <v>96SFL24A</v>
        <stp/>
        <stp>bse_cm|96SFL24A</stp>
        <stp>Trading Symbol</stp>
        <tr r="B633" s="1"/>
      </tp>
      <tp>
        <v>1061.73</v>
        <stp/>
        <stp>bse_cm|1090NFL26</stp>
        <stp>Ask Rate</stp>
        <tr r="F364" s="1"/>
      </tp>
      <tp>
        <v>0</v>
        <stp/>
        <stp>bse_cm|1040NFL26</stp>
        <stp>Ask Rate</stp>
        <tr r="F1453" s="1"/>
      </tp>
      <tp>
        <v>1015</v>
        <stp/>
        <stp>bse_cm|1050NFL26</stp>
        <stp>Ask Rate</stp>
        <tr r="F260" s="1"/>
      </tp>
      <tp>
        <v>0</v>
        <stp/>
        <stp>nse_cm|CAGL25-N8</stp>
        <stp>Ask Rate</stp>
        <tr r="F710" s="1"/>
      </tp>
      <tp>
        <v>0</v>
        <stp/>
        <stp>bse_cm|1050MML25</stp>
        <stp>Ask Rate</stp>
        <tr r="F1503" s="1"/>
      </tp>
      <tp>
        <v>0</v>
        <stp/>
        <stp>bse_cm|1070MML25</stp>
        <stp>Ask Rate</stp>
        <tr r="F1504" s="1"/>
      </tp>
      <tp>
        <v>0</v>
        <stp/>
        <stp>bse_cm|SFL270224A</stp>
        <stp>Ask Qty</stp>
        <tr r="G807" s="1"/>
      </tp>
      <tp>
        <v>0</v>
        <stp/>
        <stp>bse_cm|1030ICC26</stp>
        <stp>Ask Rate</stp>
        <tr r="F1538" s="1"/>
      </tp>
      <tp>
        <v>0</v>
        <stp/>
        <stp>bse_cm|1150IFL26</stp>
        <stp>Ask Rate</stp>
        <tr r="F1225" s="1"/>
      </tp>
      <tp t="s">
        <v>93SCL24A</v>
        <stp/>
        <stp>bse_cm|93SCL24A</stp>
        <stp>Trading Symbol</stp>
        <tr r="B1361" s="1"/>
      </tp>
      <tp>
        <v>980</v>
        <stp/>
        <stp>bse_cm|1010EFS28</stp>
        <stp>Ask Rate</stp>
        <tr r="F116" s="1"/>
      </tp>
      <tp>
        <v>0</v>
        <stp/>
        <stp>bse_cm|1150KLM26</stp>
        <stp>Ask Rate</stp>
        <tr r="F1224" s="1"/>
      </tp>
      <tp t="s">
        <v>BSE</v>
        <stp/>
        <stp>bse_cm|1025SCL34</stp>
        <stp>Exchange</stp>
        <tr r="C129" s="1"/>
      </tp>
      <tp t="s">
        <v>BSE</v>
        <stp/>
        <stp>bse_cm|1075SCL34</stp>
        <stp>Exchange</stp>
        <tr r="C888" s="1"/>
      </tp>
      <tp>
        <v>1099</v>
        <stp/>
        <stp>bse_cm|1060ECL29</stp>
        <stp>Ask Rate</stp>
        <tr r="F272" s="1"/>
      </tp>
      <tp>
        <v>0</v>
        <stp/>
        <stp>bse_cm|1010EFS29</stp>
        <stp>Ask Rate</stp>
        <tr r="F726" s="1"/>
      </tp>
      <tp>
        <v>1033.33</v>
        <stp/>
        <stp>bse_cm|1050IML25</stp>
        <stp>Ask Rate</stp>
        <tr r="F499" s="1"/>
      </tp>
      <tp>
        <v>0</v>
        <stp/>
        <stp>bse_cm|1050KLM27</stp>
        <stp>Ask Rate</stp>
        <tr r="F609" s="1"/>
      </tp>
      <tp t="s">
        <v>93EFSL31</v>
        <stp/>
        <stp>bse_cm|93EFSL31</stp>
        <stp>Trading Symbol</stp>
        <tr r="B83" s="1"/>
      </tp>
      <tp>
        <v>0</v>
        <stp/>
        <stp>bse_cm|965MFCL27</stp>
        <stp>Open</stp>
        <tr r="M618" s="1"/>
      </tp>
      <tp>
        <v>0</v>
        <stp/>
        <stp>bse_cm|950MFCL27</stp>
        <stp>Open</stp>
        <tr r="M1148" s="1"/>
      </tp>
      <tp>
        <v>0</v>
        <stp/>
        <stp>bse_cm|925MFCL27</stp>
        <stp>Open</stp>
        <tr r="M262" s="1"/>
      </tp>
      <tp>
        <v>0</v>
        <stp/>
        <stp>bse_cm|915MFCL27</stp>
        <stp>Open</stp>
        <tr r="M1472" s="1"/>
      </tp>
      <tp>
        <v>0</v>
        <stp/>
        <stp>bse_cm|890MFCL26</stp>
        <stp>Open</stp>
        <tr r="M279" s="1"/>
      </tp>
      <tp>
        <v>0</v>
        <stp/>
        <stp>bse_cm|93MMFSL27</stp>
        <stp>Open</stp>
        <tr r="M333" s="1"/>
      </tp>
      <tp>
        <v>0</v>
        <stp/>
        <stp>bse_cm|92MMFSL27</stp>
        <stp>Open</stp>
        <tr r="M384" s="1"/>
      </tp>
      <tp>
        <v>0</v>
        <stp/>
        <stp>bse_cm|88MMFSL26</stp>
        <stp>Open</stp>
        <tr r="M988" s="1"/>
      </tp>
      <tp t="s">
        <v>92EFSL26</v>
        <stp/>
        <stp>bse_cm|92EFSL26</stp>
        <stp>Trading Symbol</stp>
        <tr r="B186" s="1"/>
      </tp>
      <tp>
        <v>1071.3</v>
        <stp/>
        <stp>bse_cm|10MFL24AA</stp>
        <stp>Bid Rate</stp>
        <tr r="E475" s="1"/>
      </tp>
      <tp>
        <v>0</v>
        <stp/>
        <stp>bse_cm|105MMFL25</stp>
        <stp>Open</stp>
        <tr r="M1171" s="1"/>
      </tp>
      <tp>
        <v>960.2</v>
        <stp/>
        <stp>bse_cm|940MFCL26</stp>
        <stp>Open</stp>
        <tr r="M200" s="1"/>
      </tp>
      <tp>
        <v>0</v>
        <stp/>
        <stp>bse_cm|925MFCL26</stp>
        <stp>Open</stp>
        <tr r="M1610" s="1"/>
      </tp>
      <tp>
        <v>0</v>
        <stp/>
        <stp>bse_cm|10MMLTD24</stp>
        <stp>Open</stp>
        <tr r="M1615" s="1"/>
      </tp>
      <tp t="s">
        <v>9SCL25</v>
        <stp/>
        <stp>nse_cm|9SCL25-YM</stp>
        <stp>Symbol</stp>
        <tr r="A97" s="1"/>
      </tp>
      <tp t="s">
        <v>97EFSL31</v>
        <stp/>
        <stp>bse_cm|97EFSL31</stp>
        <stp>Trading Symbol</stp>
        <tr r="B635" s="1"/>
      </tp>
      <tp t="s">
        <v>INE523L07694</v>
        <stp/>
        <stp>bse_cm|915NWIL25</stp>
        <stp>Isin code</stp>
        <tr r="R620" s="1"/>
      </tp>
      <tp t="s">
        <v>96EFSL26</v>
        <stp/>
        <stp>bse_cm|96EFSL26</stp>
        <stp>Trading Symbol</stp>
        <tr r="B1465" s="1"/>
      </tp>
      <tp t="s">
        <v>96EFSL27</v>
        <stp/>
        <stp>bse_cm|96EFSL27</stp>
        <stp>Trading Symbol</stp>
        <tr r="B1050" s="1"/>
      </tp>
      <tp>
        <v>1055.0999999999999</v>
        <stp/>
        <stp>bse_cm|910TCAP28</stp>
        <stp>High</stp>
        <tr r="N409" s="1"/>
      </tp>
      <tp>
        <v>0</v>
        <stp/>
        <stp>bse_cm|915MMFS24</stp>
        <stp>Open</stp>
        <tr r="M1752" s="1"/>
      </tp>
      <tp>
        <v>0</v>
        <stp/>
        <stp>bse_cm|975MMFL24</stp>
        <stp>Open</stp>
        <tr r="M853" s="1"/>
      </tp>
      <tp>
        <v>0</v>
        <stp/>
        <stp>nse_cm|860CIFCL28-NG</stp>
        <stp>% Change</stp>
        <tr r="J647" s="1"/>
      </tp>
      <tp>
        <v>0</v>
        <stp/>
        <stp>bse_cm|950MMFL25</stp>
        <stp>Open</stp>
        <tr r="M1526" s="1"/>
      </tp>
      <tp>
        <v>0</v>
        <stp/>
        <stp>nse_cm|10IIFLSF27-NB</stp>
        <stp>% Change</stp>
        <tr r="J1657" s="1"/>
      </tp>
      <tp>
        <v>0</v>
        <stp/>
        <stp>bse_cm|825MMFS27</stp>
        <stp>Open</stp>
        <tr r="M1381" s="1"/>
      </tp>
      <tp>
        <v>0</v>
        <stp/>
        <stp>bse_cm|975MMFL26</stp>
        <stp>Open</stp>
        <tr r="M215" s="1"/>
      </tp>
      <tp>
        <v>0</v>
        <stp/>
        <stp>bse_cm|950MMFL26</stp>
        <stp>Open</stp>
        <tr r="M291" s="1"/>
      </tp>
      <tp t="s">
        <v>INE302E07649</v>
        <stp/>
        <stp>bse_cm|1025SFL29</stp>
        <stp>Isin code</stp>
        <tr r="R1446" s="1"/>
      </tp>
      <tp t="s">
        <v>98EFSL26</v>
        <stp/>
        <stp>bse_cm|98EFSL26</stp>
        <stp>Trading Symbol</stp>
        <tr r="B82" s="1"/>
      </tp>
      <tp>
        <v>0</v>
        <stp/>
        <stp>nse_cm|850CIFCL26-NE</stp>
        <stp>% Change</stp>
        <tr r="J450" s="1"/>
      </tp>
      <tp t="s">
        <v>INE148I07TR3</v>
        <stp/>
        <stp>bse_cm|1015SCL29</stp>
        <stp>Isin code</stp>
        <tr r="R1177" s="1"/>
      </tp>
      <tp>
        <v>0</v>
        <stp/>
        <stp>bse_cm|975MFCL29</stp>
        <stp>Open</stp>
        <tr r="M856" s="1"/>
      </tp>
      <tp>
        <v>0</v>
        <stp/>
        <stp>bse_cm|945MFCL29</stp>
        <stp>Open</stp>
        <tr r="M682" s="1"/>
      </tp>
      <tp>
        <v>0</v>
        <stp/>
        <stp>bse_cm|935MFCL29</stp>
        <stp>Open</stp>
        <tr r="M239" s="1"/>
      </tp>
      <tp>
        <v>0</v>
        <stp/>
        <stp>bse_cm|990MFCL29</stp>
        <stp>Open</stp>
        <tr r="M1449" s="1"/>
      </tp>
      <tp>
        <v>0</v>
        <stp/>
        <stp>bse_cm|95MMFSL29</stp>
        <stp>Open</stp>
        <tr r="M353" s="1"/>
      </tp>
      <tp t="s">
        <v>CAGL26</v>
        <stp/>
        <stp>bse_cm|CAGL26</stp>
        <stp>Symbol</stp>
        <tr r="A708" s="1"/>
      </tp>
      <tp t="s">
        <v>CAGL27</v>
        <stp/>
        <stp>bse_cm|CAGL27</stp>
        <stp>Symbol</stp>
        <tr r="A734" s="1"/>
      </tp>
      <tp t="s">
        <v>CAGL24</v>
        <stp/>
        <stp>bse_cm|CAGL24</stp>
        <stp>Symbol</stp>
        <tr r="A1761" s="1"/>
      </tp>
      <tp t="s">
        <v>CAGL25</v>
        <stp/>
        <stp>bse_cm|CAGL25</stp>
        <stp>Symbol</stp>
        <tr r="A1061" s="1"/>
      </tp>
      <tp t="s">
        <v>CAGL28</v>
        <stp/>
        <stp>bse_cm|CAGL28</stp>
        <stp>Symbol</stp>
        <tr r="A757" s="1"/>
      </tp>
      <tp>
        <v>1017</v>
        <stp/>
        <stp>nse_cm|SCLZC25F-Y5</stp>
        <stp>Prev Close</stp>
        <tr r="P1512" s="1"/>
      </tp>
      <tp>
        <v>0</v>
        <stp/>
        <stp>nse_cm|SCLZC26F-Y9</stp>
        <stp>Prev Close</stp>
        <tr r="P800" s="1"/>
      </tp>
      <tp>
        <v>0</v>
        <stp/>
        <stp>bse_cm|CIFC26</stp>
        <stp>LTP</stp>
        <tr r="H742" s="1"/>
      </tp>
      <tp t="s">
        <v>00:00:00</v>
        <stp/>
        <stp>bse_cm|CIFC26</stp>
        <stp>LTT</stp>
        <tr r="I742" s="1"/>
      </tp>
      <tp t="s">
        <v>00:00:00</v>
        <stp/>
        <stp>bse_cm|CIFC28</stp>
        <stp>LTT</stp>
        <tr r="I1529" s="1"/>
      </tp>
      <tp>
        <v>0</v>
        <stp/>
        <stp>bse_cm|CIFC28</stp>
        <stp>LTP</stp>
        <tr r="H1529" s="1"/>
      </tp>
      <tp t="s">
        <v>894SCL25A</v>
        <stp/>
        <stp>nse_cm|894SCL25A-ZI</stp>
        <stp>Symbol</stp>
        <tr r="A963" s="1"/>
      </tp>
      <tp t="s">
        <v>995EFSL31</v>
        <stp/>
        <stp>bse_cm|995EFSL31</stp>
        <stp>Symbol</stp>
        <tr r="A192" s="1"/>
      </tp>
      <tp t="s">
        <v>895EFSL26</v>
        <stp/>
        <stp>bse_cm|895EFSL26</stp>
        <stp>Symbol</stp>
        <tr r="A109" s="1"/>
      </tp>
      <tp t="s">
        <v>895EFSL25</v>
        <stp/>
        <stp>bse_cm|895EFSL25</stp>
        <stp>Symbol</stp>
        <tr r="A700" s="1"/>
      </tp>
      <tp t="s">
        <v>888SCL25A</v>
        <stp/>
        <stp>nse_cm|888SCL25A-AQ</stp>
        <stp>Symbol</stp>
        <tr r="A910" s="1"/>
      </tp>
      <tp t="s">
        <v>888SCL26A</v>
        <stp/>
        <stp>nse_cm|888SCL26A-ZC</stp>
        <stp>Symbol</stp>
        <tr r="A839" s="1"/>
      </tp>
      <tp t="s">
        <v>875SCL23A</v>
        <stp/>
        <stp>nse_cm|875SCL23A-YI</stp>
        <stp>Symbol</stp>
        <tr r="A1477" s="1"/>
      </tp>
      <tp t="s">
        <v>850SCL25A</v>
        <stp/>
        <stp>nse_cm|850SCL25A-NW</stp>
        <stp>Symbol</stp>
        <tr r="A984" s="1"/>
      </tp>
      <tp t="s">
        <v>835SCL23A</v>
        <stp/>
        <stp>nse_cm|835SCL23A-YH</stp>
        <stp>Symbol</stp>
        <tr r="A833" s="1"/>
      </tp>
      <tp>
        <v>1040</v>
        <stp/>
        <stp>bse_cm|689RECL24</stp>
        <stp xml:space="preserve">Low </stp>
        <tr r="O1206" s="1"/>
      </tp>
      <tp>
        <v>31</v>
        <stp/>
        <stp>bse_cm|JMFPTBIL25</stp>
        <stp>Bid Qty</stp>
        <tr r="D9" s="1"/>
      </tp>
      <tp t="s">
        <v>BSE</v>
        <stp/>
        <stp>bse_cm|1003ISFL28</stp>
        <stp>Exchange</stp>
        <tr r="C1456" s="1"/>
      </tp>
      <tp t="s">
        <v>BSE</v>
        <stp/>
        <stp>bse_cm|1050ISFL28</stp>
        <stp>Exchange</stp>
        <tr r="C1497" s="1"/>
      </tp>
      <tp>
        <v>1041.0999999999999</v>
        <stp/>
        <stp>nse_cm|990SCL26A-NL</stp>
        <stp xml:space="preserve">Low </stp>
        <tr r="O1049" s="1"/>
      </tp>
      <tp>
        <v>0</v>
        <stp/>
        <stp>bse_cm|JMFPTBIL25</stp>
        <stp>Open</stp>
        <tr r="M9" s="1"/>
      </tp>
      <tp>
        <v>1000</v>
        <stp/>
        <stp>nse_cm|SCL25B-BI</stp>
        <stp>Face Value</stp>
        <tr r="Q1403" s="1"/>
      </tp>
      <tp>
        <v>0</v>
        <stp/>
        <stp>bse_cm|EFSL28A</stp>
        <stp>Open</stp>
        <tr r="M1335" s="1"/>
      </tp>
      <tp>
        <v>0</v>
        <stp/>
        <stp>bse_cm|102SMCGS27</stp>
        <stp>Ask Rate</stp>
        <tr r="F1017" s="1"/>
      </tp>
      <tp>
        <v>973.8</v>
        <stp/>
        <stp>bse_cm|MFCL160924</stp>
        <stp>Ask Rate</stp>
        <tr r="F572" s="1"/>
      </tp>
      <tp>
        <v>900</v>
        <stp/>
        <stp>nse_cm|1035UCL26-NA</stp>
        <stp>Ask Rate</stp>
        <tr r="F1627" s="1"/>
      </tp>
      <tp>
        <v>0</v>
        <stp/>
        <stp>nse_cm|940SCL26A-NK</stp>
        <stp xml:space="preserve">Low </stp>
        <tr r="O906" s="1"/>
      </tp>
      <tp>
        <v>1375</v>
        <stp/>
        <stp>nse_cm|892PFCL33-N8</stp>
        <stp>Prev Close</stp>
        <tr r="P530" s="1"/>
      </tp>
      <tp>
        <v>810.2</v>
        <stp/>
        <stp>bse_cm|94SCL27</stp>
        <stp>Bid Rate</stp>
        <tr r="E1152" s="1"/>
      </tp>
      <tp>
        <v>985</v>
        <stp/>
        <stp>nse_cm|925SCFL27-YA</stp>
        <stp>Prev Close</stp>
        <tr r="P113" s="1"/>
      </tp>
      <tp>
        <v>1045.31</v>
        <stp/>
        <stp>bse_cm|94SFL28</stp>
        <stp>Bid Rate</stp>
        <tr r="E24" s="1"/>
      </tp>
      <tp>
        <v>0</v>
        <stp/>
        <stp>bse_cm|1010EFS29</stp>
        <stp>ATP</stp>
        <tr r="K726" s="1"/>
      </tp>
      <tp>
        <v>0</v>
        <stp/>
        <stp>bse_cm|1010EFS28</stp>
        <stp>ATP</stp>
        <tr r="K116" s="1"/>
      </tp>
      <tp>
        <v>1217</v>
        <stp/>
        <stp>nse_cm|867PFCL33-N7</stp>
        <stp>Prev Close</stp>
        <tr r="P550" s="1"/>
      </tp>
      <tp>
        <v>0</v>
        <stp/>
        <stp>bse_cm|9MFL30A</stp>
        <stp>Volume Traded Today</stp>
        <tr r="L289" s="1"/>
      </tp>
      <tp>
        <v>989.95</v>
        <stp/>
        <stp>nse_cm|910CAGL25-N7</stp>
        <stp>Prev Close</stp>
        <tr r="P622" s="1"/>
      </tp>
      <tp>
        <v>1020</v>
        <stp/>
        <stp>bse_cm|1025MMFL26</stp>
        <stp>Ask Rate</stp>
        <tr r="F320" s="1"/>
      </tp>
      <tp>
        <v>1020</v>
        <stp/>
        <stp>bse_cm|104SMCGS29</stp>
        <stp>Ask Rate</stp>
        <tr r="F206" s="1"/>
      </tp>
      <tp>
        <v>1003</v>
        <stp/>
        <stp>nse_cm|960CAGL25-N3</stp>
        <stp>Prev Close</stp>
        <tr r="P305" s="1"/>
      </tp>
      <tp>
        <v>0</v>
        <stp/>
        <stp>bse_cm|8MFL24A</stp>
        <stp>Volume Traded Today</stp>
        <tr r="L1549" s="1"/>
      </tp>
      <tp t="e">
        <v>#N/A</v>
        <stp/>
        <stp>bse_cm|1025MHFL24</stp>
        <stp>Ask Rate</stp>
        <tr r="F29" s="1"/>
      </tp>
      <tp t="e">
        <v>#N/A</v>
        <stp/>
        <stp>bse_cm|1065MHFL24</stp>
        <stp>Ask Rate</stp>
        <tr r="F36" s="1"/>
      </tp>
      <tp>
        <v>1145</v>
        <stp/>
        <stp>nse_cm|1060ECL29-NS</stp>
        <stp>Prev Close</stp>
        <tr r="P144" s="1"/>
      </tp>
      <tp>
        <v>980.1</v>
        <stp/>
        <stp>nse_cm|1015ECL29-NR</stp>
        <stp>Prev Close</stp>
        <tr r="P204" s="1"/>
      </tp>
      <tp t="s">
        <v>NSE</v>
        <stp/>
        <stp>nse_cm|867PFCL33-N7</stp>
        <stp>Exchange</stp>
        <tr r="C550" s="1"/>
      </tp>
      <tp t="s">
        <v>BSE</v>
        <stp/>
        <stp>bse_cm|1050ICCL28</stp>
        <stp>Exchange</stp>
        <tr r="C1133" s="1"/>
      </tp>
      <tp t="s">
        <v>BSE</v>
        <stp/>
        <stp>bse_cm|1003ICCL28</stp>
        <stp>Exchange</stp>
        <tr r="C655" s="1"/>
      </tp>
      <tp t="s">
        <v>BSE</v>
        <stp/>
        <stp>bse_cm|1030ICCL28</stp>
        <stp>Exchange</stp>
        <tr r="C1521" s="1"/>
      </tp>
      <tp>
        <v>995.45</v>
        <stp/>
        <stp>bse_cm|IIFLHFZC27</stp>
        <stp xml:space="preserve">Low </stp>
        <tr r="O1516" s="1"/>
      </tp>
      <tp t="s">
        <v>NSE</v>
        <stp/>
        <stp>nse_cm|957ISFL26-N2</stp>
        <stp>Exchange</stp>
        <tr r="C245" s="1"/>
      </tp>
      <tp t="s">
        <v>NSE</v>
        <stp/>
        <stp>nse_cm|848NTPC28-N2</stp>
        <stp>Exchange</stp>
        <tr r="C1405" s="1"/>
      </tp>
      <tp>
        <v>830.2</v>
        <stp/>
        <stp>nse_cm|850SCL25A-NW</stp>
        <stp xml:space="preserve">Low </stp>
        <tr r="O984" s="1"/>
      </tp>
      <tp>
        <v>1000</v>
        <stp/>
        <stp>nse_cm|734IRFC28-N4</stp>
        <stp>Face Value</stp>
        <tr r="Q455" s="1"/>
      </tp>
      <tp>
        <v>1011.22</v>
        <stp/>
        <stp>bse_cm|94MFL27</stp>
        <stp>Bid Rate</stp>
        <tr r="E189" s="1"/>
      </tp>
      <tp t="s">
        <v>BSE</v>
        <stp/>
        <stp>bse_cm|1003IIFL29</stp>
        <stp>Exchange</stp>
        <tr r="C1078" s="1"/>
      </tp>
      <tp t="s">
        <v>BSE</v>
        <stp/>
        <stp>bse_cm|1050IIFL29</stp>
        <stp>Exchange</stp>
        <tr r="C763" s="1"/>
      </tp>
      <tp t="s">
        <v>BSE</v>
        <stp/>
        <stp>bse_cm|1030IFSL26</stp>
        <stp>Exchange</stp>
        <tr r="C1654" s="1"/>
      </tp>
      <tp>
        <v>964.2</v>
        <stp/>
        <stp>bse_cm|84MFL25</stp>
        <stp>Bid Rate</stp>
        <tr r="E316" s="1"/>
      </tp>
      <tp t="s">
        <v>BSE</v>
        <stp/>
        <stp>bse_cm|1225ICLF26</stp>
        <stp>Exchange</stp>
        <tr r="C1217" s="1"/>
      </tp>
      <tp t="s">
        <v>BSE</v>
        <stp/>
        <stp>bse_cm|1175ICLF25</stp>
        <stp>Exchange</stp>
        <tr r="C1222" s="1"/>
      </tp>
      <tp>
        <v>999</v>
        <stp/>
        <stp>nse_cm|10NFL25-N9</stp>
        <stp xml:space="preserve">Low </stp>
        <tr r="O345" s="1"/>
      </tp>
      <tp t="s">
        <v>BSE</v>
        <stp/>
        <stp>bse_cm|1025ICCL26</stp>
        <stp>Exchange</stp>
        <tr r="C1175" s="1"/>
      </tp>
      <tp>
        <v>0</v>
        <stp/>
        <stp>bse_cm|0SFL29A</stp>
        <stp>ATP</stp>
        <tr r="K1033" s="1"/>
      </tp>
      <tp t="s">
        <v>930SFL28</v>
        <stp/>
        <stp>nse_cm|930SFL28-YP</stp>
        <stp>Symbol</stp>
        <tr r="A6" s="1"/>
      </tp>
      <tp t="s">
        <v>903SFL28</v>
        <stp/>
        <stp>nse_cm|903SFL28-YI</stp>
        <stp>Symbol</stp>
        <tr r="A372" s="1"/>
      </tp>
      <tp>
        <v>0</v>
        <stp/>
        <stp>nse_cm|97SFL28-YS</stp>
        <stp>Open</stp>
        <tr r="M19" s="1"/>
      </tp>
      <tp>
        <v>0</v>
        <stp/>
        <stp>nse_cm|866NTPC33-N3</stp>
        <stp>Volume Traded Today</stp>
        <tr r="L555" s="1"/>
      </tp>
      <tp>
        <v>0</v>
        <stp/>
        <stp>nse_cm|9SCFL25-Y5</stp>
        <stp>Open</stp>
        <tr r="M389" s="1"/>
      </tp>
      <tp t="s">
        <v>888REC29</v>
        <stp/>
        <stp>nse_cm|888REC29-NF</stp>
        <stp>Symbol</stp>
        <tr r="A522" s="1"/>
      </tp>
      <tp t="s">
        <v>863REC29</v>
        <stp/>
        <stp>nse_cm|863REC29-NC</stp>
        <stp>Symbol</stp>
        <tr r="A1633" s="1"/>
      </tp>
      <tp t="s">
        <v>975SCL28</v>
        <stp/>
        <stp>nse_cm|975SCL28-NT</stp>
        <stp>Symbol</stp>
        <tr r="A142" s="1"/>
      </tp>
      <tp t="s">
        <v>935SCL28</v>
        <stp/>
        <stp>nse_cm|935SCL28-NV</stp>
        <stp>Symbol</stp>
        <tr r="A986" s="1"/>
      </tp>
      <tp t="s">
        <v>925SCL28</v>
        <stp/>
        <stp>nse_cm|925SCL28-AM</stp>
        <stp>Symbol</stp>
        <tr r="A939" s="1"/>
      </tp>
      <tp t="s">
        <v>965SCL28</v>
        <stp/>
        <stp>nse_cm|965SCL28-AK</stp>
        <stp>Symbol</stp>
        <tr r="A1137" s="1"/>
      </tp>
      <tp t="s">
        <v>971SCL28</v>
        <stp/>
        <stp>nse_cm|971SCL28-AN</stp>
        <stp>Symbol</stp>
        <tr r="A538" s="1"/>
      </tp>
      <tp>
        <v>1043.1600000000001</v>
        <stp/>
        <stp>nse_cm|11UCL26-NC</stp>
        <stp xml:space="preserve">Low </stp>
        <tr r="O322" s="1"/>
      </tp>
      <tp t="s">
        <v>889SCL28</v>
        <stp/>
        <stp>nse_cm|889SCL28-NU</stp>
        <stp>Symbol</stp>
        <tr r="A989" s="1"/>
      </tp>
      <tp t="s">
        <v>NSE</v>
        <stp/>
        <stp>nse_cm|888IRFC29-NE</stp>
        <stp>Exchange</stp>
        <tr r="C508" s="1"/>
      </tp>
      <tp t="s">
        <v>NSE</v>
        <stp/>
        <stp>nse_cm|1075UCL25-N9</stp>
        <stp>Exchange</stp>
        <tr r="C498" s="1"/>
      </tp>
      <tp t="s">
        <v>BSE</v>
        <stp/>
        <stp>bse_cm|1025MMF26A</stp>
        <stp>Exchange</stp>
        <tr r="C290" s="1"/>
      </tp>
      <tp>
        <v>26</v>
        <stp/>
        <stp>nse_cm|11DLSL25-NV</stp>
        <stp>Ask Qty</stp>
        <tr r="G48" s="1"/>
      </tp>
      <tp>
        <v>16</v>
        <stp/>
        <stp>nse_cm|10IFSL26-N7</stp>
        <stp>Ask Qty</stp>
        <tr r="G293" s="1"/>
      </tp>
      <tp>
        <v>0</v>
        <stp/>
        <stp>nse_cm|948SCL26B-Y8</stp>
        <stp>Open</stp>
        <tr r="M159" s="1"/>
      </tp>
      <tp t="s">
        <v>BSE</v>
        <stp/>
        <stp>bse_cm|MFCL30424D</stp>
        <stp>Exchange</stp>
        <tr r="C1281" s="1"/>
      </tp>
      <tp>
        <v>1105</v>
        <stp/>
        <stp>nse_cm|97SFL29-YZ</stp>
        <stp>Open</stp>
        <tr r="M20" s="1"/>
      </tp>
      <tp t="s">
        <v>NSE</v>
        <stp/>
        <stp>nse_cm|1075NFL25-N6</stp>
        <stp>Exchange</stp>
        <tr r="C1438" s="1"/>
      </tp>
      <tp t="s">
        <v>NSE</v>
        <stp/>
        <stp>nse_cm|96IIFL28A-NF</stp>
        <stp>Exchange</stp>
        <tr r="C81" s="1"/>
      </tp>
      <tp t="s">
        <v>BSE</v>
        <stp/>
        <stp>bse_cm|MFCL30424A</stp>
        <stp>Exchange</stp>
        <tr r="C1283" s="1"/>
      </tp>
      <tp>
        <v>0</v>
        <stp/>
        <stp>bse_cm|0SFL27A</stp>
        <stp>ATP</stp>
        <tr r="K1034" s="1"/>
      </tp>
      <tp t="s">
        <v>BSE</v>
        <stp/>
        <stp>bse_cm|MFCL30424B</stp>
        <stp>Exchange</stp>
        <tr r="C1282" s="1"/>
      </tp>
      <tp>
        <v>1100</v>
        <stp/>
        <stp>bse_cm|MFLVIII27H</stp>
        <stp xml:space="preserve">Low </stp>
        <tr r="O1274" s="1"/>
      </tp>
      <tp>
        <v>0</v>
        <stp/>
        <stp>nse_cm|888SCL25B-Y2</stp>
        <stp>Open</stp>
        <tr r="M789" s="1"/>
      </tp>
      <tp t="s">
        <v>NSE</v>
        <stp/>
        <stp>nse_cm|10IIFL28A-NE</stp>
        <stp>Exchange</stp>
        <tr r="C108" s="1"/>
      </tp>
      <tp t="s">
        <v>BSE</v>
        <stp/>
        <stp>bse_cm|MFCL30424C</stp>
        <stp>Exchange</stp>
        <tr r="C1552" s="1"/>
      </tp>
      <tp>
        <v>0</v>
        <stp/>
        <stp>nse_cm|1035UCL24-N6</stp>
        <stp>Ask Rate</stp>
        <tr r="F591" s="1"/>
      </tp>
      <tp>
        <v>0</v>
        <stp/>
        <stp>bse_cm|925ICCL24A</stp>
        <stp>Ask Rate</stp>
        <tr r="F1072" s="1"/>
      </tp>
      <tp>
        <v>1059.8</v>
        <stp/>
        <stp>bse_cm|9SCFL25</stp>
        <stp xml:space="preserve">Low </stp>
        <tr r="O1505" s="1"/>
      </tp>
      <tp>
        <v>0</v>
        <stp/>
        <stp>bse_cm|913ICCL24A</stp>
        <stp>Ask Rate</stp>
        <tr r="F1162" s="1"/>
      </tp>
      <tp>
        <v>1247.99</v>
        <stp/>
        <stp>bse_cm|739NHAI31A</stp>
        <stp>Ask Rate</stp>
        <tr r="F546" s="1"/>
      </tp>
      <tp>
        <v>0</v>
        <stp/>
        <stp>nse_cm|CAGL26-NA</stp>
        <stp>Volume Traded Today</stp>
        <tr r="L735" s="1"/>
      </tp>
      <tp>
        <v>0</v>
        <stp/>
        <stp>nse_cm|CAGL27-NC</stp>
        <stp>Volume Traded Today</stp>
        <tr r="L733" s="1"/>
      </tp>
      <tp>
        <v>0</v>
        <stp/>
        <stp>nse_cm|CAGL28-NE</stp>
        <stp>Volume Traded Today</stp>
        <tr r="L756" s="1"/>
      </tp>
      <tp>
        <v>0</v>
        <stp/>
        <stp>nse_cm|CAGL25-N8</stp>
        <stp>Volume Traded Today</stp>
        <tr r="L710" s="1"/>
      </tp>
      <tp t="s">
        <v>NSE</v>
        <stp/>
        <stp>nse_cm|957ICCL28-NW</stp>
        <stp>Exchange</stp>
        <tr r="C762" s="1"/>
      </tp>
      <tp>
        <v>0</v>
        <stp/>
        <stp>nse_cm|CAGL24-N2</stp>
        <stp>Volume Traded Today</stp>
        <tr r="L1762" s="1"/>
      </tp>
      <tp>
        <v>919</v>
        <stp/>
        <stp>nse_cm|843IHFL29-NC</stp>
        <stp>Ask Rate</stp>
        <tr r="F123" s="1"/>
      </tp>
      <tp>
        <v>0</v>
        <stp/>
        <stp>nse_cm|9IIFL28-Y0</stp>
        <stp>Open</stp>
        <tr r="M175" s="1"/>
      </tp>
      <tp>
        <v>0</v>
        <stp/>
        <stp>nse_cm|94SFL28-YL</stp>
        <stp>Open</stp>
        <tr r="M5" s="1"/>
      </tp>
      <tp>
        <v>0</v>
        <stp/>
        <stp>bse_cm|0MML29A</stp>
        <stp>ATP</stp>
        <tr r="K1040" s="1"/>
      </tp>
      <tp t="s">
        <v>BSE</v>
        <stp/>
        <stp>bse_cm|948IFSL25B</stp>
        <stp>Exchange</stp>
        <tr r="C599" s="1"/>
      </tp>
      <tp t="s">
        <v>BSE</v>
        <stp/>
        <stp>bse_cm|875EFSL24A</stp>
        <stp>Exchange</stp>
        <tr r="C229" s="1"/>
      </tp>
      <tp>
        <v>990</v>
        <stp/>
        <stp>bse_cm|875SCL23A</stp>
        <stp xml:space="preserve">Low </stp>
        <tr r="O194" s="1"/>
      </tp>
      <tp>
        <v>816.1</v>
        <stp/>
        <stp>bse_cm|835SCL23A</stp>
        <stp xml:space="preserve">Low </stp>
        <tr r="O1104" s="1"/>
      </tp>
      <tp>
        <v>984.91</v>
        <stp/>
        <stp>bse_cm|950SCL23A</stp>
        <stp xml:space="preserve">Low </stp>
        <tr r="O1146" s="1"/>
      </tp>
      <tp>
        <v>0</v>
        <stp/>
        <stp>bse_cm|920SCL23A</stp>
        <stp xml:space="preserve">Low </stp>
        <tr r="O1114" s="1"/>
      </tp>
      <tp>
        <v>0</v>
        <stp/>
        <stp>bse_cm|980SCL33A</stp>
        <stp xml:space="preserve">Low </stp>
        <tr r="O1056" s="1"/>
      </tp>
      <tp>
        <v>817.25</v>
        <stp/>
        <stp>bse_cm|980SCL33B</stp>
        <stp xml:space="preserve">Low </stp>
        <tr r="O1054" s="1"/>
      </tp>
      <tp>
        <v>970</v>
        <stp/>
        <stp>bse_cm|835SCL23B</stp>
        <stp xml:space="preserve">Low </stp>
        <tr r="O167" s="1"/>
      </tp>
      <tp>
        <v>1000</v>
        <stp/>
        <stp>bse_cm|980SCL33C</stp>
        <stp xml:space="preserve">Low </stp>
        <tr r="O1384" s="1"/>
      </tp>
      <tp>
        <v>914.5</v>
        <stp/>
        <stp>bse_cm|980SCL33D</stp>
        <stp xml:space="preserve">Low </stp>
        <tr r="O1022" s="1"/>
      </tp>
      <tp>
        <v>0</v>
        <stp/>
        <stp>bse_cm|MVAF27</stp>
        <stp>Volume Traded Today</stp>
        <tr r="L1689" s="1"/>
      </tp>
      <tp>
        <v>820.4</v>
        <stp/>
        <stp>bse_cm|1015SCL29</stp>
        <stp>Bid Rate</stp>
        <tr r="E1177" s="1"/>
      </tp>
      <tp>
        <v>841.7</v>
        <stp/>
        <stp>bse_cm|1025SFL29</stp>
        <stp>Bid Rate</stp>
        <tr r="E1446" s="1"/>
      </tp>
      <tp>
        <v>1015</v>
        <stp/>
        <stp>bse_cm|1015SCL28</stp>
        <stp>Bid Rate</stp>
        <tr r="E327" s="1"/>
      </tp>
      <tp>
        <v>950</v>
        <stp/>
        <stp>bse_cm|1025SFL28</stp>
        <stp>Bid Rate</stp>
        <tr r="E100" s="1"/>
      </tp>
      <tp>
        <v>838.2</v>
        <stp/>
        <stp>bse_cm|1025SFL25</stp>
        <stp>Bid Rate</stp>
        <tr r="E1071" s="1"/>
      </tp>
      <tp>
        <v>0</v>
        <stp/>
        <stp>bse_cm|925SCL25Z</stp>
        <stp>High</stp>
        <tr r="N790" s="1"/>
      </tp>
      <tp>
        <v>1020.2</v>
        <stp/>
        <stp>bse_cm|1075UCL25</stp>
        <stp>Bid Rate</stp>
        <tr r="E515" s="1"/>
      </tp>
      <tp>
        <v>970.2</v>
        <stp/>
        <stp>bse_cm|1025UCL25</stp>
        <stp>Bid Rate</stp>
        <tr r="E326" s="1"/>
      </tp>
      <tp>
        <v>972</v>
        <stp/>
        <stp>bse_cm|1035UCL24</stp>
        <stp>Bid Rate</stp>
        <tr r="E1580" s="1"/>
      </tp>
      <tp>
        <v>82008</v>
        <stp/>
        <stp>bse_cm|1025UCL27</stp>
        <stp>Bid Rate</stp>
        <tr r="E1019" s="1"/>
      </tp>
      <tp>
        <v>821</v>
        <stp/>
        <stp>bse_cm|1035UCL26</stp>
        <stp>Bid Rate</stp>
        <tr r="E1626" s="1"/>
      </tp>
      <tp>
        <v>982.55</v>
        <stp/>
        <stp>bse_cm|1015ECL29</stp>
        <stp>Bid Rate</stp>
        <tr r="E210" s="1"/>
      </tp>
      <tp>
        <v>905.4</v>
        <stp/>
        <stp>bse_cm|1025KFL27</stp>
        <stp>Bid Rate</stp>
        <tr r="E767" s="1"/>
      </tp>
      <tp>
        <v>825.2</v>
        <stp/>
        <stp>bse_cm|1075KLM27</stp>
        <stp>Bid Rate</stp>
        <tr r="E1117" s="1"/>
      </tp>
      <tp>
        <v>979.8</v>
        <stp/>
        <stp>bse_cm|888SCL25A</stp>
        <stp>High</stp>
        <tr r="N911" s="1"/>
      </tp>
      <tp>
        <v>0</v>
        <stp/>
        <stp>bse_cm|894SCL25A</stp>
        <stp>High</stp>
        <tr r="N1235" s="1"/>
      </tp>
      <tp>
        <v>931</v>
        <stp/>
        <stp>bse_cm|850SCL25A</stp>
        <stp>High</stp>
        <tr r="N1387" s="1"/>
      </tp>
      <tp>
        <v>850.2</v>
        <stp/>
        <stp>bse_cm|1025KFL26</stp>
        <stp>Bid Rate</stp>
        <tr r="E768" s="1"/>
      </tp>
      <tp t="e">
        <v>#N/A</v>
        <stp/>
        <stp>bse_cm|1075IML24</stp>
        <stp>Bid Rate</stp>
        <tr r="E33" s="1"/>
      </tp>
      <tp>
        <v>979</v>
        <stp/>
        <stp>bse_cm|1125KLM26</stp>
        <stp>Bid Rate</stp>
        <tr r="E1227" s="1"/>
      </tp>
      <tp>
        <v>1070</v>
        <stp/>
        <stp>bse_cm|965SCL25A</stp>
        <stp>High</stp>
        <tr r="N234" s="1"/>
      </tp>
      <tp>
        <v>975</v>
        <stp/>
        <stp>bse_cm|925SCL25A</stp>
        <stp>High</stp>
        <tr r="N1515" s="1"/>
      </tp>
      <tp>
        <v>850.2</v>
        <stp/>
        <stp>bse_cm|1025KFL25</stp>
        <stp>Bid Rate</stp>
        <tr r="E638" s="1"/>
      </tp>
      <tp>
        <v>822.2</v>
        <stp/>
        <stp>bse_cm|1225IFL27</stp>
        <stp>Bid Rate</stp>
        <tr r="E1216" s="1"/>
      </tp>
      <tp>
        <v>921</v>
        <stp/>
        <stp>bse_cm|1075IML27</stp>
        <stp>Bid Rate</stp>
        <tr r="E96" s="1"/>
      </tp>
      <tp>
        <v>950</v>
        <stp/>
        <stp>bse_cm|1175KLM25</stp>
        <stp>Bid Rate</stp>
        <tr r="E1691" s="1"/>
      </tp>
      <tp>
        <v>1030</v>
        <stp/>
        <stp>bse_cm|965SCL25B</stp>
        <stp>High</stp>
        <tr r="N1507" s="1"/>
      </tp>
      <tp>
        <v>957.51</v>
        <stp/>
        <stp>bse_cm|925SCL25B</stp>
        <stp>High</stp>
        <tr r="N1490" s="1"/>
      </tp>
      <tp>
        <v>830.2</v>
        <stp/>
        <stp>bse_cm|1175IFL26</stp>
        <stp>Bid Rate</stp>
        <tr r="E1221" s="1"/>
      </tp>
      <tp>
        <v>0</v>
        <stp/>
        <stp>bse_cm|888SCL25B</stp>
        <stp>High</stp>
        <tr r="N909" s="1"/>
      </tp>
      <tp>
        <v>888</v>
        <stp/>
        <stp>bse_cm|965SCL25C</stp>
        <stp>High</stp>
        <tr r="N506" s="1"/>
      </tp>
      <tp>
        <v>995</v>
        <stp/>
        <stp>bse_cm|925SCL25C</stp>
        <stp>High</stp>
        <tr r="N676" s="1"/>
      </tp>
      <tp>
        <v>930.2</v>
        <stp/>
        <stp>bse_cm|MFLTDII27</stp>
        <stp>High</stp>
        <tr r="N297" s="1"/>
      </tp>
      <tp>
        <v>10</v>
        <stp/>
        <stp>bse_cm|735NABAR31</stp>
        <stp>Bid Qty</stp>
        <tr r="D14" s="1"/>
      </tp>
      <tp>
        <v>10</v>
        <stp/>
        <stp>bse_cm|764NABAR31</stp>
        <stp>Bid Qty</stp>
        <tr r="D497" s="1"/>
      </tp>
      <tp>
        <v>839.5</v>
        <stp/>
        <stp>bse_cm|1025MML25</stp>
        <stp>Bid Rate</stp>
        <tr r="E766" s="1"/>
      </tp>
      <tp>
        <v>850</v>
        <stp/>
        <stp>bse_cm|1015MML25</stp>
        <stp>Bid Rate</stp>
        <tr r="E1103" s="1"/>
      </tp>
      <tp>
        <v>950</v>
        <stp/>
        <stp>bse_cm|888SCL25E</stp>
        <stp>High</stp>
        <tr r="N1356" s="1"/>
      </tp>
      <tp>
        <v>100</v>
        <stp/>
        <stp>bse_cm|729NABAR26</stp>
        <stp>Bid Qty</stp>
        <tr r="D540" s="1"/>
      </tp>
      <tp>
        <v>100</v>
        <stp/>
        <stp>bse_cm|704NABAR26</stp>
        <stp>Bid Qty</stp>
        <tr r="D1702" s="1"/>
      </tp>
      <tp>
        <v>995</v>
        <stp/>
        <stp>bse_cm|1065NFL27</stp>
        <stp>Bid Rate</stp>
        <tr r="E182" s="1"/>
      </tp>
      <tp>
        <v>0</v>
        <stp/>
        <stp>bse_cm|888SCL25D</stp>
        <stp>High</stp>
        <tr r="N788" s="1"/>
      </tp>
      <tp>
        <v>963.21</v>
        <stp/>
        <stp>bse_cm|965SCL25E</stp>
        <stp>High</stp>
        <tr r="N414" s="1"/>
      </tp>
      <tp>
        <v>1129.8</v>
        <stp/>
        <stp>bse_cm|MFLTDVI25</stp>
        <stp>High</stp>
        <tr r="N1686" s="1"/>
      </tp>
      <tp>
        <v>961</v>
        <stp/>
        <stp>bse_cm|1075MML27</stp>
        <stp>Bid Rate</stp>
        <tr r="E1510" s="1"/>
      </tp>
      <tp>
        <v>995</v>
        <stp/>
        <stp>bse_cm|1125MML27</stp>
        <stp>Bid Rate</stp>
        <tr r="E592" s="1"/>
      </tp>
      <tp>
        <v>878.58</v>
        <stp/>
        <stp>bse_cm|965SCL25F</stp>
        <stp>High</stp>
        <tr r="N673" s="1"/>
      </tp>
      <tp>
        <v>0</v>
        <stp/>
        <stp>bse_cm|925SCL25F</stp>
        <stp>High</stp>
        <tr r="N719" s="1"/>
      </tp>
      <tp>
        <v>1001.2</v>
        <stp/>
        <stp>bse_cm|1075NFL25</stp>
        <stp>Bid Rate</stp>
        <tr r="E643" s="1"/>
      </tp>
      <tp>
        <v>981</v>
        <stp/>
        <stp>bse_cm|1025NFL25</stp>
        <stp>Bid Rate</stp>
        <tr r="E624" s="1"/>
      </tp>
      <tp>
        <v>832.2</v>
        <stp/>
        <stp>bse_cm|1075MML26</stp>
        <stp>Bid Rate</stp>
        <tr r="E1115" s="1"/>
      </tp>
      <tp>
        <v>922</v>
        <stp/>
        <stp>bse_cm|1025MML26</stp>
        <stp>Bid Rate</stp>
        <tr r="E765" s="1"/>
      </tp>
      <tp>
        <v>0</v>
        <stp/>
        <stp>bse_cm|925SCL25G</stp>
        <stp>High</stp>
        <tr r="N717" s="1"/>
      </tp>
      <tp>
        <v>20</v>
        <stp/>
        <stp>bse_cm|875PCHFL26</stp>
        <stp>Bid Qty</stp>
        <tr r="D331" s="1"/>
      </tp>
      <tp>
        <v>824.2</v>
        <stp/>
        <stp>bse_cm|1125CCI27</stp>
        <stp>Bid Rate</stp>
        <tr r="E1229" s="1"/>
      </tp>
      <tp>
        <v>0</v>
        <stp/>
        <stp>bse_cm|925SCL25H</stp>
        <stp>High</stp>
        <tr r="N886" s="1"/>
      </tp>
      <tp>
        <v>0</v>
        <stp/>
        <stp>nse_cm|850NIRMA27-N7</stp>
        <stp>% Change</stp>
        <tr r="J1010" s="1"/>
      </tp>
      <tp>
        <v>30</v>
        <stp/>
        <stp>bse_cm|875PCHFL31</stp>
        <stp>Bid Qty</stp>
        <tr r="D1172" s="1"/>
      </tp>
      <tp>
        <v>946</v>
        <stp/>
        <stp>bse_cm|1075CCI26</stp>
        <stp>Bid Rate</stp>
        <tr r="E1425" s="1"/>
      </tp>
      <tp>
        <v>-0.5</v>
        <stp/>
        <stp>nse_cm|840CIFCL28-N4</stp>
        <stp>% Change</stp>
        <tr r="J556" s="1"/>
      </tp>
      <tp>
        <v>890.2</v>
        <stp/>
        <stp>bse_cm|1075CCL25</stp>
        <stp>Bid Rate</stp>
        <tr r="E1119" s="1"/>
      </tp>
      <tp t="s">
        <v>INE244L07168</v>
        <stp/>
        <stp>nse_cm|96SFL24A-NB</stp>
        <stp>Isin code</stp>
        <tr r="R162" s="1"/>
      </tp>
      <tp t="s">
        <v>INE530B07260</v>
        <stp/>
        <stp>nse_cm|9IIFL28A-NT</stp>
        <stp>Isin code</stp>
        <tr r="R80" s="1"/>
      </tp>
      <tp>
        <v>0</v>
        <stp/>
        <stp>nse_cm|IIFLHFZC27-NB</stp>
        <stp>% Change</stp>
        <tr r="J1672" s="1"/>
      </tp>
      <tp>
        <v>0</v>
        <stp/>
        <stp>bse_cm|TCHF30</stp>
        <stp>Volume Traded Today</stp>
        <tr r="L423" s="1"/>
      </tp>
      <tp t="s">
        <v>9MMFSL26</v>
        <stp/>
        <stp>bse_cm|9MMFSL26</stp>
        <stp>Trading Symbol</stp>
        <tr r="B334" s="1"/>
      </tp>
      <tp>
        <v>865</v>
        <stp/>
        <stp>bse_cm|1025KFL29</stp>
        <stp>Bid Rate</stp>
        <tr r="E196" s="1"/>
      </tp>
      <tp>
        <v>871.7</v>
        <stp/>
        <stp>bse_cm|1025KFL28</stp>
        <stp>Bid Rate</stp>
        <tr r="E626" s="1"/>
      </tp>
      <tp t="s">
        <v>CIFC28</v>
        <stp/>
        <stp>bse_cm|CIFC28</stp>
        <stp>Symbol</stp>
        <tr r="A1529" s="1"/>
      </tp>
      <tp t="s">
        <v>CIFC26</v>
        <stp/>
        <stp>bse_cm|CIFC26</stp>
        <stp>Symbol</stp>
        <tr r="A742" s="1"/>
      </tp>
      <tp>
        <v>0</v>
        <stp/>
        <stp>bse_cm|MFCL16924</stp>
        <stp>Open</stp>
        <tr r="M579" s="1"/>
      </tp>
      <tp>
        <v>1022</v>
        <stp/>
        <stp>bse_cm|MFCL30424</stp>
        <stp>Open</stp>
        <tr r="M1606" s="1"/>
      </tp>
      <tp>
        <v>860.2</v>
        <stp/>
        <stp>bse_cm|MML27524A</stp>
        <stp>Bid Rate</stp>
        <tr r="E1250" s="1"/>
      </tp>
      <tp>
        <v>0</v>
        <stp/>
        <stp>bse_cm|965MFCL30</stp>
        <stp>Open</stp>
        <tr r="M225" s="1"/>
      </tp>
      <tp>
        <v>0</v>
        <stp/>
        <stp>bse_cm|955MFCL30</stp>
        <stp>Open</stp>
        <tr r="M1130" s="1"/>
      </tp>
      <tp t="s">
        <v>89EFSL25</v>
        <stp/>
        <stp>bse_cm|89EFSL25</stp>
        <stp>Trading Symbol</stp>
        <tr r="B87" s="1"/>
      </tp>
      <tp>
        <v>112</v>
        <stp/>
        <stp>bse_cm|MFLTDVII27</stp>
        <stp>Bid Qty</stp>
        <tr r="D1562" s="1"/>
      </tp>
      <tp>
        <v>190</v>
        <stp/>
        <stp>bse_cm|MFLTDIII24</stp>
        <stp>Bid Qty</stp>
        <tr r="D1721" s="1"/>
      </tp>
      <tp t="s">
        <v>INE302E07565</v>
        <stp/>
        <stp>bse_cm|1025SFL28</stp>
        <stp>Isin code</stp>
        <tr r="R100" s="1"/>
      </tp>
      <tp>
        <v>0</v>
        <stp/>
        <stp>bse_cm|EFSL26724</stp>
        <stp>Open</stp>
        <tr r="M1336" s="1"/>
      </tp>
      <tp t="s">
        <v>INE148I07QR9</v>
        <stp/>
        <stp>bse_cm|1015SCL28</stp>
        <stp>Isin code</stp>
        <tr r="R327" s="1"/>
      </tp>
      <tp>
        <v>0</v>
        <stp/>
        <stp>bse_cm|CCIL14824</stp>
        <stp>Open</stp>
        <tr r="M753" s="1"/>
      </tp>
      <tp t="s">
        <v>0KFL31</v>
        <stp/>
        <stp>bse_cm|0KFL31</stp>
        <stp>Symbol</stp>
        <tr r="A1044" s="1"/>
      </tp>
      <tp t="s">
        <v>0SFL31</v>
        <stp/>
        <stp>bse_cm|0SFL31</stp>
        <stp>Symbol</stp>
        <tr r="A1032" s="1"/>
      </tp>
      <tp t="s">
        <v>0KFL28</v>
        <stp/>
        <stp>bse_cm|0KFL28</stp>
        <stp>Symbol</stp>
        <tr r="A1045" s="1"/>
      </tp>
      <tp t="s">
        <v>0KFL25</v>
        <stp/>
        <stp>bse_cm|0KFL25</stp>
        <stp>Symbol</stp>
        <tr r="A1604" s="1"/>
      </tp>
      <tp t="s">
        <v>0KFL26</v>
        <stp/>
        <stp>bse_cm|0KFL26</stp>
        <stp>Symbol</stp>
        <tr r="A1047" s="1"/>
      </tp>
      <tp t="s">
        <v>0KFL27</v>
        <stp/>
        <stp>bse_cm|0KFL27</stp>
        <stp>Symbol</stp>
        <tr r="A1046" s="1"/>
      </tp>
      <tp t="s">
        <v>0SFL26</v>
        <stp/>
        <stp>bse_cm|0SFL26</stp>
        <stp>Symbol</stp>
        <tr r="A703" s="1"/>
      </tp>
      <tp t="s">
        <v>9MFL27</v>
        <stp/>
        <stp>bse_cm|9MFL27</stp>
        <stp>Symbol</stp>
        <tr r="A195" s="1"/>
      </tp>
      <tp t="s">
        <v>9MFL25</v>
        <stp/>
        <stp>bse_cm|9MFL25</stp>
        <stp>Symbol</stp>
        <tr r="A1082" s="1"/>
      </tp>
      <tp t="s">
        <v>9KFL26</v>
        <stp/>
        <stp>bse_cm|9KFL26</stp>
        <stp>Symbol</stp>
        <tr r="A1084" s="1"/>
      </tp>
      <tp t="s">
        <v>9SFL25</v>
        <stp/>
        <stp>bse_cm|9SFL25</stp>
        <stp>Symbol</stp>
        <tr r="A340" s="1"/>
      </tp>
      <tp t="s">
        <v>9SFL26</v>
        <stp/>
        <stp>bse_cm|9SFL26</stp>
        <stp>Symbol</stp>
        <tr r="A1066" s="1"/>
      </tp>
      <tp t="s">
        <v>8MFL26</v>
        <stp/>
        <stp>bse_cm|8MFL26</stp>
        <stp>Symbol</stp>
        <tr r="A654" s="1"/>
      </tp>
      <tp t="s">
        <v>9MFL30</v>
        <stp/>
        <stp>bse_cm|9MFL30</stp>
        <stp>Symbol</stp>
        <tr r="A244" s="1"/>
      </tp>
      <tp t="s">
        <v>ABFL26</v>
        <stp/>
        <stp>bse_cm|ABFL26</stp>
        <stp>Symbol</stp>
        <tr r="A1064" s="1"/>
      </tp>
      <tp t="s">
        <v>ABFL28</v>
        <stp/>
        <stp>bse_cm|ABFL28</stp>
        <stp>Symbol</stp>
        <tr r="A1373" s="1"/>
      </tp>
      <tp t="s">
        <v>MMFL27</v>
        <stp/>
        <stp>bse_cm|MMFL27</stp>
        <stp>Symbol</stp>
        <tr r="A1513" s="1"/>
      </tp>
      <tp t="s">
        <v>MMFL25</v>
        <stp/>
        <stp>bse_cm|MMFL25</stp>
        <stp>Symbol</stp>
        <tr r="A1725" s="1"/>
      </tp>
      <tp t="s">
        <v>KAFL25</v>
        <stp/>
        <stp>bse_cm|KAFL25</stp>
        <stp>Symbol</stp>
        <tr r="A1321" s="1"/>
      </tp>
      <tp t="s">
        <v>KAFL28</v>
        <stp/>
        <stp>bse_cm|KAFL28</stp>
        <stp>Symbol</stp>
        <tr r="A1320" s="1"/>
      </tp>
      <tp t="s">
        <v>KAFL29</v>
        <stp/>
        <stp>bse_cm|KAFL29</stp>
        <stp>Symbol</stp>
        <tr r="A1318" s="1"/>
      </tp>
      <tp t="s">
        <v>KAFL30</v>
        <stp/>
        <stp>bse_cm|KAFL30</stp>
        <stp>Symbol</stp>
        <tr r="A1317" s="1"/>
      </tp>
      <tp>
        <v>0</v>
        <stp/>
        <stp>bse_cm|805MMFS32</stp>
        <stp>Open</stp>
        <tr r="M1763" s="1"/>
      </tp>
      <tp>
        <v>961.06</v>
        <stp/>
        <stp>bse_cm|925SFCL25</stp>
        <stp xml:space="preserve">Low </stp>
        <tr r="O1482" s="1"/>
      </tp>
      <tp>
        <v>924.3</v>
        <stp/>
        <stp>nse_cm|SCLZC26G-YA</stp>
        <stp>Prev Close</stp>
        <tr r="P815" s="1"/>
      </tp>
      <tp t="e">
        <v>#N/A</v>
        <stp/>
        <stp>bse_cm|975SFL024</stp>
        <stp xml:space="preserve">Low </stp>
        <tr r="O31" s="1"/>
      </tp>
      <tp t="s">
        <v>980IFSL25</v>
        <stp/>
        <stp>bse_cm|980IFSL25</stp>
        <stp>Symbol</stp>
        <tr r="A474" s="1"/>
      </tp>
      <tp>
        <v>0</v>
        <stp/>
        <stp>bse_cm|850SCFL25</stp>
        <stp xml:space="preserve">Low </stp>
        <tr r="O1099" s="1"/>
      </tp>
      <tp>
        <v>981.45</v>
        <stp/>
        <stp>bse_cm|866SCFL25</stp>
        <stp xml:space="preserve">Low </stp>
        <tr r="O342" s="1"/>
      </tp>
      <tp>
        <v>0</v>
        <stp/>
        <stp>bse_cm|820SCFL25</stp>
        <stp xml:space="preserve">Low </stp>
        <tr r="O1059" s="1"/>
      </tp>
      <tp>
        <v>1010.2</v>
        <stp/>
        <stp>bse_cm|965SCFL25</stp>
        <stp xml:space="preserve">Low </stp>
        <tr r="O1106" s="1"/>
      </tp>
      <tp>
        <v>0</v>
        <stp/>
        <stp>bse_cm|925SCFL25</stp>
        <stp xml:space="preserve">Low </stp>
        <tr r="O774" s="1"/>
      </tp>
      <tp t="s">
        <v>990SCL26A</v>
        <stp/>
        <stp>nse_cm|990SCL26A-NL</stp>
        <stp>Symbol</stp>
        <tr r="A1049" s="1"/>
      </tp>
      <tp>
        <v>940.35</v>
        <stp/>
        <stp>bse_cm|889SCFL27</stp>
        <stp xml:space="preserve">Low </stp>
        <tr r="O484" s="1"/>
      </tp>
      <tp>
        <v>1101</v>
        <stp/>
        <stp>bse_cm|990SCFL26</stp>
        <stp xml:space="preserve">Low </stp>
        <tr r="O1676" s="1"/>
      </tp>
      <tp>
        <v>834.2</v>
        <stp/>
        <stp>bse_cm|843SCFL27</stp>
        <stp xml:space="preserve">Low </stp>
        <tr r="O1074" s="1"/>
      </tp>
      <tp>
        <v>0</v>
        <stp/>
        <stp>bse_cm|875SCFL27</stp>
        <stp xml:space="preserve">Low </stp>
        <tr r="O1011" s="1"/>
      </tp>
      <tp t="s">
        <v>980SCL33A</v>
        <stp/>
        <stp>nse_cm|980SCL33A-N3</stp>
        <stp>Symbol</stp>
        <tr r="A1055" s="1"/>
      </tp>
      <tp t="s">
        <v>984IFSL26</v>
        <stp/>
        <stp>bse_cm|984IFSL26</stp>
        <stp>Symbol</stp>
        <tr r="A457" s="1"/>
      </tp>
      <tp>
        <v>1021</v>
        <stp/>
        <stp>bse_cm|925SCFL27</stp>
        <stp xml:space="preserve">Low </stp>
        <tr r="O772" s="1"/>
      </tp>
      <tp t="s">
        <v>971SCL28A</v>
        <stp/>
        <stp>nse_cm|971SCL28A-NT</stp>
        <stp>Symbol</stp>
        <tr r="A680" s="1"/>
      </tp>
      <tp t="s">
        <v>971SCL29A</v>
        <stp/>
        <stp>nse_cm|971SCL29A-ZN</stp>
        <stp>Symbol</stp>
        <tr r="A861" s="1"/>
      </tp>
      <tp>
        <v>0</v>
        <stp/>
        <stp>bse_cm|NIDO27</stp>
        <stp>ATP</stp>
        <tr r="K1661" s="1"/>
      </tp>
      <tp>
        <v>0</v>
        <stp/>
        <stp>bse_cm|NIDO26</stp>
        <stp>ATP</stp>
        <tr r="K1244" s="1"/>
      </tp>
      <tp>
        <v>0</v>
        <stp/>
        <stp>bse_cm|NIDO25</stp>
        <stp>ATP</stp>
        <tr r="K1726" s="1"/>
      </tp>
      <tp>
        <v>0</v>
        <stp/>
        <stp>bse_cm|NIDO28</stp>
        <stp>ATP</stp>
        <tr r="K1243" s="1"/>
      </tp>
      <tp t="s">
        <v>965SCL28A</v>
        <stp/>
        <stp>nse_cm|965SCL28A-NQ</stp>
        <stp>Symbol</stp>
        <tr r="A897" s="1"/>
      </tp>
      <tp t="s">
        <v>965SCL25A</v>
        <stp/>
        <stp>nse_cm|965SCL25A-NF</stp>
        <stp>Symbol</stp>
        <tr r="A163" s="1"/>
      </tp>
      <tp t="s">
        <v>965SCL26A</v>
        <stp/>
        <stp>nse_cm|965SCL26A-ZB</stp>
        <stp>Symbol</stp>
        <tr r="A135" s="1"/>
      </tp>
      <tp t="s">
        <v>950SCL23A</v>
        <stp/>
        <stp>nse_cm|950SCL23A-AP</stp>
        <stp>Symbol</stp>
        <tr r="A1145" s="1"/>
      </tp>
      <tp>
        <v>1000</v>
        <stp/>
        <stp>nse_cm|9SCL26BA-NA</stp>
        <stp>Face Value</stp>
        <tr r="Q122" s="1"/>
      </tp>
      <tp t="s">
        <v>955SCL27A</v>
        <stp/>
        <stp>nse_cm|955SCL27A-ZJ</stp>
        <stp>Symbol</stp>
        <tr r="A1437" s="1"/>
      </tp>
      <tp t="s">
        <v>948SCL26A</v>
        <stp/>
        <stp>nse_cm|948SCL26A-NN</stp>
        <stp>Symbol</stp>
        <tr r="A526" s="1"/>
      </tp>
      <tp t="s">
        <v>940SCL26A</v>
        <stp/>
        <stp>nse_cm|940SCL26A-NK</stp>
        <stp>Symbol</stp>
        <tr r="A906" s="1"/>
      </tp>
      <tp t="s">
        <v>948SCL27A</v>
        <stp/>
        <stp>nse_cm|948SCL27A-ZJ</stp>
        <stp>Symbol</stp>
        <tr r="A845" s="1"/>
      </tp>
      <tp t="s">
        <v>920SCL23A</v>
        <stp/>
        <stp>nse_cm|920SCL23A-AO</stp>
        <stp>Symbol</stp>
        <tr r="A1113" s="1"/>
      </tp>
      <tp t="s">
        <v>925SCL28A</v>
        <stp/>
        <stp>nse_cm|925SCL28A-NS</stp>
        <stp>Symbol</stp>
        <tr r="A895" s="1"/>
      </tp>
      <tp t="s">
        <v>925SCL25A</v>
        <stp/>
        <stp>nse_cm|925SCL25A-NH</stp>
        <stp>Symbol</stp>
        <tr r="A715" s="1"/>
      </tp>
      <tp t="s">
        <v>925SCL26A</v>
        <stp/>
        <stp>nse_cm|925SCL26A-YN</stp>
        <stp>Symbol</stp>
        <tr r="A838" s="1"/>
      </tp>
      <tp t="s">
        <v>925SCL29A</v>
        <stp/>
        <stp>nse_cm|925SCL29A-ZM</stp>
        <stp>Symbol</stp>
        <tr r="A1352" s="1"/>
      </tp>
      <tp t="s">
        <v>915SCL27A</v>
        <stp/>
        <stp>nse_cm|915SCL27A-ZL</stp>
        <stp>Symbol</stp>
        <tr r="A966" s="1"/>
      </tp>
      <tp t="s">
        <v>902SCL26A</v>
        <stp/>
        <stp>nse_cm|902SCL26A-NM</stp>
        <stp>Symbol</stp>
        <tr r="A904" s="1"/>
      </tp>
      <tp t="s">
        <v>902SCL27A</v>
        <stp/>
        <stp>nse_cm|902SCL27A-ZI</stp>
        <stp>Symbol</stp>
        <tr r="A1353" s="1"/>
      </tp>
      <tp>
        <v>1000</v>
        <stp/>
        <stp>bse_cm|9PCHFL31A</stp>
        <stp>Prev Close</stp>
        <tr r="P301" s="1"/>
      </tp>
      <tp>
        <v>940.35</v>
        <stp/>
        <stp>nse_cm|889SCFL27-YC</stp>
        <stp>Prev Close</stp>
        <tr r="P595" s="1"/>
      </tp>
      <tp>
        <v>1105</v>
        <stp/>
        <stp>nse_cm|990SCFL26-AJ</stp>
        <stp>Prev Close</stp>
        <tr r="P1523" s="1"/>
      </tp>
      <tp>
        <v>10</v>
        <stp/>
        <stp>nse_cm|IIFLHFZC27-NB</stp>
        <stp>Bid Qty</stp>
        <tr r="D1672" s="1"/>
      </tp>
      <tp>
        <v>1238</v>
        <stp/>
        <stp>nse_cm|948SCL26I-AX</stp>
        <stp>High</stp>
        <tr r="N1708" s="1"/>
      </tp>
      <tp>
        <v>1040</v>
        <stp/>
        <stp>bse_cm|1010MFCL30</stp>
        <stp>Ask Rate</stp>
        <tr r="F285" s="1"/>
      </tp>
      <tp t="s">
        <v/>
        <stp/>
        <stp>nse_cm|ICCL25-NS</stp>
        <stp>LTT</stp>
        <tr r="I1401" s="1"/>
      </tp>
      <tp>
        <v>0</v>
        <stp/>
        <stp>bse_cm|9KFL26A</stp>
        <stp>Volume Traded Today</stp>
        <tr r="L1083" s="1"/>
      </tp>
      <tp>
        <v>0</v>
        <stp/>
        <stp>bse_cm|9KFL26B</stp>
        <stp>Volume Traded Today</stp>
        <tr r="L667" s="1"/>
      </tp>
      <tp>
        <v>1115</v>
        <stp/>
        <stp>nse_cm|ICCL25-NS</stp>
        <stp>LTP</stp>
        <tr r="H1401" s="1"/>
      </tp>
      <tp t="s">
        <v>NSE</v>
        <stp/>
        <stp>nse_cm|1060ECL29-NS</stp>
        <stp>Exchange</stp>
        <tr r="C144" s="1"/>
      </tp>
      <tp t="s">
        <v>NSE</v>
        <stp/>
        <stp>nse_cm|736PFCL28-N2</stp>
        <stp>Exchange</stp>
        <tr r="C11" s="1"/>
      </tp>
      <tp>
        <v>900</v>
        <stp/>
        <stp>nse_cm|980SCL33C-ND</stp>
        <stp xml:space="preserve">Low </stp>
        <tr r="O1385" s="1"/>
      </tp>
      <tp>
        <v>0</v>
        <stp/>
        <stp>nse_cm|931SFL26A-NA</stp>
        <stp xml:space="preserve">Low </stp>
        <tr r="O786" s="1"/>
      </tp>
      <tp>
        <v>0</v>
        <stp/>
        <stp>bse_cm|9MFL25A</stp>
        <stp>Volume Traded Today</stp>
        <tr r="L702" s="1"/>
      </tp>
      <tp>
        <v>1000</v>
        <stp/>
        <stp>nse_cm|875SCFL27-Y9</stp>
        <stp>Prev Close</stp>
        <tr r="P927" s="1"/>
      </tp>
      <tp>
        <v>0</v>
        <stp/>
        <stp>nse_cm|843SCFL27-YB</stp>
        <stp>Prev Close</stp>
        <tr r="P929" s="1"/>
      </tp>
      <tp>
        <v>0</v>
        <stp/>
        <stp>bse_cm|9MFL27A</stp>
        <stp>Volume Traded Today</stp>
        <tr r="L257" s="1"/>
      </tp>
      <tp>
        <v>998</v>
        <stp/>
        <stp>nse_cm|945CAGL24-N1</stp>
        <stp>Prev Close</stp>
        <tr r="P1704" s="1"/>
      </tp>
      <tp>
        <v>0</v>
        <stp/>
        <stp>nse_cm|888SCL25A-AQ</stp>
        <stp>High</stp>
        <tr r="N910" s="1"/>
      </tp>
      <tp t="s">
        <v>NSE</v>
        <stp/>
        <stp>nse_cm|849NTPC25-N7</stp>
        <stp>Exchange</stp>
        <tr r="C302" s="1"/>
      </tp>
      <tp>
        <v>0</v>
        <stp/>
        <stp>bse_cm|9SFL26A</stp>
        <stp>Volume Traded Today</stp>
        <tr r="L1065" s="1"/>
      </tp>
      <tp>
        <v>0</v>
        <stp/>
        <stp>bse_cm|CIFC26A</stp>
        <stp>Open</stp>
        <tr r="M740" s="1"/>
      </tp>
      <tp>
        <v>0</v>
        <stp/>
        <stp>bse_cm|9SCL26B</stp>
        <stp>Volume Traded Today</stp>
        <tr r="L1135" s="1"/>
      </tp>
      <tp>
        <v>0</v>
        <stp/>
        <stp>bse_cm|9SFL25A</stp>
        <stp>Volume Traded Today</stp>
        <tr r="L441" s="1"/>
      </tp>
      <tp t="s">
        <v>NSE</v>
        <stp/>
        <stp>nse_cm|879NHPC28-N5</stp>
        <stp>Exchange</stp>
        <tr r="C464" s="1"/>
      </tp>
      <tp>
        <v>1051</v>
        <stp/>
        <stp>bse_cm|9SFL25A</stp>
        <stp>High</stp>
        <tr r="N441" s="1"/>
      </tp>
      <tp>
        <v>875</v>
        <stp/>
        <stp>nse_cm|948SCL26D-AI</stp>
        <stp>High</stp>
        <tr r="N1690" s="1"/>
      </tp>
      <tp>
        <v>1000</v>
        <stp/>
        <stp>nse_cm|971SCL28A-NT</stp>
        <stp xml:space="preserve">Low </stp>
        <tr r="O680" s="1"/>
      </tp>
      <tp>
        <v>1000</v>
        <stp/>
        <stp>bse_cm|85LTF26</stp>
        <stp>Bid Rate</stp>
        <tr r="E410" s="1"/>
      </tp>
      <tp>
        <v>45</v>
        <stp/>
        <stp>nse_cm|0MOFSL26-N1</stp>
        <stp>Ask Qty</stp>
        <tr r="G1644" s="1"/>
      </tp>
      <tp>
        <v>0</v>
        <stp/>
        <stp>nse_cm|0MOFSL27-N3</stp>
        <stp>Ask Qty</stp>
        <tr r="G1038" s="1"/>
      </tp>
      <tp>
        <v>1375</v>
        <stp/>
        <stp>nse_cm|892PFCL33-N8</stp>
        <stp>Ask Rate</stp>
        <tr r="F530" s="1"/>
      </tp>
      <tp>
        <v>981.2</v>
        <stp/>
        <stp>bse_cm|95MFL25</stp>
        <stp>Bid Rate</stp>
        <tr r="E1420" s="1"/>
      </tp>
      <tp>
        <v>955</v>
        <stp/>
        <stp>bse_cm|85IFL26</stp>
        <stp>Bid Rate</stp>
        <tr r="E1357" s="1"/>
      </tp>
      <tp>
        <v>860.2</v>
        <stp/>
        <stp>bse_cm|85KFL25</stp>
        <stp>Bid Rate</stp>
        <tr r="E641" s="1"/>
      </tp>
      <tp>
        <v>901</v>
        <stp/>
        <stp>bse_cm|95KLM25</stp>
        <stp>Bid Rate</stp>
        <tr r="E73" s="1"/>
      </tp>
      <tp>
        <v>1030</v>
        <stp/>
        <stp>nse_cm|0SCL27-YW</stp>
        <stp>LTP</stp>
        <tr r="H1616" s="1"/>
      </tp>
      <tp t="s">
        <v/>
        <stp/>
        <stp>nse_cm|0SCL26-YR</stp>
        <stp>LTT</stp>
        <tr r="I1622" s="1"/>
      </tp>
      <tp t="s">
        <v/>
        <stp/>
        <stp>nse_cm|0SCL27-YW</stp>
        <stp>LTT</stp>
        <tr r="I1616" s="1"/>
      </tp>
      <tp>
        <v>1000</v>
        <stp/>
        <stp>nse_cm|0SCL26-YR</stp>
        <stp>LTP</stp>
        <tr r="H1622" s="1"/>
      </tp>
      <tp>
        <v>1000</v>
        <stp/>
        <stp>nse_cm|9SCL25-YM</stp>
        <stp>LTP</stp>
        <tr r="H97" s="1"/>
      </tp>
      <tp t="s">
        <v/>
        <stp/>
        <stp>nse_cm|9SCL25-YM</stp>
        <stp>LTT</stp>
        <tr r="I97" s="1"/>
      </tp>
      <tp>
        <v>950.05</v>
        <stp/>
        <stp>bse_cm|95KFL26</stp>
        <stp>Bid Rate</stp>
        <tr r="E253" s="1"/>
      </tp>
      <tp>
        <v>1000</v>
        <stp/>
        <stp>nse_cm|957ISFL26-N2</stp>
        <stp>Face Value</stp>
        <tr r="Q245" s="1"/>
      </tp>
      <tp>
        <v>0</v>
        <stp/>
        <stp>bse_cm|MFLV29E</stp>
        <stp>Open</stp>
        <tr r="M650" s="1"/>
      </tp>
      <tp t="s">
        <v>NSE</v>
        <stp/>
        <stp>nse_cm|1065NFL27-NC</stp>
        <stp>Exchange</stp>
        <tr r="C170" s="1"/>
      </tp>
      <tp>
        <v>819.65</v>
        <stp/>
        <stp>bse_cm|95KFL27</stp>
        <stp>Bid Rate</stp>
        <tr r="E607" s="1"/>
      </tp>
      <tp t="s">
        <v>871REC28</v>
        <stp/>
        <stp>nse_cm|871REC28-N9</stp>
        <stp>Symbol</stp>
        <tr r="A542" s="1"/>
      </tp>
      <tp t="s">
        <v>846REC28</v>
        <stp/>
        <stp>nse_cm|846REC28-N6</stp>
        <stp>Symbol</stp>
        <tr r="A548" s="1"/>
      </tp>
      <tp t="s">
        <v>925SCL29</v>
        <stp/>
        <stp>nse_cm|925SCL29-YZ</stp>
        <stp>Symbol</stp>
        <tr r="A851" s="1"/>
      </tp>
      <tp t="s">
        <v>965SCL29</v>
        <stp/>
        <stp>nse_cm|965SCL29-YX</stp>
        <stp>Symbol</stp>
        <tr r="A847" s="1"/>
      </tp>
      <tp t="s">
        <v>971SCL29</v>
        <stp/>
        <stp>nse_cm|971SCL29-Z0</stp>
        <stp>Symbol</stp>
        <tr r="A681" s="1"/>
      </tp>
      <tp>
        <v>0</v>
        <stp/>
        <stp>bse_cm|MMFSL26</stp>
        <stp>Open</stp>
        <tr r="M1258" s="1"/>
      </tp>
      <tp>
        <v>962.1</v>
        <stp/>
        <stp>bse_cm|9MFCL26</stp>
        <stp>Open</stp>
        <tr r="M156" s="1"/>
      </tp>
      <tp>
        <v>0</v>
        <stp/>
        <stp>nse_cm|873NTPC28-N5</stp>
        <stp>Volume Traded Today</stp>
        <tr r="L541" s="1"/>
      </tp>
      <tp>
        <v>1010</v>
        <stp/>
        <stp>nse_cm|91MOFSL27-N2</stp>
        <stp>LTP</stp>
        <tr r="H1611" s="1"/>
      </tp>
      <tp t="s">
        <v/>
        <stp/>
        <stp>nse_cm|91MOFSL27-N2</stp>
        <stp>LTT</stp>
        <tr r="I1611" s="1"/>
      </tp>
      <tp t="s">
        <v>NSE</v>
        <stp/>
        <stp>nse_cm|816ABFL29-NC</stp>
        <stp>Exchange</stp>
        <tr r="C732" s="1"/>
      </tp>
      <tp>
        <v>0</v>
        <stp/>
        <stp>nse_cm|879NHPC28-N5</stp>
        <stp>Volume Traded Today</stp>
        <tr r="L464" s="1"/>
      </tp>
      <tp>
        <v>0</v>
        <stp/>
        <stp>nse_cm|945IFSL25-N4</stp>
        <stp>Volume Traded Today</stp>
        <tr r="L453" s="1"/>
      </tp>
      <tp>
        <v>1234</v>
        <stp/>
        <stp>bse_cm|MFLVIII26H</stp>
        <stp xml:space="preserve">Low </stp>
        <tr r="O1575" s="1"/>
      </tp>
      <tp>
        <v>1200</v>
        <stp/>
        <stp>bse_cm|9TCAP28</stp>
        <stp>High</stp>
        <tr r="N545" s="1"/>
      </tp>
      <tp>
        <v>1140</v>
        <stp/>
        <stp>nse_cm|96SCL25-AA</stp>
        <stp>High</stp>
        <tr r="N1067" s="1"/>
      </tp>
      <tp>
        <v>0</v>
        <stp/>
        <stp>bse_cm|MHLZC26</stp>
        <stp>LTP</stp>
        <tr r="H1522" s="1"/>
      </tp>
      <tp t="s">
        <v>00:00:00</v>
        <stp/>
        <stp>bse_cm|MHLZC26</stp>
        <stp>LTT</stp>
        <tr r="I1522" s="1"/>
      </tp>
      <tp t="s">
        <v>BSE</v>
        <stp/>
        <stp>bse_cm|895EFSL25A</stp>
        <stp>Exchange</stp>
        <tr r="C594" s="1"/>
      </tp>
      <tp>
        <v>0</v>
        <stp/>
        <stp>nse_cm|1025NFL25-N5</stp>
        <stp>Ask Rate</stp>
        <tr r="F1488" s="1"/>
      </tp>
      <tp>
        <v>0</v>
        <stp/>
        <stp>bse_cm|966ICCL25A</stp>
        <stp>Ask Rate</stp>
        <tr r="F846" s="1"/>
      </tp>
      <tp>
        <v>0</v>
        <stp/>
        <stp>bse_cm|955ICCL25A</stp>
        <stp>Ask Rate</stp>
        <tr r="F1143" s="1"/>
      </tp>
      <tp>
        <v>958.35</v>
        <stp/>
        <stp>nse_cm|842IIFL26-NL</stp>
        <stp>Ask Rate</stp>
        <tr r="F145" s="1"/>
      </tp>
      <tp>
        <v>0</v>
        <stp/>
        <stp>nse_cm|76IGT26-ND</stp>
        <stp>Open</stp>
        <tr r="M527" s="1"/>
      </tp>
      <tp>
        <v>0</v>
        <stp/>
        <stp>nse_cm|77IGT28-NE</stp>
        <stp>Open</stp>
        <tr r="M1190" s="1"/>
      </tp>
      <tp>
        <v>25</v>
        <stp/>
        <stp>nse_cm|ABFL28-N3</stp>
        <stp>Volume Traded Today</stp>
        <tr r="L1063" s="1"/>
      </tp>
      <tp>
        <v>0</v>
        <stp/>
        <stp>bse_cm|948ICCL25A</stp>
        <stp>Ask Rate</stp>
        <tr r="F1398" s="1"/>
      </tp>
      <tp>
        <v>0</v>
        <stp/>
        <stp>nse_cm|ABFL26-N1</stp>
        <stp>Volume Traded Today</stp>
        <tr r="L1679" s="1"/>
      </tp>
      <tp>
        <v>0</v>
        <stp/>
        <stp>nse_cm|CIFC26-NK</stp>
        <stp>Volume Traded Today</stp>
        <tr r="L741" s="1"/>
      </tp>
      <tp>
        <v>0</v>
        <stp/>
        <stp>nse_cm|CIFC28-NB</stp>
        <stp>Volume Traded Today</stp>
        <tr r="L1618" s="1"/>
      </tp>
      <tp>
        <v>0</v>
        <stp/>
        <stp>bse_cm|925ICCL25I</stp>
        <stp>Ask Rate</stp>
        <tr r="F782" s="1"/>
      </tp>
      <tp>
        <v>0</v>
        <stp/>
        <stp>nse_cm|79IGT28-NF</stp>
        <stp>Open</stp>
        <tr r="M692" s="1"/>
      </tp>
      <tp>
        <v>0</v>
        <stp/>
        <stp>nse_cm|980SCL33A-N3</stp>
        <stp xml:space="preserve">Low </stp>
        <tr r="O1055" s="1"/>
      </tp>
      <tp>
        <v>0</v>
        <stp/>
        <stp>nse_cm|85PCHFL26-N7</stp>
        <stp>Open</stp>
        <tr r="M712" s="1"/>
      </tp>
      <tp>
        <v>0</v>
        <stp/>
        <stp>bse_cm|965ICCL25I</stp>
        <stp>Ask Rate</stp>
        <tr r="F1430" s="1"/>
      </tp>
      <tp>
        <v>0</v>
        <stp/>
        <stp>bse_cm|MFLZC27</stp>
        <stp>LTP</stp>
        <tr r="H1271" s="1"/>
      </tp>
      <tp>
        <v>0</v>
        <stp/>
        <stp>bse_cm|MFLZC26</stp>
        <stp>LTP</stp>
        <tr r="H1720" s="1"/>
      </tp>
      <tp>
        <v>0</v>
        <stp/>
        <stp>bse_cm|MFLZC25</stp>
        <stp>LTP</stp>
        <tr r="H1683" s="1"/>
      </tp>
      <tp t="s">
        <v>00:00:00</v>
        <stp/>
        <stp>bse_cm|MFLZC27</stp>
        <stp>LTT</stp>
        <tr r="I1271" s="1"/>
      </tp>
      <tp t="s">
        <v>00:00:00</v>
        <stp/>
        <stp>bse_cm|MFLZC26</stp>
        <stp>LTT</stp>
        <tr r="I1720" s="1"/>
      </tp>
      <tp t="s">
        <v>00:00:00</v>
        <stp/>
        <stp>bse_cm|MFLZC25</stp>
        <stp>LTT</stp>
        <tr r="I1683" s="1"/>
      </tp>
      <tp>
        <v>999</v>
        <stp/>
        <stp>nse_cm|1025UCL25-N8</stp>
        <stp>Ask Rate</stp>
        <tr r="F217" s="1"/>
      </tp>
      <tp t="s">
        <v>00:00:00</v>
        <stp/>
        <stp>bse_cm|MFLZC32</stp>
        <stp>LTT</stp>
        <tr r="I1266" s="1"/>
      </tp>
      <tp t="s">
        <v>00:00:00</v>
        <stp/>
        <stp>bse_cm|MFLZC30</stp>
        <stp>LTT</stp>
        <tr r="I1267" s="1"/>
      </tp>
      <tp>
        <v>0</v>
        <stp/>
        <stp>bse_cm|MFLZC32</stp>
        <stp>LTP</stp>
        <tr r="H1266" s="1"/>
      </tp>
      <tp>
        <v>0</v>
        <stp/>
        <stp>bse_cm|MFLZC30</stp>
        <stp>LTP</stp>
        <tr r="H1267" s="1"/>
      </tp>
      <tp>
        <v>900.3</v>
        <stp/>
        <stp>bse_cm|1075SCL34</stp>
        <stp>Bid Rate</stp>
        <tr r="E888" s="1"/>
      </tp>
      <tp>
        <v>925</v>
        <stp/>
        <stp>bse_cm|1025SCL34</stp>
        <stp>Bid Rate</stp>
        <tr r="E129" s="1"/>
      </tp>
      <tp>
        <v>820</v>
        <stp/>
        <stp>bse_cm|1075SCL33</stp>
        <stp>Bid Rate</stp>
        <tr r="E881" s="1"/>
      </tp>
      <tp>
        <v>818.2</v>
        <stp/>
        <stp>bse_cm|1025SCL33</stp>
        <stp>Bid Rate</stp>
        <tr r="E879" s="1"/>
      </tp>
      <tp t="s">
        <v>88MMFSL26</v>
        <stp/>
        <stp>bse_cm|88MMFSL26</stp>
        <stp>Symbol</stp>
        <tr r="A988" s="1"/>
      </tp>
      <tp>
        <v>1198.25</v>
        <stp/>
        <stp>bse_cm|865SCL24B</stp>
        <stp>High</stp>
        <tr r="N953" s="1"/>
      </tp>
      <tp>
        <v>0</v>
        <stp/>
        <stp>bse_cm|875KFL25A</stp>
        <stp>Open</stp>
        <tr r="M1157" s="1"/>
      </tp>
      <tp>
        <v>861</v>
        <stp/>
        <stp>bse_cm|1045EFS33</stp>
        <stp>Bid Rate</stp>
        <tr r="E1030" s="1"/>
      </tp>
      <tp>
        <v>821.65</v>
        <stp/>
        <stp>bse_cm|1045EFS34</stp>
        <stp>Bid Rate</stp>
        <tr r="E1450" s="1"/>
      </tp>
      <tp>
        <v>0</v>
        <stp/>
        <stp>bse_cm|0MML27524</stp>
        <stp>Open</stp>
        <tr r="M1042" s="1"/>
      </tp>
      <tp>
        <v>836.2</v>
        <stp/>
        <stp>bse_cm|MML11924A</stp>
        <stp>Bid Rate</stp>
        <tr r="E1256" s="1"/>
      </tp>
      <tp>
        <v>0</v>
        <stp/>
        <stp>bse_cm|91MOFSL27</stp>
        <stp>Open</stp>
        <tr r="M1558" s="1"/>
      </tp>
      <tp t="s">
        <v>INE523L07751</v>
        <stp/>
        <stp>bse_cm|955NWIL27</stp>
        <stp>Isin code</stp>
        <tr r="R1480" s="1"/>
      </tp>
      <tp t="s">
        <v>0SCL27</v>
        <stp/>
        <stp>nse_cm|0SCL27-YW</stp>
        <stp>Symbol</stp>
        <tr r="A1616" s="1"/>
      </tp>
      <tp>
        <v>839.85</v>
        <stp/>
        <stp>bse_cm|MML11924C</stp>
        <stp>Bid Rate</stp>
        <tr r="E1623" s="1"/>
      </tp>
      <tp>
        <v>835.8</v>
        <stp/>
        <stp>bse_cm|MML11924B</stp>
        <stp>Bid Rate</stp>
        <tr r="E1255" s="1"/>
      </tp>
      <tp t="s">
        <v>INE523L07710</v>
        <stp/>
        <stp>bse_cm|916NWIL27</stp>
        <stp>Isin code</stp>
        <tr r="R209" s="1"/>
      </tp>
      <tp>
        <v>0</v>
        <stp/>
        <stp>bse_cm|769NHAI31</stp>
        <stp>Open</stp>
        <tr r="M465" s="1"/>
      </tp>
      <tp>
        <v>0</v>
        <stp/>
        <stp>bse_cm|735NHAI31</stp>
        <stp>Open</stp>
        <tr r="M565" s="1"/>
      </tp>
      <tp t="s">
        <v>INE033L07GU2</v>
        <stp/>
        <stp>nse_cm|84TCHF28-NA</stp>
        <stp>Isin code</stp>
        <tr r="R402" s="1"/>
      </tp>
      <tp>
        <v>0</v>
        <stp/>
        <stp>bse_cm|930NIDO32</stp>
        <stp>Open</stp>
        <tr r="M76" s="1"/>
      </tp>
      <tp>
        <v>0</v>
        <stp/>
        <stp>bse_cm|970NIDO32</stp>
        <stp>Open</stp>
        <tr r="M67" s="1"/>
      </tp>
      <tp>
        <v>845.8</v>
        <stp/>
        <stp>bse_cm|IFL19424A</stp>
        <stp>Bid Rate</stp>
        <tr r="E1419" s="1"/>
      </tp>
      <tp t="s">
        <v>9PEL25</v>
        <stp/>
        <stp>bse_cm|9PEL25</stp>
        <stp>Symbol</stp>
        <tr r="A315" s="1"/>
      </tp>
      <tp>
        <v>1038</v>
        <stp/>
        <stp>bse_cm|10MVAFL25</stp>
        <stp>High</stp>
        <tr r="N1675" s="1"/>
      </tp>
      <tp>
        <v>0</v>
        <stp/>
        <stp>bse_cm|MFLTDVII27</stp>
        <stp>Ask Qty</stp>
        <tr r="G1562" s="1"/>
      </tp>
      <tp>
        <v>277</v>
        <stp/>
        <stp>bse_cm|MFLTDIII24</stp>
        <stp>Ask Qty</stp>
        <tr r="G1721" s="1"/>
      </tp>
      <tp>
        <v>1035.92</v>
        <stp/>
        <stp>nse_cm|SCLZC25D-NJ</stp>
        <stp>Prev Close</stp>
        <tr r="P1699" s="1"/>
      </tp>
      <tp>
        <v>1000</v>
        <stp/>
        <stp>nse_cm|SCLZC26D-NO</stp>
        <stp>Prev Close</stp>
        <tr r="P901" s="1"/>
      </tp>
      <tp>
        <v>0</v>
        <stp/>
        <stp>bse_cm|DLSL25</stp>
        <stp>ATP</stp>
        <tr r="K1747" s="1"/>
      </tp>
      <tp>
        <v>0</v>
        <stp/>
        <stp>bse_cm|EFSL28</stp>
        <stp>ATP</stp>
        <tr r="K1609" s="1"/>
      </tp>
      <tp>
        <v>0</v>
        <stp/>
        <stp>bse_cm|EFSL29</stp>
        <stp>ATP</stp>
        <tr r="K659" s="1"/>
      </tp>
      <tp>
        <v>0</v>
        <stp/>
        <stp>bse_cm|EFSL25</stp>
        <stp>ATP</stp>
        <tr r="K1694" s="1"/>
      </tp>
      <tp>
        <v>0</v>
        <stp/>
        <stp>bse_cm|EFSL26</stp>
        <stp>ATP</stp>
        <tr r="K1687" s="1"/>
      </tp>
      <tp>
        <v>0</v>
        <stp/>
        <stp>bse_cm|EFSL27</stp>
        <stp>ATP</stp>
        <tr r="K1531" s="1"/>
      </tp>
      <tp>
        <v>0</v>
        <stp/>
        <stp>bse_cm|995NWIL32</stp>
        <stp>Open</stp>
        <tr r="M1023" s="1"/>
      </tp>
      <tp>
        <v>0</v>
        <stp/>
        <stp>bse_cm|953NWIL32</stp>
        <stp>Open</stp>
        <tr r="M226" s="1"/>
      </tp>
      <tp>
        <v>0</v>
        <stp/>
        <stp>bse_cm|CAGL28</stp>
        <stp>ATP</stp>
        <tr r="K757" s="1"/>
      </tp>
      <tp>
        <v>0</v>
        <stp/>
        <stp>bse_cm|CAGL27</stp>
        <stp>ATP</stp>
        <tr r="K734" s="1"/>
      </tp>
      <tp>
        <v>0</v>
        <stp/>
        <stp>bse_cm|CAGL26</stp>
        <stp>ATP</stp>
        <tr r="K708" s="1"/>
      </tp>
      <tp>
        <v>0</v>
        <stp/>
        <stp>bse_cm|CAGL25</stp>
        <stp>ATP</stp>
        <tr r="K1061" s="1"/>
      </tp>
      <tp>
        <v>0</v>
        <stp/>
        <stp>bse_cm|CAGL24</stp>
        <stp>ATP</stp>
        <tr r="K1761" s="1"/>
      </tp>
      <tp t="s">
        <v>990SCL26B</v>
        <stp/>
        <stp>nse_cm|990SCL26B-Y7</stp>
        <stp>Symbol</stp>
        <tr r="A798" s="1"/>
      </tp>
      <tp t="s">
        <v>980SCL33B</v>
        <stp/>
        <stp>nse_cm|980SCL33B-YL</stp>
        <stp>Symbol</stp>
        <tr r="A837" s="1"/>
      </tp>
      <tp>
        <v>0</v>
        <stp/>
        <stp>bse_cm|ABFL28</stp>
        <stp>ATP</stp>
        <tr r="K1373" s="1"/>
      </tp>
      <tp>
        <v>0</v>
        <stp/>
        <stp>bse_cm|ABFL26</stp>
        <stp>ATP</stp>
        <tr r="K1064" s="1"/>
      </tp>
      <tp t="s">
        <v>971SCL28B</v>
        <stp/>
        <stp>nse_cm|971SCL28B-YD</stp>
        <stp>Symbol</stp>
        <tr r="A828" s="1"/>
      </tp>
      <tp>
        <v>0</v>
        <stp/>
        <stp>bse_cm|NWIL25</stp>
        <stp>ATP</stp>
        <tr r="K1546" s="1"/>
      </tp>
      <tp>
        <v>0</v>
        <stp/>
        <stp>bse_cm|NWIL27</stp>
        <stp>ATP</stp>
        <tr r="K1439" s="1"/>
      </tp>
      <tp t="s">
        <v>965SCL28B</v>
        <stp/>
        <stp>nse_cm|965SCL28B-YB</stp>
        <stp>Symbol</stp>
        <tr r="A819" s="1"/>
      </tp>
      <tp t="s">
        <v>965SCL25B</v>
        <stp/>
        <stp>nse_cm|965SCL25B-Y1</stp>
        <stp>Symbol</stp>
        <tr r="A1502" s="1"/>
      </tp>
      <tp t="s">
        <v>INE733E07JP6</v>
        <stp/>
        <stp>bse_cm|849NTPC25</stp>
        <stp>Isin code</stp>
        <tr r="R443" s="1"/>
      </tp>
      <tp t="s">
        <v>948SCL26B</v>
        <stp/>
        <stp>nse_cm|948SCL26B-Y8</stp>
        <stp>Symbol</stp>
        <tr r="A159" s="1"/>
      </tp>
      <tp t="s">
        <v>940SCL26B</v>
        <stp/>
        <stp>nse_cm|940SCL26B-Y6</stp>
        <stp>Symbol</stp>
        <tr r="A795" s="1"/>
      </tp>
      <tp>
        <v>0</v>
        <stp/>
        <stp>bse_cm|MMFL27</stp>
        <stp>ATP</stp>
        <tr r="K1513" s="1"/>
      </tp>
      <tp>
        <v>0</v>
        <stp/>
        <stp>bse_cm|MMFL25</stp>
        <stp>ATP</stp>
        <tr r="K1725" s="1"/>
      </tp>
      <tp>
        <v>0</v>
        <stp/>
        <stp>bse_cm|KAFL30</stp>
        <stp>ATP</stp>
        <tr r="K1317" s="1"/>
      </tp>
      <tp t="s">
        <v>925SCL26B</v>
        <stp/>
        <stp>nse_cm|925SCL26B-YQ</stp>
        <stp>Symbol</stp>
        <tr r="A90" s="1"/>
      </tp>
      <tp t="s">
        <v>925SCL28B</v>
        <stp/>
        <stp>nse_cm|925SCL28B-YC</stp>
        <stp>Symbol</stp>
        <tr r="A825" s="1"/>
      </tp>
      <tp t="s">
        <v>925SCL25B</v>
        <stp/>
        <stp>nse_cm|925SCL25B-Y3</stp>
        <stp>Symbol</stp>
        <tr r="A600" s="1"/>
      </tp>
      <tp>
        <v>1002.01</v>
        <stp/>
        <stp>bse_cm|750PFCL26</stp>
        <stp xml:space="preserve">Low </stp>
        <tr r="O448" s="1"/>
      </tp>
      <tp>
        <v>0</v>
        <stp/>
        <stp>bse_cm|745PFCL26</stp>
        <stp xml:space="preserve">Low </stp>
        <tr r="O1200" s="1"/>
      </tp>
      <tp>
        <v>0</v>
        <stp/>
        <stp>bse_cm|KAFL29</stp>
        <stp>ATP</stp>
        <tr r="K1318" s="1"/>
      </tp>
      <tp>
        <v>0</v>
        <stp/>
        <stp>bse_cm|KAFL28</stp>
        <stp>ATP</stp>
        <tr r="K1320" s="1"/>
      </tp>
      <tp>
        <v>0</v>
        <stp/>
        <stp>bse_cm|KAFL25</stp>
        <stp>ATP</stp>
        <tr r="K1321" s="1"/>
      </tp>
      <tp>
        <v>0</v>
        <stp/>
        <stp>bse_cm|565PFCL26</stp>
        <stp xml:space="preserve">Low </stp>
        <tr r="O1210" s="1"/>
      </tp>
      <tp>
        <v>0</v>
        <stp/>
        <stp>bse_cm|ICCL25</stp>
        <stp>ATP</stp>
        <tr r="K1330" s="1"/>
      </tp>
      <tp>
        <v>10</v>
        <stp/>
        <stp>nse_cm|0MOFSL27-N3</stp>
        <stp>Bid Qty</stp>
        <tr r="D1038" s="1"/>
      </tp>
      <tp>
        <v>100</v>
        <stp/>
        <stp>nse_cm|0MOFSL26-N1</stp>
        <stp>Bid Qty</stp>
        <tr r="D1644" s="1"/>
      </tp>
      <tp>
        <v>0</v>
        <stp/>
        <stp>bse_cm|KFLZC28</stp>
        <stp>Volume Traded Today</stp>
        <tr r="L1290" s="1"/>
      </tp>
      <tp>
        <v>0</v>
        <stp/>
        <stp>bse_cm|KFLZC29</stp>
        <stp>Volume Traded Today</stp>
        <tr r="L1639" s="1"/>
      </tp>
      <tp>
        <v>0</v>
        <stp/>
        <stp>bse_cm|KFLZC26</stp>
        <stp>Volume Traded Today</stp>
        <tr r="L1709" s="1"/>
      </tp>
      <tp>
        <v>0</v>
        <stp/>
        <stp>bse_cm|KFLZC27</stp>
        <stp>Volume Traded Today</stp>
        <tr r="L1292" s="1"/>
      </tp>
      <tp>
        <v>0</v>
        <stp/>
        <stp>bse_cm|KFLZC24</stp>
        <stp>Volume Traded Today</stp>
        <tr r="L1766" s="1"/>
      </tp>
      <tp>
        <v>0</v>
        <stp/>
        <stp>bse_cm|KFLZC25</stp>
        <stp>Volume Traded Today</stp>
        <tr r="L1754" s="1"/>
      </tp>
      <tp>
        <v>0</v>
        <stp/>
        <stp>nse_cm|902SCL26A-NM</stp>
        <stp xml:space="preserve">Low </stp>
        <tr r="O904" s="1"/>
      </tp>
      <tp>
        <v>0</v>
        <stp/>
        <stp>bse_cm|KFLZC2A</stp>
        <stp>Volume Traded Today</stp>
        <tr r="L1760" s="1"/>
      </tp>
      <tp>
        <v>0</v>
        <stp/>
        <stp>bse_cm|NIDO010329</stp>
        <stp>Ask Rate</stp>
        <tr r="F1246" s="1"/>
      </tp>
      <tp>
        <v>0</v>
        <stp/>
        <stp>bse_cm|KFLZC31</stp>
        <stp>Volume Traded Today</stp>
        <tr r="L1286" s="1"/>
      </tp>
      <tp>
        <v>0</v>
        <stp/>
        <stp>nse_cm|M&amp;MFIN-N3</stp>
        <stp>ATP</stp>
        <tr r="K1723" s="1"/>
      </tp>
      <tp>
        <v>0</v>
        <stp/>
        <stp>bse_cm|810MFL2028</stp>
        <stp>Ask Rate</stp>
        <tr r="F651" s="1"/>
      </tp>
      <tp>
        <v>0</v>
        <stp/>
        <stp>nse_cm|87SCL27-Z6</stp>
        <stp>Open</stp>
        <tr r="M950" s="1"/>
      </tp>
      <tp>
        <v>1000</v>
        <stp/>
        <stp>nse_cm|891NTPC33-N6</stp>
        <stp>Face Value</stp>
        <tr r="Q535" s="1"/>
      </tp>
      <tp>
        <v>825.2</v>
        <stp/>
        <stp>bse_cm|96SCL25</stp>
        <stp>Bid Rate</stp>
        <tr r="E1068" s="1"/>
      </tp>
      <tp>
        <v>1000</v>
        <stp/>
        <stp>nse_cm|925SCFL25-AD</stp>
        <stp>Prev Close</stp>
        <tr r="P773" s="1"/>
      </tp>
      <tp>
        <v>1048</v>
        <stp/>
        <stp>bse_cm|825MFL2026</stp>
        <stp>Ask Rate</stp>
        <tr r="F318" s="1"/>
      </tp>
      <tp>
        <v>1147.0999999999999</v>
        <stp/>
        <stp>bse_cm|743IREDA36</stp>
        <stp>Bid Rate</stp>
        <tr r="E1441" s="1"/>
      </tp>
      <tp t="s">
        <v>NSE</v>
        <stp/>
        <stp>nse_cm|735PFCL35-N1</stp>
        <stp>Exchange</stp>
        <tr r="C26" s="1"/>
      </tp>
      <tp>
        <v>1030</v>
        <stp/>
        <stp>nse_cm|957ICCL25-YW</stp>
        <stp>Prev Close</stp>
        <tr r="P386" s="1"/>
      </tp>
      <tp>
        <v>1000</v>
        <stp/>
        <stp>nse_cm|866NTPC33-N3</stp>
        <stp>Face Value</stp>
        <tr r="Q555" s="1"/>
      </tp>
      <tp>
        <v>1000</v>
        <stp/>
        <stp>nse_cm|921ISFL25-N0</stp>
        <stp>Ask Rate</stp>
        <tr r="F287" s="1"/>
      </tp>
      <tp>
        <v>1201.5999999999999</v>
        <stp/>
        <stp>bse_cm|768IREDA36</stp>
        <stp>Bid Rate</stp>
        <tr r="E543" s="1"/>
      </tp>
      <tp>
        <v>925.94</v>
        <stp/>
        <stp>bse_cm|1045NIDO33</stp>
        <stp>Ask Rate</stp>
        <tr r="F71" s="1"/>
      </tp>
      <tp>
        <v>1033.8</v>
        <stp/>
        <stp>nse_cm|965SCFL25-AB</stp>
        <stp>Prev Close</stp>
        <tr r="P664" s="1"/>
      </tp>
      <tp>
        <v>0</v>
        <stp/>
        <stp>bse_cm|1026NIDO34</stp>
        <stp>Ask Rate</stp>
        <tr r="F1018" s="1"/>
      </tp>
      <tp>
        <v>0</v>
        <stp/>
        <stp>bse_cm|1075NIDO34</stp>
        <stp>Ask Rate</stp>
        <tr r="F1021" s="1"/>
      </tp>
      <tp>
        <v>975</v>
        <stp/>
        <stp>bse_cm|1026NHFL34</stp>
        <stp>Ask Rate</stp>
        <tr r="F155" s="1"/>
      </tp>
      <tp>
        <v>1152</v>
        <stp/>
        <stp>bse_cm|774IREDA31</stp>
        <stp>Bid Rate</stp>
        <tr r="E17" s="1"/>
      </tp>
      <tp>
        <v>0</v>
        <stp/>
        <stp>bse_cm|1075NHFL34</stp>
        <stp>Ask Rate</stp>
        <tr r="F1553" s="1"/>
      </tp>
      <tp t="s">
        <v>NSE</v>
        <stp/>
        <stp>nse_cm|1050SCL30-NU</stp>
        <stp>Exchange</stp>
        <tr r="C893" s="1"/>
      </tp>
      <tp>
        <v>840.2</v>
        <stp/>
        <stp>bse_cm|SFL2722024</stp>
        <stp>Bid Rate</stp>
        <tr r="E806" s="1"/>
      </tp>
      <tp>
        <v>1117.0999999999999</v>
        <stp/>
        <stp>bse_cm|749IREDA31</stp>
        <stp>Bid Rate</stp>
        <tr r="E568" s="1"/>
      </tp>
      <tp>
        <v>0</v>
        <stp/>
        <stp>bse_cm|NIDO010327</stp>
        <stp>Ask Rate</stp>
        <tr r="F1247" s="1"/>
      </tp>
      <tp>
        <v>0</v>
        <stp/>
        <stp>bse_cm|875KFL2025</stp>
        <stp>Ask Rate</stp>
        <tr r="F1158" s="1"/>
      </tp>
      <tp>
        <v>1110</v>
        <stp/>
        <stp>nse_cm|1119NFL27-ND</stp>
        <stp>Ask Rate</stp>
        <tr r="F337" s="1"/>
      </tp>
      <tp>
        <v>1005</v>
        <stp/>
        <stp>nse_cm|940CAGL27-NB</stp>
        <stp>Prev Close</stp>
        <tr r="P1367" s="1"/>
      </tp>
      <tp>
        <v>0</v>
        <stp/>
        <stp>bse_cm|NIDO010326</stp>
        <stp>Ask Rate</stp>
        <tr r="F1248" s="1"/>
      </tp>
      <tp>
        <v>0</v>
        <stp/>
        <stp>nse_cm|92LTF29-N4</stp>
        <stp xml:space="preserve">Low </stp>
        <tr r="O1087" s="1"/>
      </tp>
      <tp t="s">
        <v>BSE</v>
        <stp/>
        <stp>bse_cm|1075KAFL29</stp>
        <stp>Exchange</stp>
        <tr r="C125" s="1"/>
      </tp>
      <tp t="s">
        <v>BSE</v>
        <stp/>
        <stp>bse_cm|790MMFSL27</stp>
        <stp>Exchange</stp>
        <tr r="C1189" s="1"/>
      </tp>
      <tp t="s">
        <v>NSE</v>
        <stp/>
        <stp>nse_cm|850NHAI29-N5</stp>
        <stp>Exchange</stp>
        <tr r="C512" s="1"/>
      </tp>
      <tp t="s">
        <v>BSE</v>
        <stp/>
        <stp>bse_cm|1050KAFL28</stp>
        <stp>Exchange</stp>
        <tr r="C610" s="1"/>
      </tp>
      <tp t="s">
        <v>BSE</v>
        <stp/>
        <stp>bse_cm|1075KAFL28</stp>
        <stp>Exchange</stp>
        <tr r="C1118" s="1"/>
      </tp>
      <tp t="s">
        <v>BSE</v>
        <stp/>
        <stp>bse_cm|791JMFPL26</stp>
        <stp>Exchange</stp>
        <tr r="C276" s="1"/>
      </tp>
      <tp>
        <v>0</v>
        <stp/>
        <stp>bse_cm|NIDO25A</stp>
        <stp>Open</stp>
        <tr r="M1245" s="1"/>
      </tp>
      <tp>
        <v>0</v>
        <stp/>
        <stp>bse_cm|9SFL26A</stp>
        <stp>High</stp>
        <tr r="N1065" s="1"/>
      </tp>
      <tp t="s">
        <v>NSE</v>
        <stp/>
        <stp>nse_cm|925CAGL26-N9</stp>
        <stp>Exchange</stp>
        <tr r="C639" s="1"/>
      </tp>
      <tp t="s">
        <v>BSE</v>
        <stp/>
        <stp>bse_cm|875PCHFL31</stp>
        <stp>Exchange</stp>
        <tr r="C1172" s="1"/>
      </tp>
      <tp t="s">
        <v>NSE</v>
        <stp/>
        <stp>nse_cm|945IFSL25-N4</stp>
        <stp>Exchange</stp>
        <tr r="C453" s="1"/>
      </tp>
      <tp t="s">
        <v>INE414G07GE8</v>
        <stp/>
        <stp>bse_cm|MFLII27B</stp>
        <stp>Isin code</stp>
        <tr r="R359" s="1"/>
      </tp>
      <tp t="s">
        <v>INE414G07FR2</v>
        <stp/>
        <stp>bse_cm|MFLII26B</stp>
        <stp>Isin code</stp>
        <tr r="R1454" s="1"/>
      </tp>
      <tp>
        <v>1000</v>
        <stp/>
        <stp>nse_cm|1015ECL29-NR</stp>
        <stp>Ask Rate</stp>
        <tr r="F204" s="1"/>
      </tp>
      <tp>
        <v>1100.3</v>
        <stp/>
        <stp>nse_cm|1015SCL28-NR</stp>
        <stp>Ask Rate</stp>
        <tr r="F288" s="1"/>
      </tp>
      <tp>
        <v>0</v>
        <stp/>
        <stp>bse_cm|9SCL26B</stp>
        <stp>High</stp>
        <tr r="N1135" s="1"/>
      </tp>
      <tp>
        <v>835.35</v>
        <stp/>
        <stp>bse_cm|96ONE29</stp>
        <stp>Bid Rate</stp>
        <tr r="E1621" s="1"/>
      </tp>
      <tp>
        <v>0</v>
        <stp/>
        <stp>nse_cm|97MOFSL34-N7</stp>
        <stp>Volume Traded Today</stp>
        <tr r="L1599" s="1"/>
      </tp>
      <tp t="s">
        <v>NSE</v>
        <stp/>
        <stp>nse_cm|965IFSL26-N6</stp>
        <stp>Exchange</stp>
        <tr r="C1346" s="1"/>
      </tp>
      <tp>
        <v>0</v>
        <stp/>
        <stp>bse_cm|1025NWFL30</stp>
        <stp>Ask Rate</stp>
        <tr r="F1026" s="1"/>
      </tp>
      <tp t="s">
        <v>NSE</v>
        <stp/>
        <stp>nse_cm|105IIFL29-N7</stp>
        <stp>Exchange</stp>
        <tr r="C270" s="1"/>
      </tp>
      <tp t="s">
        <v>NSE</v>
        <stp/>
        <stp>nse_cm|825IIFL25-N7</stp>
        <stp>Exchange</stp>
        <tr r="C49" s="1"/>
      </tp>
      <tp>
        <v>1000</v>
        <stp/>
        <stp>nse_cm|921ISFL25-N0</stp>
        <stp>Face Value</stp>
        <tr r="Q287" s="1"/>
      </tp>
      <tp>
        <v>350</v>
        <stp/>
        <stp>nse_cm|IIFLHFZC27-NB</stp>
        <stp>Ask Qty</stp>
        <tr r="G1672" s="1"/>
      </tp>
      <tp t="s">
        <v>NSE</v>
        <stp/>
        <stp>nse_cm|805ABFL28-N2</stp>
        <stp>Exchange</stp>
        <tr r="C477" s="1"/>
      </tp>
      <tp t="s">
        <v>NSE</v>
        <stp/>
        <stp>nse_cm|925ERFL28-N6</stp>
        <stp>Exchange</stp>
        <tr r="C165" s="1"/>
      </tp>
      <tp>
        <v>1065.01</v>
        <stp/>
        <stp>bse_cm|86LTF24</stp>
        <stp>Bid Rate</stp>
        <tr r="E8" s="1"/>
      </tp>
      <tp t="s">
        <v>NSE</v>
        <stp/>
        <stp>nse_cm|945CAGL24-N1</stp>
        <stp>Exchange</stp>
        <tr r="C1704" s="1"/>
      </tp>
      <tp>
        <v>970.02</v>
        <stp/>
        <stp>bse_cm|96MFL25</stp>
        <stp>Bid Rate</stp>
        <tr r="E1392" s="1"/>
      </tp>
      <tp t="s">
        <v>BSE</v>
        <stp/>
        <stp>bse_cm|1025KAFL27</stp>
        <stp>Exchange</stp>
        <tr r="C769" s="1"/>
      </tp>
      <tp t="s">
        <v>BSE</v>
        <stp/>
        <stp>bse_cm|1050KAFL27</stp>
        <stp>Exchange</stp>
        <tr r="C1160" s="1"/>
      </tp>
      <tp>
        <v>1000</v>
        <stp/>
        <stp>nse_cm|960ISFL25-N1</stp>
        <stp>Face Value</stp>
        <tr r="Q1695" s="1"/>
      </tp>
      <tp>
        <v>992</v>
        <stp/>
        <stp>bse_cm|76IGT26</stp>
        <stp>Bid Rate</stp>
        <tr r="E1608" s="1"/>
      </tp>
      <tp t="s">
        <v>BSE</v>
        <stp/>
        <stp>bse_cm|1125KAFL27</stp>
        <stp>Exchange</stp>
        <tr r="C1228" s="1"/>
      </tp>
      <tp t="s">
        <v>BSE</v>
        <stp/>
        <stp>bse_cm|1025KAFL25</stp>
        <stp>Exchange</stp>
        <tr r="C770" s="1"/>
      </tp>
      <tp t="s">
        <v>BSE</v>
        <stp/>
        <stp>bse_cm|1050KAFL25</stp>
        <stp>Exchange</stp>
        <tr r="C1161" s="1"/>
      </tp>
      <tp t="s">
        <v>BSE</v>
        <stp/>
        <stp>bse_cm|1075KLMA28</stp>
        <stp>Exchange</stp>
        <tr r="C1116" s="1"/>
      </tp>
      <tp t="s">
        <v>BSE</v>
        <stp/>
        <stp>bse_cm|1050KLMA28</stp>
        <stp>Exchange</stp>
        <tr r="C611" s="1"/>
      </tp>
      <tp>
        <v>1000</v>
        <stp/>
        <stp>bse_cm|MFLVII25G</stp>
        <stp>Face Value</stp>
        <tr r="Q1729" s="1"/>
      </tp>
      <tp>
        <v>1000</v>
        <stp/>
        <stp>bse_cm|MFLIII25C</stp>
        <stp>Face Value</stp>
        <tr r="Q213" s="1"/>
      </tp>
      <tp t="s">
        <v>829PFL29</v>
        <stp/>
        <stp>nse_cm|829PFL29-N6</stp>
        <stp>Symbol</stp>
        <tr r="A1451" s="1"/>
      </tp>
      <tp t="s">
        <v>BSE</v>
        <stp/>
        <stp>bse_cm|890ICCL23A</stp>
        <stp>Exchange</stp>
        <tr r="C1486" s="1"/>
      </tp>
      <tp t="s">
        <v>NSE</v>
        <stp/>
        <stp>nse_cm|985IIFL22-NC</stp>
        <stp>Exchange</stp>
        <tr r="C114" s="1"/>
      </tp>
      <tp>
        <v>963.2</v>
        <stp/>
        <stp>bse_cm|865MF25</stp>
        <stp>Bid Rate</stp>
        <tr r="E111" s="1"/>
      </tp>
      <tp>
        <v>0</v>
        <stp/>
        <stp>nse_cm|87SCL25-ZV</stp>
        <stp>Open</stp>
        <tr r="M979" s="1"/>
      </tp>
      <tp t="s">
        <v>NSE</v>
        <stp/>
        <stp>nse_cm|875IHFL29-ND</stp>
        <stp>Exchange</stp>
        <tr r="C77" s="1"/>
      </tp>
      <tp>
        <v>1000</v>
        <stp/>
        <stp>bse_cm|MFLTDII27</stp>
        <stp>Face Value</stp>
        <tr r="Q297" s="1"/>
      </tp>
      <tp>
        <v>0</v>
        <stp/>
        <stp>bse_cm|0NHFL29</stp>
        <stp>Open</stp>
        <tr r="M1035" s="1"/>
      </tp>
      <tp t="s">
        <v>BSE</v>
        <stp/>
        <stp>bse_cm|KFL070824D</stp>
        <stp>Exchange</stp>
        <tr r="C1310" s="1"/>
      </tp>
      <tp t="s">
        <v>BSE</v>
        <stp/>
        <stp>bse_cm|950MFCL27D</stp>
        <stp>Exchange</stp>
        <tr r="C1496" s="1"/>
      </tp>
      <tp t="s">
        <v>BSE</v>
        <stp/>
        <stp>bse_cm|MFCL16924B</stp>
        <stp>Exchange</stp>
        <tr r="C1284" s="1"/>
      </tp>
      <tp>
        <v>0</v>
        <stp/>
        <stp>bse_cm|0NHFL26</stp>
        <stp>Open</stp>
        <tr r="M1037" s="1"/>
      </tp>
      <tp t="s">
        <v>BSE</v>
        <stp/>
        <stp>bse_cm|MFCL16924C</stp>
        <stp>Exchange</stp>
        <tr r="C660" s="1"/>
      </tp>
      <tp>
        <v>0</v>
        <stp/>
        <stp>bse_cm|0NHFL27</stp>
        <stp>Open</stp>
        <tr r="M1036" s="1"/>
      </tp>
      <tp t="s">
        <v>BSE</v>
        <stp/>
        <stp>bse_cm|MFCL16924A</stp>
        <stp>Exchange</stp>
        <tr r="C1285" s="1"/>
      </tp>
      <tp>
        <v>0</v>
        <stp/>
        <stp>nse_cm|848NTPC28-N2</stp>
        <stp>Volume Traded Today</stp>
        <tr r="L1405" s="1"/>
      </tp>
      <tp t="s">
        <v>BSE</v>
        <stp/>
        <stp>bse_cm|KFL070824A</stp>
        <stp>Exchange</stp>
        <tr r="C1313" s="1"/>
      </tp>
      <tp t="s">
        <v>BSE</v>
        <stp/>
        <stp>bse_cm|875MFCL26C</stp>
        <stp>Exchange</stp>
        <tr r="C309" s="1"/>
      </tp>
      <tp>
        <v>32123</v>
        <stp/>
        <stp>nse_cm|849NTPC25-N7</stp>
        <stp>Volume Traded Today</stp>
        <tr r="L302" s="1"/>
      </tp>
      <tp t="s">
        <v>BSE</v>
        <stp/>
        <stp>bse_cm|EFS290424A</stp>
        <stp>Exchange</stp>
        <tr r="C571" s="1"/>
      </tp>
      <tp>
        <v>0</v>
        <stp/>
        <stp>bse_cm|910TCAP28</stp>
        <stp>ATP</stp>
        <tr r="K409" s="1"/>
      </tp>
      <tp t="s">
        <v>NSE</v>
        <stp/>
        <stp>nse_cm|875IIFL26-NM</stp>
        <stp>Exchange</stp>
        <tr r="C640" s="1"/>
      </tp>
      <tp t="s">
        <v>BSE</v>
        <stp/>
        <stp>bse_cm|KFL070824B</stp>
        <stp>Exchange</stp>
        <tr r="C1312" s="1"/>
      </tp>
      <tp t="s">
        <v>BSE</v>
        <stp/>
        <stp>bse_cm|866ICCL23A</stp>
        <stp>Exchange</stp>
        <tr r="C1075" s="1"/>
      </tp>
      <tp t="s">
        <v>NSE</v>
        <stp/>
        <stp>nse_cm|1050NFL26-N7</stp>
        <stp>Exchange</stp>
        <tr r="C259" s="1"/>
      </tp>
      <tp t="s">
        <v>NSE</v>
        <stp/>
        <stp>nse_cm|1050UCL25-N7</stp>
        <stp>Exchange</stp>
        <tr r="C201" s="1"/>
      </tp>
      <tp t="s">
        <v>BSE</v>
        <stp/>
        <stp>bse_cm|KFL070824C</stp>
        <stp>Exchange</stp>
        <tr r="C1311" s="1"/>
      </tp>
      <tp t="s">
        <v>NSE</v>
        <stp/>
        <stp>nse_cm|985ICCL28-NO</stp>
        <stp>Exchange</stp>
        <tr r="C1605" s="1"/>
      </tp>
      <tp>
        <v>1000</v>
        <stp/>
        <stp>bse_cm|7PFCL31</stp>
        <stp xml:space="preserve">Low </stp>
        <tr r="O425" s="1"/>
      </tp>
      <tp>
        <v>0</v>
        <stp/>
        <stp>nse_cm|89SCL24-ZO</stp>
        <stp>Open</stp>
        <tr r="M972" s="1"/>
      </tp>
      <tp t="s">
        <v>NSE</v>
        <stp/>
        <stp>nse_cm|865IIFL28-NS</stp>
        <stp>Exchange</stp>
        <tr r="C74" s="1"/>
      </tp>
      <tp>
        <v>1081.2</v>
        <stp/>
        <stp>bse_cm|1025KFL26C</stp>
        <stp>Ask Rate</stp>
        <tr r="F459" s="1"/>
      </tp>
      <tp>
        <v>0</v>
        <stp/>
        <stp>bse_cm|1025KFL26B</stp>
        <stp>Ask Rate</stp>
        <tr r="F1422" s="1"/>
      </tp>
      <tp>
        <v>1100</v>
        <stp/>
        <stp>bse_cm|1025KFL26A</stp>
        <stp>Ask Rate</stp>
        <tr r="F525" s="1"/>
      </tp>
      <tp>
        <v>1005</v>
        <stp/>
        <stp>bse_cm|1010EFS28A</stp>
        <stp>Ask Rate</stp>
        <tr r="F78" s="1"/>
      </tp>
      <tp>
        <v>0</v>
        <stp/>
        <stp>nse_cm|9PEL25-N0</stp>
        <stp>Volume Traded Today</stp>
        <tr r="L341" s="1"/>
      </tp>
      <tp>
        <v>1000</v>
        <stp/>
        <stp>bse_cm|MFOPTIV24</stp>
        <stp>Face Value</stp>
        <tr r="Q380" s="1"/>
      </tp>
      <tp t="s">
        <v>BSE</v>
        <stp/>
        <stp>bse_cm|920EFSL27A</stp>
        <stp>Exchange</stp>
        <tr r="C685" s="1"/>
      </tp>
      <tp>
        <v>0</v>
        <stp/>
        <stp>nse_cm|88SCL25-ZG</stp>
        <stp>Open</stp>
        <tr r="M960" s="1"/>
      </tp>
      <tp>
        <v>0</v>
        <stp/>
        <stp>bse_cm|984ICCL26A</stp>
        <stp>Ask Rate</stp>
        <tr r="F883" s="1"/>
      </tp>
      <tp>
        <v>905.2</v>
        <stp/>
        <stp>bse_cm|1025SCL34A</stp>
        <stp>Bid Rate</stp>
        <tr r="E672" s="1"/>
      </tp>
      <tp>
        <v>853.25</v>
        <stp/>
        <stp>bse_cm|SCL310524A</stp>
        <stp>Bid Rate</stp>
        <tr r="E918" s="1"/>
      </tp>
      <tp>
        <v>0</v>
        <stp/>
        <stp>bse_cm|1125KLM26A</stp>
        <stp>Ask Rate</stp>
        <tr r="F1226" s="1"/>
      </tp>
      <tp t="e">
        <v>#N/A</v>
        <stp/>
        <stp>bse_cm|1075IML24A</stp>
        <stp>Ask Rate</stp>
        <tr r="F32" s="1"/>
      </tp>
      <tp>
        <v>0</v>
        <stp/>
        <stp>bse_cm|0SCL27</stp>
        <stp>ATP</stp>
        <tr r="K721" s="1"/>
      </tp>
      <tp>
        <v>0</v>
        <stp/>
        <stp>bse_cm|0SCL26</stp>
        <stp>ATP</stp>
        <tr r="K1359" s="1"/>
      </tp>
      <tp>
        <v>0</v>
        <stp/>
        <stp>bse_cm|0SFL26</stp>
        <stp>ATP</stp>
        <tr r="K703" s="1"/>
      </tp>
      <tp>
        <v>0</v>
        <stp/>
        <stp>bse_cm|0KFL25</stp>
        <stp>ATP</stp>
        <tr r="K1604" s="1"/>
      </tp>
      <tp>
        <v>0</v>
        <stp/>
        <stp>bse_cm|0KFL27</stp>
        <stp>ATP</stp>
        <tr r="K1046" s="1"/>
      </tp>
      <tp>
        <v>0</v>
        <stp/>
        <stp>bse_cm|0KFL26</stp>
        <stp>ATP</stp>
        <tr r="K1047" s="1"/>
      </tp>
      <tp>
        <v>0</v>
        <stp/>
        <stp>bse_cm|0MML27</stp>
        <stp>ATP</stp>
        <tr r="K1043" s="1"/>
      </tp>
      <tp>
        <v>0</v>
        <stp/>
        <stp>bse_cm|0MML29</stp>
        <stp>ATP</stp>
        <tr r="K1041" s="1"/>
      </tp>
      <tp>
        <v>0</v>
        <stp/>
        <stp>bse_cm|0KFL28</stp>
        <stp>ATP</stp>
        <tr r="K1045" s="1"/>
      </tp>
      <tp>
        <v>0</v>
        <stp/>
        <stp>bse_cm|0SFL31</stp>
        <stp>ATP</stp>
        <tr r="K1032" s="1"/>
      </tp>
      <tp>
        <v>0</v>
        <stp/>
        <stp>bse_cm|0KFL31</stp>
        <stp>ATP</stp>
        <tr r="K1044" s="1"/>
      </tp>
      <tp>
        <v>0</v>
        <stp/>
        <stp>bse_cm|9MFL30</stp>
        <stp>ATP</stp>
        <tr r="K244" s="1"/>
      </tp>
      <tp>
        <v>0</v>
        <stp/>
        <stp>bse_cm|8MFL26</stp>
        <stp>ATP</stp>
        <tr r="K654" s="1"/>
      </tp>
      <tp>
        <v>0</v>
        <stp/>
        <stp>bse_cm|9SCL25</stp>
        <stp>ATP</stp>
        <tr r="K653" s="1"/>
      </tp>
      <tp>
        <v>0</v>
        <stp/>
        <stp>bse_cm|9SFL25</stp>
        <stp>ATP</stp>
        <tr r="K340" s="1"/>
      </tp>
      <tp>
        <v>0</v>
        <stp/>
        <stp>bse_cm|9PEL25</stp>
        <stp>ATP</stp>
        <tr r="K315" s="1"/>
      </tp>
      <tp>
        <v>0</v>
        <stp/>
        <stp>bse_cm|9SFL26</stp>
        <stp>ATP</stp>
        <tr r="K1066" s="1"/>
      </tp>
      <tp>
        <v>979.15</v>
        <stp/>
        <stp>bse_cm|9IML25</stp>
        <stp>ATP</stp>
        <tr r="K588" s="1"/>
      </tp>
      <tp>
        <v>0</v>
        <stp/>
        <stp>bse_cm|9KFL26</stp>
        <stp>ATP</stp>
        <tr r="K1084" s="1"/>
      </tp>
      <tp>
        <v>975</v>
        <stp/>
        <stp>bse_cm|9MFL27</stp>
        <stp>ATP</stp>
        <tr r="K195" s="1"/>
      </tp>
      <tp>
        <v>0</v>
        <stp/>
        <stp>bse_cm|9MFL25</stp>
        <stp>ATP</stp>
        <tr r="K1082" s="1"/>
      </tp>
      <tp>
        <v>964.8</v>
        <stp/>
        <stp>bse_cm|948SCL27A</stp>
        <stp>High</stp>
        <tr r="N697" s="1"/>
      </tp>
      <tp>
        <v>872</v>
        <stp/>
        <stp>bse_cm|955SCL27A</stp>
        <stp>High</stp>
        <tr r="N948" s="1"/>
      </tp>
      <tp>
        <v>0</v>
        <stp/>
        <stp>bse_cm|902SCL27A</stp>
        <stp>High</stp>
        <tr r="N1354" s="1"/>
      </tp>
      <tp>
        <v>985.5</v>
        <stp/>
        <stp>bse_cm|915SCL27A</stp>
        <stp>High</stp>
        <tr r="N951" s="1"/>
      </tp>
      <tp>
        <v>0</v>
        <stp/>
        <stp>bse_cm|925SFL27A</stp>
        <stp>High</stp>
        <tr r="N848" s="1"/>
      </tp>
      <tp>
        <v>0</v>
        <stp/>
        <stp>bse_cm|925KFL26A</stp>
        <stp>Open</stp>
        <tr r="M1479" s="1"/>
      </tp>
      <tp>
        <v>1339.95</v>
        <stp/>
        <stp>bse_cm|MFOPTVI24</stp>
        <stp xml:space="preserve">Low </stp>
        <tr r="O1547" s="1"/>
      </tp>
      <tp>
        <v>1034.8499999999999</v>
        <stp/>
        <stp>bse_cm|MFOPTIV24</stp>
        <stp xml:space="preserve">Low </stp>
        <tr r="O380" s="1"/>
      </tp>
      <tp>
        <v>0</v>
        <stp/>
        <stp>bse_cm|875KFL26A</stp>
        <stp>Open</stp>
        <tr r="M1155" s="1"/>
      </tp>
      <tp>
        <v>0</v>
        <stp/>
        <stp>bse_cm|967NIDO28</stp>
        <stp>Open</stp>
        <tr r="M227" s="1"/>
      </tp>
      <tp>
        <v>0</v>
        <stp/>
        <stp>bse_cm|850NHAI29</stp>
        <stp>Open</stp>
        <tr r="M580" s="1"/>
      </tp>
      <tp>
        <v>0</v>
        <stp/>
        <stp>bse_cm|875NHAI29</stp>
        <stp>Open</stp>
        <tr r="M496" s="1"/>
      </tp>
      <tp>
        <v>0</v>
        <stp/>
        <stp>bse_cm|714NHAI26</stp>
        <stp>Open</stp>
        <tr r="M1662" s="1"/>
      </tp>
      <tp>
        <v>0</v>
        <stp/>
        <stp>bse_cm|704NHAI26</stp>
        <stp>Open</stp>
        <tr r="M1204" s="1"/>
      </tp>
      <tp>
        <v>1059</v>
        <stp/>
        <stp>bse_cm|739NHAI26</stp>
        <stp>Open</stp>
        <tr r="M442" s="1"/>
      </tp>
      <tp>
        <v>1027</v>
        <stp/>
        <stp>bse_cm|729NHAI26</stp>
        <stp>Open</stp>
        <tr r="M348" s="1"/>
      </tp>
      <tp t="s">
        <v>0SCL26</v>
        <stp/>
        <stp>nse_cm|0SCL26-YR</stp>
        <stp>Symbol</stp>
        <tr r="A1622" s="1"/>
      </tp>
      <tp>
        <v>0</v>
        <stp/>
        <stp>bse_cm|97MOFSL34</stp>
        <stp>Open</stp>
        <tr r="M1600" s="1"/>
      </tp>
      <tp>
        <v>0</v>
        <stp/>
        <stp>bse_cm|93MOFSL34</stp>
        <stp>Open</stp>
        <tr r="M312" s="1"/>
      </tp>
      <tp>
        <v>50</v>
        <stp/>
        <stp>bse_cm|JMFPTBIL25</stp>
        <stp>Ask Qty</stp>
        <tr r="G9" s="1"/>
      </tp>
      <tp t="s">
        <v>9PEL25</v>
        <stp/>
        <stp>nse_cm|9PEL25-N0</stp>
        <stp>Symbol</stp>
        <tr r="A341" s="1"/>
      </tp>
      <tp t="s">
        <v>99JFPL25</v>
        <stp/>
        <stp>bse_cm|99JFPL25</stp>
        <stp>Trading Symbol</stp>
        <tr r="B1670" s="1"/>
      </tp>
      <tp t="s">
        <v>NIDO28</v>
        <stp/>
        <stp>bse_cm|NIDO28</stp>
        <stp>Symbol</stp>
        <tr r="A1243" s="1"/>
      </tp>
      <tp t="s">
        <v>NIDO26</v>
        <stp/>
        <stp>bse_cm|NIDO26</stp>
        <stp>Symbol</stp>
        <tr r="A1244" s="1"/>
      </tp>
      <tp t="s">
        <v>NIDO27</v>
        <stp/>
        <stp>bse_cm|NIDO27</stp>
        <stp>Symbol</stp>
        <tr r="A1661" s="1"/>
      </tp>
      <tp t="s">
        <v>NIDO25</v>
        <stp/>
        <stp>bse_cm|NIDO25</stp>
        <stp>Symbol</stp>
        <tr r="A1726" s="1"/>
      </tp>
      <tp>
        <v>980.5</v>
        <stp/>
        <stp>bse_cm|870NIDO25</stp>
        <stp>Open</stp>
        <tr r="M86" s="1"/>
      </tp>
      <tp>
        <v>0</v>
        <stp/>
        <stp>bse_cm|905NIDO25</stp>
        <stp>Open</stp>
        <tr r="M60" s="1"/>
      </tp>
      <tp>
        <v>0</v>
        <stp/>
        <stp>bse_cm|895NHFL25</stp>
        <stp>Open</stp>
        <tr r="M54" s="1"/>
      </tp>
      <tp>
        <v>0</v>
        <stp/>
        <stp>bse_cm|920NIDO26</stp>
        <stp>Open</stp>
        <tr r="M166" s="1"/>
      </tp>
      <tp>
        <v>0</v>
        <stp/>
        <stp>bse_cm|957NIDO26</stp>
        <stp>Open</stp>
        <tr r="M329" s="1"/>
      </tp>
      <tp>
        <v>0</v>
        <stp/>
        <stp>bse_cm|960NIDO26</stp>
        <stp>Open</stp>
        <tr r="M870" s="1"/>
      </tp>
      <tp>
        <v>0</v>
        <stp/>
        <stp>bse_cm|958NHFL27</stp>
        <stp>Open</stp>
        <tr r="M616" s="1"/>
      </tp>
      <tp>
        <v>0</v>
        <stp/>
        <stp>bse_cm|MFLIII25C</stp>
        <stp>Open</stp>
        <tr r="M213" s="1"/>
      </tp>
      <tp>
        <v>937.2</v>
        <stp/>
        <stp>bse_cm|915NIDO27</stp>
        <stp>Open</stp>
        <tr r="M59" s="1"/>
      </tp>
      <tp>
        <v>0</v>
        <stp/>
        <stp>bse_cm|955NIDO27</stp>
        <stp>Open</stp>
        <tr r="M51" s="1"/>
      </tp>
      <tp>
        <v>0</v>
        <stp/>
        <stp>bse_cm|958NIDO27</stp>
        <stp>Open</stp>
        <tr r="M1402" s="1"/>
      </tp>
      <tp>
        <v>0</v>
        <stp/>
        <stp>bse_cm|950NHFL26</stp>
        <stp>Open</stp>
        <tr r="M582" s="1"/>
      </tp>
      <tp>
        <v>1000</v>
        <stp/>
        <stp>nse_cm|SCLZC25E-Y4</stp>
        <stp>Prev Close</stp>
        <tr r="P787" s="1"/>
      </tp>
      <tp>
        <v>980</v>
        <stp/>
        <stp>nse_cm|SCLZC26E-NP</stp>
        <stp>Prev Close</stp>
        <tr r="P899" s="1"/>
      </tp>
      <tp>
        <v>0</v>
        <stp/>
        <stp>bse_cm|955NWIL27</stp>
        <stp>Open</stp>
        <tr r="M1480" s="1"/>
      </tp>
      <tp>
        <v>979</v>
        <stp/>
        <stp>bse_cm|916NWIL27</stp>
        <stp>Open</stp>
        <tr r="M209" s="1"/>
      </tp>
      <tp>
        <v>5.26</v>
        <stp/>
        <stp>bse_cm|849NTPC25</stp>
        <stp>Open</stp>
        <tr r="M443" s="1"/>
      </tp>
      <tp>
        <v>975</v>
        <stp/>
        <stp>bse_cm|750PFCL38</stp>
        <stp xml:space="preserve">Low </stp>
        <tr r="O1196" s="1"/>
      </tp>
      <tp>
        <v>1004.21</v>
        <stp/>
        <stp>bse_cm|755PFCL38</stp>
        <stp xml:space="preserve">Low </stp>
        <tr r="O434" s="1"/>
      </tp>
      <tp>
        <v>0</v>
        <stp/>
        <stp>bse_cm|915NWIL25</stp>
        <stp>Open</stp>
        <tr r="M620" s="1"/>
      </tp>
      <tp t="s">
        <v>980SCL33C</v>
        <stp/>
        <stp>nse_cm|980SCL33C-ND</stp>
        <stp>Symbol</stp>
        <tr r="A1385" s="1"/>
      </tp>
      <tp t="s">
        <v>888SCL25B</v>
        <stp/>
        <stp>nse_cm|888SCL25B-Y2</stp>
        <stp>Symbol</stp>
        <tr r="A789" s="1"/>
      </tp>
      <tp t="s">
        <v>971SCL28C</v>
        <stp/>
        <stp>nse_cm|971SCL28C-BU</stp>
        <stp>Symbol</stp>
        <tr r="A826" s="1"/>
      </tp>
      <tp>
        <v>1000</v>
        <stp/>
        <stp>bse_cm|753PFCL33</stp>
        <stp xml:space="preserve">Low </stp>
        <tr r="O426" s="1"/>
      </tp>
      <tp>
        <v>0</v>
        <stp/>
        <stp>bse_cm|747PFCL33</stp>
        <stp xml:space="preserve">Low </stp>
        <tr r="O1199" s="1"/>
      </tp>
      <tp t="s">
        <v>965SCL28C</v>
        <stp/>
        <stp>nse_cm|965SCL28C-BR</stp>
        <stp>Symbol</stp>
        <tr r="A817" s="1"/>
      </tp>
      <tp t="s">
        <v>965SCL25C</v>
        <stp/>
        <stp>nse_cm|965SCL25C-N0</stp>
        <stp>Symbol</stp>
        <tr r="A507" s="1"/>
      </tp>
      <tp t="s">
        <v>865SCL24B</v>
        <stp/>
        <stp>nse_cm|865SCL24B-Z8</stp>
        <stp>Symbol</stp>
        <tr r="A952" s="1"/>
      </tp>
      <tp>
        <v>1159.8</v>
        <stp/>
        <stp>bse_cm|MFLVII25G</stp>
        <stp xml:space="preserve">Low </stp>
        <tr r="O1729" s="1"/>
      </tp>
      <tp t="s">
        <v>940SCL26C</v>
        <stp/>
        <stp>nse_cm|940SCL26C-AU</stp>
        <stp>Symbol</stp>
        <tr r="A793" s="1"/>
      </tp>
      <tp>
        <v>1011</v>
        <stp/>
        <stp>bse_cm|683PFCL31</stp>
        <stp xml:space="preserve">Low </stp>
        <tr r="O449" s="1"/>
      </tp>
      <tp>
        <v>960</v>
        <stp/>
        <stp>bse_cm|682PFCL31</stp>
        <stp xml:space="preserve">Low </stp>
        <tr r="O433" s="1"/>
      </tp>
      <tp>
        <v>0</v>
        <stp/>
        <stp>bse_cm|658PFCL31</stp>
        <stp xml:space="preserve">Low </stp>
        <tr r="O1209" s="1"/>
      </tp>
      <tp>
        <v>848.4</v>
        <stp/>
        <stp>bse_cm|663PFCL31</stp>
        <stp xml:space="preserve">Low </stp>
        <tr r="O1208" s="1"/>
      </tp>
      <tp t="s">
        <v>835SCL23B</v>
        <stp/>
        <stp>nse_cm|835SCL23B-YM</stp>
        <stp>Symbol</stp>
        <tr r="A179" s="1"/>
      </tp>
      <tp>
        <v>972.01</v>
        <stp/>
        <stp>bse_cm|697PFCL36</stp>
        <stp xml:space="preserve">Low </stp>
        <tr r="O431" s="1"/>
      </tp>
      <tp>
        <v>1000.2</v>
        <stp/>
        <stp>bse_cm|695PFCL36</stp>
        <stp xml:space="preserve">Low </stp>
        <tr r="O430" s="1"/>
      </tp>
      <tp>
        <v>0</v>
        <stp/>
        <stp>bse_cm|678PFCL36</stp>
        <stp xml:space="preserve">Low </stp>
        <tr r="O1207" s="1"/>
      </tp>
      <tp t="s">
        <v>925SCL25C</v>
        <stp/>
        <stp>nse_cm|925SCL25C-AR</stp>
        <stp>Symbol</stp>
        <tr r="A249" s="1"/>
      </tp>
      <tp t="s">
        <v>925SCL28C</v>
        <stp/>
        <stp>nse_cm|925SCL28C-BS</stp>
        <stp>Symbol</stp>
        <tr r="A823" s="1"/>
      </tp>
      <tp t="s">
        <v>925SCL26C</v>
        <stp/>
        <stp>nse_cm|925SCL26C-ZA</stp>
        <stp>Symbol</stp>
        <tr r="A724" s="1"/>
      </tp>
      <tp>
        <v>1030</v>
        <stp/>
        <stp>bse_cm|715PFCL36</stp>
        <stp xml:space="preserve">Low </stp>
        <tr r="O437" s="1"/>
      </tp>
      <tp>
        <v>0</v>
        <stp/>
        <stp>bse_cm|1003NHFL29</stp>
        <stp>Ask Rate</stp>
        <tr r="F605" s="1"/>
      </tp>
      <tp>
        <v>1000</v>
        <stp/>
        <stp>bse_cm|1010NIDO28</stp>
        <stp>Ask Rate</stp>
        <tr r="F199" s="1"/>
      </tp>
      <tp>
        <v>0</v>
        <stp/>
        <stp>bse_cm|1050NHFL29</stp>
        <stp>Ask Rate</stp>
        <tr r="F1125" s="1"/>
      </tp>
      <tp>
        <v>0</v>
        <stp/>
        <stp>nse_cm|925SCL28A-NS</stp>
        <stp>High</stp>
        <tr r="N895" s="1"/>
      </tp>
      <tp>
        <v>1000</v>
        <stp/>
        <stp>nse_cm|SCL24A-ZS</stp>
        <stp>Face Value</stp>
        <tr r="Q1751" s="1"/>
      </tp>
      <tp>
        <v>1000</v>
        <stp/>
        <stp>nse_cm|SCL25A-BH</stp>
        <stp>Face Value</stp>
        <tr r="Q1237" s="1"/>
      </tp>
      <tp>
        <v>0</v>
        <stp/>
        <stp>bse_cm|1003NIDO29</stp>
        <stp>Ask Rate</stp>
        <tr r="F679" s="1"/>
      </tp>
      <tp>
        <v>0</v>
        <stp/>
        <stp>bse_cm|1050NIDO29</stp>
        <stp>Ask Rate</stp>
        <tr r="F1124" s="1"/>
      </tp>
      <tp>
        <v>980</v>
        <stp/>
        <stp>nse_cm|820IIFL27-N9</stp>
        <stp>Ask Rate</stp>
        <tr r="F266" s="1"/>
      </tp>
      <tp>
        <v>1005</v>
        <stp/>
        <stp>nse_cm|960CAGL25-N3</stp>
        <stp>Ask Rate</stp>
        <tr r="F305" s="1"/>
      </tp>
      <tp>
        <v>0</v>
        <stp/>
        <stp>nse_cm|965SCL28A-NQ</stp>
        <stp>High</stp>
        <tr r="N897" s="1"/>
      </tp>
      <tp>
        <v>910.2</v>
        <stp/>
        <stp>nse_cm|965SCL25F-NZ</stp>
        <stp>High</stp>
        <tr r="N1362" s="1"/>
      </tp>
      <tp>
        <v>550.20000000000005</v>
        <stp/>
        <stp>bse_cm|87SCL25</stp>
        <stp>Bid Rate</stp>
        <tr r="E958" s="1"/>
      </tp>
      <tp>
        <v>0</v>
        <stp/>
        <stp>nse_cm|910CAGL25-N7</stp>
        <stp>Ask Rate</stp>
        <tr r="F622" s="1"/>
      </tp>
      <tp>
        <v>1029.0999999999999</v>
        <stp/>
        <stp>bse_cm|97SFL26</stp>
        <stp>Bid Rate</stp>
        <tr r="E405" s="1"/>
      </tp>
      <tp>
        <v>813.85</v>
        <stp/>
        <stp>bse_cm|87SCL27</stp>
        <stp>Bid Rate</stp>
        <tr r="E978" s="1"/>
      </tp>
      <tp>
        <v>0</v>
        <stp/>
        <stp>nse_cm|925SCL25G-NY</stp>
        <stp>High</stp>
        <tr r="N887" s="1"/>
      </tp>
      <tp>
        <v>1000</v>
        <stp/>
        <stp>nse_cm|820SCFL25-Y7</stp>
        <stp>Prev Close</stp>
        <tr r="P926" s="1"/>
      </tp>
      <tp>
        <v>1066</v>
        <stp/>
        <stp>bse_cm|753IREDA26</stp>
        <stp>Bid Rate</stp>
        <tr r="E487" s="1"/>
      </tp>
      <tp>
        <v>1001.11</v>
        <stp/>
        <stp>bse_cm|97SFL28</stp>
        <stp>Bid Rate</stp>
        <tr r="E23" s="1"/>
      </tp>
      <tp>
        <v>991.01</v>
        <stp/>
        <stp>nse_cm|925CAGL26-N9</stp>
        <stp>Prev Close</stp>
        <tr r="P639" s="1"/>
      </tp>
      <tp>
        <v>1099</v>
        <stp/>
        <stp>bse_cm|97SFL29</stp>
        <stp>Bid Rate</stp>
        <tr r="E21" s="1"/>
      </tp>
      <tp>
        <v>1172.25</v>
        <stp/>
        <stp>nse_cm|875NHAI29-N6</stp>
        <stp>Ask Rate</stp>
        <tr r="F495" s="1"/>
      </tp>
      <tp>
        <v>1200</v>
        <stp/>
        <stp>nse_cm|960ISFL25-N1</stp>
        <stp>Ask Rate</stp>
        <tr r="F1695" s="1"/>
      </tp>
      <tp>
        <v>0</v>
        <stp/>
        <stp>bse_cm|IML1622024</stp>
        <stp>Ask Rate</stp>
        <tr r="F1328" s="1"/>
      </tp>
      <tp>
        <v>1106</v>
        <stp/>
        <stp>nse_cm|769NHAI31-NE</stp>
        <stp>Prev Close</stp>
        <tr r="P461" s="1"/>
      </tp>
      <tp>
        <v>0</v>
        <stp/>
        <stp>nse_cm|97SFL26-Z9</stp>
        <stp>Open</stp>
        <tr r="M438" s="1"/>
      </tp>
      <tp>
        <v>997.45</v>
        <stp/>
        <stp>nse_cm|866SCFL25-Y8</stp>
        <stp>Prev Close</stp>
        <tr r="P158" s="1"/>
      </tp>
      <tp>
        <v>1065</v>
        <stp/>
        <stp>nse_cm|980IFSL25-N5</stp>
        <stp>Ask Rate</stp>
        <tr r="F476" s="1"/>
      </tp>
      <tp>
        <v>1000</v>
        <stp/>
        <stp>nse_cm|850SCFL25-Y4</stp>
        <stp>Prev Close</stp>
        <tr r="P924" s="1"/>
      </tp>
      <tp>
        <v>1115.71</v>
        <stp/>
        <stp>nse_cm|1030ICC26-NJ</stp>
        <stp>Prev Close</stp>
        <tr r="P1514" s="1"/>
      </tp>
      <tp>
        <v>0</v>
        <stp/>
        <stp>bse_cm|728IREDA26</stp>
        <stp>Bid Rate</stp>
        <tr r="E1203" s="1"/>
      </tp>
      <tp>
        <v>1179.99</v>
        <stp/>
        <stp>nse_cm|760PFCL35-N3</stp>
        <stp>Ask Rate</stp>
        <tr r="F22" s="1"/>
      </tp>
      <tp>
        <v>0</v>
        <stp/>
        <stp>bse_cm|9MFL30A</stp>
        <stp>Open</stp>
        <tr r="M289" s="1"/>
      </tp>
      <tp>
        <v>0</v>
        <stp/>
        <stp>bse_cm|9KFL26A</stp>
        <stp>Open</stp>
        <tr r="M1083" s="1"/>
      </tp>
      <tp>
        <v>0</v>
        <stp/>
        <stp>bse_cm|9KFL26B</stp>
        <stp>Open</stp>
        <tr r="M667" s="1"/>
      </tp>
      <tp t="s">
        <v>NSE</v>
        <stp/>
        <stp>nse_cm|957NIDO26-N5</stp>
        <stp>Exchange</stp>
        <tr r="C255" s="1"/>
      </tp>
      <tp>
        <v>882.6</v>
        <stp/>
        <stp>bse_cm|77IGT28</stp>
        <stp>Bid Rate</stp>
        <tr r="E1191" s="1"/>
      </tp>
      <tp t="s">
        <v>BSE</v>
        <stp/>
        <stp>bse_cm|875PCHFL26</stp>
        <stp>Exchange</stp>
        <tr r="C331" s="1"/>
      </tp>
      <tp>
        <v>0</v>
        <stp/>
        <stp>bse_cm|0SFL27A</stp>
        <stp>High</stp>
        <tr r="N1034" s="1"/>
      </tp>
      <tp>
        <v>1066.9000000000001</v>
        <stp/>
        <stp>bse_cm|1025NWFL25</stp>
        <stp>Ask Rate</stp>
        <tr r="F154" s="1"/>
      </tp>
      <tp t="s">
        <v>BSE</v>
        <stp/>
        <stp>bse_cm|1025JFCS28</stp>
        <stp>Exchange</stp>
        <tr r="C363" s="1"/>
      </tp>
      <tp>
        <v>1000</v>
        <stp/>
        <stp>bse_cm|MMFLZC25A</stp>
        <stp>Face Value</stp>
        <tr r="Q1264" s="1"/>
      </tp>
      <tp>
        <v>1000</v>
        <stp/>
        <stp>bse_cm|MMFLZC25B</stp>
        <stp>Face Value</stp>
        <tr r="Q1581" s="1"/>
      </tp>
      <tp>
        <v>1000</v>
        <stp/>
        <stp>bse_cm|MMFLZC25C</stp>
        <stp>Face Value</stp>
        <tr r="Q1263" s="1"/>
      </tp>
      <tp>
        <v>1000</v>
        <stp/>
        <stp>bse_cm|MMFLZC25D</stp>
        <stp>Face Value</stp>
        <tr r="Q1262" s="1"/>
      </tp>
      <tp>
        <v>1000</v>
        <stp/>
        <stp>bse_cm|MMFLZC24D</stp>
        <stp>Face Value</stp>
        <tr r="Q1265" s="1"/>
      </tp>
      <tp>
        <v>1000</v>
        <stp/>
        <stp>bse_cm|MMFLZC27A</stp>
        <stp>Face Value</stp>
        <tr r="Q1260" s="1"/>
      </tp>
      <tp>
        <v>1000</v>
        <stp/>
        <stp>bse_cm|MMFLZC27B</stp>
        <stp>Face Value</stp>
        <tr r="Q1570" s="1"/>
      </tp>
      <tp>
        <v>1000</v>
        <stp/>
        <stp>bse_cm|MMFLZC27C</stp>
        <stp>Face Value</stp>
        <tr r="Q1463" s="1"/>
      </tp>
      <tp>
        <v>1000</v>
        <stp/>
        <stp>bse_cm|MMFLZC27D</stp>
        <stp>Face Value</stp>
        <tr r="Q1406" s="1"/>
      </tp>
      <tp>
        <v>1000</v>
        <stp/>
        <stp>bse_cm|MMFLZC28A</stp>
        <stp>Face Value</stp>
        <tr r="Q1348" s="1"/>
      </tp>
      <tp>
        <v>1000</v>
        <stp/>
        <stp>bse_cm|MMFLZC28B</stp>
        <stp>Face Value</stp>
        <tr r="Q1535" s="1"/>
      </tp>
      <tp>
        <v>0</v>
        <stp/>
        <stp>nse_cm|948SCL27A-ZJ</stp>
        <stp>Open</stp>
        <tr r="M845" s="1"/>
      </tp>
      <tp t="s">
        <v>BSE</v>
        <stp/>
        <stp>bse_cm|875TCAPS29</stp>
        <stp>Exchange</stp>
        <tr r="C935" s="1"/>
      </tp>
      <tp>
        <v>975</v>
        <stp/>
        <stp>nse_cm|925SCL25A-NH</stp>
        <stp>High</stp>
        <tr r="N715" s="1"/>
      </tp>
      <tp t="s">
        <v>BSE</v>
        <stp/>
        <stp>bse_cm|KAFL080824</stp>
        <stp>Exchange</stp>
        <tr r="C1417" s="1"/>
      </tp>
      <tp>
        <v>1067.4000000000001</v>
        <stp/>
        <stp>nse_cm|830PFCL27-N5</stp>
        <stp>Ask Rate</stp>
        <tr r="F400" s="1"/>
      </tp>
      <tp t="s">
        <v>BSE</v>
        <stp/>
        <stp>bse_cm|795MMFSL32</stp>
        <stp>Exchange</stp>
        <tr r="C1184" s="1"/>
      </tp>
      <tp t="s">
        <v>NSE</v>
        <stp/>
        <stp>nse_cm|1040NFL26-NA</stp>
        <stp>Exchange</stp>
        <tr r="C678" s="1"/>
      </tp>
      <tp>
        <v>1020</v>
        <stp/>
        <stp>bse_cm|87LTF27</stp>
        <stp>Bid Rate</stp>
        <tr r="E412" s="1"/>
      </tp>
      <tp>
        <v>1056.8</v>
        <stp/>
        <stp>nse_cm|965SCL25A-NF</stp>
        <stp>High</stp>
        <tr r="N163" s="1"/>
      </tp>
      <tp>
        <v>0</v>
        <stp/>
        <stp>nse_cm|0MOFSL27-N3</stp>
        <stp>% Change</stp>
        <tr r="J1038" s="1"/>
      </tp>
      <tp t="s">
        <v>BSE</v>
        <stp/>
        <stp>bse_cm|855TCAPS27</stp>
        <stp>Exchange</stp>
        <tr r="C1004" s="1"/>
      </tp>
      <tp t="s">
        <v>BSE</v>
        <stp/>
        <stp>bse_cm|865TCAPS27</stp>
        <stp>Exchange</stp>
        <tr r="C377" s="1"/>
      </tp>
      <tp t="s">
        <v>BSE</v>
        <stp/>
        <stp>bse_cm|885TCAPS29</stp>
        <stp>Exchange</stp>
        <tr r="C12" s="1"/>
      </tp>
      <tp>
        <v>0</v>
        <stp/>
        <stp>nse_cm|0MOFSL26-N1</stp>
        <stp>% Change</stp>
        <tr r="J1644" s="1"/>
      </tp>
      <tp>
        <v>0</v>
        <stp/>
        <stp>nse_cm|925SCL25Z-NE</stp>
        <stp>High</stp>
        <tr r="N914" s="1"/>
      </tp>
      <tp>
        <v>0</v>
        <stp/>
        <stp>nse_cm|888SCL26A-ZC</stp>
        <stp>Open</stp>
        <tr r="M839" s="1"/>
      </tp>
      <tp>
        <v>0</v>
        <stp/>
        <stp>bse_cm|MFLOPTII24</stp>
        <stp>Open</stp>
        <tr r="M559" s="1"/>
      </tp>
      <tp>
        <v>1026</v>
        <stp/>
        <stp>nse_cm|93MOFSL34-N6</stp>
        <stp xml:space="preserve">Low </stp>
        <tr r="O299" s="1"/>
      </tp>
      <tp t="s">
        <v>920PEL28</v>
        <stp/>
        <stp>nse_cm|920PEL28-N2</stp>
        <stp>Symbol</stp>
        <tr r="A373" s="1"/>
      </tp>
      <tp>
        <v>1084</v>
        <stp/>
        <stp>nse_cm|97MOFSL34-N7</stp>
        <stp xml:space="preserve">Low </stp>
        <tr r="O1599" s="1"/>
      </tp>
      <tp>
        <v>0</v>
        <stp/>
        <stp>nse_cm|SCL24A-ZS</stp>
        <stp>ATP</stp>
        <tr r="K1751" s="1"/>
      </tp>
      <tp>
        <v>0</v>
        <stp/>
        <stp>nse_cm|98SCL27-ZX</stp>
        <stp>Open</stp>
        <tr r="M1378" s="1"/>
      </tp>
      <tp>
        <v>0</v>
        <stp/>
        <stp>nse_cm|93SCL24-ZP</stp>
        <stp>Open</stp>
        <tr r="M1506" s="1"/>
      </tp>
      <tp>
        <v>1010</v>
        <stp/>
        <stp>nse_cm|91MOFSL27-N2</stp>
        <stp xml:space="preserve">Low </stp>
        <tr r="O1611" s="1"/>
      </tp>
      <tp>
        <v>1025</v>
        <stp/>
        <stp>nse_cm|87LTF27-NH</stp>
        <stp xml:space="preserve">Low </stp>
        <tr r="O407" s="1"/>
      </tp>
      <tp t="s">
        <v>09:36:46</v>
        <stp/>
        <stp>nse_cm|93MOFSL34-N6</stp>
        <stp>LTT</stp>
        <tr r="I299" s="1"/>
      </tp>
      <tp>
        <v>1026</v>
        <stp/>
        <stp>nse_cm|93MOFSL34-N6</stp>
        <stp>LTP</stp>
        <tr r="H299" s="1"/>
      </tp>
      <tp t="s">
        <v>NSE</v>
        <stp/>
        <stp>nse_cm|SCLZC25-YN</stp>
        <stp>Exchange</stp>
        <tr r="C1727" s="1"/>
      </tp>
      <tp>
        <v>1064.2</v>
        <stp/>
        <stp>nse_cm|86LTF24-NJ</stp>
        <stp xml:space="preserve">Low </stp>
        <tr r="O7" s="1"/>
      </tp>
      <tp>
        <v>1150</v>
        <stp/>
        <stp>nse_cm|82HUDCO27-N2</stp>
        <stp>High</stp>
        <tr r="N532" s="1"/>
      </tp>
      <tp t="s">
        <v>BSE</v>
        <stp/>
        <stp>bse_cm|105MMFL25A</stp>
        <stp>Exchange</stp>
        <tr r="C1364" s="1"/>
      </tp>
      <tp t="s">
        <v>NSE</v>
        <stp/>
        <stp>nse_cm|1040UCL25-N4</stp>
        <stp>Exchange</stp>
        <tr r="C669" s="1"/>
      </tp>
      <tp t="s">
        <v>BSE</v>
        <stp/>
        <stp>bse_cm|105MMFL25B</stp>
        <stp>Exchange</stp>
        <tr r="C1390" s="1"/>
      </tp>
      <tp>
        <v>0</v>
        <stp/>
        <stp>nse_cm|965IFSL26-N6</stp>
        <stp>Volume Traded Today</stp>
        <tr r="L1346" s="1"/>
      </tp>
      <tp>
        <v>900</v>
        <stp/>
        <stp>nse_cm|965SCL25C-N0</stp>
        <stp>High</stp>
        <tr r="N507" s="1"/>
      </tp>
      <tp>
        <v>1067.99</v>
        <stp/>
        <stp>nse_cm|85LTF26-NM</stp>
        <stp xml:space="preserve">Low </stp>
        <tr r="O365" s="1"/>
      </tp>
      <tp t="s">
        <v>BSE</v>
        <stp/>
        <stp>bse_cm|105MMFL25C</stp>
        <stp>Exchange</stp>
        <tr r="C480" s="1"/>
      </tp>
      <tp>
        <v>0</v>
        <stp/>
        <stp>nse_cm|98SCL34-ZS</stp>
        <stp>Open</stp>
        <tr r="M1052" s="1"/>
      </tp>
      <tp>
        <v>0</v>
        <stp/>
        <stp>bse_cm|EFSLZC26B</stp>
        <stp>ATP</stp>
        <tr r="K1678" s="1"/>
      </tp>
      <tp>
        <v>0</v>
        <stp/>
        <stp>bse_cm|EFSLZC26C</stp>
        <stp>ATP</stp>
        <tr r="K1332" s="1"/>
      </tp>
      <tp>
        <v>0</v>
        <stp/>
        <stp>bse_cm|EFSLZC26A</stp>
        <stp>ATP</stp>
        <tr r="K1574" s="1"/>
      </tp>
      <tp>
        <v>0</v>
        <stp/>
        <stp>bse_cm|EFSLZC25A</stp>
        <stp>ATP</stp>
        <tr r="K1333" s="1"/>
      </tp>
      <tp>
        <v>0</v>
        <stp/>
        <stp>nse_cm|940CAGL27-NB</stp>
        <stp>Ask Rate</stp>
        <tr r="F1367" s="1"/>
      </tp>
      <tp>
        <v>0</v>
        <stp/>
        <stp>nse_cm|99SCL27-ZH</stp>
        <stp>Open</stp>
        <tr r="M1168" s="1"/>
      </tp>
      <tp>
        <v>0</v>
        <stp/>
        <stp>nse_cm|940ICCL28-NN</stp>
        <stp>Ask Rate</stp>
        <tr r="F779" s="1"/>
      </tp>
      <tp>
        <v>1024</v>
        <stp/>
        <stp>nse_cm|970CAGL28-ND</stp>
        <stp>Ask Rate</stp>
        <tr r="F306" s="1"/>
      </tp>
      <tp>
        <v>0</v>
        <stp/>
        <stp>bse_cm|MMFSL26</stp>
        <stp>ATP</stp>
        <tr r="K1258" s="1"/>
      </tp>
      <tp>
        <v>0</v>
        <stp/>
        <stp>nse_cm|94SCL27-ZG</stp>
        <stp>Open</stp>
        <tr r="M1151" s="1"/>
      </tp>
      <tp>
        <v>964</v>
        <stp/>
        <stp>bse_cm|1025KFL27A</stp>
        <stp>Ask Rate</stp>
        <tr r="F89" s="1"/>
      </tp>
      <tp>
        <v>1020</v>
        <stp/>
        <stp>bse_cm|1010EFS29A</stp>
        <stp>Ask Rate</stp>
        <tr r="F1593" s="1"/>
      </tp>
      <tp>
        <v>0</v>
        <stp/>
        <stp>nse_cm|980ICCL28-NL</stp>
        <stp>Ask Rate</stp>
        <tr r="F780" s="1"/>
      </tp>
      <tp>
        <v>1220</v>
        <stp/>
        <stp>nse_cm|1102NFL26-N8</stp>
        <stp>Ask Rate</stp>
        <tr r="F587" s="1"/>
      </tp>
      <tp t="s">
        <v>BSE</v>
        <stp/>
        <stp>bse_cm|920EFSL26B</stp>
        <stp>Exchange</stp>
        <tr r="C247" s="1"/>
      </tp>
      <tp t="s">
        <v>BSE</v>
        <stp/>
        <stp>bse_cm|915EFSL26A</stp>
        <stp>Exchange</stp>
        <tr r="C187" s="1"/>
      </tp>
      <tp>
        <v>837.2</v>
        <stp/>
        <stp>bse_cm|1025SFL25A</stp>
        <stp>Bid Rate</stp>
        <tr r="E1070" s="1"/>
      </tp>
      <tp>
        <v>0</v>
        <stp/>
        <stp>nse_cm|850IIFL27-NA</stp>
        <stp>Ask Rate</stp>
        <tr r="F608" s="1"/>
      </tp>
      <tp t="s">
        <v>BSE</v>
        <stp/>
        <stp>bse_cm|920EFSL26A</stp>
        <stp>Exchange</stp>
        <tr r="C61" s="1"/>
      </tp>
      <tp>
        <v>0</v>
        <stp/>
        <stp>nse_cm|DLSL25A-Y4</stp>
        <stp>Open</stp>
        <tr r="M1732" s="1"/>
      </tp>
      <tp>
        <v>0</v>
        <stp/>
        <stp>nse_cm|SCL25B-BI</stp>
        <stp>ATP</stp>
        <tr r="K1403" s="1"/>
      </tp>
      <tp>
        <v>0</v>
        <stp/>
        <stp>nse_cm|SCL25A-BH</stp>
        <stp>ATP</stp>
        <tr r="K1237" s="1"/>
      </tp>
      <tp t="s">
        <v>BSE</v>
        <stp/>
        <stp>bse_cm|960EFSL26C</stp>
        <stp>Exchange</stp>
        <tr r="C137" s="1"/>
      </tp>
      <tp>
        <v>10</v>
        <stp/>
        <stp>nse_cm|11DLSL25-NV</stp>
        <stp>Bid Qty</stp>
        <tr r="D48" s="1"/>
      </tp>
      <tp>
        <v>1</v>
        <stp/>
        <stp>nse_cm|10IFSL26-N7</stp>
        <stp>Bid Qty</stp>
        <tr r="D293" s="1"/>
      </tp>
      <tp t="s">
        <v>BSE</v>
        <stp/>
        <stp>bse_cm|955EFSL26A</stp>
        <stp>Exchange</stp>
        <tr r="C214" s="1"/>
      </tp>
      <tp>
        <v>0</v>
        <stp/>
        <stp>nse_cm|91SFL27-ZI</stp>
        <stp>Open</stp>
        <tr r="M533" s="1"/>
      </tp>
      <tp t="s">
        <v>BSE</v>
        <stp/>
        <stp>bse_cm|955EFSL26B</stp>
        <stp>Exchange</stp>
        <tr r="C666" s="1"/>
      </tp>
      <tp>
        <v>0</v>
        <stp/>
        <stp>nse_cm|93SCL25-ZH</stp>
        <stp>Open</stp>
        <tr r="M961" s="1"/>
      </tp>
      <tp>
        <v>0</v>
        <stp/>
        <stp>bse_cm|EFSLZC28C</stp>
        <stp>ATP</stp>
        <tr r="K1331" s="1"/>
      </tp>
      <tp>
        <v>20</v>
        <stp/>
        <stp>bse_cm|875PCHFL26</stp>
        <stp>Ask Qty</stp>
        <tr r="G331" s="1"/>
      </tp>
      <tp>
        <v>0</v>
        <stp/>
        <stp>bse_cm|875PCHFL31</stp>
        <stp>Ask Qty</stp>
        <tr r="G1172" s="1"/>
      </tp>
      <tp>
        <v>0</v>
        <stp/>
        <stp>bse_cm|RFLNIFT25</stp>
        <stp>Open</stp>
        <tr r="M1242" s="1"/>
      </tp>
      <tp>
        <v>11</v>
        <stp/>
        <stp>bse_cm|764NABAR31</stp>
        <stp>Ask Qty</stp>
        <tr r="G497" s="1"/>
      </tp>
      <tp>
        <v>10</v>
        <stp/>
        <stp>bse_cm|735NABAR31</stp>
        <stp>Ask Qty</stp>
        <tr r="G14" s="1"/>
      </tp>
      <tp>
        <v>100</v>
        <stp/>
        <stp>bse_cm|704NABAR26</stp>
        <stp>Ask Qty</stp>
        <tr r="G1702" s="1"/>
      </tp>
      <tp>
        <v>25</v>
        <stp/>
        <stp>bse_cm|729NABAR26</stp>
        <stp>Ask Qty</stp>
        <tr r="G540" s="1"/>
      </tp>
      <tp>
        <v>0</v>
        <stp/>
        <stp>bse_cm|888SCL26A</stp>
        <stp>High</stp>
        <tr r="N840" s="1"/>
      </tp>
      <tp>
        <v>1110</v>
        <stp/>
        <stp>bse_cm|990SCL26A</stp>
        <stp>High</stp>
        <tr r="N1057" s="1"/>
      </tp>
      <tp>
        <v>988</v>
        <stp/>
        <stp>bse_cm|965SCL26A</stp>
        <stp>High</stp>
        <tr r="N1481" s="1"/>
      </tp>
      <tp>
        <v>1002</v>
        <stp/>
        <stp>bse_cm|948SCL26A</stp>
        <stp>High</stp>
        <tr r="N494" s="1"/>
      </tp>
      <tp>
        <v>0</v>
        <stp/>
        <stp>bse_cm|940SCL26A</stp>
        <stp>High</stp>
        <tr r="N920" s="1"/>
      </tp>
      <tp>
        <v>0</v>
        <stp/>
        <stp>bse_cm|925SCL26A</stp>
        <stp>High</stp>
        <tr r="N990" s="1"/>
      </tp>
      <tp>
        <v>0</v>
        <stp/>
        <stp>bse_cm|902SCL26A</stp>
        <stp>High</stp>
        <tr r="N967" s="1"/>
      </tp>
      <tp>
        <v>1000</v>
        <stp/>
        <stp>bse_cm|990SCL26B</stp>
        <stp>High</stp>
        <tr r="N1048" s="1"/>
      </tp>
      <tp>
        <v>910.2</v>
        <stp/>
        <stp>bse_cm|948SCL26B</stp>
        <stp>High</stp>
        <tr r="N470" s="1"/>
      </tp>
      <tp>
        <v>0</v>
        <stp/>
        <stp>bse_cm|940SCL26B</stp>
        <stp>High</stp>
        <tr r="N905" s="1"/>
      </tp>
      <tp>
        <v>940</v>
        <stp/>
        <stp>bse_cm|925SCL26B</stp>
        <stp>High</stp>
        <tr r="N1360" s="1"/>
      </tp>
      <tp>
        <v>974</v>
        <stp/>
        <stp>bse_cm|995ECL29A</stp>
        <stp>Open</stp>
        <tr r="M152" s="1"/>
      </tp>
      <tp>
        <v>0</v>
        <stp/>
        <stp>bse_cm|940SCL26C</stp>
        <stp>High</stp>
        <tr r="N794" s="1"/>
      </tp>
      <tp>
        <v>0</v>
        <stp/>
        <stp>bse_cm|925SCL26C</stp>
        <stp>High</stp>
        <tr r="N725" s="1"/>
      </tp>
      <tp>
        <v>840</v>
        <stp/>
        <stp>bse_cm|990SCL26D</stp>
        <stp>High</stp>
        <tr r="N1534" s="1"/>
      </tp>
      <tp>
        <v>890</v>
        <stp/>
        <stp>bse_cm|948SCL26D</stp>
        <stp>High</stp>
        <tr r="N1081" s="1"/>
      </tp>
      <tp>
        <v>960</v>
        <stp/>
        <stp>bse_cm|925SCL26D</stp>
        <stp>High</stp>
        <tr r="N619" s="1"/>
      </tp>
      <tp>
        <v>0</v>
        <stp/>
        <stp>bse_cm|931SFL26A</stp>
        <stp>High</stp>
        <tr r="N1086" s="1"/>
      </tp>
      <tp t="s">
        <v>INE121A07QX1</v>
        <stp/>
        <stp>bse_cm|CIFCZC28A</stp>
        <stp>Isin code</stp>
        <tr r="R1396" s="1"/>
      </tp>
      <tp t="s">
        <v>INE121A07RA7</v>
        <stp/>
        <stp>bse_cm|CIFCZC25A</stp>
        <stp>Isin code</stp>
        <tr r="R1728" s="1"/>
      </tp>
      <tp t="s">
        <v>INE121A07QZ6</v>
        <stp/>
        <stp>bse_cm|CIFCZC26A</stp>
        <stp>Isin code</stp>
        <tr r="R737" s="1"/>
      </tp>
      <tp>
        <v>900</v>
        <stp/>
        <stp>bse_cm|990SCL26I</stp>
        <stp>High</stp>
        <tr r="N797" s="1"/>
      </tp>
      <tp>
        <v>652</v>
        <stp/>
        <stp>bse_cm|948SCL26I</stp>
        <stp>High</stp>
        <tr r="N1080" s="1"/>
      </tp>
      <tp>
        <v>750</v>
        <stp/>
        <stp>bse_cm|902SCL26I</stp>
        <stp>High</stp>
        <tr r="N903" s="1"/>
      </tp>
      <tp>
        <v>0</v>
        <stp/>
        <stp>bse_cm|104ECL29A</stp>
        <stp>Open</stp>
        <tr r="M79" s="1"/>
      </tp>
      <tp t="s">
        <v>INE244L07176</v>
        <stp/>
        <stp>nse_cm|97SFL26A-NC</stp>
        <stp>Isin code</stp>
        <tr r="R784" s="1"/>
      </tp>
      <tp t="s">
        <v>INE051307AI3</v>
        <stp/>
        <stp>bse_cm|CCILZC25A</stp>
        <stp>Isin code</stp>
        <tr r="R749" s="1"/>
      </tp>
      <tp>
        <v>0</v>
        <stp/>
        <stp>bse_cm|865IIFL28</stp>
        <stp>Open</stp>
        <tr r="M75" s="1"/>
      </tp>
      <tp>
        <v>0</v>
        <stp/>
        <stp>bse_cm|875IHFL29</stp>
        <stp>Open</stp>
        <tr r="M1230" s="1"/>
      </tp>
      <tp>
        <v>0</v>
        <stp/>
        <stp>bse_cm|843IHFL29</stp>
        <stp>Open</stp>
        <tr r="M139" s="1"/>
      </tp>
      <tp>
        <v>0</v>
        <stp/>
        <stp>bse_cm|965IFSL26</stp>
        <stp>Open</stp>
        <tr r="M1142" s="1"/>
      </tp>
      <tp>
        <v>0</v>
        <stp/>
        <stp>bse_cm|984IFSL26</stp>
        <stp>Open</stp>
        <tr r="M457" s="1"/>
      </tp>
      <tp>
        <v>0</v>
        <stp/>
        <stp>bse_cm|966IFSL25</stp>
        <stp>Open</stp>
        <tr r="M1051" s="1"/>
      </tp>
      <tp>
        <v>0</v>
        <stp/>
        <stp>bse_cm|955IFSL25</stp>
        <stp>Open</stp>
        <tr r="M1470" s="1"/>
      </tp>
      <tp>
        <v>0</v>
        <stp/>
        <stp>bse_cm|945IFSL25</stp>
        <stp>Open</stp>
        <tr r="M483" s="1"/>
      </tp>
      <tp>
        <v>0</v>
        <stp/>
        <stp>bse_cm|980IFSL25</stp>
        <stp>Open</stp>
        <tr r="M474" s="1"/>
      </tp>
      <tp>
        <v>0</v>
        <stp/>
        <stp>bse_cm|957ICCL25</stp>
        <stp>Open</stp>
        <tr r="M432" s="1"/>
      </tp>
      <tp t="s">
        <v>INE413U07244</v>
        <stp/>
        <stp>bse_cm|921ISFL25</stp>
        <stp>Isin code</stp>
        <tr r="R350" s="1"/>
      </tp>
      <tp>
        <v>0</v>
        <stp/>
        <stp>bse_cm|105IIFL29</stp>
        <stp>Open</stp>
        <tr r="M338" s="1"/>
      </tp>
      <tp>
        <v>0</v>
        <stp/>
        <stp>bse_cm|957ICCL28</stp>
        <stp>Open</stp>
        <tr r="M1572" s="1"/>
      </tp>
      <tp>
        <v>0</v>
        <stp/>
        <stp>bse_cm|940ICCL28</stp>
        <stp>Open</stp>
        <tr r="M1126" s="1"/>
      </tp>
      <tp>
        <v>0</v>
        <stp/>
        <stp>bse_cm|985IIFL22</stp>
        <stp>Open</stp>
        <tr r="M178" s="1"/>
      </tp>
      <tp>
        <v>0</v>
        <stp/>
        <stp>bse_cm|980ICCL28</stp>
        <stp>Open</stp>
        <tr r="M783" s="1"/>
      </tp>
      <tp>
        <v>0</v>
        <stp/>
        <stp>bse_cm|985ICCL28</stp>
        <stp>Open</stp>
        <tr r="M1483" s="1"/>
      </tp>
      <tp>
        <v>0</v>
        <stp/>
        <stp>bse_cm|125ICFL26</stp>
        <stp>Open</stp>
        <tr r="M1214" s="1"/>
      </tp>
      <tp>
        <v>0</v>
        <stp/>
        <stp>bse_cm|825IIFL25</stp>
        <stp>Open</stp>
        <tr r="M47" s="1"/>
      </tp>
      <tp t="s">
        <v>INE413U07228</v>
        <stp/>
        <stp>bse_cm|960ISFL25</stp>
        <stp>Isin code</stp>
        <tr r="R871" s="1"/>
      </tp>
      <tp>
        <v>1006</v>
        <stp/>
        <stp>bse_cm|750PFCL26</stp>
        <stp>High</stp>
        <tr r="N448" s="1"/>
      </tp>
      <tp>
        <v>0</v>
        <stp/>
        <stp>bse_cm|745PFCL26</stp>
        <stp>High</stp>
        <tr r="N1200" s="1"/>
      </tp>
      <tp>
        <v>0</v>
        <stp/>
        <stp>bse_cm|820IIFL27</stp>
        <stp>Open</stp>
        <tr r="M176" s="1"/>
      </tp>
      <tp>
        <v>0</v>
        <stp/>
        <stp>bse_cm|84CIFCL28</stp>
        <stp>Open</stp>
        <tr r="M387" s="1"/>
      </tp>
      <tp>
        <v>0</v>
        <stp/>
        <stp>bse_cm|850IIFL27</stp>
        <stp>Open</stp>
        <tr r="M1407" s="1"/>
      </tp>
      <tp t="s">
        <v>0SCL26</v>
        <stp/>
        <stp>bse_cm|0SCL26</stp>
        <stp>Symbol</stp>
        <tr r="A1359" s="1"/>
      </tp>
      <tp t="s">
        <v>0SCL27</v>
        <stp/>
        <stp>bse_cm|0SCL27</stp>
        <stp>Symbol</stp>
        <tr r="A721" s="1"/>
      </tp>
      <tp t="s">
        <v>9SCL25</v>
        <stp/>
        <stp>bse_cm|9SCL25</stp>
        <stp>Symbol</stp>
        <tr r="A653" s="1"/>
      </tp>
      <tp t="s">
        <v>ICCL25</v>
        <stp/>
        <stp>bse_cm|ICCL25</stp>
        <stp>Symbol</stp>
        <tr r="A1330" s="1"/>
      </tp>
      <tp>
        <v>0</v>
        <stp/>
        <stp>bse_cm|115ICFL25</stp>
        <stp>Open</stp>
        <tr r="M1548" s="1"/>
      </tp>
      <tp>
        <v>0</v>
        <stp/>
        <stp>bse_cm|875IIFL26</stp>
        <stp>Open</stp>
        <tr r="M642" s="1"/>
      </tp>
      <tp>
        <v>0</v>
        <stp/>
        <stp>bse_cm|842IIFL26</stp>
        <stp>Open</stp>
        <tr r="M181" s="1"/>
      </tp>
      <tp>
        <v>0</v>
        <stp/>
        <stp>bse_cm|565PFCL26</stp>
        <stp>High</stp>
        <tr r="N1210" s="1"/>
      </tp>
      <tp>
        <v>0</v>
        <stp/>
        <stp>bse_cm|CIFCZC28A</stp>
        <stp>Open</stp>
        <tr r="M1396" s="1"/>
      </tp>
      <tp>
        <v>1079</v>
        <stp/>
        <stp>nse_cm|SCLZC25B-AT</stp>
        <stp>Prev Close</stp>
        <tr r="P1541" s="1"/>
      </tp>
      <tp>
        <v>1028</v>
        <stp/>
        <stp>nse_cm|SCLZC26B-AY</stp>
        <stp>Prev Close</stp>
        <tr r="P1658" s="1"/>
      </tp>
      <tp>
        <v>0</v>
        <stp/>
        <stp>bse_cm|957ISFL26</stp>
        <stp>Open</stp>
        <tr r="M761" s="1"/>
      </tp>
      <tp t="s">
        <v>990SCL26D</v>
        <stp/>
        <stp>nse_cm|990SCL26D-AH</stp>
        <stp>Symbol</stp>
        <tr r="A1556" s="1"/>
      </tp>
      <tp t="s">
        <v>888SCL25E</v>
        <stp/>
        <stp>nse_cm|888SCL25E-N4</stp>
        <stp>Symbol</stp>
        <tr r="A1444" s="1"/>
      </tp>
      <tp t="s">
        <v>980SCL33D</v>
        <stp/>
        <stp>nse_cm|980SCL33D-YG</stp>
        <stp>Symbol</stp>
        <tr r="A830" s="1"/>
      </tp>
      <tp>
        <v>0</v>
        <stp/>
        <stp>bse_cm|921ISFL25</stp>
        <stp>Open</stp>
        <tr r="M350" s="1"/>
      </tp>
      <tp>
        <v>0</v>
        <stp/>
        <stp>bse_cm|960ISFL25</stp>
        <stp>Open</stp>
        <tr r="M871" s="1"/>
      </tp>
      <tp>
        <v>1018.35</v>
        <stp/>
        <stp>bse_cm|732IRFC25</stp>
        <stp>Open</stp>
        <tr r="M174" s="1"/>
      </tp>
      <tp>
        <v>0</v>
        <stp/>
        <stp>bse_cm|707IRFC25</stp>
        <stp>Open</stp>
        <tr r="M1653" s="1"/>
      </tp>
      <tp t="s">
        <v>96IIFL28A</v>
        <stp/>
        <stp>nse_cm|96IIFL28A-NF</stp>
        <stp>Symbol</stp>
        <tr r="A81" s="1"/>
      </tp>
      <tp t="s">
        <v>948SCL26D</v>
        <stp/>
        <stp>nse_cm|948SCL26D-AI</stp>
        <stp>Symbol</stp>
        <tr r="A1690" s="1"/>
      </tp>
      <tp>
        <v>0</v>
        <stp/>
        <stp>bse_cm|MMFLZC27D</stp>
        <stp>Open</stp>
        <tr r="M1406" s="1"/>
      </tp>
      <tp>
        <v>0</v>
        <stp/>
        <stp>bse_cm|729IRFC26</stp>
        <stp>Open</stp>
        <tr r="M367" s="1"/>
      </tp>
      <tp>
        <v>0</v>
        <stp/>
        <stp>bse_cm|704IRFC26</stp>
        <stp>Open</stp>
        <tr r="M557" s="1"/>
      </tp>
      <tp>
        <v>0</v>
        <stp/>
        <stp>bse_cm|739HUDC31</stp>
        <stp>Open</stp>
        <tr r="M1347" s="1"/>
      </tp>
      <tp>
        <v>0</v>
        <stp/>
        <stp>bse_cm|865IRFC29</stp>
        <stp>Open</stp>
        <tr r="M501" s="1"/>
      </tp>
      <tp>
        <v>0</v>
        <stp/>
        <stp>bse_cm|840IRFC29</stp>
        <stp>Open</stp>
        <tr r="M1634" s="1"/>
      </tp>
      <tp t="s">
        <v>931SFL26A</v>
        <stp/>
        <stp>nse_cm|931SFL26A-NA</stp>
        <stp>Symbol</stp>
        <tr r="A786" s="1"/>
      </tp>
      <tp>
        <v>0</v>
        <stp/>
        <stp>bse_cm|MMFLZC27C</stp>
        <stp>Open</stp>
        <tr r="M1463" s="1"/>
      </tp>
      <tp t="s">
        <v>INE05F407BQ4</v>
        <stp/>
        <stp>bse_cm|MML28A</stp>
        <stp>Isin code</stp>
        <tr r="R1249" s="1"/>
      </tp>
      <tp t="s">
        <v>INE05F407BT8</v>
        <stp/>
        <stp>bse_cm|MML25A</stp>
        <stp>Isin code</stp>
        <tr r="R1252" s="1"/>
      </tp>
      <tp t="s">
        <v>INE05F407BR2</v>
        <stp/>
        <stp>bse_cm|MML24A</stp>
        <stp>Isin code</stp>
        <tr r="R1254" s="1"/>
      </tp>
      <tp t="s">
        <v>INE05F407BO9</v>
        <stp/>
        <stp>bse_cm|MML26A</stp>
        <stp>Isin code</stp>
        <tr r="R1642" s="1"/>
      </tp>
      <tp>
        <v>0</v>
        <stp/>
        <stp>bse_cm|MMFLZC27B</stp>
        <stp>Open</stp>
        <tr r="M1570" s="1"/>
      </tp>
      <tp t="s">
        <v>925SCL26D</v>
        <stp/>
        <stp>nse_cm|925SCL26D-ZD</stp>
        <stp>Symbol</stp>
        <tr r="A1448" s="1"/>
      </tp>
      <tp>
        <v>0</v>
        <stp/>
        <stp>bse_cm|MMFLZC27A</stp>
        <stp>Open</stp>
        <tr r="M1260" s="1"/>
      </tp>
      <tp>
        <v>1038</v>
        <stp/>
        <stp>bse_cm|10MVAFL25</stp>
        <stp xml:space="preserve">Low </stp>
        <tr r="O1675" s="1"/>
      </tp>
      <tp>
        <v>0</v>
        <stp/>
        <stp>bse_cm|MFLZC26</stp>
        <stp>Volume Traded Today</stp>
        <tr r="L1720" s="1"/>
      </tp>
      <tp>
        <v>0</v>
        <stp/>
        <stp>bse_cm|MFLZC27</stp>
        <stp>Volume Traded Today</stp>
        <tr r="L1271" s="1"/>
      </tp>
      <tp>
        <v>0</v>
        <stp/>
        <stp>bse_cm|MFLZC25</stp>
        <stp>Volume Traded Today</stp>
        <tr r="L1683" s="1"/>
      </tp>
      <tp>
        <v>985.01</v>
        <stp/>
        <stp>bse_cm|10VCL25</stp>
        <stp>Bid Rate</stp>
        <tr r="E1646" s="1"/>
      </tp>
      <tp>
        <v>-100</v>
        <stp/>
        <stp>bse_cm|8MFL26</stp>
        <stp>% Change</stp>
        <tr r="J654" s="1"/>
      </tp>
      <tp>
        <v>0</v>
        <stp/>
        <stp>bse_cm|MFLZC32</stp>
        <stp>Volume Traded Today</stp>
        <tr r="L1266" s="1"/>
      </tp>
      <tp>
        <v>0</v>
        <stp/>
        <stp>bse_cm|MFLZC30</stp>
        <stp>Volume Traded Today</stp>
        <tr r="L1267" s="1"/>
      </tp>
      <tp>
        <v>0</v>
        <stp/>
        <stp>nse_cm|92LTF29-N4</stp>
        <stp>High</stp>
        <tr r="N1087" s="1"/>
      </tp>
      <tp>
        <v>0</v>
        <stp/>
        <stp>bse_cm|1003IIFL29</stp>
        <stp>Ask Rate</stp>
        <tr r="F1078" s="1"/>
      </tp>
      <tp>
        <v>0</v>
        <stp/>
        <stp>bse_cm|1050IIFL29</stp>
        <stp>Ask Rate</stp>
        <tr r="F763" s="1"/>
      </tp>
      <tp>
        <v>1107</v>
        <stp/>
        <stp>bse_cm|1030IFSL26</stp>
        <stp>Ask Rate</stp>
        <tr r="F1654" s="1"/>
      </tp>
      <tp>
        <v>0</v>
        <stp/>
        <stp>bse_cm|9SFL26A</stp>
        <stp xml:space="preserve">Low </stp>
        <tr r="O1065" s="1"/>
      </tp>
      <tp>
        <v>804.2</v>
        <stp/>
        <stp>bse_cm|1015SCFL29</stp>
        <stp>Bid Rate</stp>
        <tr r="E1355" s="1"/>
      </tp>
      <tp>
        <v>0</v>
        <stp/>
        <stp>bse_cm|1025ICCL26</stp>
        <stp>Ask Rate</stp>
        <tr r="F1175" s="1"/>
      </tp>
      <tp>
        <v>0</v>
        <stp/>
        <stp>bse_cm|9SCL26B</stp>
        <stp xml:space="preserve">Low </stp>
        <tr r="O1135" s="1"/>
      </tp>
      <tp>
        <v>985.7</v>
        <stp/>
        <stp>nse_cm|11DLSL25A-Y3</stp>
        <stp>Bid Rate</stp>
        <tr r="E64" s="1"/>
      </tp>
      <tp>
        <v>821.2</v>
        <stp/>
        <stp>bse_cm|10SFL25</stp>
        <stp>Bid Rate</stp>
        <tr r="E1681" s="1"/>
      </tp>
      <tp t="s">
        <v/>
        <stp/>
        <stp>nse_cm|CIFC26-NK</stp>
        <stp>LTT</stp>
        <tr r="I741" s="1"/>
      </tp>
      <tp>
        <v>1018</v>
        <stp/>
        <stp>nse_cm|CIFC26-NK</stp>
        <stp>LTP</stp>
        <tr r="H741" s="1"/>
      </tp>
      <tp t="s">
        <v/>
        <stp/>
        <stp>nse_cm|CIFC28-NB</stp>
        <stp>LTT</stp>
        <tr r="I1618" s="1"/>
      </tp>
      <tp>
        <v>1083</v>
        <stp/>
        <stp>nse_cm|CIFC28-NB</stp>
        <stp>LTP</stp>
        <tr r="H1618" s="1"/>
      </tp>
      <tp>
        <v>0</v>
        <stp/>
        <stp>bse_cm|1225ICLF26</stp>
        <stp>Ask Rate</stp>
        <tr r="F1217" s="1"/>
      </tp>
      <tp>
        <v>0</v>
        <stp/>
        <stp>bse_cm|1175ICLF25</stp>
        <stp>Ask Rate</stp>
        <tr r="F1222" s="1"/>
      </tp>
      <tp>
        <v>-100</v>
        <stp/>
        <stp>bse_cm|9MFL30</stp>
        <stp>% Change</stp>
        <tr r="J244" s="1"/>
      </tp>
      <tp>
        <v>832.9</v>
        <stp/>
        <stp>bse_cm|10SFL27</stp>
        <stp>Bid Rate</stp>
        <tr r="E863" s="1"/>
      </tp>
      <tp>
        <v>1150.5999999999999</v>
        <stp/>
        <stp>nse_cm|850NHAI29-N5</stp>
        <stp>Prev Close</stp>
        <tr r="P512" s="1"/>
      </tp>
      <tp>
        <v>5</v>
        <stp/>
        <stp>nse_cm|849NTPC25-N7</stp>
        <stp>Face Value</stp>
        <tr r="Q302" s="1"/>
      </tp>
      <tp t="s">
        <v>15:12:31</v>
        <stp/>
        <stp>nse_cm|ABFL28-N3</stp>
        <stp>LTT</stp>
        <tr r="I1063" s="1"/>
      </tp>
      <tp t="s">
        <v/>
        <stp/>
        <stp>nse_cm|ABFL26-N1</stp>
        <stp>LTT</stp>
        <tr r="I1679" s="1"/>
      </tp>
      <tp>
        <v>1030</v>
        <stp/>
        <stp>nse_cm|ABFL28-N3</stp>
        <stp>LTP</stp>
        <tr r="H1063" s="1"/>
      </tp>
      <tp>
        <v>1036</v>
        <stp/>
        <stp>nse_cm|ABFL26-N1</stp>
        <stp>LTP</stp>
        <tr r="H1679" s="1"/>
      </tp>
      <tp>
        <v>1004</v>
        <stp/>
        <stp>nse_cm|957ISFL26-N2</stp>
        <stp>Ask Rate</stp>
        <tr r="F245" s="1"/>
      </tp>
      <tp t="s">
        <v>INE414G07GG3</v>
        <stp/>
        <stp>bse_cm|MFLIV27D</stp>
        <stp>Isin code</stp>
        <tr r="R1452" s="1"/>
      </tp>
      <tp>
        <v>1000.2</v>
        <stp/>
        <stp>nse_cm|1050NFL26-N7</stp>
        <stp>Prev Close</stp>
        <tr r="P259" s="1"/>
      </tp>
      <tp>
        <v>1000.05</v>
        <stp/>
        <stp>nse_cm|1040NFL26-NA</stp>
        <stp>Prev Close</stp>
        <tr r="P678" s="1"/>
      </tp>
      <tp>
        <v>1173</v>
        <stp/>
        <stp>nse_cm|875NHAI29-N6</stp>
        <stp>Prev Close</stp>
        <tr r="P495" s="1"/>
      </tp>
      <tp>
        <v>1044.3399999999999</v>
        <stp/>
        <stp>nse_cm|1090NFL26-NB</stp>
        <stp>Prev Close</stp>
        <tr r="P636" s="1"/>
      </tp>
      <tp>
        <v>0</v>
        <stp/>
        <stp>bse_cm|1050ICCL28</stp>
        <stp>Ask Rate</stp>
        <tr r="F1133" s="1"/>
      </tp>
      <tp>
        <v>0</v>
        <stp/>
        <stp>bse_cm|1003ICCL28</stp>
        <stp>Ask Rate</stp>
        <tr r="F655" s="1"/>
      </tp>
      <tp>
        <v>0</v>
        <stp/>
        <stp>bse_cm|1030ICCL28</stp>
        <stp>Ask Rate</stp>
        <tr r="F1521" s="1"/>
      </tp>
      <tp>
        <v>1020</v>
        <stp/>
        <stp>nse_cm|1102NFL26-N8</stp>
        <stp>Prev Close</stp>
        <tr r="P587" s="1"/>
      </tp>
      <tp>
        <v>917.26</v>
        <stp/>
        <stp>nse_cm|865IIFL28-NS</stp>
        <stp>Prev Close</stp>
        <tr r="P74" s="1"/>
      </tp>
      <tp>
        <v>1099.5999999999999</v>
        <stp/>
        <stp>nse_cm|736PFCL28-N2</stp>
        <stp>Prev Close</stp>
        <tr r="P11" s="1"/>
      </tp>
      <tp>
        <v>1069.9000000000001</v>
        <stp/>
        <stp>nse_cm|830PFCL27-N5</stp>
        <stp>Prev Close</stp>
        <tr r="P400" s="1"/>
      </tp>
      <tp>
        <v>0</v>
        <stp/>
        <stp>bse_cm|704HUDCO26</stp>
        <stp>Bid Rate</stp>
        <tr r="E1724" s="1"/>
      </tp>
      <tp>
        <v>0</v>
        <stp/>
        <stp>bse_cm|702HUDCO26</stp>
        <stp>Bid Rate</stp>
        <tr r="E1718" s="1"/>
      </tp>
      <tp>
        <v>939.2</v>
        <stp/>
        <stp>nse_cm|875IHFL29-ND</stp>
        <stp>Prev Close</stp>
        <tr r="P77" s="1"/>
      </tp>
      <tp>
        <v>0</v>
        <stp/>
        <stp>bse_cm|MHLZC26</stp>
        <stp>Volume Traded Today</stp>
        <tr r="L1522" s="1"/>
      </tp>
      <tp>
        <v>919.44</v>
        <stp/>
        <stp>nse_cm|843IHFL29-NC</stp>
        <stp>Prev Close</stp>
        <tr r="P123" s="1"/>
      </tp>
      <tp>
        <v>0</v>
        <stp/>
        <stp>nse_cm|848NTPC28-N2</stp>
        <stp>Ask Rate</stp>
        <tr r="F1405" s="1"/>
      </tp>
      <tp>
        <v>1077</v>
        <stp/>
        <stp>bse_cm|729HUDCO26</stp>
        <stp>Bid Rate</stp>
        <tr r="E523" s="1"/>
      </tp>
      <tp>
        <v>1062.5</v>
        <stp/>
        <stp>bse_cm|727HUDCO26</stp>
        <stp>Bid Rate</stp>
        <tr r="E481" s="1"/>
      </tp>
      <tp t="s">
        <v>BSE</v>
        <stp/>
        <stp>bse_cm|104SMCGS29</stp>
        <stp>Exchange</stp>
        <tr r="C206" s="1"/>
      </tp>
      <tp>
        <v>981</v>
        <stp/>
        <stp>nse_cm|945IFSL25-N4</stp>
        <stp>LTP</stp>
        <tr r="H453" s="1"/>
      </tp>
      <tp t="s">
        <v/>
        <stp/>
        <stp>nse_cm|945IFSL25-N4</stp>
        <stp>LTT</stp>
        <tr r="I453" s="1"/>
      </tp>
      <tp>
        <v>860.4</v>
        <stp/>
        <stp>bse_cm|10KFL28</stp>
        <stp>Bid Rate</stp>
        <tr r="E674" s="1"/>
      </tp>
      <tp>
        <v>0</v>
        <stp/>
        <stp>nse_cm|902SCL26A-NM</stp>
        <stp>High</stp>
        <tr r="N904" s="1"/>
      </tp>
      <tp t="s">
        <v>BSE</v>
        <stp/>
        <stp>bse_cm|1025MMFL26</stp>
        <stp>Exchange</stp>
        <tr r="C320" s="1"/>
      </tp>
      <tp>
        <v>0</v>
        <stp/>
        <stp>bse_cm|9MFL27A</stp>
        <stp>Open</stp>
        <tr r="M257" s="1"/>
      </tp>
      <tp t="s">
        <v/>
        <stp/>
        <stp>nse_cm|879NHPC28-N5</stp>
        <stp>LTT</stp>
        <tr r="I464" s="1"/>
      </tp>
      <tp>
        <v>1160</v>
        <stp/>
        <stp>nse_cm|879NHPC28-N5</stp>
        <stp>LTP</stp>
        <tr r="H464" s="1"/>
      </tp>
      <tp>
        <v>1460</v>
        <stp/>
        <stp>nse_cm|867PFCL33-N7</stp>
        <stp>Ask Rate</stp>
        <tr r="F550" s="1"/>
      </tp>
      <tp t="e">
        <v>#N/A</v>
        <stp/>
        <stp>bse_cm|1025MHFL24</stp>
        <stp>Exchange</stp>
        <tr r="C29" s="1"/>
      </tp>
      <tp t="e">
        <v>#N/A</v>
        <stp/>
        <stp>bse_cm|1065MHFL24</stp>
        <stp>Exchange</stp>
        <tr r="C36" s="1"/>
      </tp>
      <tp>
        <v>0</v>
        <stp/>
        <stp>nse_cm|91MOFSL27-N2</stp>
        <stp>Volume Traded Today</stp>
        <tr r="L1611" s="1"/>
      </tp>
      <tp>
        <v>989</v>
        <stp/>
        <stp>bse_cm|10NFL25</stp>
        <stp>Bid Rate</stp>
        <tr r="E1568" s="1"/>
      </tp>
      <tp>
        <v>975</v>
        <stp/>
        <stp>nse_cm|965IFSL26-N6</stp>
        <stp>Prev Close</stp>
        <tr r="P1346" s="1"/>
      </tp>
      <tp>
        <v>15</v>
        <stp/>
        <stp>nse_cm|10IIFLSF27-NB</stp>
        <stp>Ask Qty</stp>
        <tr r="G1657" s="1"/>
      </tp>
      <tp t="s">
        <v/>
        <stp/>
        <stp>nse_cm|873NTPC28-N5</stp>
        <stp>LTT</stp>
        <tr r="I541" s="1"/>
      </tp>
      <tp>
        <v>1182</v>
        <stp/>
        <stp>nse_cm|873NTPC28-N5</stp>
        <stp>LTP</stp>
        <tr r="H541" s="1"/>
      </tp>
      <tp t="s">
        <v>INE148I07GL3</v>
        <stp/>
        <stp>bse_cm|9SCL26BA</stp>
        <stp>Isin code</stp>
        <tr r="R160" s="1"/>
      </tp>
      <tp>
        <v>0</v>
        <stp/>
        <stp>bse_cm|1003ISFL28</stp>
        <stp>Ask Rate</stp>
        <tr r="F1456" s="1"/>
      </tp>
      <tp>
        <v>0</v>
        <stp/>
        <stp>bse_cm|1050ISFL28</stp>
        <stp>Ask Rate</stp>
        <tr r="F1497" s="1"/>
      </tp>
      <tp>
        <v>1050.5</v>
        <stp/>
        <stp>bse_cm|10MFL25</stp>
        <stp>Bid Rate</stp>
        <tr r="E577" s="1"/>
      </tp>
      <tp>
        <v>855.4</v>
        <stp/>
        <stp>bse_cm|10KFL25</stp>
        <stp>Bid Rate</stp>
        <tr r="E1093" s="1"/>
      </tp>
      <tp t="s">
        <v>NSE</v>
        <stp/>
        <stp>nse_cm|1035UCL26-NA</stp>
        <stp>Exchange</stp>
        <tr r="C1627" s="1"/>
      </tp>
      <tp t="s">
        <v>BSE</v>
        <stp/>
        <stp>bse_cm|102SMCGS27</stp>
        <stp>Exchange</stp>
        <tr r="C1017" s="1"/>
      </tp>
      <tp t="s">
        <v>BSE</v>
        <stp/>
        <stp>bse_cm|MFCL160924</stp>
        <stp>Exchange</stp>
        <tr r="C572" s="1"/>
      </tp>
      <tp>
        <v>856</v>
        <stp/>
        <stp>bse_cm|10KFL27</stp>
        <stp>Bid Rate</stp>
        <tr r="E675" s="1"/>
      </tp>
      <tp>
        <v>0</v>
        <stp/>
        <stp>nse_cm|9SCL25-YM</stp>
        <stp>Volume Traded Today</stp>
        <tr r="L97" s="1"/>
      </tp>
      <tp>
        <v>0</v>
        <stp/>
        <stp>nse_cm|0SCL26-YR</stp>
        <stp>Volume Traded Today</stp>
        <tr r="L1622" s="1"/>
      </tp>
      <tp>
        <v>0</v>
        <stp/>
        <stp>nse_cm|0SCL27-YW</stp>
        <stp>Volume Traded Today</stp>
        <tr r="L1616" s="1"/>
      </tp>
      <tp>
        <v>0</v>
        <stp/>
        <stp>bse_cm|905SC24</stp>
        <stp>Bid Rate</stp>
        <tr r="E573" s="1"/>
      </tp>
      <tp>
        <v>1000</v>
        <stp/>
        <stp>bse_cm|7PFCL31</stp>
        <stp>High</stp>
        <tr r="N425" s="1"/>
      </tp>
      <tp t="s">
        <v>NSE</v>
        <stp/>
        <stp>nse_cm|843IHFL29-NC</stp>
        <stp>Exchange</stp>
        <tr r="C123" s="1"/>
      </tp>
      <tp>
        <v>993.8</v>
        <stp/>
        <stp>bse_cm|875EFSL24A</stp>
        <stp>Ask Rate</stp>
        <tr r="F229" s="1"/>
      </tp>
      <tp>
        <v>0</v>
        <stp/>
        <stp>bse_cm|948IFSL25B</stp>
        <stp>Ask Rate</stp>
        <tr r="F599" s="1"/>
      </tp>
      <tp t="s">
        <v>BSE</v>
        <stp/>
        <stp>bse_cm|739NHAI31A</stp>
        <stp>Exchange</stp>
        <tr r="C546" s="1"/>
      </tp>
      <tp t="s">
        <v>BSE</v>
        <stp/>
        <stp>bse_cm|913ICCL24A</stp>
        <stp>Exchange</stp>
        <tr r="C1162" s="1"/>
      </tp>
      <tp t="s">
        <v>BSE</v>
        <stp/>
        <stp>bse_cm|925ICCL24A</stp>
        <stp>Exchange</stp>
        <tr r="C1072" s="1"/>
      </tp>
      <tp t="s">
        <v>NSE</v>
        <stp/>
        <stp>nse_cm|1035UCL24-N6</stp>
        <stp>Exchange</stp>
        <tr r="C591" s="1"/>
      </tp>
      <tp t="s">
        <v>00:00:00</v>
        <stp/>
        <stp>bse_cm|9SFL25A</stp>
        <stp>LTT</stp>
        <tr r="I441" s="1"/>
      </tp>
      <tp>
        <v>0</v>
        <stp/>
        <stp>bse_cm|9SFL25A</stp>
        <stp>LTP</stp>
        <tr r="H441" s="1"/>
      </tp>
      <tp>
        <v>0</v>
        <stp/>
        <stp>nse_cm|957ICCL28-NW</stp>
        <stp>Ask Rate</stp>
        <tr r="F762" s="1"/>
      </tp>
      <tp>
        <v>0</v>
        <stp/>
        <stp>bse_cm|MHLZC26</stp>
        <stp>Open</stp>
        <tr r="M1522" s="1"/>
      </tp>
      <tp t="s">
        <v>00:00:00</v>
        <stp/>
        <stp>bse_cm|9SFL26A</stp>
        <stp>LTT</stp>
        <tr r="I1065" s="1"/>
      </tp>
      <tp>
        <v>0</v>
        <stp/>
        <stp>bse_cm|9SCL26B</stp>
        <stp>LTP</stp>
        <tr r="H1135" s="1"/>
      </tp>
      <tp>
        <v>0</v>
        <stp/>
        <stp>bse_cm|9SFL26A</stp>
        <stp>LTP</stp>
        <tr r="H1065" s="1"/>
      </tp>
      <tp t="s">
        <v>00:00:00</v>
        <stp/>
        <stp>bse_cm|9SCL26B</stp>
        <stp>LTT</stp>
        <tr r="I1135" s="1"/>
      </tp>
      <tp t="s">
        <v>00:00:00</v>
        <stp/>
        <stp>bse_cm|9MFL27A</stp>
        <stp>LTT</stp>
        <tr r="I257" s="1"/>
      </tp>
      <tp>
        <v>0</v>
        <stp/>
        <stp>bse_cm|9MFL27A</stp>
        <stp>LTP</stp>
        <tr r="H257" s="1"/>
      </tp>
      <tp>
        <v>1025</v>
        <stp/>
        <stp>nse_cm|1075NFL25-N6</stp>
        <stp>Ask Rate</stp>
        <tr r="F1438" s="1"/>
      </tp>
      <tp t="s">
        <v>00:00:00</v>
        <stp/>
        <stp>bse_cm|9MFL25A</stp>
        <stp>LTT</stp>
        <tr r="I702" s="1"/>
      </tp>
      <tp>
        <v>0</v>
        <stp/>
        <stp>bse_cm|9MFL25A</stp>
        <stp>LTP</stp>
        <tr r="H702" s="1"/>
      </tp>
      <tp>
        <v>0</v>
        <stp/>
        <stp>bse_cm|MFCL30424D</stp>
        <stp>Ask Rate</stp>
        <tr r="F1281" s="1"/>
      </tp>
      <tp>
        <v>0</v>
        <stp/>
        <stp>bse_cm|915MMFS24</stp>
        <stp>ATP</stp>
        <tr r="K1752" s="1"/>
      </tp>
      <tp>
        <v>0</v>
        <stp/>
        <stp>bse_cm|825MMFS27</stp>
        <stp>ATP</stp>
        <tr r="K1381" s="1"/>
      </tp>
      <tp>
        <v>980</v>
        <stp/>
        <stp>nse_cm|10IIFL28A-NE</stp>
        <stp>Ask Rate</stp>
        <tr r="F108" s="1"/>
      </tp>
      <tp>
        <v>0</v>
        <stp/>
        <stp>bse_cm|MFCL30424C</stp>
        <stp>Ask Rate</stp>
        <tr r="F1552" s="1"/>
      </tp>
      <tp>
        <v>0</v>
        <stp/>
        <stp>bse_cm|805MMFS32</stp>
        <stp>ATP</stp>
        <tr r="K1763" s="1"/>
      </tp>
      <tp>
        <v>0</v>
        <stp/>
        <stp>bse_cm|MFCL30424B</stp>
        <stp>Ask Rate</stp>
        <tr r="F1282" s="1"/>
      </tp>
      <tp>
        <v>0</v>
        <stp/>
        <stp>bse_cm|MFCL30424A</stp>
        <stp>Ask Rate</stp>
        <tr r="F1283" s="1"/>
      </tp>
      <tp t="s">
        <v>00:00:00</v>
        <stp/>
        <stp>bse_cm|9KFL26A</stp>
        <stp>LTT</stp>
        <tr r="I1083" s="1"/>
      </tp>
      <tp>
        <v>0</v>
        <stp/>
        <stp>nse_cm|ICCL25-NS</stp>
        <stp>Volume Traded Today</stp>
        <tr r="L1401" s="1"/>
      </tp>
      <tp t="s">
        <v>00:00:00</v>
        <stp/>
        <stp>bse_cm|9KFL26B</stp>
        <stp>LTT</stp>
        <tr r="I667" s="1"/>
      </tp>
      <tp>
        <v>0</v>
        <stp/>
        <stp>bse_cm|9KFL26A</stp>
        <stp>LTP</stp>
        <tr r="H1083" s="1"/>
      </tp>
      <tp>
        <v>0</v>
        <stp/>
        <stp>bse_cm|9KFL26B</stp>
        <stp>LTP</stp>
        <tr r="H667" s="1"/>
      </tp>
      <tp>
        <v>940</v>
        <stp/>
        <stp>nse_cm|96IIFL28A-NF</stp>
        <stp>Ask Rate</stp>
        <tr r="F81" s="1"/>
      </tp>
      <tp>
        <v>842.2</v>
        <stp/>
        <stp>bse_cm|SFL270224A</stp>
        <stp>Bid Rate</stp>
        <tr r="E807" s="1"/>
      </tp>
      <tp>
        <v>1020</v>
        <stp/>
        <stp>bse_cm|1025MMF26A</stp>
        <stp>Ask Rate</stp>
        <tr r="F290" s="1"/>
      </tp>
      <tp>
        <v>1181.99</v>
        <stp/>
        <stp>nse_cm|888IRFC29-NE</stp>
        <stp>Ask Rate</stp>
        <tr r="F508" s="1"/>
      </tp>
      <tp>
        <v>1060</v>
        <stp/>
        <stp>nse_cm|1075UCL25-N9</stp>
        <stp>Ask Rate</stp>
        <tr r="F498" s="1"/>
      </tp>
      <tp>
        <v>1083.23</v>
        <stp/>
        <stp>bse_cm|ICLFLZC29</stp>
        <stp>Prev Close</stp>
        <tr r="P1613" s="1"/>
      </tp>
      <tp>
        <v>964.8</v>
        <stp/>
        <stp>bse_cm|948SCL27A</stp>
        <stp xml:space="preserve">Low </stp>
        <tr r="O697" s="1"/>
      </tp>
      <tp>
        <v>872</v>
        <stp/>
        <stp>bse_cm|955SCL27A</stp>
        <stp xml:space="preserve">Low </stp>
        <tr r="O948" s="1"/>
      </tp>
      <tp>
        <v>0</v>
        <stp/>
        <stp>bse_cm|902SCL27A</stp>
        <stp xml:space="preserve">Low </stp>
        <tr r="O1354" s="1"/>
      </tp>
      <tp>
        <v>968.9</v>
        <stp/>
        <stp>bse_cm|915SCL27A</stp>
        <stp xml:space="preserve">Low </stp>
        <tr r="O951" s="1"/>
      </tp>
      <tp t="s">
        <v>JMFPTBIL25</v>
        <stp/>
        <stp>bse_cm|JMFPTBIL25</stp>
        <stp>Trading Symbol</stp>
        <tr r="B9" s="1"/>
      </tp>
      <tp>
        <v>0</v>
        <stp/>
        <stp>bse_cm|925SFL27A</stp>
        <stp xml:space="preserve">Low </stp>
        <tr r="O848" s="1"/>
      </tp>
      <tp>
        <v>1340</v>
        <stp/>
        <stp>bse_cm|MFOPTVI24</stp>
        <stp>High</stp>
        <tr r="N1547" s="1"/>
      </tp>
      <tp>
        <v>1034.8499999999999</v>
        <stp/>
        <stp>bse_cm|MFOPTIV24</stp>
        <stp>High</stp>
        <tr r="N380" s="1"/>
      </tp>
      <tp>
        <v>812.25</v>
        <stp/>
        <stp>bse_cm|1050SCL31</stp>
        <stp>Bid Rate</stp>
        <tr r="E892" s="1"/>
      </tp>
      <tp>
        <v>822.4</v>
        <stp/>
        <stp>bse_cm|1050SCL30</stp>
        <stp>Bid Rate</stp>
        <tr r="E867" s="1"/>
      </tp>
      <tp>
        <v>1405.81</v>
        <stp/>
        <stp>bse_cm|1041KFL26</stp>
        <stp>Bid Rate</stp>
        <tr r="E1031" s="1"/>
      </tp>
      <tp>
        <v>1465.21</v>
        <stp/>
        <stp>bse_cm|1071KFL25</stp>
        <stp>Bid Rate</stp>
        <tr r="E1122" s="1"/>
      </tp>
      <tp>
        <v>837.8</v>
        <stp/>
        <stp>bse_cm|MML110924</stp>
        <stp>Bid Rate</stp>
        <tr r="E1257" s="1"/>
      </tp>
      <tp>
        <v>855.1</v>
        <stp/>
        <stp>bse_cm|IML160224</stp>
        <stp>Bid Rate</stp>
        <tr r="E1329" s="1"/>
      </tp>
      <tp>
        <v>0</v>
        <stp/>
        <stp>bse_cm|927MFL26A</stp>
        <stp>Open</stp>
        <tr r="M617" s="1"/>
      </tp>
      <tp>
        <v>0</v>
        <stp/>
        <stp>bse_cm|890MFL26A</stp>
        <stp>Open</stp>
        <tr r="M698" s="1"/>
      </tp>
      <tp>
        <v>0</v>
        <stp/>
        <stp>bse_cm|865MFL26A</stp>
        <stp>Open</stp>
        <tr r="M242" s="1"/>
      </tp>
      <tp>
        <v>0</v>
        <stp/>
        <stp>bse_cm|875MFL26A</stp>
        <stp>Open</stp>
        <tr r="M286" s="1"/>
      </tp>
      <tp>
        <v>880.2</v>
        <stp/>
        <stp>bse_cm|IFL190424</stp>
        <stp>Bid Rate</stp>
        <tr r="E1663" s="1"/>
      </tp>
      <tp>
        <v>865.8</v>
        <stp/>
        <stp>bse_cm|AEL120924</stp>
        <stp>Bid Rate</stp>
        <tr r="E1062" s="1"/>
      </tp>
      <tp>
        <v>850.2</v>
        <stp/>
        <stp>bse_cm|CCI110324</stp>
        <stp>Bid Rate</stp>
        <tr r="E755" s="1"/>
      </tp>
      <tp t="s">
        <v>INE148I07MX6</v>
        <stp/>
        <stp>nse_cm|87SCL24A-ZF</stp>
        <stp>Isin code</stp>
        <tr r="R959" s="1"/>
      </tp>
      <tp t="s">
        <v>9PCHFL31A</v>
        <stp/>
        <stp>nse_cm|9PCHFL31A-NA</stp>
        <stp>Symbol</stp>
        <tr r="A435" s="1"/>
      </tp>
      <tp t="s">
        <v>00:00:00</v>
        <stp/>
        <stp>bse_cm|TCHF30</stp>
        <stp>LTT</stp>
        <tr r="I423" s="1"/>
      </tp>
      <tp>
        <v>0</v>
        <stp/>
        <stp>bse_cm|TCHF30</stp>
        <stp>LTP</stp>
        <tr r="H423" s="1"/>
      </tp>
      <tp>
        <v>1029.7</v>
        <stp/>
        <stp>bse_cm|755PFCL38</stp>
        <stp>High</stp>
        <tr r="N434" s="1"/>
      </tp>
      <tp>
        <v>975</v>
        <stp/>
        <stp>bse_cm|750PFCL38</stp>
        <stp>High</stp>
        <tr r="N1196" s="1"/>
      </tp>
      <tp t="s">
        <v>INE614X07365</v>
        <stp/>
        <stp>nse_cm|11DLSL25-NV</stp>
        <stp>Isin code</stp>
        <tr r="R48" s="1"/>
      </tp>
      <tp>
        <v>1066</v>
        <stp/>
        <stp>nse_cm|9PEL25-N0</stp>
        <stp>Bid Rate</stp>
        <tr r="E341" s="1"/>
      </tp>
      <tp>
        <v>1000</v>
        <stp/>
        <stp>bse_cm|753PFCL33</stp>
        <stp>High</stp>
        <tr r="N426" s="1"/>
      </tp>
      <tp>
        <v>0</v>
        <stp/>
        <stp>bse_cm|747PFCL33</stp>
        <stp>High</stp>
        <tr r="N1199" s="1"/>
      </tp>
      <tp>
        <v>1159.8</v>
        <stp/>
        <stp>bse_cm|MFLVII25G</stp>
        <stp>High</stp>
        <tr r="N1729" s="1"/>
      </tp>
      <tp>
        <v>875.2</v>
        <stp/>
        <stp>nse_cm|CAGL28-NE</stp>
        <stp>Bid Rate</stp>
        <tr r="E756" s="1"/>
      </tp>
      <tp>
        <v>0</v>
        <stp/>
        <stp>bse_cm|658PFCL31</stp>
        <stp>High</stp>
        <tr r="N1209" s="1"/>
      </tp>
      <tp>
        <v>1189.8</v>
        <stp/>
        <stp>bse_cm|663PFCL31</stp>
        <stp>High</stp>
        <tr r="N1208" s="1"/>
      </tp>
      <tp>
        <v>1011</v>
        <stp/>
        <stp>bse_cm|683PFCL31</stp>
        <stp>High</stp>
        <tr r="N449" s="1"/>
      </tp>
      <tp>
        <v>960</v>
        <stp/>
        <stp>bse_cm|682PFCL31</stp>
        <stp>High</stp>
        <tr r="N433" s="1"/>
      </tp>
      <tp>
        <v>0</v>
        <stp/>
        <stp>bse_cm|678PFCL36</stp>
        <stp>High</stp>
        <tr r="N1207" s="1"/>
      </tp>
      <tp>
        <v>972.01</v>
        <stp/>
        <stp>bse_cm|697PFCL36</stp>
        <stp>High</stp>
        <tr r="N431" s="1"/>
      </tp>
      <tp>
        <v>1000.2</v>
        <stp/>
        <stp>bse_cm|695PFCL36</stp>
        <stp>High</stp>
        <tr r="N430" s="1"/>
      </tp>
      <tp>
        <v>870.2</v>
        <stp/>
        <stp>nse_cm|CAGL26-NA</stp>
        <stp>Bid Rate</stp>
        <tr r="E735" s="1"/>
      </tp>
      <tp>
        <v>1040</v>
        <stp/>
        <stp>bse_cm|715PFCL36</stp>
        <stp>High</stp>
        <tr r="N437" s="1"/>
      </tp>
      <tp>
        <v>865.2</v>
        <stp/>
        <stp>nse_cm|CAGL27-NC</stp>
        <stp>Bid Rate</stp>
        <tr r="E733" s="1"/>
      </tp>
      <tp>
        <v>1010</v>
        <stp/>
        <stp>nse_cm|SCLZC26C-NB</stp>
        <stp>Prev Close</stp>
        <tr r="P1537" s="1"/>
      </tp>
      <tp>
        <v>1000</v>
        <stp/>
        <stp>nse_cm|SCLZC25C-NI</stp>
        <stp>Prev Close</stp>
        <tr r="P908" s="1"/>
      </tp>
      <tp>
        <v>0</v>
        <stp/>
        <stp>bse_cm|EFSLZC26C</stp>
        <stp>Open</stp>
        <tr r="M1332" s="1"/>
      </tp>
      <tp>
        <v>0</v>
        <stp/>
        <stp>bse_cm|EFSLZC26B</stp>
        <stp>Open</stp>
        <tr r="M1678" s="1"/>
      </tp>
      <tp>
        <v>1101.2</v>
        <stp/>
        <stp>nse_cm|ICCL25-NS</stp>
        <stp>Bid Rate</stp>
        <tr r="E1401" s="1"/>
      </tp>
      <tp>
        <v>0</v>
        <stp/>
        <stp>bse_cm|EFSLZC26A</stp>
        <stp>Open</stp>
        <tr r="M1574" s="1"/>
      </tp>
      <tp t="s">
        <v>888SCL25D</v>
        <stp/>
        <stp>nse_cm|888SCL25D-NC</stp>
        <stp>Symbol</stp>
        <tr r="A916" s="1"/>
      </tp>
      <tp>
        <v>0</v>
        <stp/>
        <stp>bse_cm|KAFLZC26A</stp>
        <stp>Open</stp>
        <tr r="M1710" s="1"/>
      </tp>
      <tp>
        <v>0</v>
        <stp/>
        <stp>bse_cm|725IRFC35</stp>
        <stp>Open</stp>
        <tr r="M560" s="1"/>
      </tp>
      <tp>
        <v>0</v>
        <stp/>
        <stp>bse_cm|750IRFC35</stp>
        <stp>Open</stp>
        <tr r="M488" s="1"/>
      </tp>
      <tp t="s">
        <v>965SCL25E</v>
        <stp/>
        <stp>nse_cm|965SCL25E-BF</stp>
        <stp>Symbol</stp>
        <tr r="A413" s="1"/>
      </tp>
      <tp>
        <v>0</v>
        <stp/>
        <stp>bse_cm|IIFLZC26B</stp>
        <stp>Open</stp>
        <tr r="M1179" s="1"/>
      </tp>
      <tp>
        <v>0</v>
        <stp/>
        <stp>bse_cm|IIFLZC26A</stp>
        <stp>Open</stp>
        <tr r="M1674" s="1"/>
      </tp>
      <tp t="s">
        <v>00:00:00</v>
        <stp/>
        <stp>bse_cm|MVAF27</stp>
        <stp>LTT</stp>
        <tr r="I1689" s="1"/>
      </tp>
      <tp>
        <v>0</v>
        <stp/>
        <stp>bse_cm|MVAF27</stp>
        <stp>LTP</stp>
        <tr r="H1689" s="1"/>
      </tp>
      <tp>
        <v>1281.8499999999999</v>
        <stp/>
        <stp>nse_cm|DLSL25-NW</stp>
        <stp>Bid Rate</stp>
        <tr r="E1745" s="1"/>
      </tp>
      <tp>
        <v>0</v>
        <stp/>
        <stp>bse_cm|735IRFC31</stp>
        <stp>Open</stp>
        <tr r="M1427" s="1"/>
      </tp>
      <tp>
        <v>1091</v>
        <stp/>
        <stp>bse_cm|764IRFC31</stp>
        <stp>Open</stp>
        <tr r="M466" s="1"/>
      </tp>
      <tp>
        <v>0</v>
        <stp/>
        <stp>bse_cm|728IRFC30</stp>
        <stp>Open</stp>
        <tr r="M469" s="1"/>
      </tp>
      <tp>
        <v>0</v>
        <stp/>
        <stp>bse_cm|753IRFC30</stp>
        <stp>Open</stp>
        <tr r="M454" s="1"/>
      </tp>
      <tp>
        <v>0</v>
        <stp/>
        <stp>bse_cm|9MFL27</stp>
        <stp>% Change</stp>
        <tr r="J195" s="1"/>
      </tp>
      <tp t="s">
        <v>NSE</v>
        <stp/>
        <stp>nse_cm|892PFCL33-N8</stp>
        <stp>Exchange</stp>
        <tr r="C530" s="1"/>
      </tp>
      <tp>
        <v>1021.5</v>
        <stp/>
        <stp>bse_cm|11UCL26</stp>
        <stp>Bid Rate</stp>
        <tr r="E323" s="1"/>
      </tp>
      <tp>
        <v>805.8</v>
        <stp/>
        <stp>bse_cm|10SCL31</stp>
        <stp>Bid Rate</stp>
        <tr r="E1085" s="1"/>
      </tp>
      <tp>
        <v>-100</v>
        <stp/>
        <stp>bse_cm|9MFL25</stp>
        <stp>% Change</stp>
        <tr r="J1082" s="1"/>
      </tp>
      <tp>
        <v>0</v>
        <stp/>
        <stp>bse_cm|0SFL27A</stp>
        <stp xml:space="preserve">Low </stp>
        <tr r="O1034" s="1"/>
      </tp>
      <tp>
        <v>1000</v>
        <stp/>
        <stp>nse_cm|1065NFL27-NC</stp>
        <stp>Ask Rate</stp>
        <tr r="F170" s="1"/>
      </tp>
      <tp>
        <v>-3.05</v>
        <stp/>
        <stp>bse_cm|9IML25</stp>
        <stp>% Change</stp>
        <tr r="J588" s="1"/>
      </tp>
      <tp>
        <v>975</v>
        <stp/>
        <stp>nse_cm|925SCL25A-NH</stp>
        <stp xml:space="preserve">Low </stp>
        <tr r="O715" s="1"/>
      </tp>
      <tp>
        <v>0</v>
        <stp/>
        <stp>nse_cm|85PFL26A-N7</stp>
        <stp>% Change</stp>
        <tr r="J1519" s="1"/>
      </tp>
      <tp>
        <v>-100</v>
        <stp/>
        <stp>bse_cm|9KFL26</stp>
        <stp>% Change</stp>
        <tr r="J1084" s="1"/>
      </tp>
      <tp>
        <v>964.5</v>
        <stp/>
        <stp>bse_cm|91SFL27</stp>
        <stp>Bid Rate</stp>
        <tr r="E574" s="1"/>
      </tp>
      <tp>
        <v>1056.8</v>
        <stp/>
        <stp>nse_cm|965SCL25A-NF</stp>
        <stp xml:space="preserve">Low </stp>
        <tr r="O163" s="1"/>
      </tp>
      <tp>
        <v>1120.01</v>
        <stp/>
        <stp>bse_cm|739HUDCO31</stp>
        <stp>Bid Rate</stp>
        <tr r="E569" s="1"/>
      </tp>
      <tp>
        <v>1160</v>
        <stp/>
        <stp>nse_cm|879NHPC28-N5</stp>
        <stp>Ask Rate</stp>
        <tr r="F464" s="1"/>
      </tp>
      <tp t="s">
        <v/>
        <stp/>
        <stp>nse_cm|CAGL25-N8</stp>
        <stp>LTT</stp>
        <tr r="I710" s="1"/>
      </tp>
      <tp>
        <v>1065.52</v>
        <stp/>
        <stp>nse_cm|CAGL25-N8</stp>
        <stp>LTP</stp>
        <tr r="H710" s="1"/>
      </tp>
      <tp t="s">
        <v/>
        <stp/>
        <stp>nse_cm|CAGL24-N2</stp>
        <stp>LTT</stp>
        <tr r="I1762" s="1"/>
      </tp>
      <tp>
        <v>1191</v>
        <stp/>
        <stp>nse_cm|CAGL24-N2</stp>
        <stp>LTP</stp>
        <tr r="H1762" s="1"/>
      </tp>
      <tp t="s">
        <v/>
        <stp/>
        <stp>nse_cm|CAGL26-NA</stp>
        <stp>LTT</stp>
        <tr r="I735" s="1"/>
      </tp>
      <tp>
        <v>1050</v>
        <stp/>
        <stp>nse_cm|CAGL28-NE</stp>
        <stp>LTP</stp>
        <tr r="H756" s="1"/>
      </tp>
      <tp t="s">
        <v/>
        <stp/>
        <stp>nse_cm|CAGL27-NC</stp>
        <stp>LTT</stp>
        <tr r="I733" s="1"/>
      </tp>
      <tp>
        <v>833</v>
        <stp/>
        <stp>nse_cm|CAGL26-NA</stp>
        <stp>LTP</stp>
        <tr r="H735" s="1"/>
      </tp>
      <tp t="s">
        <v/>
        <stp/>
        <stp>nse_cm|CAGL28-NE</stp>
        <stp>LTT</stp>
        <tr r="I756" s="1"/>
      </tp>
      <tp>
        <v>0</v>
        <stp/>
        <stp>nse_cm|CAGL27-NC</stp>
        <stp>LTP</stp>
        <tr r="H733" s="1"/>
      </tp>
      <tp>
        <v>807.2</v>
        <stp/>
        <stp>bse_cm|1025SCFL34</stp>
        <stp>Bid Rate</stp>
        <tr r="E1025" s="1"/>
      </tp>
      <tp>
        <v>810.2</v>
        <stp/>
        <stp>bse_cm|1075SCFL34</stp>
        <stp>Bid Rate</stp>
        <tr r="E1020" s="1"/>
      </tp>
      <tp>
        <v>1002</v>
        <stp/>
        <stp>nse_cm|1065NFL27-NC</stp>
        <stp>Prev Close</stp>
        <tr r="P170" s="1"/>
      </tp>
      <tp>
        <v>0</v>
        <stp/>
        <stp>nse_cm|925SCL25Z-NE</stp>
        <stp xml:space="preserve">Low </stp>
        <tr r="O914" s="1"/>
      </tp>
      <tp>
        <v>1044</v>
        <stp/>
        <stp>nse_cm|1119NFL27-ND</stp>
        <stp>Prev Close</stp>
        <tr r="P337" s="1"/>
      </tp>
      <tp>
        <v>0</v>
        <stp/>
        <stp>bse_cm|EFS290424</stp>
        <stp>ATP</stp>
        <tr r="K570" s="1"/>
      </tp>
      <tp>
        <v>5.22</v>
        <stp/>
        <stp>nse_cm|849NTPC25-N7</stp>
        <stp>Ask Rate</stp>
        <tr r="F302" s="1"/>
      </tp>
      <tp>
        <v>814.45</v>
        <stp/>
        <stp>bse_cm|1003SCFL31</stp>
        <stp>Bid Rate</stp>
        <tr r="E1076" s="1"/>
      </tp>
      <tp>
        <v>810.2</v>
        <stp/>
        <stp>bse_cm|1050SCFL31</stp>
        <stp>Bid Rate</stp>
        <tr r="E1123" s="1"/>
      </tp>
      <tp>
        <v>0</v>
        <stp/>
        <stp>bse_cm|1045EFS33</stp>
        <stp>ATP</stp>
        <tr r="K1030" s="1"/>
      </tp>
      <tp>
        <v>0</v>
        <stp/>
        <stp>bse_cm|1045EFS34</stp>
        <stp>ATP</stp>
        <tr r="K1450" s="1"/>
      </tp>
      <tp>
        <v>1159</v>
        <stp/>
        <stp>bse_cm|769HUDCO31</stp>
        <stp>Bid Rate</stp>
        <tr r="E15" s="1"/>
      </tp>
      <tp>
        <v>1145.01</v>
        <stp/>
        <stp>bse_cm|764HUDCO31</stp>
        <stp>Bid Rate</stp>
        <tr r="E16" s="1"/>
      </tp>
      <tp>
        <v>1113</v>
        <stp/>
        <stp>nse_cm|736PFCL28-N2</stp>
        <stp>Ask Rate</stp>
        <tr r="F11" s="1"/>
      </tp>
      <tp>
        <v>0</v>
        <stp/>
        <stp>nse_cm|925SCL28A-NS</stp>
        <stp xml:space="preserve">Low </stp>
        <tr r="O895" s="1"/>
      </tp>
      <tp>
        <v>1045</v>
        <stp/>
        <stp>nse_cm|1060ECL29-NS</stp>
        <stp>Ask Rate</stp>
        <tr r="F144" s="1"/>
      </tp>
      <tp>
        <v>0</v>
        <stp/>
        <stp>nse_cm|965SCL28A-NQ</stp>
        <stp xml:space="preserve">Low </stp>
        <tr r="O897" s="1"/>
      </tp>
      <tp>
        <v>910.2</v>
        <stp/>
        <stp>nse_cm|965SCL25F-NZ</stp>
        <stp xml:space="preserve">Low </stp>
        <tr r="O1362" s="1"/>
      </tp>
      <tp>
        <v>0</v>
        <stp/>
        <stp>nse_cm|980IFSL25-N5</stp>
        <stp>ATP</stp>
        <tr r="K476" s="1"/>
      </tp>
      <tp>
        <v>921.53</v>
        <stp/>
        <stp>bse_cm|10EFS33</stp>
        <stp>Bid Rate</stp>
        <tr r="E112" s="1"/>
      </tp>
      <tp>
        <v>901.8</v>
        <stp/>
        <stp>bse_cm|11CCI26</stp>
        <stp>Bid Rate</stp>
        <tr r="E1220" s="1"/>
      </tp>
      <tp>
        <v>921</v>
        <stp/>
        <stp>bse_cm|11CCL26</stp>
        <stp>Bid Rate</stp>
        <tr r="E1219" s="1"/>
      </tp>
      <tp>
        <v>970</v>
        <stp/>
        <stp>bse_cm|81MFL28</stp>
        <stp>Bid Rate</stp>
        <tr r="E314" s="1"/>
      </tp>
      <tp>
        <v>865.4</v>
        <stp/>
        <stp>bse_cm|11MML28</stp>
        <stp>Bid Rate</stp>
        <tr r="E1131" s="1"/>
      </tp>
      <tp>
        <v>0</v>
        <stp/>
        <stp>nse_cm|925SCL25G-NY</stp>
        <stp xml:space="preserve">Low </stp>
        <tr r="O887" s="1"/>
      </tp>
      <tp>
        <v>1156</v>
        <stp/>
        <stp>nse_cm|879NHPC28-N5</stp>
        <stp>Prev Close</stp>
        <tr r="P464" s="1"/>
      </tp>
      <tp>
        <v>-100</v>
        <stp/>
        <stp>bse_cm|9SFL25</stp>
        <stp>% Change</stp>
        <tr r="J340" s="1"/>
      </tp>
      <tp>
        <v>-100</v>
        <stp/>
        <stp>bse_cm|9SCL25</stp>
        <stp>% Change</stp>
        <tr r="J653" s="1"/>
      </tp>
      <tp t="s">
        <v>BSE</v>
        <stp/>
        <stp>bse_cm|1010MFCL30</stp>
        <stp>Exchange</stp>
        <tr r="C285" s="1"/>
      </tp>
      <tp>
        <v>1305</v>
        <stp/>
        <stp>nse_cm|866NTPC33-N3</stp>
        <stp>LTP</stp>
        <tr r="H555" s="1"/>
      </tp>
      <tp t="s">
        <v/>
        <stp/>
        <stp>nse_cm|866NTPC33-N3</stp>
        <stp>LTT</stp>
        <tr r="I555" s="1"/>
      </tp>
      <tp>
        <v>901.7</v>
        <stp/>
        <stp>bse_cm|11IML26</stp>
        <stp>Bid Rate</stp>
        <tr r="E1132" s="1"/>
      </tp>
      <tp>
        <v>979.3</v>
        <stp/>
        <stp>bse_cm|11IML27</stp>
        <stp>Bid Rate</stp>
        <tr r="E177" s="1"/>
      </tp>
      <tp>
        <v>1010</v>
        <stp/>
        <stp>nse_cm|91MOFSL27-N2</stp>
        <stp>Prev Close</stp>
        <tr r="P1611" s="1"/>
      </tp>
      <tp>
        <v>-100</v>
        <stp/>
        <stp>bse_cm|9SFL26</stp>
        <stp>% Change</stp>
        <tr r="J1066" s="1"/>
      </tp>
      <tp>
        <v>-100</v>
        <stp/>
        <stp>bse_cm|9PEL25</stp>
        <stp>% Change</stp>
        <tr r="J315" s="1"/>
      </tp>
      <tp>
        <v>900</v>
        <stp/>
        <stp>bse_cm|11IFL25</stp>
        <stp>Bid Rate</stp>
        <tr r="E1421" s="1"/>
      </tp>
      <tp t="s">
        <v>BSE</v>
        <stp/>
        <stp>bse_cm|925ICCL25I</stp>
        <stp>Exchange</stp>
        <tr r="C782" s="1"/>
      </tp>
      <tp t="s">
        <v>NSE</v>
        <stp/>
        <stp>nse_cm|1025UCL25-N8</stp>
        <stp>Exchange</stp>
        <tr r="C217" s="1"/>
      </tp>
      <tp t="s">
        <v>BSE</v>
        <stp/>
        <stp>bse_cm|965ICCL25I</stp>
        <stp>Exchange</stp>
        <tr r="C1430" s="1"/>
      </tp>
      <tp>
        <v>1000</v>
        <stp/>
        <stp>nse_cm|CIFCZC28A-N5</stp>
        <stp>Face Value</stp>
        <tr r="Q1559" s="1"/>
      </tp>
      <tp>
        <v>1000</v>
        <stp/>
        <stp>nse_cm|CIFCZC25A-N1</stp>
        <stp>Face Value</stp>
        <tr r="Q1730" s="1"/>
      </tp>
      <tp>
        <v>1000</v>
        <stp/>
        <stp>nse_cm|CIFCZC26A-N3</stp>
        <stp>Face Value</stp>
        <tr r="Q1565" s="1"/>
      </tp>
      <tp>
        <v>0</v>
        <stp/>
        <stp>bse_cm|9IIFL28</stp>
        <stp>Open</stp>
        <tr r="M126" s="1"/>
      </tp>
      <tp>
        <v>1047.6500000000001</v>
        <stp/>
        <stp>nse_cm|910TCAP28-NA</stp>
        <stp>Bid Rate</stp>
        <tr r="E411" s="1"/>
      </tp>
      <tp t="s">
        <v>NSE</v>
        <stp/>
        <stp>nse_cm|1025NFL25-N5</stp>
        <stp>Exchange</stp>
        <tr r="C1488" s="1"/>
      </tp>
      <tp>
        <v>0</v>
        <stp/>
        <stp>bse_cm|895EFSL25A</stp>
        <stp>Ask Rate</stp>
        <tr r="F594" s="1"/>
      </tp>
      <tp>
        <v>1050.0999999999999</v>
        <stp/>
        <stp>nse_cm|9SFL25A-ZH</stp>
        <stp>Bid Rate</stp>
        <tr r="E463" s="1"/>
      </tp>
      <tp t="s">
        <v>BSE</v>
        <stp/>
        <stp>bse_cm|948ICCL25A</stp>
        <stp>Exchange</stp>
        <tr r="C1398" s="1"/>
      </tp>
      <tp t="s">
        <v>NSE</v>
        <stp/>
        <stp>nse_cm|842IIFL26-NL</stp>
        <stp>Exchange</stp>
        <tr r="C145" s="1"/>
      </tp>
      <tp t="s">
        <v>INE0BUS08021</v>
        <stp/>
        <stp>bse_cm|12IML26A</stp>
        <stp>Isin code</stp>
        <tr r="R1212" s="1"/>
      </tp>
      <tp t="s">
        <v>BSE</v>
        <stp/>
        <stp>bse_cm|955ICCL25A</stp>
        <stp>Exchange</stp>
        <tr r="C1143" s="1"/>
      </tp>
      <tp t="s">
        <v>BSE</v>
        <stp/>
        <stp>bse_cm|966ICCL25A</stp>
        <stp>Exchange</stp>
        <tr r="C846" s="1"/>
      </tp>
      <tp>
        <v>0</v>
        <stp/>
        <stp>nse_cm|816ABFL29-NC</stp>
        <stp>Ask Rate</stp>
        <tr r="F732" s="1"/>
      </tp>
      <tp>
        <v>1026</v>
        <stp/>
        <stp>nse_cm|93MOFSL34-N6</stp>
        <stp>High</stp>
        <tr r="N299" s="1"/>
      </tp>
      <tp t="s">
        <v>00:00:00</v>
        <stp/>
        <stp>bse_cm|8MFL24A</stp>
        <stp>LTT</stp>
        <tr r="I1549" s="1"/>
      </tp>
      <tp>
        <v>0</v>
        <stp/>
        <stp>bse_cm|8MFL24A</stp>
        <stp>LTP</stp>
        <tr r="H1549" s="1"/>
      </tp>
      <tp t="s">
        <v>INE302E07706</v>
        <stp/>
        <stp>bse_cm|1025SF29</stp>
        <stp>Isin code</stp>
        <tr r="R1409" s="1"/>
      </tp>
      <tp>
        <v>1098</v>
        <stp/>
        <stp>nse_cm|97MOFSL34-N7</stp>
        <stp>High</stp>
        <tr r="N1599" s="1"/>
      </tp>
      <tp t="s">
        <v>00:00:00</v>
        <stp/>
        <stp>bse_cm|9MFL30A</stp>
        <stp>LTT</stp>
        <tr r="I289" s="1"/>
      </tp>
      <tp>
        <v>0</v>
        <stp/>
        <stp>bse_cm|9MFL30A</stp>
        <stp>LTP</stp>
        <tr r="H289" s="1"/>
      </tp>
      <tp>
        <v>1010</v>
        <stp/>
        <stp>nse_cm|91MOFSL27-N2</stp>
        <stp>High</stp>
        <tr r="N1611" s="1"/>
      </tp>
      <tp>
        <v>1027</v>
        <stp/>
        <stp>nse_cm|87LTF27-NH</stp>
        <stp>High</stp>
        <tr r="N407" s="1"/>
      </tp>
      <tp>
        <v>1070</v>
        <stp/>
        <stp>nse_cm|86LTF24-NJ</stp>
        <stp>High</stp>
        <tr r="N7" s="1"/>
      </tp>
      <tp>
        <v>722.2</v>
        <stp/>
        <stp>bse_cm|1025SCL33A</stp>
        <stp>Bid Rate</stp>
        <tr r="E835" s="1"/>
      </tp>
      <tp>
        <v>0</v>
        <stp/>
        <stp>bse_cm|1075SCL33A</stp>
        <stp>Bid Rate</stp>
        <tr r="E629" s="1"/>
      </tp>
      <tp>
        <v>1125</v>
        <stp/>
        <stp>nse_cm|82HUDCO27-N2</stp>
        <stp xml:space="preserve">Low </stp>
        <tr r="O532" s="1"/>
      </tp>
      <tp>
        <v>900</v>
        <stp/>
        <stp>nse_cm|965SCL25C-N0</stp>
        <stp xml:space="preserve">Low </stp>
        <tr r="O507" s="1"/>
      </tp>
      <tp>
        <v>1068</v>
        <stp/>
        <stp>nse_cm|85LTF26-NM</stp>
        <stp>High</stp>
        <tr r="N365" s="1"/>
      </tp>
      <tp>
        <v>815.2</v>
        <stp/>
        <stp>bse_cm|1075SCL33B</stp>
        <stp>Bid Rate</stp>
        <tr r="E706" s="1"/>
      </tp>
      <tp>
        <v>0</v>
        <stp/>
        <stp>bse_cm|888SCL26A</stp>
        <stp xml:space="preserve">Low </stp>
        <tr r="O840" s="1"/>
      </tp>
      <tp>
        <v>978</v>
        <stp/>
        <stp>bse_cm|965SCL26A</stp>
        <stp xml:space="preserve">Low </stp>
        <tr r="O1481" s="1"/>
      </tp>
      <tp>
        <v>1002</v>
        <stp/>
        <stp>bse_cm|948SCL26A</stp>
        <stp xml:space="preserve">Low </stp>
        <tr r="O494" s="1"/>
      </tp>
      <tp>
        <v>0</v>
        <stp/>
        <stp>bse_cm|940SCL26A</stp>
        <stp xml:space="preserve">Low </stp>
        <tr r="O920" s="1"/>
      </tp>
      <tp>
        <v>0</v>
        <stp/>
        <stp>bse_cm|925SCL26A</stp>
        <stp xml:space="preserve">Low </stp>
        <tr r="O990" s="1"/>
      </tp>
      <tp>
        <v>0</v>
        <stp/>
        <stp>bse_cm|902SCL26A</stp>
        <stp xml:space="preserve">Low </stp>
        <tr r="O967" s="1"/>
      </tp>
      <tp>
        <v>1041.0999999999999</v>
        <stp/>
        <stp>bse_cm|990SCL26A</stp>
        <stp xml:space="preserve">Low </stp>
        <tr r="O1057" s="1"/>
      </tp>
      <tp>
        <v>900</v>
        <stp/>
        <stp>bse_cm|948SCL26B</stp>
        <stp xml:space="preserve">Low </stp>
        <tr r="O470" s="1"/>
      </tp>
      <tp>
        <v>0</v>
        <stp/>
        <stp>bse_cm|940SCL26B</stp>
        <stp xml:space="preserve">Low </stp>
        <tr r="O905" s="1"/>
      </tp>
      <tp>
        <v>910.6</v>
        <stp/>
        <stp>bse_cm|925SCL26B</stp>
        <stp xml:space="preserve">Low </stp>
        <tr r="O1360" s="1"/>
      </tp>
      <tp>
        <v>812.3</v>
        <stp/>
        <stp>bse_cm|990SCL26B</stp>
        <stp xml:space="preserve">Low </stp>
        <tr r="O1048" s="1"/>
      </tp>
      <tp>
        <v>0</v>
        <stp/>
        <stp>bse_cm|940SCL26C</stp>
        <stp xml:space="preserve">Low </stp>
        <tr r="O794" s="1"/>
      </tp>
      <tp>
        <v>0</v>
        <stp/>
        <stp>bse_cm|925SCL26C</stp>
        <stp xml:space="preserve">Low </stp>
        <tr r="O725" s="1"/>
      </tp>
      <tp>
        <v>890</v>
        <stp/>
        <stp>bse_cm|948SCL26D</stp>
        <stp xml:space="preserve">Low </stp>
        <tr r="O1081" s="1"/>
      </tp>
      <tp>
        <v>960</v>
        <stp/>
        <stp>bse_cm|925SCL26D</stp>
        <stp xml:space="preserve">Low </stp>
        <tr r="O619" s="1"/>
      </tp>
      <tp>
        <v>0</v>
        <stp/>
        <stp>bse_cm|931SFL26A</stp>
        <stp xml:space="preserve">Low </stp>
        <tr r="O1086" s="1"/>
      </tp>
      <tp>
        <v>804</v>
        <stp/>
        <stp>bse_cm|990SCL26D</stp>
        <stp xml:space="preserve">Low </stp>
        <tr r="O1534" s="1"/>
      </tp>
      <tp>
        <v>652</v>
        <stp/>
        <stp>bse_cm|948SCL26I</stp>
        <stp xml:space="preserve">Low </stp>
        <tr r="O1080" s="1"/>
      </tp>
      <tp>
        <v>750</v>
        <stp/>
        <stp>bse_cm|902SCL26I</stp>
        <stp xml:space="preserve">Low </stp>
        <tr r="O903" s="1"/>
      </tp>
      <tp>
        <v>0</v>
        <stp/>
        <stp>bse_cm|957IIFLS27</stp>
        <stp>Ask Qty</stp>
        <tr r="G687" s="1"/>
      </tp>
      <tp>
        <v>0</v>
        <stp/>
        <stp>bse_cm|960IIFLS26</stp>
        <stp>Ask Qty</stp>
        <tr r="G872" s="1"/>
      </tp>
      <tp>
        <v>0</v>
        <stp/>
        <stp>bse_cm|920IIFLS26</stp>
        <stp>Ask Qty</stp>
        <tr r="G613" s="1"/>
      </tp>
      <tp>
        <v>900</v>
        <stp/>
        <stp>bse_cm|990SCL26I</stp>
        <stp xml:space="preserve">Low </stp>
        <tr r="O797" s="1"/>
      </tp>
      <tp>
        <v>915.01</v>
        <stp/>
        <stp>bse_cm|1050SFL26</stp>
        <stp>Bid Rate</stp>
        <tr r="E890" s="1"/>
      </tp>
      <tp>
        <v>0</v>
        <stp/>
        <stp>bse_cm|CIFC26</stp>
        <stp>Volume Traded Today</stp>
        <tr r="L742" s="1"/>
      </tp>
      <tp>
        <v>0</v>
        <stp/>
        <stp>bse_cm|CIFC28</stp>
        <stp>Volume Traded Today</stp>
        <tr r="L1529" s="1"/>
      </tp>
      <tp>
        <v>985.01</v>
        <stp/>
        <stp>bse_cm|1050UCL25</stp>
        <stp>Bid Rate</stp>
        <tr r="E417" s="1"/>
      </tp>
      <tp>
        <v>990</v>
        <stp/>
        <stp>bse_cm|1040UCL25</stp>
        <stp>Bid Rate</stp>
        <tr r="E1612" s="1"/>
      </tp>
      <tp>
        <v>970</v>
        <stp/>
        <stp>bse_cm|1050VCL25</stp>
        <stp>Bid Rate</stp>
        <tr r="E656" s="1"/>
      </tp>
      <tp>
        <v>1020</v>
        <stp/>
        <stp>bse_cm|1060ECL29</stp>
        <stp>Bid Rate</stp>
        <tr r="E272" s="1"/>
      </tp>
      <tp>
        <v>950</v>
        <stp/>
        <stp>bse_cm|1010EFS29</stp>
        <stp>Bid Rate</stp>
        <tr r="E726" s="1"/>
      </tp>
      <tp>
        <v>900</v>
        <stp/>
        <stp>bse_cm|1050IML25</stp>
        <stp>Bid Rate</stp>
        <tr r="E499" s="1"/>
      </tp>
      <tp>
        <v>962.5</v>
        <stp/>
        <stp>bse_cm|1050KLM27</stp>
        <stp>Bid Rate</stp>
        <tr r="E609" s="1"/>
      </tp>
      <tp>
        <v>921.9</v>
        <stp/>
        <stp>bse_cm|1010EFS28</stp>
        <stp>Bid Rate</stp>
        <tr r="E116" s="1"/>
      </tp>
      <tp>
        <v>860.2</v>
        <stp/>
        <stp>bse_cm|1150KLM26</stp>
        <stp>Bid Rate</stp>
        <tr r="E1224" s="1"/>
      </tp>
      <tp>
        <v>932.8</v>
        <stp/>
        <stp>bse_cm|1030ICC26</stp>
        <stp>Bid Rate</stp>
        <tr r="E1538" s="1"/>
      </tp>
      <tp>
        <v>825.2</v>
        <stp/>
        <stp>bse_cm|1150IFL26</stp>
        <stp>Bid Rate</stp>
        <tr r="E1225" s="1"/>
      </tp>
      <tp>
        <v>1055</v>
        <stp/>
        <stp>bse_cm|1090NFL26</stp>
        <stp>Bid Rate</stp>
        <tr r="E364" s="1"/>
      </tp>
      <tp>
        <v>1000.4</v>
        <stp/>
        <stp>bse_cm|1050NFL26</stp>
        <stp>Bid Rate</stp>
        <tr r="E260" s="1"/>
      </tp>
      <tp>
        <v>953.87</v>
        <stp/>
        <stp>bse_cm|1040NFL26</stp>
        <stp>Bid Rate</stp>
        <tr r="E1453" s="1"/>
      </tp>
      <tp>
        <v>1050</v>
        <stp/>
        <stp>nse_cm|CAGL25-N8</stp>
        <stp>Bid Rate</stp>
        <tr r="E710" s="1"/>
      </tp>
      <tp>
        <v>950</v>
        <stp/>
        <stp>bse_cm|1070MML25</stp>
        <stp>Bid Rate</stp>
        <tr r="E1504" s="1"/>
      </tp>
      <tp>
        <v>901</v>
        <stp/>
        <stp>bse_cm|1050MML25</stp>
        <stp>Bid Rate</stp>
        <tr r="E1503" s="1"/>
      </tp>
      <tp>
        <v>901</v>
        <stp/>
        <stp>bse_cm|KFL070824</stp>
        <stp>Bid Rate</stp>
        <tr r="E551" s="1"/>
      </tp>
      <tp>
        <v>0</v>
        <stp/>
        <stp>bse_cm|950MFL27A</stp>
        <stp>Open</stp>
        <tr r="M241" s="1"/>
      </tp>
      <tp>
        <v>79</v>
        <stp/>
        <stp>bse_cm|981JMFCS28</stp>
        <stp>Bid Qty</stp>
        <tr r="D295" s="1"/>
      </tp>
      <tp>
        <v>100</v>
        <stp/>
        <stp>bse_cm|975JMFCS28</stp>
        <stp>Bid Qty</stp>
        <tr r="D275" s="1"/>
      </tp>
      <tp>
        <v>154</v>
        <stp/>
        <stp>bse_cm|934JMFCS28</stp>
        <stp>Bid Qty</stp>
        <tr r="D325" s="1"/>
      </tp>
      <tp>
        <v>830.2</v>
        <stp/>
        <stp>bse_cm|1080MML26</stp>
        <stp>Bid Rate</stp>
        <tr r="E1163" s="1"/>
      </tp>
      <tp>
        <v>901.7</v>
        <stp/>
        <stp>bse_cm|1060MML26</stp>
        <stp>Bid Rate</stp>
        <tr r="E1218" s="1"/>
      </tp>
      <tp>
        <v>0</v>
        <stp/>
        <stp>bse_cm|850MFL27A</stp>
        <stp>Open</stp>
        <tr r="M355" s="1"/>
      </tp>
      <tp t="s">
        <v>INE532F07BZ5</v>
        <stp/>
        <stp>bse_cm|EFSLZC26A</stp>
        <stp>Isin code</stp>
        <tr r="R1574" s="1"/>
      </tp>
      <tp t="s">
        <v>INE532F07ER6</v>
        <stp/>
        <stp>bse_cm|EFSLZC25A</stp>
        <stp>Isin code</stp>
        <tr r="R1333" s="1"/>
      </tp>
      <tp>
        <v>815.2</v>
        <stp/>
        <stp>bse_cm|1080MML29</stp>
        <stp>Bid Rate</stp>
        <tr r="E72" s="1"/>
      </tp>
      <tp>
        <v>951.9</v>
        <stp/>
        <stp>bse_cm|1150MML29</stp>
        <stp>Bid Rate</stp>
        <tr r="E248" s="1"/>
      </tp>
      <tp>
        <v>901</v>
        <stp/>
        <stp>bse_cm|1050MML28</stp>
        <stp>Bid Rate</stp>
        <tr r="E1159" s="1"/>
      </tp>
      <tp>
        <v>921.7</v>
        <stp/>
        <stp>bse_cm|1050CCI25</stp>
        <stp>Bid Rate</stp>
        <tr r="E173" s="1"/>
      </tp>
      <tp>
        <v>838.8</v>
        <stp/>
        <stp>bse_cm|KAF080824</stp>
        <stp>Bid Rate</stp>
        <tr r="E1322" s="1"/>
      </tp>
      <tp>
        <v>865.7</v>
        <stp/>
        <stp>bse_cm|1250IFL29</stp>
        <stp>Bid Rate</stp>
        <tr r="E1215" s="1"/>
      </tp>
      <tp>
        <v>993</v>
        <stp/>
        <stp>bse_cm|1150IML29</stp>
        <stp>Bid Rate</stp>
        <tr r="E601" s="1"/>
      </tp>
      <tp>
        <v>1014</v>
        <stp/>
        <stp>nse_cm|ABFL28-N3</stp>
        <stp>Bid Rate</stp>
        <tr r="E1063" s="1"/>
      </tp>
      <tp>
        <v>986.7</v>
        <stp/>
        <stp>bse_cm|1150IML28</stp>
        <stp>Bid Rate</stp>
        <tr r="E92" s="1"/>
      </tp>
      <tp>
        <v>1116</v>
        <stp/>
        <stp>nse_cm|CAGL24-N2</stp>
        <stp>Bid Rate</stp>
        <tr r="E1762" s="1"/>
      </tp>
      <tp>
        <v>1046</v>
        <stp/>
        <stp>nse_cm|ABFL26-N1</stp>
        <stp>Bid Rate</stp>
        <tr r="E1679" s="1"/>
      </tp>
      <tp t="s">
        <v>INE03W107249</v>
        <stp/>
        <stp>bse_cm|965ARKA26</stp>
        <stp>Isin code</stp>
        <tr r="R869" s="1"/>
      </tp>
      <tp t="s">
        <v>898LTF29</v>
        <stp/>
        <stp>bse_cm|898LTF29</stp>
        <stp>Trading Symbol</stp>
        <tr r="B416" s="1"/>
      </tp>
      <tp t="s">
        <v>884LTF29</v>
        <stp/>
        <stp>bse_cm|884LTF29</stp>
        <stp>Trading Symbol</stp>
        <tr r="B1337" s="1"/>
      </tp>
      <tp t="s">
        <v>885LTF27</v>
        <stp/>
        <stp>bse_cm|885LTF27</stp>
        <stp>Trading Symbol</stp>
        <tr r="B1008" s="1"/>
      </tp>
      <tp>
        <v>0</v>
        <stp/>
        <stp>bse_cm|950KFIL26</stp>
        <stp>Open</stp>
        <tr r="M602" s="1"/>
      </tp>
      <tp>
        <v>0</v>
        <stp/>
        <stp>bse_cm|925KFIL25</stp>
        <stp>Open</stp>
        <tr r="M776" s="1"/>
      </tp>
      <tp t="s">
        <v>MVAF27</v>
        <stp/>
        <stp>bse_cm|MVAF27</stp>
        <stp>Symbol</stp>
        <tr r="A1689" s="1"/>
      </tp>
      <tp>
        <v>0</v>
        <stp/>
        <stp>bse_cm|935KAFL25</stp>
        <stp>Open</stp>
        <tr r="M785" s="1"/>
      </tp>
      <tp>
        <v>0</v>
        <stp/>
        <stp>bse_cm|975KAFL25</stp>
        <stp>Open</stp>
        <tr r="M860" s="1"/>
      </tp>
      <tp>
        <v>0</v>
        <stp/>
        <stp>bse_cm|975KAFL26</stp>
        <stp>Open</stp>
        <tr r="M859" s="1"/>
      </tp>
      <tp>
        <v>0</v>
        <stp/>
        <stp>bse_cm|985KAFL26</stp>
        <stp>Open</stp>
        <tr r="M1102" s="1"/>
      </tp>
      <tp>
        <v>0</v>
        <stp/>
        <stp>bse_cm|957JFPL30</stp>
        <stp>Open</stp>
        <tr r="M760" s="1"/>
      </tp>
      <tp t="s">
        <v>815LTF24</v>
        <stp/>
        <stp>bse_cm|815LTF24</stp>
        <stp>Trading Symbol</stp>
        <tr r="B1167" s="1"/>
      </tp>
      <tp t="s">
        <v>829LTF24</v>
        <stp/>
        <stp>bse_cm|829LTF24</stp>
        <stp>Trading Symbol</stp>
        <tr r="B4" s="1"/>
      </tp>
      <tp>
        <v>0</v>
        <stp/>
        <stp>bse_cm|950KLMF26</stp>
        <stp>Open</stp>
        <tr r="M278" s="1"/>
      </tp>
      <tp t="s">
        <v>852LTF27</v>
        <stp/>
        <stp>bse_cm|852LTF27</stp>
        <stp>Trading Symbol</stp>
        <tr r="B983" s="1"/>
      </tp>
      <tp t="s">
        <v>845LTF24</v>
        <stp/>
        <stp>bse_cm|845LTF24</stp>
        <stp>Trading Symbol</stp>
        <tr r="B943" s="1"/>
      </tp>
      <tp>
        <v>1040</v>
        <stp/>
        <stp>bse_cm|689RECL24</stp>
        <stp>High</stp>
        <tr r="N1206" s="1"/>
      </tp>
      <tp t="s">
        <v>865LTF26</v>
        <stp/>
        <stp>bse_cm|865LTF26</stp>
        <stp>Trading Symbol</stp>
        <tr r="B391" s="1"/>
      </tp>
      <tp>
        <v>0</v>
        <stp/>
        <stp>bse_cm|CCILZC25A</stp>
        <stp>Open</stp>
        <tr r="M749" s="1"/>
      </tp>
      <tp>
        <v>0</v>
        <stp/>
        <stp>bse_cm|EFSLZC25A</stp>
        <stp>Open</stp>
        <tr r="M1333" s="1"/>
      </tp>
      <tp>
        <v>0</v>
        <stp/>
        <stp>bse_cm|IIFLZC25C</stp>
        <stp>Open</stp>
        <tr r="M1750" s="1"/>
      </tp>
      <tp>
        <v>1049.4000000000001</v>
        <stp/>
        <stp>bse_cm|910TCAP28</stp>
        <stp xml:space="preserve">Low </stp>
        <tr r="O409" s="1"/>
      </tp>
      <tp t="s">
        <v>965SCL25F</v>
        <stp/>
        <stp>nse_cm|965SCL25F-NZ</stp>
        <stp>Symbol</stp>
        <tr r="A1362" s="1"/>
      </tp>
      <tp>
        <v>0</v>
        <stp/>
        <stp>bse_cm|IIFLZC25B</stp>
        <stp>Open</stp>
        <tr r="M1685" s="1"/>
      </tp>
      <tp>
        <v>0</v>
        <stp/>
        <stp>bse_cm|IIFLZC25A</stp>
        <stp>Open</stp>
        <tr r="M1737" s="1"/>
      </tp>
      <tp>
        <v>0</v>
        <stp/>
        <stp>bse_cm|MMFLZC25D</stp>
        <stp>Open</stp>
        <tr r="M1262" s="1"/>
      </tp>
      <tp>
        <v>0</v>
        <stp/>
        <stp>bse_cm|MMFLZC25C</stp>
        <stp>Open</stp>
        <tr r="M1263" s="1"/>
      </tp>
      <tp t="s">
        <v>INE0BUS07577</v>
        <stp/>
        <stp>bse_cm|IML28C</stp>
        <stp>Isin code</stp>
        <tr r="R1648" s="1"/>
      </tp>
      <tp t="s">
        <v>INE05F407BP6</v>
        <stp/>
        <stp>bse_cm|MML25C</stp>
        <stp>Isin code</stp>
        <tr r="R1251" s="1"/>
      </tp>
      <tp t="s">
        <v>925SCL25F</v>
        <stp/>
        <stp>nse_cm|925SCL25F-BD</stp>
        <stp>Symbol</stp>
        <tr r="A718" s="1"/>
      </tp>
      <tp>
        <v>0</v>
        <stp/>
        <stp>bse_cm|MMFLZC25B</stp>
        <stp>Open</stp>
        <tr r="M1581" s="1"/>
      </tp>
      <tp>
        <v>0</v>
        <stp/>
        <stp>bse_cm|MMFLZC25A</stp>
        <stp>Open</stp>
        <tr r="M1264" s="1"/>
      </tp>
      <tp>
        <v>998</v>
        <stp/>
        <stp>nse_cm|945CAGL24-N1</stp>
        <stp>Ask Rate</stp>
        <tr r="F1704" s="1"/>
      </tp>
      <tp>
        <v>1020</v>
        <stp/>
        <stp>nse_cm|805ABFL28-N2</stp>
        <stp>Ask Rate</stp>
        <tr r="F477" s="1"/>
      </tp>
      <tp>
        <v>995.45</v>
        <stp/>
        <stp>bse_cm|IIFLHFZC27</stp>
        <stp>High</stp>
        <tr r="N1516" s="1"/>
      </tp>
      <tp>
        <v>999.99</v>
        <stp/>
        <stp>nse_cm|925ERFL28-N6</stp>
        <stp>Ask Rate</stp>
        <tr r="F165" s="1"/>
      </tp>
      <tp>
        <v>0</v>
        <stp/>
        <stp>bse_cm|1075KLMA28</stp>
        <stp>Ask Rate</stp>
        <tr r="F1116" s="1"/>
      </tp>
      <tp>
        <v>0</v>
        <stp/>
        <stp>bse_cm|1050KLMA28</stp>
        <stp>Ask Rate</stp>
        <tr r="F611" s="1"/>
      </tp>
      <tp>
        <v>0</v>
        <stp/>
        <stp>bse_cm|1025KAFL25</stp>
        <stp>Ask Rate</stp>
        <tr r="F770" s="1"/>
      </tp>
      <tp>
        <v>0</v>
        <stp/>
        <stp>bse_cm|1050KAFL25</stp>
        <stp>Ask Rate</stp>
        <tr r="F1161" s="1"/>
      </tp>
      <tp>
        <v>0</v>
        <stp/>
        <stp>bse_cm|1125KAFL27</stp>
        <stp>Ask Rate</stp>
        <tr r="F1228" s="1"/>
      </tp>
      <tp>
        <v>0</v>
        <stp/>
        <stp>bse_cm|1025KAFL27</stp>
        <stp>Ask Rate</stp>
        <tr r="F769" s="1"/>
      </tp>
      <tp>
        <v>0</v>
        <stp/>
        <stp>bse_cm|1050KAFL27</stp>
        <stp>Ask Rate</stp>
        <tr r="F1160" s="1"/>
      </tp>
      <tp>
        <v>1005</v>
        <stp/>
        <stp>nse_cm|925CAGL26-N9</stp>
        <stp>Ask Rate</stp>
        <tr r="F639" s="1"/>
      </tp>
      <tp>
        <v>854.2</v>
        <stp/>
        <stp>bse_cm|SCFL310524</stp>
        <stp>Bid Rate</stp>
        <tr r="E1241" s="1"/>
      </tp>
      <tp>
        <v>0</v>
        <stp/>
        <stp>bse_cm|1050KAFL28</stp>
        <stp>Ask Rate</stp>
        <tr r="F610" s="1"/>
      </tp>
      <tp>
        <v>0</v>
        <stp/>
        <stp>bse_cm|1075KAFL28</stp>
        <stp>Ask Rate</stp>
        <tr r="F1118" s="1"/>
      </tp>
      <tp>
        <v>979</v>
        <stp/>
        <stp>bse_cm|791JMFPL26</stp>
        <stp>Ask Rate</stp>
        <tr r="F276" s="1"/>
      </tp>
      <tp>
        <v>1184.9000000000001</v>
        <stp/>
        <stp>nse_cm|850NHAI29-N5</stp>
        <stp>Ask Rate</stp>
        <tr r="F512" s="1"/>
      </tp>
      <tp>
        <v>990</v>
        <stp/>
        <stp>bse_cm|1075KAFL29</stp>
        <stp>Ask Rate</stp>
        <tr r="F125" s="1"/>
      </tp>
      <tp>
        <v>931</v>
        <stp/>
        <stp>nse_cm|850SCL25A-NW</stp>
        <stp>High</stp>
        <tr r="N984" s="1"/>
      </tp>
      <tp>
        <v>0</v>
        <stp/>
        <stp>bse_cm|790MMFSL27</stp>
        <stp>Ask Rate</stp>
        <tr r="F1189" s="1"/>
      </tp>
      <tp>
        <v>980</v>
        <stp/>
        <stp>nse_cm|IIFLZC28B-Y1</stp>
        <stp>Bid Rate</stp>
        <tr r="E1491" s="1"/>
      </tp>
      <tp>
        <v>1087.9000000000001</v>
        <stp/>
        <stp>nse_cm|105IIFL29-N7</stp>
        <stp>Ask Rate</stp>
        <tr r="F270" s="1"/>
      </tp>
      <tp>
        <v>1052.8</v>
        <stp/>
        <stp>nse_cm|825IIFL25-N7</stp>
        <stp>Ask Rate</stp>
        <tr r="F49" s="1"/>
      </tp>
      <tp t="s">
        <v>BSE</v>
        <stp/>
        <stp>bse_cm|1025NWFL30</stp>
        <stp>Exchange</stp>
        <tr r="C1026" s="1"/>
      </tp>
      <tp>
        <v>0</v>
        <stp/>
        <stp>nse_cm|965IFSL26-N6</stp>
        <stp>Ask Rate</stp>
        <tr r="F1346" s="1"/>
      </tp>
      <tp>
        <v>1134.8800000000001</v>
        <stp/>
        <stp>nse_cm|82HUDCO27-N2</stp>
        <stp>Prev Close</stp>
        <tr r="P532" s="1"/>
      </tp>
      <tp>
        <v>1000</v>
        <stp/>
        <stp>nse_cm|10NFL25-N9</stp>
        <stp>High</stp>
        <tr r="N345" s="1"/>
      </tp>
      <tp t="s">
        <v>NSE</v>
        <stp/>
        <stp>nse_cm|1015ECL29-NR</stp>
        <stp>Exchange</stp>
        <tr r="C204" s="1"/>
      </tp>
      <tp t="s">
        <v>NSE</v>
        <stp/>
        <stp>nse_cm|1015SCL28-NR</stp>
        <stp>Exchange</stp>
        <tr r="C288" s="1"/>
      </tp>
      <tp>
        <v>1035</v>
        <stp/>
        <stp>nse_cm|945IFSL25-N4</stp>
        <stp>Ask Rate</stp>
        <tr r="F453" s="1"/>
      </tp>
      <tp>
        <v>0</v>
        <stp/>
        <stp>bse_cm|875PCHFL31</stp>
        <stp>Ask Rate</stp>
        <tr r="F1172" s="1"/>
      </tp>
      <tp t="s">
        <v>BSE</v>
        <stp/>
        <stp>bse_cm|1045NIDO33</stp>
        <stp>Exchange</stp>
        <tr r="C71" s="1"/>
      </tp>
      <tp>
        <v>975</v>
        <stp/>
        <stp>nse_cm|965IFSL26-N6</stp>
        <stp>LTP</stp>
        <tr r="H1346" s="1"/>
      </tp>
      <tp t="s">
        <v/>
        <stp/>
        <stp>nse_cm|965IFSL26-N6</stp>
        <stp>LTT</stp>
        <tr r="I1346" s="1"/>
      </tp>
      <tp t="s">
        <v>NSE</v>
        <stp/>
        <stp>nse_cm|921ISFL25-N0</stp>
        <stp>Exchange</stp>
        <tr r="C287" s="1"/>
      </tp>
      <tp>
        <v>0</v>
        <stp/>
        <stp>bse_cm|9MFL25A</stp>
        <stp>Open</stp>
        <tr r="M702" s="1"/>
      </tp>
      <tp>
        <v>1100.0999999999999</v>
        <stp/>
        <stp>nse_cm|990SCL26A-NL</stp>
        <stp>High</stp>
        <tr r="N1049" s="1"/>
      </tp>
      <tp>
        <v>1448</v>
        <stp/>
        <stp>nse_cm|735PFCL35-N1</stp>
        <stp>Ask Rate</stp>
        <tr r="F26" s="1"/>
      </tp>
      <tp t="s">
        <v>BSE</v>
        <stp/>
        <stp>bse_cm|825MFL2026</stp>
        <stp>Exchange</stp>
        <tr r="C318" s="1"/>
      </tp>
      <tp t="s">
        <v>BSE</v>
        <stp/>
        <stp>bse_cm|NIDO010326</stp>
        <stp>Exchange</stp>
        <tr r="C1248" s="1"/>
      </tp>
      <tp t="s">
        <v>BSE</v>
        <stp/>
        <stp>bse_cm|875KFL2025</stp>
        <stp>Exchange</stp>
        <tr r="C1158" s="1"/>
      </tp>
      <tp t="s">
        <v>NSE</v>
        <stp/>
        <stp>nse_cm|1119NFL27-ND</stp>
        <stp>Exchange</stp>
        <tr r="C337" s="1"/>
      </tp>
      <tp t="s">
        <v>BSE</v>
        <stp/>
        <stp>bse_cm|NIDO010327</stp>
        <stp>Exchange</stp>
        <tr r="C1247" s="1"/>
      </tp>
      <tp t="s">
        <v>BSE</v>
        <stp/>
        <stp>bse_cm|1026NHFL34</stp>
        <stp>Exchange</stp>
        <tr r="C155" s="1"/>
      </tp>
      <tp t="s">
        <v>BSE</v>
        <stp/>
        <stp>bse_cm|1075NHFL34</stp>
        <stp>Exchange</stp>
        <tr r="C1553" s="1"/>
      </tp>
      <tp>
        <v>1</v>
        <stp/>
        <stp>nse_cm|93MOFSL34-N6</stp>
        <stp>Volume Traded Today</stp>
        <tr r="L299" s="1"/>
      </tp>
      <tp>
        <v>0</v>
        <stp/>
        <stp>nse_cm|1050SCL30-NU</stp>
        <stp>Ask Rate</stp>
        <tr r="F893" s="1"/>
      </tp>
      <tp>
        <v>925.4</v>
        <stp/>
        <stp>bse_cm|92LTF29</stp>
        <stp>Bid Rate</stp>
        <tr r="E1088" s="1"/>
      </tp>
      <tp>
        <v>0</v>
        <stp/>
        <stp>nse_cm|940SCL26A-NK</stp>
        <stp>High</stp>
        <tr r="N906" s="1"/>
      </tp>
      <tp t="s">
        <v>BSE</v>
        <stp/>
        <stp>bse_cm|1026NIDO34</stp>
        <stp>Exchange</stp>
        <tr r="C1018" s="1"/>
      </tp>
      <tp t="s">
        <v>BSE</v>
        <stp/>
        <stp>bse_cm|1075NIDO34</stp>
        <stp>Exchange</stp>
        <tr r="C1021" s="1"/>
      </tp>
      <tp>
        <v>1085</v>
        <stp/>
        <stp>nse_cm|97MOFSL34-N7</stp>
        <stp>Prev Close</stp>
        <tr r="P1599" s="1"/>
      </tp>
      <tp>
        <v>942.86</v>
        <stp/>
        <stp>bse_cm|12CCI29</stp>
        <stp>Bid Rate</stp>
        <tr r="E91" s="1"/>
      </tp>
      <tp t="s">
        <v>BSE</v>
        <stp/>
        <stp>bse_cm|NIDO010329</stp>
        <stp>Exchange</stp>
        <tr r="C1246" s="1"/>
      </tp>
      <tp>
        <v>1027</v>
        <stp/>
        <stp>nse_cm|93MOFSL34-N6</stp>
        <stp>Prev Close</stp>
        <tr r="P299" s="1"/>
      </tp>
      <tp>
        <v>951.7</v>
        <stp/>
        <stp>bse_cm|12IML26</stp>
        <stp>Bid Rate</stp>
        <tr r="E1494" s="1"/>
      </tp>
      <tp>
        <v>945</v>
        <stp/>
        <stp>bse_cm|12IFL27</stp>
        <stp>Bid Rate</stp>
        <tr r="E258" s="1"/>
      </tp>
      <tp>
        <v>860.2</v>
        <stp/>
        <stp>bse_cm|12KLM25</stp>
        <stp>Bid Rate</stp>
        <tr r="E1211" s="1"/>
      </tp>
      <tp>
        <v>1000</v>
        <stp/>
        <stp>nse_cm|1015SCL29-ZL</stp>
        <stp>Face Value</stp>
        <tr r="Q1176" s="1"/>
      </tp>
      <tp t="s">
        <v>BSE</v>
        <stp/>
        <stp>bse_cm|810MFL2028</stp>
        <stp>Exchange</stp>
        <tr r="C651" s="1"/>
      </tp>
      <tp t="s">
        <v>BSE</v>
        <stp/>
        <stp>bse_cm|984ICCL26A</stp>
        <stp>Exchange</stp>
        <tr r="C883" s="1"/>
      </tp>
      <tp>
        <v>0</v>
        <stp/>
        <stp>bse_cm|920EFSL27A</stp>
        <stp>Ask Rate</stp>
        <tr r="F685" s="1"/>
      </tp>
      <tp>
        <v>827.8</v>
        <stp/>
        <stp>bse_cm|925FL27</stp>
        <stp>Bid Rate</stp>
        <tr r="E615" s="1"/>
      </tp>
      <tp>
        <v>1059.8</v>
        <stp/>
        <stp>bse_cm|9SCFL25</stp>
        <stp>High</stp>
        <tr r="N1505" s="1"/>
      </tp>
      <tp t="s">
        <v>BSE</v>
        <stp/>
        <stp>bse_cm|1125KLM26A</stp>
        <stp>Exchange</stp>
        <tr r="C1226" s="1"/>
      </tp>
      <tp t="e">
        <v>#N/A</v>
        <stp/>
        <stp>bse_cm|1075IML24A</stp>
        <stp>Exchange</stp>
        <tr r="C32" s="1"/>
      </tp>
      <tp>
        <v>920</v>
        <stp/>
        <stp>nse_cm|865IIFL28-NS</stp>
        <stp>Ask Rate</stp>
        <tr r="F74" s="1"/>
      </tp>
      <tp t="s">
        <v>BSE</v>
        <stp/>
        <stp>bse_cm|1025KFL26A</stp>
        <stp>Exchange</stp>
        <tr r="C525" s="1"/>
      </tp>
      <tp t="s">
        <v>BSE</v>
        <stp/>
        <stp>bse_cm|1010EFS28A</stp>
        <stp>Exchange</stp>
        <tr r="C78" s="1"/>
      </tp>
      <tp t="s">
        <v>BSE</v>
        <stp/>
        <stp>bse_cm|1025KFL26B</stp>
        <stp>Exchange</stp>
        <tr r="C1422" s="1"/>
      </tp>
      <tp t="s">
        <v>BSE</v>
        <stp/>
        <stp>bse_cm|1025KFL26C</stp>
        <stp>Exchange</stp>
        <tr r="C459" s="1"/>
      </tp>
      <tp>
        <v>0</v>
        <stp/>
        <stp>bse_cm|MFCL16924A</stp>
        <stp>Ask Rate</stp>
        <tr r="F1285" s="1"/>
      </tp>
      <tp>
        <v>981</v>
        <stp/>
        <stp>bse_cm|MFCL16924C</stp>
        <stp>Ask Rate</stp>
        <tr r="F660" s="1"/>
      </tp>
      <tp>
        <v>0</v>
        <stp/>
        <stp>nse_cm|96SFL24A-NB</stp>
        <stp>% Change</stp>
        <tr r="J162" s="1"/>
      </tp>
      <tp>
        <v>0</v>
        <stp/>
        <stp>bse_cm|950MFCL27D</stp>
        <stp>Ask Rate</stp>
        <tr r="F1496" s="1"/>
      </tp>
      <tp>
        <v>0</v>
        <stp/>
        <stp>bse_cm|MFCL16924B</stp>
        <stp>Ask Rate</stp>
        <tr r="F1284" s="1"/>
      </tp>
      <tp>
        <v>0</v>
        <stp/>
        <stp>bse_cm|KFL070824D</stp>
        <stp>Ask Rate</stp>
        <tr r="F1310" s="1"/>
      </tp>
      <tp>
        <v>1100</v>
        <stp/>
        <stp>nse_cm|985ICCL28-NO</stp>
        <stp>Ask Rate</stp>
        <tr r="F1605" s="1"/>
      </tp>
      <tp>
        <v>0</v>
        <stp/>
        <stp>bse_cm|KFL070824C</stp>
        <stp>Ask Rate</stp>
        <tr r="F1311" s="1"/>
      </tp>
      <tp>
        <v>1015</v>
        <stp/>
        <stp>nse_cm|1050NFL26-N7</stp>
        <stp>Ask Rate</stp>
        <tr r="F259" s="1"/>
      </tp>
      <tp>
        <v>999</v>
        <stp/>
        <stp>nse_cm|1050UCL25-N7</stp>
        <stp>Ask Rate</stp>
        <tr r="F201" s="1"/>
      </tp>
      <tp>
        <v>0</v>
        <stp/>
        <stp>bse_cm|EFSL26724</stp>
        <stp>ATP</stp>
        <tr r="K1336" s="1"/>
      </tp>
      <tp>
        <v>1061</v>
        <stp/>
        <stp>nse_cm|11UCL26-NC</stp>
        <stp>High</stp>
        <tr r="N322" s="1"/>
      </tp>
      <tp>
        <v>0</v>
        <stp/>
        <stp>bse_cm|866ICCL23A</stp>
        <stp>Ask Rate</stp>
        <tr r="F1075" s="1"/>
      </tp>
      <tp>
        <v>0</v>
        <stp/>
        <stp>bse_cm|KFL070824B</stp>
        <stp>Ask Rate</stp>
        <tr r="F1312" s="1"/>
      </tp>
      <tp>
        <v>1040</v>
        <stp/>
        <stp>nse_cm|875IIFL26-NM</stp>
        <stp>Ask Rate</stp>
        <tr r="F640" s="1"/>
      </tp>
      <tp>
        <v>1000</v>
        <stp/>
        <stp>bse_cm|875MFCL26C</stp>
        <stp>Ask Rate</stp>
        <tr r="F309" s="1"/>
      </tp>
      <tp>
        <v>0</v>
        <stp/>
        <stp>bse_cm|KFL070824A</stp>
        <stp>Ask Rate</stp>
        <tr r="F1313" s="1"/>
      </tp>
      <tp>
        <v>936.37</v>
        <stp/>
        <stp>bse_cm|EFS290424A</stp>
        <stp>Ask Rate</stp>
        <tr r="F571" s="1"/>
      </tp>
      <tp>
        <v>993.7</v>
        <stp/>
        <stp>nse_cm|985IIFL22-NC</stp>
        <stp>Ask Rate</stp>
        <tr r="F114" s="1"/>
      </tp>
      <tp>
        <v>0</v>
        <stp/>
        <stp>bse_cm|890ICCL23A</stp>
        <stp>Ask Rate</stp>
        <tr r="F1486" s="1"/>
      </tp>
      <tp>
        <v>912</v>
        <stp/>
        <stp>bse_cm|1003SCL30A</stp>
        <stp>Bid Rate</stp>
        <tr r="E875" s="1"/>
      </tp>
      <tp>
        <v>1105</v>
        <stp/>
        <stp>bse_cm|MFLVIII27H</stp>
        <stp>High</stp>
        <tr r="N1274" s="1"/>
      </tp>
      <tp>
        <v>0</v>
        <stp/>
        <stp>bse_cm|MFLII27</stp>
        <stp>ATP</stp>
        <tr r="K648" s="1"/>
      </tp>
      <tp>
        <v>1285.8</v>
        <stp/>
        <stp>bse_cm|MFLVI26</stp>
        <stp>ATP</stp>
        <tr r="K1719" s="1"/>
      </tp>
      <tp>
        <v>0</v>
        <stp/>
        <stp>bse_cm|MFLII26</stp>
        <stp>ATP</stp>
        <tr r="K390" s="1"/>
      </tp>
      <tp>
        <v>0</v>
        <stp/>
        <stp>bse_cm|MFLVI25</stp>
        <stp>ATP</stp>
        <tr r="K1707" s="1"/>
      </tp>
      <tp>
        <v>949.8</v>
        <stp/>
        <stp>nse_cm|875IHFL29-ND</stp>
        <stp>Ask Rate</stp>
        <tr r="F77" s="1"/>
      </tp>
      <tp>
        <v>931</v>
        <stp/>
        <stp>bse_cm|850SCL25A</stp>
        <stp xml:space="preserve">Low </stp>
        <tr r="O1387" s="1"/>
      </tp>
      <tp>
        <v>979.8</v>
        <stp/>
        <stp>bse_cm|888SCL25A</stp>
        <stp xml:space="preserve">Low </stp>
        <tr r="O911" s="1"/>
      </tp>
      <tp>
        <v>0</v>
        <stp/>
        <stp>bse_cm|894SCL25A</stp>
        <stp xml:space="preserve">Low </stp>
        <tr r="O1235" s="1"/>
      </tp>
      <tp>
        <v>1070</v>
        <stp/>
        <stp>bse_cm|965SCL25A</stp>
        <stp xml:space="preserve">Low </stp>
        <tr r="O234" s="1"/>
      </tp>
      <tp>
        <v>975</v>
        <stp/>
        <stp>bse_cm|925SCL25A</stp>
        <stp xml:space="preserve">Low </stp>
        <tr r="O1515" s="1"/>
      </tp>
      <tp>
        <v>1030</v>
        <stp/>
        <stp>bse_cm|965SCL25B</stp>
        <stp xml:space="preserve">Low </stp>
        <tr r="O1507" s="1"/>
      </tp>
      <tp>
        <v>957.51</v>
        <stp/>
        <stp>bse_cm|925SCL25B</stp>
        <stp xml:space="preserve">Low </stp>
        <tr r="O1490" s="1"/>
      </tp>
      <tp>
        <v>888</v>
        <stp/>
        <stp>bse_cm|965SCL25C</stp>
        <stp xml:space="preserve">Low </stp>
        <tr r="O506" s="1"/>
      </tp>
      <tp>
        <v>995</v>
        <stp/>
        <stp>bse_cm|925SCL25C</stp>
        <stp xml:space="preserve">Low </stp>
        <tr r="O676" s="1"/>
      </tp>
      <tp>
        <v>0</v>
        <stp/>
        <stp>bse_cm|888SCL25B</stp>
        <stp xml:space="preserve">Low </stp>
        <tr r="O909" s="1"/>
      </tp>
      <tp t="s">
        <v>INE148I07OS2</v>
        <stp/>
        <stp>nse_cm|SCLZC26B-AY</stp>
        <stp>Isin code</stp>
        <tr r="R1658" s="1"/>
      </tp>
      <tp>
        <v>950</v>
        <stp/>
        <stp>bse_cm|888SCL25E</stp>
        <stp xml:space="preserve">Low </stp>
        <tr r="O1356" s="1"/>
      </tp>
      <tp>
        <v>930.2</v>
        <stp/>
        <stp>bse_cm|MFLTDII27</stp>
        <stp xml:space="preserve">Low </stp>
        <tr r="O297" s="1"/>
      </tp>
      <tp>
        <v>963.21</v>
        <stp/>
        <stp>bse_cm|965SCL25E</stp>
        <stp xml:space="preserve">Low </stp>
        <tr r="O414" s="1"/>
      </tp>
      <tp>
        <v>0</v>
        <stp/>
        <stp>bse_cm|888SCL25D</stp>
        <stp xml:space="preserve">Low </stp>
        <tr r="O788" s="1"/>
      </tp>
      <tp>
        <v>878.58</v>
        <stp/>
        <stp>bse_cm|965SCL25F</stp>
        <stp xml:space="preserve">Low </stp>
        <tr r="O673" s="1"/>
      </tp>
      <tp>
        <v>0</v>
        <stp/>
        <stp>bse_cm|925SCL25F</stp>
        <stp xml:space="preserve">Low </stp>
        <tr r="O719" s="1"/>
      </tp>
      <tp>
        <v>1129.8</v>
        <stp/>
        <stp>bse_cm|MFLTDVI25</stp>
        <stp xml:space="preserve">Low </stp>
        <tr r="O1686" s="1"/>
      </tp>
      <tp>
        <v>0</v>
        <stp/>
        <stp>bse_cm|925SCL25G</stp>
        <stp xml:space="preserve">Low </stp>
        <tr r="O717" s="1"/>
      </tp>
      <tp>
        <v>0</v>
        <stp/>
        <stp>bse_cm|925SCL25H</stp>
        <stp xml:space="preserve">Low </stp>
        <tr r="O886" s="1"/>
      </tp>
      <tp>
        <v>905.2</v>
        <stp/>
        <stp>bse_cm|SCL310524</stp>
        <stp>Bid Rate</stp>
        <tr r="E1345" s="1"/>
      </tp>
      <tp>
        <v>0</v>
        <stp/>
        <stp>bse_cm|11DLSL25A</stp>
        <stp>Open</stp>
        <tr r="M300" s="1"/>
      </tp>
      <tp>
        <v>200</v>
        <stp/>
        <stp>bse_cm|934JMFCS28</stp>
        <stp>Ask Qty</stp>
        <tr r="G325" s="1"/>
      </tp>
      <tp>
        <v>192</v>
        <stp/>
        <stp>bse_cm|975JMFCS28</stp>
        <stp>Ask Qty</stp>
        <tr r="G275" s="1"/>
      </tp>
      <tp>
        <v>50</v>
        <stp/>
        <stp>bse_cm|981JMFCS28</stp>
        <stp>Ask Qty</stp>
        <tr r="G295" s="1"/>
      </tp>
      <tp>
        <v>960.01</v>
        <stp/>
        <stp>bse_cm|1003VCL25</stp>
        <stp>Bid Rate</stp>
        <tr r="E151" s="1"/>
      </tp>
      <tp>
        <v>990</v>
        <stp/>
        <stp>bse_cm|875SCL23A</stp>
        <stp>High</stp>
        <tr r="N194" s="1"/>
      </tp>
      <tp>
        <v>977.3</v>
        <stp/>
        <stp>bse_cm|835SCL23A</stp>
        <stp>High</stp>
        <tr r="N1104" s="1"/>
      </tp>
      <tp>
        <v>0</v>
        <stp/>
        <stp>bse_cm|980SCL33A</stp>
        <stp>High</stp>
        <tr r="N1056" s="1"/>
      </tp>
      <tp>
        <v>984.91</v>
        <stp/>
        <stp>bse_cm|950SCL23A</stp>
        <stp>High</stp>
        <tr r="N1146" s="1"/>
      </tp>
      <tp>
        <v>0</v>
        <stp/>
        <stp>bse_cm|920SCL23A</stp>
        <stp>High</stp>
        <tr r="N1114" s="1"/>
      </tp>
      <tp>
        <v>1184.8</v>
        <stp/>
        <stp>bse_cm|980SCL33B</stp>
        <stp>High</stp>
        <tr r="N1054" s="1"/>
      </tp>
      <tp>
        <v>10</v>
        <stp/>
        <stp>bse_cm|920IIFLS26</stp>
        <stp>Bid Qty</stp>
        <tr r="D613" s="1"/>
      </tp>
      <tp>
        <v>20</v>
        <stp/>
        <stp>bse_cm|960IIFLS26</stp>
        <stp>Bid Qty</stp>
        <tr r="D872" s="1"/>
      </tp>
      <tp>
        <v>20</v>
        <stp/>
        <stp>bse_cm|957IIFLS27</stp>
        <stp>Bid Qty</stp>
        <tr r="D687" s="1"/>
      </tp>
      <tp>
        <v>1000</v>
        <stp/>
        <stp>bse_cm|980SCL33C</stp>
        <stp>High</stp>
        <tr r="N1384" s="1"/>
      </tp>
      <tp>
        <v>975</v>
        <stp/>
        <stp>bse_cm|835SCL23B</stp>
        <stp>High</stp>
        <tr r="N167" s="1"/>
      </tp>
      <tp>
        <v>914.5</v>
        <stp/>
        <stp>bse_cm|980SCL33D</stp>
        <stp>High</stp>
        <tr r="N1022" s="1"/>
      </tp>
      <tp>
        <v>0</v>
        <stp/>
        <stp>bse_cm|975MFL24B</stp>
        <stp>Open</stp>
        <tr r="M415" s="1"/>
      </tp>
      <tp>
        <v>1009</v>
        <stp/>
        <stp>bse_cm|9PCHFL31A</stp>
        <stp>Open</stp>
        <tr r="M301" s="1"/>
      </tp>
      <tp t="s">
        <v>8MFLTD28</v>
        <stp/>
        <stp>bse_cm|8MFLTD28</stp>
        <stp>Trading Symbol</stp>
        <tr r="B366" s="1"/>
      </tp>
      <tp t="s">
        <v>8MFLTD26</v>
        <stp/>
        <stp>bse_cm|8MFLTD26</stp>
        <stp>Trading Symbol</stp>
        <tr r="B321" s="1"/>
      </tp>
      <tp t="s">
        <v>INE532F07DL1</v>
        <stp/>
        <stp>bse_cm|EFSLZC26B</stp>
        <stp>Isin code</stp>
        <tr r="R1678" s="1"/>
      </tp>
      <tp>
        <v>0</v>
        <stp/>
        <stp>bse_cm|925SCL25Z</stp>
        <stp xml:space="preserve">Low </stp>
        <tr r="O790" s="1"/>
      </tp>
      <tp>
        <v>980</v>
        <stp/>
        <stp>bse_cm|925SFCL25</stp>
        <stp>High</stp>
        <tr r="N1482" s="1"/>
      </tp>
      <tp t="s">
        <v>INE523L07744</v>
        <stp/>
        <stp>bse_cm|953NWIL32</stp>
        <stp>Isin code</stp>
        <tr r="R226" s="1"/>
      </tp>
      <tp t="e">
        <v>#N/A</v>
        <stp/>
        <stp>bse_cm|975SFL024</stp>
        <stp>High</stp>
        <tr r="N31" s="1"/>
      </tp>
      <tp>
        <v>0</v>
        <stp/>
        <stp>bse_cm|948JFPL25</stp>
        <stp>Open</stp>
        <tr r="M490" s="1"/>
      </tp>
      <tp>
        <v>0</v>
        <stp/>
        <stp>bse_cm|850SCFL25</stp>
        <stp>High</stp>
        <tr r="N1099" s="1"/>
      </tp>
      <tp>
        <v>981.45</v>
        <stp/>
        <stp>bse_cm|866SCFL25</stp>
        <stp>High</stp>
        <tr r="N342" s="1"/>
      </tp>
      <tp>
        <v>0</v>
        <stp/>
        <stp>bse_cm|820SCFL25</stp>
        <stp>High</stp>
        <tr r="N1059" s="1"/>
      </tp>
      <tp>
        <v>1010.2</v>
        <stp/>
        <stp>bse_cm|965SCFL25</stp>
        <stp>High</stp>
        <tr r="N1106" s="1"/>
      </tp>
      <tp>
        <v>0</v>
        <stp/>
        <stp>bse_cm|925SCFL25</stp>
        <stp>High</stp>
        <tr r="N774" s="1"/>
      </tp>
      <tp>
        <v>1196.2</v>
        <stp/>
        <stp>bse_cm|843SCFL27</stp>
        <stp>High</stp>
        <tr r="N1074" s="1"/>
      </tp>
      <tp>
        <v>0</v>
        <stp/>
        <stp>bse_cm|875SCFL27</stp>
        <stp>High</stp>
        <tr r="N1011" s="1"/>
      </tp>
      <tp>
        <v>940.35</v>
        <stp/>
        <stp>bse_cm|889SCFL27</stp>
        <stp>High</stp>
        <tr r="N484" s="1"/>
      </tp>
      <tp>
        <v>1101</v>
        <stp/>
        <stp>bse_cm|990SCFL26</stp>
        <stp>High</stp>
        <tr r="N1676" s="1"/>
      </tp>
      <tp>
        <v>1021</v>
        <stp/>
        <stp>bse_cm|925SCFL27</stp>
        <stp>High</stp>
        <tr r="N772" s="1"/>
      </tp>
      <tp t="s">
        <v>905LTF27</v>
        <stp/>
        <stp>bse_cm|905LTF27</stp>
        <stp>Trading Symbol</stp>
        <tr r="B394" s="1"/>
      </tp>
      <tp t="s">
        <v>935LTF29</v>
        <stp/>
        <stp>bse_cm|935LTF29</stp>
        <stp>Trading Symbol</stp>
        <tr r="B396" s="1"/>
      </tp>
      <tp t="s">
        <v>INE523L07736</v>
        <stp/>
        <stp>bse_cm|995NWIL32</stp>
        <stp>Isin code</stp>
        <tr r="R1023" s="1"/>
      </tp>
      <tp>
        <v>0</v>
        <stp/>
        <stp>nse_cm|1015SCL28B-AZ</stp>
        <stp>% Change</stp>
        <tr r="J1614" s="1"/>
      </tp>
      <tp t="s">
        <v>INE413U07236</v>
        <stp/>
        <stp>bse_cm|957ISFL26</stp>
        <stp>Isin code</stp>
        <tr r="R761" s="1"/>
      </tp>
      <tp>
        <v>1602.01</v>
        <stp/>
        <stp>nse_cm|SFLZC26A-ZC</stp>
        <stp>Prev Close</stp>
        <tr r="P1716" s="1"/>
      </tp>
      <tp>
        <v>1492</v>
        <stp/>
        <stp>nse_cm|SFLZC25A-ZK</stp>
        <stp>Prev Close</stp>
        <tr r="P1582" s="1"/>
      </tp>
      <tp>
        <v>0</v>
        <stp/>
        <stp>nse_cm|SCLZC25A-AS</stp>
        <stp>Prev Close</stp>
        <tr r="P1232" s="1"/>
      </tp>
      <tp>
        <v>1791.55</v>
        <stp/>
        <stp>nse_cm|SCLZC26A-NF</stp>
        <stp>Prev Close</stp>
        <tr r="P993" s="1"/>
      </tp>
      <tp>
        <v>0</v>
        <stp/>
        <stp>bse_cm|MMFLZC24D</stp>
        <stp>Open</stp>
        <tr r="M1265" s="1"/>
      </tp>
      <tp>
        <v>0</v>
        <stp/>
        <stp>nse_cm|1015SCL28A-AL</stp>
        <stp>% Change</stp>
        <tr r="J1443" s="1"/>
      </tp>
      <tp>
        <v>0</v>
        <stp/>
        <stp>bse_cm|MFLI25</stp>
        <stp>ATP</stp>
        <tr r="K447" s="1"/>
      </tp>
      <tp t="s">
        <v>INE05F407BI1</v>
        <stp/>
        <stp>bse_cm|MML25B</stp>
        <stp>Isin code</stp>
        <tr r="R1498" s="1"/>
      </tp>
      <tp t="s">
        <v>925SCL25G</v>
        <stp/>
        <stp>nse_cm|925SCL25G-NY</stp>
        <stp>Symbol</stp>
        <tr r="A887" s="1"/>
      </tp>
      <tp>
        <v>1030</v>
        <stp/>
        <stp>bse_cm|865TCAPS27</stp>
        <stp>Ask Rate</stp>
        <tr r="F377" s="1"/>
      </tp>
      <tp>
        <v>1130</v>
        <stp/>
        <stp>bse_cm|885TCAPS29</stp>
        <stp>Ask Rate</stp>
        <tr r="F12" s="1"/>
      </tp>
      <tp>
        <v>0</v>
        <stp/>
        <stp>bse_cm|855TCAPS27</stp>
        <stp>Ask Rate</stp>
        <tr r="F1004" s="1"/>
      </tp>
      <tp>
        <v>1050.01</v>
        <stp/>
        <stp>bse_cm|9SFL25A</stp>
        <stp xml:space="preserve">Low </stp>
        <tr r="O441" s="1"/>
      </tp>
      <tp>
        <v>0</v>
        <stp/>
        <stp>nse_cm|1040NFL26-NA</stp>
        <stp>Ask Rate</stp>
        <tr r="F678" s="1"/>
      </tp>
      <tp>
        <v>50</v>
        <stp/>
        <stp>nse_cm|10IIFLSF27-NB</stp>
        <stp>Bid Qty</stp>
        <tr r="D1657" s="1"/>
      </tp>
      <tp>
        <v>0</v>
        <stp/>
        <stp>nse_cm|TCHF30-NB</stp>
        <stp>ATP</stp>
        <tr r="K408" s="1"/>
      </tp>
      <tp>
        <v>875</v>
        <stp/>
        <stp>nse_cm|948SCL26D-AI</stp>
        <stp xml:space="preserve">Low </stp>
        <tr r="O1690" s="1"/>
      </tp>
      <tp>
        <v>0</v>
        <stp/>
        <stp>bse_cm|DLSL25A</stp>
        <stp>Open</stp>
        <tr r="M1734" s="1"/>
      </tp>
      <tp>
        <v>1050.2</v>
        <stp/>
        <stp>bse_cm|93SCL24</stp>
        <stp>Bid Rate</stp>
        <tr r="E945" s="1"/>
      </tp>
      <tp>
        <v>845.2</v>
        <stp/>
        <stp>bse_cm|93SCL25</stp>
        <stp>Bid Rate</stp>
        <tr r="E729" s="1"/>
      </tp>
      <tp>
        <v>1000</v>
        <stp/>
        <stp>nse_cm|971SCL28A-NT</stp>
        <stp>High</stp>
        <tr r="N680" s="1"/>
      </tp>
      <tp t="s">
        <v>BSE</v>
        <stp/>
        <stp>bse_cm|1025NWFL25</stp>
        <stp>Exchange</stp>
        <tr r="C154" s="1"/>
      </tp>
      <tp>
        <v>1020</v>
        <stp/>
        <stp>bse_cm|875PCHFL26</stp>
        <stp>Ask Rate</stp>
        <tr r="F331" s="1"/>
      </tp>
      <tp>
        <v>999.6</v>
        <stp/>
        <stp>nse_cm|957NIDO26-N5</stp>
        <stp>Ask Rate</stp>
        <tr r="F255" s="1"/>
      </tp>
      <tp t="s">
        <v/>
        <stp/>
        <stp>nse_cm|9PEL25-N0</stp>
        <stp>LTT</stp>
        <tr r="I341" s="1"/>
      </tp>
      <tp>
        <v>1071</v>
        <stp/>
        <stp>nse_cm|9PEL25-N0</stp>
        <stp>LTP</stp>
        <tr r="H341" s="1"/>
      </tp>
      <tp>
        <v>1018.89</v>
        <stp/>
        <stp>nse_cm|1075NFL25-N6</stp>
        <stp>Prev Close</stp>
        <tr r="P1438" s="1"/>
      </tp>
      <tp>
        <v>999.8</v>
        <stp/>
        <stp>nse_cm|1025NFL25-N5</stp>
        <stp>Prev Close</stp>
        <tr r="P1488" s="1"/>
      </tp>
      <tp t="s">
        <v>NSE</v>
        <stp/>
        <stp>nse_cm|760PFCL35-N3</stp>
        <stp>Exchange</stp>
        <tr r="C22" s="1"/>
      </tp>
      <tp t="s">
        <v>NSE</v>
        <stp/>
        <stp>nse_cm|830PFCL27-N5</stp>
        <stp>Exchange</stp>
        <tr r="C400" s="1"/>
      </tp>
      <tp>
        <v>0</v>
        <stp/>
        <stp>bse_cm|KAFL080824</stp>
        <stp>Ask Rate</stp>
        <tr r="F1417" s="1"/>
      </tp>
      <tp>
        <v>0</v>
        <stp/>
        <stp>bse_cm|795MMFSL32</stp>
        <stp>Ask Rate</stp>
        <tr r="F1184" s="1"/>
      </tp>
      <tp>
        <v>998</v>
        <stp/>
        <stp>nse_cm|925SFCL25-AC</stp>
        <stp>Prev Close</stp>
        <tr r="P604" s="1"/>
      </tp>
      <tp>
        <v>0</v>
        <stp/>
        <stp>bse_cm|875TCAPS29</stp>
        <stp>Ask Rate</stp>
        <tr r="F935" s="1"/>
      </tp>
      <tp>
        <v>1136</v>
        <stp/>
        <stp>bse_cm|1025JFCS28</stp>
        <stp>Ask Rate</stp>
        <tr r="F363" s="1"/>
      </tp>
      <tp t="s">
        <v>BSE</v>
        <stp/>
        <stp>bse_cm|IML1622024</stp>
        <stp>Exchange</stp>
        <tr r="C1328" s="1"/>
      </tp>
      <tp>
        <v>0</v>
        <stp/>
        <stp>bse_cm|KAFL28A</stp>
        <stp>Open</stp>
        <tr r="M1319" s="1"/>
      </tp>
      <tp>
        <v>0</v>
        <stp/>
        <stp>bse_cm|8MFL24A</stp>
        <stp>Open</stp>
        <tr r="M1549" s="1"/>
      </tp>
      <tp t="s">
        <v>NSE</v>
        <stp/>
        <stp>nse_cm|875NHAI29-N6</stp>
        <stp>Exchange</stp>
        <tr r="C495" s="1"/>
      </tp>
      <tp t="s">
        <v>NSE</v>
        <stp/>
        <stp>nse_cm|960ISFL25-N1</stp>
        <stp>Exchange</stp>
        <tr r="C1695" s="1"/>
      </tp>
      <tp>
        <v>1460</v>
        <stp/>
        <stp>nse_cm|848NTPC28-N2</stp>
        <stp>LTP</stp>
        <tr r="H1405" s="1"/>
      </tp>
      <tp t="s">
        <v/>
        <stp/>
        <stp>nse_cm|848NTPC28-N2</stp>
        <stp>LTT</stp>
        <tr r="I1405" s="1"/>
      </tp>
      <tp t="s">
        <v>15:13:03</v>
        <stp/>
        <stp>nse_cm|849NTPC25-N7</stp>
        <stp>LTT</stp>
        <tr r="I302" s="1"/>
      </tp>
      <tp>
        <v>5.21</v>
        <stp/>
        <stp>nse_cm|849NTPC25-N7</stp>
        <stp>LTP</stp>
        <tr r="H302" s="1"/>
      </tp>
      <tp>
        <v>1000</v>
        <stp/>
        <stp>bse_cm|IIFLZC25A</stp>
        <stp>Face Value</stp>
        <tr r="Q1737" s="1"/>
      </tp>
      <tp>
        <v>1000</v>
        <stp/>
        <stp>bse_cm|IIFLZC25B</stp>
        <stp>Face Value</stp>
        <tr r="Q1685" s="1"/>
      </tp>
      <tp>
        <v>1000</v>
        <stp/>
        <stp>bse_cm|IIFLZC25C</stp>
        <stp>Face Value</stp>
        <tr r="Q1750" s="1"/>
      </tp>
      <tp>
        <v>1000</v>
        <stp/>
        <stp>bse_cm|CIFCZC28A</stp>
        <stp>Face Value</stp>
        <tr r="Q1396" s="1"/>
      </tp>
      <tp>
        <v>1000</v>
        <stp/>
        <stp>bse_cm|IIFLZC26A</stp>
        <stp>Face Value</stp>
        <tr r="Q1674" s="1"/>
      </tp>
      <tp>
        <v>1000</v>
        <stp/>
        <stp>bse_cm|IIFLZC26B</stp>
        <stp>Face Value</stp>
        <tr r="Q1179" s="1"/>
      </tp>
      <tp>
        <v>1000</v>
        <stp/>
        <stp>bse_cm|CIFCZC26A</stp>
        <stp>Face Value</stp>
        <tr r="Q737" s="1"/>
      </tp>
      <tp>
        <v>1000</v>
        <stp/>
        <stp>bse_cm|IIFLZC28A</stp>
        <stp>Face Value</stp>
        <tr r="Q1628" s="1"/>
      </tp>
      <tp>
        <v>1000</v>
        <stp/>
        <stp>bse_cm|IIFLZC28B</stp>
        <stp>Face Value</stp>
        <tr r="Q1595" s="1"/>
      </tp>
      <tp>
        <v>1000</v>
        <stp/>
        <stp>bse_cm|IIFLZC28C</stp>
        <stp>Face Value</stp>
        <tr r="Q1404" s="1"/>
      </tp>
      <tp>
        <v>1000</v>
        <stp/>
        <stp>bse_cm|CIFCZC25A</stp>
        <stp>Face Value</stp>
        <tr r="Q1728" s="1"/>
      </tp>
      <tp>
        <v>1238</v>
        <stp/>
        <stp>nse_cm|948SCL26I-AX</stp>
        <stp xml:space="preserve">Low </stp>
        <tr r="O1708" s="1"/>
      </tp>
      <tp t="s">
        <v>NSE</v>
        <stp/>
        <stp>nse_cm|980IFSL25-N5</stp>
        <stp>Exchange</stp>
        <tr r="C476" s="1"/>
      </tp>
      <tp>
        <v>1001.1</v>
        <stp/>
        <stp>nse_cm|980IFSL25-N5</stp>
        <stp>Prev Close</stp>
        <tr r="P476" s="1"/>
      </tp>
      <tp>
        <v>0</v>
        <stp/>
        <stp>nse_cm|892NHPC33-N6</stp>
        <stp>ATP</stp>
        <tr r="K534" s="1"/>
      </tp>
      <tp t="s">
        <v>NSE</v>
        <stp/>
        <stp>nse_cm|960CAGL25-N3</stp>
        <stp>Exchange</stp>
        <tr r="C305" s="1"/>
      </tp>
      <tp t="s">
        <v>NSE</v>
        <stp/>
        <stp>nse_cm|820IIFL27-N9</stp>
        <stp>Exchange</stp>
        <tr r="C266" s="1"/>
      </tp>
      <tp t="s">
        <v>BSE</v>
        <stp/>
        <stp>bse_cm|1003NIDO29</stp>
        <stp>Exchange</stp>
        <tr r="C679" s="1"/>
      </tp>
      <tp t="s">
        <v>BSE</v>
        <stp/>
        <stp>bse_cm|1050NIDO29</stp>
        <stp>Exchange</stp>
        <tr r="C1124" s="1"/>
      </tp>
      <tp t="s">
        <v>BSE</v>
        <stp/>
        <stp>bse_cm|1003NHFL29</stp>
        <stp>Exchange</stp>
        <tr r="C605" s="1"/>
      </tp>
      <tp t="s">
        <v>BSE</v>
        <stp/>
        <stp>bse_cm|1010NIDO28</stp>
        <stp>Exchange</stp>
        <tr r="C199" s="1"/>
      </tp>
      <tp t="s">
        <v>BSE</v>
        <stp/>
        <stp>bse_cm|1050NHFL29</stp>
        <stp>Exchange</stp>
        <tr r="C1125" s="1"/>
      </tp>
      <tp>
        <v>981</v>
        <stp/>
        <stp>nse_cm|945IFSL25-N4</stp>
        <stp>Prev Close</stp>
        <tr r="P453" s="1"/>
      </tp>
      <tp>
        <v>1369.9</v>
        <stp/>
        <stp>nse_cm|891NTPC33-N6</stp>
        <stp>ATP</stp>
        <tr r="K535" s="1"/>
      </tp>
      <tp>
        <v>1030.0999999999999</v>
        <stp/>
        <stp>bse_cm|82IGT31</stp>
        <stp>Bid Rate</stp>
        <tr r="E383" s="1"/>
      </tp>
      <tp>
        <v>900</v>
        <stp/>
        <stp>nse_cm|980SCL33C-ND</stp>
        <stp>High</stp>
        <tr r="N1385" s="1"/>
      </tp>
      <tp>
        <v>0</v>
        <stp/>
        <stp>nse_cm|931SFL26A-NA</stp>
        <stp>High</stp>
        <tr r="N786" s="1"/>
      </tp>
      <tp t="s">
        <v>NSE</v>
        <stp/>
        <stp>nse_cm|910CAGL25-N7</stp>
        <stp>Exchange</stp>
        <tr r="C622" s="1"/>
      </tp>
      <tp>
        <v>0</v>
        <stp/>
        <stp>nse_cm|888SCL25A-AQ</stp>
        <stp xml:space="preserve">Low </stp>
        <tr r="O910" s="1"/>
      </tp>
      <tp>
        <v>1000</v>
        <stp/>
        <stp>nse_cm|1015SCL28-NR</stp>
        <stp>Face Value</stp>
        <tr r="Q288" s="1"/>
      </tp>
      <tp>
        <v>800</v>
        <stp/>
        <stp>nse_cm|96SCL25-AA</stp>
        <stp xml:space="preserve">Low </stp>
        <tr r="O1067" s="1"/>
      </tp>
      <tp>
        <v>947.8</v>
        <stp/>
        <stp>bse_cm|920EFSL26A</stp>
        <stp>Ask Rate</stp>
        <tr r="F61" s="1"/>
      </tp>
      <tp t="s">
        <v>NSE</v>
        <stp/>
        <stp>nse_cm|850IIFL27-NA</stp>
        <stp>Exchange</stp>
        <tr r="C608" s="1"/>
      </tp>
      <tp>
        <v>994</v>
        <stp/>
        <stp>bse_cm|920EFSL26B</stp>
        <stp>Ask Rate</stp>
        <tr r="F247" s="1"/>
      </tp>
      <tp>
        <v>980.1</v>
        <stp/>
        <stp>bse_cm|915EFSL26A</stp>
        <stp>Ask Rate</stp>
        <tr r="F187" s="1"/>
      </tp>
      <tp t="s">
        <v>NSE</v>
        <stp/>
        <stp>nse_cm|1102NFL26-N8</stp>
        <stp>Exchange</stp>
        <tr r="C587" s="1"/>
      </tp>
      <tp t="s">
        <v>801TCH28</v>
        <stp/>
        <stp>nse_cm|801TCH28-N7</stp>
        <stp>Symbol</stp>
        <tr r="A1181" s="1"/>
      </tp>
      <tp>
        <v>0</v>
        <stp/>
        <stp>bse_cm|955EFSL26B</stp>
        <stp>Ask Rate</stp>
        <tr r="F666" s="1"/>
      </tp>
      <tp>
        <v>1000</v>
        <stp/>
        <stp>bse_cm|955EFSL26A</stp>
        <stp>Ask Rate</stp>
        <tr r="F214" s="1"/>
      </tp>
      <tp>
        <v>1045</v>
        <stp/>
        <stp>bse_cm|960EFSL26C</stp>
        <stp>Ask Rate</stp>
        <tr r="F137" s="1"/>
      </tp>
      <tp t="s">
        <v/>
        <stp/>
        <stp>nse_cm|97MOFSL34-N7</stp>
        <stp>LTT</stp>
        <tr r="I1599" s="1"/>
      </tp>
      <tp t="s">
        <v>NSE</v>
        <stp/>
        <stp>nse_cm|940CAGL27-NB</stp>
        <stp>Exchange</stp>
        <tr r="C1367" s="1"/>
      </tp>
      <tp>
        <v>1098</v>
        <stp/>
        <stp>nse_cm|97MOFSL34-N7</stp>
        <stp>LTP</stp>
        <tr r="H1599" s="1"/>
      </tp>
      <tp>
        <v>0</v>
        <stp/>
        <stp>nse_cm|IFCIZC25-NM</stp>
        <stp>% Change</stp>
        <tr r="J1765" s="1"/>
      </tp>
      <tp>
        <v>0</v>
        <stp/>
        <stp>nse_cm|980SCL33A-N3</stp>
        <stp>High</stp>
        <tr r="N1055" s="1"/>
      </tp>
      <tp t="s">
        <v>NSE</v>
        <stp/>
        <stp>nse_cm|980ICCL28-NL</stp>
        <stp>Exchange</stp>
        <tr r="C780" s="1"/>
      </tp>
      <tp t="s">
        <v>BSE</v>
        <stp/>
        <stp>bse_cm|1025KFL27A</stp>
        <stp>Exchange</stp>
        <tr r="C89" s="1"/>
      </tp>
      <tp>
        <v>900.3</v>
        <stp/>
        <stp>nse_cm|889SCFL27-YC</stp>
        <stp>Bid Rate</stp>
        <tr r="E595" s="1"/>
      </tp>
      <tp t="s">
        <v>BSE</v>
        <stp/>
        <stp>bse_cm|1010EFS29A</stp>
        <stp>Exchange</stp>
        <tr r="C1593" s="1"/>
      </tp>
      <tp t="s">
        <v>NSE</v>
        <stp/>
        <stp>nse_cm|940ICCL28-NN</stp>
        <stp>Exchange</stp>
        <tr r="C779" s="1"/>
      </tp>
      <tp t="s">
        <v>NSE</v>
        <stp/>
        <stp>nse_cm|970CAGL28-ND</stp>
        <stp>Exchange</stp>
        <tr r="C306" s="1"/>
      </tp>
      <tp>
        <v>0</v>
        <stp/>
        <stp>nse_cm|IFCIZC24-NI</stp>
        <stp>% Change</stp>
        <tr r="J1768" s="1"/>
      </tp>
      <tp>
        <v>-100</v>
        <stp/>
        <stp>nse_cm|97SFL26A-NC</stp>
        <stp>% Change</stp>
        <tr r="J784" s="1"/>
      </tp>
      <tp>
        <v>0</v>
        <stp/>
        <stp>bse_cm|9KSFL27</stp>
        <stp>Open</stp>
        <tr r="M1418" s="1"/>
      </tp>
      <tp>
        <v>1220.6500000000001</v>
        <stp/>
        <stp>nse_cm|SCLZC25-YN</stp>
        <stp>Ask Rate</stp>
        <tr r="F1727" s="1"/>
      </tp>
      <tp>
        <v>1050</v>
        <stp/>
        <stp>bse_cm|105MMFL25C</stp>
        <stp>Ask Rate</stp>
        <tr r="F480" s="1"/>
      </tp>
      <tp>
        <v>0</v>
        <stp/>
        <stp>bse_cm|105MMFL25B</stp>
        <stp>Ask Rate</stp>
        <tr r="F1390" s="1"/>
      </tp>
      <tp>
        <v>1000</v>
        <stp/>
        <stp>nse_cm|1040UCL25-N4</stp>
        <stp>Ask Rate</stp>
        <tr r="F669" s="1"/>
      </tp>
      <tp>
        <v>0</v>
        <stp/>
        <stp>bse_cm|105MMFL25A</stp>
        <stp>Ask Rate</stp>
        <tr r="F1364" s="1"/>
      </tp>
      <tp t="s">
        <v>00:00:00</v>
        <stp/>
        <stp>bse_cm|KFLZC2A</stp>
        <stp>LTT</stp>
        <tr r="I1760" s="1"/>
      </tp>
      <tp>
        <v>0</v>
        <stp/>
        <stp>bse_cm|KFLZC2A</stp>
        <stp>LTP</stp>
        <tr r="H1760" s="1"/>
      </tp>
      <tp>
        <v>1459</v>
        <stp/>
        <stp>bse_cm|MFLVIII26H</stp>
        <stp>High</stp>
        <tr r="N1575" s="1"/>
      </tp>
      <tp t="s">
        <v>00:00:00</v>
        <stp/>
        <stp>bse_cm|KFLZC29</stp>
        <stp>LTT</stp>
        <tr r="I1639" s="1"/>
      </tp>
      <tp t="s">
        <v>00:00:00</v>
        <stp/>
        <stp>bse_cm|KFLZC28</stp>
        <stp>LTT</stp>
        <tr r="I1290" s="1"/>
      </tp>
      <tp>
        <v>0</v>
        <stp/>
        <stp>bse_cm|KFLZC29</stp>
        <stp>LTP</stp>
        <tr r="H1639" s="1"/>
      </tp>
      <tp>
        <v>0</v>
        <stp/>
        <stp>bse_cm|KFLZC28</stp>
        <stp>LTP</stp>
        <tr r="H1290" s="1"/>
      </tp>
      <tp>
        <v>0</v>
        <stp/>
        <stp>bse_cm|KFLZC27</stp>
        <stp>LTP</stp>
        <tr r="H1292" s="1"/>
      </tp>
      <tp>
        <v>0</v>
        <stp/>
        <stp>bse_cm|KFLZC26</stp>
        <stp>LTP</stp>
        <tr r="H1709" s="1"/>
      </tp>
      <tp>
        <v>0</v>
        <stp/>
        <stp>bse_cm|KFLZC25</stp>
        <stp>LTP</stp>
        <tr r="H1754" s="1"/>
      </tp>
      <tp>
        <v>0</v>
        <stp/>
        <stp>bse_cm|KFLZC24</stp>
        <stp>LTP</stp>
        <tr r="H1766" s="1"/>
      </tp>
      <tp t="s">
        <v>00:00:00</v>
        <stp/>
        <stp>bse_cm|KFLZC27</stp>
        <stp>LTT</stp>
        <tr r="I1292" s="1"/>
      </tp>
      <tp t="s">
        <v>00:00:00</v>
        <stp/>
        <stp>bse_cm|KFLZC26</stp>
        <stp>LTT</stp>
        <tr r="I1709" s="1"/>
      </tp>
      <tp t="s">
        <v>00:00:00</v>
        <stp/>
        <stp>bse_cm|KFLZC25</stp>
        <stp>LTT</stp>
        <tr r="I1754" s="1"/>
      </tp>
      <tp t="s">
        <v>00:00:00</v>
        <stp/>
        <stp>bse_cm|KFLZC24</stp>
        <stp>LTT</stp>
        <tr r="I1766" s="1"/>
      </tp>
      <tp>
        <v>1200</v>
        <stp/>
        <stp>bse_cm|9TCAP28</stp>
        <stp xml:space="preserve">Low </stp>
        <tr r="O545" s="1"/>
      </tp>
      <tp t="s">
        <v>00:00:00</v>
        <stp/>
        <stp>bse_cm|KFLZC31</stp>
        <stp>LTT</stp>
        <tr r="I1286" s="1"/>
      </tp>
      <tp>
        <v>0</v>
        <stp/>
        <stp>bse_cm|KFLZC31</stp>
        <stp>LTP</stp>
        <tr r="H1286" s="1"/>
      </tp>
      <tp>
        <v>1.56</v>
        <stp/>
        <stp>nse_cm|880IREDA29-N5</stp>
        <stp>% Change</stp>
        <tr r="J510" s="1"/>
      </tp>
      <tp>
        <v>0</v>
        <stp/>
        <stp>nse_cm|880IREDA34-N6</stp>
        <stp>% Change</stp>
        <tr r="J511" s="1"/>
      </tp>
      <tp>
        <v>842.8</v>
        <stp/>
        <stp>bse_cm|865SCL24B</stp>
        <stp xml:space="preserve">Low </stp>
        <tr r="O953" s="1"/>
      </tp>
      <tp>
        <v>0</v>
        <stp/>
        <stp>nse_cm|855IREDA34-N3</stp>
        <stp>% Change</stp>
        <tr r="J558" s="1"/>
      </tp>
      <tp>
        <v>2.5</v>
        <stp/>
        <stp>nse_cm|855IREDA29-N2</stp>
        <stp>% Change</stp>
        <tr r="J505" s="1"/>
      </tp>
      <tp>
        <v>-1.54</v>
        <stp/>
        <stp>nse_cm|774IREDA31-N7</stp>
        <stp>% Change</stp>
        <tr r="J18" s="1"/>
      </tp>
      <tp>
        <v>855.8</v>
        <stp/>
        <stp>bse_cm|SFL270224</stp>
        <stp>Bid Rate</stp>
        <tr r="E808" s="1"/>
      </tp>
      <tp>
        <v>900.3</v>
        <stp/>
        <stp>bse_cm|1003SCL31</stp>
        <stp>Bid Rate</stp>
        <tr r="E727" s="1"/>
      </tp>
      <tp>
        <v>690.2</v>
        <stp/>
        <stp>bse_cm|1003SCL30</stp>
        <stp>Bid Rate</stp>
        <tr r="E877" s="1"/>
      </tp>
      <tp>
        <v>952.05</v>
        <stp/>
        <stp>bse_cm|1102NFL26</stp>
        <stp>Bid Rate</stp>
        <tr r="E567" s="1"/>
      </tp>
      <tp>
        <v>822</v>
        <stp/>
        <stp>bse_cm|EFS290424</stp>
        <stp>Bid Rate</stp>
        <tr r="E570" s="1"/>
      </tp>
      <tp>
        <v>0</v>
        <stp/>
        <stp>bse_cm|825MFL25A</stp>
        <stp>Open</stp>
        <tr r="M931" s="1"/>
      </tp>
      <tp>
        <v>0</v>
        <stp/>
        <stp>bse_cm|865MFL25A</stp>
        <stp>Open</stp>
        <tr r="M153" s="1"/>
      </tp>
      <tp t="s">
        <v>INE532F07ES4</v>
        <stp/>
        <stp>bse_cm|EFSLZC26C</stp>
        <stp>Isin code</stp>
        <tr r="R1332" s="1"/>
      </tp>
      <tp t="s">
        <v>INE532F07EN5</v>
        <stp/>
        <stp>bse_cm|EFSLZC28C</stp>
        <stp>Isin code</stp>
        <tr r="R1331" s="1"/>
      </tp>
      <tp t="s">
        <v>INE03W107256</v>
        <stp/>
        <stp>bse_cm|965ARKA28</stp>
        <stp>Isin code</stp>
        <tr r="R1349" s="1"/>
      </tp>
      <tp>
        <v>924.2</v>
        <stp/>
        <stp>bse_cm|975EFSL27</stp>
        <stp>Open</stp>
        <tr r="M45" s="1"/>
      </tp>
      <tp>
        <v>0</v>
        <stp/>
        <stp>bse_cm|960EFSL27</stp>
        <stp>Open</stp>
        <tr r="M70" s="1"/>
      </tp>
      <tp>
        <v>0</v>
        <stp/>
        <stp>bse_cm|957EFSL27</stp>
        <stp>Open</stp>
        <tr r="M576" s="1"/>
      </tp>
      <tp>
        <v>0</v>
        <stp/>
        <stp>bse_cm|935EFSL27</stp>
        <stp>Open</stp>
        <tr r="M157" s="1"/>
      </tp>
      <tp>
        <v>935</v>
        <stp/>
        <stp>bse_cm|920EFSL27</stp>
        <stp>Open</stp>
        <tr r="M55" s="1"/>
      </tp>
      <tp>
        <v>0</v>
        <stp/>
        <stp>bse_cm|895EFSL26</stp>
        <stp>Open</stp>
        <tr r="M109" s="1"/>
      </tp>
      <tp>
        <v>0</v>
        <stp/>
        <stp>bse_cm|960EFSL26</stp>
        <stp>Open</stp>
        <tr r="M690" s="1"/>
      </tp>
      <tp>
        <v>0</v>
        <stp/>
        <stp>bse_cm|950EFSL26</stp>
        <stp>Open</stp>
        <tr r="M1493" s="1"/>
      </tp>
      <tp>
        <v>0</v>
        <stp/>
        <stp>bse_cm|955EFSL26</stp>
        <stp>Open</stp>
        <tr r="M503" s="1"/>
      </tp>
      <tp>
        <v>0</v>
        <stp/>
        <stp>bse_cm|939EFSL26</stp>
        <stp>Open</stp>
        <tr r="M188" s="1"/>
      </tp>
      <tp>
        <v>0</v>
        <stp/>
        <stp>bse_cm|920EFSL26</stp>
        <stp>Open</stp>
        <tr r="M223" s="1"/>
      </tp>
      <tp>
        <v>0</v>
        <stp/>
        <stp>bse_cm|915EFSL26</stp>
        <stp>Open</stp>
        <tr r="M93" s="1"/>
      </tp>
      <tp>
        <v>936</v>
        <stp/>
        <stp>bse_cm|916EFSL26</stp>
        <stp>Open</stp>
        <tr r="M69" s="1"/>
      </tp>
      <tp t="s">
        <v>11EFSL34</v>
        <stp/>
        <stp>bse_cm|11EFSL34</stp>
        <stp>Trading Symbol</stp>
        <tr r="B1429" s="1"/>
      </tp>
      <tp t="s">
        <v>11DLSL25</v>
        <stp/>
        <stp>bse_cm|11DLSL25</stp>
        <stp>Trading Symbol</stp>
        <tr r="B1539" s="1"/>
      </tp>
      <tp>
        <v>0</v>
        <stp/>
        <stp>bse_cm|925EFSL25</stp>
        <stp>Open</stp>
        <tr r="M632" s="1"/>
      </tp>
      <tp t="s">
        <v>10IFSL26</v>
        <stp/>
        <stp>bse_cm|10IFSL26</stp>
        <stp>Trading Symbol</stp>
        <tr r="B428" s="1"/>
      </tp>
      <tp t="s">
        <v>10EFSL33</v>
        <stp/>
        <stp>bse_cm|10EFSL33</stp>
        <stp>Trading Symbol</stp>
        <tr r="B150" s="1"/>
      </tp>
      <tp t="s">
        <v>10EFSL34</v>
        <stp/>
        <stp>bse_cm|10EFSL34</stp>
        <stp>Trading Symbol</stp>
        <tr r="B164" s="1"/>
      </tp>
      <tp t="s">
        <v>10EFSL27</v>
        <stp/>
        <stp>bse_cm|10EFSL27</stp>
        <stp>Trading Symbol</stp>
        <tr r="B1139" s="1"/>
      </tp>
      <tp>
        <v>0</v>
        <stp/>
        <stp>bse_cm|TCHF30</stp>
        <stp>ATP</stp>
        <tr r="K423" s="1"/>
      </tp>
      <tp>
        <v>0</v>
        <stp/>
        <stp>bse_cm|895EFSL25</stp>
        <stp>Open</stp>
        <tr r="M700" s="1"/>
      </tp>
      <tp>
        <v>-100</v>
        <stp/>
        <stp>nse_cm|875TCAPS29-NB</stp>
        <stp>% Change</stp>
        <tr r="J934" s="1"/>
      </tp>
      <tp>
        <v>0</v>
        <stp/>
        <stp>bse_cm|105EFSL29</stp>
        <stp>Open</stp>
        <tr r="M1358" s="1"/>
      </tp>
      <tp>
        <v>0</v>
        <stp/>
        <stp>nse_cm|885TCAPS29-NC</stp>
        <stp>% Change</stp>
        <tr r="J13" s="1"/>
      </tp>
      <tp>
        <v>0</v>
        <stp/>
        <stp>bse_cm|101EFSL28</stp>
        <stp>Open</stp>
        <tr r="M211" s="1"/>
      </tp>
      <tp t="s">
        <v>INE053F07892</v>
        <stp/>
        <stp>bse_cm|729IRFC26</stp>
        <stp>Isin code</stp>
        <tr r="R367" s="1"/>
      </tp>
      <tp t="s">
        <v>INE528S07128</v>
        <stp/>
        <stp>bse_cm|925ERFL28</stp>
        <stp>Isin code</stp>
        <tr r="R147" s="1"/>
      </tp>
      <tp t="s">
        <v>1025SF29</v>
        <stp/>
        <stp>bse_cm|1025SF29</stp>
        <stp>Trading Symbol</stp>
        <tr r="B1409" s="1"/>
      </tp>
      <tp t="s">
        <v>INE031A07AM9</v>
        <stp/>
        <stp>bse_cm|739HUDC31</stp>
        <stp>Isin code</stp>
        <tr r="R1347" s="1"/>
      </tp>
      <tp t="s">
        <v>INE053F07876</v>
        <stp/>
        <stp>bse_cm|704IRFC26</stp>
        <stp>Isin code</stp>
        <tr r="R557" s="1"/>
      </tp>
      <tp t="s">
        <v>INE053F07686</v>
        <stp/>
        <stp>bse_cm|865IRFC29</stp>
        <stp>Isin code</stp>
        <tr r="R501" s="1"/>
      </tp>
      <tp t="s">
        <v>INE583D07471</v>
        <stp/>
        <stp>bse_cm|1025UCL27</stp>
        <stp>Isin code</stp>
        <tr r="R1019" s="1"/>
      </tp>
      <tp t="s">
        <v>INE148I07TW3</v>
        <stp/>
        <stp>bse_cm|1003SCL31</stp>
        <stp>Isin code</stp>
        <tr r="R727" s="1"/>
      </tp>
      <tp t="s">
        <v>INE148I07TK8</v>
        <stp/>
        <stp>bse_cm|1050SCL31</stp>
        <stp>Isin code</stp>
        <tr r="R892" s="1"/>
      </tp>
      <tp>
        <v>0</v>
        <stp/>
        <stp>bse_cm|967EFSL29</stp>
        <stp>Open</stp>
        <tr r="M102" s="1"/>
      </tp>
      <tp t="s">
        <v>INE053F07660</v>
        <stp/>
        <stp>bse_cm|840IRFC29</stp>
        <stp>Isin code</stp>
        <tr r="R1634" s="1"/>
      </tp>
      <tp>
        <v>0</v>
        <stp/>
        <stp>bse_cm|967EFSL28</stp>
        <stp>Open</stp>
        <tr r="M205" s="1"/>
      </tp>
      <tp>
        <v>0</v>
        <stp/>
        <stp>nse_cm|851HUDCO28-NB</stp>
        <stp>% Change</stp>
        <tr r="J502" s="1"/>
      </tp>
      <tp>
        <v>0</v>
        <stp/>
        <stp>nse_cm|858HUDCO29-NC</stp>
        <stp>% Change</stp>
        <tr r="J1636" s="1"/>
      </tp>
      <tp t="s">
        <v>916EFSL26</v>
        <stp/>
        <stp>bse_cm|916EFSL26</stp>
        <stp>Symbol</stp>
        <tr r="A69" s="1"/>
      </tp>
      <tp t="s">
        <v>915EFSL26</v>
        <stp/>
        <stp>bse_cm|915EFSL26</stp>
        <stp>Symbol</stp>
        <tr r="A93" s="1"/>
      </tp>
      <tp>
        <v>0</v>
        <stp/>
        <stp>nse_cm|876HUDCO28-ND</stp>
        <stp>% Change</stp>
        <tr r="J509" s="1"/>
      </tp>
      <tp>
        <v>0</v>
        <stp/>
        <stp>nse_cm|901HUDCO34-NE</stp>
        <stp>% Change</stp>
        <tr r="J517" s="1"/>
      </tp>
      <tp>
        <v>0</v>
        <stp/>
        <stp>bse_cm|888ERFL28</stp>
        <stp>Open</stp>
        <tr r="M216" s="1"/>
      </tp>
      <tp>
        <v>0</v>
        <stp/>
        <stp>bse_cm|MVAF27</stp>
        <stp>ATP</stp>
        <tr r="K1689" s="1"/>
      </tp>
      <tp>
        <v>0</v>
        <stp/>
        <stp>bse_cm|925ERFL28</stp>
        <stp>Open</stp>
        <tr r="M147" s="1"/>
      </tp>
      <tp t="s">
        <v>INE549K07CJ1</v>
        <stp/>
        <stp>bse_cm|MFL26F</stp>
        <stp>Isin code</stp>
        <tr r="R1278" s="1"/>
      </tp>
      <tp t="s">
        <v>925SCL25H</v>
        <stp/>
        <stp>nse_cm|925SCL25H-Y0</stp>
        <stp>Symbol</stp>
        <tr r="A791" s="1"/>
      </tp>
      <tp>
        <v>1000</v>
        <stp/>
        <stp>bse_cm|975MFL24BB</stp>
        <stp>High</stp>
        <tr r="N552" s="1"/>
      </tp>
      <tp>
        <v>0</v>
        <stp/>
        <stp>bse_cm|0MML29A</stp>
        <stp>Volume Traded Today</stp>
        <tr r="L1040" s="1"/>
      </tp>
      <tp>
        <v>1000</v>
        <stp/>
        <stp>bse_cm|EFSLZC25A</stp>
        <stp>Face Value</stp>
        <tr r="Q1333" s="1"/>
      </tp>
      <tp>
        <v>1000</v>
        <stp/>
        <stp>bse_cm|EFSLZC26A</stp>
        <stp>Face Value</stp>
        <tr r="Q1574" s="1"/>
      </tp>
      <tp>
        <v>1000</v>
        <stp/>
        <stp>bse_cm|EFSLZC26B</stp>
        <stp>Face Value</stp>
        <tr r="Q1678" s="1"/>
      </tp>
      <tp>
        <v>1000</v>
        <stp/>
        <stp>bse_cm|EFSLZC26C</stp>
        <stp>Face Value</stp>
        <tr r="Q1332" s="1"/>
      </tp>
      <tp>
        <v>1000</v>
        <stp/>
        <stp>bse_cm|EFSLZC28C</stp>
        <stp>Face Value</stp>
        <tr r="Q1331" s="1"/>
      </tp>
      <tp>
        <v>1005</v>
        <stp/>
        <stp>bse_cm|994SMCGS29</stp>
        <stp>Ask Rate</stp>
        <tr r="F221" s="1"/>
      </tp>
      <tp>
        <v>1002</v>
        <stp/>
        <stp>nse_cm|948SCL26A-NN</stp>
        <stp xml:space="preserve">Low </stp>
        <tr r="O526" s="1"/>
      </tp>
      <tp>
        <v>992.1</v>
        <stp/>
        <stp>bse_cm|830JMFPL30</stp>
        <stp>Ask Rate</stp>
        <tr r="F251" s="1"/>
      </tp>
      <tp>
        <v>0</v>
        <stp/>
        <stp>nse_cm|9MMFSML-N2</stp>
        <stp>Open</stp>
        <tr r="M339" s="1"/>
      </tp>
      <tp>
        <v>1039</v>
        <stp/>
        <stp>bse_cm|805MMFSL32</stp>
        <stp>Ask Rate</stp>
        <tr r="F401" s="1"/>
      </tp>
      <tp>
        <v>1030</v>
        <stp/>
        <stp>bse_cm|981JMFCS28</stp>
        <stp>Ask Rate</stp>
        <tr r="F295" s="1"/>
      </tp>
      <tp>
        <v>972.27</v>
        <stp/>
        <stp>nse_cm|SCL310524-ZF</stp>
        <stp>Bid Rate</stp>
        <tr r="E593" s="1"/>
      </tp>
      <tp>
        <v>1038.9000000000001</v>
        <stp/>
        <stp>bse_cm|975JMFCS28</stp>
        <stp>Ask Rate</stp>
        <tr r="F275" s="1"/>
      </tp>
      <tp>
        <v>0</v>
        <stp/>
        <stp>nse_cm|CAGL25-N8</stp>
        <stp>ATP</stp>
        <tr r="K710" s="1"/>
      </tp>
      <tp>
        <v>0</v>
        <stp/>
        <stp>nse_cm|CAGL24-N2</stp>
        <stp>ATP</stp>
        <tr r="K1762" s="1"/>
      </tp>
      <tp>
        <v>0</v>
        <stp/>
        <stp>nse_cm|CAGL28-NE</stp>
        <stp>ATP</stp>
        <tr r="K756" s="1"/>
      </tp>
      <tp>
        <v>0</v>
        <stp/>
        <stp>nse_cm|CAGL26-NA</stp>
        <stp>ATP</stp>
        <tr r="K735" s="1"/>
      </tp>
      <tp>
        <v>0</v>
        <stp/>
        <stp>nse_cm|CAGL27-NC</stp>
        <stp>ATP</stp>
        <tr r="K733" s="1"/>
      </tp>
      <tp t="s">
        <v>00:00:00</v>
        <stp/>
        <stp>bse_cm|EFS290424</stp>
        <stp>LTT</stp>
        <tr r="I570" s="1"/>
      </tp>
      <tp>
        <v>0</v>
        <stp/>
        <stp>bse_cm|EFS290424</stp>
        <stp>LTP</stp>
        <tr r="H570" s="1"/>
      </tp>
      <tp>
        <v>1019.75</v>
        <stp/>
        <stp>bse_cm|934JMFCS28</stp>
        <stp>Ask Rate</stp>
        <tr r="F325" s="1"/>
      </tp>
      <tp>
        <v>0</v>
        <stp/>
        <stp>nse_cm|888SCL25D-NC</stp>
        <stp xml:space="preserve">Low </stp>
        <tr r="O916" s="1"/>
      </tp>
      <tp t="s">
        <v>00:00:00</v>
        <stp/>
        <stp>bse_cm|1045EFS34</stp>
        <stp>LTT</stp>
        <tr r="I1450" s="1"/>
      </tp>
      <tp>
        <v>0</v>
        <stp/>
        <stp>bse_cm|1045EFS33</stp>
        <stp>LTP</stp>
        <tr r="H1030" s="1"/>
      </tp>
      <tp>
        <v>0</v>
        <stp/>
        <stp>bse_cm|1045EFS34</stp>
        <stp>LTP</stp>
        <tr r="H1450" s="1"/>
      </tp>
      <tp t="s">
        <v>00:00:00</v>
        <stp/>
        <stp>bse_cm|1045EFS33</stp>
        <stp>LTT</stp>
        <tr r="I1030" s="1"/>
      </tp>
      <tp>
        <v>0</v>
        <stp/>
        <stp>bse_cm|935MMFSL29</stp>
        <stp>Ask Rate</stp>
        <tr r="F1174" s="1"/>
      </tp>
      <tp>
        <v>1090</v>
        <stp/>
        <stp>bse_cm|MFLTDVII27</stp>
        <stp xml:space="preserve">Low </stp>
        <tr r="O1562" s="1"/>
      </tp>
      <tp>
        <v>0</v>
        <stp/>
        <stp>bse_cm|1050EFSL29</stp>
        <stp>Ask Rate</stp>
        <tr r="F1484" s="1"/>
      </tp>
      <tp>
        <v>0</v>
        <stp/>
        <stp>bse_cm|1010EFSL29</stp>
        <stp>Ask Rate</stp>
        <tr r="F1459" s="1"/>
      </tp>
      <tp>
        <v>951</v>
        <stp/>
        <stp>bse_cm|1004EFSL29</stp>
        <stp>Ask Rate</stp>
        <tr r="F1586" s="1"/>
      </tp>
      <tp>
        <v>1070</v>
        <stp/>
        <stp>nse_cm|734IRFC28-N4</stp>
        <stp>Ask Rate</stp>
        <tr r="F455" s="1"/>
      </tp>
      <tp>
        <v>0</v>
        <stp/>
        <stp>bse_cm|1010EFSL28</stp>
        <stp>Ask Rate</stp>
        <tr r="F663" s="1"/>
      </tp>
      <tp>
        <v>0</v>
        <stp/>
        <stp>bse_cm|0SFL27A</stp>
        <stp>Volume Traded Today</stp>
        <tr r="L1034" s="1"/>
      </tp>
      <tp>
        <v>0</v>
        <stp/>
        <stp>bse_cm|CAGL27A</stp>
        <stp>Open</stp>
        <tr r="M1379" s="1"/>
      </tp>
      <tp>
        <v>1051</v>
        <stp/>
        <stp>bse_cm|MFLTDIII24</stp>
        <stp xml:space="preserve">Low </stp>
        <tr r="O1721" s="1"/>
      </tp>
      <tp>
        <v>1001.1</v>
        <stp/>
        <stp>nse_cm|980IFSL25-N5</stp>
        <stp>LTP</stp>
        <tr r="H476" s="1"/>
      </tp>
      <tp t="s">
        <v/>
        <stp/>
        <stp>nse_cm|980IFSL25-N5</stp>
        <stp>LTT</stp>
        <tr r="I476" s="1"/>
      </tp>
      <tp>
        <v>0</v>
        <stp/>
        <stp>nse_cm|NIDOZC26-N7</stp>
        <stp>% Change</stp>
        <tr r="J28" s="1"/>
      </tp>
      <tp>
        <v>985</v>
        <stp/>
        <stp>nse_cm|866SCFL25-Y8</stp>
        <stp>Bid Rate</stp>
        <tr r="E158" s="1"/>
      </tp>
      <tp t="s">
        <v>BSE</v>
        <stp/>
        <stp>bse_cm|920IIFLS26</stp>
        <stp>Exchange</stp>
        <tr r="C613" s="1"/>
      </tp>
      <tp t="s">
        <v>NSE</v>
        <stp/>
        <stp>nse_cm|830CIFC26-N2</stp>
        <stp>Exchange</stp>
        <tr r="C1625" s="1"/>
      </tp>
      <tp t="s">
        <v>NSE</v>
        <stp/>
        <stp>nse_cm|840IRFC29-N8</stp>
        <stp>Exchange</stp>
        <tr r="C528" s="1"/>
      </tp>
      <tp>
        <v>1014</v>
        <stp/>
        <stp>nse_cm|99AEL29-N7</stp>
        <stp xml:space="preserve">Low </stp>
        <tr r="O246" s="1"/>
      </tp>
      <tp t="s">
        <v>BSE</v>
        <stp/>
        <stp>bse_cm|IFL1942024</stp>
        <stp>Exchange</stp>
        <tr r="C1594" s="1"/>
      </tp>
      <tp t="s">
        <v>BSE</v>
        <stp/>
        <stp>bse_cm|960IIFLS26</stp>
        <stp>Exchange</stp>
        <tr r="C872" s="1"/>
      </tp>
      <tp>
        <v>816.2</v>
        <stp/>
        <stp>nse_cm|1050SCL31-ZP</stp>
        <stp>Bid Rate</stp>
        <tr r="E891" s="1"/>
      </tp>
      <tp>
        <v>0</v>
        <stp/>
        <stp>nse_cm|866NTPC33-N3</stp>
        <stp>ATP</stp>
        <tr r="K555" s="1"/>
      </tp>
      <tp>
        <v>1</v>
        <stp/>
        <stp>bse_cm|MVAFZC25</stp>
        <stp>Bid Qty</stp>
        <tr r="D1746" s="1"/>
      </tp>
      <tp t="s">
        <v>BSE</v>
        <stp/>
        <stp>bse_cm|957IIFLS27</stp>
        <stp>Exchange</stp>
        <tr r="C687" s="1"/>
      </tp>
      <tp>
        <v>0</v>
        <stp/>
        <stp>bse_cm|0SFL29A</stp>
        <stp>Volume Traded Today</stp>
        <tr r="L1033" s="1"/>
      </tp>
      <tp t="s">
        <v>935PEL33</v>
        <stp/>
        <stp>nse_cm|935PEL33-N3</stp>
        <stp>Symbol</stp>
        <tr r="A1375" s="1"/>
      </tp>
      <tp>
        <v>-0.16</v>
        <stp/>
        <stp>nse_cm|IIFLZC28-NG</stp>
        <stp>% Change</stp>
        <tr r="J1659" s="1"/>
      </tp>
      <tp t="s">
        <v>957SCL30</v>
        <stp/>
        <stp>nse_cm|957SCL30-BX</stp>
        <stp>Symbol</stp>
        <tr r="A1109" s="1"/>
      </tp>
      <tp>
        <v>0</v>
        <stp/>
        <stp>nse_cm|CIFCZC26-NF</stp>
        <stp>% Change</stp>
        <tr r="J1561" s="1"/>
      </tp>
      <tp>
        <v>975</v>
        <stp/>
        <stp>bse_cm|967EFSL29A</stp>
        <stp>Ask Rate</stp>
        <tr r="F180" s="1"/>
      </tp>
      <tp>
        <v>-1.17</v>
        <stp/>
        <stp>nse_cm|IIFLZC25-ND</stp>
        <stp>% Change</stp>
        <tr r="J1742" s="1"/>
      </tp>
      <tp>
        <v>0</v>
        <stp/>
        <stp>nse_cm|CIFCZC25-ND</stp>
        <stp>% Change</stp>
        <tr r="J1435" s="1"/>
      </tp>
      <tp>
        <v>0</v>
        <stp/>
        <stp>nse_cm|990SCL26B-Y7</stp>
        <stp>Open</stp>
        <tr r="M798" s="1"/>
      </tp>
      <tp t="s">
        <v>BSE</v>
        <stp/>
        <stp>bse_cm|875CIFC23B</stp>
        <stp>Exchange</stp>
        <tr r="C1394" s="1"/>
      </tp>
      <tp>
        <v>0</v>
        <stp/>
        <stp>nse_cm|940SCL26B-Y6</stp>
        <stp>Open</stp>
        <tr r="M795" s="1"/>
      </tp>
      <tp t="s">
        <v>NSE</v>
        <stp/>
        <stp>nse_cm|750IRFC35-NK</stp>
        <stp>Exchange</stp>
        <tr r="C485" s="1"/>
      </tp>
      <tp>
        <v>0</v>
        <stp/>
        <stp>nse_cm|CIFCZC28-NH</stp>
        <stp>% Change</stp>
        <tr r="J1607" s="1"/>
      </tp>
      <tp t="s">
        <v>INE0BUS07973</v>
        <stp/>
        <stp>bse_cm|IML23623</stp>
        <stp>Isin code</stp>
        <tr r="R1327" s="1"/>
      </tp>
      <tp>
        <v>0</v>
        <stp/>
        <stp>nse_cm|IIFLZC26-NN</stp>
        <stp>% Change</stp>
        <tr r="J1696" s="1"/>
      </tp>
      <tp t="s">
        <v>NSE</v>
        <stp/>
        <stp>nse_cm|990SCFL26-AJ</stp>
        <stp>Exchange</stp>
        <tr r="C1523" s="1"/>
      </tp>
      <tp>
        <v>0</v>
        <stp/>
        <stp>bse_cm|8MFL24A</stp>
        <stp>ATP</stp>
        <tr r="K1549" s="1"/>
      </tp>
      <tp>
        <v>1009.8</v>
        <stp/>
        <stp>bse_cm|CCI110324A</stp>
        <stp>Ask Rate</stp>
        <tr r="F1590" s="1"/>
      </tp>
      <tp>
        <v>0</v>
        <stp/>
        <stp>bse_cm|CCIL14824B</stp>
        <stp>Ask Rate</stp>
        <tr r="F752" s="1"/>
      </tp>
      <tp>
        <v>1112.54</v>
        <stp/>
        <stp>nse_cm|764IRFC31-NO</stp>
        <stp>Ask Rate</stp>
        <tr r="F468" s="1"/>
      </tp>
      <tp>
        <v>0</v>
        <stp/>
        <stp>bse_cm|CCIL14824C</stp>
        <stp>Ask Rate</stp>
        <tr r="F751" s="1"/>
      </tp>
      <tp>
        <v>0</v>
        <stp/>
        <stp>bse_cm|9MFL30A</stp>
        <stp>ATP</stp>
        <tr r="K289" s="1"/>
      </tp>
      <tp>
        <v>0</v>
        <stp/>
        <stp>bse_cm|1010EFS28</stp>
        <stp>Volume Traded Today</stp>
        <tr r="L116" s="1"/>
      </tp>
      <tp>
        <v>0</v>
        <stp/>
        <stp>bse_cm|1010EFS29</stp>
        <stp>Volume Traded Today</stp>
        <tr r="L726" s="1"/>
      </tp>
      <tp>
        <v>999.8</v>
        <stp/>
        <stp>bse_cm|CCIL14824A</stp>
        <stp>Ask Rate</stp>
        <tr r="F590" s="1"/>
      </tp>
      <tp>
        <v>875</v>
        <stp/>
        <stp>nse_cm|888SCL25E-N4</stp>
        <stp xml:space="preserve">Low </stp>
        <tr r="O1444" s="1"/>
      </tp>
      <tp>
        <v>-100</v>
        <stp/>
        <stp>bse_cm|97SFL26A</stp>
        <stp>% Change</stp>
        <tr r="J1089" s="1"/>
      </tp>
      <tp>
        <v>1035</v>
        <stp/>
        <stp>nse_cm|0SCL26-YR</stp>
        <stp>Ask Rate</stp>
        <tr r="F1622" s="1"/>
      </tp>
      <tp>
        <v>899.8</v>
        <stp/>
        <stp>bse_cm|93EFSL31A</stp>
        <stp>Open</stp>
        <tr r="M85" s="1"/>
      </tp>
      <tp>
        <v>0</v>
        <stp/>
        <stp>bse_cm|97EFSL31A</stp>
        <stp>Open</stp>
        <tr r="M598" s="1"/>
      </tp>
      <tp t="s">
        <v>INE148I07OO1</v>
        <stp/>
        <stp>nse_cm|SCLZC25B-AT</stp>
        <stp>Isin code</stp>
        <tr r="R1541" s="1"/>
      </tp>
      <tp>
        <v>1050</v>
        <stp/>
        <stp>nse_cm|0SCL27-YW</stp>
        <stp>Ask Rate</stp>
        <tr r="F1616" s="1"/>
      </tp>
      <tp>
        <v>0</v>
        <stp/>
        <stp>nse_cm|751HUDCO28-N5</stp>
        <stp>% Change</stp>
        <tr r="J492" s="1"/>
      </tp>
      <tp t="s">
        <v>91MOFSL27</v>
        <stp/>
        <stp>bse_cm|91MOFSL27</stp>
        <stp>Symbol</stp>
        <tr r="A1558" s="1"/>
      </tp>
      <tp>
        <v>1151</v>
        <stp/>
        <stp>nse_cm|SCL24A-ZS</stp>
        <stp xml:space="preserve">Low </stp>
        <tr r="O1751" s="1"/>
      </tp>
      <tp t="s">
        <v>INE101Q07AG8</v>
        <stp/>
        <stp>bse_cm|MMFLZC27D</stp>
        <stp>Isin code</stp>
        <tr r="R1406" s="1"/>
      </tp>
      <tp t="s">
        <v>INE101Q07839</v>
        <stp/>
        <stp>bse_cm|MMFLZC25D</stp>
        <stp>Isin code</stp>
        <tr r="R1262" s="1"/>
      </tp>
      <tp t="s">
        <v>INE101Q07763</v>
        <stp/>
        <stp>bse_cm|MMFLZC24D</stp>
        <stp>Isin code</stp>
        <tr r="R1265" s="1"/>
      </tp>
      <tp>
        <v>-100</v>
        <stp/>
        <stp>nse_cm|855TCAPS27-N7</stp>
        <stp>% Change</stp>
        <tr r="J1003" s="1"/>
      </tp>
      <tp>
        <v>1025.55</v>
        <stp/>
        <stp>nse_cm|9SCL25-YM</stp>
        <stp>Ask Rate</stp>
        <tr r="F97" s="1"/>
      </tp>
      <tp>
        <v>0</v>
        <stp/>
        <stp>bse_cm|95CCIL24A</stp>
        <stp>Open</stp>
        <tr r="M873" s="1"/>
      </tp>
      <tp>
        <v>0</v>
        <stp/>
        <stp>nse_cm|865TCAPS27-N8</stp>
        <stp>% Change</stp>
        <tr r="J376" s="1"/>
      </tp>
      <tp>
        <v>0</v>
        <stp/>
        <stp>bse_cm|10KAFL26B</stp>
        <stp>Open</stp>
        <tr r="M1094" s="1"/>
      </tp>
      <tp>
        <v>0</v>
        <stp/>
        <stp>bse_cm|10KAFL26A</stp>
        <stp>Open</stp>
        <tr r="M1095" s="1"/>
      </tp>
      <tp t="s">
        <v>INE148I07TO0</v>
        <stp/>
        <stp>nse_cm|10SCL31A-ZO</stp>
        <stp>Isin code</stp>
        <tr r="R864" s="1"/>
      </tp>
      <tp t="s">
        <v>INE528S07110</v>
        <stp/>
        <stp>bse_cm|888ERFL28</stp>
        <stp>Isin code</stp>
        <tr r="R216" s="1"/>
      </tp>
      <tp t="s">
        <v>810MFL2028</v>
        <stp/>
        <stp>bse_cm|810MFL2028</stp>
        <stp>Trading Symbol</stp>
        <tr r="B651" s="1"/>
      </tp>
      <tp>
        <v>0</v>
        <stp/>
        <stp>bse_cm|965EFSL32</stp>
        <stp>Open</stp>
        <tr r="M141" s="1"/>
      </tp>
      <tp>
        <v>0</v>
        <stp/>
        <stp>bse_cm|970EFSL31</stp>
        <stp>Open</stp>
        <tr r="M220" s="1"/>
      </tp>
      <tp>
        <v>0</v>
        <stp/>
        <stp>bse_cm|953EFSL31</stp>
        <stp>Open</stp>
        <tr r="M191" s="1"/>
      </tp>
      <tp>
        <v>896</v>
        <stp/>
        <stp>bse_cm|930EFSL31</stp>
        <stp>Open</stp>
        <tr r="M65" s="1"/>
      </tp>
      <tp>
        <v>0</v>
        <stp/>
        <stp>bse_cm|995EFSL31</stp>
        <stp>Open</stp>
        <tr r="M192" s="1"/>
      </tp>
      <tp>
        <v>-100</v>
        <stp/>
        <stp>nse_cm|1075SCL33B-NW</stp>
        <stp>% Change</stp>
        <tr r="J889" s="1"/>
      </tp>
      <tp t="s">
        <v>INE583D07448</v>
        <stp/>
        <stp>bse_cm|1035UCL26</stp>
        <stp>Isin code</stp>
        <tr r="R1626" s="1"/>
      </tp>
      <tp t="s">
        <v>INE01HV07437</v>
        <stp/>
        <stp>bse_cm|1003VCL25</stp>
        <stp>Isin code</stp>
        <tr r="R151" s="1"/>
      </tp>
      <tp t="s">
        <v>INE148I07PN0</v>
        <stp/>
        <stp>bse_cm|1003SCL30</stp>
        <stp>Isin code</stp>
        <tr r="R877" s="1"/>
      </tp>
      <tp t="s">
        <v>INE148I07QV1</v>
        <stp/>
        <stp>bse_cm|1050SCL30</stp>
        <stp>Isin code</stp>
        <tr r="R867" s="1"/>
      </tp>
      <tp t="s">
        <v>INE01HV07445</v>
        <stp/>
        <stp>bse_cm|1050VCL25</stp>
        <stp>Isin code</stp>
        <tr r="R656" s="1"/>
      </tp>
      <tp>
        <v>0</v>
        <stp/>
        <stp>bse_cm|CIFCZC25A</stp>
        <stp>Open</stp>
        <tr r="M1728" s="1"/>
      </tp>
      <tp t="s">
        <v>101EFSL28</v>
        <stp/>
        <stp>bse_cm|101EFSL28</stp>
        <stp>Symbol</stp>
        <tr r="A211" s="1"/>
      </tp>
      <tp t="s">
        <v>990SCL26I</v>
        <stp/>
        <stp>nse_cm|990SCL26I-AV</stp>
        <stp>Symbol</stp>
        <tr r="A1368" s="1"/>
      </tp>
      <tp t="s">
        <v>105EFSL29</v>
        <stp/>
        <stp>bse_cm|105EFSL29</stp>
        <stp>Symbol</stp>
        <tr r="A1358" s="1"/>
      </tp>
      <tp t="s">
        <v>971SCL28I</v>
        <stp/>
        <stp>nse_cm|971SCL28I-BC</stp>
        <stp>Symbol</stp>
        <tr r="A531" s="1"/>
      </tp>
      <tp t="s">
        <v>948SCL26I</v>
        <stp/>
        <stp>nse_cm|948SCL26I-AX</stp>
        <stp>Symbol</stp>
        <tr r="A1708" s="1"/>
      </tp>
      <tp t="s">
        <v>INE148I07PF6</v>
        <stp/>
        <stp>bse_cm|SCL25B</stp>
        <stp>Isin code</stp>
        <tr r="R1544" s="1"/>
      </tp>
      <tp t="s">
        <v>925SCL28I</v>
        <stp/>
        <stp>nse_cm|925SCL28I-BA</stp>
        <stp>Symbol</stp>
        <tr r="A821" s="1"/>
      </tp>
      <tp t="s">
        <v>902SCL26I</v>
        <stp/>
        <stp>nse_cm|902SCL26I-AW</stp>
        <stp>Symbol</stp>
        <tr r="A1383" s="1"/>
      </tp>
      <tp>
        <v>1040</v>
        <stp/>
        <stp>bse_cm|800MMFSL27</stp>
        <stp>Ask Rate</stp>
        <tr r="F436" s="1"/>
      </tp>
      <tp>
        <v>815.95</v>
        <stp/>
        <stp>nse_cm|1075SCL33-YK</stp>
        <stp>Bid Rate</stp>
        <tr r="E707" s="1"/>
      </tp>
      <tp>
        <v>0</v>
        <stp/>
        <stp>nse_cm|925SCL28I-BA</stp>
        <stp xml:space="preserve">Low </stp>
        <tr r="O821" s="1"/>
      </tp>
      <tp>
        <v>0</v>
        <stp/>
        <stp>bse_cm|1045EFSL34</stp>
        <stp>Ask Rate</stp>
        <tr r="F1413" s="1"/>
      </tp>
      <tp>
        <v>1004.99</v>
        <stp/>
        <stp>bse_cm|1049EFSL34</stp>
        <stp>Ask Rate</stp>
        <tr r="F1584" s="1"/>
      </tp>
      <tp>
        <v>1002</v>
        <stp/>
        <stp>bse_cm|820JMFPL26</stp>
        <stp>Ask Rate</stp>
        <tr r="F349" s="1"/>
      </tp>
      <tp>
        <v>0</v>
        <stp/>
        <stp>bse_cm|1045EFSL33</stp>
        <stp>Ask Rate</stp>
        <tr r="F1382" s="1"/>
      </tp>
      <tp>
        <v>0</v>
        <stp/>
        <stp>bse_cm|853MMFSL26</stp>
        <stp>Ask Rate</stp>
        <tr r="F1005" s="1"/>
      </tp>
      <tp>
        <v>0</v>
        <stp/>
        <stp>bse_cm|1010EFSL32</stp>
        <stp>Ask Rate</stp>
        <tr r="F631" s="1"/>
      </tp>
      <tp>
        <v>0</v>
        <stp/>
        <stp>nse_cm|CIFC26-NK</stp>
        <stp>ATP</stp>
        <tr r="K741" s="1"/>
      </tp>
      <tp>
        <v>0</v>
        <stp/>
        <stp>nse_cm|CIFC28-NB</stp>
        <stp>ATP</stp>
        <tr r="K1618" s="1"/>
      </tp>
      <tp>
        <v>1026.75</v>
        <stp/>
        <stp>bse_cm|872MMFSL26</stp>
        <stp>Ask Rate</stp>
        <tr r="F406" s="1"/>
      </tp>
      <tp>
        <v>1052.8</v>
        <stp/>
        <stp>nse_cm|825IIFL25-N7</stp>
        <stp>Prev Close</stp>
        <tr r="P49" s="1"/>
      </tp>
      <tp>
        <v>1000</v>
        <stp/>
        <stp>nse_cm|848NTPC28-N2</stp>
        <stp>Face Value</stp>
        <tr r="Q1405" s="1"/>
      </tp>
      <tp>
        <v>945.75</v>
        <stp/>
        <stp>nse_cm|965SCL25E-BF</stp>
        <stp xml:space="preserve">Low </stp>
        <tr r="O413" s="1"/>
      </tp>
      <tp>
        <v>999.9</v>
        <stp/>
        <stp>bse_cm|1049DLSL25</stp>
        <stp>Ask Rate</stp>
        <tr r="F84" s="1"/>
      </tp>
      <tp>
        <v>995</v>
        <stp/>
        <stp>nse_cm|950SCL23A-AP</stp>
        <stp>High</stp>
        <tr r="N1145" s="1"/>
      </tp>
      <tp>
        <v>0</v>
        <stp/>
        <stp>nse_cm|940SCL26C-AU</stp>
        <stp>High</stp>
        <tr r="N793" s="1"/>
      </tp>
      <tp>
        <v>1163.3</v>
        <stp/>
        <stp>nse_cm|760PFCL35-N3</stp>
        <stp>Prev Close</stp>
        <tr r="P22" s="1"/>
      </tp>
      <tp>
        <v>1030</v>
        <stp/>
        <stp>nse_cm|ABFL28-N3</stp>
        <stp>ATP</stp>
        <tr r="K1063" s="1"/>
      </tp>
      <tp>
        <v>0</v>
        <stp/>
        <stp>nse_cm|ABFL26-N1</stp>
        <stp>ATP</stp>
        <tr r="K1679" s="1"/>
      </tp>
      <tp>
        <v>0</v>
        <stp/>
        <stp>nse_cm|925SCL25F-BD</stp>
        <stp xml:space="preserve">Low </stp>
        <tr r="O718" s="1"/>
      </tp>
      <tp>
        <v>1000</v>
        <stp/>
        <stp>nse_cm|873NTPC28-N5</stp>
        <stp>Face Value</stp>
        <tr r="Q541" s="1"/>
      </tp>
      <tp>
        <v>0</v>
        <stp/>
        <stp>bse_cm|925KLMAF25</stp>
        <stp>Ask Rate</stp>
        <tr r="F612" s="1"/>
      </tp>
      <tp>
        <v>865</v>
        <stp/>
        <stp>nse_cm|990SCL26I-AV</stp>
        <stp>High</stp>
        <tr r="N1368" s="1"/>
      </tp>
      <tp>
        <v>1221</v>
        <stp/>
        <stp>nse_cm|735PFCL35-N1</stp>
        <stp>Prev Close</stp>
        <tr r="P26" s="1"/>
      </tp>
      <tp>
        <v>0</v>
        <stp/>
        <stp>bse_cm|950KLMAF25</stp>
        <stp>Ask Rate</stp>
        <tr r="F1149" s="1"/>
      </tp>
      <tp>
        <v>0</v>
        <stp/>
        <stp>bse_cm|975KLMAF26</stp>
        <stp>Ask Rate</stp>
        <tr r="F857" s="1"/>
      </tp>
      <tp>
        <v>965.1</v>
        <stp/>
        <stp>bse_cm|975MVAFL25</stp>
        <stp>Bid Rate</stp>
        <tr r="E458" s="1"/>
      </tp>
      <tp t="s">
        <v>BSE</v>
        <stp/>
        <stp>bse_cm|840CIFCL28</stp>
        <stp>Exchange</stp>
        <tr r="C419" s="1"/>
      </tp>
      <tp>
        <v>1025.1300000000001</v>
        <stp/>
        <stp>nse_cm|925SCL28C-BS</stp>
        <stp xml:space="preserve">Low </stp>
        <tr r="O823" s="1"/>
      </tp>
      <tp>
        <v>0</v>
        <stp/>
        <stp>nse_cm|945IFSL25-N4</stp>
        <stp>ATP</stp>
        <tr r="K453" s="1"/>
      </tp>
      <tp t="s">
        <v>NSE</v>
        <stp/>
        <stp>nse_cm|891NTPC33-N6</stp>
        <stp>Exchange</stp>
        <tr r="C535" s="1"/>
      </tp>
      <tp>
        <v>0</v>
        <stp/>
        <stp>nse_cm|965SCL28C-BR</stp>
        <stp xml:space="preserve">Low </stp>
        <tr r="O817" s="1"/>
      </tp>
      <tp t="s">
        <v>BSE</v>
        <stp/>
        <stp>bse_cm|860CIFCL28</stp>
        <stp>Exchange</stp>
        <tr r="C1431" s="1"/>
      </tp>
      <tp>
        <v>0</v>
        <stp/>
        <stp>nse_cm|879NHPC28-N5</stp>
        <stp>ATP</stp>
        <tr r="K464" s="1"/>
      </tp>
      <tp t="s">
        <v>BSE</v>
        <stp/>
        <stp>bse_cm|775MFLTD25</stp>
        <stp>Exchange</stp>
        <tr r="C649" s="1"/>
      </tp>
      <tp t="s">
        <v>BSE</v>
        <stp/>
        <stp>bse_cm|775MFL2025</stp>
        <stp>Exchange</stp>
        <tr r="C336" s="1"/>
      </tp>
      <tp>
        <v>840</v>
        <stp/>
        <stp>nse_cm|990SCL26D-AH</stp>
        <stp>High</stp>
        <tr r="N1556" s="1"/>
      </tp>
      <tp>
        <v>0</v>
        <stp/>
        <stp>nse_cm|971SCL28B-YD</stp>
        <stp>Open</stp>
        <tr r="M828" s="1"/>
      </tp>
      <tp t="s">
        <v>BSE</v>
        <stp/>
        <stp>bse_cm|785MFL2028</stp>
        <stp>Exchange</stp>
        <tr r="C357" s="1"/>
      </tp>
      <tp>
        <v>0</v>
        <stp/>
        <stp>nse_cm|980SCL33B-YL</stp>
        <stp>Open</stp>
        <tr r="M837" s="1"/>
      </tp>
      <tp t="s">
        <v>BSE</v>
        <stp/>
        <stp>bse_cm|775MFLTD26</stp>
        <stp>Exchange</stp>
        <tr r="C652" s="1"/>
      </tp>
      <tp t="s">
        <v>BSE</v>
        <stp/>
        <stp>bse_cm|775MFL2026</stp>
        <stp>Exchange</stp>
        <tr r="C240" s="1"/>
      </tp>
      <tp>
        <v>965.78</v>
        <stp/>
        <stp>nse_cm|920SCL23A-AO</stp>
        <stp>High</stp>
        <tr r="N1113" s="1"/>
      </tp>
      <tp>
        <v>0</v>
        <stp/>
        <stp>nse_cm|902SCL27A-ZI</stp>
        <stp>Open</stp>
        <tr r="M1353" s="1"/>
      </tp>
      <tp t="s">
        <v>BSE</v>
        <stp/>
        <stp>bse_cm|775MFLTD28</stp>
        <stp>Exchange</stp>
        <tr r="C1192" s="1"/>
      </tp>
      <tp>
        <v>0</v>
        <stp/>
        <stp>nse_cm|873NTPC28-N5</stp>
        <stp>ATP</stp>
        <tr r="K541" s="1"/>
      </tp>
      <tp>
        <v>190</v>
        <stp/>
        <stp>bse_cm|NWFLZC25</stp>
        <stp>Bid Qty</stp>
        <tr r="D1758" s="1"/>
      </tp>
      <tp>
        <v>1000</v>
        <stp/>
        <stp>nse_cm|764IRFC31-NO</stp>
        <stp>Face Value</stp>
        <tr r="Q468" s="1"/>
      </tp>
      <tp>
        <v>0</v>
        <stp/>
        <stp>nse_cm|980SCL33D-YG</stp>
        <stp>Open</stp>
        <tr r="M830" s="1"/>
      </tp>
      <tp t="s">
        <v>BSE</v>
        <stp/>
        <stp>bse_cm|850CIFCL26</stp>
        <stp>Exchange</stp>
        <tr r="C1164" s="1"/>
      </tp>
      <tp>
        <v>979</v>
        <stp/>
        <stp>bse_cm|967EFSL28D</stp>
        <stp>Ask Rate</stp>
        <tr r="F168" s="1"/>
      </tp>
      <tp>
        <v>0</v>
        <stp/>
        <stp>nse_cm|925SFCL25-AC</stp>
        <stp>Ask Rate</stp>
        <tr r="F604" s="1"/>
      </tp>
      <tp>
        <v>1035</v>
        <stp/>
        <stp>nse_cm|957ICCL25-YW</stp>
        <stp>Bid Rate</stp>
        <tr r="E386" s="1"/>
      </tp>
      <tp>
        <v>0</v>
        <stp/>
        <stp>nse_cm|965SCFL25-AB</stp>
        <stp>Ask Rate</stp>
        <tr r="F664" s="1"/>
      </tp>
      <tp t="s">
        <v>957SCL31</v>
        <stp/>
        <stp>nse_cm|957SCL31-Z3</stp>
        <stp>Symbol</stp>
        <tr r="A874" s="1"/>
      </tp>
      <tp>
        <v>0</v>
        <stp/>
        <stp>nse_cm|925SCFL25-AD</stp>
        <stp>Ask Rate</stp>
        <tr r="F773" s="1"/>
      </tp>
      <tp>
        <v>0</v>
        <stp/>
        <stp>bse_cm|9EFSL25</stp>
        <stp>Open</stp>
        <tr r="M606" s="1"/>
      </tp>
      <tp>
        <v>961</v>
        <stp/>
        <stp>bse_cm|967EFSL28A</stp>
        <stp>Ask Rate</stp>
        <tr r="F172" s="1"/>
      </tp>
      <tp>
        <v>1000</v>
        <stp/>
        <stp>nse_cm|8ABFL26-N0</stp>
        <stp xml:space="preserve">Low </stp>
        <tr r="O358" s="1"/>
      </tp>
      <tp>
        <v>987.57</v>
        <stp/>
        <stp>bse_cm|9EFSL26</stp>
        <stp>Open</stp>
        <tr r="M581" s="1"/>
      </tp>
      <tp t="s">
        <v>BSE</v>
        <stp/>
        <stp>bse_cm|EFSL26724A</stp>
        <stp>Exchange</stp>
        <tr r="C1468" s="1"/>
      </tp>
      <tp>
        <v>0</v>
        <stp/>
        <stp>bse_cm|9SFL25A</stp>
        <stp>ATP</stp>
        <tr r="K441" s="1"/>
      </tp>
      <tp>
        <v>0</v>
        <stp/>
        <stp>bse_cm|9SCL26B</stp>
        <stp>ATP</stp>
        <tr r="K1135" s="1"/>
      </tp>
      <tp>
        <v>0</v>
        <stp/>
        <stp>bse_cm|9SFL26A</stp>
        <stp>ATP</stp>
        <tr r="K1065" s="1"/>
      </tp>
      <tp>
        <v>0</v>
        <stp/>
        <stp>bse_cm|9MFL27A</stp>
        <stp>ATP</stp>
        <tr r="K257" s="1"/>
      </tp>
      <tp>
        <v>1025</v>
        <stp/>
        <stp>bse_cm|975MFCL28E</stp>
        <stp>Ask Rate</stp>
        <tr r="F303" s="1"/>
      </tp>
      <tp>
        <v>1044</v>
        <stp/>
        <stp>bse_cm|875IIFL26A</stp>
        <stp>Ask Rate</stp>
        <tr r="F232" s="1"/>
      </tp>
      <tp>
        <v>0</v>
        <stp/>
        <stp>bse_cm|9MFL25A</stp>
        <stp>ATP</stp>
        <tr r="K702" s="1"/>
      </tp>
      <tp t="s">
        <v>00:00:00</v>
        <stp/>
        <stp>bse_cm|915MMFS24</stp>
        <stp>LTT</stp>
        <tr r="I1752" s="1"/>
      </tp>
      <tp t="s">
        <v>00:00:00</v>
        <stp/>
        <stp>bse_cm|825MMFS27</stp>
        <stp>LTT</stp>
        <tr r="I1381" s="1"/>
      </tp>
      <tp>
        <v>0</v>
        <stp/>
        <stp>bse_cm|915MMFS24</stp>
        <stp>LTP</stp>
        <tr r="H1752" s="1"/>
      </tp>
      <tp>
        <v>0</v>
        <stp/>
        <stp>bse_cm|825MMFS27</stp>
        <stp>LTP</stp>
        <tr r="H1381" s="1"/>
      </tp>
      <tp>
        <v>0</v>
        <stp/>
        <stp>bse_cm|805MMFS32</stp>
        <stp>LTP</stp>
        <tr r="H1763" s="1"/>
      </tp>
      <tp t="s">
        <v>00:00:00</v>
        <stp/>
        <stp>bse_cm|805MMFS32</stp>
        <stp>LTT</stp>
        <tr r="I1763" s="1"/>
      </tp>
      <tp>
        <v>1040</v>
        <stp/>
        <stp>bse_cm|AEL120924A</stp>
        <stp>Ask Rate</stp>
        <tr r="F1524" s="1"/>
      </tp>
      <tp>
        <v>979.99</v>
        <stp/>
        <stp>bse_cm|1045EFS33B</stp>
        <stp>Ask Rate</stp>
        <tr r="F117" s="1"/>
      </tp>
      <tp>
        <v>1195</v>
        <stp/>
        <stp>bse_cm|AEL120924B</stp>
        <stp>Ask Rate</stp>
        <tr r="F1641" s="1"/>
      </tp>
      <tp>
        <v>979.98</v>
        <stp/>
        <stp>bse_cm|1045EFS33A</stp>
        <stp>Ask Rate</stp>
        <tr r="F95" s="1"/>
      </tp>
      <tp>
        <v>0</v>
        <stp/>
        <stp>bse_cm|9KFL26A</stp>
        <stp>ATP</stp>
        <tr r="K1083" s="1"/>
      </tp>
      <tp>
        <v>0</v>
        <stp/>
        <stp>bse_cm|9KFL26B</stp>
        <stp>ATP</stp>
        <tr r="K667" s="1"/>
      </tp>
      <tp>
        <v>-100</v>
        <stp/>
        <stp>bse_cm|87SCL27A</stp>
        <stp>% Change</stp>
        <tr r="J644" s="1"/>
      </tp>
      <tp>
        <v>989</v>
        <stp/>
        <stp>nse_cm|85IFL26-NX</stp>
        <stp xml:space="preserve">Low </stp>
        <tr r="O1388" s="1"/>
      </tp>
      <tp>
        <v>1165.54</v>
        <stp/>
        <stp>nse_cm|865IRFC29-NA</stp>
        <stp>Ask Rate</stp>
        <tr r="F491" s="1"/>
      </tp>
      <tp>
        <v>0</v>
        <stp/>
        <stp>bse_cm|NIDO26</stp>
        <stp>Volume Traded Today</stp>
        <tr r="L1244" s="1"/>
      </tp>
      <tp>
        <v>0</v>
        <stp/>
        <stp>bse_cm|NIDO27</stp>
        <stp>Volume Traded Today</stp>
        <tr r="L1661" s="1"/>
      </tp>
      <tp>
        <v>0</v>
        <stp/>
        <stp>bse_cm|NIDO25</stp>
        <stp>Volume Traded Today</stp>
        <tr r="L1726" s="1"/>
      </tp>
      <tp>
        <v>0</v>
        <stp/>
        <stp>bse_cm|NIDO28</stp>
        <stp>Volume Traded Today</stp>
        <tr r="L1243" s="1"/>
      </tp>
      <tp>
        <v>-100</v>
        <stp/>
        <stp>nse_cm|1025SCL33A-N1</stp>
        <stp>% Change</stp>
        <tr r="J834" s="1"/>
      </tp>
      <tp>
        <v>0</v>
        <stp/>
        <stp>nse_cm|1075SCL33A-N2</stp>
        <stp>% Change</stp>
        <tr r="J630" s="1"/>
      </tp>
      <tp t="s">
        <v>INE530B07286</v>
        <stp/>
        <stp>bse_cm|IIFLZC26A</stp>
        <stp>Isin code</stp>
        <tr r="R1674" s="1"/>
      </tp>
      <tp t="s">
        <v>INE530B07302</v>
        <stp/>
        <stp>bse_cm|IIFLZC25A</stp>
        <stp>Isin code</stp>
        <tr r="R1737" s="1"/>
      </tp>
      <tp t="s">
        <v>INE530B07278</v>
        <stp/>
        <stp>bse_cm|IIFLZC28A</stp>
        <stp>Isin code</stp>
        <tr r="R1628" s="1"/>
      </tp>
      <tp t="s">
        <v>0MOFSL26</v>
        <stp/>
        <stp>bse_cm|0MOFSL26</stp>
        <stp>Trading Symbol</stp>
        <tr r="B1645" s="1"/>
      </tp>
      <tp t="s">
        <v>0MOFSL27</v>
        <stp/>
        <stp>bse_cm|0MOFSL27</stp>
        <stp>Trading Symbol</stp>
        <tr r="B1039" s="1"/>
      </tp>
      <tp t="s">
        <v>905SC24-ZB</v>
        <stp/>
        <stp>nse_cm|905SC24-ZB</stp>
        <stp>Trading Symbol</stp>
        <tr r="B1374" s="1"/>
      </tp>
      <tp>
        <v>1021.03</v>
        <stp/>
        <stp>nse_cm|CIFC26-NK</stp>
        <stp>Bid Rate</stp>
        <tr r="E741" s="1"/>
      </tp>
      <tp t="s">
        <v>INE583D07414</v>
        <stp/>
        <stp>bse_cm|1025UCL25</stp>
        <stp>Isin code</stp>
        <tr r="R326" s="1"/>
      </tp>
      <tp t="s">
        <v>INE148I07RV9</v>
        <stp/>
        <stp>bse_cm|1025SCL33</stp>
        <stp>Isin code</stp>
        <tr r="R879" s="1"/>
      </tp>
      <tp t="s">
        <v>INE583D07430</v>
        <stp/>
        <stp>bse_cm|1075UCL25</stp>
        <stp>Isin code</stp>
        <tr r="R515" s="1"/>
      </tp>
      <tp t="s">
        <v>INE148I07RW7</v>
        <stp/>
        <stp>bse_cm|1075SCL33</stp>
        <stp>Isin code</stp>
        <tr r="R881" s="1"/>
      </tp>
      <tp t="s">
        <v>INE583D07315</v>
        <stp/>
        <stp>bse_cm|1050UCL25</stp>
        <stp>Isin code</stp>
        <tr r="R417" s="1"/>
      </tp>
      <tp t="s">
        <v>INE583D07265</v>
        <stp/>
        <stp>bse_cm|1040UCL25</stp>
        <stp>Isin code</stp>
        <tr r="R1612" s="1"/>
      </tp>
      <tp>
        <v>1002.2</v>
        <stp/>
        <stp>nse_cm|CIFC28-NB</stp>
        <stp>Bid Rate</stp>
        <tr r="E1618" s="1"/>
      </tp>
      <tp t="s">
        <v>0MML29</v>
        <stp/>
        <stp>bse_cm|0MML29</stp>
        <stp>Symbol</stp>
        <tr r="A1041" s="1"/>
      </tp>
      <tp t="s">
        <v>0MML27</v>
        <stp/>
        <stp>bse_cm|0MML27</stp>
        <stp>Symbol</stp>
        <tr r="A1043" s="1"/>
      </tp>
      <tp t="s">
        <v>9IML25</v>
        <stp/>
        <stp>bse_cm|9IML25</stp>
        <stp>Symbol</stp>
        <tr r="A588" s="1"/>
      </tp>
      <tp>
        <v>0</v>
        <stp/>
        <stp>bse_cm|8MFL26</stp>
        <stp>Volume Traded Today</stp>
        <tr r="L654" s="1"/>
      </tp>
      <tp>
        <v>0</v>
        <stp/>
        <stp>bse_cm|9MFL30</stp>
        <stp>Volume Traded Today</stp>
        <tr r="L244" s="1"/>
      </tp>
      <tp>
        <v>0</v>
        <stp/>
        <stp>bse_cm|CIFCZC26A</stp>
        <stp>Open</stp>
        <tr r="M737" s="1"/>
      </tp>
      <tp>
        <v>5</v>
        <stp/>
        <stp>bse_cm|9MFL27</stp>
        <stp>Volume Traded Today</stp>
        <tr r="L195" s="1"/>
      </tp>
      <tp>
        <v>0</v>
        <stp/>
        <stp>bse_cm|9MFL25</stp>
        <stp>Volume Traded Today</stp>
        <tr r="L1082" s="1"/>
      </tp>
      <tp>
        <v>0</v>
        <stp/>
        <stp>bse_cm|9KFL26</stp>
        <stp>Volume Traded Today</stp>
        <tr r="L1084" s="1"/>
      </tp>
      <tp>
        <v>1</v>
        <stp/>
        <stp>bse_cm|9IML25</stp>
        <stp>Volume Traded Today</stp>
        <tr r="L588" s="1"/>
      </tp>
      <tp>
        <v>0</v>
        <stp/>
        <stp>bse_cm|9SCL25</stp>
        <stp>Volume Traded Today</stp>
        <tr r="L653" s="1"/>
      </tp>
      <tp>
        <v>0</v>
        <stp/>
        <stp>bse_cm|9SFL25</stp>
        <stp>Volume Traded Today</stp>
        <tr r="L340" s="1"/>
      </tp>
      <tp>
        <v>0</v>
        <stp/>
        <stp>bse_cm|9SFL26</stp>
        <stp>Volume Traded Today</stp>
        <tr r="L1066" s="1"/>
      </tp>
      <tp>
        <v>0</v>
        <stp/>
        <stp>bse_cm|9PEL25</stp>
        <stp>Volume Traded Today</stp>
        <tr r="L315" s="1"/>
      </tp>
      <tp t="s">
        <v>930EFSL31</v>
        <stp/>
        <stp>bse_cm|930EFSL31</stp>
        <stp>Symbol</stp>
        <tr r="A65" s="1"/>
      </tp>
      <tp t="s">
        <v>9MMFSML-N2</v>
        <stp/>
        <stp>nse_cm|9MMFSML-N2</stp>
        <stp>Trading Symbol</stp>
        <tr r="B339" s="1"/>
      </tp>
      <tp t="s">
        <v>935EFSL27</v>
        <stp/>
        <stp>bse_cm|935EFSL27</stp>
        <stp>Symbol</stp>
        <tr r="A157" s="1"/>
      </tp>
      <tp>
        <v>0</v>
        <stp/>
        <stp>bse_cm|0MML27</stp>
        <stp>Volume Traded Today</stp>
        <tr r="L1043" s="1"/>
      </tp>
      <tp>
        <v>0</v>
        <stp/>
        <stp>bse_cm|0KFL25</stp>
        <stp>Volume Traded Today</stp>
        <tr r="L1604" s="1"/>
      </tp>
      <tp>
        <v>0</v>
        <stp/>
        <stp>bse_cm|0KFL26</stp>
        <stp>Volume Traded Today</stp>
        <tr r="L1047" s="1"/>
      </tp>
      <tp>
        <v>0</v>
        <stp/>
        <stp>bse_cm|0KFL27</stp>
        <stp>Volume Traded Today</stp>
        <tr r="L1046" s="1"/>
      </tp>
      <tp>
        <v>0</v>
        <stp/>
        <stp>bse_cm|0KFL28</stp>
        <stp>Volume Traded Today</stp>
        <tr r="L1045" s="1"/>
      </tp>
      <tp>
        <v>0</v>
        <stp/>
        <stp>bse_cm|0MML29</stp>
        <stp>Volume Traded Today</stp>
        <tr r="L1041" s="1"/>
      </tp>
      <tp>
        <v>0</v>
        <stp/>
        <stp>bse_cm|0SCL26</stp>
        <stp>Volume Traded Today</stp>
        <tr r="L1359" s="1"/>
      </tp>
      <tp>
        <v>0</v>
        <stp/>
        <stp>bse_cm|0SFL26</stp>
        <stp>Volume Traded Today</stp>
        <tr r="L703" s="1"/>
      </tp>
      <tp>
        <v>0</v>
        <stp/>
        <stp>bse_cm|0SCL27</stp>
        <stp>Volume Traded Today</stp>
        <tr r="L721" s="1"/>
      </tp>
      <tp>
        <v>0</v>
        <stp/>
        <stp>bse_cm|0KFL31</stp>
        <stp>Volume Traded Today</stp>
        <tr r="L1044" s="1"/>
      </tp>
      <tp>
        <v>0</v>
        <stp/>
        <stp>bse_cm|0SFL31</stp>
        <stp>Volume Traded Today</stp>
        <tr r="L1032" s="1"/>
      </tp>
      <tp t="s">
        <v>939EFSL26</v>
        <stp/>
        <stp>bse_cm|939EFSL26</stp>
        <stp>Symbol</stp>
        <tr r="A188" s="1"/>
      </tp>
      <tp t="s">
        <v>00:00:00</v>
        <stp/>
        <stp>bse_cm|MFLI25</stp>
        <stp>LTT</stp>
        <tr r="I447" s="1"/>
      </tp>
      <tp>
        <v>0</v>
        <stp/>
        <stp>bse_cm|MFLI25</stp>
        <stp>LTP</stp>
        <tr r="H447" s="1"/>
      </tp>
      <tp t="s">
        <v>INE148I07PE9</v>
        <stp/>
        <stp>bse_cm|SCL25A</stp>
        <stp>Isin code</stp>
        <tr r="R1238" s="1"/>
      </tp>
      <tp t="s">
        <v>INE148I07NK1</v>
        <stp/>
        <stp>bse_cm|SCL24A</stp>
        <stp>Isin code</stp>
        <tr r="R1749" s="1"/>
      </tp>
      <tp t="s">
        <v>INE403Q07DS7</v>
        <stp/>
        <stp>bse_cm|KFL28D</stp>
        <stp>Isin code</stp>
        <tr r="R1299" s="1"/>
      </tp>
      <tp t="s">
        <v>INE549K07CZ7</v>
        <stp/>
        <stp>bse_cm|MFL28D</stp>
        <stp>Isin code</stp>
        <tr r="R1276" s="1"/>
      </tp>
      <tp t="s">
        <v>INE549K07BR6</v>
        <stp/>
        <stp>bse_cm|MFL25D</stp>
        <stp>Isin code</stp>
        <tr r="R1705" s="1"/>
      </tp>
      <tp t="s">
        <v>INE549K07CY0</v>
        <stp/>
        <stp>bse_cm|MFL26D</stp>
        <stp>Isin code</stp>
        <tr r="R1279" s="1"/>
      </tp>
      <tp t="s">
        <v>INE403Q07DO6</v>
        <stp/>
        <stp>bse_cm|KFL25D</stp>
        <stp>Isin code</stp>
        <tr r="R1688" s="1"/>
      </tp>
      <tp t="s">
        <v>9SCL26B-ND</v>
        <stp/>
        <stp>nse_cm|9SCL26B-ND</stp>
        <stp>Trading Symbol</stp>
        <tr r="B994" s="1"/>
      </tp>
      <tp>
        <v>57</v>
        <stp/>
        <stp>bse_cm|NWFLZC25</stp>
        <stp>Ask Qty</stp>
        <tr r="G1758" s="1"/>
      </tp>
      <tp>
        <v>1061.73</v>
        <stp/>
        <stp>nse_cm|1090NFL26-NB</stp>
        <stp>Ask Rate</stp>
        <tr r="F636" s="1"/>
      </tp>
      <tp>
        <v>1070</v>
        <stp/>
        <stp>nse_cm|TCHF30-NB</stp>
        <stp>LTP</stp>
        <tr r="H408" s="1"/>
      </tp>
      <tp t="s">
        <v/>
        <stp/>
        <stp>nse_cm|TCHF30-NB</stp>
        <stp>LTT</stp>
        <tr r="I408" s="1"/>
      </tp>
      <tp>
        <v>1499.9</v>
        <stp/>
        <stp>bse_cm|704NABAR26</stp>
        <stp>Ask Rate</stp>
        <tr r="F1702" s="1"/>
      </tp>
      <tp>
        <v>1087.96</v>
        <stp/>
        <stp>bse_cm|729NABAR26</stp>
        <stp>Ask Rate</stp>
        <tr r="F540" s="1"/>
      </tp>
      <tp>
        <v>1015.01</v>
        <stp/>
        <stp>nse_cm|830CIFC26-N2</stp>
        <stp>Prev Close</stp>
        <tr r="P1625" s="1"/>
      </tp>
      <tp>
        <v>986</v>
        <stp/>
        <stp>nse_cm|AEL120924-N2</stp>
        <stp>Prev Close</stp>
        <tr r="P1673" s="1"/>
      </tp>
      <tp>
        <v>0</v>
        <stp/>
        <stp>nse_cm|9PEL25-N0</stp>
        <stp>ATP</stp>
        <tr r="K341" s="1"/>
      </tp>
      <tp>
        <v>979</v>
        <stp/>
        <stp>nse_cm|875IIFL26-NM</stp>
        <stp>Prev Close</stp>
        <tr r="P640" s="1"/>
      </tp>
      <tp>
        <v>1044</v>
        <stp/>
        <stp>bse_cm|935MOFSL29</stp>
        <stp>Ask Rate</stp>
        <tr r="F1602" s="1"/>
      </tp>
      <tp>
        <v>958.36</v>
        <stp/>
        <stp>nse_cm|842IIFL26-NL</stp>
        <stp>Prev Close</stp>
        <tr r="P145" s="1"/>
      </tp>
      <tp>
        <v>1500</v>
        <stp/>
        <stp>nse_cm|866NTPC33-N3</stp>
        <stp>Ask Rate</stp>
        <tr r="F555" s="1"/>
      </tp>
      <tp>
        <v>0</v>
        <stp/>
        <stp>nse_cm|950IIFL27-Y2</stp>
        <stp>Prev Close</stp>
        <tr r="P995" s="1"/>
      </tp>
      <tp t="s">
        <v>BSE</v>
        <stp/>
        <stp>bse_cm|1150CCIL28</stp>
        <stp>Exchange</stp>
        <tr r="C460" s="1"/>
      </tp>
      <tp t="s">
        <v>BSE</v>
        <stp/>
        <stp>bse_cm|105UCL2026</stp>
        <stp>Exchange</stp>
        <tr r="C319" s="1"/>
      </tp>
      <tp>
        <v>0</v>
        <stp/>
        <stp>bse_cm|CAGL25A</stp>
        <stp>Open</stp>
        <tr r="M1701" s="1"/>
      </tp>
      <tp t="s">
        <v>NSE</v>
        <stp/>
        <stp>nse_cm|892NHPC33-N6</stp>
        <stp>Exchange</stp>
        <tr r="C534" s="1"/>
      </tp>
      <tp t="s">
        <v>BSE</v>
        <stp/>
        <stp>bse_cm|1150CCIL29</stp>
        <stp>Exchange</stp>
        <tr r="C424" s="1"/>
      </tp>
      <tp t="s">
        <v>BSE</v>
        <stp/>
        <stp>bse_cm|115ICLFL25</stp>
        <stp>Exchange</stp>
        <tr r="C1223" s="1"/>
      </tp>
      <tp>
        <v>0</v>
        <stp/>
        <stp>nse_cm|848NTPC28-N2</stp>
        <stp>ATP</stp>
        <tr r="K1405" s="1"/>
      </tp>
      <tp>
        <v>5.21</v>
        <stp/>
        <stp>nse_cm|849NTPC25-N7</stp>
        <stp>ATP</stp>
        <tr r="K302" s="1"/>
      </tp>
      <tp>
        <v>0</v>
        <stp/>
        <stp>bse_cm|910TCAP28</stp>
        <stp>Volume Traded Today</stp>
        <tr r="L409" s="1"/>
      </tp>
      <tp t="s">
        <v/>
        <stp/>
        <stp>nse_cm|892NHPC33-N6</stp>
        <stp>LTT</stp>
        <tr r="I534" s="1"/>
      </tp>
      <tp>
        <v>1298</v>
        <stp/>
        <stp>nse_cm|892NHPC33-N6</stp>
        <stp>LTP</stp>
        <tr r="H534" s="1"/>
      </tp>
      <tp>
        <v>0</v>
        <stp/>
        <stp>bse_cm|0MML29A</stp>
        <stp>Open</stp>
        <tr r="M1040" s="1"/>
      </tp>
      <tp>
        <v>817</v>
        <stp/>
        <stp>nse_cm|1075SCL34-ZR</stp>
        <stp>Bid Rate</stp>
        <tr r="E1366" s="1"/>
      </tp>
      <tp>
        <v>0</v>
        <stp/>
        <stp>bse_cm|KFLZC2A</stp>
        <stp>Open</stp>
        <tr r="M1760" s="1"/>
      </tp>
      <tp t="s">
        <v>BSE</v>
        <stp/>
        <stp>bse_cm|10SMCGSL26</stp>
        <stp>Exchange</stp>
        <tr r="C138" s="1"/>
      </tp>
      <tp t="s">
        <v>09:40:23</v>
        <stp/>
        <stp>nse_cm|891NTPC33-N6</stp>
        <stp>LTT</stp>
        <tr r="I535" s="1"/>
      </tp>
      <tp>
        <v>1369.9</v>
        <stp/>
        <stp>nse_cm|891NTPC33-N6</stp>
        <stp>LTP</stp>
        <tr r="H535" s="1"/>
      </tp>
      <tp t="s">
        <v>BSE</v>
        <stp/>
        <stp>bse_cm|125ICLFL28</stp>
        <stp>Exchange</stp>
        <tr r="C264" s="1"/>
      </tp>
      <tp t="s">
        <v>BSE</v>
        <stp/>
        <stp>bse_cm|1075CCIL25</stp>
        <stp>Exchange</stp>
        <tr r="C1121" s="1"/>
      </tp>
      <tp t="s">
        <v>BSE</v>
        <stp/>
        <stp>bse_cm|1050CCIL25</stp>
        <stp>Exchange</stp>
        <tr r="C2" s="1"/>
      </tp>
      <tp t="s">
        <v>BSE</v>
        <stp/>
        <stp>bse_cm|CCIL110324</stp>
        <stp>Exchange</stp>
        <tr r="C754" s="1"/>
      </tp>
      <tp>
        <v>983</v>
        <stp/>
        <stp>nse_cm|925SCL25C-AR</stp>
        <stp xml:space="preserve">Low </stp>
        <tr r="O249" s="1"/>
      </tp>
      <tp>
        <v>0</v>
        <stp/>
        <stp>nse_cm|971SCL29A-ZN</stp>
        <stp>Open</stp>
        <tr r="M861" s="1"/>
      </tp>
      <tp t="s">
        <v>BSE</v>
        <stp/>
        <stp>bse_cm|1075CCIL26</stp>
        <stp>Exchange</stp>
        <tr r="C1120" s="1"/>
      </tp>
      <tp>
        <v>0</v>
        <stp/>
        <stp>bse_cm|KFLZC28</stp>
        <stp>Open</stp>
        <tr r="M1290" s="1"/>
      </tp>
      <tp>
        <v>0</v>
        <stp/>
        <stp>bse_cm|KFLZC29</stp>
        <stp>Open</stp>
        <tr r="M1639" s="1"/>
      </tp>
      <tp t="s">
        <v>862REC33</v>
        <stp/>
        <stp>nse_cm|862REC33-NA</stp>
        <stp>Symbol</stp>
        <tr r="A563" s="1"/>
      </tp>
      <tp t="s">
        <v>801TCH25</v>
        <stp/>
        <stp>nse_cm|801TCH25-N4</stp>
        <stp>Symbol</stp>
        <tr r="A493" s="1"/>
      </tp>
      <tp t="s">
        <v>BSE</v>
        <stp/>
        <stp>bse_cm|1049DLS25A</stp>
        <stp>Exchange</stp>
        <tr r="C119" s="1"/>
      </tp>
      <tp>
        <v>0</v>
        <stp/>
        <stp>nse_cm|97MOFSL34-N7</stp>
        <stp>ATP</stp>
        <tr r="K1599" s="1"/>
      </tp>
      <tp t="s">
        <v>792TCH25</v>
        <stp/>
        <stp>nse_cm|792TCH25-N3</stp>
        <stp>Symbol</stp>
        <tr r="A1187" s="1"/>
      </tp>
      <tp>
        <v>1285.8</v>
        <stp/>
        <stp>bse_cm|MFLVI26</stp>
        <stp>Open</stp>
        <tr r="M1719" s="1"/>
      </tp>
      <tp>
        <v>0</v>
        <stp/>
        <stp>bse_cm|SFLZC26</stp>
        <stp>Open</stp>
        <tr r="M801" s="1"/>
      </tp>
      <tp>
        <v>0</v>
        <stp/>
        <stp>bse_cm|MFLZC26</stp>
        <stp>Open</stp>
        <tr r="M1720" s="1"/>
      </tp>
      <tp>
        <v>0</v>
        <stp/>
        <stp>bse_cm|KFLZC26</stp>
        <stp>Open</stp>
        <tr r="M1709" s="1"/>
      </tp>
      <tp>
        <v>0</v>
        <stp/>
        <stp>bse_cm|MFLIV26</stp>
        <stp>Open</stp>
        <tr r="M1500" s="1"/>
      </tp>
      <tp>
        <v>0</v>
        <stp/>
        <stp>bse_cm|MFLII26</stp>
        <stp>Open</stp>
        <tr r="M390" s="1"/>
      </tp>
      <tp t="s">
        <v>BSE</v>
        <stp/>
        <stp>bse_cm|1045EFS34A</stp>
        <stp>Exchange</stp>
        <tr r="C1029" s="1"/>
      </tp>
      <tp>
        <v>0</v>
        <stp/>
        <stp>bse_cm|MFLZC27</stp>
        <stp>Open</stp>
        <tr r="M1271" s="1"/>
      </tp>
      <tp>
        <v>0</v>
        <stp/>
        <stp>bse_cm|KFLZC27</stp>
        <stp>Open</stp>
        <tr r="M1292" s="1"/>
      </tp>
      <tp>
        <v>0</v>
        <stp/>
        <stp>bse_cm|MFLII27</stp>
        <stp>Open</stp>
        <tr r="M648" s="1"/>
      </tp>
      <tp t="e">
        <v>#N/A</v>
        <stp/>
        <stp>bse_cm|SFLZC24</stp>
        <stp>Open</stp>
        <tr r="M30" s="1"/>
      </tp>
      <tp>
        <v>0</v>
        <stp/>
        <stp>bse_cm|KFLZC24</stp>
        <stp>Open</stp>
        <tr r="M1766" s="1"/>
      </tp>
      <tp>
        <v>0</v>
        <stp/>
        <stp>bse_cm|MFLVI25</stp>
        <stp>Open</stp>
        <tr r="M1707" s="1"/>
      </tp>
      <tp>
        <v>0</v>
        <stp/>
        <stp>bse_cm|SFLZC25</stp>
        <stp>Open</stp>
        <tr r="M802" s="1"/>
      </tp>
      <tp>
        <v>0</v>
        <stp/>
        <stp>bse_cm|MFLZC25</stp>
        <stp>Open</stp>
        <tr r="M1683" s="1"/>
      </tp>
      <tp>
        <v>0</v>
        <stp/>
        <stp>bse_cm|KFLZC25</stp>
        <stp>Open</stp>
        <tr r="M1754" s="1"/>
      </tp>
      <tp>
        <v>1043.8</v>
        <stp/>
        <stp>bse_cm|MFLIV25</stp>
        <stp>Open</stp>
        <tr r="M280" s="1"/>
      </tp>
      <tp>
        <v>1020</v>
        <stp/>
        <stp>bse_cm|925IHFL25E</stp>
        <stp>Ask Rate</stp>
        <tr r="F398" s="1"/>
      </tp>
      <tp>
        <v>1183.19</v>
        <stp/>
        <stp>nse_cm|AEL120924-N2</stp>
        <stp>Ask Rate</stp>
        <tr r="F1673" s="1"/>
      </tp>
      <tp>
        <v>1670.55</v>
        <stp/>
        <stp>nse_cm|SCLZC26-NB</stp>
        <stp>Bid Rate</stp>
        <tr r="E1717" s="1"/>
      </tp>
      <tp>
        <v>1140</v>
        <stp/>
        <stp>bse_cm|925IHFL25D</stp>
        <stp>Ask Rate</stp>
        <tr r="F1671" s="1"/>
      </tp>
      <tp>
        <v>1030.3</v>
        <stp/>
        <stp>nse_cm|CIFC26A-N9</stp>
        <stp>High</stp>
        <tr r="N739" s="1"/>
      </tp>
      <tp>
        <v>1160</v>
        <stp/>
        <stp>nse_cm|CAGL25A-N4</stp>
        <stp>High</stp>
        <tr r="N709" s="1"/>
      </tp>
      <tp>
        <v>1100</v>
        <stp/>
        <stp>nse_cm|CAGL27A-N6</stp>
        <stp>High</stp>
        <tr r="N758" s="1"/>
      </tp>
      <tp>
        <v>0</v>
        <stp/>
        <stp>bse_cm|965IHFL25D</stp>
        <stp>Ask Rate</stp>
        <tr r="F1432" s="1"/>
      </tp>
      <tp>
        <v>-100</v>
        <stp/>
        <stp>bse_cm|93SCL24A</stp>
        <stp>% Change</stp>
        <tr r="J1361" s="1"/>
      </tp>
      <tp>
        <v>-100</v>
        <stp/>
        <stp>bse_cm|89SCL24A</stp>
        <stp>% Change</stp>
        <tr r="J971" s="1"/>
      </tp>
      <tp>
        <v>-100</v>
        <stp/>
        <stp>bse_cm|87SCL24A</stp>
        <stp>% Change</stp>
        <tr r="J1141" s="1"/>
      </tp>
      <tp>
        <v>4.67</v>
        <stp/>
        <stp>bse_cm|96SFL24A</stp>
        <stp>% Change</stp>
        <tr r="J633" s="1"/>
      </tp>
      <tp>
        <v>0</v>
        <stp/>
        <stp>nse_cm|M&amp;MFIN-N3</stp>
        <stp>Volume Traded Today</stp>
        <tr r="L1723" s="1"/>
      </tp>
      <tp>
        <v>0</v>
        <stp/>
        <stp>bse_cm|KFLZC2A</stp>
        <stp>ATP</stp>
        <tr r="K1760" s="1"/>
      </tp>
      <tp>
        <v>0</v>
        <stp/>
        <stp>bse_cm|KFLZC29</stp>
        <stp>ATP</stp>
        <tr r="K1639" s="1"/>
      </tp>
      <tp>
        <v>0</v>
        <stp/>
        <stp>bse_cm|KFLZC28</stp>
        <stp>ATP</stp>
        <tr r="K1290" s="1"/>
      </tp>
      <tp>
        <v>0</v>
        <stp/>
        <stp>bse_cm|KFLZC27</stp>
        <stp>ATP</stp>
        <tr r="K1292" s="1"/>
      </tp>
      <tp>
        <v>0</v>
        <stp/>
        <stp>bse_cm|KFLZC26</stp>
        <stp>ATP</stp>
        <tr r="K1709" s="1"/>
      </tp>
      <tp>
        <v>0</v>
        <stp/>
        <stp>bse_cm|KFLZC25</stp>
        <stp>ATP</stp>
        <tr r="K1754" s="1"/>
      </tp>
      <tp>
        <v>0</v>
        <stp/>
        <stp>bse_cm|KFLZC24</stp>
        <stp>ATP</stp>
        <tr r="K1766" s="1"/>
      </tp>
      <tp>
        <v>0</v>
        <stp/>
        <stp>bse_cm|KFLZC31</stp>
        <stp>ATP</stp>
        <tr r="K1286" s="1"/>
      </tp>
      <tp>
        <v>0</v>
        <stp/>
        <stp>bse_cm|ICCL25</stp>
        <stp>Volume Traded Today</stp>
        <tr r="L1330" s="1"/>
      </tp>
      <tp>
        <v>820.6</v>
        <stp/>
        <stp>bse_cm|971SCL29A</stp>
        <stp xml:space="preserve">Low </stp>
        <tr r="O862" s="1"/>
      </tp>
      <tp>
        <v>948</v>
        <stp/>
        <stp>bse_cm|925SCL29A</stp>
        <stp xml:space="preserve">Low </stp>
        <tr r="O268" s="1"/>
      </tp>
      <tp>
        <v>0</v>
        <stp/>
        <stp>bse_cm|KAFL30</stp>
        <stp>Volume Traded Today</stp>
        <tr r="L1317" s="1"/>
      </tp>
      <tp>
        <v>0</v>
        <stp/>
        <stp>bse_cm|KAFL28</stp>
        <stp>Volume Traded Today</stp>
        <tr r="L1320" s="1"/>
      </tp>
      <tp>
        <v>0</v>
        <stp/>
        <stp>bse_cm|KAFL29</stp>
        <stp>Volume Traded Today</stp>
        <tr r="L1318" s="1"/>
      </tp>
      <tp>
        <v>0</v>
        <stp/>
        <stp>bse_cm|KAFL25</stp>
        <stp>Volume Traded Today</stp>
        <tr r="L1321" s="1"/>
      </tp>
      <tp>
        <v>0</v>
        <stp/>
        <stp>bse_cm|MMFL27</stp>
        <stp>Volume Traded Today</stp>
        <tr r="L1513" s="1"/>
      </tp>
      <tp>
        <v>0</v>
        <stp/>
        <stp>bse_cm|MMFL25</stp>
        <stp>Volume Traded Today</stp>
        <tr r="L1725" s="1"/>
      </tp>
      <tp>
        <v>0</v>
        <stp/>
        <stp>bse_cm|NWIL25</stp>
        <stp>Volume Traded Today</stp>
        <tr r="L1546" s="1"/>
      </tp>
      <tp>
        <v>0</v>
        <stp/>
        <stp>bse_cm|NWIL27</stp>
        <stp>Volume Traded Today</stp>
        <tr r="L1439" s="1"/>
      </tp>
      <tp>
        <v>0</v>
        <stp/>
        <stp>bse_cm|10EFSL33B</stp>
        <stp>Open</stp>
        <tr r="M136" s="1"/>
      </tp>
      <tp>
        <v>0</v>
        <stp/>
        <stp>bse_cm|ABFL28</stp>
        <stp>Volume Traded Today</stp>
        <tr r="L1373" s="1"/>
      </tp>
      <tp>
        <v>0</v>
        <stp/>
        <stp>bse_cm|ABFL26</stp>
        <stp>Volume Traded Today</stp>
        <tr r="L1064" s="1"/>
      </tp>
      <tp>
        <v>0</v>
        <stp/>
        <stp>bse_cm|CAGL28</stp>
        <stp>Volume Traded Today</stp>
        <tr r="L757" s="1"/>
      </tp>
      <tp>
        <v>0</v>
        <stp/>
        <stp>bse_cm|CAGL26</stp>
        <stp>Volume Traded Today</stp>
        <tr r="L708" s="1"/>
      </tp>
      <tp>
        <v>0</v>
        <stp/>
        <stp>bse_cm|CAGL27</stp>
        <stp>Volume Traded Today</stp>
        <tr r="L734" s="1"/>
      </tp>
      <tp>
        <v>0</v>
        <stp/>
        <stp>bse_cm|CAGL24</stp>
        <stp>Volume Traded Today</stp>
        <tr r="L1761" s="1"/>
      </tp>
      <tp>
        <v>0</v>
        <stp/>
        <stp>bse_cm|CAGL25</stp>
        <stp>Volume Traded Today</stp>
        <tr r="L1061" s="1"/>
      </tp>
      <tp>
        <v>0</v>
        <stp/>
        <stp>bse_cm|10EFSL33A</stp>
        <stp>Open</stp>
        <tr r="M140" s="1"/>
      </tp>
      <tp>
        <v>0</v>
        <stp/>
        <stp>bse_cm|DLSL25</stp>
        <stp>Volume Traded Today</stp>
        <tr r="L1747" s="1"/>
      </tp>
      <tp>
        <v>0</v>
        <stp/>
        <stp>bse_cm|EFSL29</stp>
        <stp>Volume Traded Today</stp>
        <tr r="L659" s="1"/>
      </tp>
      <tp>
        <v>0</v>
        <stp/>
        <stp>bse_cm|EFSL28</stp>
        <stp>Volume Traded Today</stp>
        <tr r="L1609" s="1"/>
      </tp>
      <tp>
        <v>0</v>
        <stp/>
        <stp>bse_cm|EFSL25</stp>
        <stp>Volume Traded Today</stp>
        <tr r="L1694" s="1"/>
      </tp>
      <tp>
        <v>0</v>
        <stp/>
        <stp>bse_cm|EFSL27</stp>
        <stp>Volume Traded Today</stp>
        <tr r="L1531" s="1"/>
      </tp>
      <tp>
        <v>0</v>
        <stp/>
        <stp>bse_cm|EFSL26</stp>
        <stp>Volume Traded Today</stp>
        <tr r="L1687" s="1"/>
      </tp>
      <tp t="s">
        <v>93MMFSL27</v>
        <stp/>
        <stp>bse_cm|93MMFSL27</stp>
        <stp>Symbol</stp>
        <tr r="A333" s="1"/>
      </tp>
      <tp t="s">
        <v>93MOFSL34</v>
        <stp/>
        <stp>bse_cm|93MOFSL34</stp>
        <stp>Symbol</stp>
        <tr r="A312" s="1"/>
      </tp>
      <tp>
        <v>0</v>
        <stp/>
        <stp>bse_cm|905MFL28A</stp>
        <stp>Open</stp>
        <tr r="M224" s="1"/>
      </tp>
      <tp>
        <v>0</v>
        <stp/>
        <stp>bse_cm|944MFL28A</stp>
        <stp>Open</stp>
        <tr r="M1073" s="1"/>
      </tp>
      <tp t="s">
        <v>INE530B07351</v>
        <stp/>
        <stp>bse_cm|IIFLZC26B</stp>
        <stp>Isin code</stp>
        <tr r="R1179" s="1"/>
      </tp>
      <tp t="s">
        <v>INE530B07393</v>
        <stp/>
        <stp>bse_cm|IIFLZC25B</stp>
        <stp>Isin code</stp>
        <tr r="R1685" s="1"/>
      </tp>
      <tp t="s">
        <v>INE530B07369</v>
        <stp/>
        <stp>bse_cm|IIFLZC28B</stp>
        <stp>Isin code</stp>
        <tr r="R1595" s="1"/>
      </tp>
      <tp>
        <v>0</v>
        <stp/>
        <stp>nse_cm|891IIFCL34-N4</stp>
        <stp>% Change</stp>
        <tr r="J516" s="1"/>
      </tp>
      <tp t="s">
        <v>INE148I07MY4</v>
        <stp/>
        <stp>nse_cm|87SCL27A-ZK</stp>
        <stp>Isin code</stp>
        <tr r="R1416" s="1"/>
      </tp>
      <tp t="s">
        <v>10JFPL30</v>
        <stp/>
        <stp>bse_cm|10JFPL30</stp>
        <stp>Trading Symbol</stp>
        <tr r="B1097" s="1"/>
      </tp>
      <tp t="s">
        <v>INE053F07827</v>
        <stp/>
        <stp>bse_cm|732IRFC25</stp>
        <stp>Isin code</stp>
        <tr r="R174" s="1"/>
      </tp>
      <tp t="s">
        <v>INE053F07819</v>
        <stp/>
        <stp>bse_cm|725IRFC35</stp>
        <stp>Isin code</stp>
        <tr r="R560" s="1"/>
      </tp>
      <tp t="s">
        <v>INE244L07499</v>
        <stp/>
        <stp>nse_cm|98ICCL26-NU</stp>
        <stp>Isin code</stp>
        <tr r="R1569" s="1"/>
      </tp>
      <tp t="s">
        <v>MFLI25</v>
        <stp/>
        <stp>bse_cm|MFLI25</stp>
        <stp>Symbol</stp>
        <tr r="A447" s="1"/>
      </tp>
      <tp t="s">
        <v>INE302E07615</v>
        <stp/>
        <stp>bse_cm|SFL270224</stp>
        <stp>Isin code</stp>
        <tr r="R808" s="1"/>
      </tp>
      <tp t="s">
        <v>INE053F07793</v>
        <stp/>
        <stp>bse_cm|707IRFC25</stp>
        <stp>Isin code</stp>
        <tr r="R1653" s="1"/>
      </tp>
      <tp t="s">
        <v>INE583D07307</v>
        <stp/>
        <stp>bse_cm|1035UCL24</stp>
        <stp>Isin code</stp>
        <tr r="R1580" s="1"/>
      </tp>
      <tp t="s">
        <v>INE053F07843</v>
        <stp/>
        <stp>bse_cm|750IRFC35</stp>
        <stp>Isin code</stp>
        <tr r="R488" s="1"/>
      </tp>
      <tp t="s">
        <v>920EFSL27</v>
        <stp/>
        <stp>bse_cm|920EFSL27</stp>
        <stp>Symbol</stp>
        <tr r="A55" s="1"/>
      </tp>
      <tp t="s">
        <v>920EFSL26</v>
        <stp/>
        <stp>bse_cm|920EFSL26</stp>
        <stp>Symbol</stp>
        <tr r="A223" s="1"/>
      </tp>
      <tp>
        <v>0</v>
        <stp/>
        <stp>bse_cm|EFSLZC28C</stp>
        <stp>Open</stp>
        <tr r="M1331" s="1"/>
      </tp>
      <tp t="s">
        <v>INE148I07SF0</v>
        <stp/>
        <stp>nse_cm|0SCL26-YR</stp>
        <stp>Isin code</stp>
        <tr r="R1622" s="1"/>
      </tp>
      <tp t="s">
        <v>MFLV27</v>
        <stp/>
        <stp>bse_cm|MFLV27</stp>
        <stp>Symbol</stp>
        <tr r="A1508" s="1"/>
      </tp>
      <tp t="s">
        <v>MFLV29</v>
        <stp/>
        <stp>bse_cm|MFLV29</stp>
        <stp>Symbol</stp>
        <tr r="A361" s="1"/>
      </tp>
      <tp t="s">
        <v>925EFSL25</v>
        <stp/>
        <stp>bse_cm|925EFSL25</stp>
        <stp>Symbol</stp>
        <tr r="A632" s="1"/>
      </tp>
      <tp>
        <v>0</v>
        <stp/>
        <stp>bse_cm|IIFLZC28C</stp>
        <stp>Open</stp>
        <tr r="M1404" s="1"/>
      </tp>
      <tp>
        <v>0</v>
        <stp/>
        <stp>bse_cm|IIFLZC28B</stp>
        <stp>Open</stp>
        <tr r="M1595" s="1"/>
      </tp>
      <tp>
        <v>0</v>
        <stp/>
        <stp>bse_cm|IIFLZC28A</stp>
        <stp>Open</stp>
        <tr r="M1628" s="1"/>
      </tp>
      <tp t="s">
        <v>INE549K07CX2</v>
        <stp/>
        <stp>bse_cm|MFL25E</stp>
        <stp>Isin code</stp>
        <tr r="R1664" s="1"/>
      </tp>
      <tp t="s">
        <v>INE549K07BK1</v>
        <stp/>
        <stp>bse_cm|MFL26E</stp>
        <stp>Isin code</stp>
        <tr r="R1533" s="1"/>
      </tp>
      <tp>
        <v>0</v>
        <stp/>
        <stp>bse_cm|MMFLZC28B</stp>
        <stp>Open</stp>
        <tr r="M1535" s="1"/>
      </tp>
      <tp t="s">
        <v>SCL22-ZC</v>
        <stp/>
        <stp>nse_cm|SCL22-ZC</stp>
        <stp>Trading Symbol</stp>
        <tr r="B955" s="1"/>
      </tp>
      <tp>
        <v>0</v>
        <stp/>
        <stp>bse_cm|MMFLZC28A</stp>
        <stp>Open</stp>
        <tr r="M1348" s="1"/>
      </tp>
      <tp>
        <v>-100</v>
        <stp/>
        <stp>bse_cm|84TCHF28</stp>
        <stp>% Change</stp>
        <tr r="J403" s="1"/>
      </tp>
      <tp>
        <v>-100</v>
        <stp/>
        <stp>bse_cm|81TCHF28</stp>
        <stp>% Change</stp>
        <tr r="J479" s="1"/>
      </tp>
      <tp>
        <v>-100</v>
        <stp/>
        <stp>bse_cm|83TCHF28</stp>
        <stp>% Change</stp>
        <tr r="J832" s="1"/>
      </tp>
      <tp>
        <v>1229.5</v>
        <stp/>
        <stp>nse_cm|IIFLZC25C-N8</stp>
        <stp>Ask Rate</stp>
        <tr r="F1748" s="1"/>
      </tp>
      <tp>
        <v>1210</v>
        <stp/>
        <stp>bse_cm|735NABAR31</stp>
        <stp>Ask Rate</stp>
        <tr r="F14" s="1"/>
      </tp>
      <tp>
        <v>0</v>
        <stp/>
        <stp>bse_cm|EFSLZC28C</stp>
        <stp>Volume Traded Today</stp>
        <tr r="L1331" s="1"/>
      </tp>
      <tp>
        <v>992</v>
        <stp/>
        <stp>nse_cm|84CIFCL28-NA</stp>
        <stp>High</stp>
        <tr r="N388" s="1"/>
      </tp>
      <tp>
        <v>918.8</v>
        <stp/>
        <stp>nse_cm|888ERFL28-N5</stp>
        <stp>Ask Rate</stp>
        <tr r="F63" s="1"/>
      </tp>
      <tp>
        <v>1250</v>
        <stp/>
        <stp>nse_cm|IIFLZC28C-N6</stp>
        <stp>Ask Rate</stp>
        <tr r="F1656" s="1"/>
      </tp>
      <tp>
        <v>0</v>
        <stp/>
        <stp>bse_cm|0SFL29A</stp>
        <stp xml:space="preserve">Low </stp>
        <tr r="O1033" s="1"/>
      </tp>
      <tp>
        <v>1149.9000000000001</v>
        <stp/>
        <stp>bse_cm|764NABAR31</stp>
        <stp>Ask Rate</stp>
        <tr r="F497" s="1"/>
      </tp>
      <tp>
        <v>0</v>
        <stp/>
        <stp>nse_cm|SCL25A-BH</stp>
        <stp>Volume Traded Today</stp>
        <tr r="L1237" s="1"/>
      </tp>
      <tp>
        <v>0</v>
        <stp/>
        <stp>nse_cm|SCL25B-BI</stp>
        <stp>Volume Traded Today</stp>
        <tr r="L1403" s="1"/>
      </tp>
      <tp>
        <v>0</v>
        <stp/>
        <stp>nse_cm|10SCL31-Z1</stp>
        <stp>Open</stp>
        <tr r="M866" s="1"/>
      </tp>
      <tp>
        <v>998</v>
        <stp/>
        <stp>bse_cm|EFSL260724</stp>
        <stp>Ask Rate</stp>
        <tr r="F586" s="1"/>
      </tp>
      <tp>
        <v>0</v>
        <stp/>
        <stp>nse_cm|CIFCZC26A-N3</stp>
        <stp>Ask Rate</stp>
        <tr r="F1565" s="1"/>
      </tp>
      <tp>
        <v>0</v>
        <stp/>
        <stp>nse_cm|971SCL28C-BU</stp>
        <stp>High</stp>
        <tr r="N826" s="1"/>
      </tp>
      <tp>
        <v>327</v>
        <stp/>
        <stp>bse_cm|MVAFZC25</stp>
        <stp>Ask Qty</stp>
        <tr r="G1746" s="1"/>
      </tp>
      <tp>
        <v>1164.8</v>
        <stp/>
        <stp>nse_cm|CIFCZC25A-N1</stp>
        <stp>Ask Rate</stp>
        <tr r="F1730" s="1"/>
      </tp>
      <tp>
        <v>1020</v>
        <stp/>
        <stp>bse_cm|897MOFSL29</stp>
        <stp>Ask Rate</stp>
        <tr r="F332" s="1"/>
      </tp>
      <tp>
        <v>930</v>
        <stp/>
        <stp>nse_cm|820IIFL27-N9</stp>
        <stp>Prev Close</stp>
        <tr r="P266" s="1"/>
      </tp>
      <tp>
        <v>1059.5</v>
        <stp/>
        <stp>bse_cm|885MOFSL26</stp>
        <stp>Ask Rate</stp>
        <tr r="F1643" s="1"/>
      </tp>
      <tp>
        <v>0</v>
        <stp/>
        <stp>bse_cm|10IIFLSF27</stp>
        <stp>Ask Rate</stp>
        <tr r="F1098" s="1"/>
      </tp>
      <tp>
        <v>650</v>
        <stp/>
        <stp>nse_cm|902SCL26I-AW</stp>
        <stp>High</stp>
        <tr r="N1383" s="1"/>
      </tp>
      <tp>
        <v>0</v>
        <stp/>
        <stp>bse_cm|EFSL290424</stp>
        <stp>Ask Rate</stp>
        <tr r="F1334" s="1"/>
      </tp>
      <tp>
        <v>0</v>
        <stp/>
        <stp>bse_cm|MMFSL26</stp>
        <stp>Volume Traded Today</stp>
        <tr r="L1258" s="1"/>
      </tp>
      <tp>
        <v>992</v>
        <stp/>
        <stp>nse_cm|84CIFCL28-NA</stp>
        <stp>Prev Close</stp>
        <tr r="P388" s="1"/>
      </tp>
      <tp>
        <v>0</v>
        <stp/>
        <stp>bse_cm|EFSLZC25A</stp>
        <stp>Volume Traded Today</stp>
        <tr r="L1333" s="1"/>
      </tp>
      <tp t="s">
        <v>NSE</v>
        <stp/>
        <stp>nse_cm|1003SCL30-BW</stp>
        <stp>Exchange</stp>
        <tr r="C876" s="1"/>
      </tp>
      <tp>
        <v>971</v>
        <stp/>
        <stp>nse_cm|957NIDO26-N5</stp>
        <stp>Prev Close</stp>
        <tr r="P255" s="1"/>
      </tp>
      <tp>
        <v>-100</v>
        <stp/>
        <stp>bse_cm|82TCHF25</stp>
        <stp>% Change</stp>
        <tr r="J1015" s="1"/>
      </tp>
      <tp>
        <v>-100</v>
        <stp/>
        <stp>bse_cm|83TCHF25</stp>
        <stp>% Change</stp>
        <tr r="J489" s="1"/>
      </tp>
      <tp>
        <v>0</v>
        <stp/>
        <stp>nse_cm|CIFCZC28A-N5</stp>
        <stp>Ask Rate</stp>
        <tr r="F1559" s="1"/>
      </tp>
      <tp>
        <v>991</v>
        <stp/>
        <stp>nse_cm|850IIFL27-NA</stp>
        <stp>Prev Close</stp>
        <tr r="P608" s="1"/>
      </tp>
      <tp>
        <v>1000</v>
        <stp/>
        <stp>nse_cm|85PCHFL26-N7</stp>
        <stp>Prev Close</stp>
        <tr r="P712" s="1"/>
      </tp>
      <tp>
        <v>0</v>
        <stp/>
        <stp>bse_cm|EFSLZC26C</stp>
        <stp>Volume Traded Today</stp>
        <tr r="L1332" s="1"/>
      </tp>
      <tp>
        <v>0</v>
        <stp/>
        <stp>bse_cm|EFSLZC26B</stp>
        <stp>Volume Traded Today</stp>
        <tr r="L1678" s="1"/>
      </tp>
      <tp>
        <v>0</v>
        <stp/>
        <stp>bse_cm|EFSLZC26A</stp>
        <stp>Volume Traded Today</stp>
        <tr r="L1574" s="1"/>
      </tp>
      <tp>
        <v>0</v>
        <stp/>
        <stp>nse_cm|965IFSL26-N6</stp>
        <stp>ATP</stp>
        <tr r="K1346" s="1"/>
      </tp>
      <tp>
        <v>990</v>
        <stp/>
        <stp>nse_cm|971SCL28I-BC</stp>
        <stp>High</stp>
        <tr r="N531" s="1"/>
      </tp>
      <tp t="s">
        <v>NSE</v>
        <stp/>
        <stp>nse_cm|873NTPC28-N5</stp>
        <stp>Exchange</stp>
        <tr r="C541" s="1"/>
      </tp>
      <tp t="s">
        <v>NSE</v>
        <stp/>
        <stp>nse_cm|1030ICC26-NJ</stp>
        <stp>Exchange</stp>
        <tr r="C1514" s="1"/>
      </tp>
      <tp>
        <v>820.2</v>
        <stp/>
        <stp>nse_cm|875SCFL27-Y9</stp>
        <stp>Bid Rate</stp>
        <tr r="E927" s="1"/>
      </tp>
      <tp>
        <v>0</v>
        <stp/>
        <stp>nse_cm|SCL24A-ZS</stp>
        <stp>Volume Traded Today</stp>
        <tr r="L1751" s="1"/>
      </tp>
      <tp>
        <v>1000</v>
        <stp/>
        <stp>nse_cm|1075SCL34-ZR</stp>
        <stp>Face Value</stp>
        <tr r="Q1366" s="1"/>
      </tp>
      <tp>
        <v>1000</v>
        <stp/>
        <stp>nse_cm|SCL310524-ZF</stp>
        <stp>Face Value</stp>
        <tr r="Q593" s="1"/>
      </tp>
      <tp>
        <v>1000</v>
        <stp/>
        <stp>nse_cm|1025SCL34-Z8</stp>
        <stp>Face Value</stp>
        <tr r="Q128" s="1"/>
      </tp>
      <tp>
        <v>1092</v>
        <stp/>
        <stp>nse_cm|IIFLZC28A-NU</stp>
        <stp>Ask Rate</stp>
        <tr r="F1624" s="1"/>
      </tp>
      <tp t="s">
        <v>NSE</v>
        <stp/>
        <stp>nse_cm|9PCHFL31A-NA</stp>
        <stp>Exchange</stp>
        <tr r="C435" s="1"/>
      </tp>
      <tp>
        <v>1050</v>
        <stp/>
        <stp>nse_cm|IIFLZC26B-NY</stp>
        <stp>Ask Rate</stp>
        <tr r="F1629" s="1"/>
      </tp>
      <tp t="s">
        <v>NSE</v>
        <stp/>
        <stp>nse_cm|769NHAI31-NE</stp>
        <stp>Exchange</stp>
        <tr r="C461" s="1"/>
      </tp>
      <tp t="s">
        <v>NSE</v>
        <stp/>
        <stp>nse_cm|863IRFC29-NC</stp>
        <stp>Exchange</stp>
        <tr r="C554" s="1"/>
      </tp>
      <tp t="s">
        <v>INE121A07RB5</v>
        <stp/>
        <stp>bse_cm|9ICCL23A</stp>
        <stp>Isin code</stp>
        <tr r="R1434" s="1"/>
      </tp>
      <tp t="s">
        <v>980SCL33</v>
        <stp/>
        <stp>nse_cm|980SCL33-NX</stp>
        <stp>Symbol</stp>
        <tr r="A360" s="1"/>
      </tp>
      <tp t="s">
        <v>INE148I07MZ1</v>
        <stp/>
        <stp>bse_cm|93SCL24A</stp>
        <stp>Isin code</stp>
        <tr r="R1361" s="1"/>
      </tp>
      <tp t="s">
        <v>INE148I07MX6</v>
        <stp/>
        <stp>bse_cm|87SCL24A</stp>
        <stp>Isin code</stp>
        <tr r="R1141" s="1"/>
      </tp>
      <tp t="s">
        <v>INE148I07MY4</v>
        <stp/>
        <stp>bse_cm|87SCL27A</stp>
        <stp>Isin code</stp>
        <tr r="R644" s="1"/>
      </tp>
      <tp t="s">
        <v>INE148I07NA2</v>
        <stp/>
        <stp>bse_cm|89SCL24A</stp>
        <stp>Isin code</stp>
        <tr r="R971" s="1"/>
      </tp>
      <tp>
        <v>1130.55</v>
        <stp/>
        <stp>nse_cm|IIFLZC26A-NR</stp>
        <stp>Ask Rate</stp>
        <tr r="F1680" s="1"/>
      </tp>
      <tp>
        <v>0</v>
        <stp/>
        <stp>nse_cm|9TCAP28-N9</stp>
        <stp>Open</stp>
        <tr r="M544" s="1"/>
      </tp>
      <tp>
        <v>0</v>
        <stp/>
        <stp>bse_cm|MFLZC32</stp>
        <stp>Open</stp>
        <tr r="M1266" s="1"/>
      </tp>
      <tp>
        <v>0</v>
        <stp/>
        <stp>nse_cm|IIFLZC25A-NP</stp>
        <stp>Ask Rate</stp>
        <tr r="F1578" s="1"/>
      </tp>
      <tp>
        <v>0</v>
        <stp/>
        <stp>bse_cm|MFLZC30</stp>
        <stp>Open</stp>
        <tr r="M1267" s="1"/>
      </tp>
      <tp>
        <v>0</v>
        <stp/>
        <stp>bse_cm|KFLZC31</stp>
        <stp>Open</stp>
        <tr r="M1286" s="1"/>
      </tp>
      <tp>
        <v>0</v>
        <stp/>
        <stp>nse_cm|9SCL26B-ND</stp>
        <stp>Ask Rate</stp>
        <tr r="F994" s="1"/>
      </tp>
      <tp t="s">
        <v>INE403Q07BY9</v>
        <stp/>
        <stp>bse_cm|10KFL24D</stp>
        <stp>Isin code</stp>
        <tr r="R1424" s="1"/>
      </tp>
      <tp t="s">
        <v>INE148I07PO8</v>
        <stp/>
        <stp>bse_cm|10SCL30A</stp>
        <stp>Isin code</stp>
        <tr r="R444" s="1"/>
      </tp>
      <tp t="s">
        <v>INE148I07TO0</v>
        <stp/>
        <stp>bse_cm|10SCL31A</stp>
        <stp>Isin code</stp>
        <tr r="R865" s="1"/>
      </tp>
      <tp>
        <v>1085</v>
        <stp/>
        <stp>nse_cm|IIFLZC25B-NW</stp>
        <stp>Ask Rate</stp>
        <tr r="F1684" s="1"/>
      </tp>
      <tp>
        <v>950</v>
        <stp/>
        <stp>nse_cm|925SCFL27-YA</stp>
        <stp>Bid Rate</stp>
        <tr r="E113" s="1"/>
      </tp>
      <tp t="s">
        <v>00:00:00</v>
        <stp/>
        <stp>bse_cm|EFSL26724</stp>
        <stp>LTT</stp>
        <tr r="I1336" s="1"/>
      </tp>
      <tp>
        <v>0</v>
        <stp/>
        <stp>bse_cm|EFSL26724</stp>
        <stp>LTP</stp>
        <tr r="H1336" s="1"/>
      </tp>
      <tp>
        <v>0</v>
        <stp/>
        <stp>bse_cm|888IHFL25F</stp>
        <stp>Ask Rate</stp>
        <tr r="F693" s="1"/>
      </tp>
      <tp>
        <v>-100</v>
        <stp/>
        <stp>bse_cm|85PFL26A</stp>
        <stp>% Change</stp>
        <tr r="J711" s="1"/>
      </tp>
      <tp>
        <v>0</v>
        <stp/>
        <stp>bse_cm|888IHFL25C</stp>
        <stp>Ask Rate</stp>
        <tr r="F1058" s="1"/>
      </tp>
      <tp>
        <v>0</v>
        <stp/>
        <stp>bse_cm|MFLII27</stp>
        <stp>LTP</stp>
        <tr r="H648" s="1"/>
      </tp>
      <tp>
        <v>1285.8</v>
        <stp/>
        <stp>bse_cm|MFLVI26</stp>
        <stp>LTP</stp>
        <tr r="H1719" s="1"/>
      </tp>
      <tp>
        <v>0</v>
        <stp/>
        <stp>bse_cm|MFLII26</stp>
        <stp>LTP</stp>
        <tr r="H390" s="1"/>
      </tp>
      <tp>
        <v>0</v>
        <stp/>
        <stp>bse_cm|MFLVI25</stp>
        <stp>LTP</stp>
        <tr r="H1707" s="1"/>
      </tp>
      <tp t="s">
        <v>00:00:00</v>
        <stp/>
        <stp>bse_cm|MFLII27</stp>
        <stp>LTT</stp>
        <tr r="I648" s="1"/>
      </tp>
      <tp t="s">
        <v>11:15:16</v>
        <stp/>
        <stp>bse_cm|MFLVI26</stp>
        <stp>LTT</stp>
        <tr r="I1719" s="1"/>
      </tp>
      <tp t="s">
        <v>00:00:00</v>
        <stp/>
        <stp>bse_cm|MFLII26</stp>
        <stp>LTT</stp>
        <tr r="I390" s="1"/>
      </tp>
      <tp t="s">
        <v>00:00:00</v>
        <stp/>
        <stp>bse_cm|MFLVI25</stp>
        <stp>LTT</stp>
        <tr r="I1707" s="1"/>
      </tp>
      <tp>
        <v>0</v>
        <stp/>
        <stp>bse_cm|965SCL28A</stp>
        <stp xml:space="preserve">Low </stp>
        <tr r="O1136" s="1"/>
      </tp>
      <tp>
        <v>912</v>
        <stp/>
        <stp>bse_cm|971SCL28A</stp>
        <stp xml:space="preserve">Low </stp>
        <tr r="O1027" s="1"/>
      </tp>
      <tp>
        <v>839.35</v>
        <stp/>
        <stp>bse_cm|925SCL28A</stp>
        <stp xml:space="preserve">Low </stp>
        <tr r="O938" s="1"/>
      </tp>
      <tp>
        <v>0</v>
        <stp/>
        <stp>bse_cm|965SCL28B</stp>
        <stp xml:space="preserve">Low </stp>
        <tr r="O896" s="1"/>
      </tp>
      <tp>
        <v>0</v>
        <stp/>
        <stp>bse_cm|971SCL28B</stp>
        <stp xml:space="preserve">Low </stp>
        <tr r="O714" s="1"/>
      </tp>
      <tp>
        <v>900.3</v>
        <stp/>
        <stp>bse_cm|925SCL28B</stp>
        <stp xml:space="preserve">Low </stp>
        <tr r="O894" s="1"/>
      </tp>
      <tp>
        <v>0</v>
        <stp/>
        <stp>bse_cm|965SCL28C</stp>
        <stp xml:space="preserve">Low </stp>
        <tr r="O818" s="1"/>
      </tp>
      <tp>
        <v>0</v>
        <stp/>
        <stp>bse_cm|971SCL28C</stp>
        <stp xml:space="preserve">Low </stp>
        <tr r="O827" s="1"/>
      </tp>
      <tp>
        <v>1007.09</v>
        <stp/>
        <stp>bse_cm|925SCL28C</stp>
        <stp xml:space="preserve">Low </stp>
        <tr r="O824" s="1"/>
      </tp>
      <tp>
        <v>1000</v>
        <stp/>
        <stp>nse_cm|9IIFL28A-NT</stp>
        <stp>Face Value</stp>
        <tr r="Q80" s="1"/>
      </tp>
      <tp>
        <v>1000</v>
        <stp/>
        <stp>nse_cm|96SFL24A-NB</stp>
        <stp>Face Value</stp>
        <tr r="Q162" s="1"/>
      </tp>
      <tp>
        <v>1000</v>
        <stp/>
        <stp>nse_cm|97SFL26A-NC</stp>
        <stp>Face Value</stp>
        <tr r="Q784" s="1"/>
      </tp>
      <tp>
        <v>1000</v>
        <stp/>
        <stp>nse_cm|85PFL26A-N7</stp>
        <stp>Face Value</stp>
        <tr r="Q1519" s="1"/>
      </tp>
      <tp>
        <v>930</v>
        <stp/>
        <stp>bse_cm|971SCL28I</stp>
        <stp xml:space="preserve">Low </stp>
        <tr r="O1471" s="1"/>
      </tp>
      <tp>
        <v>0</v>
        <stp/>
        <stp>bse_cm|925SCL28I</stp>
        <stp xml:space="preserve">Low </stp>
        <tr r="O822" s="1"/>
      </tp>
      <tp t="s">
        <v>92MMFSL27</v>
        <stp/>
        <stp>bse_cm|92MMFSL27</stp>
        <stp>Symbol</stp>
        <tr r="A384" s="1"/>
      </tp>
      <tp t="s">
        <v>MFL30A</v>
        <stp/>
        <stp>bse_cm|MFL30A</stp>
        <stp>Symbol</stp>
        <tr r="A1370" s="1"/>
      </tp>
      <tp t="s">
        <v>MFL31A</v>
        <stp/>
        <stp>bse_cm|MFL31A</stp>
        <stp>Symbol</stp>
        <tr r="A1275" s="1"/>
      </tp>
      <tp t="s">
        <v>KFL30A</v>
        <stp/>
        <stp>bse_cm|KFL30A</stp>
        <stp>Symbol</stp>
        <tr r="A1592" s="1"/>
      </tp>
      <tp t="s">
        <v>SFL26A</v>
        <stp/>
        <stp>bse_cm|SFL26A</stp>
        <stp>Symbol</stp>
        <tr r="A810" s="1"/>
      </tp>
      <tp t="s">
        <v>SFL27A</v>
        <stp/>
        <stp>bse_cm|SFL27A</stp>
        <stp>Symbol</stp>
        <tr r="A804" s="1"/>
      </tp>
      <tp t="s">
        <v>SCL24A</v>
        <stp/>
        <stp>bse_cm|SCL24A</stp>
        <stp>Symbol</stp>
        <tr r="A1749" s="1"/>
      </tp>
      <tp t="s">
        <v>SCL25A</v>
        <stp/>
        <stp>bse_cm|SCL25A</stp>
        <stp>Symbol</stp>
        <tr r="A1238" s="1"/>
      </tp>
      <tp t="s">
        <v>SCL25B</v>
        <stp/>
        <stp>bse_cm|SCL25B</stp>
        <stp>Symbol</stp>
        <tr r="A1544" s="1"/>
      </tp>
      <tp t="s">
        <v>SFL25A</v>
        <stp/>
        <stp>bse_cm|SFL25A</stp>
        <stp>Symbol</stp>
        <tr r="A812" s="1"/>
      </tp>
      <tp t="s">
        <v>SFL25B</v>
        <stp/>
        <stp>bse_cm|SFL25B</stp>
        <stp>Symbol</stp>
        <tr r="A1433" s="1"/>
      </tp>
      <tp t="s">
        <v>MFL28D</v>
        <stp/>
        <stp>bse_cm|MFL28D</stp>
        <stp>Symbol</stp>
        <tr r="A1276" s="1"/>
      </tp>
      <tp t="s">
        <v>MFL28A</v>
        <stp/>
        <stp>bse_cm|MFL28A</stp>
        <stp>Symbol</stp>
        <tr r="A1620" s="1"/>
      </tp>
      <tp t="s">
        <v>MFL28B</v>
        <stp/>
        <stp>bse_cm|MFL28B</stp>
        <stp>Symbol</stp>
        <tr r="A1277" s="1"/>
      </tp>
      <tp t="s">
        <v>MML28A</v>
        <stp/>
        <stp>bse_cm|MML28A</stp>
        <stp>Symbol</stp>
        <tr r="A1249" s="1"/>
      </tp>
      <tp t="s">
        <v>MFL29A</v>
        <stp/>
        <stp>bse_cm|MFL29A</stp>
        <stp>Symbol</stp>
        <tr r="A1380" s="1"/>
      </tp>
      <tp t="s">
        <v>IML28C</v>
        <stp/>
        <stp>bse_cm|IML28C</stp>
        <stp>Symbol</stp>
        <tr r="A1648" s="1"/>
      </tp>
      <tp t="s">
        <v>KFL28D</v>
        <stp/>
        <stp>bse_cm|KFL28D</stp>
        <stp>Symbol</stp>
        <tr r="A1299" s="1"/>
      </tp>
      <tp t="s">
        <v>KFL26A</v>
        <stp/>
        <stp>bse_cm|KFL26A</stp>
        <stp>Symbol</stp>
        <tr r="A1372" s="1"/>
      </tp>
      <tp t="s">
        <v>KFL26C</v>
        <stp/>
        <stp>bse_cm|KFL26C</stp>
        <stp>Symbol</stp>
        <tr r="A1304" s="1"/>
      </tp>
      <tp t="s">
        <v>KFL26B</v>
        <stp/>
        <stp>bse_cm|KFL26B</stp>
        <stp>Symbol</stp>
        <tr r="A1305" s="1"/>
      </tp>
      <tp t="s">
        <v>KFL27A</v>
        <stp/>
        <stp>bse_cm|KFL27A</stp>
        <stp>Symbol</stp>
        <tr r="A1302" s="1"/>
      </tp>
      <tp t="s">
        <v>KFL27C</v>
        <stp/>
        <stp>bse_cm|KFL27C</stp>
        <stp>Symbol</stp>
        <tr r="A1300" s="1"/>
      </tp>
      <tp t="s">
        <v>KFL27B</v>
        <stp/>
        <stp>bse_cm|KFL27B</stp>
        <stp>Symbol</stp>
        <tr r="A1301" s="1"/>
      </tp>
      <tp t="s">
        <v>KFL25D</v>
        <stp/>
        <stp>bse_cm|KFL25D</stp>
        <stp>Symbol</stp>
        <tr r="A1688" s="1"/>
      </tp>
      <tp t="s">
        <v>KFL25A</v>
        <stp/>
        <stp>bse_cm|KFL25A</stp>
        <stp>Symbol</stp>
        <tr r="A1703" s="1"/>
      </tp>
      <tp t="s">
        <v>MFL23A</v>
        <stp/>
        <stp>bse_cm|MFL23A</stp>
        <stp>Symbol</stp>
        <tr r="A1560" s="1"/>
      </tp>
      <tp t="s">
        <v>KFL25C</v>
        <stp/>
        <stp>bse_cm|KFL25C</stp>
        <stp>Symbol</stp>
        <tr r="A1307" s="1"/>
      </tp>
      <tp t="s">
        <v>KFL25B</v>
        <stp/>
        <stp>bse_cm|KFL25B</stp>
        <stp>Symbol</stp>
        <tr r="A1308" s="1"/>
      </tp>
      <tp t="s">
        <v>MFL24A</v>
        <stp/>
        <stp>bse_cm|MFL24A</stp>
        <stp>Symbol</stp>
        <tr r="A1759" s="1"/>
      </tp>
      <tp t="s">
        <v>MFL24B</v>
        <stp/>
        <stp>bse_cm|MFL24B</stp>
        <stp>Symbol</stp>
        <tr r="A1756" s="1"/>
      </tp>
      <tp t="s">
        <v>MML24A</v>
        <stp/>
        <stp>bse_cm|MML24A</stp>
        <stp>Symbol</stp>
        <tr r="A1254" s="1"/>
      </tp>
      <tp t="s">
        <v>MFL25E</v>
        <stp/>
        <stp>bse_cm|MFL25E</stp>
        <stp>Symbol</stp>
        <tr r="A1664" s="1"/>
      </tp>
      <tp t="s">
        <v>MFL25D</v>
        <stp/>
        <stp>bse_cm|MFL25D</stp>
        <stp>Symbol</stp>
        <tr r="A1705" s="1"/>
      </tp>
      <tp t="s">
        <v>MFL25A</v>
        <stp/>
        <stp>bse_cm|MFL25A</stp>
        <stp>Symbol</stp>
        <tr r="A1692" s="1"/>
      </tp>
      <tp t="s">
        <v>MFL25C</v>
        <stp/>
        <stp>bse_cm|MFL25C</stp>
        <stp>Symbol</stp>
        <tr r="A1571" s="1"/>
      </tp>
      <tp t="s">
        <v>MFL25B</v>
        <stp/>
        <stp>bse_cm|MFL25B</stp>
        <stp>Symbol</stp>
        <tr r="A1667" s="1"/>
      </tp>
      <tp t="s">
        <v>MML25B</v>
        <stp/>
        <stp>bse_cm|MML25B</stp>
        <stp>Symbol</stp>
        <tr r="A1498" s="1"/>
      </tp>
      <tp t="s">
        <v>MML25C</v>
        <stp/>
        <stp>bse_cm|MML25C</stp>
        <stp>Symbol</stp>
        <tr r="A1251" s="1"/>
      </tp>
      <tp t="s">
        <v>MML25A</v>
        <stp/>
        <stp>bse_cm|MML25A</stp>
        <stp>Symbol</stp>
        <tr r="A1252" s="1"/>
      </tp>
      <tp t="s">
        <v>MFL26Z</v>
        <stp/>
        <stp>bse_cm|MFL26Z</stp>
        <stp>Symbol</stp>
        <tr r="A1655" s="1"/>
      </tp>
      <tp t="s">
        <v>MFL26E</v>
        <stp/>
        <stp>bse_cm|MFL26E</stp>
        <stp>Symbol</stp>
        <tr r="A1533" s="1"/>
      </tp>
      <tp t="s">
        <v>MFL26D</v>
        <stp/>
        <stp>bse_cm|MFL26D</stp>
        <stp>Symbol</stp>
        <tr r="A1279" s="1"/>
      </tp>
      <tp t="s">
        <v>MFL26F</v>
        <stp/>
        <stp>bse_cm|MFL26F</stp>
        <stp>Symbol</stp>
        <tr r="A1278" s="1"/>
      </tp>
      <tp t="s">
        <v>MFL26A</v>
        <stp/>
        <stp>bse_cm|MFL26A</stp>
        <stp>Symbol</stp>
        <tr r="A1557" s="1"/>
      </tp>
      <tp t="s">
        <v>MFL26C</v>
        <stp/>
        <stp>bse_cm|MFL26C</stp>
        <stp>Symbol</stp>
        <tr r="A1669" s="1"/>
      </tp>
      <tp t="s">
        <v>MFL26B</v>
        <stp/>
        <stp>bse_cm|MFL26B</stp>
        <stp>Symbol</stp>
        <tr r="A1280" s="1"/>
      </tp>
      <tp t="s">
        <v>MML26A</v>
        <stp/>
        <stp>bse_cm|MML26A</stp>
        <stp>Symbol</stp>
        <tr r="A1642" s="1"/>
      </tp>
      <tp>
        <v>0</v>
        <stp/>
        <stp>bse_cm|ICLFLZC29</stp>
        <stp>Open</stp>
        <tr r="M1613" s="1"/>
      </tp>
      <tp>
        <v>0</v>
        <stp/>
        <stp>bse_cm|975MFL29A</stp>
        <stp>Open</stp>
        <tr r="M854" s="1"/>
      </tp>
      <tp t="s">
        <v>INE477L07AM1</v>
        <stp/>
        <stp>bse_cm|IIFLZC25C</stp>
        <stp>Isin code</stp>
        <tr r="R1750" s="1"/>
      </tp>
      <tp t="s">
        <v>INE477L08162</v>
        <stp/>
        <stp>bse_cm|IIFLZC28C</stp>
        <stp>Isin code</stp>
        <tr r="R1404" s="1"/>
      </tp>
      <tp t="s">
        <v>INE01I507299</v>
        <stp/>
        <stp>bse_cm|KAFLZC26A</stp>
        <stp>Isin code</stp>
        <tr r="R1710" s="1"/>
      </tp>
      <tp t="s">
        <v>10SMCGSL26</v>
        <stp/>
        <stp>bse_cm|10SMCGSL26</stp>
        <stp>Trading Symbol</stp>
        <tr r="B138" s="1"/>
      </tp>
      <tp>
        <v>0</v>
        <stp/>
        <stp>bse_cm|935AHFL28</stp>
        <stp>Open</stp>
        <tr r="M456" s="1"/>
      </tp>
      <tp>
        <v>1034</v>
        <stp/>
        <stp>bse_cm|975AHFL28</stp>
        <stp>Open</stp>
        <tr r="M324" s="1"/>
      </tp>
      <tp t="s">
        <v>775MFL2026</v>
        <stp/>
        <stp>bse_cm|775MFL2026</stp>
        <stp>Trading Symbol</stp>
        <tr r="B240" s="1"/>
      </tp>
      <tp t="s">
        <v>785MFL2028</v>
        <stp/>
        <stp>bse_cm|785MFL2028</stp>
        <stp>Trading Symbol</stp>
        <tr r="B357" s="1"/>
      </tp>
      <tp t="s">
        <v>775MFL2025</v>
        <stp/>
        <stp>bse_cm|775MFL2025</stp>
        <stp>Trading Symbol</stp>
        <tr r="B336" s="1"/>
      </tp>
      <tp t="s">
        <v>825MFL2026</v>
        <stp/>
        <stp>bse_cm|825MFL2026</stp>
        <stp>Trading Symbol</stp>
        <tr r="B318" s="1"/>
      </tp>
      <tp t="s">
        <v>875KFL2025</v>
        <stp/>
        <stp>bse_cm|875KFL2025</stp>
        <stp>Trading Symbol</stp>
        <tr r="B1158" s="1"/>
      </tp>
      <tp t="s">
        <v>975MFL24BB</v>
        <stp/>
        <stp>bse_cm|975MFL24BB</stp>
        <stp>Trading Symbol</stp>
        <tr r="B552" s="1"/>
      </tp>
      <tp>
        <v>0</v>
        <stp/>
        <stp>bse_cm|805ABFL28</stp>
        <stp>Open</stp>
        <tr r="M1371" s="1"/>
      </tp>
      <tp t="s">
        <v>INE302E08050</v>
        <stp/>
        <stp>bse_cm|1025SFL25</stp>
        <stp>Isin code</stp>
        <tr r="R1071" s="1"/>
      </tp>
      <tp t="s">
        <v>CIFC26A-N9</v>
        <stp/>
        <stp>nse_cm|CIFC26A-N9</stp>
        <stp>Trading Symbol</stp>
        <tr r="B739" s="1"/>
      </tp>
      <tp t="s">
        <v>953EFSL31</v>
        <stp/>
        <stp>bse_cm|953EFSL31</stp>
        <stp>Symbol</stp>
        <tr r="A191" s="1"/>
      </tp>
      <tp t="s">
        <v>950EFSL26</v>
        <stp/>
        <stp>bse_cm|950EFSL26</stp>
        <stp>Symbol</stp>
        <tr r="A1493" s="1"/>
      </tp>
      <tp t="s">
        <v>957EFSL27</v>
        <stp/>
        <stp>bse_cm|957EFSL27</stp>
        <stp>Symbol</stp>
        <tr r="A576" s="1"/>
      </tp>
      <tp>
        <v>0</v>
        <stp/>
        <stp>bse_cm|965ARKA26</stp>
        <stp>Open</stp>
        <tr r="M869" s="1"/>
      </tp>
      <tp t="s">
        <v>955IFSL25</v>
        <stp/>
        <stp>bse_cm|955IFSL25</stp>
        <stp>Symbol</stp>
        <tr r="A1470" s="1"/>
      </tp>
      <tp t="s">
        <v>955EFSL26</v>
        <stp/>
        <stp>bse_cm|955EFSL26</stp>
        <stp>Symbol</stp>
        <tr r="A503" s="1"/>
      </tp>
      <tp>
        <v>0</v>
        <stp/>
        <stp>bse_cm|NIDO27</stp>
        <stp>LTP</stp>
        <tr r="H1661" s="1"/>
      </tp>
      <tp>
        <v>0</v>
        <stp/>
        <stp>bse_cm|NIDO26</stp>
        <stp>LTP</stp>
        <tr r="H1244" s="1"/>
      </tp>
      <tp>
        <v>0</v>
        <stp/>
        <stp>bse_cm|NIDO25</stp>
        <stp>LTP</stp>
        <tr r="H1726" s="1"/>
      </tp>
      <tp t="s">
        <v>00:00:00</v>
        <stp/>
        <stp>bse_cm|NIDO27</stp>
        <stp>LTT</stp>
        <tr r="I1661" s="1"/>
      </tp>
      <tp t="s">
        <v>00:00:00</v>
        <stp/>
        <stp>bse_cm|NIDO26</stp>
        <stp>LTT</stp>
        <tr r="I1244" s="1"/>
      </tp>
      <tp t="s">
        <v>00:00:00</v>
        <stp/>
        <stp>bse_cm|NIDO25</stp>
        <stp>LTT</stp>
        <tr r="I1726" s="1"/>
      </tp>
      <tp t="s">
        <v>00:00:00</v>
        <stp/>
        <stp>bse_cm|NIDO28</stp>
        <stp>LTT</stp>
        <tr r="I1243" s="1"/>
      </tp>
      <tp>
        <v>0</v>
        <stp/>
        <stp>bse_cm|NIDO28</stp>
        <stp>LTP</stp>
        <tr r="H1243" s="1"/>
      </tp>
      <tp t="s">
        <v>105UCL2026</v>
        <stp/>
        <stp>bse_cm|105UCL2026</stp>
        <stp>Trading Symbol</stp>
        <tr r="B319" s="1"/>
      </tp>
      <tp>
        <v>0</v>
        <stp/>
        <stp>bse_cm|965ARKA28</stp>
        <stp>Open</stp>
        <tr r="M1349" s="1"/>
      </tp>
      <tp t="s">
        <v>INE302E07508</v>
        <stp/>
        <stp>bse_cm|SFL25B</stp>
        <stp>Isin code</stp>
        <tr r="R1433" s="1"/>
      </tp>
      <tp t="s">
        <v>INE549K07CM5</v>
        <stp/>
        <stp>bse_cm|MFL28B</stp>
        <stp>Isin code</stp>
        <tr r="R1277" s="1"/>
      </tp>
      <tp t="s">
        <v>INE549K07CK9</v>
        <stp/>
        <stp>bse_cm|MFL25B</stp>
        <stp>Isin code</stp>
        <tr r="R1667" s="1"/>
      </tp>
      <tp t="s">
        <v>INE549K07BM7</v>
        <stp/>
        <stp>bse_cm|MFL24B</stp>
        <stp>Isin code</stp>
        <tr r="R1756" s="1"/>
      </tp>
      <tp t="s">
        <v>INE549K07AX6</v>
        <stp/>
        <stp>bse_cm|MFL26B</stp>
        <stp>Isin code</stp>
        <tr r="R1280" s="1"/>
      </tp>
      <tp t="s">
        <v>INE403Q07DC1</v>
        <stp/>
        <stp>bse_cm|KFL27B</stp>
        <stp>Isin code</stp>
        <tr r="R1301" s="1"/>
      </tp>
      <tp t="s">
        <v>INE403Q07DP3</v>
        <stp/>
        <stp>bse_cm|KFL26B</stp>
        <stp>Isin code</stp>
        <tr r="R1305" s="1"/>
      </tp>
      <tp t="s">
        <v>INE403Q07DA5</v>
        <stp/>
        <stp>bse_cm|KFL25B</stp>
        <stp>Isin code</stp>
        <tr r="R1308" s="1"/>
      </tp>
      <tp t="s">
        <v>SCL25-Y6</v>
        <stp/>
        <stp>nse_cm|SCL25-Y6</stp>
        <stp>Trading Symbol</stp>
        <tr r="B1753" s="1"/>
      </tp>
      <tp t="s">
        <v>10IIFL28A</v>
        <stp/>
        <stp>nse_cm|10IIFL28A-NE</stp>
        <stp>Symbol</stp>
        <tr r="A108" s="1"/>
      </tp>
      <tp t="s">
        <v>9SFL25A-ZH</v>
        <stp/>
        <stp>nse_cm|9SFL25A-ZH</stp>
        <stp>Trading Symbol</stp>
        <tr r="B463" s="1"/>
      </tp>
      <tp>
        <v>-100</v>
        <stp/>
        <stp>bse_cm|0MML27</stp>
        <stp>% Change</stp>
        <tr r="J1043" s="1"/>
      </tp>
      <tp>
        <v>-100</v>
        <stp/>
        <stp>bse_cm|EFSLZC26</stp>
        <stp>% Change</stp>
        <tr r="J1712" s="1"/>
      </tp>
      <tp>
        <v>-100</v>
        <stp/>
        <stp>bse_cm|EFSLZC25</stp>
        <stp>% Change</stp>
        <tr r="J1741" s="1"/>
      </tp>
      <tp>
        <v>1218</v>
        <stp/>
        <stp>nse_cm|830CIFC26-N2</stp>
        <stp>Ask Rate</stp>
        <tr r="F1625" s="1"/>
      </tp>
      <tp>
        <v>1200</v>
        <stp/>
        <stp>nse_cm|840IRFC29-N8</stp>
        <stp>Ask Rate</stp>
        <tr r="F528" s="1"/>
      </tp>
      <tp>
        <v>827.2</v>
        <stp/>
        <stp>nse_cm|1025SCL33-YJ</stp>
        <stp>Bid Rate</stp>
        <tr r="E836" s="1"/>
      </tp>
      <tp>
        <v>0</v>
        <stp/>
        <stp>bse_cm|920IIFLS26</stp>
        <stp>Ask Rate</stp>
        <tr r="F613" s="1"/>
      </tp>
      <tp>
        <v>-100</v>
        <stp/>
        <stp>bse_cm|0KFL25</stp>
        <stp>% Change</stp>
        <tr r="J1604" s="1"/>
      </tp>
      <tp>
        <v>825.2</v>
        <stp/>
        <stp>nse_cm|1015SCL29-ZL</stp>
        <stp>Bid Rate</stp>
        <tr r="E1176" s="1"/>
      </tp>
      <tp>
        <v>0</v>
        <stp/>
        <stp>bse_cm|957IIFLS27</stp>
        <stp>Ask Rate</stp>
        <tr r="F687" s="1"/>
      </tp>
      <tp>
        <v>814.85</v>
        <stp/>
        <stp>bse_cm|88SCL25</stp>
        <stp>Bid Rate</stp>
        <tr r="E987" s="1"/>
      </tp>
      <tp>
        <v>-100</v>
        <stp/>
        <stp>bse_cm|0KFL27</stp>
        <stp>% Change</stp>
        <tr r="J1046" s="1"/>
      </tp>
      <tp>
        <v>0</v>
        <stp/>
        <stp>bse_cm|EFSL24C</stp>
        <stp>Open</stp>
        <tr r="M1755" s="1"/>
      </tp>
      <tp>
        <v>-100</v>
        <stp/>
        <stp>bse_cm|0KFL26</stp>
        <stp>% Change</stp>
        <tr r="J1047" s="1"/>
      </tp>
      <tp>
        <v>1012</v>
        <stp/>
        <stp>bse_cm|IFL1942024</stp>
        <stp>Ask Rate</stp>
        <tr r="F1594" s="1"/>
      </tp>
      <tp>
        <v>0</v>
        <stp/>
        <stp>bse_cm|960IIFLS26</stp>
        <stp>Ask Rate</stp>
        <tr r="F872" s="1"/>
      </tp>
      <tp>
        <v>940.2</v>
        <stp/>
        <stp>bse_cm|98SCL27</stp>
        <stp>Bid Rate</stp>
        <tr r="E1545" s="1"/>
      </tp>
      <tp>
        <v>-100</v>
        <stp/>
        <stp>bse_cm|0KFL28</stp>
        <stp>% Change</stp>
        <tr r="J1045" s="1"/>
      </tp>
      <tp>
        <v>0</v>
        <stp/>
        <stp>nse_cm|ICCL25-NS</stp>
        <stp>ATP</stp>
        <tr r="K1401" s="1"/>
      </tp>
      <tp>
        <v>982</v>
        <stp/>
        <stp>nse_cm|105IIFL29-N7</stp>
        <stp>Prev Close</stp>
        <tr r="P270" s="1"/>
      </tp>
      <tp>
        <v>0</v>
        <stp/>
        <stp>bse_cm|915MMFS24</stp>
        <stp>Volume Traded Today</stp>
        <tr r="L1752" s="1"/>
      </tp>
      <tp>
        <v>0</v>
        <stp/>
        <stp>bse_cm|825MMFS27</stp>
        <stp>Volume Traded Today</stp>
        <tr r="L1381" s="1"/>
      </tp>
      <tp>
        <v>0</v>
        <stp/>
        <stp>bse_cm|805MMFS32</stp>
        <stp>Volume Traded Today</stp>
        <tr r="L1763" s="1"/>
      </tp>
      <tp>
        <v>983</v>
        <stp/>
        <stp>nse_cm|925SCL25C-AR</stp>
        <stp>High</stp>
        <tr r="N249" s="1"/>
      </tp>
      <tp>
        <v>-100</v>
        <stp/>
        <stp>bse_cm|93SCFL25</stp>
        <stp>% Change</stp>
        <tr r="J980" s="1"/>
      </tp>
      <tp>
        <v>-100</v>
        <stp/>
        <stp>bse_cm|0MML29</stp>
        <stp>% Change</stp>
        <tr r="J1041" s="1"/>
      </tp>
      <tp>
        <v>-100</v>
        <stp/>
        <stp>bse_cm|EFSLZC28</stp>
        <stp>% Change</stp>
        <tr r="J1637" s="1"/>
      </tp>
      <tp t="s">
        <v>BSE</v>
        <stp/>
        <stp>bse_cm|975JMFCS28</stp>
        <stp>Exchange</stp>
        <tr r="C275" s="1"/>
      </tp>
      <tp t="s">
        <v>BSE</v>
        <stp/>
        <stp>bse_cm|1010EFSL28</stp>
        <stp>Exchange</stp>
        <tr r="C663" s="1"/>
      </tp>
      <tp t="s">
        <v>NSE</v>
        <stp/>
        <stp>nse_cm|734IRFC28-N4</stp>
        <stp>Exchange</stp>
        <tr r="C455" s="1"/>
      </tp>
      <tp t="s">
        <v>BSE</v>
        <stp/>
        <stp>bse_cm|1050EFSL29</stp>
        <stp>Exchange</stp>
        <tr r="C1484" s="1"/>
      </tp>
      <tp t="s">
        <v>BSE</v>
        <stp/>
        <stp>bse_cm|1010EFSL29</stp>
        <stp>Exchange</stp>
        <tr r="C1459" s="1"/>
      </tp>
      <tp t="s">
        <v>BSE</v>
        <stp/>
        <stp>bse_cm|1004EFSL29</stp>
        <stp>Exchange</stp>
        <tr r="C1586" s="1"/>
      </tp>
      <tp t="s">
        <v>BSE</v>
        <stp/>
        <stp>bse_cm|935MMFSL29</stp>
        <stp>Exchange</stp>
        <tr r="C1174" s="1"/>
      </tp>
      <tp>
        <v>834.2</v>
        <stp/>
        <stp>bse_cm|88MFL28</stp>
        <stp>Bid Rate</stp>
        <tr r="E233" s="1"/>
      </tp>
      <tp t="s">
        <v>BSE</v>
        <stp/>
        <stp>bse_cm|934JMFCS28</stp>
        <stp>Exchange</stp>
        <tr r="C325" s="1"/>
      </tp>
      <tp t="s">
        <v>BSE</v>
        <stp/>
        <stp>bse_cm|994SMCGS29</stp>
        <stp>Exchange</stp>
        <tr r="C221" s="1"/>
      </tp>
      <tp t="s">
        <v>BSE</v>
        <stp/>
        <stp>bse_cm|981JMFCS28</stp>
        <stp>Exchange</stp>
        <tr r="C295" s="1"/>
      </tp>
      <tp>
        <v>-100</v>
        <stp/>
        <stp>bse_cm|0SCL27</stp>
        <stp>% Change</stp>
        <tr r="J721" s="1"/>
      </tp>
      <tp>
        <v>0</v>
        <stp/>
        <stp>nse_cm|0SCL27-YW</stp>
        <stp>ATP</stp>
        <tr r="K1616" s="1"/>
      </tp>
      <tp>
        <v>0</v>
        <stp/>
        <stp>nse_cm|0SCL26-YR</stp>
        <stp>ATP</stp>
        <tr r="K1622" s="1"/>
      </tp>
      <tp t="s">
        <v>BSE</v>
        <stp/>
        <stp>bse_cm|805MMFSL32</stp>
        <stp>Exchange</stp>
        <tr r="C401" s="1"/>
      </tp>
      <tp>
        <v>0</v>
        <stp/>
        <stp>nse_cm|9SCL25-YM</stp>
        <stp>ATP</stp>
        <tr r="K97" s="1"/>
      </tp>
      <tp>
        <v>-100</v>
        <stp/>
        <stp>bse_cm|0SFL26</stp>
        <stp>% Change</stp>
        <tr r="J703" s="1"/>
      </tp>
      <tp>
        <v>-100</v>
        <stp/>
        <stp>bse_cm|0SCL26</stp>
        <stp>% Change</stp>
        <tr r="J1359" s="1"/>
      </tp>
      <tp>
        <v>1000</v>
        <stp/>
        <stp>nse_cm|1075SCL33-YK</stp>
        <stp>Face Value</stp>
        <tr r="Q707" s="1"/>
      </tp>
      <tp>
        <v>1000</v>
        <stp/>
        <stp>nse_cm|1025SCL33-YJ</stp>
        <stp>Face Value</stp>
        <tr r="Q836" s="1"/>
      </tp>
      <tp>
        <v>1000</v>
        <stp/>
        <stp>nse_cm|1025UCL25-N8</stp>
        <stp>Face Value</stp>
        <tr r="Q217" s="1"/>
      </tp>
      <tp>
        <v>1000</v>
        <stp/>
        <stp>nse_cm|1075UCL25-N9</stp>
        <stp>Face Value</stp>
        <tr r="Q498" s="1"/>
      </tp>
      <tp>
        <v>1000</v>
        <stp/>
        <stp>nse_cm|1050UCL25-N7</stp>
        <stp>Face Value</stp>
        <tr r="Q201" s="1"/>
      </tp>
      <tp t="s">
        <v>BSE</v>
        <stp/>
        <stp>bse_cm|830JMFPL30</stp>
        <stp>Exchange</stp>
        <tr r="C251" s="1"/>
      </tp>
      <tp>
        <v>1000</v>
        <stp/>
        <stp>nse_cm|1040UCL25-N4</stp>
        <stp>Face Value</stp>
        <tr r="Q669" s="1"/>
      </tp>
      <tp t="s">
        <v>INE01CY077O0</v>
        <stp/>
        <stp>bse_cm|IFL19424</stp>
        <stp>Isin code</stp>
        <tr r="R1344" s="1"/>
      </tp>
      <tp>
        <v>1030.3</v>
        <stp/>
        <stp>nse_cm|CIFC26A-N9</stp>
        <stp xml:space="preserve">Low </stp>
        <tr r="O739" s="1"/>
      </tp>
      <tp t="s">
        <v>980SCL34</v>
        <stp/>
        <stp>nse_cm|980SCL34-Z7</stp>
        <stp>Symbol</stp>
        <tr r="A884" s="1"/>
      </tp>
      <tp t="s">
        <v>833SCL24</v>
        <stp/>
        <stp>nse_cm|833SCL24-ZE</stp>
        <stp>Symbol</stp>
        <tr r="A957" s="1"/>
      </tp>
      <tp t="s">
        <v>857SCL24</v>
        <stp/>
        <stp>nse_cm|857SCL24-ZQ</stp>
        <stp>Symbol</stp>
        <tr r="A975" s="1"/>
      </tp>
      <tp t="s">
        <v>865SCL24</v>
        <stp/>
        <stp>nse_cm|865SCL24-ZA</stp>
        <stp>Symbol</stp>
        <tr r="A954" s="1"/>
      </tp>
      <tp t="s">
        <v>894SCL24</v>
        <stp/>
        <stp>nse_cm|894SCL24-ZR</stp>
        <stp>Symbol</stp>
        <tr r="A661" s="1"/>
      </tp>
      <tp>
        <v>1160</v>
        <stp/>
        <stp>nse_cm|CAGL25A-N4</stp>
        <stp xml:space="preserve">Low </stp>
        <tr r="O709" s="1"/>
      </tp>
      <tp>
        <v>918.4</v>
        <stp/>
        <stp>nse_cm|CAGL27A-N6</stp>
        <stp xml:space="preserve">Low </stp>
        <tr r="O758" s="1"/>
      </tp>
      <tp>
        <v>1000</v>
        <stp/>
        <stp>nse_cm|IIFLZC28B-Y1</stp>
        <stp>Face Value</stp>
        <tr r="Q1491" s="1"/>
      </tp>
      <tp>
        <v>1000</v>
        <stp/>
        <stp>nse_cm|IIFLZC25B-NW</stp>
        <stp>Face Value</stp>
        <tr r="Q1684" s="1"/>
      </tp>
      <tp>
        <v>1000</v>
        <stp/>
        <stp>nse_cm|IIFLZC26B-NY</stp>
        <stp>Face Value</stp>
        <tr r="Q1629" s="1"/>
      </tp>
      <tp t="s">
        <v>BSE</v>
        <stp/>
        <stp>bse_cm|CCI110324A</stp>
        <stp>Exchange</stp>
        <tr r="C1590" s="1"/>
      </tp>
      <tp>
        <v>0</v>
        <stp/>
        <stp>nse_cm|91MOFSL27-N2</stp>
        <stp>ATP</stp>
        <tr r="K1611" s="1"/>
      </tp>
      <tp>
        <v>0</v>
        <stp/>
        <stp>nse_cm|990SCFL26-AJ</stp>
        <stp>Ask Rate</stp>
        <tr r="F1523" s="1"/>
      </tp>
      <tp t="s">
        <v>BSE</v>
        <stp/>
        <stp>bse_cm|CCIL14824A</stp>
        <stp>Exchange</stp>
        <tr r="C590" s="1"/>
      </tp>
      <tp t="s">
        <v>INE05F407CK5</v>
        <stp/>
        <stp>bse_cm|MML11924</stp>
        <stp>Isin code</stp>
        <tr r="R1536" s="1"/>
      </tp>
      <tp t="s">
        <v>INE0BUS07AW9</v>
        <stp/>
        <stp>bse_cm|IML16224</stp>
        <stp>Isin code</stp>
        <tr r="R1499" s="1"/>
      </tp>
      <tp t="s">
        <v>BSE</v>
        <stp/>
        <stp>bse_cm|CCIL14824C</stp>
        <stp>Exchange</stp>
        <tr r="C751" s="1"/>
      </tp>
      <tp t="s">
        <v>NSE</v>
        <stp/>
        <stp>nse_cm|764IRFC31-NO</stp>
        <stp>Exchange</stp>
        <tr r="C468" s="1"/>
      </tp>
      <tp t="s">
        <v>BSE</v>
        <stp/>
        <stp>bse_cm|CCIL14824B</stp>
        <stp>Exchange</stp>
        <tr r="C752" s="1"/>
      </tp>
      <tp>
        <v>0</v>
        <stp/>
        <stp>bse_cm|MHLZC26</stp>
        <stp>ATP</stp>
        <tr r="K1522" s="1"/>
      </tp>
      <tp>
        <v>1179.99</v>
        <stp/>
        <stp>nse_cm|750IRFC35-NK</stp>
        <stp>Ask Rate</stp>
        <tr r="F485" s="1"/>
      </tp>
      <tp>
        <v>0</v>
        <stp/>
        <stp>bse_cm|875CIFC23B</stp>
        <stp>Ask Rate</stp>
        <tr r="F1394" s="1"/>
      </tp>
      <tp>
        <v>4</v>
        <stp/>
        <stp>nse_cm|935LTF29-N5</stp>
        <stp>Bid Qty</stp>
        <tr r="D395" s="1"/>
      </tp>
      <tp>
        <v>10</v>
        <stp/>
        <stp>nse_cm|905LTF27-NF</stp>
        <stp>Bid Qty</stp>
        <tr r="D393" s="1"/>
      </tp>
      <tp>
        <v>0</v>
        <stp/>
        <stp>nse_cm|905SC24-ZB</stp>
        <stp>Open</stp>
        <tr r="M1374" s="1"/>
      </tp>
      <tp t="s">
        <v>BSE</v>
        <stp/>
        <stp>bse_cm|967EFSL29A</stp>
        <stp>Exchange</stp>
        <tr r="C180" s="1"/>
      </tp>
      <tp>
        <v>0</v>
        <stp/>
        <stp>bse_cm|MFLZC27</stp>
        <stp>ATP</stp>
        <tr r="K1271" s="1"/>
      </tp>
      <tp>
        <v>0</v>
        <stp/>
        <stp>bse_cm|MFLZC26</stp>
        <stp>ATP</stp>
        <tr r="K1720" s="1"/>
      </tp>
      <tp>
        <v>0</v>
        <stp/>
        <stp>bse_cm|MFLZC25</stp>
        <stp>ATP</stp>
        <tr r="K1683" s="1"/>
      </tp>
      <tp>
        <v>0</v>
        <stp/>
        <stp>bse_cm|MFLZC32</stp>
        <stp>ATP</stp>
        <tr r="K1266" s="1"/>
      </tp>
      <tp>
        <v>0</v>
        <stp/>
        <stp>bse_cm|MFLZC30</stp>
        <stp>ATP</stp>
        <tr r="K1267" s="1"/>
      </tp>
      <tp t="s">
        <v>95MMFSL29</v>
        <stp/>
        <stp>bse_cm|95MMFSL29</stp>
        <stp>Symbol</stp>
        <tr r="A353" s="1"/>
      </tp>
      <tp t="s">
        <v>NSE</v>
        <stp/>
        <stp>nse_cm|9SCL25-YM</stp>
        <stp>Exchange</stp>
        <tr r="C97" s="1"/>
      </tp>
      <tp>
        <v>979</v>
        <stp/>
        <stp>bse_cm|971SCL29A</stp>
        <stp>High</stp>
        <tr r="N862" s="1"/>
      </tp>
      <tp>
        <v>948</v>
        <stp/>
        <stp>bse_cm|925SCL29A</stp>
        <stp>High</stp>
        <tr r="N268" s="1"/>
      </tp>
      <tp>
        <v>0</v>
        <stp/>
        <stp>nse_cm|AEL120924B-N8</stp>
        <stp>% Change</stp>
        <tr r="J1640" s="1"/>
      </tp>
      <tp>
        <v>975</v>
        <stp/>
        <stp>bse_cm|1119NFL27</stp>
        <stp>Bid Rate</stp>
        <tr r="E1140" s="1"/>
      </tp>
      <tp t="s">
        <v>NSE</v>
        <stp/>
        <stp>nse_cm|0SCL26-YR</stp>
        <stp>Exchange</stp>
        <tr r="C1622" s="1"/>
      </tp>
      <tp t="s">
        <v>NSE</v>
        <stp/>
        <stp>nse_cm|0SCL27-YW</stp>
        <stp>Exchange</stp>
        <tr r="C1616" s="1"/>
      </tp>
      <tp t="s">
        <v>INE148I07MZ1</v>
        <stp/>
        <stp>nse_cm|93SCL24A-ZN</stp>
        <stp>Isin code</stp>
        <tr r="R695" s="1"/>
      </tp>
      <tp>
        <v>0</v>
        <stp/>
        <stp>nse_cm|AEL120924A-N5</stp>
        <stp>% Change</stp>
        <tr r="J1555" s="1"/>
      </tp>
      <tp t="s">
        <v>INE148I07SQ7</v>
        <stp/>
        <stp>bse_cm|1025SCL34</stp>
        <stp>Isin code</stp>
        <tr r="R129" s="1"/>
      </tp>
      <tp t="s">
        <v>INE148I07TP7</v>
        <stp/>
        <stp>bse_cm|1075SCL34</stp>
        <stp>Isin code</stp>
        <tr r="R888" s="1"/>
      </tp>
      <tp t="s">
        <v>INE148I07TA9</v>
        <stp/>
        <stp>bse_cm|SCL310524</stp>
        <stp>Isin code</stp>
        <tr r="R1345" s="1"/>
      </tp>
      <tp>
        <v>0</v>
        <stp/>
        <stp>bse_cm|CIFC26</stp>
        <stp>ATP</stp>
        <tr r="K742" s="1"/>
      </tp>
      <tp>
        <v>0</v>
        <stp/>
        <stp>bse_cm|CIFC28</stp>
        <stp>ATP</stp>
        <tr r="K1529" s="1"/>
      </tp>
      <tp t="s">
        <v>945IFSL25</v>
        <stp/>
        <stp>bse_cm|945IFSL25</stp>
        <stp>Symbol</stp>
        <tr r="A483" s="1"/>
      </tp>
      <tp t="s">
        <v>INE549K07BL9</v>
        <stp/>
        <stp>bse_cm|MFL25C</stp>
        <stp>Isin code</stp>
        <tr r="R1571" s="1"/>
      </tp>
      <tp t="s">
        <v>INE549K07BQ8</v>
        <stp/>
        <stp>bse_cm|MFL26C</stp>
        <stp>Isin code</stp>
        <tr r="R1669" s="1"/>
      </tp>
      <tp t="s">
        <v>INE403Q07DI8</v>
        <stp/>
        <stp>bse_cm|KFL27C</stp>
        <stp>Isin code</stp>
        <tr r="R1300" s="1"/>
      </tp>
      <tp t="s">
        <v>INE403Q07DQ1</v>
        <stp/>
        <stp>bse_cm|KFL26C</stp>
        <stp>Isin code</stp>
        <tr r="R1304" s="1"/>
      </tp>
      <tp t="s">
        <v>INE403Q07DH0</v>
        <stp/>
        <stp>bse_cm|KFL25C</stp>
        <stp>Isin code</stp>
        <tr r="R1307" s="1"/>
      </tp>
      <tp t="s">
        <v>SCL24-ZD</v>
        <stp/>
        <stp>nse_cm|SCL24-ZD</stp>
        <stp>Trading Symbol</stp>
        <tr r="B956" s="1"/>
      </tp>
      <tp t="s">
        <v>CAGL25A-N4</v>
        <stp/>
        <stp>nse_cm|CAGL25A-N4</stp>
        <stp>Trading Symbol</stp>
        <tr r="B709" s="1"/>
      </tp>
      <tp t="s">
        <v>CAGL27A-N6</v>
        <stp/>
        <stp>nse_cm|CAGL27A-N6</stp>
        <stp>Trading Symbol</stp>
        <tr r="B758" s="1"/>
      </tp>
      <tp>
        <v>-100</v>
        <stp/>
        <stp>bse_cm|0KFL31</stp>
        <stp>% Change</stp>
        <tr r="J1044" s="1"/>
      </tp>
      <tp>
        <v>990</v>
        <stp/>
        <stp>nse_cm|971SCL28I-BC</stp>
        <stp xml:space="preserve">Low </stp>
        <tr r="O531" s="1"/>
      </tp>
      <tp>
        <v>0</v>
        <stp/>
        <stp>bse_cm|775MFLTD28</stp>
        <stp>Ask Rate</stp>
        <tr r="F1192" s="1"/>
      </tp>
      <tp>
        <v>0</v>
        <stp/>
        <stp>bse_cm|EFSL25A</stp>
        <stp>Open</stp>
        <tr r="M1706" s="1"/>
      </tp>
      <tp>
        <v>0</v>
        <stp/>
        <stp>bse_cm|850CIFCL26</stp>
        <stp>Ask Rate</stp>
        <tr r="F1164" s="1"/>
      </tp>
      <tp>
        <v>812.6</v>
        <stp/>
        <stp>bse_cm|98SCL34</stp>
        <stp>Bid Rate</stp>
        <tr r="E1053" s="1"/>
      </tp>
      <tp>
        <v>885.2</v>
        <stp/>
        <stp>bse_cm|89SCL24</stp>
        <stp>Bid Rate</stp>
        <tr r="E1153" s="1"/>
      </tp>
      <tp>
        <v>0</v>
        <stp/>
        <stp>bse_cm|EFSL25B</stp>
        <stp>Open</stp>
        <tr r="M1682" s="1"/>
      </tp>
      <tp>
        <v>900.3</v>
        <stp/>
        <stp>bse_cm|99SCL27</stp>
        <stp>Bid Rate</stp>
        <tr r="E1169" s="1"/>
      </tp>
      <tp>
        <v>0</v>
        <stp/>
        <stp>bse_cm|1010EFS29</stp>
        <stp>LTP</stp>
        <tr r="H726" s="1"/>
      </tp>
      <tp>
        <v>0</v>
        <stp/>
        <stp>bse_cm|1010EFS28</stp>
        <stp>LTP</stp>
        <tr r="H116" s="1"/>
      </tp>
      <tp t="s">
        <v>00:00:00</v>
        <stp/>
        <stp>bse_cm|1010EFS29</stp>
        <stp>LTT</stp>
        <tr r="I726" s="1"/>
      </tp>
      <tp t="s">
        <v>00:00:00</v>
        <stp/>
        <stp>bse_cm|1010EFS28</stp>
        <stp>LTT</stp>
        <tr r="I116" s="1"/>
      </tp>
      <tp>
        <v>0</v>
        <stp/>
        <stp>bse_cm|860CIFCL28</stp>
        <stp>Ask Rate</stp>
        <tr r="F1431" s="1"/>
      </tp>
      <tp>
        <v>1380</v>
        <stp/>
        <stp>nse_cm|891NTPC33-N6</stp>
        <stp>Ask Rate</stp>
        <tr r="F535" s="1"/>
      </tp>
      <tp>
        <v>1060</v>
        <stp/>
        <stp>bse_cm|840CIFCL28</stp>
        <stp>Ask Rate</stp>
        <tr r="F419" s="1"/>
      </tp>
      <tp>
        <v>975</v>
        <stp/>
        <stp>bse_cm|775MFL2026</stp>
        <stp>Ask Rate</stp>
        <tr r="F240" s="1"/>
      </tp>
      <tp>
        <v>1020</v>
        <stp/>
        <stp>nse_cm|970CAGL28-ND</stp>
        <stp>Prev Close</stp>
        <tr r="P306" s="1"/>
      </tp>
      <tp>
        <v>0</v>
        <stp/>
        <stp>bse_cm|775MFLTD26</stp>
        <stp>Ask Rate</stp>
        <tr r="F652" s="1"/>
      </tp>
      <tp>
        <v>997</v>
        <stp/>
        <stp>bse_cm|785MFL2028</stp>
        <stp>Ask Rate</stp>
        <tr r="F357" s="1"/>
      </tp>
      <tp>
        <v>0</v>
        <stp/>
        <stp>nse_cm|925SCL26B-YQ</stp>
        <stp>Open</stp>
        <tr r="M90" s="1"/>
      </tp>
      <tp>
        <v>1023</v>
        <stp/>
        <stp>bse_cm|775MFL2025</stp>
        <stp>Ask Rate</stp>
        <tr r="F336" s="1"/>
      </tp>
      <tp>
        <v>0</v>
        <stp/>
        <stp>bse_cm|775MFLTD25</stp>
        <stp>Ask Rate</stp>
        <tr r="F649" s="1"/>
      </tp>
      <tp t="s">
        <v>BSE</v>
        <stp/>
        <stp>bse_cm|925KLMAF25</stp>
        <stp>Exchange</stp>
        <tr r="C612" s="1"/>
      </tp>
      <tp>
        <v>0</v>
        <stp/>
        <stp>nse_cm|925SCL26A-YN</stp>
        <stp>Open</stp>
        <tr r="M838" s="1"/>
      </tp>
      <tp>
        <v>992</v>
        <stp/>
        <stp>nse_cm|84CIFCL28-NA</stp>
        <stp xml:space="preserve">Low </stp>
        <tr r="O388" s="1"/>
      </tp>
      <tp>
        <v>899</v>
        <stp/>
        <stp>bse_cm|79IGT28</stp>
        <stp>Bid Rate</stp>
        <tr r="E1183" s="1"/>
      </tp>
      <tp>
        <v>0</v>
        <stp/>
        <stp>nse_cm|925SCL28B-YC</stp>
        <stp>Open</stp>
        <tr r="M825" s="1"/>
      </tp>
      <tp>
        <v>0</v>
        <stp/>
        <stp>nse_cm|835SCL23A-YH</stp>
        <stp>Open</stp>
        <tr r="M833" s="1"/>
      </tp>
      <tp t="s">
        <v>BSE</v>
        <stp/>
        <stp>bse_cm|1049DLSL25</stp>
        <stp>Exchange</stp>
        <tr r="C84" s="1"/>
      </tp>
      <tp>
        <v>0</v>
        <stp/>
        <stp>bse_cm|0SFL29A</stp>
        <stp>High</stp>
        <tr r="N1033" s="1"/>
      </tp>
      <tp>
        <v>0</v>
        <stp/>
        <stp>nse_cm|965SCL28B-YB</stp>
        <stp>Open</stp>
        <tr r="M819" s="1"/>
      </tp>
      <tp>
        <v>0</v>
        <stp/>
        <stp>nse_cm|875SCL23A-YI</stp>
        <stp>Open</stp>
        <tr r="M1477" s="1"/>
      </tp>
      <tp t="s">
        <v>BSE</v>
        <stp/>
        <stp>bse_cm|975KLMAF26</stp>
        <stp>Exchange</stp>
        <tr r="C857" s="1"/>
      </tp>
      <tp>
        <v>0</v>
        <stp/>
        <stp>nse_cm|971SCL28C-BU</stp>
        <stp xml:space="preserve">Low </stp>
        <tr r="O826" s="1"/>
      </tp>
      <tp t="s">
        <v>BSE</v>
        <stp/>
        <stp>bse_cm|950KLMAF25</stp>
        <stp>Exchange</stp>
        <tr r="C1149" s="1"/>
      </tp>
      <tp>
        <v>0</v>
        <stp/>
        <stp>nse_cm|835SCL23B-YM</stp>
        <stp>Open</stp>
        <tr r="M179" s="1"/>
      </tp>
      <tp>
        <v>-100</v>
        <stp/>
        <stp>bse_cm|0SFL31</stp>
        <stp>% Change</stp>
        <tr r="J1032" s="1"/>
      </tp>
      <tp t="s">
        <v>BSE</v>
        <stp/>
        <stp>bse_cm|1045EFSL34</stp>
        <stp>Exchange</stp>
        <tr r="C1413" s="1"/>
      </tp>
      <tp t="s">
        <v>BSE</v>
        <stp/>
        <stp>bse_cm|1049EFSL34</stp>
        <stp>Exchange</stp>
        <tr r="C1584" s="1"/>
      </tp>
      <tp t="s">
        <v>BSE</v>
        <stp/>
        <stp>bse_cm|820JMFPL26</stp>
        <stp>Exchange</stp>
        <tr r="C349" s="1"/>
      </tp>
      <tp>
        <v>950.2</v>
        <stp/>
        <stp>bse_cm|89MFL26</stp>
        <stp>Bid Rate</stp>
        <tr r="E250" s="1"/>
      </tp>
      <tp>
        <v>650</v>
        <stp/>
        <stp>nse_cm|902SCL26I-AW</stp>
        <stp xml:space="preserve">Low </stp>
        <tr r="O1383" s="1"/>
      </tp>
      <tp t="s">
        <v>BSE</v>
        <stp/>
        <stp>bse_cm|800MMFSL27</stp>
        <stp>Exchange</stp>
        <tr r="C436" s="1"/>
      </tp>
      <tp>
        <v>1000</v>
        <stp/>
        <stp>bse_cm|CCILZC25A</stp>
        <stp>Face Value</stp>
        <tr r="Q749" s="1"/>
      </tp>
      <tp>
        <v>0</v>
        <stp/>
        <stp>bse_cm|MFLI25A</stp>
        <stp>Open</stp>
        <tr r="M362" s="1"/>
      </tp>
      <tp>
        <v>1011</v>
        <stp/>
        <stp>bse_cm|99AEL29</stp>
        <stp>Bid Rate</stp>
        <tr r="E243" s="1"/>
      </tp>
      <tp t="s">
        <v>BSE</v>
        <stp/>
        <stp>bse_cm|872MMFSL26</stp>
        <stp>Exchange</stp>
        <tr r="C406" s="1"/>
      </tp>
      <tp>
        <v>900.3</v>
        <stp/>
        <stp>nse_cm|1003SCL31-ZQ</stp>
        <stp>Bid Rate</stp>
        <tr r="E688" s="1"/>
      </tp>
      <tp t="s">
        <v>BSE</v>
        <stp/>
        <stp>bse_cm|1010EFSL32</stp>
        <stp>Exchange</stp>
        <tr r="C631" s="1"/>
      </tp>
      <tp>
        <v>1000</v>
        <stp/>
        <stp>nse_cm|1035UCL24-N6</stp>
        <stp>Face Value</stp>
        <tr r="Q591" s="1"/>
      </tp>
      <tp t="s">
        <v>BSE</v>
        <stp/>
        <stp>bse_cm|1045EFSL33</stp>
        <stp>Exchange</stp>
        <tr r="C1382" s="1"/>
      </tp>
      <tp t="s">
        <v>BSE</v>
        <stp/>
        <stp>bse_cm|853MMFSL26</stp>
        <stp>Exchange</stp>
        <tr r="C1005" s="1"/>
      </tp>
      <tp>
        <v>1000</v>
        <stp/>
        <stp>nse_cm|750IRFC35-NK</stp>
        <stp>Face Value</stp>
        <tr r="Q485" s="1"/>
      </tp>
      <tp t="s">
        <v>00:00:00</v>
        <stp/>
        <stp>bse_cm|0SFL29A</stp>
        <stp>LTT</stp>
        <tr r="I1033" s="1"/>
      </tp>
      <tp>
        <v>0</v>
        <stp/>
        <stp>bse_cm|0SFL29A</stp>
        <stp>LTP</stp>
        <tr r="H1033" s="1"/>
      </tp>
      <tp t="s">
        <v>866SFL25</v>
        <stp/>
        <stp>nse_cm|866SFL25-ZE</stp>
        <stp>Symbol</stp>
        <tr r="A1389" s="1"/>
      </tp>
      <tp>
        <v>1000</v>
        <stp/>
        <stp>bse_cm|0SMCGSL26</stp>
        <stp>Face Value</stp>
        <tr r="Q589" s="1"/>
      </tp>
      <tp>
        <v>1000</v>
        <stp/>
        <stp>bse_cm|0SMCGSL27</stp>
        <stp>Face Value</stp>
        <tr r="Q1532" s="1"/>
      </tp>
      <tp t="s">
        <v>NSE</v>
        <stp/>
        <stp>nse_cm|865IRFC29-NA</stp>
        <stp>Exchange</stp>
        <tr r="C491" s="1"/>
      </tp>
      <tp>
        <v>0</v>
        <stp/>
        <stp>bse_cm|8ABFL26</stp>
        <stp>Open</stp>
        <tr r="M539" s="1"/>
      </tp>
      <tp t="s">
        <v>905PEL26</v>
        <stp/>
        <stp>nse_cm|905PEL26-N1</stp>
        <stp>Symbol</stp>
        <tr r="A500" s="1"/>
      </tp>
      <tp>
        <v>-2</v>
        <stp/>
        <stp>nse_cm|10SCL30A-BV</stp>
        <stp>% Change</stp>
        <tr r="J445" s="1"/>
      </tp>
      <tp t="s">
        <v>886REC34</v>
        <stp/>
        <stp>nse_cm|886REC34-NG</stp>
        <stp>Symbol</stp>
        <tr r="A536" s="1"/>
      </tp>
      <tp t="s">
        <v>861REC34</v>
        <stp/>
        <stp>nse_cm|861REC34-ND</stp>
        <stp>Symbol</stp>
        <tr r="A583" s="1"/>
      </tp>
      <tp t="s">
        <v>916SCL25</v>
        <stp/>
        <stp>nse_cm|916SCL25-ZW</stp>
        <stp>Symbol</stp>
        <tr r="A1576" s="1"/>
      </tp>
      <tp t="s">
        <v>905SCL25</v>
        <stp/>
        <stp>nse_cm|905SCL25-ZT</stp>
        <stp>Symbol</stp>
        <tr r="A977" s="1"/>
      </tp>
      <tp t="s">
        <v>955SCL25</v>
        <stp/>
        <stp>nse_cm|955SCL25-ZU</stp>
        <stp>Symbol</stp>
        <tr r="A1391" s="1"/>
      </tp>
      <tp t="s">
        <v>925SCL25</v>
        <stp/>
        <stp>nse_cm|925SCL25-N5</stp>
        <stp>Symbol</stp>
        <tr r="A1474" s="1"/>
      </tp>
      <tp t="s">
        <v>965SCL25</v>
        <stp/>
        <stp>nse_cm|965SCL25-AG</stp>
        <stp>Symbol</stp>
        <tr r="A1577" s="1"/>
      </tp>
      <tp t="s">
        <v>820SCL25</v>
        <stp/>
        <stp>nse_cm|820SCL25-YO</stp>
        <stp>Symbol</stp>
        <tr r="A932" s="1"/>
      </tp>
      <tp t="s">
        <v>866SCL25</v>
        <stp/>
        <stp>nse_cm|866SCL25-YP</stp>
        <stp>Symbol</stp>
        <tr r="A933" s="1"/>
      </tp>
      <tp t="s">
        <v>847SCL25</v>
        <stp/>
        <stp>nse_cm|847SCL25-Z2</stp>
        <stp>Symbol</stp>
        <tr r="A212" s="1"/>
      </tp>
      <tp t="s">
        <v>850SCL25</v>
        <stp/>
        <stp>nse_cm|850SCL25-YL</stp>
        <stp>Symbol</stp>
        <tr r="A922" s="1"/>
      </tp>
      <tp t="s">
        <v>894SCL25</v>
        <stp/>
        <stp>nse_cm|894SCL25-Z3</stp>
        <stp>Symbol</stp>
        <tr r="A1698" s="1"/>
      </tp>
      <tp t="s">
        <v>888SCL25</v>
        <stp/>
        <stp>nse_cm|888SCL25-NG</stp>
        <stp>Symbol</stp>
        <tr r="A912" s="1"/>
      </tp>
      <tp>
        <v>0</v>
        <stp/>
        <stp>nse_cm|IIFLHF29-NE</stp>
        <stp>% Change</stp>
        <tr r="J1630" s="1"/>
      </tp>
      <tp>
        <v>1000</v>
        <stp/>
        <stp>nse_cm|IIFLZC25C-N8</stp>
        <stp>Face Value</stp>
        <tr r="Q1748" s="1"/>
      </tp>
      <tp>
        <v>1000</v>
        <stp/>
        <stp>nse_cm|IIFLZC28C-N6</stp>
        <stp>Face Value</stp>
        <tr r="Q1656" s="1"/>
      </tp>
      <tp t="s">
        <v>BSE</v>
        <stp/>
        <stp>bse_cm|875IIFL26A</stp>
        <stp>Exchange</stp>
        <tr r="C232" s="1"/>
      </tp>
      <tp t="s">
        <v>BSE</v>
        <stp/>
        <stp>bse_cm|975MFCL28E</stp>
        <stp>Exchange</stp>
        <tr r="C303" s="1"/>
      </tp>
      <tp>
        <v>0</v>
        <stp/>
        <stp>nse_cm|980IFSL25-N5</stp>
        <stp>Volume Traded Today</stp>
        <tr r="L476" s="1"/>
      </tp>
      <tp>
        <v>0</v>
        <stp/>
        <stp>nse_cm|843SCFL27-YB</stp>
        <stp>Bid Rate</stp>
        <tr r="E929" s="1"/>
      </tp>
      <tp t="s">
        <v>INE414G07DY3</v>
        <stp/>
        <stp>bse_cm|10MFL24B</stp>
        <stp>Isin code</stp>
        <tr r="R185" s="1"/>
      </tp>
      <tp>
        <v>0</v>
        <stp/>
        <stp>nse_cm|925SCL25H-Y0</stp>
        <stp>Open</stp>
        <tr r="M791" s="1"/>
      </tp>
      <tp t="s">
        <v>BSE</v>
        <stp/>
        <stp>bse_cm|AEL120924B</stp>
        <stp>Exchange</stp>
        <tr r="C1641" s="1"/>
      </tp>
      <tp t="s">
        <v>BSE</v>
        <stp/>
        <stp>bse_cm|1045EFS33A</stp>
        <stp>Exchange</stp>
        <tr r="C95" s="1"/>
      </tp>
      <tp>
        <v>0</v>
        <stp/>
        <stp>nse_cm|965SCL25B-Y1</stp>
        <stp>Open</stp>
        <tr r="M1502" s="1"/>
      </tp>
      <tp t="s">
        <v>00:00:00</v>
        <stp/>
        <stp>bse_cm|0SFL27A</stp>
        <stp>LTT</stp>
        <tr r="I1034" s="1"/>
      </tp>
      <tp>
        <v>0</v>
        <stp/>
        <stp>bse_cm|0SFL27A</stp>
        <stp>LTP</stp>
        <tr r="H1034" s="1"/>
      </tp>
      <tp t="s">
        <v>INE532F07EP0</v>
        <stp/>
        <stp>bse_cm|960EFSLA</stp>
        <stp>Isin code</stp>
        <tr r="R699" s="1"/>
      </tp>
      <tp t="s">
        <v>BSE</v>
        <stp/>
        <stp>bse_cm|AEL120924A</stp>
        <stp>Exchange</stp>
        <tr r="C1524" s="1"/>
      </tp>
      <tp t="s">
        <v>BSE</v>
        <stp/>
        <stp>bse_cm|1045EFS33B</stp>
        <stp>Exchange</stp>
        <tr r="C117" s="1"/>
      </tp>
      <tp>
        <v>0</v>
        <stp/>
        <stp>nse_cm|925SCL25B-Y3</stp>
        <stp>Open</stp>
        <tr r="M600" s="1"/>
      </tp>
      <tp>
        <v>0</v>
        <stp/>
        <stp>bse_cm|EFSL26724A</stp>
        <stp>Ask Rate</stp>
        <tr r="F1468" s="1"/>
      </tp>
      <tp>
        <v>10</v>
        <stp/>
        <stp>nse_cm|865LTF26-NN</stp>
        <stp>Bid Qty</stp>
        <tr r="D392" s="1"/>
      </tp>
      <tp>
        <v>0</v>
        <stp/>
        <stp>bse_cm|9ARKA25</stp>
        <stp>Open</stp>
        <tr r="M1365" s="1"/>
      </tp>
      <tp>
        <v>0</v>
        <stp/>
        <stp>nse_cm|852LTF27-NG</stp>
        <stp>Bid Qty</stp>
        <tr r="D1006" s="1"/>
      </tp>
      <tp>
        <v>0</v>
        <stp/>
        <stp>nse_cm|845LTF24-NI</stp>
        <stp>Bid Qty</stp>
        <tr r="D942" s="1"/>
      </tp>
      <tp>
        <v>0</v>
        <stp/>
        <stp>bse_cm|1045EFS34</stp>
        <stp>Volume Traded Today</stp>
        <tr r="L1450" s="1"/>
      </tp>
      <tp>
        <v>0</v>
        <stp/>
        <stp>bse_cm|1045EFS33</stp>
        <stp>Volume Traded Today</stp>
        <tr r="L1030" s="1"/>
      </tp>
      <tp>
        <v>57</v>
        <stp/>
        <stp>nse_cm|829LTF24-NL</stp>
        <stp>Bid Qty</stp>
        <tr r="D3" s="1"/>
      </tp>
      <tp>
        <v>0</v>
        <stp/>
        <stp>nse_cm|824LTF27-NQ</stp>
        <stp>Bid Qty</stp>
        <tr r="D999" s="1"/>
      </tp>
      <tp>
        <v>1129.8</v>
        <stp/>
        <stp>bse_cm|MFLTDVI25</stp>
        <stp>Prev Close</stp>
        <tr r="P1686" s="1"/>
      </tp>
      <tp>
        <v>0</v>
        <stp/>
        <stp>bse_cm|EFS290424</stp>
        <stp>Volume Traded Today</stp>
        <tr r="L570" s="1"/>
      </tp>
      <tp>
        <v>0</v>
        <stp/>
        <stp>nse_cm|815LTF24-NK</stp>
        <stp>Bid Qty</stp>
        <tr r="D1693" s="1"/>
      </tp>
      <tp>
        <v>0</v>
        <stp/>
        <stp>nse_cm|815LTF27-NO</stp>
        <stp>Bid Qty</stp>
        <tr r="D1001" s="1"/>
      </tp>
      <tp>
        <v>0</v>
        <stp/>
        <stp>nse_cm|813LTF29-NP</stp>
        <stp>Bid Qty</stp>
        <tr r="D1000" s="1"/>
      </tp>
      <tp>
        <v>1339.95</v>
        <stp/>
        <stp>bse_cm|MFOPTVI24</stp>
        <stp>Prev Close</stp>
        <tr r="P1547" s="1"/>
      </tp>
      <tp t="s">
        <v>INE148I07KY8</v>
        <stp/>
        <stp>nse_cm|SCL25-Y6</stp>
        <stp>Isin code</stp>
        <tr r="R1753" s="1"/>
      </tp>
      <tp>
        <v>100000</v>
        <stp/>
        <stp>bse_cm|RFLNIFT25</stp>
        <stp>Face Value</stp>
        <tr r="Q1242" s="1"/>
      </tp>
      <tp t="s">
        <v>NSE</v>
        <stp/>
        <stp>nse_cm|965SCFL25-AB</stp>
        <stp>Exchange</stp>
        <tr r="C664" s="1"/>
      </tp>
      <tp t="s">
        <v>NSE</v>
        <stp/>
        <stp>nse_cm|925SFCL25-AC</stp>
        <stp>Exchange</stp>
        <tr r="C604" s="1"/>
      </tp>
      <tp t="s">
        <v>BSE</v>
        <stp/>
        <stp>bse_cm|967EFSL28D</stp>
        <stp>Exchange</stp>
        <tr r="C168" s="1"/>
      </tp>
      <tp t="s">
        <v>00:00:00</v>
        <stp/>
        <stp>bse_cm|0MML29A</stp>
        <stp>LTT</stp>
        <tr r="I1040" s="1"/>
      </tp>
      <tp>
        <v>0</v>
        <stp/>
        <stp>bse_cm|0MML29A</stp>
        <stp>LTP</stp>
        <tr r="H1040" s="1"/>
      </tp>
      <tp t="s">
        <v>BSE</v>
        <stp/>
        <stp>bse_cm|967EFSL28A</stp>
        <stp>Exchange</stp>
        <tr r="C172" s="1"/>
      </tp>
      <tp t="s">
        <v>NSE</v>
        <stp/>
        <stp>nse_cm|925SCFL25-AD</stp>
        <stp>Exchange</stp>
        <tr r="C773" s="1"/>
      </tp>
      <tp>
        <v>30</v>
        <stp/>
        <stp>nse_cm|898LTF29-N7</stp>
        <stp>Bid Qty</stp>
        <tr r="D385" s="1"/>
      </tp>
      <tp>
        <v>0</v>
        <stp/>
        <stp>nse_cm|885LTF27-NE</stp>
        <stp>Bid Qty</stp>
        <tr r="D1007" s="1"/>
      </tp>
      <tp>
        <v>0</v>
        <stp/>
        <stp>nse_cm|884LTF29-N6</stp>
        <stp>Bid Qty</stp>
        <tr r="D1009" s="1"/>
      </tp>
      <tp>
        <v>0</v>
        <stp/>
        <stp>bse_cm|91EFSL24A</stp>
        <stp>Open</stp>
        <tr r="M46" s="1"/>
      </tp>
      <tp>
        <v>0</v>
        <stp/>
        <stp>bse_cm|10EFSL34A</stp>
        <stp>Open</stp>
        <tr r="M131" s="1"/>
      </tp>
      <tp>
        <v>0</v>
        <stp/>
        <stp>bse_cm|11EFSL34A</stp>
        <stp>Open</stp>
        <tr r="M1408" s="1"/>
      </tp>
      <tp>
        <v>0</v>
        <stp/>
        <stp>bse_cm|965SCL28A</stp>
        <stp>High</stp>
        <tr r="N1136" s="1"/>
      </tp>
      <tp>
        <v>912</v>
        <stp/>
        <stp>bse_cm|971SCL28A</stp>
        <stp>High</stp>
        <tr r="N1027" s="1"/>
      </tp>
      <tp>
        <v>1183.8</v>
        <stp/>
        <stp>bse_cm|925SCL28A</stp>
        <stp>High</stp>
        <tr r="N938" s="1"/>
      </tp>
      <tp>
        <v>0</v>
        <stp/>
        <stp>bse_cm|965SCL28B</stp>
        <stp>High</stp>
        <tr r="N896" s="1"/>
      </tp>
      <tp>
        <v>0</v>
        <stp/>
        <stp>bse_cm|971SCL28B</stp>
        <stp>High</stp>
        <tr r="N714" s="1"/>
      </tp>
      <tp>
        <v>900.3</v>
        <stp/>
        <stp>bse_cm|925SCL28B</stp>
        <stp>High</stp>
        <tr r="N894" s="1"/>
      </tp>
      <tp t="s">
        <v>INE101Q07714</v>
        <stp/>
        <stp>bse_cm|MMFLZC27A</stp>
        <stp>Isin code</stp>
        <tr r="R1260" s="1"/>
      </tp>
      <tp t="s">
        <v>INE101Q07AA1</v>
        <stp/>
        <stp>bse_cm|MMFLZC25A</stp>
        <stp>Isin code</stp>
        <tr r="R1264" s="1"/>
      </tp>
      <tp t="s">
        <v>INE101Q08142</v>
        <stp/>
        <stp>bse_cm|MMFLZC28A</stp>
        <stp>Isin code</stp>
        <tr r="R1348" s="1"/>
      </tp>
      <tp>
        <v>0</v>
        <stp/>
        <stp>bse_cm|965SCL28C</stp>
        <stp>High</stp>
        <tr r="N818" s="1"/>
      </tp>
      <tp>
        <v>0</v>
        <stp/>
        <stp>bse_cm|971SCL28C</stp>
        <stp>High</stp>
        <tr r="N827" s="1"/>
      </tp>
      <tp>
        <v>1007.09</v>
        <stp/>
        <stp>bse_cm|925SCL28C</stp>
        <stp>High</stp>
        <tr r="N824" s="1"/>
      </tp>
      <tp>
        <v>930</v>
        <stp/>
        <stp>bse_cm|971SCL28I</stp>
        <stp>High</stp>
        <tr r="N1471" s="1"/>
      </tp>
      <tp>
        <v>0</v>
        <stp/>
        <stp>bse_cm|925SCL28I</stp>
        <stp>High</stp>
        <tr r="N822" s="1"/>
      </tp>
      <tp>
        <v>945</v>
        <stp/>
        <stp>nse_cm|905SC24B-Z9</stp>
        <stp>Prev Close</stp>
        <tr r="P637" s="1"/>
      </tp>
      <tp>
        <v>0</v>
        <stp/>
        <stp>bse_cm|11ICLFL25</stp>
        <stp>Open</stp>
        <tr r="M452" s="1"/>
      </tp>
      <tp>
        <v>0</v>
        <stp/>
        <stp>bse_cm|115CCIL28</stp>
        <stp>Open</stp>
        <tr r="M382" s="1"/>
      </tp>
      <tp>
        <v>0</v>
        <stp/>
        <stp>bse_cm|12ICLFL26</stp>
        <stp>Open</stp>
        <tr r="M547" s="1"/>
      </tp>
      <tp>
        <v>0</v>
        <stp/>
        <stp>bse_cm|945CAGL24</stp>
        <stp>Open</stp>
        <tr r="M566" s="1"/>
      </tp>
      <tp>
        <v>0</v>
        <stp/>
        <stp>bse_cm|910CAGL25</stp>
        <stp>Open</stp>
        <tr r="M351" s="1"/>
      </tp>
      <tp>
        <v>0</v>
        <stp/>
        <stp>bse_cm|960CAGL25</stp>
        <stp>Open</stp>
        <tr r="M347" s="1"/>
      </tp>
      <tp>
        <v>0</v>
        <stp/>
        <stp>bse_cm|925CAGL26</stp>
        <stp>Open</stp>
        <tr r="M294" s="1"/>
      </tp>
      <tp>
        <v>0</v>
        <stp/>
        <stp>bse_cm|940CAGL27</stp>
        <stp>Open</stp>
        <tr r="M261" s="1"/>
      </tp>
      <tp>
        <v>0</v>
        <stp/>
        <stp>bse_cm|950CCIL25</stp>
        <stp>Open</stp>
        <tr r="M99" s="1"/>
      </tp>
      <tp>
        <v>0</v>
        <stp/>
        <stp>bse_cm|0SMCGSL27</stp>
        <stp>Open</stp>
        <tr r="M1532" s="1"/>
      </tp>
      <tp>
        <v>0</v>
        <stp/>
        <stp>bse_cm|970CAGL28</stp>
        <stp>Open</stp>
        <tr r="M292" s="1"/>
      </tp>
      <tp>
        <v>0</v>
        <stp/>
        <stp>bse_cm|0SMCGSL26</stp>
        <stp>Open</stp>
        <tr r="M589" s="1"/>
      </tp>
      <tp t="s">
        <v>INE053F07801</v>
        <stp/>
        <stp>bse_cm|728IRFC30</stp>
        <stp>Isin code</stp>
        <tr r="R469" s="1"/>
      </tp>
      <tp t="s">
        <v>SFL27224</v>
        <stp/>
        <stp>bse_cm|SFL27224</stp>
        <stp>Trading Symbol</stp>
        <tr r="B805" s="1"/>
      </tp>
      <tp t="s">
        <v>INE053F07835</v>
        <stp/>
        <stp>bse_cm|753IRFC30</stp>
        <stp>Isin code</stp>
        <tr r="R454" s="1"/>
      </tp>
      <tp>
        <v>0</v>
        <stp/>
        <stp>bse_cm|85PCHFL26</stp>
        <stp>Open</stp>
        <tr r="M713" s="1"/>
      </tp>
      <tp t="s">
        <v>NWIL25</v>
        <stp/>
        <stp>bse_cm|NWIL25</stp>
        <stp>Symbol</stp>
        <tr r="A1546" s="1"/>
      </tp>
      <tp t="s">
        <v>NWIL27</v>
        <stp/>
        <stp>bse_cm|NWIL27</stp>
        <stp>Symbol</stp>
        <tr r="A1439" s="1"/>
      </tp>
      <tp>
        <v>0</v>
        <stp/>
        <stp>bse_cm|830CIFC26</stp>
        <stp>Open</stp>
        <tr r="M1013" s="1"/>
      </tp>
      <tp t="s">
        <v>M&amp;MFIN</v>
        <stp/>
        <stp>nse_cm|M&amp;MFIN-N3</stp>
        <stp>Symbol</stp>
        <tr r="A1723" s="1"/>
      </tp>
      <tp t="s">
        <v>970EFSL31</v>
        <stp/>
        <stp>bse_cm|970EFSL31</stp>
        <stp>Symbol</stp>
        <tr r="A220" s="1"/>
      </tp>
      <tp t="s">
        <v>849NTPC25</v>
        <stp/>
        <stp>bse_cm|849NTPC25</stp>
        <stp>Symbol</stp>
        <tr r="A443" s="1"/>
      </tp>
      <tp t="s">
        <v>INE148I07SK0</v>
        <stp/>
        <stp>nse_cm|0SCL27-YW</stp>
        <stp>Isin code</stp>
        <tr r="R1616" s="1"/>
      </tp>
      <tp t="s">
        <v>975EFSL27</v>
        <stp/>
        <stp>bse_cm|975EFSL27</stp>
        <stp>Symbol</stp>
        <tr r="A45" s="1"/>
      </tp>
      <tp t="s">
        <v>MFLVIII27H</v>
        <stp/>
        <stp>bse_cm|MFLVIII27H</stp>
        <stp>Trading Symbol</stp>
        <tr r="B1274" s="1"/>
      </tp>
      <tp t="s">
        <v>MFLVIII26H</v>
        <stp/>
        <stp>bse_cm|MFLVIII26H</stp>
        <stp>Trading Symbol</stp>
        <tr r="B1575" s="1"/>
      </tp>
      <tp t="s">
        <v>948JFPL25</v>
        <stp/>
        <stp>bse_cm|948JFPL25</stp>
        <stp>Symbol</stp>
        <tr r="A490" s="1"/>
      </tp>
      <tp>
        <v>999.2</v>
        <stp/>
        <stp>bse_cm|10SMCGSL26</stp>
        <stp>Ask Rate</stp>
        <tr r="F138" s="1"/>
      </tp>
      <tp>
        <v>0</v>
        <stp/>
        <stp>bse_cm|MFLII26</stp>
        <stp>Volume Traded Today</stp>
        <tr r="L390" s="1"/>
      </tp>
      <tp>
        <v>70</v>
        <stp/>
        <stp>bse_cm|MFLVI26</stp>
        <stp>Volume Traded Today</stp>
        <tr r="L1719" s="1"/>
      </tp>
      <tp>
        <v>0</v>
        <stp/>
        <stp>bse_cm|MFLII27</stp>
        <stp>Volume Traded Today</stp>
        <tr r="L648" s="1"/>
      </tp>
      <tp>
        <v>0</v>
        <stp/>
        <stp>bse_cm|MFLVI25</stp>
        <stp>Volume Traded Today</stp>
        <tr r="L1707" s="1"/>
      </tp>
      <tp>
        <v>0</v>
        <stp/>
        <stp>bse_cm|EFSL26D</stp>
        <stp>Open</stp>
        <tr r="M1617" s="1"/>
      </tp>
      <tp>
        <v>1052</v>
        <stp/>
        <stp>bse_cm|MFLTDIII24</stp>
        <stp>High</stp>
        <tr r="N1721" s="1"/>
      </tp>
      <tp>
        <v>0</v>
        <stp/>
        <stp>bse_cm|EFSL26A</stp>
        <stp>Open</stp>
        <tr r="M1567" s="1"/>
      </tp>
      <tp>
        <v>0</v>
        <stp/>
        <stp>bse_cm|1075CCIL26</stp>
        <stp>Ask Rate</stp>
        <tr r="F1120" s="1"/>
      </tp>
      <tp>
        <v>0</v>
        <stp/>
        <stp>nse_cm|950IIFL27-Y2</stp>
        <stp>Bid Rate</stp>
        <tr r="E995" s="1"/>
      </tp>
      <tp>
        <v>0</v>
        <stp/>
        <stp>bse_cm|EFSL26C</stp>
        <stp>Open</stp>
        <tr r="M1650" s="1"/>
      </tp>
      <tp>
        <v>0</v>
        <stp/>
        <stp>bse_cm|EFSL26B</stp>
        <stp>Open</stp>
        <tr r="M1564" s="1"/>
      </tp>
      <tp>
        <v>0</v>
        <stp/>
        <stp>bse_cm|1075CCIL25</stp>
        <stp>Ask Rate</stp>
        <tr r="F1121" s="1"/>
      </tp>
      <tp>
        <v>1020</v>
        <stp/>
        <stp>bse_cm|1050CCIL25</stp>
        <stp>Ask Rate</stp>
        <tr r="F2" s="1"/>
      </tp>
      <tp>
        <v>0</v>
        <stp/>
        <stp>bse_cm|CCIL110324</stp>
        <stp>Ask Rate</stp>
        <tr r="F754" s="1"/>
      </tp>
      <tp>
        <v>1099</v>
        <stp/>
        <stp>bse_cm|125ICLFL28</stp>
        <stp>Ask Rate</stp>
        <tr r="F264" s="1"/>
      </tp>
      <tp>
        <v>1014.4</v>
        <stp/>
        <stp>nse_cm|99AEL29-N7</stp>
        <stp>High</stp>
        <tr r="N246" s="1"/>
      </tp>
      <tp>
        <v>0</v>
        <stp/>
        <stp>bse_cm|115ICLFL25</stp>
        <stp>Ask Rate</stp>
        <tr r="F1223" s="1"/>
      </tp>
      <tp>
        <v>1150</v>
        <stp/>
        <stp>bse_cm|1150CCIL29</stp>
        <stp>Ask Rate</stp>
        <tr r="F424" s="1"/>
      </tp>
      <tp>
        <v>1030</v>
        <stp/>
        <stp>bse_cm|105UCL2026</stp>
        <stp>Ask Rate</stp>
        <tr r="F319" s="1"/>
      </tp>
      <tp>
        <v>1384.99</v>
        <stp/>
        <stp>nse_cm|892NHPC33-N6</stp>
        <stp>Ask Rate</stp>
        <tr r="F534" s="1"/>
      </tp>
      <tp>
        <v>0</v>
        <stp/>
        <stp>nse_cm|816ABFL29-NC</stp>
        <stp>Prev Close</stp>
        <tr r="P732" s="1"/>
      </tp>
      <tp>
        <v>1200</v>
        <stp/>
        <stp>bse_cm|1150CCIL28</stp>
        <stp>Ask Rate</stp>
        <tr r="F460" s="1"/>
      </tp>
      <tp>
        <v>0</v>
        <stp/>
        <stp>bse_cm|EFSL26724</stp>
        <stp>Volume Traded Today</stp>
        <tr r="L1336" s="1"/>
      </tp>
      <tp>
        <v>-100</v>
        <stp/>
        <stp>bse_cm|68PFCL31</stp>
        <stp>% Change</stp>
        <tr r="J1205" s="1"/>
      </tp>
      <tp>
        <v>1000</v>
        <stp/>
        <stp>bse_cm|975MFL24BB</stp>
        <stp xml:space="preserve">Low </stp>
        <tr r="O552" s="1"/>
      </tp>
      <tp>
        <v>1000</v>
        <stp/>
        <stp>nse_cm|888IRFC29-NE</stp>
        <stp>Face Value</stp>
        <tr r="Q508" s="1"/>
      </tp>
      <tp>
        <v>0</v>
        <stp/>
        <stp>nse_cm|915SCL27A-ZL</stp>
        <stp>Open</stp>
        <tr r="M966" s="1"/>
      </tp>
      <tp>
        <v>1002</v>
        <stp/>
        <stp>nse_cm|948SCL26A-NN</stp>
        <stp>High</stp>
        <tr r="N526" s="1"/>
      </tp>
      <tp>
        <v>0</v>
        <stp/>
        <stp>nse_cm|955SCL27A-ZJ</stp>
        <stp>Open</stp>
        <tr r="M1437" s="1"/>
      </tp>
      <tp>
        <v>1298</v>
        <stp/>
        <stp>nse_cm|892NHPC33-N6</stp>
        <stp>Prev Close</stp>
        <tr r="P534" s="1"/>
      </tp>
      <tp t="s">
        <v>NSE</v>
        <stp/>
        <stp>nse_cm|866NTPC33-N3</stp>
        <stp>Exchange</stp>
        <tr r="C555" s="1"/>
      </tp>
      <tp t="s">
        <v>BSE</v>
        <stp/>
        <stp>bse_cm|935MOFSL29</stp>
        <stp>Exchange</stp>
        <tr r="C1602" s="1"/>
      </tp>
      <tp>
        <v>1000</v>
        <stp/>
        <stp>nse_cm|925ERFL28-N6</stp>
        <stp>Face Value</stp>
        <tr r="Q165" s="1"/>
      </tp>
      <tp>
        <v>818.2</v>
        <stp/>
        <stp>nse_cm|820SCFL25-Y7</stp>
        <stp>Bid Rate</stp>
        <tr r="E926" s="1"/>
      </tp>
      <tp>
        <v>822.2</v>
        <stp/>
        <stp>nse_cm|850SCFL25-Y4</stp>
        <stp>Bid Rate</stp>
        <tr r="E924" s="1"/>
      </tp>
      <tp t="s">
        <v>NSE</v>
        <stp/>
        <stp>nse_cm|1090NFL26-NB</stp>
        <stp>Exchange</stp>
        <tr r="C636" s="1"/>
      </tp>
      <tp>
        <v>0</v>
        <stp/>
        <stp>nse_cm|925SCL26D-ZD</stp>
        <stp>Open</stp>
        <tr r="M1448" s="1"/>
      </tp>
      <tp t="s">
        <v>BSE</v>
        <stp/>
        <stp>bse_cm|729NABAR26</stp>
        <stp>Exchange</stp>
        <tr r="C540" s="1"/>
      </tp>
      <tp>
        <v>1000</v>
        <stp/>
        <stp>nse_cm|865IRFC29-NA</stp>
        <stp>Face Value</stp>
        <tr r="Q491" s="1"/>
      </tp>
      <tp>
        <v>1000</v>
        <stp/>
        <stp>nse_cm|863IRFC29-NC</stp>
        <stp>Face Value</stp>
        <tr r="Q554" s="1"/>
      </tp>
      <tp>
        <v>0</v>
        <stp/>
        <stp>nse_cm|888SCL25D-NC</stp>
        <stp>High</stp>
        <tr r="N916" s="1"/>
      </tp>
      <tp>
        <v>0</v>
        <stp/>
        <stp>nse_cm|965SCL26A-ZB</stp>
        <stp>Open</stp>
        <tr r="M135" s="1"/>
      </tp>
      <tp>
        <v>0</v>
        <stp/>
        <stp>nse_cm|925SCL29A-ZM</stp>
        <stp>Open</stp>
        <tr r="M1352" s="1"/>
      </tp>
      <tp t="s">
        <v>BSE</v>
        <stp/>
        <stp>bse_cm|704NABAR26</stp>
        <stp>Exchange</stp>
        <tr r="C1702" s="1"/>
      </tp>
      <tp>
        <v>1090</v>
        <stp/>
        <stp>bse_cm|MFLTDVII27</stp>
        <stp>High</stp>
        <tr r="N1562" s="1"/>
      </tp>
      <tp>
        <v>1000</v>
        <stp/>
        <stp>nse_cm|840IRFC29-N8</stp>
        <stp>Face Value</stp>
        <tr r="Q528" s="1"/>
      </tp>
      <tp>
        <v>0</v>
        <stp/>
        <stp>nse_cm|925SCL26C-ZA</stp>
        <stp>Open</stp>
        <tr r="M724" s="1"/>
      </tp>
      <tp>
        <v>1000</v>
        <stp/>
        <stp>nse_cm|1050SCL31-ZP</stp>
        <stp>Face Value</stp>
        <tr r="Q891" s="1"/>
      </tp>
      <tp>
        <v>1000</v>
        <stp/>
        <stp>nse_cm|1003SCL31-ZQ</stp>
        <stp>Face Value</stp>
        <tr r="Q688" s="1"/>
      </tp>
      <tp>
        <v>0</v>
        <stp/>
        <stp>bse_cm|MFLV26E</stp>
        <stp>Open</stp>
        <tr r="M352" s="1"/>
      </tp>
      <tp t="s">
        <v>931SFL26</v>
        <stp/>
        <stp>nse_cm|931SFL26-Z5</stp>
        <stp>Symbol</stp>
        <tr r="A519" s="1"/>
      </tp>
      <tp>
        <v>1151</v>
        <stp/>
        <stp>nse_cm|SCL24A-ZS</stp>
        <stp>LTP</stp>
        <tr r="H1751" s="1"/>
      </tp>
      <tp t="s">
        <v/>
        <stp/>
        <stp>nse_cm|SCL24A-ZS</stp>
        <stp>LTT</stp>
        <tr r="I1751" s="1"/>
      </tp>
      <tp t="s">
        <v>812REC27</v>
        <stp/>
        <stp>nse_cm|812REC27-NI</stp>
        <stp>Symbol</stp>
        <tr r="A462" s="1"/>
      </tp>
      <tp t="s">
        <v>INE530B07260</v>
        <stp/>
        <stp>bse_cm|9IIFL28A</stp>
        <stp>Isin code</stp>
        <tr r="R218" s="1"/>
      </tp>
      <tp t="s">
        <v>965SCL26</v>
        <stp/>
        <stp>nse_cm|965SCL26-YO</stp>
        <stp>Symbol</stp>
        <tr r="A146" s="1"/>
      </tp>
      <tp t="s">
        <v>940SCL26</v>
        <stp/>
        <stp>nse_cm|940SCL26-N6</stp>
        <stp>Symbol</stp>
        <tr r="A921" s="1"/>
      </tp>
      <tp t="s">
        <v>948SCL26</v>
        <stp/>
        <stp>nse_cm|948SCL26-N9</stp>
        <stp>Symbol</stp>
        <tr r="A1632" s="1"/>
      </tp>
      <tp t="s">
        <v>915SCL26</v>
        <stp/>
        <stp>nse_cm|915SCL26-NE</stp>
        <stp>Symbol</stp>
        <tr r="A58" s="1"/>
      </tp>
      <tp t="s">
        <v>902SCL26</v>
        <stp/>
        <stp>nse_cm|902SCL26-N8</stp>
        <stp>Symbol</stp>
        <tr r="A968" s="1"/>
      </tp>
      <tp t="s">
        <v>925SCL26</v>
        <stp/>
        <stp>nse_cm|925SCL26-NR</stp>
        <stp>Symbol</stp>
        <tr r="A991" s="1"/>
      </tp>
      <tp t="s">
        <v>990SCL26</v>
        <stp/>
        <stp>nse_cm|990SCL26-N7</stp>
        <stp>Symbol</stp>
        <tr r="A422" s="1"/>
      </tp>
      <tp t="s">
        <v>INE549K08210</v>
        <stp/>
        <stp>bse_cm|94MFL27A</stp>
        <stp>Isin code</stp>
        <tr r="R420" s="1"/>
      </tp>
      <tp t="s">
        <v>INE403Q07DG2</v>
        <stp/>
        <stp>bse_cm|95KFL27A</stp>
        <stp>Isin code</stp>
        <tr r="R132" s="1"/>
      </tp>
      <tp t="s">
        <v>INE244L07168</v>
        <stp/>
        <stp>bse_cm|96SFL24A</stp>
        <stp>Isin code</stp>
        <tr r="R633" s="1"/>
      </tp>
      <tp t="s">
        <v>INE244L07176</v>
        <stp/>
        <stp>bse_cm|97SFL26A</stp>
        <stp>Isin code</stp>
        <tr r="R1089" s="1"/>
      </tp>
      <tp>
        <v>10</v>
        <stp/>
        <stp>nse_cm|898LTF29-N7</stp>
        <stp>Ask Qty</stp>
        <tr r="G385" s="1"/>
      </tp>
      <tp>
        <v>0</v>
        <stp/>
        <stp>nse_cm|885LTF27-NE</stp>
        <stp>Ask Qty</stp>
        <tr r="G1007" s="1"/>
      </tp>
      <tp t="s">
        <v>888SCL26</v>
        <stp/>
        <stp>nse_cm|888SCL26-YP</stp>
        <stp>Symbol</stp>
        <tr r="A841" s="1"/>
      </tp>
      <tp t="s">
        <v>879SCL26</v>
        <stp/>
        <stp>nse_cm|879SCL26-NC</stp>
        <stp>Symbol</stp>
        <tr r="A720" s="1"/>
      </tp>
      <tp t="s">
        <v>865SCL26</v>
        <stp/>
        <stp>nse_cm|865SCL26-N8</stp>
        <stp>Symbol</stp>
        <tr r="A310" s="1"/>
      </tp>
      <tp t="s">
        <v>885SCL26</v>
        <stp/>
        <stp>nse_cm|885SCL26-N9</stp>
        <stp>Symbol</stp>
        <tr r="A686" s="1"/>
      </tp>
      <tp t="s">
        <v>889SCL26</v>
        <stp/>
        <stp>nse_cm|889SCL26-NS</stp>
        <stp>Symbol</stp>
        <tr r="A222" s="1"/>
      </tp>
      <tp>
        <v>0</v>
        <stp/>
        <stp>nse_cm|884LTF29-N6</stp>
        <stp>Ask Qty</stp>
        <tr r="G1009" s="1"/>
      </tp>
      <tp t="s">
        <v>INE511C07714</v>
        <stp/>
        <stp>bse_cm|85PFL26A</stp>
        <stp>Isin code</stp>
        <tr r="R711" s="1"/>
      </tp>
      <tp>
        <v>0</v>
        <stp/>
        <stp>nse_cm|865SCL24B-Z8</stp>
        <stp>Open</stp>
        <tr r="M952" s="1"/>
      </tp>
      <tp>
        <v>0</v>
        <stp/>
        <stp>nse_cm|852LTF27-NG</stp>
        <stp>Ask Qty</stp>
        <tr r="G1006" s="1"/>
      </tp>
      <tp>
        <v>1026</v>
        <stp/>
        <stp>nse_cm|93MOFSL34-N6</stp>
        <stp>ATP</stp>
        <tr r="K299" s="1"/>
      </tp>
      <tp>
        <v>0</v>
        <stp/>
        <stp>nse_cm|845LTF24-NI</stp>
        <stp>Ask Qty</stp>
        <tr r="G942" s="1"/>
      </tp>
      <tp t="s">
        <v>10ISFL26</v>
        <stp/>
        <stp>nse_cm|10ISFL26-N3</stp>
        <stp>Symbol</stp>
        <tr r="A1527" s="1"/>
      </tp>
      <tp t="s">
        <v>BSE</v>
        <stp/>
        <stp>bse_cm|925IHFL25D</stp>
        <stp>Exchange</stp>
        <tr r="C1671" s="1"/>
      </tp>
      <tp t="s">
        <v>NSE</v>
        <stp/>
        <stp>nse_cm|AEL120924-N2</stp>
        <stp>Exchange</stp>
        <tr r="C1673" s="1"/>
      </tp>
      <tp>
        <v>875</v>
        <stp/>
        <stp>nse_cm|888SCL25E-N4</stp>
        <stp>High</stp>
        <tr r="N1444" s="1"/>
      </tp>
      <tp>
        <v>20</v>
        <stp/>
        <stp>nse_cm|865LTF26-NN</stp>
        <stp>Ask Qty</stp>
        <tr r="G392" s="1"/>
      </tp>
      <tp t="s">
        <v>BSE</v>
        <stp/>
        <stp>bse_cm|925IHFL25E</stp>
        <stp>Exchange</stp>
        <tr r="C398" s="1"/>
      </tp>
      <tp>
        <v>0</v>
        <stp/>
        <stp>nse_cm|815LTF27-NO</stp>
        <stp>Ask Qty</stp>
        <tr r="G1001" s="1"/>
      </tp>
      <tp>
        <v>74</v>
        <stp/>
        <stp>nse_cm|815LTF24-NK</stp>
        <stp>Ask Qty</stp>
        <tr r="G1693" s="1"/>
      </tp>
      <tp>
        <v>0</v>
        <stp/>
        <stp>nse_cm|813LTF29-NP</stp>
        <stp>Ask Qty</stp>
        <tr r="G1000" s="1"/>
      </tp>
      <tp t="s">
        <v>INE403Q07EM8</v>
        <stp/>
        <stp>bse_cm|10KFL28A</stp>
        <stp>Isin code</stp>
        <tr r="R1423" s="1"/>
      </tp>
      <tp t="s">
        <v>INE403Q07ET3</v>
        <stp/>
        <stp>bse_cm|10KFL27A</stp>
        <stp>Isin code</stp>
        <tr r="R1092" s="1"/>
      </tp>
      <tp t="s">
        <v>BSE</v>
        <stp/>
        <stp>bse_cm|965IHFL25D</stp>
        <stp>Exchange</stp>
        <tr r="C1432" s="1"/>
      </tp>
      <tp>
        <v>50</v>
        <stp/>
        <stp>nse_cm|829LTF24-NL</stp>
        <stp>Ask Qty</stp>
        <tr r="G3" s="1"/>
      </tp>
      <tp>
        <v>0</v>
        <stp/>
        <stp>nse_cm|824LTF27-NQ</stp>
        <stp>Ask Qty</stp>
        <tr r="G999" s="1"/>
      </tp>
      <tp>
        <v>0</v>
        <stp/>
        <stp>bse_cm|EFSLZC26B</stp>
        <stp>LTP</stp>
        <tr r="H1678" s="1"/>
      </tp>
      <tp>
        <v>0</v>
        <stp/>
        <stp>bse_cm|EFSLZC26C</stp>
        <stp>LTP</stp>
        <tr r="H1332" s="1"/>
      </tp>
      <tp>
        <v>0</v>
        <stp/>
        <stp>bse_cm|EFSLZC26A</stp>
        <stp>LTP</stp>
        <tr r="H1574" s="1"/>
      </tp>
      <tp t="s">
        <v>00:00:00</v>
        <stp/>
        <stp>bse_cm|EFSLZC26B</stp>
        <stp>LTT</stp>
        <tr r="I1678" s="1"/>
      </tp>
      <tp t="s">
        <v>00:00:00</v>
        <stp/>
        <stp>bse_cm|EFSLZC26C</stp>
        <stp>LTT</stp>
        <tr r="I1332" s="1"/>
      </tp>
      <tp t="s">
        <v>00:00:00</v>
        <stp/>
        <stp>bse_cm|EFSLZC26A</stp>
        <stp>LTT</stp>
        <tr r="I1574" s="1"/>
      </tp>
      <tp>
        <v>0</v>
        <stp/>
        <stp>bse_cm|EFSLZC25A</stp>
        <stp>LTP</stp>
        <tr r="H1333" s="1"/>
      </tp>
      <tp t="s">
        <v>00:00:00</v>
        <stp/>
        <stp>bse_cm|EFSLZC25A</stp>
        <stp>LTT</stp>
        <tr r="I1333" s="1"/>
      </tp>
      <tp>
        <v>0</v>
        <stp/>
        <stp>bse_cm|MMFSL26</stp>
        <stp>LTP</stp>
        <tr r="H1258" s="1"/>
      </tp>
      <tp t="s">
        <v>00:00:00</v>
        <stp/>
        <stp>bse_cm|MMFSL26</stp>
        <stp>LTT</stp>
        <tr r="I1258" s="1"/>
      </tp>
      <tp>
        <v>0</v>
        <stp/>
        <stp>bse_cm|1045EFS34A</stp>
        <stp>Ask Rate</stp>
        <tr r="F1029" s="1"/>
      </tp>
      <tp>
        <v>-2</v>
        <stp/>
        <stp>bse_cm|10SCL30A</stp>
        <stp>% Change</stp>
        <tr r="J444" s="1"/>
      </tp>
      <tp>
        <v>1059</v>
        <stp/>
        <stp>nse_cm|SCL25B-BI</stp>
        <stp>LTP</stp>
        <tr r="H1403" s="1"/>
      </tp>
      <tp>
        <v>0</v>
        <stp/>
        <stp>nse_cm|SCL25A-BH</stp>
        <stp>LTP</stp>
        <tr r="H1237" s="1"/>
      </tp>
      <tp t="s">
        <v/>
        <stp/>
        <stp>nse_cm|SCL25B-BI</stp>
        <stp>LTT</stp>
        <tr r="I1403" s="1"/>
      </tp>
      <tp t="s">
        <v/>
        <stp/>
        <stp>nse_cm|SCL25A-BH</stp>
        <stp>LTT</stp>
        <tr r="I1237" s="1"/>
      </tp>
      <tp>
        <v>1035</v>
        <stp/>
        <stp>nse_cm|82IGT31-NJ</stp>
        <stp>Open</stp>
        <tr r="M375" s="1"/>
      </tp>
      <tp>
        <v>802.33</v>
        <stp/>
        <stp>bse_cm|1015SCL28A</stp>
        <stp>Bid Rate</stp>
        <tr r="E1386" s="1"/>
      </tp>
      <tp>
        <v>995</v>
        <stp/>
        <stp>bse_cm|1049DLS25A</stp>
        <stp>Ask Rate</stp>
        <tr r="F119" s="1"/>
      </tp>
      <tp>
        <v>0</v>
        <stp/>
        <stp>bse_cm|EFSLZC28C</stp>
        <stp>LTP</stp>
        <tr r="H1331" s="1"/>
      </tp>
      <tp t="s">
        <v>00:00:00</v>
        <stp/>
        <stp>bse_cm|EFSLZC28C</stp>
        <stp>LTT</stp>
        <tr r="I1331" s="1"/>
      </tp>
      <tp>
        <v>814.3</v>
        <stp/>
        <stp>bse_cm|1015SCL28B</stp>
        <stp>Bid Rate</stp>
        <tr r="E1178" s="1"/>
      </tp>
      <tp t="s">
        <v>MFLTDIII24</v>
        <stp/>
        <stp>bse_cm|MFLTDIII24</stp>
        <stp>Trading Symbol</stp>
        <tr r="B1721" s="1"/>
      </tp>
      <tp t="s">
        <v>MFLTDVII27</v>
        <stp/>
        <stp>bse_cm|MFLTDVII27</stp>
        <stp>Trading Symbol</stp>
        <tr r="B1562" s="1"/>
      </tp>
      <tp>
        <v>1000</v>
        <stp/>
        <stp>nse_cm|9ICCL23A-N0</stp>
        <stp>Face Value</stp>
        <tr r="Q657" s="1"/>
      </tp>
      <tp>
        <v>1000</v>
        <stp/>
        <stp>nse_cm|93SCL24A-ZN</stp>
        <stp>Face Value</stp>
        <tr r="Q695" s="1"/>
      </tp>
      <tp>
        <v>1000</v>
        <stp/>
        <stp>nse_cm|89SCL24A-ZM</stp>
        <stp>Face Value</stp>
        <tr r="Q970" s="1"/>
      </tp>
      <tp>
        <v>1000</v>
        <stp/>
        <stp>nse_cm|87SCL24A-ZF</stp>
        <stp>Face Value</stp>
        <tr r="Q959" s="1"/>
      </tp>
      <tp>
        <v>1000</v>
        <stp/>
        <stp>nse_cm|87SCL27A-ZK</stp>
        <stp>Face Value</stp>
        <tr r="Q1416" s="1"/>
      </tp>
      <tp t="s">
        <v>10MMLTD24</v>
        <stp/>
        <stp>bse_cm|10MMLTD24</stp>
        <stp>Symbol</stp>
        <tr r="A1615" s="1"/>
      </tp>
      <tp>
        <v>800</v>
        <stp/>
        <stp>nse_cm|10SCL30A-BV</stp>
        <stp>Face Value</stp>
        <tr r="Q445" s="1"/>
      </tp>
      <tp>
        <v>1000</v>
        <stp/>
        <stp>nse_cm|10SCL31A-ZO</stp>
        <stp>Face Value</stp>
        <tr r="Q864" s="1"/>
      </tp>
      <tp t="s">
        <v>97MOFSL34</v>
        <stp/>
        <stp>bse_cm|97MOFSL34</stp>
        <stp>Symbol</stp>
        <tr r="A1600" s="1"/>
      </tp>
      <tp t="s">
        <v>INE101Q07789</v>
        <stp/>
        <stp>bse_cm|MMFLZC27B</stp>
        <stp>Isin code</stp>
        <tr r="R1570" s="1"/>
      </tp>
      <tp t="s">
        <v>INE101Q07AE3</v>
        <stp/>
        <stp>bse_cm|MMFLZC25B</stp>
        <stp>Isin code</stp>
        <tr r="R1581" s="1"/>
      </tp>
      <tp t="s">
        <v>INE101Q08167</v>
        <stp/>
        <stp>bse_cm|MMFLZC28B</stp>
        <stp>Isin code</stp>
        <tr r="R1535" s="1"/>
      </tp>
      <tp>
        <v>0</v>
        <stp/>
        <stp>bse_cm|96IIFL28A</stp>
        <stp>Open</stp>
        <tr r="M88" s="1"/>
      </tp>
      <tp t="s">
        <v>MFLOPTII24</v>
        <stp/>
        <stp>bse_cm|MFLOPTII24</stp>
        <stp>Trading Symbol</stp>
        <tr r="B559" s="1"/>
      </tp>
      <tp>
        <v>0.3</v>
        <stp/>
        <stp>nse_cm|885MOFSL26-N0</stp>
        <stp>% Change</stp>
        <tr r="J1635" s="1"/>
      </tp>
      <tp>
        <v>-0.57999999999999996</v>
        <stp/>
        <stp>nse_cm|872MMFSL26-N1</stp>
        <stp>% Change</stp>
        <tr r="J404" s="1"/>
      </tp>
      <tp>
        <v>-0.4</v>
        <stp/>
        <stp>nse_cm|897MOFSL29-N4</stp>
        <stp>% Change</stp>
        <tr r="J296" s="1"/>
      </tp>
      <tp>
        <v>0</v>
        <stp/>
        <stp>nse_cm|935MOFSL29-N5</stp>
        <stp>% Change</stp>
        <tr r="J1601" s="1"/>
      </tp>
      <tp>
        <v>1151</v>
        <stp/>
        <stp>nse_cm|SCL24A-ZS</stp>
        <stp>High</stp>
        <tr r="N1751" s="1"/>
      </tp>
      <tp>
        <v>0</v>
        <stp/>
        <stp>bse_cm|10IIFL28A</stp>
        <stp>Open</stp>
        <tr r="M101" s="1"/>
      </tp>
      <tp t="s">
        <v>TCHF30</v>
        <stp/>
        <stp>bse_cm|TCHF30</stp>
        <stp>Symbol</stp>
        <tr r="A423" s="1"/>
      </tp>
      <tp t="s">
        <v>INE053F07884</v>
        <stp/>
        <stp>bse_cm|735IRFC31</stp>
        <stp>Isin code</stp>
        <tr r="R1427" s="1"/>
      </tp>
      <tp>
        <v>0</v>
        <stp/>
        <stp>nse_cm|1003SCL30A-NV</stp>
        <stp>% Change</stp>
        <tr r="J728" s="1"/>
      </tp>
      <tp>
        <v>2060</v>
        <stp/>
        <stp>nse_cm|M&amp;MFIN-N3</stp>
        <stp>Bid Rate</stp>
        <tr r="E1723" s="1"/>
      </tp>
      <tp t="s">
        <v>INE302E08084</v>
        <stp/>
        <stp>bse_cm|1050SFL26</stp>
        <stp>Isin code</stp>
        <tr r="R890" s="1"/>
      </tp>
      <tp t="s">
        <v>INE053F07900</v>
        <stp/>
        <stp>bse_cm|764IRFC31</stp>
        <stp>Isin code</stp>
        <tr r="R466" s="1"/>
      </tp>
      <tp t="s">
        <v>00:00:00</v>
        <stp/>
        <stp>bse_cm|DLSL25</stp>
        <stp>LTT</stp>
        <tr r="I1747" s="1"/>
      </tp>
      <tp>
        <v>0</v>
        <stp/>
        <stp>bse_cm|DLSL25</stp>
        <stp>LTP</stp>
        <tr r="H1747" s="1"/>
      </tp>
      <tp t="s">
        <v>960EFSL27</v>
        <stp/>
        <stp>bse_cm|960EFSL27</stp>
        <stp>Symbol</stp>
        <tr r="A70" s="1"/>
      </tp>
      <tp t="s">
        <v>960EFSL26</v>
        <stp/>
        <stp>bse_cm|960EFSL26</stp>
        <stp>Symbol</stp>
        <tr r="A690" s="1"/>
      </tp>
      <tp>
        <v>0</v>
        <stp/>
        <stp>bse_cm|EFSL28</stp>
        <stp>LTP</stp>
        <tr r="H1609" s="1"/>
      </tp>
      <tp>
        <v>0</v>
        <stp/>
        <stp>bse_cm|EFSL29</stp>
        <stp>LTP</stp>
        <tr r="H659" s="1"/>
      </tp>
      <tp t="s">
        <v>00:00:00</v>
        <stp/>
        <stp>bse_cm|EFSL28</stp>
        <stp>LTT</stp>
        <tr r="I1609" s="1"/>
      </tp>
      <tp t="s">
        <v>00:00:00</v>
        <stp/>
        <stp>bse_cm|EFSL29</stp>
        <stp>LTT</stp>
        <tr r="I659" s="1"/>
      </tp>
      <tp t="s">
        <v>00:00:00</v>
        <stp/>
        <stp>bse_cm|EFSL25</stp>
        <stp>LTT</stp>
        <tr r="I1694" s="1"/>
      </tp>
      <tp t="s">
        <v>00:00:00</v>
        <stp/>
        <stp>bse_cm|EFSL26</stp>
        <stp>LTT</stp>
        <tr r="I1687" s="1"/>
      </tp>
      <tp t="s">
        <v>00:00:00</v>
        <stp/>
        <stp>bse_cm|EFSL27</stp>
        <stp>LTT</stp>
        <tr r="I1531" s="1"/>
      </tp>
      <tp>
        <v>0</v>
        <stp/>
        <stp>bse_cm|EFSL25</stp>
        <stp>LTP</stp>
        <tr r="H1694" s="1"/>
      </tp>
      <tp>
        <v>0</v>
        <stp/>
        <stp>bse_cm|EFSL26</stp>
        <stp>LTP</stp>
        <tr r="H1687" s="1"/>
      </tp>
      <tp>
        <v>0</v>
        <stp/>
        <stp>bse_cm|EFSL27</stp>
        <stp>LTP</stp>
        <tr r="H1531" s="1"/>
      </tp>
      <tp t="s">
        <v>957JFPL30</v>
        <stp/>
        <stp>bse_cm|957JFPL30</stp>
        <stp>Symbol</stp>
        <tr r="A760" s="1"/>
      </tp>
      <tp t="s">
        <v>967EFSL29</v>
        <stp/>
        <stp>bse_cm|967EFSL29</stp>
        <stp>Symbol</stp>
        <tr r="A102" s="1"/>
      </tp>
      <tp t="s">
        <v>967EFSL28</v>
        <stp/>
        <stp>bse_cm|967EFSL28</stp>
        <stp>Symbol</stp>
        <tr r="A205" s="1"/>
      </tp>
      <tp t="s">
        <v>966IFSL25</v>
        <stp/>
        <stp>bse_cm|966IFSL25</stp>
        <stp>Symbol</stp>
        <tr r="A1051" s="1"/>
      </tp>
      <tp t="s">
        <v>00:00:00</v>
        <stp/>
        <stp>bse_cm|CAGL28</stp>
        <stp>LTT</stp>
        <tr r="I757" s="1"/>
      </tp>
      <tp>
        <v>0</v>
        <stp/>
        <stp>bse_cm|CAGL28</stp>
        <stp>LTP</stp>
        <tr r="H757" s="1"/>
      </tp>
      <tp>
        <v>0</v>
        <stp/>
        <stp>bse_cm|CAGL27</stp>
        <stp>LTP</stp>
        <tr r="H734" s="1"/>
      </tp>
      <tp>
        <v>0</v>
        <stp/>
        <stp>bse_cm|CAGL26</stp>
        <stp>LTP</stp>
        <tr r="H708" s="1"/>
      </tp>
      <tp>
        <v>0</v>
        <stp/>
        <stp>bse_cm|CAGL25</stp>
        <stp>LTP</stp>
        <tr r="H1061" s="1"/>
      </tp>
      <tp>
        <v>0</v>
        <stp/>
        <stp>bse_cm|CAGL24</stp>
        <stp>LTP</stp>
        <tr r="H1761" s="1"/>
      </tp>
      <tp t="s">
        <v>00:00:00</v>
        <stp/>
        <stp>bse_cm|CAGL27</stp>
        <stp>LTT</stp>
        <tr r="I734" s="1"/>
      </tp>
      <tp t="s">
        <v>00:00:00</v>
        <stp/>
        <stp>bse_cm|CAGL26</stp>
        <stp>LTT</stp>
        <tr r="I708" s="1"/>
      </tp>
      <tp t="s">
        <v>00:00:00</v>
        <stp/>
        <stp>bse_cm|CAGL25</stp>
        <stp>LTT</stp>
        <tr r="I1061" s="1"/>
      </tp>
      <tp t="s">
        <v>00:00:00</v>
        <stp/>
        <stp>bse_cm|CAGL24</stp>
        <stp>LTT</stp>
        <tr r="I1761" s="1"/>
      </tp>
      <tp t="s">
        <v>965IFSL26</v>
        <stp/>
        <stp>bse_cm|965IFSL26</stp>
        <stp>Symbol</stp>
        <tr r="A1142" s="1"/>
      </tp>
      <tp t="s">
        <v>965EFSL32</v>
        <stp/>
        <stp>bse_cm|965EFSL32</stp>
        <stp>Symbol</stp>
        <tr r="A141" s="1"/>
      </tp>
      <tp t="s">
        <v>00:00:00</v>
        <stp/>
        <stp>bse_cm|ABFL28</stp>
        <stp>LTT</stp>
        <tr r="I1373" s="1"/>
      </tp>
      <tp>
        <v>0</v>
        <stp/>
        <stp>bse_cm|ABFL28</stp>
        <stp>LTP</stp>
        <tr r="H1373" s="1"/>
      </tp>
      <tp>
        <v>0</v>
        <stp/>
        <stp>bse_cm|ABFL26</stp>
        <stp>LTP</stp>
        <tr r="H1064" s="1"/>
      </tp>
      <tp t="s">
        <v>00:00:00</v>
        <stp/>
        <stp>bse_cm|ABFL26</stp>
        <stp>LTT</stp>
        <tr r="I1064" s="1"/>
      </tp>
      <tp t="s">
        <v>00:00:00</v>
        <stp/>
        <stp>bse_cm|NWIL25</stp>
        <stp>LTT</stp>
        <tr r="I1546" s="1"/>
      </tp>
      <tp t="s">
        <v>00:00:00</v>
        <stp/>
        <stp>bse_cm|NWIL27</stp>
        <stp>LTT</stp>
        <tr r="I1439" s="1"/>
      </tp>
      <tp>
        <v>0</v>
        <stp/>
        <stp>bse_cm|NWIL25</stp>
        <stp>LTP</stp>
        <tr r="H1546" s="1"/>
      </tp>
      <tp>
        <v>1070</v>
        <stp/>
        <stp>nse_cm|TCHF30-NB</stp>
        <stp>Bid Rate</stp>
        <tr r="E408" s="1"/>
      </tp>
      <tp>
        <v>0</v>
        <stp/>
        <stp>bse_cm|NWIL27</stp>
        <stp>LTP</stp>
        <tr r="H1439" s="1"/>
      </tp>
      <tp t="s">
        <v>00:00:00</v>
        <stp/>
        <stp>bse_cm|MMFL27</stp>
        <stp>LTT</stp>
        <tr r="I1513" s="1"/>
      </tp>
      <tp t="s">
        <v>00:00:00</v>
        <stp/>
        <stp>bse_cm|MMFL25</stp>
        <stp>LTT</stp>
        <tr r="I1725" s="1"/>
      </tp>
      <tp>
        <v>0</v>
        <stp/>
        <stp>bse_cm|MMFL27</stp>
        <stp>LTP</stp>
        <tr r="H1513" s="1"/>
      </tp>
      <tp>
        <v>0</v>
        <stp/>
        <stp>bse_cm|MMFL25</stp>
        <stp>LTP</stp>
        <tr r="H1725" s="1"/>
      </tp>
      <tp t="s">
        <v>INE403Q07DJ6</v>
        <stp/>
        <stp>bse_cm|KFL30A</stp>
        <stp>Isin code</stp>
        <tr r="R1592" s="1"/>
      </tp>
      <tp t="s">
        <v>INE549K07DA8</v>
        <stp/>
        <stp>bse_cm|MFL31A</stp>
        <stp>Isin code</stp>
        <tr r="R1275" s="1"/>
      </tp>
      <tp t="s">
        <v>INE549K07BY2</v>
        <stp/>
        <stp>bse_cm|MFL30A</stp>
        <stp>Isin code</stp>
        <tr r="R1370" s="1"/>
      </tp>
      <tp t="s">
        <v>INE302E07490</v>
        <stp/>
        <stp>bse_cm|SFL27A</stp>
        <stp>Isin code</stp>
        <tr r="R804" s="1"/>
      </tp>
      <tp t="s">
        <v>INE302E07516</v>
        <stp/>
        <stp>bse_cm|SFL26A</stp>
        <stp>Isin code</stp>
        <tr r="R810" s="1"/>
      </tp>
      <tp t="s">
        <v>INE302E07433</v>
        <stp/>
        <stp>bse_cm|SFL25A</stp>
        <stp>Isin code</stp>
        <tr r="R812" s="1"/>
      </tp>
      <tp t="s">
        <v>INE549K08301</v>
        <stp/>
        <stp>bse_cm|MFL29A</stp>
        <stp>Isin code</stp>
        <tr r="R1380" s="1"/>
      </tp>
      <tp t="s">
        <v>INE414G07IJ3</v>
        <stp/>
        <stp>bse_cm|MFL28A</stp>
        <stp>Isin code</stp>
        <tr r="R1620" s="1"/>
      </tp>
      <tp t="s">
        <v>INE549K07CA0</v>
        <stp/>
        <stp>bse_cm|MFL25A</stp>
        <stp>Isin code</stp>
        <tr r="R1692" s="1"/>
      </tp>
      <tp t="s">
        <v>INE549K07AW8</v>
        <stp/>
        <stp>bse_cm|MFL24A</stp>
        <stp>Isin code</stp>
        <tr r="R1759" s="1"/>
      </tp>
      <tp t="s">
        <v>INE414G07IP0</v>
        <stp/>
        <stp>bse_cm|MFL26A</stp>
        <stp>Isin code</stp>
        <tr r="R1557" s="1"/>
      </tp>
      <tp t="s">
        <v>INE403Q07CV3</v>
        <stp/>
        <stp>bse_cm|KFL27A</stp>
        <stp>Isin code</stp>
        <tr r="R1302" s="1"/>
      </tp>
      <tp t="s">
        <v>INE403Q07DM0</v>
        <stp/>
        <stp>bse_cm|KFL26A</stp>
        <stp>Isin code</stp>
        <tr r="R1372" s="1"/>
      </tp>
      <tp t="s">
        <v>INE403Q07CS9</v>
        <stp/>
        <stp>bse_cm|KFL25A</stp>
        <stp>Isin code</stp>
        <tr r="R1703" s="1"/>
      </tp>
      <tp t="s">
        <v>INE414G07HO5</v>
        <stp/>
        <stp>bse_cm|MFL23A</stp>
        <stp>Isin code</stp>
        <tr r="R1560" s="1"/>
      </tp>
      <tp t="s">
        <v>00:00:00</v>
        <stp/>
        <stp>bse_cm|KAFL30</stp>
        <stp>LTT</stp>
        <tr r="I1317" s="1"/>
      </tp>
      <tp>
        <v>0</v>
        <stp/>
        <stp>bse_cm|KAFL30</stp>
        <stp>LTP</stp>
        <tr r="H1317" s="1"/>
      </tp>
      <tp t="s">
        <v>00:00:00</v>
        <stp/>
        <stp>bse_cm|KAFL29</stp>
        <stp>LTT</stp>
        <tr r="I1318" s="1"/>
      </tp>
      <tp t="s">
        <v>00:00:00</v>
        <stp/>
        <stp>bse_cm|KAFL28</stp>
        <stp>LTT</stp>
        <tr r="I1320" s="1"/>
      </tp>
      <tp>
        <v>0</v>
        <stp/>
        <stp>bse_cm|KAFL29</stp>
        <stp>LTP</stp>
        <tr r="H1318" s="1"/>
      </tp>
      <tp>
        <v>0</v>
        <stp/>
        <stp>bse_cm|KAFL28</stp>
        <stp>LTP</stp>
        <tr r="H1320" s="1"/>
      </tp>
      <tp t="s">
        <v>SCL26-NA</v>
        <stp/>
        <stp>nse_cm|SCL26-NA</stp>
        <stp>Trading Symbol</stp>
        <tr r="B919" s="1"/>
      </tp>
      <tp>
        <v>0</v>
        <stp/>
        <stp>bse_cm|KAFL25</stp>
        <stp>LTP</stp>
        <tr r="H1321" s="1"/>
      </tp>
      <tp t="s">
        <v>00:00:00</v>
        <stp/>
        <stp>bse_cm|KAFL25</stp>
        <stp>LTT</stp>
        <tr r="I1321" s="1"/>
      </tp>
      <tp>
        <v>0</v>
        <stp/>
        <stp>bse_cm|ICCL25</stp>
        <stp>LTP</stp>
        <tr r="H1330" s="1"/>
      </tp>
      <tp t="s">
        <v>00:00:00</v>
        <stp/>
        <stp>bse_cm|ICCL25</stp>
        <stp>LTT</stp>
        <tr r="I1330" s="1"/>
      </tp>
      <tp>
        <v>1025.1300000000001</v>
        <stp/>
        <stp>nse_cm|925SCL28C-BS</stp>
        <stp>High</stp>
        <tr r="N823" s="1"/>
      </tp>
      <tp>
        <v>0</v>
        <stp/>
        <stp>nse_cm|965SCL28C-BR</stp>
        <stp>High</stp>
        <tr r="N817" s="1"/>
      </tp>
      <tp>
        <v>994</v>
        <stp/>
        <stp>nse_cm|985IIFL22-NC</stp>
        <stp>Prev Close</stp>
        <tr r="P114" s="1"/>
      </tp>
      <tp>
        <v>2076</v>
        <stp/>
        <stp>nse_cm|M&amp;MFIN-N3</stp>
        <stp>LTP</stp>
        <tr r="H1723" s="1"/>
      </tp>
      <tp t="s">
        <v/>
        <stp/>
        <stp>nse_cm|M&amp;MFIN-N3</stp>
        <stp>LTT</stp>
        <tr r="I1723" s="1"/>
      </tp>
      <tp>
        <v>990</v>
        <stp/>
        <stp>bse_cm|EFSL27A</stp>
        <stp>Open</stp>
        <tr r="M1649" s="1"/>
      </tp>
      <tp>
        <v>840</v>
        <stp/>
        <stp>nse_cm|990SCL26D-AH</stp>
        <stp xml:space="preserve">Low </stp>
        <tr r="O1556" s="1"/>
      </tp>
      <tp>
        <v>930</v>
        <stp/>
        <stp>nse_cm|985ICCL28-NO</stp>
        <stp>Prev Close</stp>
        <tr r="P1605" s="1"/>
      </tp>
      <tp>
        <v>965.78</v>
        <stp/>
        <stp>nse_cm|920SCL23A-AO</stp>
        <stp xml:space="preserve">Low </stp>
        <tr r="O1113" s="1"/>
      </tp>
      <tp>
        <v>1000</v>
        <stp/>
        <stp>nse_cm|980ICCL28-NL</stp>
        <stp>Prev Close</stp>
        <tr r="P780" s="1"/>
      </tp>
      <tp>
        <v>0</v>
        <stp/>
        <stp>nse_cm|1030ICC26-NJ</stp>
        <stp>Ask Rate</stp>
        <tr r="F1514" s="1"/>
      </tp>
      <tp>
        <v>1245.99</v>
        <stp/>
        <stp>nse_cm|873NTPC28-N5</stp>
        <stp>Ask Rate</stp>
        <tr r="F541" s="1"/>
      </tp>
      <tp>
        <v>1020</v>
        <stp/>
        <stp>nse_cm|805ABFL28-N2</stp>
        <stp>Prev Close</stp>
        <tr r="P477" s="1"/>
      </tp>
      <tp>
        <v>841</v>
        <stp/>
        <stp>nse_cm|957ICCL28-NW</stp>
        <stp>Prev Close</stp>
        <tr r="P762" s="1"/>
      </tp>
      <tp>
        <v>1000</v>
        <stp/>
        <stp>nse_cm|940ICCL28-NN</stp>
        <stp>Prev Close</stp>
        <tr r="P779" s="1"/>
      </tp>
      <tp>
        <v>-100</v>
        <stp/>
        <stp>bse_cm|58PFCL26</stp>
        <stp>% Change</stp>
        <tr r="J369" s="1"/>
      </tp>
      <tp>
        <v>1054.97</v>
        <stp/>
        <stp>nse_cm|910TCAP28-NA</stp>
        <stp>Prev Close</stp>
        <tr r="P411" s="1"/>
      </tp>
      <tp t="s">
        <v>BSE</v>
        <stp/>
        <stp>bse_cm|EFSL290424</stp>
        <stp>Exchange</stp>
        <tr r="C1334" s="1"/>
      </tp>
      <tp t="s">
        <v>BSE</v>
        <stp/>
        <stp>bse_cm|10IIFLSF27</stp>
        <stp>Exchange</stp>
        <tr r="C1098" s="1"/>
      </tp>
      <tp t="s">
        <v>BSE</v>
        <stp/>
        <stp>bse_cm|885MOFSL26</stp>
        <stp>Exchange</stp>
        <tr r="C1643" s="1"/>
      </tp>
      <tp>
        <v>1000</v>
        <stp/>
        <stp>nse_cm|888ERFL28-N5</stp>
        <stp>Face Value</stp>
        <tr r="Q63" s="1"/>
      </tp>
      <tp>
        <v>0</v>
        <stp/>
        <stp>nse_cm|925SCL28I-BA</stp>
        <stp>High</stp>
        <tr r="N821" s="1"/>
      </tp>
      <tp>
        <v>1000</v>
        <stp/>
        <stp>bse_cm|KAFLZC26A</stp>
        <stp>Face Value</stp>
        <tr r="Q1710" s="1"/>
      </tp>
      <tp t="s">
        <v>NSE</v>
        <stp/>
        <stp>nse_cm|CIFCZC28A-N5</stp>
        <stp>Exchange</stp>
        <tr r="C1559" s="1"/>
      </tp>
      <tp>
        <v>0</v>
        <stp/>
        <stp>nse_cm|894SCL25A-ZI</stp>
        <stp>Open</stp>
        <tr r="M963" s="1"/>
      </tp>
      <tp>
        <v>0</v>
        <stp/>
        <stp>nse_cm|1003SCL30-BW</stp>
        <stp>Ask Rate</stp>
        <tr r="F876" s="1"/>
      </tp>
      <tp>
        <v>990</v>
        <stp/>
        <stp>nse_cm|950SCL23A-AP</stp>
        <stp xml:space="preserve">Low </stp>
        <tr r="O1145" s="1"/>
      </tp>
      <tp>
        <v>0</v>
        <stp/>
        <stp>nse_cm|940SCL26C-AU</stp>
        <stp xml:space="preserve">Low </stp>
        <tr r="O793" s="1"/>
      </tp>
      <tp>
        <v>965.82</v>
        <stp/>
        <stp>nse_cm|965SCL25E-BF</stp>
        <stp>High</stp>
        <tr r="N413" s="1"/>
      </tp>
      <tp>
        <v>1000</v>
        <stp/>
        <stp>bse_cm|10MFL24AA</stp>
        <stp>Face Value</stp>
        <tr r="Q475" s="1"/>
      </tp>
      <tp t="s">
        <v>NSE</v>
        <stp/>
        <stp>nse_cm|888ERFL28-N5</stp>
        <stp>Exchange</stp>
        <tr r="C63" s="1"/>
      </tp>
      <tp t="s">
        <v>NSE</v>
        <stp/>
        <stp>nse_cm|IIFLZC28C-N6</stp>
        <stp>Exchange</stp>
        <tr r="C1656" s="1"/>
      </tp>
      <tp t="s">
        <v>BSE</v>
        <stp/>
        <stp>bse_cm|735NABAR31</stp>
        <stp>Exchange</stp>
        <tr r="C14" s="1"/>
      </tp>
      <tp t="s">
        <v>NSE</v>
        <stp/>
        <stp>nse_cm|IIFLZC25C-N8</stp>
        <stp>Exchange</stp>
        <tr r="C1748" s="1"/>
      </tp>
      <tp>
        <v>0</v>
        <stp/>
        <stp>nse_cm|925SCL25F-BD</stp>
        <stp>High</stp>
        <tr r="N718" s="1"/>
      </tp>
      <tp>
        <v>865</v>
        <stp/>
        <stp>nse_cm|990SCL26I-AV</stp>
        <stp xml:space="preserve">Low </stp>
        <tr r="O1368" s="1"/>
      </tp>
      <tp t="s">
        <v>BSE</v>
        <stp/>
        <stp>bse_cm|897MOFSL29</stp>
        <stp>Exchange</stp>
        <tr r="C332" s="1"/>
      </tp>
      <tp t="s">
        <v>NSE</v>
        <stp/>
        <stp>nse_cm|CIFCZC25A-N1</stp>
        <stp>Exchange</stp>
        <tr r="C1730" s="1"/>
      </tp>
      <tp t="s">
        <v>NSE</v>
        <stp/>
        <stp>nse_cm|CIFCZC26A-N3</stp>
        <stp>Exchange</stp>
        <tr r="C1565" s="1"/>
      </tp>
      <tp t="s">
        <v>BSE</v>
        <stp/>
        <stp>bse_cm|EFSL260724</stp>
        <stp>Exchange</stp>
        <tr r="C586" s="1"/>
      </tp>
      <tp t="s">
        <v>BSE</v>
        <stp/>
        <stp>bse_cm|764NABAR31</stp>
        <stp>Exchange</stp>
        <tr r="C497" s="1"/>
      </tp>
      <tp>
        <v>750</v>
        <stp/>
        <stp>nse_cm|1035UCL26-NA</stp>
        <stp>Face Value</stp>
        <tr r="Q1627" s="1"/>
      </tp>
      <tp>
        <v>1000</v>
        <stp/>
        <stp>nse_cm|1050SCL30-NU</stp>
        <stp>Face Value</stp>
        <tr r="Q893" s="1"/>
      </tp>
      <tp>
        <v>857.14</v>
        <stp/>
        <stp>nse_cm|1003SCL30-BW</stp>
        <stp>Face Value</stp>
        <tr r="Q876" s="1"/>
      </tp>
      <tp t="s">
        <v>875SFL27</v>
        <stp/>
        <stp>nse_cm|875SFL27-ZF</stp>
        <stp>Symbol</stp>
        <tr r="A379" s="1"/>
      </tp>
      <tp t="s">
        <v>BSE</v>
        <stp/>
        <stp>bse_cm|888IHFL25F</stp>
        <stp>Exchange</stp>
        <tr r="C693" s="1"/>
      </tp>
      <tp t="s">
        <v>915SCL27</v>
        <stp/>
        <stp>nse_cm|915SCL27-Z7</stp>
        <stp>Symbol</stp>
        <tr r="A1475" s="1"/>
      </tp>
      <tp t="s">
        <v>925SCL27</v>
        <stp/>
        <stp>nse_cm|925SCL27-YR</stp>
        <stp>Symbol</stp>
        <tr r="A1415" s="1"/>
      </tp>
      <tp t="s">
        <v>905SCL27</v>
        <stp/>
        <stp>nse_cm|905SCL27-Z4</stp>
        <stp>Symbol</stp>
        <tr r="A947" s="1"/>
      </tp>
      <tp t="s">
        <v>902SCL27</v>
        <stp/>
        <stp>nse_cm|902SCL27-YU</stp>
        <stp>Symbol</stp>
        <tr r="A844" s="1"/>
      </tp>
      <tp t="s">
        <v>939SCL27</v>
        <stp/>
        <stp>nse_cm|939SCL27-ZZ</stp>
        <stp>Symbol</stp>
        <tr r="A982" s="1"/>
      </tp>
      <tp t="s">
        <v>955SCL27</v>
        <stp/>
        <stp>nse_cm|955SCL27-Z5</stp>
        <stp>Symbol</stp>
        <tr r="A949" s="1"/>
      </tp>
      <tp t="s">
        <v>975SCL27</v>
        <stp/>
        <stp>nse_cm|975SCL27-Z9</stp>
        <stp>Symbol</stp>
        <tr r="A885" s="1"/>
      </tp>
      <tp t="s">
        <v>948SCL27</v>
        <stp/>
        <stp>nse_cm|948SCL27-YV</stp>
        <stp>Symbol</stp>
        <tr r="A127" s="1"/>
      </tp>
      <tp t="s">
        <v>940SCL27</v>
        <stp/>
        <stp>nse_cm|940SCL27-YS</stp>
        <stp>Symbol</stp>
        <tr r="A842" s="1"/>
      </tp>
      <tp t="s">
        <v>990SCL27</v>
        <stp/>
        <stp>nse_cm|990SCL27-YT</stp>
        <stp>Symbol</stp>
        <tr r="A1024" s="1"/>
      </tp>
      <tp>
        <v>1</v>
        <stp/>
        <stp>nse_cm|891NTPC33-N6</stp>
        <stp>Volume Traded Today</stp>
        <tr r="L535" s="1"/>
      </tp>
      <tp t="s">
        <v>875SCL27</v>
        <stp/>
        <stp>nse_cm|875SCL27-YQ</stp>
        <stp>Symbol</stp>
        <tr r="A937" s="1"/>
      </tp>
      <tp t="s">
        <v>843SCL27</v>
        <stp/>
        <stp>nse_cm|843SCL27-YS</stp>
        <stp>Symbol</stp>
        <tr r="A944" s="1"/>
      </tp>
      <tp t="s">
        <v>894SCL27</v>
        <stp/>
        <stp>nse_cm|894SCL27-ZY</stp>
        <stp>Symbol</stp>
        <tr r="A731" s="1"/>
      </tp>
      <tp t="s">
        <v>889SCL27</v>
        <stp/>
        <stp>nse_cm|889SCL27-YT</stp>
        <stp>Symbol</stp>
        <tr r="A120" s="1"/>
      </tp>
      <tp>
        <v>0</v>
        <stp/>
        <stp>nse_cm|892NHPC33-N6</stp>
        <stp>Volume Traded Today</stp>
        <tr r="L534" s="1"/>
      </tp>
      <tp>
        <v>1000</v>
        <stp/>
        <stp>nse_cm|IIFLZC25A-NP</stp>
        <stp>Face Value</stp>
        <tr r="Q1578" s="1"/>
      </tp>
      <tp>
        <v>1000</v>
        <stp/>
        <stp>nse_cm|IIFLZC26A-NR</stp>
        <stp>Face Value</stp>
        <tr r="Q1680" s="1"/>
      </tp>
      <tp>
        <v>1000</v>
        <stp/>
        <stp>nse_cm|IIFLZC28A-NU</stp>
        <stp>Face Value</stp>
        <tr r="Q1624" s="1"/>
      </tp>
      <tp t="s">
        <v>BSE</v>
        <stp/>
        <stp>bse_cm|888IHFL25C</stp>
        <stp>Exchange</stp>
        <tr r="C1058" s="1"/>
      </tp>
      <tp>
        <v>989</v>
        <stp/>
        <stp>nse_cm|85IFL26-NX</stp>
        <stp>High</stp>
        <tr r="N1388" s="1"/>
      </tp>
      <tp t="s">
        <v>INE05F407CA6</v>
        <stp/>
        <stp>bse_cm|MML27524</stp>
        <stp>Isin code</stp>
        <tr r="R1511" s="1"/>
      </tp>
      <tp>
        <v>0</v>
        <stp/>
        <stp>bse_cm|SCLZC26</stp>
        <stp>Open</stp>
        <tr r="M1464" s="1"/>
      </tp>
      <tp>
        <v>5</v>
        <stp/>
        <stp>nse_cm|905LTF27-NF</stp>
        <stp>Ask Qty</stp>
        <tr r="G393" s="1"/>
      </tp>
      <tp t="s">
        <v>00:00:00</v>
        <stp/>
        <stp>bse_cm|910TCAP28</stp>
        <stp>LTT</stp>
        <tr r="I409" s="1"/>
      </tp>
      <tp>
        <v>0</v>
        <stp/>
        <stp>bse_cm|910TCAP28</stp>
        <stp>LTP</stp>
        <tr r="H409" s="1"/>
      </tp>
      <tp>
        <v>10</v>
        <stp/>
        <stp>nse_cm|935LTF29-N5</stp>
        <stp>Ask Qty</stp>
        <tr r="G395" s="1"/>
      </tp>
      <tp>
        <v>0</v>
        <stp/>
        <stp>bse_cm|SCLZC25</stp>
        <stp>Open</stp>
        <tr r="M917" s="1"/>
      </tp>
      <tp>
        <v>940</v>
        <stp/>
        <stp>nse_cm|1025SCL34-Z8</stp>
        <stp>Bid Rate</stp>
        <tr r="E128" s="1"/>
      </tp>
      <tp t="s">
        <v>NSE</v>
        <stp/>
        <stp>nse_cm|IIFLZC25A-NP</stp>
        <stp>Exchange</stp>
        <tr r="C1578" s="1"/>
      </tp>
      <tp t="s">
        <v>NSE</v>
        <stp/>
        <stp>nse_cm|IIFLZC26A-NR</stp>
        <stp>Exchange</stp>
        <tr r="C1680" s="1"/>
      </tp>
      <tp t="s">
        <v>INE302E07599</v>
        <stp/>
        <stp>bse_cm|SFL27224</stp>
        <stp>Isin code</stp>
        <tr r="R805" s="1"/>
      </tp>
      <tp t="s">
        <v>NSE</v>
        <stp/>
        <stp>nse_cm|IIFLZC25B-NW</stp>
        <stp>Exchange</stp>
        <tr r="C1684" s="1"/>
      </tp>
      <tp>
        <v>1001</v>
        <stp/>
        <stp>nse_cm|8ABFL26-N0</stp>
        <stp>High</stp>
        <tr r="N358" s="1"/>
      </tp>
      <tp t="s">
        <v>NSE</v>
        <stp/>
        <stp>nse_cm|9SCL26B-ND</stp>
        <stp>Exchange</stp>
        <tr r="C994" s="1"/>
      </tp>
      <tp>
        <v>1115</v>
        <stp/>
        <stp>nse_cm|769NHAI31-NE</stp>
        <stp>Ask Rate</stp>
        <tr r="F461" s="1"/>
      </tp>
      <tp>
        <v>1268.47</v>
        <stp/>
        <stp>nse_cm|863IRFC29-NC</stp>
        <stp>Ask Rate</stp>
        <tr r="F554" s="1"/>
      </tp>
      <tp>
        <v>1108.8</v>
        <stp/>
        <stp>nse_cm|9PCHFL31A-NA</stp>
        <stp>Ask Rate</stp>
        <tr r="F435" s="1"/>
      </tp>
      <tp t="s">
        <v>NSE</v>
        <stp/>
        <stp>nse_cm|IIFLZC26B-NY</stp>
        <stp>Exchange</stp>
        <tr r="C1629" s="1"/>
      </tp>
      <tp>
        <v>-100</v>
        <stp/>
        <stp>bse_cm|10SCL31A</stp>
        <stp>% Change</stp>
        <tr r="J865" s="1"/>
      </tp>
      <tp t="s">
        <v>NSE</v>
        <stp/>
        <stp>nse_cm|IIFLZC28A-NU</stp>
        <stp>Exchange</stp>
        <tr r="C1624" s="1"/>
      </tp>
      <tp>
        <v>0</v>
        <stp/>
        <stp>nse_cm|TCHF30-NB</stp>
        <stp>Volume Traded Today</stp>
        <tr r="L408" s="1"/>
      </tp>
      <tp t="s">
        <v>INE148I07QO6</v>
        <stp/>
        <stp>nse_cm|SCLZC26E-NP</stp>
        <stp>Isin code</stp>
        <tr r="R899" s="1"/>
      </tp>
      <tp>
        <v>0</v>
        <stp/>
        <stp>bse_cm|MFLI25</stp>
        <stp>Volume Traded Today</stp>
        <tr r="L447" s="1"/>
      </tp>
      <tp>
        <v>0</v>
        <stp/>
        <stp>nse_cm|SCL25A-BH</stp>
        <stp>Open</stp>
        <tr r="M1237" s="1"/>
      </tp>
      <tp>
        <v>0</v>
        <stp/>
        <stp>bse_cm|0SCL27</stp>
        <stp>LTP</stp>
        <tr r="H721" s="1"/>
      </tp>
      <tp>
        <v>0</v>
        <stp/>
        <stp>bse_cm|0SCL26</stp>
        <stp>LTP</stp>
        <tr r="H1359" s="1"/>
      </tp>
      <tp>
        <v>0</v>
        <stp/>
        <stp>bse_cm|0SFL26</stp>
        <stp>LTP</stp>
        <tr r="H703" s="1"/>
      </tp>
      <tp t="s">
        <v>00:00:00</v>
        <stp/>
        <stp>bse_cm|0SCL27</stp>
        <stp>LTT</stp>
        <tr r="I721" s="1"/>
      </tp>
      <tp t="s">
        <v>00:00:00</v>
        <stp/>
        <stp>bse_cm|0SCL26</stp>
        <stp>LTT</stp>
        <tr r="I1359" s="1"/>
      </tp>
      <tp t="s">
        <v>00:00:00</v>
        <stp/>
        <stp>bse_cm|0SFL26</stp>
        <stp>LTT</stp>
        <tr r="I703" s="1"/>
      </tp>
      <tp>
        <v>0</v>
        <stp/>
        <stp>bse_cm|0KFL25</stp>
        <stp>LTP</stp>
        <tr r="H1604" s="1"/>
      </tp>
      <tp t="s">
        <v>00:00:00</v>
        <stp/>
        <stp>bse_cm|0MML27</stp>
        <stp>LTT</stp>
        <tr r="I1043" s="1"/>
      </tp>
      <tp>
        <v>0</v>
        <stp/>
        <stp>bse_cm|0KFL27</stp>
        <stp>LTP</stp>
        <tr r="H1046" s="1"/>
      </tp>
      <tp>
        <v>0</v>
        <stp/>
        <stp>bse_cm|0KFL26</stp>
        <stp>LTP</stp>
        <tr r="H1047" s="1"/>
      </tp>
      <tp t="s">
        <v>00:00:00</v>
        <stp/>
        <stp>bse_cm|0KFL25</stp>
        <stp>LTT</stp>
        <tr r="I1604" s="1"/>
      </tp>
      <tp>
        <v>0</v>
        <stp/>
        <stp>bse_cm|0MML27</stp>
        <stp>LTP</stp>
        <tr r="H1043" s="1"/>
      </tp>
      <tp t="s">
        <v>00:00:00</v>
        <stp/>
        <stp>bse_cm|0KFL27</stp>
        <stp>LTT</stp>
        <tr r="I1046" s="1"/>
      </tp>
      <tp t="s">
        <v>00:00:00</v>
        <stp/>
        <stp>bse_cm|0KFL26</stp>
        <stp>LTT</stp>
        <tr r="I1047" s="1"/>
      </tp>
      <tp t="s">
        <v>00:00:00</v>
        <stp/>
        <stp>bse_cm|0KFL28</stp>
        <stp>LTT</stp>
        <tr r="I1045" s="1"/>
      </tp>
      <tp>
        <v>0</v>
        <stp/>
        <stp>bse_cm|0MML29</stp>
        <stp>LTP</stp>
        <tr r="H1041" s="1"/>
      </tp>
      <tp>
        <v>0</v>
        <stp/>
        <stp>bse_cm|0KFL28</stp>
        <stp>LTP</stp>
        <tr r="H1045" s="1"/>
      </tp>
      <tp t="s">
        <v>00:00:00</v>
        <stp/>
        <stp>bse_cm|0MML29</stp>
        <stp>LTT</stp>
        <tr r="I1041" s="1"/>
      </tp>
      <tp>
        <v>0</v>
        <stp/>
        <stp>nse_cm|SCL25B-BI</stp>
        <stp>Open</stp>
        <tr r="M1403" s="1"/>
      </tp>
      <tp t="s">
        <v>INE148I07OK9</v>
        <stp/>
        <stp>nse_cm|SCLZC25A-AS</stp>
        <stp>Isin code</stp>
        <tr r="R1232" s="1"/>
      </tp>
      <tp t="s">
        <v>00:00:00</v>
        <stp/>
        <stp>bse_cm|0SFL31</stp>
        <stp>LTT</stp>
        <tr r="I1032" s="1"/>
      </tp>
      <tp>
        <v>0</v>
        <stp/>
        <stp>bse_cm|0SFL31</stp>
        <stp>LTP</stp>
        <tr r="H1032" s="1"/>
      </tp>
      <tp t="s">
        <v>00:00:00</v>
        <stp/>
        <stp>bse_cm|0KFL31</stp>
        <stp>LTT</stp>
        <tr r="I1044" s="1"/>
      </tp>
      <tp>
        <v>0</v>
        <stp/>
        <stp>bse_cm|0KFL31</stp>
        <stp>LTP</stp>
        <tr r="H1044" s="1"/>
      </tp>
      <tp t="s">
        <v>00:00:00</v>
        <stp/>
        <stp>bse_cm|8MFL26</stp>
        <stp>LTT</stp>
        <tr r="I654" s="1"/>
      </tp>
      <tp>
        <v>0</v>
        <stp/>
        <stp>bse_cm|9MFL30</stp>
        <stp>LTP</stp>
        <tr r="H244" s="1"/>
      </tp>
      <tp>
        <v>0</v>
        <stp/>
        <stp>bse_cm|8MFL26</stp>
        <stp>LTP</stp>
        <tr r="H654" s="1"/>
      </tp>
      <tp t="s">
        <v>00:00:00</v>
        <stp/>
        <stp>bse_cm|9MFL30</stp>
        <stp>LTT</stp>
        <tr r="I244" s="1"/>
      </tp>
      <tp>
        <v>0</v>
        <stp/>
        <stp>bse_cm|9SCL25</stp>
        <stp>LTP</stp>
        <tr r="H653" s="1"/>
      </tp>
      <tp>
        <v>0</v>
        <stp/>
        <stp>bse_cm|9SFL25</stp>
        <stp>LTP</stp>
        <tr r="H340" s="1"/>
      </tp>
      <tp>
        <v>0</v>
        <stp/>
        <stp>bse_cm|9PEL25</stp>
        <stp>LTP</stp>
        <tr r="H315" s="1"/>
      </tp>
      <tp>
        <v>0</v>
        <stp/>
        <stp>bse_cm|9SFL26</stp>
        <stp>LTP</stp>
        <tr r="H1066" s="1"/>
      </tp>
      <tp t="s">
        <v>00:00:00</v>
        <stp/>
        <stp>bse_cm|9SCL25</stp>
        <stp>LTT</stp>
        <tr r="I653" s="1"/>
      </tp>
      <tp t="s">
        <v>00:00:00</v>
        <stp/>
        <stp>bse_cm|9SFL25</stp>
        <stp>LTT</stp>
        <tr r="I340" s="1"/>
      </tp>
      <tp t="s">
        <v>00:00:00</v>
        <stp/>
        <stp>bse_cm|9PEL25</stp>
        <stp>LTT</stp>
        <tr r="I315" s="1"/>
      </tp>
      <tp t="s">
        <v>00:00:00</v>
        <stp/>
        <stp>bse_cm|9SFL26</stp>
        <stp>LTT</stp>
        <tr r="I1066" s="1"/>
      </tp>
      <tp t="s">
        <v>15:12:00</v>
        <stp/>
        <stp>bse_cm|9MFL27</stp>
        <stp>LTT</stp>
        <tr r="I195" s="1"/>
      </tp>
      <tp t="s">
        <v>00:00:00</v>
        <stp/>
        <stp>bse_cm|9MFL25</stp>
        <stp>LTT</stp>
        <tr r="I1082" s="1"/>
      </tp>
      <tp>
        <v>979.15</v>
        <stp/>
        <stp>bse_cm|9IML25</stp>
        <stp>LTP</stp>
        <tr r="H588" s="1"/>
      </tp>
      <tp>
        <v>0</v>
        <stp/>
        <stp>bse_cm|9KFL26</stp>
        <stp>LTP</stp>
        <tr r="H1084" s="1"/>
      </tp>
      <tp>
        <v>975</v>
        <stp/>
        <stp>bse_cm|9MFL27</stp>
        <stp>LTP</stp>
        <tr r="H195" s="1"/>
      </tp>
      <tp>
        <v>0</v>
        <stp/>
        <stp>bse_cm|9MFL25</stp>
        <stp>LTP</stp>
        <tr r="H1082" s="1"/>
      </tp>
      <tp t="s">
        <v>10:27:13</v>
        <stp/>
        <stp>bse_cm|9IML25</stp>
        <stp>LTT</stp>
        <tr r="I588" s="1"/>
      </tp>
      <tp t="s">
        <v>00:00:00</v>
        <stp/>
        <stp>bse_cm|9KFL26</stp>
        <stp>LTT</stp>
        <tr r="I1084" s="1"/>
      </tp>
      <tp t="s">
        <v>INE101Q07854</v>
        <stp/>
        <stp>bse_cm|MMFLZC27C</stp>
        <stp>Isin code</stp>
        <tr r="R1463" s="1"/>
      </tp>
      <tp t="s">
        <v>INE101Q07607</v>
        <stp/>
        <stp>bse_cm|MMFLZC25C</stp>
        <stp>Isin code</stp>
        <tr r="R1263" s="1"/>
      </tp>
      <tp t="s">
        <v>INE148I07NA2</v>
        <stp/>
        <stp>nse_cm|89SCL24A-ZM</stp>
        <stp>Isin code</stp>
        <tr r="R970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F0B053-BC7D-4334-9DF5-B9467770CCCD}" name="Table1" displayName="Table1" ref="A1:AG1769" totalsRowShown="0" headerRowDxfId="18">
  <autoFilter ref="A1:AG1769" xr:uid="{10F0B053-BC7D-4334-9DF5-B9467770CCCD}">
    <filterColumn colId="21">
      <customFilters>
        <customFilter operator="greaterThan" val="150"/>
      </customFilters>
    </filterColumn>
    <filterColumn colId="30">
      <filters>
        <filter val="0.00%"/>
        <filter val="0.01%"/>
        <filter val="0.02%"/>
        <filter val="-0.02%"/>
        <filter val="0.07%"/>
        <filter val="-0.07%"/>
        <filter val="-0.10%"/>
        <filter val="-0.14%"/>
        <filter val="-0.15%"/>
        <filter val="-0.18%"/>
        <filter val="0.22%"/>
        <filter val="-0.24%"/>
        <filter val="0.25%"/>
        <filter val="-0.28%"/>
        <filter val="0.36%"/>
        <filter val="0.41%"/>
        <filter val="0.43%"/>
        <filter val="-0.43%"/>
        <filter val="0.47%"/>
        <filter val="-0.47%"/>
        <filter val="-0.53%"/>
        <filter val="-0.54%"/>
        <filter val="0.58%"/>
        <filter val="0.69%"/>
        <filter val="0.70%"/>
        <filter val="-0.77%"/>
        <filter val="-0.79%"/>
        <filter val="-0.81%"/>
        <filter val="0.90%"/>
        <filter val="-0.90%"/>
        <filter val="-0.92%"/>
        <filter val="0.93%"/>
        <filter val="-0.94%"/>
        <filter val="-0.97%"/>
        <filter val="-1.03%"/>
        <filter val="1.11%"/>
        <filter val="-1.15%"/>
        <filter val="1.22%"/>
        <filter val="-1.24%"/>
        <filter val="-1.26%"/>
        <filter val="-1.30%"/>
        <filter val="1.40%"/>
        <filter val="-1.49%"/>
        <filter val="1.50%"/>
        <filter val="-1.50%"/>
        <filter val="-1.58%"/>
        <filter val="-1.60%"/>
        <filter val="1.64%"/>
        <filter val="-1.66%"/>
        <filter val="1.79%"/>
        <filter val="1.80%"/>
        <filter val="-1.84%"/>
        <filter val="1.85%"/>
        <filter val="1.95%"/>
        <filter val="-1.95%"/>
        <filter val="10.00%"/>
        <filter val="10.01%"/>
        <filter val="10.02%"/>
        <filter val="10.03%"/>
        <filter val="10.04%"/>
        <filter val="10.05%"/>
        <filter val="10.06%"/>
        <filter val="10.14%"/>
        <filter val="10.15%"/>
        <filter val="10.18%"/>
        <filter val="10.19%"/>
        <filter val="10.20%"/>
        <filter val="10.22%"/>
        <filter val="-10.24%"/>
        <filter val="10.30%"/>
        <filter val="10.31%"/>
        <filter val="10.34%"/>
        <filter val="10.36%"/>
        <filter val="10.37%"/>
        <filter val="10.38%"/>
        <filter val="10.39%"/>
        <filter val="-10.39%"/>
        <filter val="10.40%"/>
        <filter val="10.42%"/>
        <filter val="10.43%"/>
        <filter val="10.46%"/>
        <filter val="10.47%"/>
        <filter val="10.48%"/>
        <filter val="10.49%"/>
        <filter val="10.50%"/>
        <filter val="10.52%"/>
        <filter val="10.57%"/>
        <filter val="10.58%"/>
        <filter val="10.61%"/>
        <filter val="10.66%"/>
        <filter val="10.67%"/>
        <filter val="-10.67%"/>
        <filter val="10.68%"/>
        <filter val="10.69%"/>
        <filter val="10.70%"/>
        <filter val="10.75%"/>
        <filter val="10.77%"/>
        <filter val="10.78%"/>
        <filter val="10.79%"/>
        <filter val="10.80%"/>
        <filter val="10.81%"/>
        <filter val="10.85%"/>
        <filter val="10.87%"/>
        <filter val="10.89%"/>
        <filter val="10.90%"/>
        <filter val="10.92%"/>
        <filter val="10.93%"/>
        <filter val="10.94%"/>
        <filter val="10.95%"/>
        <filter val="10.97%"/>
        <filter val="10.98%"/>
        <filter val="-105.62%"/>
        <filter val="11.00%"/>
        <filter val="-11.00%"/>
        <filter val="11.01%"/>
        <filter val="11.02%"/>
        <filter val="11.06%"/>
        <filter val="11.11%"/>
        <filter val="11.12%"/>
        <filter val="11.14%"/>
        <filter val="11.15%"/>
        <filter val="11.17%"/>
        <filter val="11.18%"/>
        <filter val="11.21%"/>
        <filter val="-11.21%"/>
        <filter val="11.22%"/>
        <filter val="11.23%"/>
        <filter val="11.27%"/>
        <filter val="11.28%"/>
        <filter val="11.29%"/>
        <filter val="11.33%"/>
        <filter val="11.39%"/>
        <filter val="11.41%"/>
        <filter val="11.45%"/>
        <filter val="11.48%"/>
        <filter val="11.49%"/>
        <filter val="11.50%"/>
        <filter val="11.52%"/>
        <filter val="-11.53%"/>
        <filter val="11.54%"/>
        <filter val="-11.54%"/>
        <filter val="11.55%"/>
        <filter val="11.58%"/>
        <filter val="11.60%"/>
        <filter val="11.61%"/>
        <filter val="11.62%"/>
        <filter val="11.63%"/>
        <filter val="11.66%"/>
        <filter val="11.69%"/>
        <filter val="11.72%"/>
        <filter val="11.78%"/>
        <filter val="11.79%"/>
        <filter val="11.80%"/>
        <filter val="11.82%"/>
        <filter val="11.84%"/>
        <filter val="-11.84%"/>
        <filter val="11.85%"/>
        <filter val="11.87%"/>
        <filter val="11.88%"/>
        <filter val="11.89%"/>
        <filter val="11.90%"/>
        <filter val="11.91%"/>
        <filter val="11.98%"/>
        <filter val="-111.36%"/>
        <filter val="-113.18%"/>
        <filter val="12.00%"/>
        <filter val="-12.01%"/>
        <filter val="12.07%"/>
        <filter val="12.09%"/>
        <filter val="12.10%"/>
        <filter val="12.11%"/>
        <filter val="12.13%"/>
        <filter val="12.14%"/>
        <filter val="12.17%"/>
        <filter val="12.18%"/>
        <filter val="12.19%"/>
        <filter val="12.23%"/>
        <filter val="12.27%"/>
        <filter val="12.28%"/>
        <filter val="12.31%"/>
        <filter val="12.32%"/>
        <filter val="12.34%"/>
        <filter val="12.35%"/>
        <filter val="12.36%"/>
        <filter val="12.38%"/>
        <filter val="-12.40%"/>
        <filter val="12.43%"/>
        <filter val="12.45%"/>
        <filter val="12.55%"/>
        <filter val="12.56%"/>
        <filter val="12.60%"/>
        <filter val="12.63%"/>
        <filter val="12.68%"/>
        <filter val="12.74%"/>
        <filter val="12.83%"/>
        <filter val="12.87%"/>
        <filter val="12.97%"/>
        <filter val="-120.39%"/>
        <filter val="-129.70%"/>
        <filter val="13.03%"/>
        <filter val="13.08%"/>
        <filter val="13.17%"/>
        <filter val="-13.19%"/>
        <filter val="13.24%"/>
        <filter val="13.32%"/>
        <filter val="-13.38%"/>
        <filter val="-13.63%"/>
        <filter val="13.70%"/>
        <filter val="-13.82%"/>
        <filter val="14.04%"/>
        <filter val="-14.11%"/>
        <filter val="14.12%"/>
        <filter val="-14.27%"/>
        <filter val="14.38%"/>
        <filter val="-15.14%"/>
        <filter val="-15.28%"/>
        <filter val="15.38%"/>
        <filter val="-15.64%"/>
        <filter val="15.66%"/>
        <filter val="15.74%"/>
        <filter val="-152.33%"/>
        <filter val="-158.75%"/>
        <filter val="-16.13%"/>
        <filter val="-16.64%"/>
        <filter val="-16.71%"/>
        <filter val="-16.80%"/>
        <filter val="-165.00%"/>
        <filter val="-17.89%"/>
        <filter val="-176.14%"/>
        <filter val="-178.68%"/>
        <filter val="-18.72%"/>
        <filter val="-18.86%"/>
        <filter val="-19.13%"/>
        <filter val="-2.00%"/>
        <filter val="2.01%"/>
        <filter val="-2.01%"/>
        <filter val="2.02%"/>
        <filter val="2.06%"/>
        <filter val="-2.13%"/>
        <filter val="2.15%"/>
        <filter val="-2.19%"/>
        <filter val="2.21%"/>
        <filter val="-2.30%"/>
        <filter val="-2.35%"/>
        <filter val="2.39%"/>
        <filter val="2.46%"/>
        <filter val="-2.50%"/>
        <filter val="2.57%"/>
        <filter val="-2.57%"/>
        <filter val="2.59%"/>
        <filter val="-2.61%"/>
        <filter val="2.63%"/>
        <filter val="-2.65%"/>
        <filter val="2.66%"/>
        <filter val="-2.73%"/>
        <filter val="-2.78%"/>
        <filter val="-2.80%"/>
        <filter val="-2.82%"/>
        <filter val="-2.83%"/>
        <filter val="-2.85%"/>
        <filter val="-2.88%"/>
        <filter val="2.89%"/>
        <filter val="2.92%"/>
        <filter val="2.93%"/>
        <filter val="-2.99%"/>
        <filter val="-20.67%"/>
        <filter val="-21.25%"/>
        <filter val="-21.28%"/>
        <filter val="-22.03%"/>
        <filter val="-22.38%"/>
        <filter val="-22.41%"/>
        <filter val="-22.64%"/>
        <filter val="-22.99%"/>
        <filter val="-23.73%"/>
        <filter val="-24.26%"/>
        <filter val="-26.82%"/>
        <filter val="-26.92%"/>
        <filter val="-27.64%"/>
        <filter val="-273.87%"/>
        <filter val="-28.03%"/>
        <filter val="-3.00%"/>
        <filter val="-3.03%"/>
        <filter val="3.07%"/>
        <filter val="3.16%"/>
        <filter val="-3.20%"/>
        <filter val="-3.22%"/>
        <filter val="-3.30%"/>
        <filter val="3.31%"/>
        <filter val="-3.32%"/>
        <filter val="3.35%"/>
        <filter val="3.37%"/>
        <filter val="-3.40%"/>
        <filter val="3.45%"/>
        <filter val="-3.60%"/>
        <filter val="-3.61%"/>
        <filter val="3.62%"/>
        <filter val="3.71%"/>
        <filter val="3.74%"/>
        <filter val="-3.75%"/>
        <filter val="3.77%"/>
        <filter val="-3.83%"/>
        <filter val="-3.87%"/>
        <filter val="-3.91%"/>
        <filter val="3.94%"/>
        <filter val="-3.97%"/>
        <filter val="-31.55%"/>
        <filter val="-31.64%"/>
        <filter val="-317.98%"/>
        <filter val="-32.51%"/>
        <filter val="-33.27%"/>
        <filter val="-33.47%"/>
        <filter val="-34.01%"/>
        <filter val="-34.21%"/>
        <filter val="-36.38%"/>
        <filter val="-37.15%"/>
        <filter val="-39.69%"/>
        <filter val="-39.83%"/>
        <filter val="-39.91%"/>
        <filter val="4.04%"/>
        <filter val="-4.04%"/>
        <filter val="4.05%"/>
        <filter val="4.10%"/>
        <filter val="4.11%"/>
        <filter val="4.21%"/>
        <filter val="4.22%"/>
        <filter val="4.29%"/>
        <filter val="4.33%"/>
        <filter val="4.34%"/>
        <filter val="-4.38%"/>
        <filter val="4.40%"/>
        <filter val="4.44%"/>
        <filter val="4.48%"/>
        <filter val="-4.53%"/>
        <filter val="4.54%"/>
        <filter val="-4.54%"/>
        <filter val="4.56%"/>
        <filter val="4.61%"/>
        <filter val="4.62%"/>
        <filter val="4.64%"/>
        <filter val="4.66%"/>
        <filter val="-4.67%"/>
        <filter val="4.70%"/>
        <filter val="4.77%"/>
        <filter val="4.78%"/>
        <filter val="-4.84%"/>
        <filter val="-4.94%"/>
        <filter val="4.99%"/>
        <filter val="-42.23%"/>
        <filter val="-42.99%"/>
        <filter val="-478.11%"/>
        <filter val="-48.66%"/>
        <filter val="-488.57%"/>
        <filter val="5.00%"/>
        <filter val="-5.01%"/>
        <filter val="5.03%"/>
        <filter val="5.08%"/>
        <filter val="-5.11%"/>
        <filter val="5.15%"/>
        <filter val="5.16%"/>
        <filter val="5.17%"/>
        <filter val="5.18%"/>
        <filter val="5.19%"/>
        <filter val="5.20%"/>
        <filter val="5.24%"/>
        <filter val="5.25%"/>
        <filter val="5.28%"/>
        <filter val="5.31%"/>
        <filter val="5.35%"/>
        <filter val="5.39%"/>
        <filter val="5.40%"/>
        <filter val="5.41%"/>
        <filter val="5.46%"/>
        <filter val="5.47%"/>
        <filter val="5.51%"/>
        <filter val="5.53%"/>
        <filter val="5.56%"/>
        <filter val="5.58%"/>
        <filter val="5.59%"/>
        <filter val="5.61%"/>
        <filter val="5.62%"/>
        <filter val="-5.67%"/>
        <filter val="5.70%"/>
        <filter val="5.71%"/>
        <filter val="5.73%"/>
        <filter val="5.84%"/>
        <filter val="5.86%"/>
        <filter val="5.91%"/>
        <filter val="5.93%"/>
        <filter val="5.95%"/>
        <filter val="5.99%"/>
        <filter val="-53.18%"/>
        <filter val="-54.29%"/>
        <filter val="-55.56%"/>
        <filter val="-55.74%"/>
        <filter val="-58.15%"/>
        <filter val="6.01%"/>
        <filter val="6.02%"/>
        <filter val="-6.03%"/>
        <filter val="6.06%"/>
        <filter val="-6.06%"/>
        <filter val="6.10%"/>
        <filter val="6.21%"/>
        <filter val="-6.22%"/>
        <filter val="6.25%"/>
        <filter val="6.32%"/>
        <filter val="6.38%"/>
        <filter val="6.39%"/>
        <filter val="6.43%"/>
        <filter val="6.44%"/>
        <filter val="6.50%"/>
        <filter val="-6.53%"/>
        <filter val="6.57%"/>
        <filter val="-6.60%"/>
        <filter val="6.63%"/>
        <filter val="6.64%"/>
        <filter val="6.69%"/>
        <filter val="6.77%"/>
        <filter val="6.78%"/>
        <filter val="6.81%"/>
        <filter val="6.82%"/>
        <filter val="6.84%"/>
        <filter val="6.94%"/>
        <filter val="6.96%"/>
        <filter val="-6.96%"/>
        <filter val="6.99%"/>
        <filter val="-61.71%"/>
        <filter val="-65.18%"/>
        <filter val="-68.84%"/>
        <filter val="7.00%"/>
        <filter val="7.04%"/>
        <filter val="7.07%"/>
        <filter val="7.08%"/>
        <filter val="7.13%"/>
        <filter val="7.16%"/>
        <filter val="7.18%"/>
        <filter val="7.20%"/>
        <filter val="7.22%"/>
        <filter val="7.26%"/>
        <filter val="7.27%"/>
        <filter val="7.28%"/>
        <filter val="-7.28%"/>
        <filter val="7.31%"/>
        <filter val="7.32%"/>
        <filter val="7.33%"/>
        <filter val="7.34%"/>
        <filter val="7.35%"/>
        <filter val="7.36%"/>
        <filter val="7.38%"/>
        <filter val="7.39%"/>
        <filter val="7.40%"/>
        <filter val="-7.40%"/>
        <filter val="7.41%"/>
        <filter val="7.42%"/>
        <filter val="7.43%"/>
        <filter val="7.46%"/>
        <filter val="7.48%"/>
        <filter val="7.49%"/>
        <filter val="-7.50%"/>
        <filter val="7.53%"/>
        <filter val="7.54%"/>
        <filter val="7.55%"/>
        <filter val="7.58%"/>
        <filter val="7.59%"/>
        <filter val="7.60%"/>
        <filter val="7.61%"/>
        <filter val="-7.61%"/>
        <filter val="7.62%"/>
        <filter val="7.65%"/>
        <filter val="7.66%"/>
        <filter val="7.68%"/>
        <filter val="-7.73%"/>
        <filter val="7.75%"/>
        <filter val="7.79%"/>
        <filter val="-7.80%"/>
        <filter val="7.83%"/>
        <filter val="-7.83%"/>
        <filter val="7.84%"/>
        <filter val="7.85%"/>
        <filter val="7.86%"/>
        <filter val="7.87%"/>
        <filter val="7.88%"/>
        <filter val="7.90%"/>
        <filter val="7.91%"/>
        <filter val="7.96%"/>
        <filter val="7.98%"/>
        <filter val="-78.58%"/>
        <filter val="8.00%"/>
        <filter val="8.02%"/>
        <filter val="8.03%"/>
        <filter val="8.08%"/>
        <filter val="-8.12%"/>
        <filter val="8.13%"/>
        <filter val="8.15%"/>
        <filter val="8.16%"/>
        <filter val="8.17%"/>
        <filter val="8.18%"/>
        <filter val="8.22%"/>
        <filter val="8.23%"/>
        <filter val="8.27%"/>
        <filter val="8.28%"/>
        <filter val="8.30%"/>
        <filter val="8.35%"/>
        <filter val="8.38%"/>
        <filter val="8.39%"/>
        <filter val="-8.39%"/>
        <filter val="8.42%"/>
        <filter val="8.43%"/>
        <filter val="8.45%"/>
        <filter val="8.47%"/>
        <filter val="8.48%"/>
        <filter val="-8.49%"/>
        <filter val="8.53%"/>
        <filter val="8.56%"/>
        <filter val="8.60%"/>
        <filter val="8.62%"/>
        <filter val="8.65%"/>
        <filter val="8.68%"/>
        <filter val="8.70%"/>
        <filter val="8.71%"/>
        <filter val="8.73%"/>
        <filter val="-8.73%"/>
        <filter val="8.74%"/>
        <filter val="8.76%"/>
        <filter val="8.81%"/>
        <filter val="8.82%"/>
        <filter val="8.84%"/>
        <filter val="8.86%"/>
        <filter val="8.88%"/>
        <filter val="8.89%"/>
        <filter val="8.90%"/>
        <filter val="8.91%"/>
        <filter val="8.92%"/>
        <filter val="8.93%"/>
        <filter val="8.94%"/>
        <filter val="8.95%"/>
        <filter val="8.98%"/>
        <filter val="8.99%"/>
        <filter val="-81.08%"/>
        <filter val="-83.77%"/>
        <filter val="-86.24%"/>
        <filter val="-86.83%"/>
        <filter val="-87.25%"/>
        <filter val="9.00%"/>
        <filter val="9.01%"/>
        <filter val="9.02%"/>
        <filter val="9.03%"/>
        <filter val="9.05%"/>
        <filter val="9.06%"/>
        <filter val="9.09%"/>
        <filter val="9.10%"/>
        <filter val="9.19%"/>
        <filter val="9.20%"/>
        <filter val="9.21%"/>
        <filter val="9.24%"/>
        <filter val="9.25%"/>
        <filter val="9.26%"/>
        <filter val="9.27%"/>
        <filter val="9.28%"/>
        <filter val="9.29%"/>
        <filter val="9.31%"/>
        <filter val="9.33%"/>
        <filter val="9.34%"/>
        <filter val="9.41%"/>
        <filter val="9.43%"/>
        <filter val="9.44%"/>
        <filter val="9.45%"/>
        <filter val="9.47%"/>
        <filter val="9.48%"/>
        <filter val="9.50%"/>
        <filter val="9.54%"/>
        <filter val="9.55%"/>
        <filter val="9.56%"/>
        <filter val="-9.57%"/>
        <filter val="9.59%"/>
        <filter val="9.60%"/>
        <filter val="9.61%"/>
        <filter val="9.62%"/>
        <filter val="9.64%"/>
        <filter val="-9.64%"/>
        <filter val="9.65%"/>
        <filter val="9.68%"/>
        <filter val="9.70%"/>
        <filter val="9.76%"/>
        <filter val="-9.77%"/>
        <filter val="9.78%"/>
        <filter val="9.79%"/>
        <filter val="9.82%"/>
        <filter val="9.84%"/>
        <filter val="9.85%"/>
        <filter val="9.86%"/>
        <filter val="9.87%"/>
        <filter val="9.88%"/>
        <filter val="9.91%"/>
        <filter val="9.99%"/>
        <filter val="-91.77%"/>
        <filter val="-93.96%"/>
        <filter val="-94.23%"/>
        <filter val="-94.59%"/>
      </filters>
    </filterColumn>
  </autoFilter>
  <sortState xmlns:xlrd2="http://schemas.microsoft.com/office/spreadsheetml/2017/richdata2" ref="A40:AG1754">
    <sortCondition descending="1" ref="AE1:AE1769"/>
  </sortState>
  <tableColumns count="33">
    <tableColumn id="1" xr3:uid="{61FF1C59-5EFD-4514-B0E4-F7E2CD94BBFC}" name="Symbol"/>
    <tableColumn id="2" xr3:uid="{1042F1D2-64DC-40AD-A71C-965DC0EB543E}" name="Trading Symbol"/>
    <tableColumn id="3" xr3:uid="{094DBF71-9505-4772-B9AC-82C07939801B}" name="Exchange"/>
    <tableColumn id="4" xr3:uid="{C7AF84B6-6EB3-4C25-AD2C-6F964864EF12}" name="Bid Qty"/>
    <tableColumn id="5" xr3:uid="{4BFC65DE-F8F0-41AF-88F7-C61FE5C1D089}" name="Bid Rate"/>
    <tableColumn id="6" xr3:uid="{98B39E93-0221-4429-977A-14BADC5B1EEA}" name="Ask Rate"/>
    <tableColumn id="7" xr3:uid="{B8D524ED-3C9D-422E-94BE-52ADDAF38584}" name="Ask Qty"/>
    <tableColumn id="8" xr3:uid="{11E95070-35F3-42F0-AF90-93697A3D47C8}" name="LTP"/>
    <tableColumn id="9" xr3:uid="{EBCB0BFE-7964-48AA-BA14-5751E4B4D768}" name="LTT"/>
    <tableColumn id="10" xr3:uid="{A884F128-0066-4106-9C2F-2EAEBA834903}" name="% Change"/>
    <tableColumn id="11" xr3:uid="{11065313-8BA2-4579-93E0-9EE0BDB6ED66}" name="ATP"/>
    <tableColumn id="12" xr3:uid="{F28226F3-877C-435C-B270-47C463B42D8C}" name="Volume Traded Today"/>
    <tableColumn id="13" xr3:uid="{408BCCE0-3F13-4D52-8F00-0FA6E2705647}" name="Open"/>
    <tableColumn id="14" xr3:uid="{52D97774-2A77-4617-9AF9-B455A394469B}" name="High"/>
    <tableColumn id="15" xr3:uid="{F6B6D69A-2CA4-46D0-929C-6CDEC1D5236E}" name="Low "/>
    <tableColumn id="16" xr3:uid="{801F704E-01E1-41BA-A87E-A5EE57D7A59C}" name="Prev Close"/>
    <tableColumn id="17" xr3:uid="{3076811A-8AC5-4705-8FC5-FE71F4987394}" name="Face Value"/>
    <tableColumn id="18" xr3:uid="{2F218E45-0E4E-4B2C-A5D5-42D26CEB791A}" name="Isin code"/>
    <tableColumn id="19" xr3:uid="{A59A9562-3B8F-41A7-BFF5-C9A54329B0D1}" name="Investment" dataDxfId="17" dataCellStyle="Comma">
      <calculatedColumnFormula>Table1[[#This Row],[Ask Rate]]*Table1[[#This Row],[Ask Qty]]</calculatedColumnFormula>
    </tableColumn>
    <tableColumn id="20" xr3:uid="{C383FB84-F021-4A73-81C5-28036C04DB37}" name="Coupon_Rate" dataDxfId="16">
      <calculatedColumnFormula>VLOOKUP(Table1[[#This Row],[Isin code]],Table2[#All],7,FALSE)</calculatedColumnFormula>
    </tableColumn>
    <tableColumn id="21" xr3:uid="{8B2B4296-74B2-4197-8F14-E15FA38BB356}" name="Maturity" dataDxfId="15">
      <calculatedColumnFormula>VLOOKUP(Table1[[#This Row],[Isin code]],Table2[#All],8,FALSE)</calculatedColumnFormula>
    </tableColumn>
    <tableColumn id="22" xr3:uid="{BB658EED-F20B-4270-9A07-B68A2FB216E4}" name="Days Left" dataDxfId="14">
      <calculatedColumnFormula>Table1[[#This Row],[Maturity]]-TODAY()</calculatedColumnFormula>
    </tableColumn>
    <tableColumn id="23" xr3:uid="{718C3FFF-FE61-487D-907D-9C6A408EE8B0}" name="Freq" dataDxfId="13">
      <calculatedColumnFormula>VLOOKUP(Table1[[#This Row],[Isin code]],Table2[#All],10,FALSE)</calculatedColumnFormula>
    </tableColumn>
    <tableColumn id="24" xr3:uid="{1937A170-FDF9-4E77-8B5B-5781B092CE5B}" name="Time Remain" dataDxfId="12">
      <calculatedColumnFormula>_xlfn.DAYS(Table1[[#This Row],[Maturity]],TODAY())-15</calculatedColumnFormula>
    </tableColumn>
    <tableColumn id="25" xr3:uid="{72FA1025-EDF3-4FCA-8504-D6165FE4A2CE}" name="Time" dataDxfId="11">
      <calculatedColumnFormula>IF(Table1[[#This Row],[Freq]]="Yearly",ROUNDUP(Table1[[#This Row],[Time Remain]]/365,0),IF(Table1[[#This Row],[Freq]]="Monthly",ROUNDUP(Table1[[#This Row],[Time Remain]]/30,0),IF(Table1[[#This Row],[Freq]]="Quarterly",ROUNDUP(Table1[[#This Row],[Time Remain]]/90,0),0)))</calculatedColumnFormula>
    </tableColumn>
    <tableColumn id="26" xr3:uid="{A02D3F41-7A7F-45B2-9D1E-D751283AA8A5}" name="Disc/Prem" dataDxfId="10">
      <calculatedColumnFormula>IF(Table1[[#This Row],[Ask Rate]]=0,0,Table1[[#This Row],[Face Value]]-Table1[[#This Row],[Ask Rate]])</calculatedColumnFormula>
    </tableColumn>
    <tableColumn id="27" xr3:uid="{EBD0DAF3-7745-4984-836A-22F62EC1F4CA}" name="Rate" dataDxfId="9">
      <calculatedColumnFormula>IF(Table1[[#This Row],[Freq]]="Yearly",Table1[[#This Row],[Coupon_Rate]]/100,IF(Table1[[#This Row],[Freq]]="Monthly",Table1[[#This Row],[Coupon_Rate]]/1200,IF(Table1[[#This Row],[Freq]]="Quarterly",Table1[[#This Row],[Coupon_Rate]]/400,0)))</calculatedColumnFormula>
    </tableColumn>
    <tableColumn id="28" xr3:uid="{103FF0DA-3B27-43BE-9AB5-D1874AAB3A3A}" name="SI" dataDxfId="8">
      <calculatedColumnFormula>Table1[[#This Row],[Face Value]]*Table1[[#This Row],[Rate]]*Table1[[#This Row],[Time]]</calculatedColumnFormula>
    </tableColumn>
    <tableColumn id="29" xr3:uid="{AFB77080-4BDC-44B6-B354-8B742971D5C1}" name="Net Gain" dataDxfId="7">
      <calculatedColumnFormula>Table1[[#This Row],[SI]]+Table1[[#This Row],[Disc/Prem]]</calculatedColumnFormula>
    </tableColumn>
    <tableColumn id="30" xr3:uid="{4CA976E5-6D34-4A82-B8E6-745A41E23335}" name="Gross Yield" dataDxfId="6">
      <calculatedColumnFormula>Table1[[#This Row],[Net Gain]]/Table1[[#This Row],[Ask Rate]]</calculatedColumnFormula>
    </tableColumn>
    <tableColumn id="31" xr3:uid="{F3E8A38D-4210-4AB1-8525-088658A9B954}" name="YTM" dataDxfId="5" dataCellStyle="Percent">
      <calculatedColumnFormula>IF(Table1[[#This Row],[Ask Qty]]=0,0,Table1[[#This Row],[Gross Yield]]*365/Table1[[#This Row],[Days Left]])</calculatedColumnFormula>
    </tableColumn>
    <tableColumn id="32" xr3:uid="{C6BD9B1F-F681-42C2-B240-D7AA71F4E55D}" name="Gross Profit" dataDxfId="4" dataCellStyle="Comma">
      <calculatedColumnFormula>+Table1[[#This Row],[Net Gain]]*Table1[[#This Row],[Ask Qty]]</calculatedColumnFormula>
    </tableColumn>
    <tableColumn id="33" xr3:uid="{07159321-B4CA-49A3-BAAC-C463EB58E642}" name="Column1" dataDxfId="3">
      <calculatedColumnFormula>IF(Table1[[#This Row],[YTM]]&gt;0.12,IF(Table1[[#This Row],[Gross Profit]]&gt;10000,"Invest","Review"),"Low YTM")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CDA59F-9718-4FA4-9CAB-3499B8A88B88}" name="Table2" displayName="Table2" ref="A1:J2211" totalsRowShown="0">
  <autoFilter ref="A1:J2211" xr:uid="{A2CDA59F-9718-4FA4-9CAB-3499B8A88B88}"/>
  <tableColumns count="10">
    <tableColumn id="1" xr3:uid="{E20FE30E-F90F-48E8-AB46-90E4849F2225}" name="ISIN"/>
    <tableColumn id="2" xr3:uid="{F016DFE5-5E94-47D1-9057-8C496C629432}" name="SYMBOL"/>
    <tableColumn id="3" xr3:uid="{9D3E56B7-F6EA-4FE0-9922-C87F28AAD7DA}" name="SERIES"/>
    <tableColumn id="4" xr3:uid="{7CB8A891-050D-43EA-9C99-9291F41D0776}" name="FACE_VALUE" dataDxfId="2" dataCellStyle="Comma"/>
    <tableColumn id="5" xr3:uid="{8259277D-8414-4957-A6E9-0273CCF26E0B}" name="ASK"/>
    <tableColumn id="6" xr3:uid="{518B257E-1F87-4657-8D5D-8053D2E60DEF}" name="QTY"/>
    <tableColumn id="7" xr3:uid="{5F3A197D-B628-4308-8B53-83B83ED77C61}" name="COUPON_RATE" dataDxfId="1"/>
    <tableColumn id="8" xr3:uid="{1909E517-C00C-4BFD-B182-84CB8FB6CAA0}" name="MATURITY_DATE"/>
    <tableColumn id="9" xr3:uid="{955CBE51-2C50-4D92-928F-8D56E77DDFAB}" name="ISSUE_DESC"/>
    <tableColumn id="10" xr3:uid="{A1D4D2A7-D3BD-4F95-85AC-603A7618B460}" name="FREQ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10300-7154-42DB-8043-03689BF288AB}">
  <dimension ref="A1:AG1769"/>
  <sheetViews>
    <sheetView tabSelected="1" workbookViewId="0">
      <selection activeCell="C74" sqref="C74"/>
    </sheetView>
  </sheetViews>
  <sheetFormatPr defaultRowHeight="14.4" x14ac:dyDescent="0.3"/>
  <cols>
    <col min="1" max="1" width="12.33203125" bestFit="1" customWidth="1"/>
    <col min="2" max="2" width="16.44140625" bestFit="1" customWidth="1"/>
    <col min="3" max="3" width="11.21875" bestFit="1" customWidth="1"/>
    <col min="4" max="4" width="9.33203125" bestFit="1" customWidth="1"/>
    <col min="5" max="5" width="10.109375" bestFit="1" customWidth="1"/>
    <col min="6" max="6" width="10.44140625" bestFit="1" customWidth="1"/>
    <col min="7" max="7" width="9.6640625" bestFit="1" customWidth="1"/>
    <col min="8" max="8" width="8" bestFit="1" customWidth="1"/>
    <col min="9" max="9" width="8.109375" bestFit="1" customWidth="1"/>
    <col min="10" max="10" width="11.44140625" bestFit="1" customWidth="1"/>
    <col min="11" max="11" width="8" bestFit="1" customWidth="1"/>
    <col min="12" max="12" width="22" bestFit="1" customWidth="1"/>
    <col min="13" max="15" width="8" bestFit="1" customWidth="1"/>
    <col min="16" max="16" width="11.88671875" bestFit="1" customWidth="1"/>
    <col min="17" max="17" width="12.21875" bestFit="1" customWidth="1"/>
    <col min="18" max="18" width="14.5546875" bestFit="1" customWidth="1"/>
    <col min="19" max="19" width="12.77734375" bestFit="1" customWidth="1"/>
    <col min="20" max="20" width="14.6640625" bestFit="1" customWidth="1"/>
    <col min="21" max="21" width="11.88671875" bestFit="1" customWidth="1"/>
    <col min="22" max="22" width="10.88671875" bestFit="1" customWidth="1"/>
    <col min="23" max="23" width="12.109375" bestFit="1" customWidth="1"/>
    <col min="24" max="24" width="14.109375" bestFit="1" customWidth="1"/>
    <col min="25" max="25" width="8.109375" bestFit="1" customWidth="1"/>
    <col min="26" max="26" width="11.88671875" bestFit="1" customWidth="1"/>
    <col min="27" max="27" width="12" bestFit="1" customWidth="1"/>
    <col min="28" max="30" width="12.6640625" bestFit="1" customWidth="1"/>
    <col min="31" max="31" width="12.6640625" style="3" bestFit="1" customWidth="1"/>
    <col min="32" max="32" width="12.886718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1" t="s">
        <v>29</v>
      </c>
      <c r="AE1" s="16" t="s">
        <v>30</v>
      </c>
      <c r="AF1" s="2" t="s">
        <v>31</v>
      </c>
      <c r="AG1" s="18" t="s">
        <v>3876</v>
      </c>
    </row>
    <row r="2" spans="1:33" hidden="1" x14ac:dyDescent="0.3">
      <c r="A2" t="str">
        <f>RTD("nest.scriprtd",,"bse_cm|1050CCIL25","Symbol")</f>
        <v>1050CCIL25</v>
      </c>
      <c r="B2" t="str">
        <f>RTD("nest.scriprtd",,"bse_cm|1050CCIL25","Trading Symbol")</f>
        <v>1050CCIL25</v>
      </c>
      <c r="C2" t="str">
        <f>RTD("nest.scriprtd",,"bse_cm|1050CCIL25","Exchange")</f>
        <v>BSE</v>
      </c>
      <c r="D2">
        <f>RTD("nest.scriprtd",,"bse_cm|1050CCIL25","Bid Qty")</f>
        <v>8</v>
      </c>
      <c r="E2">
        <f>RTD("nest.scriprtd",,"bse_cm|1050CCIL25","Bid Rate")</f>
        <v>960</v>
      </c>
      <c r="F2">
        <f>RTD("nest.scriprtd",,"bse_cm|1050CCIL25","Ask Rate")</f>
        <v>1020</v>
      </c>
      <c r="G2">
        <f>RTD("nest.scriprtd",,"bse_cm|1050CCIL25","Ask Qty")</f>
        <v>50</v>
      </c>
      <c r="H2">
        <f>RTD("nest.scriprtd",,"bse_cm|1050CCIL25","LTP")</f>
        <v>0</v>
      </c>
      <c r="I2" t="str">
        <f>RTD("nest.scriprtd",,"bse_cm|1050CCIL25","LTT")</f>
        <v>00:00:00</v>
      </c>
      <c r="J2">
        <f>RTD("nest.scriprtd",,"bse_cm|1050CCIL25","% Change")</f>
        <v>-100</v>
      </c>
      <c r="K2">
        <f>RTD("nest.scriprtd",,"bse_cm|1050CCIL25","ATP")</f>
        <v>0</v>
      </c>
      <c r="L2">
        <f>RTD("nest.scriprtd",,"bse_cm|1050CCIL25","Volume Traded Today")</f>
        <v>0</v>
      </c>
      <c r="M2">
        <f>RTD("nest.scriprtd",,"bse_cm|1050CCIL25","Open")</f>
        <v>0</v>
      </c>
      <c r="N2">
        <f>RTD("nest.scriprtd",,"bse_cm|1050CCIL25","High")</f>
        <v>998</v>
      </c>
      <c r="O2">
        <f>RTD("nest.scriprtd",,"bse_cm|1050CCIL25","Low ")</f>
        <v>990</v>
      </c>
      <c r="P2">
        <f>RTD("nest.scriprtd",,"bse_cm|1050CCIL25","Prev Close")</f>
        <v>990.3</v>
      </c>
      <c r="Q2">
        <f>RTD("nest.scriprtd",,"bse_cm|1050CCIL25","Face Value")</f>
        <v>1000</v>
      </c>
      <c r="R2" t="str">
        <f>RTD("nest.scriprtd",,"bse_cm|1050CCIL25","Isin code")</f>
        <v>INE051307AO1</v>
      </c>
      <c r="S2" s="9">
        <f>Table1[[#This Row],[Ask Rate]]*Table1[[#This Row],[Ask Qty]]</f>
        <v>51000</v>
      </c>
      <c r="T2" t="str">
        <f>VLOOKUP(Table1[[#This Row],[Isin code]],Table2[#All],7,FALSE)</f>
        <v>x</v>
      </c>
      <c r="U2" t="str">
        <f>VLOOKUP(Table1[[#This Row],[Isin code]],Table2[#All],8,FALSE)</f>
        <v>x</v>
      </c>
      <c r="V2" s="10" t="e">
        <f ca="1">Table1[[#This Row],[Maturity]]-TODAY()</f>
        <v>#VALUE!</v>
      </c>
      <c r="W2" t="str">
        <f>VLOOKUP(Table1[[#This Row],[Isin code]],Table2[#All],10,FALSE)</f>
        <v>x</v>
      </c>
      <c r="X2" t="e">
        <f ca="1">_xlfn.DAYS(Table1[[#This Row],[Maturity]],TODAY())-15</f>
        <v>#VALUE!</v>
      </c>
      <c r="Y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2">
        <f>IF(Table1[[#This Row],[Ask Rate]]=0,0,Table1[[#This Row],[Face Value]]-Table1[[#This Row],[Ask Rate]])</f>
        <v>-20</v>
      </c>
      <c r="AA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">
        <f>Table1[[#This Row],[Face Value]]*Table1[[#This Row],[Rate]]*Table1[[#This Row],[Time]]</f>
        <v>0</v>
      </c>
      <c r="AC2">
        <f>Table1[[#This Row],[SI]]+Table1[[#This Row],[Disc/Prem]]</f>
        <v>-20</v>
      </c>
      <c r="AD2">
        <f>Table1[[#This Row],[Net Gain]]/Table1[[#This Row],[Ask Rate]]</f>
        <v>-1.9607843137254902E-2</v>
      </c>
      <c r="AE2" s="3" t="e">
        <f ca="1">IF(Table1[[#This Row],[Ask Qty]]=0,0,Table1[[#This Row],[Gross Yield]]*365/Table1[[#This Row],[Days Left]])</f>
        <v>#VALUE!</v>
      </c>
      <c r="AF2" s="9">
        <f>+Table1[[#This Row],[Net Gain]]*Table1[[#This Row],[Ask Qty]]</f>
        <v>-1000</v>
      </c>
      <c r="AG2" t="e">
        <f ca="1">IF(Table1[[#This Row],[YTM]]&gt;0.12,IF(Table1[[#This Row],[Gross Profit]]&gt;10000,"Invest","Review"),"Low YTM")</f>
        <v>#VALUE!</v>
      </c>
    </row>
    <row r="3" spans="1:33" hidden="1" x14ac:dyDescent="0.3">
      <c r="A3" t="str">
        <f>RTD("nest.scriprtd",,"nse_cm|829LTF24-NL","Symbol")</f>
        <v>829LTF24</v>
      </c>
      <c r="B3" t="str">
        <f>RTD("nest.scriprtd",,"nse_cm|829LTF24-NL","Trading Symbol")</f>
        <v>829LTF24-NL</v>
      </c>
      <c r="C3" t="str">
        <f>RTD("nest.scriprtd",,"nse_cm|829LTF24-NL","Exchange")</f>
        <v>NSE</v>
      </c>
      <c r="D3">
        <f>RTD("nest.scriprtd",,"nse_cm|829LTF24-NL","Bid Qty")</f>
        <v>57</v>
      </c>
      <c r="E3">
        <f>RTD("nest.scriprtd",,"nse_cm|829LTF24-NL","Bid Rate")</f>
        <v>999</v>
      </c>
      <c r="F3">
        <f>RTD("nest.scriprtd",,"nse_cm|829LTF24-NL","Ask Rate")</f>
        <v>999.99</v>
      </c>
      <c r="G3">
        <f>RTD("nest.scriprtd",,"nse_cm|829LTF24-NL","Ask Qty")</f>
        <v>50</v>
      </c>
      <c r="H3">
        <f>RTD("nest.scriprtd",,"nse_cm|829LTF24-NL","LTP")</f>
        <v>999</v>
      </c>
      <c r="I3" t="str">
        <f>RTD("nest.scriprtd",,"nse_cm|829LTF24-NL","LTT")</f>
        <v>15:06:29</v>
      </c>
      <c r="J3">
        <f>RTD("nest.scriprtd",,"nse_cm|829LTF24-NL","% Change")</f>
        <v>-0.1</v>
      </c>
      <c r="K3">
        <f>RTD("nest.scriprtd",,"nse_cm|829LTF24-NL","ATP")</f>
        <v>999.61</v>
      </c>
      <c r="L3">
        <f>RTD("nest.scriprtd",,"nse_cm|829LTF24-NL","Volume Traded Today")</f>
        <v>176</v>
      </c>
      <c r="M3">
        <f>RTD("nest.scriprtd",,"nse_cm|829LTF24-NL","Open")</f>
        <v>1000.55</v>
      </c>
      <c r="N3">
        <f>RTD("nest.scriprtd",,"nse_cm|829LTF24-NL","High")</f>
        <v>1000.55</v>
      </c>
      <c r="O3">
        <f>RTD("nest.scriprtd",,"nse_cm|829LTF24-NL","Low ")</f>
        <v>999</v>
      </c>
      <c r="P3">
        <f>RTD("nest.scriprtd",,"nse_cm|829LTF24-NL","Prev Close")</f>
        <v>1000</v>
      </c>
      <c r="Q3">
        <f>RTD("nest.scriprtd",,"nse_cm|829LTF24-NL","Face Value")</f>
        <v>1000</v>
      </c>
      <c r="R3" t="str">
        <f>RTD("nest.scriprtd",,"nse_cm|829LTF24-NL","Isin code")</f>
        <v>INE027E07BA2</v>
      </c>
      <c r="S3" s="9">
        <f>Table1[[#This Row],[Ask Rate]]*Table1[[#This Row],[Ask Qty]]</f>
        <v>49999.5</v>
      </c>
      <c r="T3">
        <f>VLOOKUP(Table1[[#This Row],[Isin code]],Table2[#All],7,FALSE)</f>
        <v>0</v>
      </c>
      <c r="U3" t="str">
        <f>VLOOKUP(Table1[[#This Row],[Isin code]],Table2[#All],8,FALSE)</f>
        <v>-</v>
      </c>
      <c r="V3" s="10" t="e">
        <f ca="1">Table1[[#This Row],[Maturity]]-TODAY()</f>
        <v>#VALUE!</v>
      </c>
      <c r="W3" t="str">
        <f>VLOOKUP(Table1[[#This Row],[Isin code]],Table2[#All],10,FALSE)</f>
        <v>Monthly</v>
      </c>
      <c r="X3" t="e">
        <f ca="1">_xlfn.DAYS(Table1[[#This Row],[Maturity]],TODAY())-15</f>
        <v>#VALUE!</v>
      </c>
      <c r="Y3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3">
        <f>IF(Table1[[#This Row],[Ask Rate]]=0,0,Table1[[#This Row],[Face Value]]-Table1[[#This Row],[Ask Rate]])</f>
        <v>9.9999999999909051E-3</v>
      </c>
      <c r="AA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3" t="e">
        <f ca="1">Table1[[#This Row],[Face Value]]*Table1[[#This Row],[Rate]]*Table1[[#This Row],[Time]]</f>
        <v>#VALUE!</v>
      </c>
      <c r="AC3" t="e">
        <f ca="1">Table1[[#This Row],[SI]]+Table1[[#This Row],[Disc/Prem]]</f>
        <v>#VALUE!</v>
      </c>
      <c r="AD3" t="e">
        <f ca="1">Table1[[#This Row],[Net Gain]]/Table1[[#This Row],[Ask Rate]]</f>
        <v>#VALUE!</v>
      </c>
      <c r="AE3" s="3" t="e">
        <f ca="1">IF(Table1[[#This Row],[Ask Qty]]=0,0,Table1[[#This Row],[Gross Yield]]*365/Table1[[#This Row],[Days Left]])</f>
        <v>#VALUE!</v>
      </c>
      <c r="AF3" s="9" t="e">
        <f ca="1">+Table1[[#This Row],[Net Gain]]*Table1[[#This Row],[Ask Qty]]</f>
        <v>#VALUE!</v>
      </c>
      <c r="AG3" t="e">
        <f ca="1">IF(Table1[[#This Row],[YTM]]&gt;0.12,IF(Table1[[#This Row],[Gross Profit]]&gt;10000,"Invest","Review"),"Low YTM")</f>
        <v>#VALUE!</v>
      </c>
    </row>
    <row r="4" spans="1:33" hidden="1" x14ac:dyDescent="0.3">
      <c r="A4" t="str">
        <f>RTD("nest.scriprtd",,"bse_cm|829LTF24","Symbol")</f>
        <v>829LTF24</v>
      </c>
      <c r="B4" t="str">
        <f>RTD("nest.scriprtd",,"bse_cm|829LTF24","Trading Symbol")</f>
        <v>829LTF24</v>
      </c>
      <c r="C4" t="str">
        <f>RTD("nest.scriprtd",,"bse_cm|829LTF24","Exchange")</f>
        <v>BSE</v>
      </c>
      <c r="D4">
        <f>RTD("nest.scriprtd",,"bse_cm|829LTF24","Bid Qty")</f>
        <v>12</v>
      </c>
      <c r="E4">
        <f>RTD("nest.scriprtd",,"bse_cm|829LTF24","Bid Rate")</f>
        <v>999</v>
      </c>
      <c r="F4">
        <f>RTD("nest.scriprtd",,"bse_cm|829LTF24","Ask Rate")</f>
        <v>1005</v>
      </c>
      <c r="G4">
        <f>RTD("nest.scriprtd",,"bse_cm|829LTF24","Ask Qty")</f>
        <v>10</v>
      </c>
      <c r="H4">
        <f>RTD("nest.scriprtd",,"bse_cm|829LTF24","LTP")</f>
        <v>999</v>
      </c>
      <c r="I4" t="str">
        <f>RTD("nest.scriprtd",,"bse_cm|829LTF24","LTT")</f>
        <v>09:41:00</v>
      </c>
      <c r="J4">
        <f>RTD("nest.scriprtd",,"bse_cm|829LTF24","% Change")</f>
        <v>-0.15</v>
      </c>
      <c r="K4">
        <f>RTD("nest.scriprtd",,"bse_cm|829LTF24","ATP")</f>
        <v>1000.27</v>
      </c>
      <c r="L4">
        <f>RTD("nest.scriprtd",,"bse_cm|829LTF24","Volume Traded Today")</f>
        <v>6</v>
      </c>
      <c r="M4">
        <f>RTD("nest.scriprtd",,"bse_cm|829LTF24","Open")</f>
        <v>1000.55</v>
      </c>
      <c r="N4">
        <f>RTD("nest.scriprtd",,"bse_cm|829LTF24","High")</f>
        <v>1000.55</v>
      </c>
      <c r="O4">
        <f>RTD("nest.scriprtd",,"bse_cm|829LTF24","Low ")</f>
        <v>997</v>
      </c>
      <c r="P4">
        <f>RTD("nest.scriprtd",,"bse_cm|829LTF24","Prev Close")</f>
        <v>1000.55</v>
      </c>
      <c r="Q4">
        <f>RTD("nest.scriprtd",,"bse_cm|829LTF24","Face Value")</f>
        <v>1000</v>
      </c>
      <c r="R4" t="str">
        <f>RTD("nest.scriprtd",,"bse_cm|829LTF24","Isin code")</f>
        <v>INE027E07BA2</v>
      </c>
      <c r="S4" s="9">
        <f>Table1[[#This Row],[Ask Rate]]*Table1[[#This Row],[Ask Qty]]</f>
        <v>10050</v>
      </c>
      <c r="T4">
        <f>VLOOKUP(Table1[[#This Row],[Isin code]],Table2[#All],7,FALSE)</f>
        <v>0</v>
      </c>
      <c r="U4" t="str">
        <f>VLOOKUP(Table1[[#This Row],[Isin code]],Table2[#All],8,FALSE)</f>
        <v>-</v>
      </c>
      <c r="V4" s="10" t="e">
        <f ca="1">Table1[[#This Row],[Maturity]]-TODAY()</f>
        <v>#VALUE!</v>
      </c>
      <c r="W4" t="str">
        <f>VLOOKUP(Table1[[#This Row],[Isin code]],Table2[#All],10,FALSE)</f>
        <v>Monthly</v>
      </c>
      <c r="X4" t="e">
        <f ca="1">_xlfn.DAYS(Table1[[#This Row],[Maturity]],TODAY())-15</f>
        <v>#VALUE!</v>
      </c>
      <c r="Y4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4">
        <f>IF(Table1[[#This Row],[Ask Rate]]=0,0,Table1[[#This Row],[Face Value]]-Table1[[#This Row],[Ask Rate]])</f>
        <v>-5</v>
      </c>
      <c r="AA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4" t="e">
        <f ca="1">Table1[[#This Row],[Face Value]]*Table1[[#This Row],[Rate]]*Table1[[#This Row],[Time]]</f>
        <v>#VALUE!</v>
      </c>
      <c r="AC4" t="e">
        <f ca="1">Table1[[#This Row],[SI]]+Table1[[#This Row],[Disc/Prem]]</f>
        <v>#VALUE!</v>
      </c>
      <c r="AD4" t="e">
        <f ca="1">Table1[[#This Row],[Net Gain]]/Table1[[#This Row],[Ask Rate]]</f>
        <v>#VALUE!</v>
      </c>
      <c r="AE4" s="3" t="e">
        <f ca="1">IF(Table1[[#This Row],[Ask Qty]]=0,0,Table1[[#This Row],[Gross Yield]]*365/Table1[[#This Row],[Days Left]])</f>
        <v>#VALUE!</v>
      </c>
      <c r="AF4" s="9" t="e">
        <f ca="1">+Table1[[#This Row],[Net Gain]]*Table1[[#This Row],[Ask Qty]]</f>
        <v>#VALUE!</v>
      </c>
      <c r="AG4" t="e">
        <f ca="1">IF(Table1[[#This Row],[YTM]]&gt;0.12,IF(Table1[[#This Row],[Gross Profit]]&gt;10000,"Invest","Review"),"Low YTM")</f>
        <v>#VALUE!</v>
      </c>
    </row>
    <row r="5" spans="1:33" hidden="1" x14ac:dyDescent="0.3">
      <c r="A5" t="str">
        <f>RTD("nest.scriprtd",,"nse_cm|94SFL28-YL","Symbol")</f>
        <v>94SFL28</v>
      </c>
      <c r="B5" t="str">
        <f>RTD("nest.scriprtd",,"nse_cm|94SFL28-YL","Trading Symbol")</f>
        <v>94SFL28-YL</v>
      </c>
      <c r="C5" t="str">
        <f>RTD("nest.scriprtd",,"nse_cm|94SFL28-YL","Exchange")</f>
        <v>NSE</v>
      </c>
      <c r="D5">
        <f>RTD("nest.scriprtd",,"nse_cm|94SFL28-YL","Bid Qty")</f>
        <v>10</v>
      </c>
      <c r="E5">
        <f>RTD("nest.scriprtd",,"nse_cm|94SFL28-YL","Bid Rate")</f>
        <v>1045.01</v>
      </c>
      <c r="F5">
        <f>RTD("nest.scriprtd",,"nse_cm|94SFL28-YL","Ask Rate")</f>
        <v>1050.9000000000001</v>
      </c>
      <c r="G5">
        <f>RTD("nest.scriprtd",,"nse_cm|94SFL28-YL","Ask Qty")</f>
        <v>100</v>
      </c>
      <c r="H5">
        <f>RTD("nest.scriprtd",,"nse_cm|94SFL28-YL","LTP")</f>
        <v>1048</v>
      </c>
      <c r="I5" t="str">
        <f>RTD("nest.scriprtd",,"nse_cm|94SFL28-YL","LTT")</f>
        <v/>
      </c>
      <c r="J5">
        <f>RTD("nest.scriprtd",,"nse_cm|94SFL28-YL","% Change")</f>
        <v>0</v>
      </c>
      <c r="K5">
        <f>RTD("nest.scriprtd",,"nse_cm|94SFL28-YL","ATP")</f>
        <v>0</v>
      </c>
      <c r="L5">
        <f>RTD("nest.scriprtd",,"nse_cm|94SFL28-YL","Volume Traded Today")</f>
        <v>0</v>
      </c>
      <c r="M5">
        <f>RTD("nest.scriprtd",,"nse_cm|94SFL28-YL","Open")</f>
        <v>0</v>
      </c>
      <c r="N5">
        <f>RTD("nest.scriprtd",,"nse_cm|94SFL28-YL","High")</f>
        <v>1048</v>
      </c>
      <c r="O5">
        <f>RTD("nest.scriprtd",,"nse_cm|94SFL28-YL","Low ")</f>
        <v>1048</v>
      </c>
      <c r="P5">
        <f>RTD("nest.scriprtd",,"nse_cm|94SFL28-YL","Prev Close")</f>
        <v>1048</v>
      </c>
      <c r="Q5">
        <f>RTD("nest.scriprtd",,"nse_cm|94SFL28-YL","Face Value")</f>
        <v>1000</v>
      </c>
      <c r="R5" t="str">
        <f>RTD("nest.scriprtd",,"nse_cm|94SFL28-YL","Isin code")</f>
        <v>INE721A07NX5</v>
      </c>
      <c r="S5" s="9">
        <f>Table1[[#This Row],[Ask Rate]]*Table1[[#This Row],[Ask Qty]]</f>
        <v>105090.00000000001</v>
      </c>
      <c r="T5">
        <f>VLOOKUP(Table1[[#This Row],[Isin code]],Table2[#All],7,FALSE)</f>
        <v>0</v>
      </c>
      <c r="U5" t="str">
        <f>VLOOKUP(Table1[[#This Row],[Isin code]],Table2[#All],8,FALSE)</f>
        <v>-</v>
      </c>
      <c r="V5" s="10" t="e">
        <f ca="1">Table1[[#This Row],[Maturity]]-TODAY()</f>
        <v>#VALUE!</v>
      </c>
      <c r="W5" t="str">
        <f>VLOOKUP(Table1[[#This Row],[Isin code]],Table2[#All],10,FALSE)</f>
        <v>Yearly</v>
      </c>
      <c r="X5" t="e">
        <f ca="1">_xlfn.DAYS(Table1[[#This Row],[Maturity]],TODAY())-15</f>
        <v>#VALUE!</v>
      </c>
      <c r="Y5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5">
        <f>IF(Table1[[#This Row],[Ask Rate]]=0,0,Table1[[#This Row],[Face Value]]-Table1[[#This Row],[Ask Rate]])</f>
        <v>-50.900000000000091</v>
      </c>
      <c r="AA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" t="e">
        <f ca="1">Table1[[#This Row],[Face Value]]*Table1[[#This Row],[Rate]]*Table1[[#This Row],[Time]]</f>
        <v>#VALUE!</v>
      </c>
      <c r="AC5" t="e">
        <f ca="1">Table1[[#This Row],[SI]]+Table1[[#This Row],[Disc/Prem]]</f>
        <v>#VALUE!</v>
      </c>
      <c r="AD5" t="e">
        <f ca="1">Table1[[#This Row],[Net Gain]]/Table1[[#This Row],[Ask Rate]]</f>
        <v>#VALUE!</v>
      </c>
      <c r="AE5" s="3" t="e">
        <f ca="1">IF(Table1[[#This Row],[Ask Qty]]=0,0,Table1[[#This Row],[Gross Yield]]*365/Table1[[#This Row],[Days Left]])</f>
        <v>#VALUE!</v>
      </c>
      <c r="AF5" s="9" t="e">
        <f ca="1">+Table1[[#This Row],[Net Gain]]*Table1[[#This Row],[Ask Qty]]</f>
        <v>#VALUE!</v>
      </c>
      <c r="AG5" t="e">
        <f ca="1">IF(Table1[[#This Row],[YTM]]&gt;0.12,IF(Table1[[#This Row],[Gross Profit]]&gt;10000,"Invest","Review"),"Low YTM")</f>
        <v>#VALUE!</v>
      </c>
    </row>
    <row r="6" spans="1:33" hidden="1" x14ac:dyDescent="0.3">
      <c r="A6" t="str">
        <f>RTD("nest.scriprtd",,"nse_cm|930SFL28-YP","Symbol")</f>
        <v>930SFL28</v>
      </c>
      <c r="B6" t="str">
        <f>RTD("nest.scriprtd",,"nse_cm|930SFL28-YP","Trading Symbol")</f>
        <v>930SFL28-YP</v>
      </c>
      <c r="C6" t="str">
        <f>RTD("nest.scriprtd",,"nse_cm|930SFL28-YP","Exchange")</f>
        <v>NSE</v>
      </c>
      <c r="D6">
        <f>RTD("nest.scriprtd",,"nse_cm|930SFL28-YP","Bid Qty")</f>
        <v>5</v>
      </c>
      <c r="E6">
        <f>RTD("nest.scriprtd",,"nse_cm|930SFL28-YP","Bid Rate")</f>
        <v>1030.1099999999999</v>
      </c>
      <c r="F6">
        <f>RTD("nest.scriprtd",,"nse_cm|930SFL28-YP","Ask Rate")</f>
        <v>1040</v>
      </c>
      <c r="G6">
        <f>RTD("nest.scriprtd",,"nse_cm|930SFL28-YP","Ask Qty")</f>
        <v>15</v>
      </c>
      <c r="H6">
        <f>RTD("nest.scriprtd",,"nse_cm|930SFL28-YP","LTP")</f>
        <v>1040</v>
      </c>
      <c r="I6" t="str">
        <f>RTD("nest.scriprtd",,"nse_cm|930SFL28-YP","LTT")</f>
        <v>11:13:00</v>
      </c>
      <c r="J6">
        <f>RTD("nest.scriprtd",,"nse_cm|930SFL28-YP","% Change")</f>
        <v>0</v>
      </c>
      <c r="K6">
        <f>RTD("nest.scriprtd",,"nse_cm|930SFL28-YP","ATP")</f>
        <v>1040</v>
      </c>
      <c r="L6">
        <f>RTD("nest.scriprtd",,"nse_cm|930SFL28-YP","Volume Traded Today")</f>
        <v>5</v>
      </c>
      <c r="M6">
        <f>RTD("nest.scriprtd",,"nse_cm|930SFL28-YP","Open")</f>
        <v>1040</v>
      </c>
      <c r="N6">
        <f>RTD("nest.scriprtd",,"nse_cm|930SFL28-YP","High")</f>
        <v>1040</v>
      </c>
      <c r="O6">
        <f>RTD("nest.scriprtd",,"nse_cm|930SFL28-YP","Low ")</f>
        <v>1040</v>
      </c>
      <c r="P6">
        <f>RTD("nest.scriprtd",,"nse_cm|930SFL28-YP","Prev Close")</f>
        <v>1040</v>
      </c>
      <c r="Q6">
        <f>RTD("nest.scriprtd",,"nse_cm|930SFL28-YP","Face Value")</f>
        <v>1000</v>
      </c>
      <c r="R6" t="str">
        <f>RTD("nest.scriprtd",,"nse_cm|930SFL28-YP","Isin code")</f>
        <v>INE721A07OC7</v>
      </c>
      <c r="S6" s="9">
        <f>Table1[[#This Row],[Ask Rate]]*Table1[[#This Row],[Ask Qty]]</f>
        <v>15600</v>
      </c>
      <c r="T6">
        <f>VLOOKUP(Table1[[#This Row],[Isin code]],Table2[#All],7,FALSE)</f>
        <v>0</v>
      </c>
      <c r="U6" t="str">
        <f>VLOOKUP(Table1[[#This Row],[Isin code]],Table2[#All],8,FALSE)</f>
        <v>-</v>
      </c>
      <c r="V6" s="10" t="e">
        <f ca="1">Table1[[#This Row],[Maturity]]-TODAY()</f>
        <v>#VALUE!</v>
      </c>
      <c r="W6" t="str">
        <f>VLOOKUP(Table1[[#This Row],[Isin code]],Table2[#All],10,FALSE)</f>
        <v>Yearly</v>
      </c>
      <c r="X6" t="e">
        <f ca="1">_xlfn.DAYS(Table1[[#This Row],[Maturity]],TODAY())-15</f>
        <v>#VALUE!</v>
      </c>
      <c r="Y6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6">
        <f>IF(Table1[[#This Row],[Ask Rate]]=0,0,Table1[[#This Row],[Face Value]]-Table1[[#This Row],[Ask Rate]])</f>
        <v>-40</v>
      </c>
      <c r="AA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6" t="e">
        <f ca="1">Table1[[#This Row],[Face Value]]*Table1[[#This Row],[Rate]]*Table1[[#This Row],[Time]]</f>
        <v>#VALUE!</v>
      </c>
      <c r="AC6" t="e">
        <f ca="1">Table1[[#This Row],[SI]]+Table1[[#This Row],[Disc/Prem]]</f>
        <v>#VALUE!</v>
      </c>
      <c r="AD6" t="e">
        <f ca="1">Table1[[#This Row],[Net Gain]]/Table1[[#This Row],[Ask Rate]]</f>
        <v>#VALUE!</v>
      </c>
      <c r="AE6" s="3" t="e">
        <f ca="1">IF(Table1[[#This Row],[Ask Qty]]=0,0,Table1[[#This Row],[Gross Yield]]*365/Table1[[#This Row],[Days Left]])</f>
        <v>#VALUE!</v>
      </c>
      <c r="AF6" s="9" t="e">
        <f ca="1">+Table1[[#This Row],[Net Gain]]*Table1[[#This Row],[Ask Qty]]</f>
        <v>#VALUE!</v>
      </c>
      <c r="AG6" t="e">
        <f ca="1">IF(Table1[[#This Row],[YTM]]&gt;0.12,IF(Table1[[#This Row],[Gross Profit]]&gt;10000,"Invest","Review"),"Low YTM")</f>
        <v>#VALUE!</v>
      </c>
    </row>
    <row r="7" spans="1:33" hidden="1" x14ac:dyDescent="0.3">
      <c r="A7" t="str">
        <f>RTD("nest.scriprtd",,"nse_cm|86LTF24-NJ","Symbol")</f>
        <v>86LTF24</v>
      </c>
      <c r="B7" t="str">
        <f>RTD("nest.scriprtd",,"nse_cm|86LTF24-NJ","Trading Symbol")</f>
        <v>86LTF24-NJ</v>
      </c>
      <c r="C7" t="str">
        <f>RTD("nest.scriprtd",,"nse_cm|86LTF24-NJ","Exchange")</f>
        <v>NSE</v>
      </c>
      <c r="D7">
        <f>RTD("nest.scriprtd",,"nse_cm|86LTF24-NJ","Bid Qty")</f>
        <v>3</v>
      </c>
      <c r="E7">
        <f>RTD("nest.scriprtd",,"nse_cm|86LTF24-NJ","Bid Rate")</f>
        <v>1065.1199999999999</v>
      </c>
      <c r="F7">
        <f>RTD("nest.scriprtd",,"nse_cm|86LTF24-NJ","Ask Rate")</f>
        <v>1072.8</v>
      </c>
      <c r="G7">
        <f>RTD("nest.scriprtd",,"nse_cm|86LTF24-NJ","Ask Qty")</f>
        <v>10</v>
      </c>
      <c r="H7">
        <f>RTD("nest.scriprtd",,"nse_cm|86LTF24-NJ","LTP")</f>
        <v>1066</v>
      </c>
      <c r="I7" t="str">
        <f>RTD("nest.scriprtd",,"nse_cm|86LTF24-NJ","LTT")</f>
        <v/>
      </c>
      <c r="J7">
        <f>RTD("nest.scriprtd",,"nse_cm|86LTF24-NJ","% Change")</f>
        <v>0</v>
      </c>
      <c r="K7">
        <f>RTD("nest.scriprtd",,"nse_cm|86LTF24-NJ","ATP")</f>
        <v>0</v>
      </c>
      <c r="L7">
        <f>RTD("nest.scriprtd",,"nse_cm|86LTF24-NJ","Volume Traded Today")</f>
        <v>0</v>
      </c>
      <c r="M7">
        <f>RTD("nest.scriprtd",,"nse_cm|86LTF24-NJ","Open")</f>
        <v>0</v>
      </c>
      <c r="N7">
        <f>RTD("nest.scriprtd",,"nse_cm|86LTF24-NJ","High")</f>
        <v>1070</v>
      </c>
      <c r="O7">
        <f>RTD("nest.scriprtd",,"nse_cm|86LTF24-NJ","Low ")</f>
        <v>1064.2</v>
      </c>
      <c r="P7">
        <f>RTD("nest.scriprtd",,"nse_cm|86LTF24-NJ","Prev Close")</f>
        <v>1066</v>
      </c>
      <c r="Q7">
        <f>RTD("nest.scriprtd",,"nse_cm|86LTF24-NJ","Face Value")</f>
        <v>1000</v>
      </c>
      <c r="R7" t="str">
        <f>RTD("nest.scriprtd",,"nse_cm|86LTF24-NJ","Isin code")</f>
        <v>INE027E07AY4</v>
      </c>
      <c r="S7" s="9">
        <f>Table1[[#This Row],[Ask Rate]]*Table1[[#This Row],[Ask Qty]]</f>
        <v>10728</v>
      </c>
      <c r="T7">
        <f>VLOOKUP(Table1[[#This Row],[Isin code]],Table2[#All],7,FALSE)</f>
        <v>0</v>
      </c>
      <c r="U7" t="str">
        <f>VLOOKUP(Table1[[#This Row],[Isin code]],Table2[#All],8,FALSE)</f>
        <v>-</v>
      </c>
      <c r="V7" s="10" t="e">
        <f ca="1">Table1[[#This Row],[Maturity]]-TODAY()</f>
        <v>#VALUE!</v>
      </c>
      <c r="W7" t="str">
        <f>VLOOKUP(Table1[[#This Row],[Isin code]],Table2[#All],10,FALSE)</f>
        <v>0</v>
      </c>
      <c r="X7" t="e">
        <f ca="1">_xlfn.DAYS(Table1[[#This Row],[Maturity]],TODAY())-15</f>
        <v>#VALUE!</v>
      </c>
      <c r="Y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">
        <f>IF(Table1[[#This Row],[Ask Rate]]=0,0,Table1[[#This Row],[Face Value]]-Table1[[#This Row],[Ask Rate]])</f>
        <v>-72.799999999999955</v>
      </c>
      <c r="AA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">
        <f>Table1[[#This Row],[Face Value]]*Table1[[#This Row],[Rate]]*Table1[[#This Row],[Time]]</f>
        <v>0</v>
      </c>
      <c r="AC7">
        <f>Table1[[#This Row],[SI]]+Table1[[#This Row],[Disc/Prem]]</f>
        <v>-72.799999999999955</v>
      </c>
      <c r="AD7">
        <f>Table1[[#This Row],[Net Gain]]/Table1[[#This Row],[Ask Rate]]</f>
        <v>-6.7859806114839633E-2</v>
      </c>
      <c r="AE7" s="3" t="e">
        <f ca="1">IF(Table1[[#This Row],[Ask Qty]]=0,0,Table1[[#This Row],[Gross Yield]]*365/Table1[[#This Row],[Days Left]])</f>
        <v>#VALUE!</v>
      </c>
      <c r="AF7" s="9">
        <f>+Table1[[#This Row],[Net Gain]]*Table1[[#This Row],[Ask Qty]]</f>
        <v>-727.99999999999955</v>
      </c>
      <c r="AG7" t="e">
        <f ca="1">IF(Table1[[#This Row],[YTM]]&gt;0.12,IF(Table1[[#This Row],[Gross Profit]]&gt;10000,"Invest","Review"),"Low YTM")</f>
        <v>#VALUE!</v>
      </c>
    </row>
    <row r="8" spans="1:33" hidden="1" x14ac:dyDescent="0.3">
      <c r="A8" t="str">
        <f>RTD("nest.scriprtd",,"bse_cm|86LTF24","Symbol")</f>
        <v>86LTF24</v>
      </c>
      <c r="B8" t="str">
        <f>RTD("nest.scriprtd",,"bse_cm|86LTF24","Trading Symbol")</f>
        <v>86LTF24</v>
      </c>
      <c r="C8" t="str">
        <f>RTD("nest.scriprtd",,"bse_cm|86LTF24","Exchange")</f>
        <v>BSE</v>
      </c>
      <c r="D8">
        <f>RTD("nest.scriprtd",,"bse_cm|86LTF24","Bid Qty")</f>
        <v>25</v>
      </c>
      <c r="E8">
        <f>RTD("nest.scriprtd",,"bse_cm|86LTF24","Bid Rate")</f>
        <v>1065.01</v>
      </c>
      <c r="F8">
        <f>RTD("nest.scriprtd",,"bse_cm|86LTF24","Ask Rate")</f>
        <v>1068</v>
      </c>
      <c r="G8">
        <f>RTD("nest.scriprtd",,"bse_cm|86LTF24","Ask Qty")</f>
        <v>10</v>
      </c>
      <c r="H8">
        <f>RTD("nest.scriprtd",,"bse_cm|86LTF24","LTP")</f>
        <v>0</v>
      </c>
      <c r="I8" t="str">
        <f>RTD("nest.scriprtd",,"bse_cm|86LTF24","LTT")</f>
        <v>00:00:00</v>
      </c>
      <c r="J8">
        <f>RTD("nest.scriprtd",,"bse_cm|86LTF24","% Change")</f>
        <v>-100</v>
      </c>
      <c r="K8">
        <f>RTD("nest.scriprtd",,"bse_cm|86LTF24","ATP")</f>
        <v>0</v>
      </c>
      <c r="L8">
        <f>RTD("nest.scriprtd",,"bse_cm|86LTF24","Volume Traded Today")</f>
        <v>0</v>
      </c>
      <c r="M8">
        <f>RTD("nest.scriprtd",,"bse_cm|86LTF24","Open")</f>
        <v>0</v>
      </c>
      <c r="N8">
        <f>RTD("nest.scriprtd",,"bse_cm|86LTF24","High")</f>
        <v>1065.03</v>
      </c>
      <c r="O8">
        <f>RTD("nest.scriprtd",,"bse_cm|86LTF24","Low ")</f>
        <v>1065.03</v>
      </c>
      <c r="P8">
        <f>RTD("nest.scriprtd",,"bse_cm|86LTF24","Prev Close")</f>
        <v>1065.03</v>
      </c>
      <c r="Q8">
        <f>RTD("nest.scriprtd",,"bse_cm|86LTF24","Face Value")</f>
        <v>1000</v>
      </c>
      <c r="R8" t="str">
        <f>RTD("nest.scriprtd",,"bse_cm|86LTF24","Isin code")</f>
        <v>INE027E07AY4</v>
      </c>
      <c r="S8" s="9">
        <f>Table1[[#This Row],[Ask Rate]]*Table1[[#This Row],[Ask Qty]]</f>
        <v>10680</v>
      </c>
      <c r="T8">
        <f>VLOOKUP(Table1[[#This Row],[Isin code]],Table2[#All],7,FALSE)</f>
        <v>0</v>
      </c>
      <c r="U8" t="str">
        <f>VLOOKUP(Table1[[#This Row],[Isin code]],Table2[#All],8,FALSE)</f>
        <v>-</v>
      </c>
      <c r="V8" s="10" t="e">
        <f ca="1">Table1[[#This Row],[Maturity]]-TODAY()</f>
        <v>#VALUE!</v>
      </c>
      <c r="W8" t="str">
        <f>VLOOKUP(Table1[[#This Row],[Isin code]],Table2[#All],10,FALSE)</f>
        <v>0</v>
      </c>
      <c r="X8" t="e">
        <f ca="1">_xlfn.DAYS(Table1[[#This Row],[Maturity]],TODAY())-15</f>
        <v>#VALUE!</v>
      </c>
      <c r="Y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">
        <f>IF(Table1[[#This Row],[Ask Rate]]=0,0,Table1[[#This Row],[Face Value]]-Table1[[#This Row],[Ask Rate]])</f>
        <v>-68</v>
      </c>
      <c r="AA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">
        <f>Table1[[#This Row],[Face Value]]*Table1[[#This Row],[Rate]]*Table1[[#This Row],[Time]]</f>
        <v>0</v>
      </c>
      <c r="AC8">
        <f>Table1[[#This Row],[SI]]+Table1[[#This Row],[Disc/Prem]]</f>
        <v>-68</v>
      </c>
      <c r="AD8">
        <f>Table1[[#This Row],[Net Gain]]/Table1[[#This Row],[Ask Rate]]</f>
        <v>-6.3670411985018729E-2</v>
      </c>
      <c r="AE8" s="3" t="e">
        <f ca="1">IF(Table1[[#This Row],[Ask Qty]]=0,0,Table1[[#This Row],[Gross Yield]]*365/Table1[[#This Row],[Days Left]])</f>
        <v>#VALUE!</v>
      </c>
      <c r="AF8" s="9">
        <f>+Table1[[#This Row],[Net Gain]]*Table1[[#This Row],[Ask Qty]]</f>
        <v>-680</v>
      </c>
      <c r="AG8" t="e">
        <f ca="1">IF(Table1[[#This Row],[YTM]]&gt;0.12,IF(Table1[[#This Row],[Gross Profit]]&gt;10000,"Invest","Review"),"Low YTM")</f>
        <v>#VALUE!</v>
      </c>
    </row>
    <row r="9" spans="1:33" hidden="1" x14ac:dyDescent="0.3">
      <c r="A9" t="str">
        <f>RTD("nest.scriprtd",,"bse_cm|JMFPTBIL25","Symbol")</f>
        <v>JMFPTBIL25</v>
      </c>
      <c r="B9" t="str">
        <f>RTD("nest.scriprtd",,"bse_cm|JMFPTBIL25","Trading Symbol")</f>
        <v>JMFPTBIL25</v>
      </c>
      <c r="C9" t="str">
        <f>RTD("nest.scriprtd",,"bse_cm|JMFPTBIL25","Exchange")</f>
        <v>BSE</v>
      </c>
      <c r="D9">
        <f>RTD("nest.scriprtd",,"bse_cm|JMFPTBIL25","Bid Qty")</f>
        <v>31</v>
      </c>
      <c r="E9">
        <f>RTD("nest.scriprtd",,"bse_cm|JMFPTBIL25","Bid Rate")</f>
        <v>910.8</v>
      </c>
      <c r="F9">
        <f>RTD("nest.scriprtd",,"bse_cm|JMFPTBIL25","Ask Rate")</f>
        <v>1070</v>
      </c>
      <c r="G9">
        <f>RTD("nest.scriprtd",,"bse_cm|JMFPTBIL25","Ask Qty")</f>
        <v>50</v>
      </c>
      <c r="H9">
        <f>RTD("nest.scriprtd",,"bse_cm|JMFPTBIL25","LTP")</f>
        <v>0</v>
      </c>
      <c r="I9" t="str">
        <f>RTD("nest.scriprtd",,"bse_cm|JMFPTBIL25","LTT")</f>
        <v>00:00:00</v>
      </c>
      <c r="J9">
        <f>RTD("nest.scriprtd",,"bse_cm|JMFPTBIL25","% Change")</f>
        <v>-100</v>
      </c>
      <c r="K9">
        <f>RTD("nest.scriprtd",,"bse_cm|JMFPTBIL25","ATP")</f>
        <v>0</v>
      </c>
      <c r="L9">
        <f>RTD("nest.scriprtd",,"bse_cm|JMFPTBIL25","Volume Traded Today")</f>
        <v>0</v>
      </c>
      <c r="M9">
        <f>RTD("nest.scriprtd",,"bse_cm|JMFPTBIL25","Open")</f>
        <v>0</v>
      </c>
      <c r="N9">
        <f>RTD("nest.scriprtd",,"bse_cm|JMFPTBIL25","High")</f>
        <v>1000</v>
      </c>
      <c r="O9">
        <f>RTD("nest.scriprtd",,"bse_cm|JMFPTBIL25","Low ")</f>
        <v>1000</v>
      </c>
      <c r="P9">
        <f>RTD("nest.scriprtd",,"bse_cm|JMFPTBIL25","Prev Close")</f>
        <v>1000</v>
      </c>
      <c r="Q9">
        <f>RTD("nest.scriprtd",,"bse_cm|JMFPTBIL25","Face Value")</f>
        <v>1000</v>
      </c>
      <c r="R9" t="str">
        <f>RTD("nest.scriprtd",,"bse_cm|JMFPTBIL25","Isin code")</f>
        <v>INE523H07BN6</v>
      </c>
      <c r="S9" s="9">
        <f>Table1[[#This Row],[Ask Rate]]*Table1[[#This Row],[Ask Qty]]</f>
        <v>53500</v>
      </c>
      <c r="T9" t="str">
        <f>VLOOKUP(Table1[[#This Row],[Isin code]],Table2[#All],7,FALSE)</f>
        <v>--</v>
      </c>
      <c r="U9" t="str">
        <f>VLOOKUP(Table1[[#This Row],[Isin code]],Table2[#All],8,FALSE)</f>
        <v>07-Jan-2025</v>
      </c>
      <c r="V9" s="10">
        <f ca="1">Table1[[#This Row],[Maturity]]-TODAY()</f>
        <v>83</v>
      </c>
      <c r="W9" t="str">
        <f>VLOOKUP(Table1[[#This Row],[Isin code]],Table2[#All],10,FALSE)</f>
        <v>Yearly</v>
      </c>
      <c r="X9">
        <f ca="1">_xlfn.DAYS(Table1[[#This Row],[Maturity]],TODAY())-15</f>
        <v>68</v>
      </c>
      <c r="Y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">
        <f>IF(Table1[[#This Row],[Ask Rate]]=0,0,Table1[[#This Row],[Face Value]]-Table1[[#This Row],[Ask Rate]])</f>
        <v>-70</v>
      </c>
      <c r="AA9" t="e">
        <f>IF(Table1[[#This Row],[Freq]]="Yearly",Table1[[#This Row],[Coupon_Rate]]/100,IF(Table1[[#This Row],[Freq]]="Monthly",Table1[[#This Row],[Coupon_Rate]]/1200,IF(Table1[[#This Row],[Freq]]="Quarterly",Table1[[#This Row],[Coupon_Rate]]/400,0)))</f>
        <v>#VALUE!</v>
      </c>
      <c r="AB9" t="e">
        <f ca="1">Table1[[#This Row],[Face Value]]*Table1[[#This Row],[Rate]]*Table1[[#This Row],[Time]]</f>
        <v>#VALUE!</v>
      </c>
      <c r="AC9" t="e">
        <f ca="1">Table1[[#This Row],[SI]]+Table1[[#This Row],[Disc/Prem]]</f>
        <v>#VALUE!</v>
      </c>
      <c r="AD9" t="e">
        <f ca="1">Table1[[#This Row],[Net Gain]]/Table1[[#This Row],[Ask Rate]]</f>
        <v>#VALUE!</v>
      </c>
      <c r="AE9" s="3" t="e">
        <f ca="1">IF(Table1[[#This Row],[Ask Qty]]=0,0,Table1[[#This Row],[Gross Yield]]*365/Table1[[#This Row],[Days Left]])</f>
        <v>#VALUE!</v>
      </c>
      <c r="AF9" s="9" t="e">
        <f ca="1">+Table1[[#This Row],[Net Gain]]*Table1[[#This Row],[Ask Qty]]</f>
        <v>#VALUE!</v>
      </c>
      <c r="AG9" t="e">
        <f ca="1">IF(Table1[[#This Row],[YTM]]&gt;0.12,IF(Table1[[#This Row],[Gross Profit]]&gt;10000,"Invest","Review"),"Low YTM")</f>
        <v>#VALUE!</v>
      </c>
    </row>
    <row r="10" spans="1:33" hidden="1" x14ac:dyDescent="0.3">
      <c r="A10" t="str">
        <f>RTD("nest.scriprtd",,"bse_cm|930SFL28","Symbol")</f>
        <v>930SFL28</v>
      </c>
      <c r="B10" t="str">
        <f>RTD("nest.scriprtd",,"bse_cm|930SFL28","Trading Symbol")</f>
        <v>930SFL28</v>
      </c>
      <c r="C10" t="str">
        <f>RTD("nest.scriprtd",,"bse_cm|930SFL28","Exchange")</f>
        <v>BSE</v>
      </c>
      <c r="D10">
        <f>RTD("nest.scriprtd",,"bse_cm|930SFL28","Bid Qty")</f>
        <v>50</v>
      </c>
      <c r="E10">
        <f>RTD("nest.scriprtd",,"bse_cm|930SFL28","Bid Rate")</f>
        <v>1005.3</v>
      </c>
      <c r="F10">
        <f>RTD("nest.scriprtd",,"bse_cm|930SFL28","Ask Rate")</f>
        <v>1099</v>
      </c>
      <c r="G10">
        <f>RTD("nest.scriprtd",,"bse_cm|930SFL28","Ask Qty")</f>
        <v>50</v>
      </c>
      <c r="H10">
        <f>RTD("nest.scriprtd",,"bse_cm|930SFL28","LTP")</f>
        <v>0</v>
      </c>
      <c r="I10" t="str">
        <f>RTD("nest.scriprtd",,"bse_cm|930SFL28","LTT")</f>
        <v>00:00:00</v>
      </c>
      <c r="J10">
        <f>RTD("nest.scriprtd",,"bse_cm|930SFL28","% Change")</f>
        <v>-100</v>
      </c>
      <c r="K10">
        <f>RTD("nest.scriprtd",,"bse_cm|930SFL28","ATP")</f>
        <v>0</v>
      </c>
      <c r="L10">
        <f>RTD("nest.scriprtd",,"bse_cm|930SFL28","Volume Traded Today")</f>
        <v>0</v>
      </c>
      <c r="M10">
        <f>RTD("nest.scriprtd",,"bse_cm|930SFL28","Open")</f>
        <v>0</v>
      </c>
      <c r="N10">
        <f>RTD("nest.scriprtd",,"bse_cm|930SFL28","High")</f>
        <v>1023</v>
      </c>
      <c r="O10">
        <f>RTD("nest.scriprtd",,"bse_cm|930SFL28","Low ")</f>
        <v>1023</v>
      </c>
      <c r="P10">
        <f>RTD("nest.scriprtd",,"bse_cm|930SFL28","Prev Close")</f>
        <v>1023</v>
      </c>
      <c r="Q10">
        <f>RTD("nest.scriprtd",,"bse_cm|930SFL28","Face Value")</f>
        <v>1000</v>
      </c>
      <c r="R10" t="str">
        <f>RTD("nest.scriprtd",,"bse_cm|930SFL28","Isin code")</f>
        <v>INE721A07OC7</v>
      </c>
      <c r="S10" s="9">
        <f>Table1[[#This Row],[Ask Rate]]*Table1[[#This Row],[Ask Qty]]</f>
        <v>54950</v>
      </c>
      <c r="T10">
        <f>VLOOKUP(Table1[[#This Row],[Isin code]],Table2[#All],7,FALSE)</f>
        <v>0</v>
      </c>
      <c r="U10" t="str">
        <f>VLOOKUP(Table1[[#This Row],[Isin code]],Table2[#All],8,FALSE)</f>
        <v>-</v>
      </c>
      <c r="V10" s="10" t="e">
        <f ca="1">Table1[[#This Row],[Maturity]]-TODAY()</f>
        <v>#VALUE!</v>
      </c>
      <c r="W10" t="str">
        <f>VLOOKUP(Table1[[#This Row],[Isin code]],Table2[#All],10,FALSE)</f>
        <v>Yearly</v>
      </c>
      <c r="X10" t="e">
        <f ca="1">_xlfn.DAYS(Table1[[#This Row],[Maturity]],TODAY())-15</f>
        <v>#VALUE!</v>
      </c>
      <c r="Y10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10">
        <f>IF(Table1[[#This Row],[Ask Rate]]=0,0,Table1[[#This Row],[Face Value]]-Table1[[#This Row],[Ask Rate]])</f>
        <v>-99</v>
      </c>
      <c r="AA1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" t="e">
        <f ca="1">Table1[[#This Row],[Face Value]]*Table1[[#This Row],[Rate]]*Table1[[#This Row],[Time]]</f>
        <v>#VALUE!</v>
      </c>
      <c r="AC10" t="e">
        <f ca="1">Table1[[#This Row],[SI]]+Table1[[#This Row],[Disc/Prem]]</f>
        <v>#VALUE!</v>
      </c>
      <c r="AD10" t="e">
        <f ca="1">Table1[[#This Row],[Net Gain]]/Table1[[#This Row],[Ask Rate]]</f>
        <v>#VALUE!</v>
      </c>
      <c r="AE10" s="3" t="e">
        <f ca="1">IF(Table1[[#This Row],[Ask Qty]]=0,0,Table1[[#This Row],[Gross Yield]]*365/Table1[[#This Row],[Days Left]])</f>
        <v>#VALUE!</v>
      </c>
      <c r="AF10" s="9" t="e">
        <f ca="1">+Table1[[#This Row],[Net Gain]]*Table1[[#This Row],[Ask Qty]]</f>
        <v>#VALUE!</v>
      </c>
      <c r="AG10" t="e">
        <f ca="1">IF(Table1[[#This Row],[YTM]]&gt;0.12,IF(Table1[[#This Row],[Gross Profit]]&gt;10000,"Invest","Review"),"Low YTM")</f>
        <v>#VALUE!</v>
      </c>
    </row>
    <row r="11" spans="1:33" hidden="1" x14ac:dyDescent="0.3">
      <c r="A11" t="str">
        <f>RTD("nest.scriprtd",,"nse_cm|736PFCL28-N2","Symbol")</f>
        <v>736PFCL28</v>
      </c>
      <c r="B11" t="str">
        <f>RTD("nest.scriprtd",,"nse_cm|736PFCL28-N2","Trading Symbol")</f>
        <v>736PFCL28-N2</v>
      </c>
      <c r="C11" t="str">
        <f>RTD("nest.scriprtd",,"nse_cm|736PFCL28-N2","Exchange")</f>
        <v>NSE</v>
      </c>
      <c r="D11">
        <f>RTD("nest.scriprtd",,"nse_cm|736PFCL28-N2","Bid Qty")</f>
        <v>50</v>
      </c>
      <c r="E11">
        <f>RTD("nest.scriprtd",,"nse_cm|736PFCL28-N2","Bid Rate")</f>
        <v>1102.0999999999999</v>
      </c>
      <c r="F11">
        <f>RTD("nest.scriprtd",,"nse_cm|736PFCL28-N2","Ask Rate")</f>
        <v>1113</v>
      </c>
      <c r="G11">
        <f>RTD("nest.scriprtd",,"nse_cm|736PFCL28-N2","Ask Qty")</f>
        <v>100</v>
      </c>
      <c r="H11">
        <f>RTD("nest.scriprtd",,"nse_cm|736PFCL28-N2","LTP")</f>
        <v>1102.0999999999999</v>
      </c>
      <c r="I11" t="str">
        <f>RTD("nest.scriprtd",,"nse_cm|736PFCL28-N2","LTT")</f>
        <v>09:58:53</v>
      </c>
      <c r="J11">
        <f>RTD("nest.scriprtd",,"nse_cm|736PFCL28-N2","% Change")</f>
        <v>0.23</v>
      </c>
      <c r="K11">
        <f>RTD("nest.scriprtd",,"nse_cm|736PFCL28-N2","ATP")</f>
        <v>1102.0999999999999</v>
      </c>
      <c r="L11">
        <f>RTD("nest.scriprtd",,"nse_cm|736PFCL28-N2","Volume Traded Today")</f>
        <v>100</v>
      </c>
      <c r="M11">
        <f>RTD("nest.scriprtd",,"nse_cm|736PFCL28-N2","Open")</f>
        <v>1102.0999999999999</v>
      </c>
      <c r="N11">
        <f>RTD("nest.scriprtd",,"nse_cm|736PFCL28-N2","High")</f>
        <v>1102.0999999999999</v>
      </c>
      <c r="O11">
        <f>RTD("nest.scriprtd",,"nse_cm|736PFCL28-N2","Low ")</f>
        <v>1102.0999999999999</v>
      </c>
      <c r="P11">
        <f>RTD("nest.scriprtd",,"nse_cm|736PFCL28-N2","Prev Close")</f>
        <v>1099.5999999999999</v>
      </c>
      <c r="Q11">
        <f>RTD("nest.scriprtd",,"nse_cm|736PFCL28-N2","Face Value")</f>
        <v>1000</v>
      </c>
      <c r="R11" t="str">
        <f>RTD("nest.scriprtd",,"nse_cm|736PFCL28-N2","Isin code")</f>
        <v>INE134E07349</v>
      </c>
      <c r="S11" s="9">
        <f>Table1[[#This Row],[Ask Rate]]*Table1[[#This Row],[Ask Qty]]</f>
        <v>111300</v>
      </c>
      <c r="T11">
        <f>VLOOKUP(Table1[[#This Row],[Isin code]],Table2[#All],7,FALSE)</f>
        <v>0</v>
      </c>
      <c r="U11" t="str">
        <f>VLOOKUP(Table1[[#This Row],[Isin code]],Table2[#All],8,FALSE)</f>
        <v>-</v>
      </c>
      <c r="V11" s="10" t="e">
        <f ca="1">Table1[[#This Row],[Maturity]]-TODAY()</f>
        <v>#VALUE!</v>
      </c>
      <c r="W11" t="str">
        <f>VLOOKUP(Table1[[#This Row],[Isin code]],Table2[#All],10,FALSE)</f>
        <v>At the End</v>
      </c>
      <c r="X11" t="e">
        <f ca="1">_xlfn.DAYS(Table1[[#This Row],[Maturity]],TODAY())-15</f>
        <v>#VALUE!</v>
      </c>
      <c r="Y1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">
        <f>IF(Table1[[#This Row],[Ask Rate]]=0,0,Table1[[#This Row],[Face Value]]-Table1[[#This Row],[Ask Rate]])</f>
        <v>-113</v>
      </c>
      <c r="AA1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">
        <f>Table1[[#This Row],[Face Value]]*Table1[[#This Row],[Rate]]*Table1[[#This Row],[Time]]</f>
        <v>0</v>
      </c>
      <c r="AC11">
        <f>Table1[[#This Row],[SI]]+Table1[[#This Row],[Disc/Prem]]</f>
        <v>-113</v>
      </c>
      <c r="AD11">
        <f>Table1[[#This Row],[Net Gain]]/Table1[[#This Row],[Ask Rate]]</f>
        <v>-0.10152740341419586</v>
      </c>
      <c r="AE11" s="3" t="e">
        <f ca="1">IF(Table1[[#This Row],[Ask Qty]]=0,0,Table1[[#This Row],[Gross Yield]]*365/Table1[[#This Row],[Days Left]])</f>
        <v>#VALUE!</v>
      </c>
      <c r="AF11" s="9">
        <f>+Table1[[#This Row],[Net Gain]]*Table1[[#This Row],[Ask Qty]]</f>
        <v>-11300</v>
      </c>
      <c r="AG11" t="e">
        <f ca="1">IF(Table1[[#This Row],[YTM]]&gt;0.12,IF(Table1[[#This Row],[Gross Profit]]&gt;10000,"Invest","Review"),"Low YTM")</f>
        <v>#VALUE!</v>
      </c>
    </row>
    <row r="12" spans="1:33" hidden="1" x14ac:dyDescent="0.3">
      <c r="A12" t="str">
        <f>RTD("nest.scriprtd",,"bse_cm|885TCAPS29","Symbol")</f>
        <v>885TCAPS29</v>
      </c>
      <c r="B12" t="str">
        <f>RTD("nest.scriprtd",,"bse_cm|885TCAPS29","Trading Symbol")</f>
        <v>885TCAPS29</v>
      </c>
      <c r="C12" t="str">
        <f>RTD("nest.scriprtd",,"bse_cm|885TCAPS29","Exchange")</f>
        <v>BSE</v>
      </c>
      <c r="D12">
        <f>RTD("nest.scriprtd",,"bse_cm|885TCAPS29","Bid Qty")</f>
        <v>30</v>
      </c>
      <c r="E12">
        <f>RTD("nest.scriprtd",,"bse_cm|885TCAPS29","Bid Rate")</f>
        <v>1041</v>
      </c>
      <c r="F12">
        <f>RTD("nest.scriprtd",,"bse_cm|885TCAPS29","Ask Rate")</f>
        <v>1130</v>
      </c>
      <c r="G12">
        <f>RTD("nest.scriprtd",,"bse_cm|885TCAPS29","Ask Qty")</f>
        <v>20</v>
      </c>
      <c r="H12">
        <f>RTD("nest.scriprtd",,"bse_cm|885TCAPS29","LTP")</f>
        <v>0</v>
      </c>
      <c r="I12" t="str">
        <f>RTD("nest.scriprtd",,"bse_cm|885TCAPS29","LTT")</f>
        <v>00:00:00</v>
      </c>
      <c r="J12">
        <f>RTD("nest.scriprtd",,"bse_cm|885TCAPS29","% Change")</f>
        <v>-100</v>
      </c>
      <c r="K12">
        <f>RTD("nest.scriprtd",,"bse_cm|885TCAPS29","ATP")</f>
        <v>0</v>
      </c>
      <c r="L12">
        <f>RTD("nest.scriprtd",,"bse_cm|885TCAPS29","Volume Traded Today")</f>
        <v>0</v>
      </c>
      <c r="M12">
        <f>RTD("nest.scriprtd",,"bse_cm|885TCAPS29","Open")</f>
        <v>0</v>
      </c>
      <c r="N12">
        <f>RTD("nest.scriprtd",,"bse_cm|885TCAPS29","High")</f>
        <v>1031.0999999999999</v>
      </c>
      <c r="O12">
        <f>RTD("nest.scriprtd",,"bse_cm|885TCAPS29","Low ")</f>
        <v>1031.0999999999999</v>
      </c>
      <c r="P12">
        <f>RTD("nest.scriprtd",,"bse_cm|885TCAPS29","Prev Close")</f>
        <v>1031.0999999999999</v>
      </c>
      <c r="Q12">
        <f>RTD("nest.scriprtd",,"bse_cm|885TCAPS29","Face Value")</f>
        <v>1000</v>
      </c>
      <c r="R12" t="str">
        <f>RTD("nest.scriprtd",,"bse_cm|885TCAPS29","Isin code")</f>
        <v>INE306N08342</v>
      </c>
      <c r="S12" s="9">
        <f>Table1[[#This Row],[Ask Rate]]*Table1[[#This Row],[Ask Qty]]</f>
        <v>22600</v>
      </c>
      <c r="T12">
        <f>VLOOKUP(Table1[[#This Row],[Isin code]],Table2[#All],7,FALSE)</f>
        <v>0</v>
      </c>
      <c r="U12" t="str">
        <f>VLOOKUP(Table1[[#This Row],[Isin code]],Table2[#All],8,FALSE)</f>
        <v>-</v>
      </c>
      <c r="V12" s="10" t="e">
        <f ca="1">Table1[[#This Row],[Maturity]]-TODAY()</f>
        <v>#VALUE!</v>
      </c>
      <c r="W12" t="str">
        <f>VLOOKUP(Table1[[#This Row],[Isin code]],Table2[#All],10,FALSE)</f>
        <v>0</v>
      </c>
      <c r="X12" t="e">
        <f ca="1">_xlfn.DAYS(Table1[[#This Row],[Maturity]],TODAY())-15</f>
        <v>#VALUE!</v>
      </c>
      <c r="Y1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">
        <f>IF(Table1[[#This Row],[Ask Rate]]=0,0,Table1[[#This Row],[Face Value]]-Table1[[#This Row],[Ask Rate]])</f>
        <v>-130</v>
      </c>
      <c r="AA1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">
        <f>Table1[[#This Row],[Face Value]]*Table1[[#This Row],[Rate]]*Table1[[#This Row],[Time]]</f>
        <v>0</v>
      </c>
      <c r="AC12">
        <f>Table1[[#This Row],[SI]]+Table1[[#This Row],[Disc/Prem]]</f>
        <v>-130</v>
      </c>
      <c r="AD12">
        <f>Table1[[#This Row],[Net Gain]]/Table1[[#This Row],[Ask Rate]]</f>
        <v>-0.11504424778761062</v>
      </c>
      <c r="AE12" s="3" t="e">
        <f ca="1">IF(Table1[[#This Row],[Ask Qty]]=0,0,Table1[[#This Row],[Gross Yield]]*365/Table1[[#This Row],[Days Left]])</f>
        <v>#VALUE!</v>
      </c>
      <c r="AF12" s="9">
        <f>+Table1[[#This Row],[Net Gain]]*Table1[[#This Row],[Ask Qty]]</f>
        <v>-2600</v>
      </c>
      <c r="AG12" t="e">
        <f ca="1">IF(Table1[[#This Row],[YTM]]&gt;0.12,IF(Table1[[#This Row],[Gross Profit]]&gt;10000,"Invest","Review"),"Low YTM")</f>
        <v>#VALUE!</v>
      </c>
    </row>
    <row r="13" spans="1:33" hidden="1" x14ac:dyDescent="0.3">
      <c r="A13" t="str">
        <f>RTD("nest.scriprtd",,"nse_cm|885TCAPS29-NC","Symbol")</f>
        <v>885TCAPS29</v>
      </c>
      <c r="B13" t="str">
        <f>RTD("nest.scriprtd",,"nse_cm|885TCAPS29-NC","Trading Symbol")</f>
        <v>885TCAPS29-NC</v>
      </c>
      <c r="C13" t="str">
        <f>RTD("nest.scriprtd",,"nse_cm|885TCAPS29-NC","Exchange")</f>
        <v>NSE</v>
      </c>
      <c r="D13">
        <f>RTD("nest.scriprtd",,"nse_cm|885TCAPS29-NC","Bid Qty")</f>
        <v>30</v>
      </c>
      <c r="E13">
        <f>RTD("nest.scriprtd",,"nse_cm|885TCAPS29-NC","Bid Rate")</f>
        <v>1041</v>
      </c>
      <c r="F13">
        <f>RTD("nest.scriprtd",,"nse_cm|885TCAPS29-NC","Ask Rate")</f>
        <v>1068.49</v>
      </c>
      <c r="G13">
        <f>RTD("nest.scriprtd",,"nse_cm|885TCAPS29-NC","Ask Qty")</f>
        <v>40</v>
      </c>
      <c r="H13">
        <f>RTD("nest.scriprtd",,"nse_cm|885TCAPS29-NC","LTP")</f>
        <v>1073</v>
      </c>
      <c r="I13" t="str">
        <f>RTD("nest.scriprtd",,"nse_cm|885TCAPS29-NC","LTT")</f>
        <v/>
      </c>
      <c r="J13">
        <f>RTD("nest.scriprtd",,"nse_cm|885TCAPS29-NC","% Change")</f>
        <v>0</v>
      </c>
      <c r="K13">
        <f>RTD("nest.scriprtd",,"nse_cm|885TCAPS29-NC","ATP")</f>
        <v>0</v>
      </c>
      <c r="L13">
        <f>RTD("nest.scriprtd",,"nse_cm|885TCAPS29-NC","Volume Traded Today")</f>
        <v>0</v>
      </c>
      <c r="M13">
        <f>RTD("nest.scriprtd",,"nse_cm|885TCAPS29-NC","Open")</f>
        <v>0</v>
      </c>
      <c r="N13">
        <f>RTD("nest.scriprtd",,"nse_cm|885TCAPS29-NC","High")</f>
        <v>1075</v>
      </c>
      <c r="O13">
        <f>RTD("nest.scriprtd",,"nse_cm|885TCAPS29-NC","Low ")</f>
        <v>1073</v>
      </c>
      <c r="P13">
        <f>RTD("nest.scriprtd",,"nse_cm|885TCAPS29-NC","Prev Close")</f>
        <v>1073</v>
      </c>
      <c r="Q13">
        <f>RTD("nest.scriprtd",,"nse_cm|885TCAPS29-NC","Face Value")</f>
        <v>1000</v>
      </c>
      <c r="R13" t="str">
        <f>RTD("nest.scriprtd",,"nse_cm|885TCAPS29-NC","Isin code")</f>
        <v>INE306N08342</v>
      </c>
      <c r="S13" s="9">
        <f>Table1[[#This Row],[Ask Rate]]*Table1[[#This Row],[Ask Qty]]</f>
        <v>42739.6</v>
      </c>
      <c r="T13">
        <f>VLOOKUP(Table1[[#This Row],[Isin code]],Table2[#All],7,FALSE)</f>
        <v>0</v>
      </c>
      <c r="U13" t="str">
        <f>VLOOKUP(Table1[[#This Row],[Isin code]],Table2[#All],8,FALSE)</f>
        <v>-</v>
      </c>
      <c r="V13" s="10" t="e">
        <f ca="1">Table1[[#This Row],[Maturity]]-TODAY()</f>
        <v>#VALUE!</v>
      </c>
      <c r="W13" t="str">
        <f>VLOOKUP(Table1[[#This Row],[Isin code]],Table2[#All],10,FALSE)</f>
        <v>0</v>
      </c>
      <c r="X13" t="e">
        <f ca="1">_xlfn.DAYS(Table1[[#This Row],[Maturity]],TODAY())-15</f>
        <v>#VALUE!</v>
      </c>
      <c r="Y1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">
        <f>IF(Table1[[#This Row],[Ask Rate]]=0,0,Table1[[#This Row],[Face Value]]-Table1[[#This Row],[Ask Rate]])</f>
        <v>-68.490000000000009</v>
      </c>
      <c r="AA1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">
        <f>Table1[[#This Row],[Face Value]]*Table1[[#This Row],[Rate]]*Table1[[#This Row],[Time]]</f>
        <v>0</v>
      </c>
      <c r="AC13">
        <f>Table1[[#This Row],[SI]]+Table1[[#This Row],[Disc/Prem]]</f>
        <v>-68.490000000000009</v>
      </c>
      <c r="AD13">
        <f>Table1[[#This Row],[Net Gain]]/Table1[[#This Row],[Ask Rate]]</f>
        <v>-6.4099804396859125E-2</v>
      </c>
      <c r="AE13" s="3" t="e">
        <f ca="1">IF(Table1[[#This Row],[Ask Qty]]=0,0,Table1[[#This Row],[Gross Yield]]*365/Table1[[#This Row],[Days Left]])</f>
        <v>#VALUE!</v>
      </c>
      <c r="AF13" s="9">
        <f>+Table1[[#This Row],[Net Gain]]*Table1[[#This Row],[Ask Qty]]</f>
        <v>-2739.6000000000004</v>
      </c>
      <c r="AG13" t="e">
        <f ca="1">IF(Table1[[#This Row],[YTM]]&gt;0.12,IF(Table1[[#This Row],[Gross Profit]]&gt;10000,"Invest","Review"),"Low YTM")</f>
        <v>#VALUE!</v>
      </c>
    </row>
    <row r="14" spans="1:33" hidden="1" x14ac:dyDescent="0.3">
      <c r="A14" t="str">
        <f>RTD("nest.scriprtd",,"bse_cm|735NABAR31","Symbol")</f>
        <v>735NABAR31</v>
      </c>
      <c r="B14" t="str">
        <f>RTD("nest.scriprtd",,"bse_cm|735NABAR31","Trading Symbol")</f>
        <v>735NABAR31</v>
      </c>
      <c r="C14" t="str">
        <f>RTD("nest.scriprtd",,"bse_cm|735NABAR31","Exchange")</f>
        <v>BSE</v>
      </c>
      <c r="D14">
        <f>RTD("nest.scriprtd",,"bse_cm|735NABAR31","Bid Qty")</f>
        <v>10</v>
      </c>
      <c r="E14">
        <f>RTD("nest.scriprtd",,"bse_cm|735NABAR31","Bid Rate")</f>
        <v>1120</v>
      </c>
      <c r="F14">
        <f>RTD("nest.scriprtd",,"bse_cm|735NABAR31","Ask Rate")</f>
        <v>1210</v>
      </c>
      <c r="G14">
        <f>RTD("nest.scriprtd",,"bse_cm|735NABAR31","Ask Qty")</f>
        <v>10</v>
      </c>
      <c r="H14">
        <f>RTD("nest.scriprtd",,"bse_cm|735NABAR31","LTP")</f>
        <v>0</v>
      </c>
      <c r="I14" t="str">
        <f>RTD("nest.scriprtd",,"bse_cm|735NABAR31","LTT")</f>
        <v>00:00:00</v>
      </c>
      <c r="J14">
        <f>RTD("nest.scriprtd",,"bse_cm|735NABAR31","% Change")</f>
        <v>-100</v>
      </c>
      <c r="K14">
        <f>RTD("nest.scriprtd",,"bse_cm|735NABAR31","ATP")</f>
        <v>0</v>
      </c>
      <c r="L14">
        <f>RTD("nest.scriprtd",,"bse_cm|735NABAR31","Volume Traded Today")</f>
        <v>0</v>
      </c>
      <c r="M14">
        <f>RTD("nest.scriprtd",,"bse_cm|735NABAR31","Open")</f>
        <v>0</v>
      </c>
      <c r="N14">
        <f>RTD("nest.scriprtd",,"bse_cm|735NABAR31","High")</f>
        <v>1112.01</v>
      </c>
      <c r="O14">
        <f>RTD("nest.scriprtd",,"bse_cm|735NABAR31","Low ")</f>
        <v>1111.3499999999999</v>
      </c>
      <c r="P14">
        <f>RTD("nest.scriprtd",,"bse_cm|735NABAR31","Prev Close")</f>
        <v>1112.01</v>
      </c>
      <c r="Q14">
        <f>RTD("nest.scriprtd",,"bse_cm|735NABAR31","Face Value")</f>
        <v>1000</v>
      </c>
      <c r="R14" t="str">
        <f>RTD("nest.scriprtd",,"bse_cm|735NABAR31","Isin code")</f>
        <v>INE261F07057</v>
      </c>
      <c r="S14" s="9">
        <f>Table1[[#This Row],[Ask Rate]]*Table1[[#This Row],[Ask Qty]]</f>
        <v>12100</v>
      </c>
      <c r="T14">
        <f>VLOOKUP(Table1[[#This Row],[Isin code]],Table2[#All],7,FALSE)</f>
        <v>0</v>
      </c>
      <c r="U14" t="str">
        <f>VLOOKUP(Table1[[#This Row],[Isin code]],Table2[#All],8,FALSE)</f>
        <v>-</v>
      </c>
      <c r="V14" s="10" t="e">
        <f ca="1">Table1[[#This Row],[Maturity]]-TODAY()</f>
        <v>#VALUE!</v>
      </c>
      <c r="W14" t="str">
        <f>VLOOKUP(Table1[[#This Row],[Isin code]],Table2[#All],10,FALSE)</f>
        <v>HALF YEARLY</v>
      </c>
      <c r="X14" t="e">
        <f ca="1">_xlfn.DAYS(Table1[[#This Row],[Maturity]],TODAY())-15</f>
        <v>#VALUE!</v>
      </c>
      <c r="Y1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">
        <f>IF(Table1[[#This Row],[Ask Rate]]=0,0,Table1[[#This Row],[Face Value]]-Table1[[#This Row],[Ask Rate]])</f>
        <v>-210</v>
      </c>
      <c r="AA1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">
        <f>Table1[[#This Row],[Face Value]]*Table1[[#This Row],[Rate]]*Table1[[#This Row],[Time]]</f>
        <v>0</v>
      </c>
      <c r="AC14">
        <f>Table1[[#This Row],[SI]]+Table1[[#This Row],[Disc/Prem]]</f>
        <v>-210</v>
      </c>
      <c r="AD14">
        <f>Table1[[#This Row],[Net Gain]]/Table1[[#This Row],[Ask Rate]]</f>
        <v>-0.17355371900826447</v>
      </c>
      <c r="AE14" s="3" t="e">
        <f ca="1">IF(Table1[[#This Row],[Ask Qty]]=0,0,Table1[[#This Row],[Gross Yield]]*365/Table1[[#This Row],[Days Left]])</f>
        <v>#VALUE!</v>
      </c>
      <c r="AF14" s="9">
        <f>+Table1[[#This Row],[Net Gain]]*Table1[[#This Row],[Ask Qty]]</f>
        <v>-2100</v>
      </c>
      <c r="AG14" t="e">
        <f ca="1">IF(Table1[[#This Row],[YTM]]&gt;0.12,IF(Table1[[#This Row],[Gross Profit]]&gt;10000,"Invest","Review"),"Low YTM")</f>
        <v>#VALUE!</v>
      </c>
    </row>
    <row r="15" spans="1:33" hidden="1" x14ac:dyDescent="0.3">
      <c r="A15" t="str">
        <f>RTD("nest.scriprtd",,"bse_cm|769HUDCO31","Symbol")</f>
        <v>769HUDCO31</v>
      </c>
      <c r="B15" t="str">
        <f>RTD("nest.scriprtd",,"bse_cm|769HUDCO31","Trading Symbol")</f>
        <v>769HUDCO31</v>
      </c>
      <c r="C15" t="str">
        <f>RTD("nest.scriprtd",,"bse_cm|769HUDCO31","Exchange")</f>
        <v>BSE</v>
      </c>
      <c r="D15">
        <f>RTD("nest.scriprtd",,"bse_cm|769HUDCO31","Bid Qty")</f>
        <v>12</v>
      </c>
      <c r="E15">
        <f>RTD("nest.scriprtd",,"bse_cm|769HUDCO31","Bid Rate")</f>
        <v>1159</v>
      </c>
      <c r="F15">
        <f>RTD("nest.scriprtd",,"bse_cm|769HUDCO31","Ask Rate")</f>
        <v>1170</v>
      </c>
      <c r="G15">
        <f>RTD("nest.scriprtd",,"bse_cm|769HUDCO31","Ask Qty")</f>
        <v>10</v>
      </c>
      <c r="H15">
        <f>RTD("nest.scriprtd",,"bse_cm|769HUDCO31","LTP")</f>
        <v>0</v>
      </c>
      <c r="I15" t="str">
        <f>RTD("nest.scriprtd",,"bse_cm|769HUDCO31","LTT")</f>
        <v>00:00:00</v>
      </c>
      <c r="J15">
        <f>RTD("nest.scriprtd",,"bse_cm|769HUDCO31","% Change")</f>
        <v>-100</v>
      </c>
      <c r="K15">
        <f>RTD("nest.scriprtd",,"bse_cm|769HUDCO31","ATP")</f>
        <v>0</v>
      </c>
      <c r="L15">
        <f>RTD("nest.scriprtd",,"bse_cm|769HUDCO31","Volume Traded Today")</f>
        <v>0</v>
      </c>
      <c r="M15">
        <f>RTD("nest.scriprtd",,"bse_cm|769HUDCO31","Open")</f>
        <v>0</v>
      </c>
      <c r="N15">
        <f>RTD("nest.scriprtd",,"bse_cm|769HUDCO31","High")</f>
        <v>1162</v>
      </c>
      <c r="O15">
        <f>RTD("nest.scriprtd",,"bse_cm|769HUDCO31","Low ")</f>
        <v>1161.9000000000001</v>
      </c>
      <c r="P15">
        <f>RTD("nest.scriprtd",,"bse_cm|769HUDCO31","Prev Close")</f>
        <v>1161.97</v>
      </c>
      <c r="Q15">
        <f>RTD("nest.scriprtd",,"bse_cm|769HUDCO31","Face Value")</f>
        <v>1000</v>
      </c>
      <c r="R15" t="str">
        <f>RTD("nest.scriprtd",,"bse_cm|769HUDCO31","Isin code")</f>
        <v>INE031A07AT4</v>
      </c>
      <c r="S15" s="9">
        <f>Table1[[#This Row],[Ask Rate]]*Table1[[#This Row],[Ask Qty]]</f>
        <v>11700</v>
      </c>
      <c r="T15">
        <f>VLOOKUP(Table1[[#This Row],[Isin code]],Table2[#All],7,FALSE)</f>
        <v>0</v>
      </c>
      <c r="U15" t="str">
        <f>VLOOKUP(Table1[[#This Row],[Isin code]],Table2[#All],8,FALSE)</f>
        <v>-</v>
      </c>
      <c r="V15" s="10" t="e">
        <f ca="1">Table1[[#This Row],[Maturity]]-TODAY()</f>
        <v>#VALUE!</v>
      </c>
      <c r="W15" t="str">
        <f>VLOOKUP(Table1[[#This Row],[Isin code]],Table2[#All],10,FALSE)</f>
        <v>Yearly</v>
      </c>
      <c r="X15" t="e">
        <f ca="1">_xlfn.DAYS(Table1[[#This Row],[Maturity]],TODAY())-15</f>
        <v>#VALUE!</v>
      </c>
      <c r="Y15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15">
        <f>IF(Table1[[#This Row],[Ask Rate]]=0,0,Table1[[#This Row],[Face Value]]-Table1[[#This Row],[Ask Rate]])</f>
        <v>-170</v>
      </c>
      <c r="AA1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" t="e">
        <f ca="1">Table1[[#This Row],[Face Value]]*Table1[[#This Row],[Rate]]*Table1[[#This Row],[Time]]</f>
        <v>#VALUE!</v>
      </c>
      <c r="AC15" t="e">
        <f ca="1">Table1[[#This Row],[SI]]+Table1[[#This Row],[Disc/Prem]]</f>
        <v>#VALUE!</v>
      </c>
      <c r="AD15" t="e">
        <f ca="1">Table1[[#This Row],[Net Gain]]/Table1[[#This Row],[Ask Rate]]</f>
        <v>#VALUE!</v>
      </c>
      <c r="AE15" s="3" t="e">
        <f ca="1">IF(Table1[[#This Row],[Ask Qty]]=0,0,Table1[[#This Row],[Gross Yield]]*365/Table1[[#This Row],[Days Left]])</f>
        <v>#VALUE!</v>
      </c>
      <c r="AF15" s="9" t="e">
        <f ca="1">+Table1[[#This Row],[Net Gain]]*Table1[[#This Row],[Ask Qty]]</f>
        <v>#VALUE!</v>
      </c>
      <c r="AG15" t="e">
        <f ca="1">IF(Table1[[#This Row],[YTM]]&gt;0.12,IF(Table1[[#This Row],[Gross Profit]]&gt;10000,"Invest","Review"),"Low YTM")</f>
        <v>#VALUE!</v>
      </c>
    </row>
    <row r="16" spans="1:33" hidden="1" x14ac:dyDescent="0.3">
      <c r="A16" t="str">
        <f>RTD("nest.scriprtd",,"bse_cm|764HUDCO31","Symbol")</f>
        <v>764HUDCO31</v>
      </c>
      <c r="B16" t="str">
        <f>RTD("nest.scriprtd",,"bse_cm|764HUDCO31","Trading Symbol")</f>
        <v>764HUDCO31</v>
      </c>
      <c r="C16" t="str">
        <f>RTD("nest.scriprtd",,"bse_cm|764HUDCO31","Exchange")</f>
        <v>BSE</v>
      </c>
      <c r="D16">
        <f>RTD("nest.scriprtd",,"bse_cm|764HUDCO31","Bid Qty")</f>
        <v>50</v>
      </c>
      <c r="E16">
        <f>RTD("nest.scriprtd",,"bse_cm|764HUDCO31","Bid Rate")</f>
        <v>1145.01</v>
      </c>
      <c r="F16">
        <f>RTD("nest.scriprtd",,"bse_cm|764HUDCO31","Ask Rate")</f>
        <v>1161.99</v>
      </c>
      <c r="G16">
        <f>RTD("nest.scriprtd",,"bse_cm|764HUDCO31","Ask Qty")</f>
        <v>12</v>
      </c>
      <c r="H16">
        <f>RTD("nest.scriprtd",,"bse_cm|764HUDCO31","LTP")</f>
        <v>0</v>
      </c>
      <c r="I16" t="str">
        <f>RTD("nest.scriprtd",,"bse_cm|764HUDCO31","LTT")</f>
        <v>00:00:00</v>
      </c>
      <c r="J16">
        <f>RTD("nest.scriprtd",,"bse_cm|764HUDCO31","% Change")</f>
        <v>-100</v>
      </c>
      <c r="K16">
        <f>RTD("nest.scriprtd",,"bse_cm|764HUDCO31","ATP")</f>
        <v>0</v>
      </c>
      <c r="L16">
        <f>RTD("nest.scriprtd",,"bse_cm|764HUDCO31","Volume Traded Today")</f>
        <v>0</v>
      </c>
      <c r="M16">
        <f>RTD("nest.scriprtd",,"bse_cm|764HUDCO31","Open")</f>
        <v>0</v>
      </c>
      <c r="N16">
        <f>RTD("nest.scriprtd",,"bse_cm|764HUDCO31","High")</f>
        <v>1145.01</v>
      </c>
      <c r="O16">
        <f>RTD("nest.scriprtd",,"bse_cm|764HUDCO31","Low ")</f>
        <v>1140.01</v>
      </c>
      <c r="P16">
        <f>RTD("nest.scriprtd",,"bse_cm|764HUDCO31","Prev Close")</f>
        <v>1145</v>
      </c>
      <c r="Q16">
        <f>RTD("nest.scriprtd",,"bse_cm|764HUDCO31","Face Value")</f>
        <v>1000</v>
      </c>
      <c r="R16" t="str">
        <f>RTD("nest.scriprtd",,"bse_cm|764HUDCO31","Isin code")</f>
        <v>INE031A07AO5</v>
      </c>
      <c r="S16" s="9">
        <f>Table1[[#This Row],[Ask Rate]]*Table1[[#This Row],[Ask Qty]]</f>
        <v>13943.880000000001</v>
      </c>
      <c r="T16">
        <f>VLOOKUP(Table1[[#This Row],[Isin code]],Table2[#All],7,FALSE)</f>
        <v>0</v>
      </c>
      <c r="U16" t="str">
        <f>VLOOKUP(Table1[[#This Row],[Isin code]],Table2[#All],8,FALSE)</f>
        <v>-</v>
      </c>
      <c r="V16" s="10" t="e">
        <f ca="1">Table1[[#This Row],[Maturity]]-TODAY()</f>
        <v>#VALUE!</v>
      </c>
      <c r="W16" t="str">
        <f>VLOOKUP(Table1[[#This Row],[Isin code]],Table2[#All],10,FALSE)</f>
        <v>Yearly</v>
      </c>
      <c r="X16" t="e">
        <f ca="1">_xlfn.DAYS(Table1[[#This Row],[Maturity]],TODAY())-15</f>
        <v>#VALUE!</v>
      </c>
      <c r="Y16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16">
        <f>IF(Table1[[#This Row],[Ask Rate]]=0,0,Table1[[#This Row],[Face Value]]-Table1[[#This Row],[Ask Rate]])</f>
        <v>-161.99</v>
      </c>
      <c r="AA1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" t="e">
        <f ca="1">Table1[[#This Row],[Face Value]]*Table1[[#This Row],[Rate]]*Table1[[#This Row],[Time]]</f>
        <v>#VALUE!</v>
      </c>
      <c r="AC16" t="e">
        <f ca="1">Table1[[#This Row],[SI]]+Table1[[#This Row],[Disc/Prem]]</f>
        <v>#VALUE!</v>
      </c>
      <c r="AD16" t="e">
        <f ca="1">Table1[[#This Row],[Net Gain]]/Table1[[#This Row],[Ask Rate]]</f>
        <v>#VALUE!</v>
      </c>
      <c r="AE16" s="3" t="e">
        <f ca="1">IF(Table1[[#This Row],[Ask Qty]]=0,0,Table1[[#This Row],[Gross Yield]]*365/Table1[[#This Row],[Days Left]])</f>
        <v>#VALUE!</v>
      </c>
      <c r="AF16" s="9" t="e">
        <f ca="1">+Table1[[#This Row],[Net Gain]]*Table1[[#This Row],[Ask Qty]]</f>
        <v>#VALUE!</v>
      </c>
      <c r="AG16" t="e">
        <f ca="1">IF(Table1[[#This Row],[YTM]]&gt;0.12,IF(Table1[[#This Row],[Gross Profit]]&gt;10000,"Invest","Review"),"Low YTM")</f>
        <v>#VALUE!</v>
      </c>
    </row>
    <row r="17" spans="1:33" hidden="1" x14ac:dyDescent="0.3">
      <c r="A17" t="str">
        <f>RTD("nest.scriprtd",,"bse_cm|774IREDA31","Symbol")</f>
        <v>774IREDA31</v>
      </c>
      <c r="B17" t="str">
        <f>RTD("nest.scriprtd",,"bse_cm|774IREDA31","Trading Symbol")</f>
        <v>774IREDA31</v>
      </c>
      <c r="C17" t="str">
        <f>RTD("nest.scriprtd",,"bse_cm|774IREDA31","Exchange")</f>
        <v>BSE</v>
      </c>
      <c r="D17">
        <f>RTD("nest.scriprtd",,"bse_cm|774IREDA31","Bid Qty")</f>
        <v>100</v>
      </c>
      <c r="E17">
        <f>RTD("nest.scriprtd",,"bse_cm|774IREDA31","Bid Rate")</f>
        <v>1152</v>
      </c>
      <c r="F17">
        <f>RTD("nest.scriprtd",,"bse_cm|774IREDA31","Ask Rate")</f>
        <v>1167.9100000000001</v>
      </c>
      <c r="G17">
        <f>RTD("nest.scriprtd",,"bse_cm|774IREDA31","Ask Qty")</f>
        <v>50</v>
      </c>
      <c r="H17">
        <f>RTD("nest.scriprtd",,"bse_cm|774IREDA31","LTP")</f>
        <v>0</v>
      </c>
      <c r="I17" t="str">
        <f>RTD("nest.scriprtd",,"bse_cm|774IREDA31","LTT")</f>
        <v>00:00:00</v>
      </c>
      <c r="J17">
        <f>RTD("nest.scriprtd",,"bse_cm|774IREDA31","% Change")</f>
        <v>-100</v>
      </c>
      <c r="K17">
        <f>RTD("nest.scriprtd",,"bse_cm|774IREDA31","ATP")</f>
        <v>0</v>
      </c>
      <c r="L17">
        <f>RTD("nest.scriprtd",,"bse_cm|774IREDA31","Volume Traded Today")</f>
        <v>0</v>
      </c>
      <c r="M17">
        <f>RTD("nest.scriprtd",,"bse_cm|774IREDA31","Open")</f>
        <v>0</v>
      </c>
      <c r="N17">
        <f>RTD("nest.scriprtd",,"bse_cm|774IREDA31","High")</f>
        <v>1145.1199999999999</v>
      </c>
      <c r="O17">
        <f>RTD("nest.scriprtd",,"bse_cm|774IREDA31","Low ")</f>
        <v>1145.1199999999999</v>
      </c>
      <c r="P17">
        <f>RTD("nest.scriprtd",,"bse_cm|774IREDA31","Prev Close")</f>
        <v>1145.1199999999999</v>
      </c>
      <c r="Q17">
        <f>RTD("nest.scriprtd",,"bse_cm|774IREDA31","Face Value")</f>
        <v>1000</v>
      </c>
      <c r="R17" t="str">
        <f>RTD("nest.scriprtd",,"bse_cm|774IREDA31","Isin code")</f>
        <v>INE202E07229</v>
      </c>
      <c r="S17" s="9">
        <f>Table1[[#This Row],[Ask Rate]]*Table1[[#This Row],[Ask Qty]]</f>
        <v>58395.500000000007</v>
      </c>
      <c r="T17">
        <f>VLOOKUP(Table1[[#This Row],[Isin code]],Table2[#All],7,FALSE)</f>
        <v>0</v>
      </c>
      <c r="U17" t="str">
        <f>VLOOKUP(Table1[[#This Row],[Isin code]],Table2[#All],8,FALSE)</f>
        <v>-</v>
      </c>
      <c r="V17" s="10" t="e">
        <f ca="1">Table1[[#This Row],[Maturity]]-TODAY()</f>
        <v>#VALUE!</v>
      </c>
      <c r="W17" t="str">
        <f>VLOOKUP(Table1[[#This Row],[Isin code]],Table2[#All],10,FALSE)</f>
        <v>Yearly</v>
      </c>
      <c r="X17" t="e">
        <f ca="1">_xlfn.DAYS(Table1[[#This Row],[Maturity]],TODAY())-15</f>
        <v>#VALUE!</v>
      </c>
      <c r="Y17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17">
        <f>IF(Table1[[#This Row],[Ask Rate]]=0,0,Table1[[#This Row],[Face Value]]-Table1[[#This Row],[Ask Rate]])</f>
        <v>-167.91000000000008</v>
      </c>
      <c r="AA1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" t="e">
        <f ca="1">Table1[[#This Row],[Face Value]]*Table1[[#This Row],[Rate]]*Table1[[#This Row],[Time]]</f>
        <v>#VALUE!</v>
      </c>
      <c r="AC17" t="e">
        <f ca="1">Table1[[#This Row],[SI]]+Table1[[#This Row],[Disc/Prem]]</f>
        <v>#VALUE!</v>
      </c>
      <c r="AD17" t="e">
        <f ca="1">Table1[[#This Row],[Net Gain]]/Table1[[#This Row],[Ask Rate]]</f>
        <v>#VALUE!</v>
      </c>
      <c r="AE17" s="3" t="e">
        <f ca="1">IF(Table1[[#This Row],[Ask Qty]]=0,0,Table1[[#This Row],[Gross Yield]]*365/Table1[[#This Row],[Days Left]])</f>
        <v>#VALUE!</v>
      </c>
      <c r="AF17" s="9" t="e">
        <f ca="1">+Table1[[#This Row],[Net Gain]]*Table1[[#This Row],[Ask Qty]]</f>
        <v>#VALUE!</v>
      </c>
      <c r="AG17" t="e">
        <f ca="1">IF(Table1[[#This Row],[YTM]]&gt;0.12,IF(Table1[[#This Row],[Gross Profit]]&gt;10000,"Invest","Review"),"Low YTM")</f>
        <v>#VALUE!</v>
      </c>
    </row>
    <row r="18" spans="1:33" hidden="1" x14ac:dyDescent="0.3">
      <c r="A18" t="str">
        <f>RTD("nest.scriprtd",,"nse_cm|774IREDA31-N7","Symbol")</f>
        <v>774IREDA31</v>
      </c>
      <c r="B18" t="str">
        <f>RTD("nest.scriprtd",,"nse_cm|774IREDA31-N7","Trading Symbol")</f>
        <v>774IREDA31-N7</v>
      </c>
      <c r="C18" t="str">
        <f>RTD("nest.scriprtd",,"nse_cm|774IREDA31-N7","Exchange")</f>
        <v>NSE</v>
      </c>
      <c r="D18">
        <f>RTD("nest.scriprtd",,"nse_cm|774IREDA31-N7","Bid Qty")</f>
        <v>10</v>
      </c>
      <c r="E18">
        <f>RTD("nest.scriprtd",,"nse_cm|774IREDA31-N7","Bid Rate")</f>
        <v>1150</v>
      </c>
      <c r="F18">
        <f>RTD("nest.scriprtd",,"nse_cm|774IREDA31-N7","Ask Rate")</f>
        <v>1164.96</v>
      </c>
      <c r="G18">
        <f>RTD("nest.scriprtd",,"nse_cm|774IREDA31-N7","Ask Qty")</f>
        <v>15</v>
      </c>
      <c r="H18">
        <f>RTD("nest.scriprtd",,"nse_cm|774IREDA31-N7","LTP")</f>
        <v>1150</v>
      </c>
      <c r="I18" t="str">
        <f>RTD("nest.scriprtd",,"nse_cm|774IREDA31-N7","LTT")</f>
        <v>10:05:00</v>
      </c>
      <c r="J18">
        <f>RTD("nest.scriprtd",,"nse_cm|774IREDA31-N7","% Change")</f>
        <v>-1.54</v>
      </c>
      <c r="K18">
        <f>RTD("nest.scriprtd",,"nse_cm|774IREDA31-N7","ATP")</f>
        <v>1150</v>
      </c>
      <c r="L18">
        <f>RTD("nest.scriprtd",,"nse_cm|774IREDA31-N7","Volume Traded Today")</f>
        <v>10</v>
      </c>
      <c r="M18">
        <f>RTD("nest.scriprtd",,"nse_cm|774IREDA31-N7","Open")</f>
        <v>1150</v>
      </c>
      <c r="N18">
        <f>RTD("nest.scriprtd",,"nse_cm|774IREDA31-N7","High")</f>
        <v>1150</v>
      </c>
      <c r="O18">
        <f>RTD("nest.scriprtd",,"nse_cm|774IREDA31-N7","Low ")</f>
        <v>1150</v>
      </c>
      <c r="P18">
        <f>RTD("nest.scriprtd",,"nse_cm|774IREDA31-N7","Prev Close")</f>
        <v>1168</v>
      </c>
      <c r="Q18">
        <f>RTD("nest.scriprtd",,"nse_cm|774IREDA31-N7","Face Value")</f>
        <v>1000</v>
      </c>
      <c r="R18" t="str">
        <f>RTD("nest.scriprtd",,"nse_cm|774IREDA31-N7","Isin code")</f>
        <v>INE202E07229</v>
      </c>
      <c r="S18" s="9">
        <f>Table1[[#This Row],[Ask Rate]]*Table1[[#This Row],[Ask Qty]]</f>
        <v>17474.400000000001</v>
      </c>
      <c r="T18">
        <f>VLOOKUP(Table1[[#This Row],[Isin code]],Table2[#All],7,FALSE)</f>
        <v>0</v>
      </c>
      <c r="U18" t="str">
        <f>VLOOKUP(Table1[[#This Row],[Isin code]],Table2[#All],8,FALSE)</f>
        <v>-</v>
      </c>
      <c r="V18" s="10" t="e">
        <f ca="1">Table1[[#This Row],[Maturity]]-TODAY()</f>
        <v>#VALUE!</v>
      </c>
      <c r="W18" t="str">
        <f>VLOOKUP(Table1[[#This Row],[Isin code]],Table2[#All],10,FALSE)</f>
        <v>Yearly</v>
      </c>
      <c r="X18" t="e">
        <f ca="1">_xlfn.DAYS(Table1[[#This Row],[Maturity]],TODAY())-15</f>
        <v>#VALUE!</v>
      </c>
      <c r="Y18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18">
        <f>IF(Table1[[#This Row],[Ask Rate]]=0,0,Table1[[#This Row],[Face Value]]-Table1[[#This Row],[Ask Rate]])</f>
        <v>-164.96000000000004</v>
      </c>
      <c r="AA1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8" t="e">
        <f ca="1">Table1[[#This Row],[Face Value]]*Table1[[#This Row],[Rate]]*Table1[[#This Row],[Time]]</f>
        <v>#VALUE!</v>
      </c>
      <c r="AC18" t="e">
        <f ca="1">Table1[[#This Row],[SI]]+Table1[[#This Row],[Disc/Prem]]</f>
        <v>#VALUE!</v>
      </c>
      <c r="AD18" t="e">
        <f ca="1">Table1[[#This Row],[Net Gain]]/Table1[[#This Row],[Ask Rate]]</f>
        <v>#VALUE!</v>
      </c>
      <c r="AE18" s="3" t="e">
        <f ca="1">IF(Table1[[#This Row],[Ask Qty]]=0,0,Table1[[#This Row],[Gross Yield]]*365/Table1[[#This Row],[Days Left]])</f>
        <v>#VALUE!</v>
      </c>
      <c r="AF18" s="9" t="e">
        <f ca="1">+Table1[[#This Row],[Net Gain]]*Table1[[#This Row],[Ask Qty]]</f>
        <v>#VALUE!</v>
      </c>
      <c r="AG18" t="e">
        <f ca="1">IF(Table1[[#This Row],[YTM]]&gt;0.12,IF(Table1[[#This Row],[Gross Profit]]&gt;10000,"Invest","Review"),"Low YTM")</f>
        <v>#VALUE!</v>
      </c>
    </row>
    <row r="19" spans="1:33" hidden="1" x14ac:dyDescent="0.3">
      <c r="A19" t="str">
        <f>RTD("nest.scriprtd",,"nse_cm|97SFL28-YS","Symbol")</f>
        <v>97SFL28</v>
      </c>
      <c r="B19" t="str">
        <f>RTD("nest.scriprtd",,"nse_cm|97SFL28-YS","Trading Symbol")</f>
        <v>97SFL28-YS</v>
      </c>
      <c r="C19" t="str">
        <f>RTD("nest.scriprtd",,"nse_cm|97SFL28-YS","Exchange")</f>
        <v>NSE</v>
      </c>
      <c r="D19">
        <f>RTD("nest.scriprtd",,"nse_cm|97SFL28-YS","Bid Qty")</f>
        <v>50</v>
      </c>
      <c r="E19">
        <f>RTD("nest.scriprtd",,"nse_cm|97SFL28-YS","Bid Rate")</f>
        <v>1016.67</v>
      </c>
      <c r="F19">
        <f>RTD("nest.scriprtd",,"nse_cm|97SFL28-YS","Ask Rate")</f>
        <v>1051</v>
      </c>
      <c r="G19">
        <f>RTD("nest.scriprtd",,"nse_cm|97SFL28-YS","Ask Qty")</f>
        <v>100</v>
      </c>
      <c r="H19">
        <f>RTD("nest.scriprtd",,"nse_cm|97SFL28-YS","LTP")</f>
        <v>1051</v>
      </c>
      <c r="I19" t="str">
        <f>RTD("nest.scriprtd",,"nse_cm|97SFL28-YS","LTT")</f>
        <v/>
      </c>
      <c r="J19">
        <f>RTD("nest.scriprtd",,"nse_cm|97SFL28-YS","% Change")</f>
        <v>0</v>
      </c>
      <c r="K19">
        <f>RTD("nest.scriprtd",,"nse_cm|97SFL28-YS","ATP")</f>
        <v>0</v>
      </c>
      <c r="L19">
        <f>RTD("nest.scriprtd",,"nse_cm|97SFL28-YS","Volume Traded Today")</f>
        <v>0</v>
      </c>
      <c r="M19">
        <f>RTD("nest.scriprtd",,"nse_cm|97SFL28-YS","Open")</f>
        <v>0</v>
      </c>
      <c r="N19">
        <f>RTD("nest.scriprtd",,"nse_cm|97SFL28-YS","High")</f>
        <v>1051</v>
      </c>
      <c r="O19">
        <f>RTD("nest.scriprtd",,"nse_cm|97SFL28-YS","Low ")</f>
        <v>1051</v>
      </c>
      <c r="P19">
        <f>RTD("nest.scriprtd",,"nse_cm|97SFL28-YS","Prev Close")</f>
        <v>1051</v>
      </c>
      <c r="Q19">
        <f>RTD("nest.scriprtd",,"nse_cm|97SFL28-YS","Face Value")</f>
        <v>1000</v>
      </c>
      <c r="R19" t="str">
        <f>RTD("nest.scriprtd",,"nse_cm|97SFL28-YS","Isin code")</f>
        <v>INE721A07OF0</v>
      </c>
      <c r="S19" s="9">
        <f>Table1[[#This Row],[Ask Rate]]*Table1[[#This Row],[Ask Qty]]</f>
        <v>105100</v>
      </c>
      <c r="T19">
        <f>VLOOKUP(Table1[[#This Row],[Isin code]],Table2[#All],7,FALSE)</f>
        <v>0</v>
      </c>
      <c r="U19" t="str">
        <f>VLOOKUP(Table1[[#This Row],[Isin code]],Table2[#All],8,FALSE)</f>
        <v>-</v>
      </c>
      <c r="V19" s="10" t="e">
        <f ca="1">Table1[[#This Row],[Maturity]]-TODAY()</f>
        <v>#VALUE!</v>
      </c>
      <c r="W19" t="str">
        <f>VLOOKUP(Table1[[#This Row],[Isin code]],Table2[#All],10,FALSE)</f>
        <v>0</v>
      </c>
      <c r="X19" t="e">
        <f ca="1">_xlfn.DAYS(Table1[[#This Row],[Maturity]],TODAY())-15</f>
        <v>#VALUE!</v>
      </c>
      <c r="Y1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9">
        <f>IF(Table1[[#This Row],[Ask Rate]]=0,0,Table1[[#This Row],[Face Value]]-Table1[[#This Row],[Ask Rate]])</f>
        <v>-51</v>
      </c>
      <c r="AA1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9">
        <f>Table1[[#This Row],[Face Value]]*Table1[[#This Row],[Rate]]*Table1[[#This Row],[Time]]</f>
        <v>0</v>
      </c>
      <c r="AC19">
        <f>Table1[[#This Row],[SI]]+Table1[[#This Row],[Disc/Prem]]</f>
        <v>-51</v>
      </c>
      <c r="AD19">
        <f>Table1[[#This Row],[Net Gain]]/Table1[[#This Row],[Ask Rate]]</f>
        <v>-4.8525214081826834E-2</v>
      </c>
      <c r="AE19" s="3" t="e">
        <f ca="1">IF(Table1[[#This Row],[Ask Qty]]=0,0,Table1[[#This Row],[Gross Yield]]*365/Table1[[#This Row],[Days Left]])</f>
        <v>#VALUE!</v>
      </c>
      <c r="AF19" s="9">
        <f>+Table1[[#This Row],[Net Gain]]*Table1[[#This Row],[Ask Qty]]</f>
        <v>-5100</v>
      </c>
      <c r="AG19" t="e">
        <f ca="1">IF(Table1[[#This Row],[YTM]]&gt;0.12,IF(Table1[[#This Row],[Gross Profit]]&gt;10000,"Invest","Review"),"Low YTM")</f>
        <v>#VALUE!</v>
      </c>
    </row>
    <row r="20" spans="1:33" hidden="1" x14ac:dyDescent="0.3">
      <c r="A20" t="str">
        <f>RTD("nest.scriprtd",,"nse_cm|97SFL29-YZ","Symbol")</f>
        <v>97SFL29</v>
      </c>
      <c r="B20" t="str">
        <f>RTD("nest.scriprtd",,"nse_cm|97SFL29-YZ","Trading Symbol")</f>
        <v>97SFL29-YZ</v>
      </c>
      <c r="C20" t="str">
        <f>RTD("nest.scriprtd",,"nse_cm|97SFL29-YZ","Exchange")</f>
        <v>NSE</v>
      </c>
      <c r="D20">
        <f>RTD("nest.scriprtd",,"nse_cm|97SFL29-YZ","Bid Qty")</f>
        <v>15</v>
      </c>
      <c r="E20">
        <f>RTD("nest.scriprtd",,"nse_cm|97SFL29-YZ","Bid Rate")</f>
        <v>1099.1099999999999</v>
      </c>
      <c r="F20">
        <f>RTD("nest.scriprtd",,"nse_cm|97SFL29-YZ","Ask Rate")</f>
        <v>1107.99</v>
      </c>
      <c r="G20">
        <f>RTD("nest.scriprtd",,"nse_cm|97SFL29-YZ","Ask Qty")</f>
        <v>15</v>
      </c>
      <c r="H20">
        <f>RTD("nest.scriprtd",,"nse_cm|97SFL29-YZ","LTP")</f>
        <v>1105</v>
      </c>
      <c r="I20" t="str">
        <f>RTD("nest.scriprtd",,"nse_cm|97SFL29-YZ","LTT")</f>
        <v>09:16:52</v>
      </c>
      <c r="J20">
        <f>RTD("nest.scriprtd",,"nse_cm|97SFL29-YZ","% Change")</f>
        <v>0.27</v>
      </c>
      <c r="K20">
        <f>RTD("nest.scriprtd",,"nse_cm|97SFL29-YZ","ATP")</f>
        <v>1105</v>
      </c>
      <c r="L20">
        <f>RTD("nest.scriprtd",,"nse_cm|97SFL29-YZ","Volume Traded Today")</f>
        <v>15</v>
      </c>
      <c r="M20">
        <f>RTD("nest.scriprtd",,"nse_cm|97SFL29-YZ","Open")</f>
        <v>1105</v>
      </c>
      <c r="N20">
        <f>RTD("nest.scriprtd",,"nse_cm|97SFL29-YZ","High")</f>
        <v>1105</v>
      </c>
      <c r="O20">
        <f>RTD("nest.scriprtd",,"nse_cm|97SFL29-YZ","Low ")</f>
        <v>1105</v>
      </c>
      <c r="P20">
        <f>RTD("nest.scriprtd",,"nse_cm|97SFL29-YZ","Prev Close")</f>
        <v>1102</v>
      </c>
      <c r="Q20">
        <f>RTD("nest.scriprtd",,"nse_cm|97SFL29-YZ","Face Value")</f>
        <v>1000</v>
      </c>
      <c r="R20" t="str">
        <f>RTD("nest.scriprtd",,"nse_cm|97SFL29-YZ","Isin code")</f>
        <v>INE721A07OQ7</v>
      </c>
      <c r="S20" s="9">
        <f>Table1[[#This Row],[Ask Rate]]*Table1[[#This Row],[Ask Qty]]</f>
        <v>16619.849999999999</v>
      </c>
      <c r="T20">
        <f>VLOOKUP(Table1[[#This Row],[Isin code]],Table2[#All],7,FALSE)</f>
        <v>0</v>
      </c>
      <c r="U20" t="str">
        <f>VLOOKUP(Table1[[#This Row],[Isin code]],Table2[#All],8,FALSE)</f>
        <v>-</v>
      </c>
      <c r="V20" s="10" t="e">
        <f ca="1">Table1[[#This Row],[Maturity]]-TODAY()</f>
        <v>#VALUE!</v>
      </c>
      <c r="W20" t="str">
        <f>VLOOKUP(Table1[[#This Row],[Isin code]],Table2[#All],10,FALSE)</f>
        <v>0</v>
      </c>
      <c r="X20" t="e">
        <f ca="1">_xlfn.DAYS(Table1[[#This Row],[Maturity]],TODAY())-15</f>
        <v>#VALUE!</v>
      </c>
      <c r="Y2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20">
        <f>IF(Table1[[#This Row],[Ask Rate]]=0,0,Table1[[#This Row],[Face Value]]-Table1[[#This Row],[Ask Rate]])</f>
        <v>-107.99000000000001</v>
      </c>
      <c r="AA2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0">
        <f>Table1[[#This Row],[Face Value]]*Table1[[#This Row],[Rate]]*Table1[[#This Row],[Time]]</f>
        <v>0</v>
      </c>
      <c r="AC20">
        <f>Table1[[#This Row],[SI]]+Table1[[#This Row],[Disc/Prem]]</f>
        <v>-107.99000000000001</v>
      </c>
      <c r="AD20">
        <f>Table1[[#This Row],[Net Gain]]/Table1[[#This Row],[Ask Rate]]</f>
        <v>-9.7464778562983426E-2</v>
      </c>
      <c r="AE20" s="3" t="e">
        <f ca="1">IF(Table1[[#This Row],[Ask Qty]]=0,0,Table1[[#This Row],[Gross Yield]]*365/Table1[[#This Row],[Days Left]])</f>
        <v>#VALUE!</v>
      </c>
      <c r="AF20" s="9">
        <f>+Table1[[#This Row],[Net Gain]]*Table1[[#This Row],[Ask Qty]]</f>
        <v>-1619.8500000000001</v>
      </c>
      <c r="AG20" t="e">
        <f ca="1">IF(Table1[[#This Row],[YTM]]&gt;0.12,IF(Table1[[#This Row],[Gross Profit]]&gt;10000,"Invest","Review"),"Low YTM")</f>
        <v>#VALUE!</v>
      </c>
    </row>
    <row r="21" spans="1:33" hidden="1" x14ac:dyDescent="0.3">
      <c r="A21" t="str">
        <f>RTD("nest.scriprtd",,"bse_cm|97SFL29","Symbol")</f>
        <v>97SFL29</v>
      </c>
      <c r="B21" t="str">
        <f>RTD("nest.scriprtd",,"bse_cm|97SFL29","Trading Symbol")</f>
        <v>97SFL29</v>
      </c>
      <c r="C21" t="str">
        <f>RTD("nest.scriprtd",,"bse_cm|97SFL29","Exchange")</f>
        <v>BSE</v>
      </c>
      <c r="D21">
        <f>RTD("nest.scriprtd",,"bse_cm|97SFL29","Bid Qty")</f>
        <v>10</v>
      </c>
      <c r="E21">
        <f>RTD("nest.scriprtd",,"bse_cm|97SFL29","Bid Rate")</f>
        <v>1099</v>
      </c>
      <c r="F21">
        <f>RTD("nest.scriprtd",,"bse_cm|97SFL29","Ask Rate")</f>
        <v>1108</v>
      </c>
      <c r="G21">
        <f>RTD("nest.scriprtd",,"bse_cm|97SFL29","Ask Qty")</f>
        <v>10</v>
      </c>
      <c r="H21">
        <f>RTD("nest.scriprtd",,"bse_cm|97SFL29","LTP")</f>
        <v>0</v>
      </c>
      <c r="I21" t="str">
        <f>RTD("nest.scriprtd",,"bse_cm|97SFL29","LTT")</f>
        <v>00:00:00</v>
      </c>
      <c r="J21">
        <f>RTD("nest.scriprtd",,"bse_cm|97SFL29","% Change")</f>
        <v>-100</v>
      </c>
      <c r="K21">
        <f>RTD("nest.scriprtd",,"bse_cm|97SFL29","ATP")</f>
        <v>0</v>
      </c>
      <c r="L21">
        <f>RTD("nest.scriprtd",,"bse_cm|97SFL29","Volume Traded Today")</f>
        <v>0</v>
      </c>
      <c r="M21">
        <f>RTD("nest.scriprtd",,"bse_cm|97SFL29","Open")</f>
        <v>0</v>
      </c>
      <c r="N21">
        <f>RTD("nest.scriprtd",,"bse_cm|97SFL29","High")</f>
        <v>1102</v>
      </c>
      <c r="O21">
        <f>RTD("nest.scriprtd",,"bse_cm|97SFL29","Low ")</f>
        <v>1099</v>
      </c>
      <c r="P21">
        <f>RTD("nest.scriprtd",,"bse_cm|97SFL29","Prev Close")</f>
        <v>1102</v>
      </c>
      <c r="Q21">
        <f>RTD("nest.scriprtd",,"bse_cm|97SFL29","Face Value")</f>
        <v>1000</v>
      </c>
      <c r="R21" t="str">
        <f>RTD("nest.scriprtd",,"bse_cm|97SFL29","Isin code")</f>
        <v>INE721A07OQ7</v>
      </c>
      <c r="S21" s="9">
        <f>Table1[[#This Row],[Ask Rate]]*Table1[[#This Row],[Ask Qty]]</f>
        <v>11080</v>
      </c>
      <c r="T21">
        <f>VLOOKUP(Table1[[#This Row],[Isin code]],Table2[#All],7,FALSE)</f>
        <v>0</v>
      </c>
      <c r="U21" t="str">
        <f>VLOOKUP(Table1[[#This Row],[Isin code]],Table2[#All],8,FALSE)</f>
        <v>-</v>
      </c>
      <c r="V21" s="10" t="e">
        <f ca="1">Table1[[#This Row],[Maturity]]-TODAY()</f>
        <v>#VALUE!</v>
      </c>
      <c r="W21" t="str">
        <f>VLOOKUP(Table1[[#This Row],[Isin code]],Table2[#All],10,FALSE)</f>
        <v>0</v>
      </c>
      <c r="X21" t="e">
        <f ca="1">_xlfn.DAYS(Table1[[#This Row],[Maturity]],TODAY())-15</f>
        <v>#VALUE!</v>
      </c>
      <c r="Y2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21">
        <f>IF(Table1[[#This Row],[Ask Rate]]=0,0,Table1[[#This Row],[Face Value]]-Table1[[#This Row],[Ask Rate]])</f>
        <v>-108</v>
      </c>
      <c r="AA2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1">
        <f>Table1[[#This Row],[Face Value]]*Table1[[#This Row],[Rate]]*Table1[[#This Row],[Time]]</f>
        <v>0</v>
      </c>
      <c r="AC21">
        <f>Table1[[#This Row],[SI]]+Table1[[#This Row],[Disc/Prem]]</f>
        <v>-108</v>
      </c>
      <c r="AD21">
        <f>Table1[[#This Row],[Net Gain]]/Table1[[#This Row],[Ask Rate]]</f>
        <v>-9.7472924187725629E-2</v>
      </c>
      <c r="AE21" s="3" t="e">
        <f ca="1">IF(Table1[[#This Row],[Ask Qty]]=0,0,Table1[[#This Row],[Gross Yield]]*365/Table1[[#This Row],[Days Left]])</f>
        <v>#VALUE!</v>
      </c>
      <c r="AF21" s="9">
        <f>+Table1[[#This Row],[Net Gain]]*Table1[[#This Row],[Ask Qty]]</f>
        <v>-1080</v>
      </c>
      <c r="AG21" t="e">
        <f ca="1">IF(Table1[[#This Row],[YTM]]&gt;0.12,IF(Table1[[#This Row],[Gross Profit]]&gt;10000,"Invest","Review"),"Low YTM")</f>
        <v>#VALUE!</v>
      </c>
    </row>
    <row r="22" spans="1:33" hidden="1" x14ac:dyDescent="0.3">
      <c r="A22" t="str">
        <f>RTD("nest.scriprtd",,"nse_cm|760PFCL35-N3","Symbol")</f>
        <v>760PFCL35</v>
      </c>
      <c r="B22" t="str">
        <f>RTD("nest.scriprtd",,"nse_cm|760PFCL35-N3","Trading Symbol")</f>
        <v>760PFCL35-N3</v>
      </c>
      <c r="C22" t="str">
        <f>RTD("nest.scriprtd",,"nse_cm|760PFCL35-N3","Exchange")</f>
        <v>NSE</v>
      </c>
      <c r="D22">
        <f>RTD("nest.scriprtd",,"nse_cm|760PFCL35-N3","Bid Qty")</f>
        <v>10</v>
      </c>
      <c r="E22">
        <f>RTD("nest.scriprtd",,"nse_cm|760PFCL35-N3","Bid Rate")</f>
        <v>1165.0999999999999</v>
      </c>
      <c r="F22">
        <f>RTD("nest.scriprtd",,"nse_cm|760PFCL35-N3","Ask Rate")</f>
        <v>1179.99</v>
      </c>
      <c r="G22">
        <f>RTD("nest.scriprtd",,"nse_cm|760PFCL35-N3","Ask Qty")</f>
        <v>19</v>
      </c>
      <c r="H22">
        <f>RTD("nest.scriprtd",,"nse_cm|760PFCL35-N3","LTP")</f>
        <v>1163.3</v>
      </c>
      <c r="I22" t="str">
        <f>RTD("nest.scriprtd",,"nse_cm|760PFCL35-N3","LTT")</f>
        <v/>
      </c>
      <c r="J22">
        <f>RTD("nest.scriprtd",,"nse_cm|760PFCL35-N3","% Change")</f>
        <v>0</v>
      </c>
      <c r="K22">
        <f>RTD("nest.scriprtd",,"nse_cm|760PFCL35-N3","ATP")</f>
        <v>0</v>
      </c>
      <c r="L22">
        <f>RTD("nest.scriprtd",,"nse_cm|760PFCL35-N3","Volume Traded Today")</f>
        <v>0</v>
      </c>
      <c r="M22">
        <f>RTD("nest.scriprtd",,"nse_cm|760PFCL35-N3","Open")</f>
        <v>0</v>
      </c>
      <c r="N22">
        <f>RTD("nest.scriprtd",,"nse_cm|760PFCL35-N3","High")</f>
        <v>1163.3</v>
      </c>
      <c r="O22">
        <f>RTD("nest.scriprtd",,"nse_cm|760PFCL35-N3","Low ")</f>
        <v>1163.3</v>
      </c>
      <c r="P22">
        <f>RTD("nest.scriprtd",,"nse_cm|760PFCL35-N3","Prev Close")</f>
        <v>1163.3</v>
      </c>
      <c r="Q22">
        <f>RTD("nest.scriprtd",,"nse_cm|760PFCL35-N3","Face Value")</f>
        <v>1000</v>
      </c>
      <c r="R22" t="str">
        <f>RTD("nest.scriprtd",,"nse_cm|760PFCL35-N3","Isin code")</f>
        <v>INE134E07588</v>
      </c>
      <c r="S22" s="9">
        <f>Table1[[#This Row],[Ask Rate]]*Table1[[#This Row],[Ask Qty]]</f>
        <v>22419.81</v>
      </c>
      <c r="T22">
        <f>VLOOKUP(Table1[[#This Row],[Isin code]],Table2[#All],7,FALSE)</f>
        <v>0</v>
      </c>
      <c r="U22" t="str">
        <f>VLOOKUP(Table1[[#This Row],[Isin code]],Table2[#All],8,FALSE)</f>
        <v>-</v>
      </c>
      <c r="V22" s="10" t="e">
        <f ca="1">Table1[[#This Row],[Maturity]]-TODAY()</f>
        <v>#VALUE!</v>
      </c>
      <c r="W22" t="str">
        <f>VLOOKUP(Table1[[#This Row],[Isin code]],Table2[#All],10,FALSE)</f>
        <v>Yearly</v>
      </c>
      <c r="X22" t="e">
        <f ca="1">_xlfn.DAYS(Table1[[#This Row],[Maturity]],TODAY())-15</f>
        <v>#VALUE!</v>
      </c>
      <c r="Y22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22">
        <f>IF(Table1[[#This Row],[Ask Rate]]=0,0,Table1[[#This Row],[Face Value]]-Table1[[#This Row],[Ask Rate]])</f>
        <v>-179.99</v>
      </c>
      <c r="AA2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2" t="e">
        <f ca="1">Table1[[#This Row],[Face Value]]*Table1[[#This Row],[Rate]]*Table1[[#This Row],[Time]]</f>
        <v>#VALUE!</v>
      </c>
      <c r="AC22" t="e">
        <f ca="1">Table1[[#This Row],[SI]]+Table1[[#This Row],[Disc/Prem]]</f>
        <v>#VALUE!</v>
      </c>
      <c r="AD22" t="e">
        <f ca="1">Table1[[#This Row],[Net Gain]]/Table1[[#This Row],[Ask Rate]]</f>
        <v>#VALUE!</v>
      </c>
      <c r="AE22" s="3" t="e">
        <f ca="1">IF(Table1[[#This Row],[Ask Qty]]=0,0,Table1[[#This Row],[Gross Yield]]*365/Table1[[#This Row],[Days Left]])</f>
        <v>#VALUE!</v>
      </c>
      <c r="AF22" s="9" t="e">
        <f ca="1">+Table1[[#This Row],[Net Gain]]*Table1[[#This Row],[Ask Qty]]</f>
        <v>#VALUE!</v>
      </c>
      <c r="AG22" t="e">
        <f ca="1">IF(Table1[[#This Row],[YTM]]&gt;0.12,IF(Table1[[#This Row],[Gross Profit]]&gt;10000,"Invest","Review"),"Low YTM")</f>
        <v>#VALUE!</v>
      </c>
    </row>
    <row r="23" spans="1:33" hidden="1" x14ac:dyDescent="0.3">
      <c r="A23" t="str">
        <f>RTD("nest.scriprtd",,"bse_cm|97SFL28","Symbol")</f>
        <v>97SFL28</v>
      </c>
      <c r="B23" t="str">
        <f>RTD("nest.scriprtd",,"bse_cm|97SFL28","Trading Symbol")</f>
        <v>97SFL28</v>
      </c>
      <c r="C23" t="str">
        <f>RTD("nest.scriprtd",,"bse_cm|97SFL28","Exchange")</f>
        <v>BSE</v>
      </c>
      <c r="D23">
        <f>RTD("nest.scriprtd",,"bse_cm|97SFL28","Bid Qty")</f>
        <v>50</v>
      </c>
      <c r="E23">
        <f>RTD("nest.scriprtd",,"bse_cm|97SFL28","Bid Rate")</f>
        <v>1001.11</v>
      </c>
      <c r="F23">
        <f>RTD("nest.scriprtd",,"bse_cm|97SFL28","Ask Rate")</f>
        <v>1065</v>
      </c>
      <c r="G23">
        <f>RTD("nest.scriprtd",,"bse_cm|97SFL28","Ask Qty")</f>
        <v>100</v>
      </c>
      <c r="H23">
        <f>RTD("nest.scriprtd",,"bse_cm|97SFL28","LTP")</f>
        <v>0</v>
      </c>
      <c r="I23" t="str">
        <f>RTD("nest.scriprtd",,"bse_cm|97SFL28","LTT")</f>
        <v>00:00:00</v>
      </c>
      <c r="J23">
        <f>RTD("nest.scriprtd",,"bse_cm|97SFL28","% Change")</f>
        <v>-100</v>
      </c>
      <c r="K23">
        <f>RTD("nest.scriprtd",,"bse_cm|97SFL28","ATP")</f>
        <v>0</v>
      </c>
      <c r="L23">
        <f>RTD("nest.scriprtd",,"bse_cm|97SFL28","Volume Traded Today")</f>
        <v>0</v>
      </c>
      <c r="M23">
        <f>RTD("nest.scriprtd",,"bse_cm|97SFL28","Open")</f>
        <v>0</v>
      </c>
      <c r="N23">
        <f>RTD("nest.scriprtd",,"bse_cm|97SFL28","High")</f>
        <v>1102</v>
      </c>
      <c r="O23">
        <f>RTD("nest.scriprtd",,"bse_cm|97SFL28","Low ")</f>
        <v>1102</v>
      </c>
      <c r="P23">
        <f>RTD("nest.scriprtd",,"bse_cm|97SFL28","Prev Close")</f>
        <v>1102</v>
      </c>
      <c r="Q23">
        <f>RTD("nest.scriprtd",,"bse_cm|97SFL28","Face Value")</f>
        <v>1000</v>
      </c>
      <c r="R23" t="str">
        <f>RTD("nest.scriprtd",,"bse_cm|97SFL28","Isin code")</f>
        <v>INE721A07OF0</v>
      </c>
      <c r="S23" s="9">
        <f>Table1[[#This Row],[Ask Rate]]*Table1[[#This Row],[Ask Qty]]</f>
        <v>106500</v>
      </c>
      <c r="T23">
        <f>VLOOKUP(Table1[[#This Row],[Isin code]],Table2[#All],7,FALSE)</f>
        <v>0</v>
      </c>
      <c r="U23" t="str">
        <f>VLOOKUP(Table1[[#This Row],[Isin code]],Table2[#All],8,FALSE)</f>
        <v>-</v>
      </c>
      <c r="V23" s="10" t="e">
        <f ca="1">Table1[[#This Row],[Maturity]]-TODAY()</f>
        <v>#VALUE!</v>
      </c>
      <c r="W23" t="str">
        <f>VLOOKUP(Table1[[#This Row],[Isin code]],Table2[#All],10,FALSE)</f>
        <v>0</v>
      </c>
      <c r="X23" t="e">
        <f ca="1">_xlfn.DAYS(Table1[[#This Row],[Maturity]],TODAY())-15</f>
        <v>#VALUE!</v>
      </c>
      <c r="Y2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23">
        <f>IF(Table1[[#This Row],[Ask Rate]]=0,0,Table1[[#This Row],[Face Value]]-Table1[[#This Row],[Ask Rate]])</f>
        <v>-65</v>
      </c>
      <c r="AA2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3">
        <f>Table1[[#This Row],[Face Value]]*Table1[[#This Row],[Rate]]*Table1[[#This Row],[Time]]</f>
        <v>0</v>
      </c>
      <c r="AC23">
        <f>Table1[[#This Row],[SI]]+Table1[[#This Row],[Disc/Prem]]</f>
        <v>-65</v>
      </c>
      <c r="AD23">
        <f>Table1[[#This Row],[Net Gain]]/Table1[[#This Row],[Ask Rate]]</f>
        <v>-6.1032863849765258E-2</v>
      </c>
      <c r="AE23" s="3" t="e">
        <f ca="1">IF(Table1[[#This Row],[Ask Qty]]=0,0,Table1[[#This Row],[Gross Yield]]*365/Table1[[#This Row],[Days Left]])</f>
        <v>#VALUE!</v>
      </c>
      <c r="AF23" s="9">
        <f>+Table1[[#This Row],[Net Gain]]*Table1[[#This Row],[Ask Qty]]</f>
        <v>-6500</v>
      </c>
      <c r="AG23" t="e">
        <f ca="1">IF(Table1[[#This Row],[YTM]]&gt;0.12,IF(Table1[[#This Row],[Gross Profit]]&gt;10000,"Invest","Review"),"Low YTM")</f>
        <v>#VALUE!</v>
      </c>
    </row>
    <row r="24" spans="1:33" hidden="1" x14ac:dyDescent="0.3">
      <c r="A24" t="str">
        <f>RTD("nest.scriprtd",,"bse_cm|94SFL28","Symbol")</f>
        <v>94SFL28</v>
      </c>
      <c r="B24" t="str">
        <f>RTD("nest.scriprtd",,"bse_cm|94SFL28","Trading Symbol")</f>
        <v>94SFL28</v>
      </c>
      <c r="C24" t="str">
        <f>RTD("nest.scriprtd",,"bse_cm|94SFL28","Exchange")</f>
        <v>BSE</v>
      </c>
      <c r="D24">
        <f>RTD("nest.scriprtd",,"bse_cm|94SFL28","Bid Qty")</f>
        <v>10</v>
      </c>
      <c r="E24">
        <f>RTD("nest.scriprtd",,"bse_cm|94SFL28","Bid Rate")</f>
        <v>1045.31</v>
      </c>
      <c r="F24">
        <f>RTD("nest.scriprtd",,"bse_cm|94SFL28","Ask Rate")</f>
        <v>1051.5</v>
      </c>
      <c r="G24">
        <f>RTD("nest.scriprtd",,"bse_cm|94SFL28","Ask Qty")</f>
        <v>100</v>
      </c>
      <c r="H24">
        <f>RTD("nest.scriprtd",,"bse_cm|94SFL28","LTP")</f>
        <v>1045</v>
      </c>
      <c r="I24" t="str">
        <f>RTD("nest.scriprtd",,"bse_cm|94SFL28","LTT")</f>
        <v>00:00:00</v>
      </c>
      <c r="J24">
        <f>RTD("nest.scriprtd",,"bse_cm|94SFL28","% Change")</f>
        <v>0.38</v>
      </c>
      <c r="K24">
        <f>RTD("nest.scriprtd",,"bse_cm|94SFL28","ATP")</f>
        <v>0</v>
      </c>
      <c r="L24">
        <f>RTD("nest.scriprtd",,"bse_cm|94SFL28","Volume Traded Today")</f>
        <v>0</v>
      </c>
      <c r="M24">
        <f>RTD("nest.scriprtd",,"bse_cm|94SFL28","Open")</f>
        <v>0</v>
      </c>
      <c r="N24">
        <f>RTD("nest.scriprtd",,"bse_cm|94SFL28","High")</f>
        <v>1045.0999999999999</v>
      </c>
      <c r="O24">
        <f>RTD("nest.scriprtd",,"bse_cm|94SFL28","Low ")</f>
        <v>1045</v>
      </c>
      <c r="P24">
        <f>RTD("nest.scriprtd",,"bse_cm|94SFL28","Prev Close")</f>
        <v>1041.01</v>
      </c>
      <c r="Q24">
        <f>RTD("nest.scriprtd",,"bse_cm|94SFL28","Face Value")</f>
        <v>1000</v>
      </c>
      <c r="R24" t="str">
        <f>RTD("nest.scriprtd",,"bse_cm|94SFL28","Isin code")</f>
        <v>INE721A07NX5</v>
      </c>
      <c r="S24" s="9">
        <f>Table1[[#This Row],[Ask Rate]]*Table1[[#This Row],[Ask Qty]]</f>
        <v>105150</v>
      </c>
      <c r="T24">
        <f>VLOOKUP(Table1[[#This Row],[Isin code]],Table2[#All],7,FALSE)</f>
        <v>0</v>
      </c>
      <c r="U24" t="str">
        <f>VLOOKUP(Table1[[#This Row],[Isin code]],Table2[#All],8,FALSE)</f>
        <v>-</v>
      </c>
      <c r="V24" s="10" t="e">
        <f ca="1">Table1[[#This Row],[Maturity]]-TODAY()</f>
        <v>#VALUE!</v>
      </c>
      <c r="W24" t="str">
        <f>VLOOKUP(Table1[[#This Row],[Isin code]],Table2[#All],10,FALSE)</f>
        <v>Yearly</v>
      </c>
      <c r="X24" t="e">
        <f ca="1">_xlfn.DAYS(Table1[[#This Row],[Maturity]],TODAY())-15</f>
        <v>#VALUE!</v>
      </c>
      <c r="Y24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24">
        <f>IF(Table1[[#This Row],[Ask Rate]]=0,0,Table1[[#This Row],[Face Value]]-Table1[[#This Row],[Ask Rate]])</f>
        <v>-51.5</v>
      </c>
      <c r="AA2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4" t="e">
        <f ca="1">Table1[[#This Row],[Face Value]]*Table1[[#This Row],[Rate]]*Table1[[#This Row],[Time]]</f>
        <v>#VALUE!</v>
      </c>
      <c r="AC24" t="e">
        <f ca="1">Table1[[#This Row],[SI]]+Table1[[#This Row],[Disc/Prem]]</f>
        <v>#VALUE!</v>
      </c>
      <c r="AD24" t="e">
        <f ca="1">Table1[[#This Row],[Net Gain]]/Table1[[#This Row],[Ask Rate]]</f>
        <v>#VALUE!</v>
      </c>
      <c r="AE24" s="3" t="e">
        <f ca="1">IF(Table1[[#This Row],[Ask Qty]]=0,0,Table1[[#This Row],[Gross Yield]]*365/Table1[[#This Row],[Days Left]])</f>
        <v>#VALUE!</v>
      </c>
      <c r="AF24" s="9" t="e">
        <f ca="1">+Table1[[#This Row],[Net Gain]]*Table1[[#This Row],[Ask Qty]]</f>
        <v>#VALUE!</v>
      </c>
      <c r="AG24" t="e">
        <f ca="1">IF(Table1[[#This Row],[YTM]]&gt;0.12,IF(Table1[[#This Row],[Gross Profit]]&gt;10000,"Invest","Review"),"Low YTM")</f>
        <v>#VALUE!</v>
      </c>
    </row>
    <row r="25" spans="1:33" hidden="1" x14ac:dyDescent="0.3">
      <c r="A25" t="str">
        <f>RTD("nest.scriprtd",,"nse_cm|866IIFC34B-N3","Symbol")</f>
        <v>866IIFC34B</v>
      </c>
      <c r="B25" t="str">
        <f>RTD("nest.scriprtd",,"nse_cm|866IIFC34B-N3","Trading Symbol")</f>
        <v>866IIFC34B-N3</v>
      </c>
      <c r="C25" t="str">
        <f>RTD("nest.scriprtd",,"nse_cm|866IIFC34B-N3","Exchange")</f>
        <v>NSE</v>
      </c>
      <c r="D25">
        <f>RTD("nest.scriprtd",,"nse_cm|866IIFC34B-N3","Bid Qty")</f>
        <v>200</v>
      </c>
      <c r="E25">
        <f>RTD("nest.scriprtd",,"nse_cm|866IIFC34B-N3","Bid Rate")</f>
        <v>1228.0999999999999</v>
      </c>
      <c r="F25">
        <f>RTD("nest.scriprtd",,"nse_cm|866IIFC34B-N3","Ask Rate")</f>
        <v>1295</v>
      </c>
      <c r="G25">
        <f>RTD("nest.scriprtd",,"nse_cm|866IIFC34B-N3","Ask Qty")</f>
        <v>28</v>
      </c>
      <c r="H25">
        <f>RTD("nest.scriprtd",,"nse_cm|866IIFC34B-N3","LTP")</f>
        <v>1283</v>
      </c>
      <c r="I25" t="str">
        <f>RTD("nest.scriprtd",,"nse_cm|866IIFC34B-N3","LTT")</f>
        <v/>
      </c>
      <c r="J25">
        <f>RTD("nest.scriprtd",,"nse_cm|866IIFC34B-N3","% Change")</f>
        <v>0</v>
      </c>
      <c r="K25">
        <f>RTD("nest.scriprtd",,"nse_cm|866IIFC34B-N3","ATP")</f>
        <v>0</v>
      </c>
      <c r="L25">
        <f>RTD("nest.scriprtd",,"nse_cm|866IIFC34B-N3","Volume Traded Today")</f>
        <v>0</v>
      </c>
      <c r="M25">
        <f>RTD("nest.scriprtd",,"nse_cm|866IIFC34B-N3","Open")</f>
        <v>0</v>
      </c>
      <c r="N25">
        <f>RTD("nest.scriprtd",,"nse_cm|866IIFC34B-N3","High")</f>
        <v>1283</v>
      </c>
      <c r="O25">
        <f>RTD("nest.scriprtd",,"nse_cm|866IIFC34B-N3","Low ")</f>
        <v>1283</v>
      </c>
      <c r="P25">
        <f>RTD("nest.scriprtd",,"nse_cm|866IIFC34B-N3","Prev Close")</f>
        <v>1283</v>
      </c>
      <c r="Q25">
        <f>RTD("nest.scriprtd",,"nse_cm|866IIFC34B-N3","Face Value")</f>
        <v>1000</v>
      </c>
      <c r="R25" t="str">
        <f>RTD("nest.scriprtd",,"nse_cm|866IIFC34B-N3","Isin code")</f>
        <v>INE787H07347</v>
      </c>
      <c r="S25" s="9">
        <f>Table1[[#This Row],[Ask Rate]]*Table1[[#This Row],[Ask Qty]]</f>
        <v>36260</v>
      </c>
      <c r="T25">
        <f>VLOOKUP(Table1[[#This Row],[Isin code]],Table2[#All],7,FALSE)</f>
        <v>0</v>
      </c>
      <c r="U25" t="str">
        <f>VLOOKUP(Table1[[#This Row],[Isin code]],Table2[#All],8,FALSE)</f>
        <v>-</v>
      </c>
      <c r="V25" s="10" t="e">
        <f ca="1">Table1[[#This Row],[Maturity]]-TODAY()</f>
        <v>#VALUE!</v>
      </c>
      <c r="W25" t="str">
        <f>VLOOKUP(Table1[[#This Row],[Isin code]],Table2[#All],10,FALSE)</f>
        <v>Yearly</v>
      </c>
      <c r="X25" t="e">
        <f ca="1">_xlfn.DAYS(Table1[[#This Row],[Maturity]],TODAY())-15</f>
        <v>#VALUE!</v>
      </c>
      <c r="Y25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25">
        <f>IF(Table1[[#This Row],[Ask Rate]]=0,0,Table1[[#This Row],[Face Value]]-Table1[[#This Row],[Ask Rate]])</f>
        <v>-295</v>
      </c>
      <c r="AA2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5" t="e">
        <f ca="1">Table1[[#This Row],[Face Value]]*Table1[[#This Row],[Rate]]*Table1[[#This Row],[Time]]</f>
        <v>#VALUE!</v>
      </c>
      <c r="AC25" t="e">
        <f ca="1">Table1[[#This Row],[SI]]+Table1[[#This Row],[Disc/Prem]]</f>
        <v>#VALUE!</v>
      </c>
      <c r="AD25" t="e">
        <f ca="1">Table1[[#This Row],[Net Gain]]/Table1[[#This Row],[Ask Rate]]</f>
        <v>#VALUE!</v>
      </c>
      <c r="AE25" s="3" t="e">
        <f ca="1">IF(Table1[[#This Row],[Ask Qty]]=0,0,Table1[[#This Row],[Gross Yield]]*365/Table1[[#This Row],[Days Left]])</f>
        <v>#VALUE!</v>
      </c>
      <c r="AF25" s="9" t="e">
        <f ca="1">+Table1[[#This Row],[Net Gain]]*Table1[[#This Row],[Ask Qty]]</f>
        <v>#VALUE!</v>
      </c>
      <c r="AG25" t="e">
        <f ca="1">IF(Table1[[#This Row],[YTM]]&gt;0.12,IF(Table1[[#This Row],[Gross Profit]]&gt;10000,"Invest","Review"),"Low YTM")</f>
        <v>#VALUE!</v>
      </c>
    </row>
    <row r="26" spans="1:33" hidden="1" x14ac:dyDescent="0.3">
      <c r="A26" t="str">
        <f>RTD("nest.scriprtd",,"nse_cm|735PFCL35-N1","Symbol")</f>
        <v>735PFCL35</v>
      </c>
      <c r="B26" t="str">
        <f>RTD("nest.scriprtd",,"nse_cm|735PFCL35-N1","Trading Symbol")</f>
        <v>735PFCL35-N1</v>
      </c>
      <c r="C26" t="str">
        <f>RTD("nest.scriprtd",,"nse_cm|735PFCL35-N1","Exchange")</f>
        <v>NSE</v>
      </c>
      <c r="D26">
        <f>RTD("nest.scriprtd",,"nse_cm|735PFCL35-N1","Bid Qty")</f>
        <v>1000</v>
      </c>
      <c r="E26">
        <f>RTD("nest.scriprtd",,"nse_cm|735PFCL35-N1","Bid Rate")</f>
        <v>1129.0999999999999</v>
      </c>
      <c r="F26">
        <f>RTD("nest.scriprtd",,"nse_cm|735PFCL35-N1","Ask Rate")</f>
        <v>1448</v>
      </c>
      <c r="G26">
        <f>RTD("nest.scriprtd",,"nse_cm|735PFCL35-N1","Ask Qty")</f>
        <v>200</v>
      </c>
      <c r="H26">
        <f>RTD("nest.scriprtd",,"nse_cm|735PFCL35-N1","LTP")</f>
        <v>1221</v>
      </c>
      <c r="I26" t="str">
        <f>RTD("nest.scriprtd",,"nse_cm|735PFCL35-N1","LTT")</f>
        <v/>
      </c>
      <c r="J26">
        <f>RTD("nest.scriprtd",,"nse_cm|735PFCL35-N1","% Change")</f>
        <v>0</v>
      </c>
      <c r="K26">
        <f>RTD("nest.scriprtd",,"nse_cm|735PFCL35-N1","ATP")</f>
        <v>0</v>
      </c>
      <c r="L26">
        <f>RTD("nest.scriprtd",,"nse_cm|735PFCL35-N1","Volume Traded Today")</f>
        <v>0</v>
      </c>
      <c r="M26">
        <f>RTD("nest.scriprtd",,"nse_cm|735PFCL35-N1","Open")</f>
        <v>0</v>
      </c>
      <c r="N26">
        <f>RTD("nest.scriprtd",,"nse_cm|735PFCL35-N1","High")</f>
        <v>1221</v>
      </c>
      <c r="O26">
        <f>RTD("nest.scriprtd",,"nse_cm|735PFCL35-N1","Low ")</f>
        <v>1145</v>
      </c>
      <c r="P26">
        <f>RTD("nest.scriprtd",,"nse_cm|735PFCL35-N1","Prev Close")</f>
        <v>1221</v>
      </c>
      <c r="Q26">
        <f>RTD("nest.scriprtd",,"nse_cm|735PFCL35-N1","Face Value")</f>
        <v>1000</v>
      </c>
      <c r="R26" t="str">
        <f>RTD("nest.scriprtd",,"nse_cm|735PFCL35-N1","Isin code")</f>
        <v>INE134E07570</v>
      </c>
      <c r="S26" s="9">
        <f>Table1[[#This Row],[Ask Rate]]*Table1[[#This Row],[Ask Qty]]</f>
        <v>289600</v>
      </c>
      <c r="T26">
        <f>VLOOKUP(Table1[[#This Row],[Isin code]],Table2[#All],7,FALSE)</f>
        <v>0</v>
      </c>
      <c r="U26" t="str">
        <f>VLOOKUP(Table1[[#This Row],[Isin code]],Table2[#All],8,FALSE)</f>
        <v>-</v>
      </c>
      <c r="V26" s="10" t="e">
        <f ca="1">Table1[[#This Row],[Maturity]]-TODAY()</f>
        <v>#VALUE!</v>
      </c>
      <c r="W26" t="str">
        <f>VLOOKUP(Table1[[#This Row],[Isin code]],Table2[#All],10,FALSE)</f>
        <v>HALF YEARLY</v>
      </c>
      <c r="X26" t="e">
        <f ca="1">_xlfn.DAYS(Table1[[#This Row],[Maturity]],TODAY())-15</f>
        <v>#VALUE!</v>
      </c>
      <c r="Y2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26">
        <f>IF(Table1[[#This Row],[Ask Rate]]=0,0,Table1[[#This Row],[Face Value]]-Table1[[#This Row],[Ask Rate]])</f>
        <v>-448</v>
      </c>
      <c r="AA2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6">
        <f>Table1[[#This Row],[Face Value]]*Table1[[#This Row],[Rate]]*Table1[[#This Row],[Time]]</f>
        <v>0</v>
      </c>
      <c r="AC26">
        <f>Table1[[#This Row],[SI]]+Table1[[#This Row],[Disc/Prem]]</f>
        <v>-448</v>
      </c>
      <c r="AD26">
        <f>Table1[[#This Row],[Net Gain]]/Table1[[#This Row],[Ask Rate]]</f>
        <v>-0.30939226519337015</v>
      </c>
      <c r="AE26" s="3" t="e">
        <f ca="1">IF(Table1[[#This Row],[Ask Qty]]=0,0,Table1[[#This Row],[Gross Yield]]*365/Table1[[#This Row],[Days Left]])</f>
        <v>#VALUE!</v>
      </c>
      <c r="AF26" s="9">
        <f>+Table1[[#This Row],[Net Gain]]*Table1[[#This Row],[Ask Qty]]</f>
        <v>-89600</v>
      </c>
      <c r="AG26" t="e">
        <f ca="1">IF(Table1[[#This Row],[YTM]]&gt;0.12,IF(Table1[[#This Row],[Gross Profit]]&gt;10000,"Invest","Review"),"Low YTM")</f>
        <v>#VALUE!</v>
      </c>
    </row>
    <row r="27" spans="1:33" hidden="1" x14ac:dyDescent="0.3">
      <c r="A27" t="str">
        <f>RTD("nest.scriprtd",,"bse_cm|NIDOZC26","Symbol")</f>
        <v>NIDOZC26</v>
      </c>
      <c r="B27" t="str">
        <f>RTD("nest.scriprtd",,"bse_cm|NIDOZC26","Trading Symbol")</f>
        <v>NIDOZC26</v>
      </c>
      <c r="C27" t="str">
        <f>RTD("nest.scriprtd",,"bse_cm|NIDOZC26","Exchange")</f>
        <v>BSE</v>
      </c>
      <c r="D27">
        <f>RTD("nest.scriprtd",,"bse_cm|NIDOZC26","Bid Qty")</f>
        <v>26</v>
      </c>
      <c r="E27">
        <f>RTD("nest.scriprtd",,"bse_cm|NIDOZC26","Bid Rate")</f>
        <v>1717.82</v>
      </c>
      <c r="F27">
        <f>RTD("nest.scriprtd",,"bse_cm|NIDOZC26","Ask Rate")</f>
        <v>2425</v>
      </c>
      <c r="G27">
        <f>RTD("nest.scriprtd",,"bse_cm|NIDOZC26","Ask Qty")</f>
        <v>10</v>
      </c>
      <c r="H27">
        <f>RTD("nest.scriprtd",,"bse_cm|NIDOZC26","LTP")</f>
        <v>0</v>
      </c>
      <c r="I27" t="str">
        <f>RTD("nest.scriprtd",,"bse_cm|NIDOZC26","LTT")</f>
        <v>00:00:00</v>
      </c>
      <c r="J27">
        <f>RTD("nest.scriprtd",,"bse_cm|NIDOZC26","% Change")</f>
        <v>-100</v>
      </c>
      <c r="K27">
        <f>RTD("nest.scriprtd",,"bse_cm|NIDOZC26","ATP")</f>
        <v>0</v>
      </c>
      <c r="L27">
        <f>RTD("nest.scriprtd",,"bse_cm|NIDOZC26","Volume Traded Today")</f>
        <v>0</v>
      </c>
      <c r="M27">
        <f>RTD("nest.scriprtd",,"bse_cm|NIDOZC26","Open")</f>
        <v>0</v>
      </c>
      <c r="N27">
        <f>RTD("nest.scriprtd",,"bse_cm|NIDOZC26","High")</f>
        <v>2067.56</v>
      </c>
      <c r="O27">
        <f>RTD("nest.scriprtd",,"bse_cm|NIDOZC26","Low ")</f>
        <v>2067.56</v>
      </c>
      <c r="P27">
        <f>RTD("nest.scriprtd",,"bse_cm|NIDOZC26","Prev Close")</f>
        <v>2067.56</v>
      </c>
      <c r="Q27">
        <f>RTD("nest.scriprtd",,"bse_cm|NIDOZC26","Face Value")</f>
        <v>1000</v>
      </c>
      <c r="R27" t="str">
        <f>RTD("nest.scriprtd",,"bse_cm|NIDOZC26","Isin code")</f>
        <v>INE530L07236</v>
      </c>
      <c r="S27" s="9">
        <f>Table1[[#This Row],[Ask Rate]]*Table1[[#This Row],[Ask Qty]]</f>
        <v>24250</v>
      </c>
      <c r="T27">
        <f>VLOOKUP(Table1[[#This Row],[Isin code]],Table2[#All],7,FALSE)</f>
        <v>0</v>
      </c>
      <c r="U27" t="str">
        <f>VLOOKUP(Table1[[#This Row],[Isin code]],Table2[#All],8,FALSE)</f>
        <v>-</v>
      </c>
      <c r="V27" s="10" t="e">
        <f ca="1">Table1[[#This Row],[Maturity]]-TODAY()</f>
        <v>#VALUE!</v>
      </c>
      <c r="W27" t="str">
        <f>VLOOKUP(Table1[[#This Row],[Isin code]],Table2[#All],10,FALSE)</f>
        <v>Monthly</v>
      </c>
      <c r="X27" t="e">
        <f ca="1">_xlfn.DAYS(Table1[[#This Row],[Maturity]],TODAY())-15</f>
        <v>#VALUE!</v>
      </c>
      <c r="Y27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27">
        <f>IF(Table1[[#This Row],[Ask Rate]]=0,0,Table1[[#This Row],[Face Value]]-Table1[[#This Row],[Ask Rate]])</f>
        <v>-1425</v>
      </c>
      <c r="AA2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7" t="e">
        <f ca="1">Table1[[#This Row],[Face Value]]*Table1[[#This Row],[Rate]]*Table1[[#This Row],[Time]]</f>
        <v>#VALUE!</v>
      </c>
      <c r="AC27" t="e">
        <f ca="1">Table1[[#This Row],[SI]]+Table1[[#This Row],[Disc/Prem]]</f>
        <v>#VALUE!</v>
      </c>
      <c r="AD27" t="e">
        <f ca="1">Table1[[#This Row],[Net Gain]]/Table1[[#This Row],[Ask Rate]]</f>
        <v>#VALUE!</v>
      </c>
      <c r="AE27" s="3" t="e">
        <f ca="1">IF(Table1[[#This Row],[Ask Qty]]=0,0,Table1[[#This Row],[Gross Yield]]*365/Table1[[#This Row],[Days Left]])</f>
        <v>#VALUE!</v>
      </c>
      <c r="AF27" s="9" t="e">
        <f ca="1">+Table1[[#This Row],[Net Gain]]*Table1[[#This Row],[Ask Qty]]</f>
        <v>#VALUE!</v>
      </c>
      <c r="AG27" t="e">
        <f ca="1">IF(Table1[[#This Row],[YTM]]&gt;0.12,IF(Table1[[#This Row],[Gross Profit]]&gt;10000,"Invest","Review"),"Low YTM")</f>
        <v>#VALUE!</v>
      </c>
    </row>
    <row r="28" spans="1:33" hidden="1" x14ac:dyDescent="0.3">
      <c r="A28" t="str">
        <f>RTD("nest.scriprtd",,"nse_cm|NIDOZC26-N7","Symbol")</f>
        <v>NIDOZC26</v>
      </c>
      <c r="B28" t="str">
        <f>RTD("nest.scriprtd",,"nse_cm|NIDOZC26-N7","Trading Symbol")</f>
        <v>NIDOZC26-N7</v>
      </c>
      <c r="C28" t="str">
        <f>RTD("nest.scriprtd",,"nse_cm|NIDOZC26-N7","Exchange")</f>
        <v>NSE</v>
      </c>
      <c r="D28">
        <f>RTD("nest.scriprtd",,"nse_cm|NIDOZC26-N7","Bid Qty")</f>
        <v>4</v>
      </c>
      <c r="E28">
        <f>RTD("nest.scriprtd",,"nse_cm|NIDOZC26-N7","Bid Rate")</f>
        <v>2080</v>
      </c>
      <c r="F28">
        <f>RTD("nest.scriprtd",,"nse_cm|NIDOZC26-N7","Ask Rate")</f>
        <v>2398.9899999999998</v>
      </c>
      <c r="G28">
        <f>RTD("nest.scriprtd",,"nse_cm|NIDOZC26-N7","Ask Qty")</f>
        <v>5</v>
      </c>
      <c r="H28">
        <f>RTD("nest.scriprtd",,"nse_cm|NIDOZC26-N7","LTP")</f>
        <v>2499</v>
      </c>
      <c r="I28" t="str">
        <f>RTD("nest.scriprtd",,"nse_cm|NIDOZC26-N7","LTT")</f>
        <v/>
      </c>
      <c r="J28">
        <f>RTD("nest.scriprtd",,"nse_cm|NIDOZC26-N7","% Change")</f>
        <v>0</v>
      </c>
      <c r="K28">
        <f>RTD("nest.scriprtd",,"nse_cm|NIDOZC26-N7","ATP")</f>
        <v>0</v>
      </c>
      <c r="L28">
        <f>RTD("nest.scriprtd",,"nse_cm|NIDOZC26-N7","Volume Traded Today")</f>
        <v>0</v>
      </c>
      <c r="M28">
        <f>RTD("nest.scriprtd",,"nse_cm|NIDOZC26-N7","Open")</f>
        <v>0</v>
      </c>
      <c r="N28">
        <f>RTD("nest.scriprtd",,"nse_cm|NIDOZC26-N7","High")</f>
        <v>2499</v>
      </c>
      <c r="O28">
        <f>RTD("nest.scriprtd",,"nse_cm|NIDOZC26-N7","Low ")</f>
        <v>2130</v>
      </c>
      <c r="P28">
        <f>RTD("nest.scriprtd",,"nse_cm|NIDOZC26-N7","Prev Close")</f>
        <v>2499</v>
      </c>
      <c r="Q28">
        <f>RTD("nest.scriprtd",,"nse_cm|NIDOZC26-N7","Face Value")</f>
        <v>1000</v>
      </c>
      <c r="R28" t="str">
        <f>RTD("nest.scriprtd",,"nse_cm|NIDOZC26-N7","Isin code")</f>
        <v>INE530L07236</v>
      </c>
      <c r="S28" s="9">
        <f>Table1[[#This Row],[Ask Rate]]*Table1[[#This Row],[Ask Qty]]</f>
        <v>11994.949999999999</v>
      </c>
      <c r="T28">
        <f>VLOOKUP(Table1[[#This Row],[Isin code]],Table2[#All],7,FALSE)</f>
        <v>0</v>
      </c>
      <c r="U28" t="str">
        <f>VLOOKUP(Table1[[#This Row],[Isin code]],Table2[#All],8,FALSE)</f>
        <v>-</v>
      </c>
      <c r="V28" s="10" t="e">
        <f ca="1">Table1[[#This Row],[Maturity]]-TODAY()</f>
        <v>#VALUE!</v>
      </c>
      <c r="W28" t="str">
        <f>VLOOKUP(Table1[[#This Row],[Isin code]],Table2[#All],10,FALSE)</f>
        <v>Monthly</v>
      </c>
      <c r="X28" t="e">
        <f ca="1">_xlfn.DAYS(Table1[[#This Row],[Maturity]],TODAY())-15</f>
        <v>#VALUE!</v>
      </c>
      <c r="Y28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28">
        <f>IF(Table1[[#This Row],[Ask Rate]]=0,0,Table1[[#This Row],[Face Value]]-Table1[[#This Row],[Ask Rate]])</f>
        <v>-1398.9899999999998</v>
      </c>
      <c r="AA2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28" t="e">
        <f ca="1">Table1[[#This Row],[Face Value]]*Table1[[#This Row],[Rate]]*Table1[[#This Row],[Time]]</f>
        <v>#VALUE!</v>
      </c>
      <c r="AC28" t="e">
        <f ca="1">Table1[[#This Row],[SI]]+Table1[[#This Row],[Disc/Prem]]</f>
        <v>#VALUE!</v>
      </c>
      <c r="AD28" t="e">
        <f ca="1">Table1[[#This Row],[Net Gain]]/Table1[[#This Row],[Ask Rate]]</f>
        <v>#VALUE!</v>
      </c>
      <c r="AE28" s="3" t="e">
        <f ca="1">IF(Table1[[#This Row],[Ask Qty]]=0,0,Table1[[#This Row],[Gross Yield]]*365/Table1[[#This Row],[Days Left]])</f>
        <v>#VALUE!</v>
      </c>
      <c r="AF28" s="9" t="e">
        <f ca="1">+Table1[[#This Row],[Net Gain]]*Table1[[#This Row],[Ask Qty]]</f>
        <v>#VALUE!</v>
      </c>
      <c r="AG28" t="e">
        <f ca="1">IF(Table1[[#This Row],[YTM]]&gt;0.12,IF(Table1[[#This Row],[Gross Profit]]&gt;10000,"Invest","Review"),"Low YTM")</f>
        <v>#VALUE!</v>
      </c>
    </row>
    <row r="29" spans="1:33" hidden="1" x14ac:dyDescent="0.3">
      <c r="A29" t="e">
        <f>RTD("nest.scriprtd",,"bse_cm|1025MHFL24","Symbol")</f>
        <v>#N/A</v>
      </c>
      <c r="B29" t="e">
        <f>RTD("nest.scriprtd",,"bse_cm|1025MHFL24","Trading Symbol")</f>
        <v>#N/A</v>
      </c>
      <c r="C29" t="e">
        <f>RTD("nest.scriprtd",,"bse_cm|1025MHFL24","Exchange")</f>
        <v>#N/A</v>
      </c>
      <c r="D29" t="e">
        <f>RTD("nest.scriprtd",,"bse_cm|1025MHFL24","Bid Qty")</f>
        <v>#N/A</v>
      </c>
      <c r="E29" t="e">
        <f>RTD("nest.scriprtd",,"bse_cm|1025MHFL24","Bid Rate")</f>
        <v>#N/A</v>
      </c>
      <c r="F29" t="e">
        <f>RTD("nest.scriprtd",,"bse_cm|1025MHFL24","Ask Rate")</f>
        <v>#N/A</v>
      </c>
      <c r="G29" t="e">
        <f>RTD("nest.scriprtd",,"bse_cm|1025MHFL24","Ask Qty")</f>
        <v>#N/A</v>
      </c>
      <c r="H29" t="e">
        <f>RTD("nest.scriprtd",,"bse_cm|1025MHFL24","LTP")</f>
        <v>#N/A</v>
      </c>
      <c r="I29" t="e">
        <f>RTD("nest.scriprtd",,"bse_cm|1025MHFL24","LTT")</f>
        <v>#N/A</v>
      </c>
      <c r="J29" t="e">
        <f>RTD("nest.scriprtd",,"bse_cm|1025MHFL24","% Change")</f>
        <v>#N/A</v>
      </c>
      <c r="K29" t="e">
        <f>RTD("nest.scriprtd",,"bse_cm|1025MHFL24","ATP")</f>
        <v>#N/A</v>
      </c>
      <c r="L29" t="e">
        <f>RTD("nest.scriprtd",,"bse_cm|1025MHFL24","Volume Traded Today")</f>
        <v>#N/A</v>
      </c>
      <c r="M29" t="e">
        <f>RTD("nest.scriprtd",,"bse_cm|1025MHFL24","Open")</f>
        <v>#N/A</v>
      </c>
      <c r="N29" t="e">
        <f>RTD("nest.scriprtd",,"bse_cm|1025MHFL24","High")</f>
        <v>#N/A</v>
      </c>
      <c r="O29" t="e">
        <f>RTD("nest.scriprtd",,"bse_cm|1025MHFL24","Low ")</f>
        <v>#N/A</v>
      </c>
      <c r="P29" t="e">
        <f>RTD("nest.scriprtd",,"bse_cm|1025MHFL24","Prev Close")</f>
        <v>#N/A</v>
      </c>
      <c r="Q29" t="e">
        <f>RTD("nest.scriprtd",,"bse_cm|1025MHFL24","Face Value")</f>
        <v>#N/A</v>
      </c>
      <c r="R29" t="e">
        <f>RTD("nest.scriprtd",,"bse_cm|1025MHFL24","Isin code")</f>
        <v>#N/A</v>
      </c>
      <c r="S29" s="9" t="e">
        <f>Table1[[#This Row],[Ask Rate]]*Table1[[#This Row],[Ask Qty]]</f>
        <v>#N/A</v>
      </c>
      <c r="T29" t="e">
        <f>VLOOKUP(Table1[[#This Row],[Isin code]],Table2[#All],7,FALSE)</f>
        <v>#N/A</v>
      </c>
      <c r="U29" s="17" t="e">
        <f>VLOOKUP(Table1[[#This Row],[Isin code]],Table2[#All],8,FALSE)</f>
        <v>#N/A</v>
      </c>
      <c r="V29" s="10" t="e">
        <f ca="1">Table1[[#This Row],[Maturity]]-TODAY()</f>
        <v>#N/A</v>
      </c>
      <c r="W29" t="e">
        <f>VLOOKUP(Table1[[#This Row],[Isin code]],Table2[#All],10,FALSE)</f>
        <v>#N/A</v>
      </c>
      <c r="X29" t="e">
        <f ca="1">_xlfn.DAYS(Table1[[#This Row],[Maturity]],TODAY())-15</f>
        <v>#N/A</v>
      </c>
      <c r="Y29" t="e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#N/A</v>
      </c>
      <c r="Z29" t="e">
        <f>IF(Table1[[#This Row],[Ask Rate]]=0,0,Table1[[#This Row],[Face Value]]-Table1[[#This Row],[Ask Rate]])</f>
        <v>#N/A</v>
      </c>
      <c r="AA29" t="e">
        <f>IF(Table1[[#This Row],[Freq]]="Yearly",Table1[[#This Row],[Coupon_Rate]]/100,IF(Table1[[#This Row],[Freq]]="Monthly",Table1[[#This Row],[Coupon_Rate]]/1200,IF(Table1[[#This Row],[Freq]]="Quarterly",Table1[[#This Row],[Coupon_Rate]]/400,0)))</f>
        <v>#N/A</v>
      </c>
      <c r="AB29" t="e">
        <f>Table1[[#This Row],[Face Value]]*Table1[[#This Row],[Rate]]*Table1[[#This Row],[Time]]</f>
        <v>#N/A</v>
      </c>
      <c r="AC29" t="e">
        <f>Table1[[#This Row],[SI]]+Table1[[#This Row],[Disc/Prem]]</f>
        <v>#N/A</v>
      </c>
      <c r="AD29" t="e">
        <f>Table1[[#This Row],[Net Gain]]/Table1[[#This Row],[Ask Rate]]</f>
        <v>#N/A</v>
      </c>
      <c r="AE29" s="3" t="e">
        <f>IF(Table1[[#This Row],[Ask Qty]]=0,0,Table1[[#This Row],[Gross Yield]]*365/Table1[[#This Row],[Days Left]])</f>
        <v>#N/A</v>
      </c>
      <c r="AF29" s="9" t="e">
        <f>+Table1[[#This Row],[Net Gain]]*Table1[[#This Row],[Ask Qty]]</f>
        <v>#N/A</v>
      </c>
      <c r="AG29" t="e">
        <f>IF(Table1[[#This Row],[YTM]]&gt;0.12,IF(Table1[[#This Row],[Gross Profit]]&gt;10000,"Invest","Review"),"Low YTM")</f>
        <v>#N/A</v>
      </c>
    </row>
    <row r="30" spans="1:33" hidden="1" x14ac:dyDescent="0.3">
      <c r="A30" t="e">
        <f>RTD("nest.scriprtd",,"bse_cm|SFLZC24","Symbol")</f>
        <v>#N/A</v>
      </c>
      <c r="B30" t="e">
        <f>RTD("nest.scriprtd",,"bse_cm|SFLZC24","Trading Symbol")</f>
        <v>#N/A</v>
      </c>
      <c r="C30" t="e">
        <f>RTD("nest.scriprtd",,"bse_cm|SFLZC24","Exchange")</f>
        <v>#N/A</v>
      </c>
      <c r="D30" t="e">
        <f>RTD("nest.scriprtd",,"bse_cm|SFLZC24","Bid Qty")</f>
        <v>#N/A</v>
      </c>
      <c r="E30" t="e">
        <f>RTD("nest.scriprtd",,"bse_cm|SFLZC24","Bid Rate")</f>
        <v>#N/A</v>
      </c>
      <c r="F30" t="e">
        <f>RTD("nest.scriprtd",,"bse_cm|SFLZC24","Ask Rate")</f>
        <v>#N/A</v>
      </c>
      <c r="G30" t="e">
        <f>RTD("nest.scriprtd",,"bse_cm|SFLZC24","Ask Qty")</f>
        <v>#N/A</v>
      </c>
      <c r="H30" t="e">
        <f>RTD("nest.scriprtd",,"bse_cm|SFLZC24","LTP")</f>
        <v>#N/A</v>
      </c>
      <c r="I30" t="e">
        <f>RTD("nest.scriprtd",,"bse_cm|SFLZC24","LTT")</f>
        <v>#N/A</v>
      </c>
      <c r="J30" t="e">
        <f>RTD("nest.scriprtd",,"bse_cm|SFLZC24","% Change")</f>
        <v>#N/A</v>
      </c>
      <c r="K30" t="e">
        <f>RTD("nest.scriprtd",,"bse_cm|SFLZC24","ATP")</f>
        <v>#N/A</v>
      </c>
      <c r="L30" t="e">
        <f>RTD("nest.scriprtd",,"bse_cm|SFLZC24","Volume Traded Today")</f>
        <v>#N/A</v>
      </c>
      <c r="M30" t="e">
        <f>RTD("nest.scriprtd",,"bse_cm|SFLZC24","Open")</f>
        <v>#N/A</v>
      </c>
      <c r="N30" t="e">
        <f>RTD("nest.scriprtd",,"bse_cm|SFLZC24","High")</f>
        <v>#N/A</v>
      </c>
      <c r="O30" t="e">
        <f>RTD("nest.scriprtd",,"bse_cm|SFLZC24","Low ")</f>
        <v>#N/A</v>
      </c>
      <c r="P30" t="e">
        <f>RTD("nest.scriprtd",,"bse_cm|SFLZC24","Prev Close")</f>
        <v>#N/A</v>
      </c>
      <c r="Q30" t="e">
        <f>RTD("nest.scriprtd",,"bse_cm|SFLZC24","Face Value")</f>
        <v>#N/A</v>
      </c>
      <c r="R30" t="e">
        <f>RTD("nest.scriprtd",,"bse_cm|SFLZC24","Isin code")</f>
        <v>#N/A</v>
      </c>
      <c r="S30" s="9" t="e">
        <f>Table1[[#This Row],[Ask Rate]]*Table1[[#This Row],[Ask Qty]]</f>
        <v>#N/A</v>
      </c>
      <c r="T30" t="e">
        <f>VLOOKUP(Table1[[#This Row],[Isin code]],Table2[#All],7,FALSE)</f>
        <v>#N/A</v>
      </c>
      <c r="U30" s="17" t="e">
        <f>VLOOKUP(Table1[[#This Row],[Isin code]],Table2[#All],8,FALSE)</f>
        <v>#N/A</v>
      </c>
      <c r="V30" s="10" t="e">
        <f ca="1">Table1[[#This Row],[Maturity]]-TODAY()</f>
        <v>#N/A</v>
      </c>
      <c r="W30" t="e">
        <f>VLOOKUP(Table1[[#This Row],[Isin code]],Table2[#All],10,FALSE)</f>
        <v>#N/A</v>
      </c>
      <c r="X30" t="e">
        <f ca="1">_xlfn.DAYS(Table1[[#This Row],[Maturity]],TODAY())-15</f>
        <v>#N/A</v>
      </c>
      <c r="Y30" t="e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#N/A</v>
      </c>
      <c r="Z30" t="e">
        <f>IF(Table1[[#This Row],[Ask Rate]]=0,0,Table1[[#This Row],[Face Value]]-Table1[[#This Row],[Ask Rate]])</f>
        <v>#N/A</v>
      </c>
      <c r="AA30" t="e">
        <f>IF(Table1[[#This Row],[Freq]]="Yearly",Table1[[#This Row],[Coupon_Rate]]/100,IF(Table1[[#This Row],[Freq]]="Monthly",Table1[[#This Row],[Coupon_Rate]]/1200,IF(Table1[[#This Row],[Freq]]="Quarterly",Table1[[#This Row],[Coupon_Rate]]/400,0)))</f>
        <v>#N/A</v>
      </c>
      <c r="AB30" t="e">
        <f>Table1[[#This Row],[Face Value]]*Table1[[#This Row],[Rate]]*Table1[[#This Row],[Time]]</f>
        <v>#N/A</v>
      </c>
      <c r="AC30" t="e">
        <f>Table1[[#This Row],[SI]]+Table1[[#This Row],[Disc/Prem]]</f>
        <v>#N/A</v>
      </c>
      <c r="AD30" t="e">
        <f>Table1[[#This Row],[Net Gain]]/Table1[[#This Row],[Ask Rate]]</f>
        <v>#N/A</v>
      </c>
      <c r="AE30" s="3" t="e">
        <f>IF(Table1[[#This Row],[Ask Qty]]=0,0,Table1[[#This Row],[Gross Yield]]*365/Table1[[#This Row],[Days Left]])</f>
        <v>#N/A</v>
      </c>
      <c r="AF30" s="9" t="e">
        <f>+Table1[[#This Row],[Net Gain]]*Table1[[#This Row],[Ask Qty]]</f>
        <v>#N/A</v>
      </c>
      <c r="AG30" t="e">
        <f>IF(Table1[[#This Row],[YTM]]&gt;0.12,IF(Table1[[#This Row],[Gross Profit]]&gt;10000,"Invest","Review"),"Low YTM")</f>
        <v>#N/A</v>
      </c>
    </row>
    <row r="31" spans="1:33" hidden="1" x14ac:dyDescent="0.3">
      <c r="A31" t="e">
        <f>RTD("nest.scriprtd",,"bse_cm|975SFL024","Symbol")</f>
        <v>#N/A</v>
      </c>
      <c r="B31" t="e">
        <f>RTD("nest.scriprtd",,"bse_cm|975SFL024","Trading Symbol")</f>
        <v>#N/A</v>
      </c>
      <c r="C31" t="e">
        <f>RTD("nest.scriprtd",,"bse_cm|975SFL024","Exchange")</f>
        <v>#N/A</v>
      </c>
      <c r="D31" t="e">
        <f>RTD("nest.scriprtd",,"bse_cm|975SFL024","Bid Qty")</f>
        <v>#N/A</v>
      </c>
      <c r="E31" t="e">
        <f>RTD("nest.scriprtd",,"bse_cm|975SFL024","Bid Rate")</f>
        <v>#N/A</v>
      </c>
      <c r="F31" t="e">
        <f>RTD("nest.scriprtd",,"bse_cm|975SFL024","Ask Rate")</f>
        <v>#N/A</v>
      </c>
      <c r="G31" t="e">
        <f>RTD("nest.scriprtd",,"bse_cm|975SFL024","Ask Qty")</f>
        <v>#N/A</v>
      </c>
      <c r="H31" t="e">
        <f>RTD("nest.scriprtd",,"bse_cm|975SFL024","LTP")</f>
        <v>#N/A</v>
      </c>
      <c r="I31" t="e">
        <f>RTD("nest.scriprtd",,"bse_cm|975SFL024","LTT")</f>
        <v>#N/A</v>
      </c>
      <c r="J31" t="e">
        <f>RTD("nest.scriprtd",,"bse_cm|975SFL024","% Change")</f>
        <v>#N/A</v>
      </c>
      <c r="K31" t="e">
        <f>RTD("nest.scriprtd",,"bse_cm|975SFL024","ATP")</f>
        <v>#N/A</v>
      </c>
      <c r="L31" t="e">
        <f>RTD("nest.scriprtd",,"bse_cm|975SFL024","Volume Traded Today")</f>
        <v>#N/A</v>
      </c>
      <c r="M31" t="e">
        <f>RTD("nest.scriprtd",,"bse_cm|975SFL024","Open")</f>
        <v>#N/A</v>
      </c>
      <c r="N31" t="e">
        <f>RTD("nest.scriprtd",,"bse_cm|975SFL024","High")</f>
        <v>#N/A</v>
      </c>
      <c r="O31" t="e">
        <f>RTD("nest.scriprtd",,"bse_cm|975SFL024","Low ")</f>
        <v>#N/A</v>
      </c>
      <c r="P31" t="e">
        <f>RTD("nest.scriprtd",,"bse_cm|975SFL024","Prev Close")</f>
        <v>#N/A</v>
      </c>
      <c r="Q31" t="e">
        <f>RTD("nest.scriprtd",,"bse_cm|975SFL024","Face Value")</f>
        <v>#N/A</v>
      </c>
      <c r="R31" t="e">
        <f>RTD("nest.scriprtd",,"bse_cm|975SFL024","Isin code")</f>
        <v>#N/A</v>
      </c>
      <c r="S31" s="9" t="e">
        <f>Table1[[#This Row],[Ask Rate]]*Table1[[#This Row],[Ask Qty]]</f>
        <v>#N/A</v>
      </c>
      <c r="T31" t="e">
        <f>VLOOKUP(Table1[[#This Row],[Isin code]],Table2[#All],7,FALSE)</f>
        <v>#N/A</v>
      </c>
      <c r="U31" s="17" t="e">
        <f>VLOOKUP(Table1[[#This Row],[Isin code]],Table2[#All],8,FALSE)</f>
        <v>#N/A</v>
      </c>
      <c r="V31" s="10" t="e">
        <f ca="1">Table1[[#This Row],[Maturity]]-TODAY()</f>
        <v>#N/A</v>
      </c>
      <c r="W31" t="e">
        <f>VLOOKUP(Table1[[#This Row],[Isin code]],Table2[#All],10,FALSE)</f>
        <v>#N/A</v>
      </c>
      <c r="X31" t="e">
        <f ca="1">_xlfn.DAYS(Table1[[#This Row],[Maturity]],TODAY())-15</f>
        <v>#N/A</v>
      </c>
      <c r="Y31" t="e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#N/A</v>
      </c>
      <c r="Z31" t="e">
        <f>IF(Table1[[#This Row],[Ask Rate]]=0,0,Table1[[#This Row],[Face Value]]-Table1[[#This Row],[Ask Rate]])</f>
        <v>#N/A</v>
      </c>
      <c r="AA31" t="e">
        <f>IF(Table1[[#This Row],[Freq]]="Yearly",Table1[[#This Row],[Coupon_Rate]]/100,IF(Table1[[#This Row],[Freq]]="Monthly",Table1[[#This Row],[Coupon_Rate]]/1200,IF(Table1[[#This Row],[Freq]]="Quarterly",Table1[[#This Row],[Coupon_Rate]]/400,0)))</f>
        <v>#N/A</v>
      </c>
      <c r="AB31" t="e">
        <f>Table1[[#This Row],[Face Value]]*Table1[[#This Row],[Rate]]*Table1[[#This Row],[Time]]</f>
        <v>#N/A</v>
      </c>
      <c r="AC31" t="e">
        <f>Table1[[#This Row],[SI]]+Table1[[#This Row],[Disc/Prem]]</f>
        <v>#N/A</v>
      </c>
      <c r="AD31" t="e">
        <f>Table1[[#This Row],[Net Gain]]/Table1[[#This Row],[Ask Rate]]</f>
        <v>#N/A</v>
      </c>
      <c r="AE31" s="3" t="e">
        <f>IF(Table1[[#This Row],[Ask Qty]]=0,0,Table1[[#This Row],[Gross Yield]]*365/Table1[[#This Row],[Days Left]])</f>
        <v>#N/A</v>
      </c>
      <c r="AF31" s="9" t="e">
        <f>+Table1[[#This Row],[Net Gain]]*Table1[[#This Row],[Ask Qty]]</f>
        <v>#N/A</v>
      </c>
      <c r="AG31" t="e">
        <f>IF(Table1[[#This Row],[YTM]]&gt;0.12,IF(Table1[[#This Row],[Gross Profit]]&gt;10000,"Invest","Review"),"Low YTM")</f>
        <v>#N/A</v>
      </c>
    </row>
    <row r="32" spans="1:33" hidden="1" x14ac:dyDescent="0.3">
      <c r="A32" t="e">
        <f>RTD("nest.scriprtd",,"bse_cm|1075IML24A","Symbol")</f>
        <v>#N/A</v>
      </c>
      <c r="B32" t="e">
        <f>RTD("nest.scriprtd",,"bse_cm|1075IML24A","Trading Symbol")</f>
        <v>#N/A</v>
      </c>
      <c r="C32" t="e">
        <f>RTD("nest.scriprtd",,"bse_cm|1075IML24A","Exchange")</f>
        <v>#N/A</v>
      </c>
      <c r="D32" t="e">
        <f>RTD("nest.scriprtd",,"bse_cm|1075IML24A","Bid Qty")</f>
        <v>#N/A</v>
      </c>
      <c r="E32" t="e">
        <f>RTD("nest.scriprtd",,"bse_cm|1075IML24A","Bid Rate")</f>
        <v>#N/A</v>
      </c>
      <c r="F32" t="e">
        <f>RTD("nest.scriprtd",,"bse_cm|1075IML24A","Ask Rate")</f>
        <v>#N/A</v>
      </c>
      <c r="G32" t="e">
        <f>RTD("nest.scriprtd",,"bse_cm|1075IML24A","Ask Qty")</f>
        <v>#N/A</v>
      </c>
      <c r="H32" t="e">
        <f>RTD("nest.scriprtd",,"bse_cm|1075IML24A","LTP")</f>
        <v>#N/A</v>
      </c>
      <c r="I32" t="e">
        <f>RTD("nest.scriprtd",,"bse_cm|1075IML24A","LTT")</f>
        <v>#N/A</v>
      </c>
      <c r="J32" t="e">
        <f>RTD("nest.scriprtd",,"bse_cm|1075IML24A","% Change")</f>
        <v>#N/A</v>
      </c>
      <c r="K32" t="e">
        <f>RTD("nest.scriprtd",,"bse_cm|1075IML24A","ATP")</f>
        <v>#N/A</v>
      </c>
      <c r="L32" t="e">
        <f>RTD("nest.scriprtd",,"bse_cm|1075IML24A","Volume Traded Today")</f>
        <v>#N/A</v>
      </c>
      <c r="M32" t="e">
        <f>RTD("nest.scriprtd",,"bse_cm|1075IML24A","Open")</f>
        <v>#N/A</v>
      </c>
      <c r="N32" t="e">
        <f>RTD("nest.scriprtd",,"bse_cm|1075IML24A","High")</f>
        <v>#N/A</v>
      </c>
      <c r="O32" t="e">
        <f>RTD("nest.scriprtd",,"bse_cm|1075IML24A","Low ")</f>
        <v>#N/A</v>
      </c>
      <c r="P32" t="e">
        <f>RTD("nest.scriprtd",,"bse_cm|1075IML24A","Prev Close")</f>
        <v>#N/A</v>
      </c>
      <c r="Q32" t="e">
        <f>RTD("nest.scriprtd",,"bse_cm|1075IML24A","Face Value")</f>
        <v>#N/A</v>
      </c>
      <c r="R32" t="e">
        <f>RTD("nest.scriprtd",,"bse_cm|1075IML24A","Isin code")</f>
        <v>#N/A</v>
      </c>
      <c r="S32" s="9" t="e">
        <f>Table1[[#This Row],[Ask Rate]]*Table1[[#This Row],[Ask Qty]]</f>
        <v>#N/A</v>
      </c>
      <c r="T32" t="e">
        <f>VLOOKUP(Table1[[#This Row],[Isin code]],Table2[#All],7,FALSE)</f>
        <v>#N/A</v>
      </c>
      <c r="U32" s="17" t="e">
        <f>VLOOKUP(Table1[[#This Row],[Isin code]],Table2[#All],8,FALSE)</f>
        <v>#N/A</v>
      </c>
      <c r="V32" s="10" t="e">
        <f ca="1">Table1[[#This Row],[Maturity]]-TODAY()</f>
        <v>#N/A</v>
      </c>
      <c r="W32" t="e">
        <f>VLOOKUP(Table1[[#This Row],[Isin code]],Table2[#All],10,FALSE)</f>
        <v>#N/A</v>
      </c>
      <c r="X32" t="e">
        <f ca="1">_xlfn.DAYS(Table1[[#This Row],[Maturity]],TODAY())-15</f>
        <v>#N/A</v>
      </c>
      <c r="Y32" t="e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#N/A</v>
      </c>
      <c r="Z32" t="e">
        <f>IF(Table1[[#This Row],[Ask Rate]]=0,0,Table1[[#This Row],[Face Value]]-Table1[[#This Row],[Ask Rate]])</f>
        <v>#N/A</v>
      </c>
      <c r="AA32" t="e">
        <f>IF(Table1[[#This Row],[Freq]]="Yearly",Table1[[#This Row],[Coupon_Rate]]/100,IF(Table1[[#This Row],[Freq]]="Monthly",Table1[[#This Row],[Coupon_Rate]]/1200,IF(Table1[[#This Row],[Freq]]="Quarterly",Table1[[#This Row],[Coupon_Rate]]/400,0)))</f>
        <v>#N/A</v>
      </c>
      <c r="AB32" t="e">
        <f>Table1[[#This Row],[Face Value]]*Table1[[#This Row],[Rate]]*Table1[[#This Row],[Time]]</f>
        <v>#N/A</v>
      </c>
      <c r="AC32" t="e">
        <f>Table1[[#This Row],[SI]]+Table1[[#This Row],[Disc/Prem]]</f>
        <v>#N/A</v>
      </c>
      <c r="AD32" t="e">
        <f>Table1[[#This Row],[Net Gain]]/Table1[[#This Row],[Ask Rate]]</f>
        <v>#N/A</v>
      </c>
      <c r="AE32" s="3" t="e">
        <f>IF(Table1[[#This Row],[Ask Qty]]=0,0,Table1[[#This Row],[Gross Yield]]*365/Table1[[#This Row],[Days Left]])</f>
        <v>#N/A</v>
      </c>
      <c r="AF32" s="9" t="e">
        <f>+Table1[[#This Row],[Net Gain]]*Table1[[#This Row],[Ask Qty]]</f>
        <v>#N/A</v>
      </c>
      <c r="AG32" t="e">
        <f>IF(Table1[[#This Row],[YTM]]&gt;0.12,IF(Table1[[#This Row],[Gross Profit]]&gt;10000,"Invest","Review"),"Low YTM")</f>
        <v>#N/A</v>
      </c>
    </row>
    <row r="33" spans="1:33" hidden="1" x14ac:dyDescent="0.3">
      <c r="A33" t="e">
        <f>RTD("nest.scriprtd",,"bse_cm|1075IML24","Symbol")</f>
        <v>#N/A</v>
      </c>
      <c r="B33" t="e">
        <f>RTD("nest.scriprtd",,"bse_cm|1075IML24","Trading Symbol")</f>
        <v>#N/A</v>
      </c>
      <c r="C33" t="e">
        <f>RTD("nest.scriprtd",,"bse_cm|1075IML24","Exchange")</f>
        <v>#N/A</v>
      </c>
      <c r="D33" t="e">
        <f>RTD("nest.scriprtd",,"bse_cm|1075IML24","Bid Qty")</f>
        <v>#N/A</v>
      </c>
      <c r="E33" t="e">
        <f>RTD("nest.scriprtd",,"bse_cm|1075IML24","Bid Rate")</f>
        <v>#N/A</v>
      </c>
      <c r="F33" t="e">
        <f>RTD("nest.scriprtd",,"bse_cm|1075IML24","Ask Rate")</f>
        <v>#N/A</v>
      </c>
      <c r="G33" t="e">
        <f>RTD("nest.scriprtd",,"bse_cm|1075IML24","Ask Qty")</f>
        <v>#N/A</v>
      </c>
      <c r="H33" t="e">
        <f>RTD("nest.scriprtd",,"bse_cm|1075IML24","LTP")</f>
        <v>#N/A</v>
      </c>
      <c r="I33" t="e">
        <f>RTD("nest.scriprtd",,"bse_cm|1075IML24","LTT")</f>
        <v>#N/A</v>
      </c>
      <c r="J33" t="e">
        <f>RTD("nest.scriprtd",,"bse_cm|1075IML24","% Change")</f>
        <v>#N/A</v>
      </c>
      <c r="K33" t="e">
        <f>RTD("nest.scriprtd",,"bse_cm|1075IML24","ATP")</f>
        <v>#N/A</v>
      </c>
      <c r="L33" t="e">
        <f>RTD("nest.scriprtd",,"bse_cm|1075IML24","Volume Traded Today")</f>
        <v>#N/A</v>
      </c>
      <c r="M33" t="e">
        <f>RTD("nest.scriprtd",,"bse_cm|1075IML24","Open")</f>
        <v>#N/A</v>
      </c>
      <c r="N33" t="e">
        <f>RTD("nest.scriprtd",,"bse_cm|1075IML24","High")</f>
        <v>#N/A</v>
      </c>
      <c r="O33" t="e">
        <f>RTD("nest.scriprtd",,"bse_cm|1075IML24","Low ")</f>
        <v>#N/A</v>
      </c>
      <c r="P33" t="e">
        <f>RTD("nest.scriprtd",,"bse_cm|1075IML24","Prev Close")</f>
        <v>#N/A</v>
      </c>
      <c r="Q33" t="e">
        <f>RTD("nest.scriprtd",,"bse_cm|1075IML24","Face Value")</f>
        <v>#N/A</v>
      </c>
      <c r="R33" t="e">
        <f>RTD("nest.scriprtd",,"bse_cm|1075IML24","Isin code")</f>
        <v>#N/A</v>
      </c>
      <c r="S33" s="9" t="e">
        <f>Table1[[#This Row],[Ask Rate]]*Table1[[#This Row],[Ask Qty]]</f>
        <v>#N/A</v>
      </c>
      <c r="T33" t="e">
        <f>VLOOKUP(Table1[[#This Row],[Isin code]],Table2[#All],7,FALSE)</f>
        <v>#N/A</v>
      </c>
      <c r="U33" s="17" t="e">
        <f>VLOOKUP(Table1[[#This Row],[Isin code]],Table2[#All],8,FALSE)</f>
        <v>#N/A</v>
      </c>
      <c r="V33" s="10" t="e">
        <f ca="1">Table1[[#This Row],[Maturity]]-TODAY()</f>
        <v>#N/A</v>
      </c>
      <c r="W33" t="e">
        <f>VLOOKUP(Table1[[#This Row],[Isin code]],Table2[#All],10,FALSE)</f>
        <v>#N/A</v>
      </c>
      <c r="X33" t="e">
        <f ca="1">_xlfn.DAYS(Table1[[#This Row],[Maturity]],TODAY())-15</f>
        <v>#N/A</v>
      </c>
      <c r="Y33" t="e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#N/A</v>
      </c>
      <c r="Z33" t="e">
        <f>IF(Table1[[#This Row],[Ask Rate]]=0,0,Table1[[#This Row],[Face Value]]-Table1[[#This Row],[Ask Rate]])</f>
        <v>#N/A</v>
      </c>
      <c r="AA33" t="e">
        <f>IF(Table1[[#This Row],[Freq]]="Yearly",Table1[[#This Row],[Coupon_Rate]]/100,IF(Table1[[#This Row],[Freq]]="Monthly",Table1[[#This Row],[Coupon_Rate]]/1200,IF(Table1[[#This Row],[Freq]]="Quarterly",Table1[[#This Row],[Coupon_Rate]]/400,0)))</f>
        <v>#N/A</v>
      </c>
      <c r="AB33" t="e">
        <f>Table1[[#This Row],[Face Value]]*Table1[[#This Row],[Rate]]*Table1[[#This Row],[Time]]</f>
        <v>#N/A</v>
      </c>
      <c r="AC33" t="e">
        <f>Table1[[#This Row],[SI]]+Table1[[#This Row],[Disc/Prem]]</f>
        <v>#N/A</v>
      </c>
      <c r="AD33" t="e">
        <f>Table1[[#This Row],[Net Gain]]/Table1[[#This Row],[Ask Rate]]</f>
        <v>#N/A</v>
      </c>
      <c r="AE33" s="3" t="e">
        <f>IF(Table1[[#This Row],[Ask Qty]]=0,0,Table1[[#This Row],[Gross Yield]]*365/Table1[[#This Row],[Days Left]])</f>
        <v>#N/A</v>
      </c>
      <c r="AF33" s="9" t="e">
        <f>+Table1[[#This Row],[Net Gain]]*Table1[[#This Row],[Ask Qty]]</f>
        <v>#N/A</v>
      </c>
      <c r="AG33" t="e">
        <f>IF(Table1[[#This Row],[YTM]]&gt;0.12,IF(Table1[[#This Row],[Gross Profit]]&gt;10000,"Invest","Review"),"Low YTM")</f>
        <v>#N/A</v>
      </c>
    </row>
    <row r="34" spans="1:33" hidden="1" x14ac:dyDescent="0.3">
      <c r="A34" t="e">
        <f>RTD("nest.scriprtd",,"bse_cm|IML24","Symbol")</f>
        <v>#N/A</v>
      </c>
      <c r="B34" t="e">
        <f>RTD("nest.scriprtd",,"bse_cm|IML24","Trading Symbol")</f>
        <v>#N/A</v>
      </c>
      <c r="C34" t="e">
        <f>RTD("nest.scriprtd",,"bse_cm|IML24","Exchange")</f>
        <v>#N/A</v>
      </c>
      <c r="D34" t="e">
        <f>RTD("nest.scriprtd",,"bse_cm|IML24","Bid Qty")</f>
        <v>#N/A</v>
      </c>
      <c r="E34" t="e">
        <f>RTD("nest.scriprtd",,"bse_cm|IML24","Bid Rate")</f>
        <v>#N/A</v>
      </c>
      <c r="F34" t="e">
        <f>RTD("nest.scriprtd",,"bse_cm|IML24","Ask Rate")</f>
        <v>#N/A</v>
      </c>
      <c r="G34" t="e">
        <f>RTD("nest.scriprtd",,"bse_cm|IML24","Ask Qty")</f>
        <v>#N/A</v>
      </c>
      <c r="H34" t="e">
        <f>RTD("nest.scriprtd",,"bse_cm|IML24","LTP")</f>
        <v>#N/A</v>
      </c>
      <c r="I34" t="e">
        <f>RTD("nest.scriprtd",,"bse_cm|IML24","LTT")</f>
        <v>#N/A</v>
      </c>
      <c r="J34" t="e">
        <f>RTD("nest.scriprtd",,"bse_cm|IML24","% Change")</f>
        <v>#N/A</v>
      </c>
      <c r="K34" t="e">
        <f>RTD("nest.scriprtd",,"bse_cm|IML24","ATP")</f>
        <v>#N/A</v>
      </c>
      <c r="L34" t="e">
        <f>RTD("nest.scriprtd",,"bse_cm|IML24","Volume Traded Today")</f>
        <v>#N/A</v>
      </c>
      <c r="M34" t="e">
        <f>RTD("nest.scriprtd",,"bse_cm|IML24","Open")</f>
        <v>#N/A</v>
      </c>
      <c r="N34" t="e">
        <f>RTD("nest.scriprtd",,"bse_cm|IML24","High")</f>
        <v>#N/A</v>
      </c>
      <c r="O34" t="e">
        <f>RTD("nest.scriprtd",,"bse_cm|IML24","Low ")</f>
        <v>#N/A</v>
      </c>
      <c r="P34" t="e">
        <f>RTD("nest.scriprtd",,"bse_cm|IML24","Prev Close")</f>
        <v>#N/A</v>
      </c>
      <c r="Q34" t="e">
        <f>RTD("nest.scriprtd",,"bse_cm|IML24","Face Value")</f>
        <v>#N/A</v>
      </c>
      <c r="R34" t="e">
        <f>RTD("nest.scriprtd",,"bse_cm|IML24","Isin code")</f>
        <v>#N/A</v>
      </c>
      <c r="S34" s="9" t="e">
        <f>Table1[[#This Row],[Ask Rate]]*Table1[[#This Row],[Ask Qty]]</f>
        <v>#N/A</v>
      </c>
      <c r="T34" t="e">
        <f>VLOOKUP(Table1[[#This Row],[Isin code]],Table2[#All],7,FALSE)</f>
        <v>#N/A</v>
      </c>
      <c r="U34" s="17" t="e">
        <f>VLOOKUP(Table1[[#This Row],[Isin code]],Table2[#All],8,FALSE)</f>
        <v>#N/A</v>
      </c>
      <c r="V34" s="10" t="e">
        <f ca="1">Table1[[#This Row],[Maturity]]-TODAY()</f>
        <v>#N/A</v>
      </c>
      <c r="W34" t="e">
        <f>VLOOKUP(Table1[[#This Row],[Isin code]],Table2[#All],10,FALSE)</f>
        <v>#N/A</v>
      </c>
      <c r="X34" t="e">
        <f ca="1">_xlfn.DAYS(Table1[[#This Row],[Maturity]],TODAY())-15</f>
        <v>#N/A</v>
      </c>
      <c r="Y34" t="e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#N/A</v>
      </c>
      <c r="Z34" t="e">
        <f>IF(Table1[[#This Row],[Ask Rate]]=0,0,Table1[[#This Row],[Face Value]]-Table1[[#This Row],[Ask Rate]])</f>
        <v>#N/A</v>
      </c>
      <c r="AA34" t="e">
        <f>IF(Table1[[#This Row],[Freq]]="Yearly",Table1[[#This Row],[Coupon_Rate]]/100,IF(Table1[[#This Row],[Freq]]="Monthly",Table1[[#This Row],[Coupon_Rate]]/1200,IF(Table1[[#This Row],[Freq]]="Quarterly",Table1[[#This Row],[Coupon_Rate]]/400,0)))</f>
        <v>#N/A</v>
      </c>
      <c r="AB34" t="e">
        <f>Table1[[#This Row],[Face Value]]*Table1[[#This Row],[Rate]]*Table1[[#This Row],[Time]]</f>
        <v>#N/A</v>
      </c>
      <c r="AC34" t="e">
        <f>Table1[[#This Row],[SI]]+Table1[[#This Row],[Disc/Prem]]</f>
        <v>#N/A</v>
      </c>
      <c r="AD34" t="e">
        <f>Table1[[#This Row],[Net Gain]]/Table1[[#This Row],[Ask Rate]]</f>
        <v>#N/A</v>
      </c>
      <c r="AE34" s="3" t="e">
        <f>IF(Table1[[#This Row],[Ask Qty]]=0,0,Table1[[#This Row],[Gross Yield]]*365/Table1[[#This Row],[Days Left]])</f>
        <v>#N/A</v>
      </c>
      <c r="AF34" s="9" t="e">
        <f>+Table1[[#This Row],[Net Gain]]*Table1[[#This Row],[Ask Qty]]</f>
        <v>#N/A</v>
      </c>
      <c r="AG34" t="e">
        <f>IF(Table1[[#This Row],[YTM]]&gt;0.12,IF(Table1[[#This Row],[Gross Profit]]&gt;10000,"Invest","Review"),"Low YTM")</f>
        <v>#N/A</v>
      </c>
    </row>
    <row r="35" spans="1:33" hidden="1" x14ac:dyDescent="0.3">
      <c r="A35" t="e">
        <f>RTD("nest.scriprtd",,"bse_cm|MHFLZC24","Symbol")</f>
        <v>#N/A</v>
      </c>
      <c r="B35" t="e">
        <f>RTD("nest.scriprtd",,"bse_cm|MHFLZC24","Trading Symbol")</f>
        <v>#N/A</v>
      </c>
      <c r="C35" t="e">
        <f>RTD("nest.scriprtd",,"bse_cm|MHFLZC24","Exchange")</f>
        <v>#N/A</v>
      </c>
      <c r="D35" t="e">
        <f>RTD("nest.scriprtd",,"bse_cm|MHFLZC24","Bid Qty")</f>
        <v>#N/A</v>
      </c>
      <c r="E35" t="e">
        <f>RTD("nest.scriprtd",,"bse_cm|MHFLZC24","Bid Rate")</f>
        <v>#N/A</v>
      </c>
      <c r="F35" t="e">
        <f>RTD("nest.scriprtd",,"bse_cm|MHFLZC24","Ask Rate")</f>
        <v>#N/A</v>
      </c>
      <c r="G35" t="e">
        <f>RTD("nest.scriprtd",,"bse_cm|MHFLZC24","Ask Qty")</f>
        <v>#N/A</v>
      </c>
      <c r="H35" t="e">
        <f>RTD("nest.scriprtd",,"bse_cm|MHFLZC24","LTP")</f>
        <v>#N/A</v>
      </c>
      <c r="I35" t="e">
        <f>RTD("nest.scriprtd",,"bse_cm|MHFLZC24","LTT")</f>
        <v>#N/A</v>
      </c>
      <c r="J35" t="e">
        <f>RTD("nest.scriprtd",,"bse_cm|MHFLZC24","% Change")</f>
        <v>#N/A</v>
      </c>
      <c r="K35" t="e">
        <f>RTD("nest.scriprtd",,"bse_cm|MHFLZC24","ATP")</f>
        <v>#N/A</v>
      </c>
      <c r="L35" t="e">
        <f>RTD("nest.scriprtd",,"bse_cm|MHFLZC24","Volume Traded Today")</f>
        <v>#N/A</v>
      </c>
      <c r="M35" t="e">
        <f>RTD("nest.scriprtd",,"bse_cm|MHFLZC24","Open")</f>
        <v>#N/A</v>
      </c>
      <c r="N35" t="e">
        <f>RTD("nest.scriprtd",,"bse_cm|MHFLZC24","High")</f>
        <v>#N/A</v>
      </c>
      <c r="O35" t="e">
        <f>RTD("nest.scriprtd",,"bse_cm|MHFLZC24","Low ")</f>
        <v>#N/A</v>
      </c>
      <c r="P35" t="e">
        <f>RTD("nest.scriprtd",,"bse_cm|MHFLZC24","Prev Close")</f>
        <v>#N/A</v>
      </c>
      <c r="Q35" t="e">
        <f>RTD("nest.scriprtd",,"bse_cm|MHFLZC24","Face Value")</f>
        <v>#N/A</v>
      </c>
      <c r="R35" t="e">
        <f>RTD("nest.scriprtd",,"bse_cm|MHFLZC24","Isin code")</f>
        <v>#N/A</v>
      </c>
      <c r="S35" s="9" t="e">
        <f>Table1[[#This Row],[Ask Rate]]*Table1[[#This Row],[Ask Qty]]</f>
        <v>#N/A</v>
      </c>
      <c r="T35" t="e">
        <f>VLOOKUP(Table1[[#This Row],[Isin code]],Table2[#All],7,FALSE)</f>
        <v>#N/A</v>
      </c>
      <c r="U35" s="17" t="e">
        <f>VLOOKUP(Table1[[#This Row],[Isin code]],Table2[#All],8,FALSE)</f>
        <v>#N/A</v>
      </c>
      <c r="V35" s="10" t="e">
        <f ca="1">Table1[[#This Row],[Maturity]]-TODAY()</f>
        <v>#N/A</v>
      </c>
      <c r="W35" t="e">
        <f>VLOOKUP(Table1[[#This Row],[Isin code]],Table2[#All],10,FALSE)</f>
        <v>#N/A</v>
      </c>
      <c r="X35" t="e">
        <f ca="1">_xlfn.DAYS(Table1[[#This Row],[Maturity]],TODAY())-15</f>
        <v>#N/A</v>
      </c>
      <c r="Y35" t="e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#N/A</v>
      </c>
      <c r="Z35" t="e">
        <f>IF(Table1[[#This Row],[Ask Rate]]=0,0,Table1[[#This Row],[Face Value]]-Table1[[#This Row],[Ask Rate]])</f>
        <v>#N/A</v>
      </c>
      <c r="AA35" t="e">
        <f>IF(Table1[[#This Row],[Freq]]="Yearly",Table1[[#This Row],[Coupon_Rate]]/100,IF(Table1[[#This Row],[Freq]]="Monthly",Table1[[#This Row],[Coupon_Rate]]/1200,IF(Table1[[#This Row],[Freq]]="Quarterly",Table1[[#This Row],[Coupon_Rate]]/400,0)))</f>
        <v>#N/A</v>
      </c>
      <c r="AB35" t="e">
        <f>Table1[[#This Row],[Face Value]]*Table1[[#This Row],[Rate]]*Table1[[#This Row],[Time]]</f>
        <v>#N/A</v>
      </c>
      <c r="AC35" t="e">
        <f>Table1[[#This Row],[SI]]+Table1[[#This Row],[Disc/Prem]]</f>
        <v>#N/A</v>
      </c>
      <c r="AD35" t="e">
        <f>Table1[[#This Row],[Net Gain]]/Table1[[#This Row],[Ask Rate]]</f>
        <v>#N/A</v>
      </c>
      <c r="AE35" s="3" t="e">
        <f>IF(Table1[[#This Row],[Ask Qty]]=0,0,Table1[[#This Row],[Gross Yield]]*365/Table1[[#This Row],[Days Left]])</f>
        <v>#N/A</v>
      </c>
      <c r="AF35" s="9" t="e">
        <f>+Table1[[#This Row],[Net Gain]]*Table1[[#This Row],[Ask Qty]]</f>
        <v>#N/A</v>
      </c>
      <c r="AG35" t="e">
        <f>IF(Table1[[#This Row],[YTM]]&gt;0.12,IF(Table1[[#This Row],[Gross Profit]]&gt;10000,"Invest","Review"),"Low YTM")</f>
        <v>#N/A</v>
      </c>
    </row>
    <row r="36" spans="1:33" hidden="1" x14ac:dyDescent="0.3">
      <c r="A36" t="e">
        <f>RTD("nest.scriprtd",,"bse_cm|1065MHFL24","Symbol")</f>
        <v>#N/A</v>
      </c>
      <c r="B36" t="e">
        <f>RTD("nest.scriprtd",,"bse_cm|1065MHFL24","Trading Symbol")</f>
        <v>#N/A</v>
      </c>
      <c r="C36" t="e">
        <f>RTD("nest.scriprtd",,"bse_cm|1065MHFL24","Exchange")</f>
        <v>#N/A</v>
      </c>
      <c r="D36" t="e">
        <f>RTD("nest.scriprtd",,"bse_cm|1065MHFL24","Bid Qty")</f>
        <v>#N/A</v>
      </c>
      <c r="E36" t="e">
        <f>RTD("nest.scriprtd",,"bse_cm|1065MHFL24","Bid Rate")</f>
        <v>#N/A</v>
      </c>
      <c r="F36" t="e">
        <f>RTD("nest.scriprtd",,"bse_cm|1065MHFL24","Ask Rate")</f>
        <v>#N/A</v>
      </c>
      <c r="G36" t="e">
        <f>RTD("nest.scriprtd",,"bse_cm|1065MHFL24","Ask Qty")</f>
        <v>#N/A</v>
      </c>
      <c r="H36" t="e">
        <f>RTD("nest.scriprtd",,"bse_cm|1065MHFL24","LTP")</f>
        <v>#N/A</v>
      </c>
      <c r="I36" t="e">
        <f>RTD("nest.scriprtd",,"bse_cm|1065MHFL24","LTT")</f>
        <v>#N/A</v>
      </c>
      <c r="J36" t="e">
        <f>RTD("nest.scriprtd",,"bse_cm|1065MHFL24","% Change")</f>
        <v>#N/A</v>
      </c>
      <c r="K36" t="e">
        <f>RTD("nest.scriprtd",,"bse_cm|1065MHFL24","ATP")</f>
        <v>#N/A</v>
      </c>
      <c r="L36" t="e">
        <f>RTD("nest.scriprtd",,"bse_cm|1065MHFL24","Volume Traded Today")</f>
        <v>#N/A</v>
      </c>
      <c r="M36" t="e">
        <f>RTD("nest.scriprtd",,"bse_cm|1065MHFL24","Open")</f>
        <v>#N/A</v>
      </c>
      <c r="N36" t="e">
        <f>RTD("nest.scriprtd",,"bse_cm|1065MHFL24","High")</f>
        <v>#N/A</v>
      </c>
      <c r="O36" t="e">
        <f>RTD("nest.scriprtd",,"bse_cm|1065MHFL24","Low ")</f>
        <v>#N/A</v>
      </c>
      <c r="P36" t="e">
        <f>RTD("nest.scriprtd",,"bse_cm|1065MHFL24","Prev Close")</f>
        <v>#N/A</v>
      </c>
      <c r="Q36" t="e">
        <f>RTD("nest.scriprtd",,"bse_cm|1065MHFL24","Face Value")</f>
        <v>#N/A</v>
      </c>
      <c r="R36" t="e">
        <f>RTD("nest.scriprtd",,"bse_cm|1065MHFL24","Isin code")</f>
        <v>#N/A</v>
      </c>
      <c r="S36" s="9" t="e">
        <f>Table1[[#This Row],[Ask Rate]]*Table1[[#This Row],[Ask Qty]]</f>
        <v>#N/A</v>
      </c>
      <c r="T36" t="e">
        <f>VLOOKUP(Table1[[#This Row],[Isin code]],Table2[#All],7,FALSE)</f>
        <v>#N/A</v>
      </c>
      <c r="U36" s="17" t="e">
        <f>VLOOKUP(Table1[[#This Row],[Isin code]],Table2[#All],8,FALSE)</f>
        <v>#N/A</v>
      </c>
      <c r="V36" s="10" t="e">
        <f ca="1">Table1[[#This Row],[Maturity]]-TODAY()</f>
        <v>#N/A</v>
      </c>
      <c r="W36" t="e">
        <f>VLOOKUP(Table1[[#This Row],[Isin code]],Table2[#All],10,FALSE)</f>
        <v>#N/A</v>
      </c>
      <c r="X36" t="e">
        <f ca="1">_xlfn.DAYS(Table1[[#This Row],[Maturity]],TODAY())-15</f>
        <v>#N/A</v>
      </c>
      <c r="Y36" t="e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#N/A</v>
      </c>
      <c r="Z36" t="e">
        <f>IF(Table1[[#This Row],[Ask Rate]]=0,0,Table1[[#This Row],[Face Value]]-Table1[[#This Row],[Ask Rate]])</f>
        <v>#N/A</v>
      </c>
      <c r="AA36" t="e">
        <f>IF(Table1[[#This Row],[Freq]]="Yearly",Table1[[#This Row],[Coupon_Rate]]/100,IF(Table1[[#This Row],[Freq]]="Monthly",Table1[[#This Row],[Coupon_Rate]]/1200,IF(Table1[[#This Row],[Freq]]="Quarterly",Table1[[#This Row],[Coupon_Rate]]/400,0)))</f>
        <v>#N/A</v>
      </c>
      <c r="AB36" t="e">
        <f>Table1[[#This Row],[Face Value]]*Table1[[#This Row],[Rate]]*Table1[[#This Row],[Time]]</f>
        <v>#N/A</v>
      </c>
      <c r="AC36" t="e">
        <f>Table1[[#This Row],[SI]]+Table1[[#This Row],[Disc/Prem]]</f>
        <v>#N/A</v>
      </c>
      <c r="AD36" t="e">
        <f>Table1[[#This Row],[Net Gain]]/Table1[[#This Row],[Ask Rate]]</f>
        <v>#N/A</v>
      </c>
      <c r="AE36" s="3" t="e">
        <f>IF(Table1[[#This Row],[Ask Qty]]=0,0,Table1[[#This Row],[Gross Yield]]*365/Table1[[#This Row],[Days Left]])</f>
        <v>#N/A</v>
      </c>
      <c r="AF36" s="9" t="e">
        <f>+Table1[[#This Row],[Net Gain]]*Table1[[#This Row],[Ask Qty]]</f>
        <v>#N/A</v>
      </c>
      <c r="AG36" t="e">
        <f>IF(Table1[[#This Row],[YTM]]&gt;0.12,IF(Table1[[#This Row],[Gross Profit]]&gt;10000,"Invest","Review"),"Low YTM")</f>
        <v>#N/A</v>
      </c>
    </row>
    <row r="37" spans="1:33" hidden="1" x14ac:dyDescent="0.3">
      <c r="A37" t="str">
        <f>RTD("nest.scriprtd",,"bse_cm|95CCIL25","Symbol")</f>
        <v>95CCIL25</v>
      </c>
      <c r="B37" t="str">
        <f>RTD("nest.scriprtd",,"bse_cm|95CCIL25","Trading Symbol")</f>
        <v>95CCIL25</v>
      </c>
      <c r="C37" t="str">
        <f>RTD("nest.scriprtd",,"bse_cm|95CCIL25","Exchange")</f>
        <v>BSE</v>
      </c>
      <c r="D37">
        <f>RTD("nest.scriprtd",,"bse_cm|95CCIL25","Bid Qty")</f>
        <v>20</v>
      </c>
      <c r="E37">
        <f>RTD("nest.scriprtd",,"bse_cm|95CCIL25","Bid Rate")</f>
        <v>820.2</v>
      </c>
      <c r="F37">
        <f>RTD("nest.scriprtd",,"bse_cm|95CCIL25","Ask Rate")</f>
        <v>978</v>
      </c>
      <c r="G37">
        <f>RTD("nest.scriprtd",,"bse_cm|95CCIL25","Ask Qty")</f>
        <v>10</v>
      </c>
      <c r="H37">
        <f>RTD("nest.scriprtd",,"bse_cm|95CCIL25","LTP")</f>
        <v>0</v>
      </c>
      <c r="I37" t="str">
        <f>RTD("nest.scriprtd",,"bse_cm|95CCIL25","LTT")</f>
        <v>00:00:00</v>
      </c>
      <c r="J37">
        <f>RTD("nest.scriprtd",,"bse_cm|95CCIL25","% Change")</f>
        <v>-100</v>
      </c>
      <c r="K37">
        <f>RTD("nest.scriprtd",,"bse_cm|95CCIL25","ATP")</f>
        <v>0</v>
      </c>
      <c r="L37">
        <f>RTD("nest.scriprtd",,"bse_cm|95CCIL25","Volume Traded Today")</f>
        <v>0</v>
      </c>
      <c r="M37">
        <f>RTD("nest.scriprtd",,"bse_cm|95CCIL25","Open")</f>
        <v>0</v>
      </c>
      <c r="N37">
        <f>RTD("nest.scriprtd",,"bse_cm|95CCIL25","High")</f>
        <v>978</v>
      </c>
      <c r="O37">
        <f>RTD("nest.scriprtd",,"bse_cm|95CCIL25","Low ")</f>
        <v>978</v>
      </c>
      <c r="P37">
        <f>RTD("nest.scriprtd",,"bse_cm|95CCIL25","Prev Close")</f>
        <v>978</v>
      </c>
      <c r="Q37">
        <f>RTD("nest.scriprtd",,"bse_cm|95CCIL25","Face Value")</f>
        <v>1000</v>
      </c>
      <c r="R37" t="str">
        <f>RTD("nest.scriprtd",,"bse_cm|95CCIL25","Isin code")</f>
        <v>INE051307AX2</v>
      </c>
      <c r="S37" s="9">
        <f>Table1[[#This Row],[Ask Rate]]*Table1[[#This Row],[Ask Qty]]</f>
        <v>9780</v>
      </c>
      <c r="T37">
        <f>VLOOKUP(Table1[[#This Row],[Isin code]],Table2[#All],7,FALSE)</f>
        <v>9.5</v>
      </c>
      <c r="U37" s="17" t="str">
        <f>VLOOKUP(Table1[[#This Row],[Isin code]],Table2[#All],8,FALSE)</f>
        <v>11-Mar-2025</v>
      </c>
      <c r="V37" s="10">
        <f ca="1">Table1[[#This Row],[Maturity]]-TODAY()</f>
        <v>146</v>
      </c>
      <c r="W37" t="str">
        <f>VLOOKUP(Table1[[#This Row],[Isin code]],Table2[#All],10,FALSE)</f>
        <v>Monthly</v>
      </c>
      <c r="X37">
        <f ca="1">_xlfn.DAYS(Table1[[#This Row],[Maturity]],TODAY())-15</f>
        <v>131</v>
      </c>
      <c r="Y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7">
        <f>IF(Table1[[#This Row],[Ask Rate]]=0,0,Table1[[#This Row],[Face Value]]-Table1[[#This Row],[Ask Rate]])</f>
        <v>22</v>
      </c>
      <c r="AA37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37">
        <f ca="1">Table1[[#This Row],[Face Value]]*Table1[[#This Row],[Rate]]*Table1[[#This Row],[Time]]</f>
        <v>39.583333333333336</v>
      </c>
      <c r="AC37">
        <f ca="1">Table1[[#This Row],[SI]]+Table1[[#This Row],[Disc/Prem]]</f>
        <v>61.583333333333336</v>
      </c>
      <c r="AD37" s="3">
        <f ca="1">Table1[[#This Row],[Net Gain]]/Table1[[#This Row],[Ask Rate]]</f>
        <v>6.2968643490115883E-2</v>
      </c>
      <c r="AE37" s="3">
        <f ca="1">IF(Table1[[#This Row],[Ask Qty]]=0,0,Table1[[#This Row],[Gross Yield]]*365/Table1[[#This Row],[Days Left]])</f>
        <v>0.15742160872528971</v>
      </c>
      <c r="AF37" s="9">
        <f ca="1">+Table1[[#This Row],[Net Gain]]*Table1[[#This Row],[Ask Qty]]</f>
        <v>615.83333333333337</v>
      </c>
      <c r="AG37" t="str">
        <f ca="1">IF(Table1[[#This Row],[YTM]]&gt;0.12,IF(Table1[[#This Row],[Gross Profit]]&gt;10000,"Invest","Review"),"Low YTM")</f>
        <v>Review</v>
      </c>
    </row>
    <row r="38" spans="1:33" hidden="1" x14ac:dyDescent="0.3">
      <c r="A38" t="str">
        <f>RTD("nest.scriprtd",,"bse_cm|104ECL24","Symbol")</f>
        <v>104ECL24</v>
      </c>
      <c r="B38" t="str">
        <f>RTD("nest.scriprtd",,"bse_cm|104ECL24","Trading Symbol")</f>
        <v>104ECL24</v>
      </c>
      <c r="C38" t="str">
        <f>RTD("nest.scriprtd",,"bse_cm|104ECL24","Exchange")</f>
        <v>BSE</v>
      </c>
      <c r="D38">
        <f>RTD("nest.scriprtd",,"bse_cm|104ECL24","Bid Qty")</f>
        <v>100</v>
      </c>
      <c r="E38">
        <f>RTD("nest.scriprtd",,"bse_cm|104ECL24","Bid Rate")</f>
        <v>1083.5</v>
      </c>
      <c r="F38">
        <f>RTD("nest.scriprtd",,"bse_cm|104ECL24","Ask Rate")</f>
        <v>1084</v>
      </c>
      <c r="G38">
        <f>RTD("nest.scriprtd",,"bse_cm|104ECL24","Ask Qty")</f>
        <v>245</v>
      </c>
      <c r="H38">
        <f>RTD("nest.scriprtd",,"bse_cm|104ECL24","LTP")</f>
        <v>1084</v>
      </c>
      <c r="I38" t="str">
        <f>RTD("nest.scriprtd",,"bse_cm|104ECL24","LTT")</f>
        <v>15:11:09</v>
      </c>
      <c r="J38">
        <f>RTD("nest.scriprtd",,"bse_cm|104ECL24","% Change")</f>
        <v>0.63</v>
      </c>
      <c r="K38">
        <f>RTD("nest.scriprtd",,"bse_cm|104ECL24","ATP")</f>
        <v>1081.77</v>
      </c>
      <c r="L38">
        <f>RTD("nest.scriprtd",,"bse_cm|104ECL24","Volume Traded Today")</f>
        <v>175</v>
      </c>
      <c r="M38">
        <f>RTD("nest.scriprtd",,"bse_cm|104ECL24","Open")</f>
        <v>1084.2</v>
      </c>
      <c r="N38">
        <f>RTD("nest.scriprtd",,"bse_cm|104ECL24","High")</f>
        <v>1084.2</v>
      </c>
      <c r="O38">
        <f>RTD("nest.scriprtd",,"bse_cm|104ECL24","Low ")</f>
        <v>1080</v>
      </c>
      <c r="P38">
        <f>RTD("nest.scriprtd",,"bse_cm|104ECL24","Prev Close")</f>
        <v>1077.2</v>
      </c>
      <c r="Q38">
        <f>RTD("nest.scriprtd",,"bse_cm|104ECL24","Face Value")</f>
        <v>1000</v>
      </c>
      <c r="R38" t="str">
        <f>RTD("nest.scriprtd",,"bse_cm|104ECL24","Isin code")</f>
        <v>INE804IA7220</v>
      </c>
      <c r="S38" s="9">
        <f>Table1[[#This Row],[Ask Rate]]*Table1[[#This Row],[Ask Qty]]</f>
        <v>265580</v>
      </c>
      <c r="T38">
        <f>VLOOKUP(Table1[[#This Row],[Isin code]],Table2[#All],7,FALSE)</f>
        <v>10.4</v>
      </c>
      <c r="U38" s="17" t="str">
        <f>VLOOKUP(Table1[[#This Row],[Isin code]],Table2[#All],8,FALSE)</f>
        <v>28-Nov-2024</v>
      </c>
      <c r="V38" s="10">
        <f ca="1">Table1[[#This Row],[Maturity]]-TODAY()</f>
        <v>43</v>
      </c>
      <c r="W38" t="str">
        <f>VLOOKUP(Table1[[#This Row],[Isin code]],Table2[#All],10,FALSE)</f>
        <v>Yearly</v>
      </c>
      <c r="X38">
        <f ca="1">_xlfn.DAYS(Table1[[#This Row],[Maturity]],TODAY())-15</f>
        <v>28</v>
      </c>
      <c r="Y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38">
        <f>IF(Table1[[#This Row],[Ask Rate]]=0,0,Table1[[#This Row],[Face Value]]-Table1[[#This Row],[Ask Rate]])</f>
        <v>-84</v>
      </c>
      <c r="AA38">
        <f>IF(Table1[[#This Row],[Freq]]="Yearly",Table1[[#This Row],[Coupon_Rate]]/100,IF(Table1[[#This Row],[Freq]]="Monthly",Table1[[#This Row],[Coupon_Rate]]/1200,IF(Table1[[#This Row],[Freq]]="Quarterly",Table1[[#This Row],[Coupon_Rate]]/400,0)))</f>
        <v>0.10400000000000001</v>
      </c>
      <c r="AB38">
        <f ca="1">Table1[[#This Row],[Face Value]]*Table1[[#This Row],[Rate]]*Table1[[#This Row],[Time]]</f>
        <v>104.00000000000001</v>
      </c>
      <c r="AC38">
        <f ca="1">Table1[[#This Row],[SI]]+Table1[[#This Row],[Disc/Prem]]</f>
        <v>20.000000000000014</v>
      </c>
      <c r="AD38" s="3">
        <f ca="1">Table1[[#This Row],[Net Gain]]/Table1[[#This Row],[Ask Rate]]</f>
        <v>1.8450184501845032E-2</v>
      </c>
      <c r="AE38" s="3">
        <f ca="1">IF(Table1[[#This Row],[Ask Qty]]=0,0,Table1[[#This Row],[Gross Yield]]*365/Table1[[#This Row],[Days Left]])</f>
        <v>0.15661203123659156</v>
      </c>
      <c r="AF38" s="9">
        <f ca="1">+Table1[[#This Row],[Net Gain]]*Table1[[#This Row],[Ask Qty]]</f>
        <v>4900.0000000000036</v>
      </c>
      <c r="AG38" t="str">
        <f ca="1">IF(Table1[[#This Row],[YTM]]&gt;0.12,IF(Table1[[#This Row],[Gross Profit]]&gt;10000,"Invest","Review"),"Low YTM")</f>
        <v>Review</v>
      </c>
    </row>
    <row r="39" spans="1:33" hidden="1" x14ac:dyDescent="0.3">
      <c r="A39" t="str">
        <f>RTD("nest.scriprtd",,"nse_cm|99IFCI24-NH","Symbol")</f>
        <v>99IFCI24</v>
      </c>
      <c r="B39" t="str">
        <f>RTD("nest.scriprtd",,"nse_cm|99IFCI24-NH","Trading Symbol")</f>
        <v>99IFCI24-NH</v>
      </c>
      <c r="C39" t="str">
        <f>RTD("nest.scriprtd",,"nse_cm|99IFCI24-NH","Exchange")</f>
        <v>NSE</v>
      </c>
      <c r="D39">
        <f>RTD("nest.scriprtd",,"nse_cm|99IFCI24-NH","Bid Qty")</f>
        <v>25</v>
      </c>
      <c r="E39">
        <f>RTD("nest.scriprtd",,"nse_cm|99IFCI24-NH","Bid Rate")</f>
        <v>1076</v>
      </c>
      <c r="F39">
        <f>RTD("nest.scriprtd",,"nse_cm|99IFCI24-NH","Ask Rate")</f>
        <v>1078</v>
      </c>
      <c r="G39">
        <f>RTD("nest.scriprtd",,"nse_cm|99IFCI24-NH","Ask Qty")</f>
        <v>5</v>
      </c>
      <c r="H39">
        <f>RTD("nest.scriprtd",,"nse_cm|99IFCI24-NH","LTP")</f>
        <v>1077.1099999999999</v>
      </c>
      <c r="I39" t="str">
        <f>RTD("nest.scriprtd",,"nse_cm|99IFCI24-NH","LTT")</f>
        <v/>
      </c>
      <c r="J39">
        <f>RTD("nest.scriprtd",,"nse_cm|99IFCI24-NH","% Change")</f>
        <v>-0.08</v>
      </c>
      <c r="K39">
        <f>RTD("nest.scriprtd",,"nse_cm|99IFCI24-NH","ATP")</f>
        <v>0</v>
      </c>
      <c r="L39">
        <f>RTD("nest.scriprtd",,"nse_cm|99IFCI24-NH","Volume Traded Today")</f>
        <v>0</v>
      </c>
      <c r="M39">
        <f>RTD("nest.scriprtd",,"nse_cm|99IFCI24-NH","Open")</f>
        <v>0</v>
      </c>
      <c r="N39">
        <f>RTD("nest.scriprtd",,"nse_cm|99IFCI24-NH","High")</f>
        <v>1077.1099999999999</v>
      </c>
      <c r="O39">
        <f>RTD("nest.scriprtd",,"nse_cm|99IFCI24-NH","Low ")</f>
        <v>1077.1099999999999</v>
      </c>
      <c r="P39">
        <f>RTD("nest.scriprtd",,"nse_cm|99IFCI24-NH","Prev Close")</f>
        <v>1078</v>
      </c>
      <c r="Q39">
        <f>RTD("nest.scriprtd",,"nse_cm|99IFCI24-NH","Face Value")</f>
        <v>1000</v>
      </c>
      <c r="R39" t="str">
        <f>RTD("nest.scriprtd",,"nse_cm|99IFCI24-NH","Isin code")</f>
        <v>INE039A07801</v>
      </c>
      <c r="S39" s="9">
        <f>Table1[[#This Row],[Ask Rate]]*Table1[[#This Row],[Ask Qty]]</f>
        <v>5390</v>
      </c>
      <c r="T39">
        <f>VLOOKUP(Table1[[#This Row],[Isin code]],Table2[#All],7,FALSE)</f>
        <v>9.9</v>
      </c>
      <c r="U39" s="17" t="str">
        <f>VLOOKUP(Table1[[#This Row],[Isin code]],Table2[#All],8,FALSE)</f>
        <v>01-Dec-2024</v>
      </c>
      <c r="V39" s="10">
        <f ca="1">Table1[[#This Row],[Maturity]]-TODAY()</f>
        <v>46</v>
      </c>
      <c r="W39" t="str">
        <f>VLOOKUP(Table1[[#This Row],[Isin code]],Table2[#All],10,FALSE)</f>
        <v>Yearly</v>
      </c>
      <c r="X39">
        <f ca="1">_xlfn.DAYS(Table1[[#This Row],[Maturity]],TODAY())-15</f>
        <v>31</v>
      </c>
      <c r="Y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39">
        <f>IF(Table1[[#This Row],[Ask Rate]]=0,0,Table1[[#This Row],[Face Value]]-Table1[[#This Row],[Ask Rate]])</f>
        <v>-78</v>
      </c>
      <c r="AA39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39">
        <f ca="1">Table1[[#This Row],[Face Value]]*Table1[[#This Row],[Rate]]*Table1[[#This Row],[Time]]</f>
        <v>99</v>
      </c>
      <c r="AC39">
        <f ca="1">Table1[[#This Row],[SI]]+Table1[[#This Row],[Disc/Prem]]</f>
        <v>21</v>
      </c>
      <c r="AD39" s="3">
        <f ca="1">Table1[[#This Row],[Net Gain]]/Table1[[#This Row],[Ask Rate]]</f>
        <v>1.948051948051948E-2</v>
      </c>
      <c r="AE39" s="3">
        <f ca="1">IF(Table1[[#This Row],[Ask Qty]]=0,0,Table1[[#This Row],[Gross Yield]]*365/Table1[[#This Row],[Days Left]])</f>
        <v>0.15457368718238285</v>
      </c>
      <c r="AF39" s="9">
        <f ca="1">+Table1[[#This Row],[Net Gain]]*Table1[[#This Row],[Ask Qty]]</f>
        <v>105</v>
      </c>
      <c r="AG39" t="str">
        <f ca="1">IF(Table1[[#This Row],[YTM]]&gt;0.12,IF(Table1[[#This Row],[Gross Profit]]&gt;10000,"Invest","Review"),"Low YTM")</f>
        <v>Review</v>
      </c>
    </row>
    <row r="40" spans="1:33" x14ac:dyDescent="0.3">
      <c r="A40" t="str">
        <f>RTD("nest.scriprtd",,"bse_cm|95KAFL25","Symbol")</f>
        <v>95KAFL25</v>
      </c>
      <c r="B40" t="str">
        <f>RTD("nest.scriprtd",,"bse_cm|95KAFL25","Trading Symbol")</f>
        <v>95KAFL25</v>
      </c>
      <c r="C40" t="str">
        <f>RTD("nest.scriprtd",,"bse_cm|95KAFL25","Exchange")</f>
        <v>BSE</v>
      </c>
      <c r="D40">
        <f>RTD("nest.scriprtd",,"bse_cm|95KAFL25","Bid Qty")</f>
        <v>10</v>
      </c>
      <c r="E40">
        <f>RTD("nest.scriprtd",,"bse_cm|95KAFL25","Bid Rate")</f>
        <v>950</v>
      </c>
      <c r="F40">
        <f>RTD("nest.scriprtd",,"bse_cm|95KAFL25","Ask Rate")</f>
        <v>962</v>
      </c>
      <c r="G40">
        <f>RTD("nest.scriprtd",,"bse_cm|95KAFL25","Ask Qty")</f>
        <v>20</v>
      </c>
      <c r="H40">
        <f>RTD("nest.scriprtd",,"bse_cm|95KAFL25","LTP")</f>
        <v>0</v>
      </c>
      <c r="I40" t="str">
        <f>RTD("nest.scriprtd",,"bse_cm|95KAFL25","LTT")</f>
        <v>00:00:00</v>
      </c>
      <c r="J40">
        <f>RTD("nest.scriprtd",,"bse_cm|95KAFL25","% Change")</f>
        <v>-100</v>
      </c>
      <c r="K40">
        <f>RTD("nest.scriprtd",,"bse_cm|95KAFL25","ATP")</f>
        <v>0</v>
      </c>
      <c r="L40">
        <f>RTD("nest.scriprtd",,"bse_cm|95KAFL25","Volume Traded Today")</f>
        <v>0</v>
      </c>
      <c r="M40">
        <f>RTD("nest.scriprtd",,"bse_cm|95KAFL25","Open")</f>
        <v>0</v>
      </c>
      <c r="N40">
        <f>RTD("nest.scriprtd",,"bse_cm|95KAFL25","High")</f>
        <v>936</v>
      </c>
      <c r="O40">
        <f>RTD("nest.scriprtd",,"bse_cm|95KAFL25","Low ")</f>
        <v>936</v>
      </c>
      <c r="P40">
        <f>RTD("nest.scriprtd",,"bse_cm|95KAFL25","Prev Close")</f>
        <v>936</v>
      </c>
      <c r="Q40">
        <f>RTD("nest.scriprtd",,"bse_cm|95KAFL25","Face Value")</f>
        <v>1000</v>
      </c>
      <c r="R40" t="str">
        <f>RTD("nest.scriprtd",,"bse_cm|95KAFL25","Isin code")</f>
        <v>INE01I507935</v>
      </c>
      <c r="S40" s="9">
        <f>Table1[[#This Row],[Ask Rate]]*Table1[[#This Row],[Ask Qty]]</f>
        <v>19240</v>
      </c>
      <c r="T40">
        <f>VLOOKUP(Table1[[#This Row],[Isin code]],Table2[#All],7,FALSE)</f>
        <v>9.5</v>
      </c>
      <c r="U40" s="17" t="str">
        <f>VLOOKUP(Table1[[#This Row],[Isin code]],Table2[#All],8,FALSE)</f>
        <v>11-Sep-2025</v>
      </c>
      <c r="V40" s="10">
        <f ca="1">Table1[[#This Row],[Maturity]]-TODAY()</f>
        <v>330</v>
      </c>
      <c r="W40" t="str">
        <f>VLOOKUP(Table1[[#This Row],[Isin code]],Table2[#All],10,FALSE)</f>
        <v>MONTHLY</v>
      </c>
      <c r="X40">
        <f ca="1">_xlfn.DAYS(Table1[[#This Row],[Maturity]],TODAY())-15</f>
        <v>315</v>
      </c>
      <c r="Y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40">
        <f>IF(Table1[[#This Row],[Ask Rate]]=0,0,Table1[[#This Row],[Face Value]]-Table1[[#This Row],[Ask Rate]])</f>
        <v>38</v>
      </c>
      <c r="AA40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40">
        <f ca="1">Table1[[#This Row],[Face Value]]*Table1[[#This Row],[Rate]]*Table1[[#This Row],[Time]]</f>
        <v>87.083333333333343</v>
      </c>
      <c r="AC40">
        <f ca="1">Table1[[#This Row],[SI]]+Table1[[#This Row],[Disc/Prem]]</f>
        <v>125.08333333333334</v>
      </c>
      <c r="AD40" s="3">
        <f ca="1">Table1[[#This Row],[Net Gain]]/Table1[[#This Row],[Ask Rate]]</f>
        <v>0.13002425502425505</v>
      </c>
      <c r="AE40" s="3">
        <f ca="1">IF(Table1[[#This Row],[Ask Qty]]=0,0,Table1[[#This Row],[Gross Yield]]*365/Table1[[#This Row],[Days Left]])</f>
        <v>0.14381470631470633</v>
      </c>
      <c r="AF40" s="9">
        <f ca="1">+Table1[[#This Row],[Net Gain]]*Table1[[#This Row],[Ask Qty]]</f>
        <v>2501.666666666667</v>
      </c>
      <c r="AG40" t="str">
        <f ca="1">IF(Table1[[#This Row],[YTM]]&gt;0.12,IF(Table1[[#This Row],[Gross Profit]]&gt;10000,"Invest","Review"),"Low YTM")</f>
        <v>Review</v>
      </c>
    </row>
    <row r="41" spans="1:33" hidden="1" x14ac:dyDescent="0.3">
      <c r="A41" t="str">
        <f>RTD("nest.scriprtd",,"bse_cm|99IFCI24","Symbol")</f>
        <v>99IFCI24</v>
      </c>
      <c r="B41" t="str">
        <f>RTD("nest.scriprtd",,"bse_cm|99IFCI24","Trading Symbol")</f>
        <v>99IFCI24</v>
      </c>
      <c r="C41" t="str">
        <f>RTD("nest.scriprtd",,"bse_cm|99IFCI24","Exchange")</f>
        <v>BSE</v>
      </c>
      <c r="D41">
        <f>RTD("nest.scriprtd",,"bse_cm|99IFCI24","Bid Qty")</f>
        <v>10</v>
      </c>
      <c r="E41">
        <f>RTD("nest.scriprtd",,"bse_cm|99IFCI24","Bid Rate")</f>
        <v>1070.5</v>
      </c>
      <c r="F41">
        <f>RTD("nest.scriprtd",,"bse_cm|99IFCI24","Ask Rate")</f>
        <v>1079</v>
      </c>
      <c r="G41">
        <f>RTD("nest.scriprtd",,"bse_cm|99IFCI24","Ask Qty")</f>
        <v>1948</v>
      </c>
      <c r="H41">
        <f>RTD("nest.scriprtd",,"bse_cm|99IFCI24","LTP")</f>
        <v>1076.2</v>
      </c>
      <c r="I41" t="str">
        <f>RTD("nest.scriprtd",,"bse_cm|99IFCI24","LTT")</f>
        <v>15:09:22</v>
      </c>
      <c r="J41">
        <f>RTD("nest.scriprtd",,"bse_cm|99IFCI24","% Change")</f>
        <v>0</v>
      </c>
      <c r="K41">
        <f>RTD("nest.scriprtd",,"bse_cm|99IFCI24","ATP")</f>
        <v>1076.21</v>
      </c>
      <c r="L41">
        <f>RTD("nest.scriprtd",,"bse_cm|99IFCI24","Volume Traded Today")</f>
        <v>200</v>
      </c>
      <c r="M41">
        <f>RTD("nest.scriprtd",,"bse_cm|99IFCI24","Open")</f>
        <v>1076.5</v>
      </c>
      <c r="N41">
        <f>RTD("nest.scriprtd",,"bse_cm|99IFCI24","High")</f>
        <v>1076.5</v>
      </c>
      <c r="O41">
        <f>RTD("nest.scriprtd",,"bse_cm|99IFCI24","Low ")</f>
        <v>1076.2</v>
      </c>
      <c r="P41">
        <f>RTD("nest.scriprtd",,"bse_cm|99IFCI24","Prev Close")</f>
        <v>1076.21</v>
      </c>
      <c r="Q41">
        <f>RTD("nest.scriprtd",,"bse_cm|99IFCI24","Face Value")</f>
        <v>1000</v>
      </c>
      <c r="R41" t="str">
        <f>RTD("nest.scriprtd",,"bse_cm|99IFCI24","Isin code")</f>
        <v>INE039A07801</v>
      </c>
      <c r="S41" s="9">
        <f>Table1[[#This Row],[Ask Rate]]*Table1[[#This Row],[Ask Qty]]</f>
        <v>2101892</v>
      </c>
      <c r="T41">
        <f>VLOOKUP(Table1[[#This Row],[Isin code]],Table2[#All],7,FALSE)</f>
        <v>9.9</v>
      </c>
      <c r="U41" s="17" t="str">
        <f>VLOOKUP(Table1[[#This Row],[Isin code]],Table2[#All],8,FALSE)</f>
        <v>01-Dec-2024</v>
      </c>
      <c r="V41" s="10">
        <f ca="1">Table1[[#This Row],[Maturity]]-TODAY()</f>
        <v>46</v>
      </c>
      <c r="W41" t="str">
        <f>VLOOKUP(Table1[[#This Row],[Isin code]],Table2[#All],10,FALSE)</f>
        <v>Yearly</v>
      </c>
      <c r="X41">
        <f ca="1">_xlfn.DAYS(Table1[[#This Row],[Maturity]],TODAY())-15</f>
        <v>31</v>
      </c>
      <c r="Y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1">
        <f>IF(Table1[[#This Row],[Ask Rate]]=0,0,Table1[[#This Row],[Face Value]]-Table1[[#This Row],[Ask Rate]])</f>
        <v>-79</v>
      </c>
      <c r="AA41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41">
        <f ca="1">Table1[[#This Row],[Face Value]]*Table1[[#This Row],[Rate]]*Table1[[#This Row],[Time]]</f>
        <v>99</v>
      </c>
      <c r="AC41">
        <f ca="1">Table1[[#This Row],[SI]]+Table1[[#This Row],[Disc/Prem]]</f>
        <v>20</v>
      </c>
      <c r="AD41" s="3">
        <f ca="1">Table1[[#This Row],[Net Gain]]/Table1[[#This Row],[Ask Rate]]</f>
        <v>1.8535681186283594E-2</v>
      </c>
      <c r="AE41" s="3">
        <f ca="1">IF(Table1[[#This Row],[Ask Qty]]=0,0,Table1[[#This Row],[Gross Yield]]*365/Table1[[#This Row],[Days Left]])</f>
        <v>0.14707660071725026</v>
      </c>
      <c r="AF41" s="9">
        <f ca="1">+Table1[[#This Row],[Net Gain]]*Table1[[#This Row],[Ask Qty]]</f>
        <v>38960</v>
      </c>
      <c r="AG41" t="str">
        <f ca="1">IF(Table1[[#This Row],[YTM]]&gt;0.12,IF(Table1[[#This Row],[Gross Profit]]&gt;10000,"Invest","Review"),"Low YTM")</f>
        <v>Invest</v>
      </c>
    </row>
    <row r="42" spans="1:33" x14ac:dyDescent="0.3">
      <c r="A42" t="str">
        <f>RTD("nest.scriprtd",,"nse_cm|10IIFL28-N4","Symbol")</f>
        <v>10IIFL28</v>
      </c>
      <c r="B42" t="str">
        <f>RTD("nest.scriprtd",,"nse_cm|10IIFL28-N4","Trading Symbol")</f>
        <v>10IIFL28-N4</v>
      </c>
      <c r="C42" t="str">
        <f>RTD("nest.scriprtd",,"nse_cm|10IIFL28-N4","Exchange")</f>
        <v>NSE</v>
      </c>
      <c r="D42">
        <f>RTD("nest.scriprtd",,"nse_cm|10IIFL28-N4","Bid Qty")</f>
        <v>10</v>
      </c>
      <c r="E42">
        <f>RTD("nest.scriprtd",,"nse_cm|10IIFL28-N4","Bid Rate")</f>
        <v>953.5</v>
      </c>
      <c r="F42">
        <f>RTD("nest.scriprtd",,"nse_cm|10IIFL28-N4","Ask Rate")</f>
        <v>954.99</v>
      </c>
      <c r="G42">
        <f>RTD("nest.scriprtd",,"nse_cm|10IIFL28-N4","Ask Qty")</f>
        <v>100</v>
      </c>
      <c r="H42">
        <f>RTD("nest.scriprtd",,"nse_cm|10IIFL28-N4","LTP")</f>
        <v>955.99</v>
      </c>
      <c r="I42" t="str">
        <f>RTD("nest.scriprtd",,"nse_cm|10IIFL28-N4","LTT")</f>
        <v>10:34:07</v>
      </c>
      <c r="J42">
        <f>RTD("nest.scriprtd",,"nse_cm|10IIFL28-N4","% Change")</f>
        <v>-0.11</v>
      </c>
      <c r="K42">
        <f>RTD("nest.scriprtd",,"nse_cm|10IIFL28-N4","ATP")</f>
        <v>956.87</v>
      </c>
      <c r="L42">
        <f>RTD("nest.scriprtd",,"nse_cm|10IIFL28-N4","Volume Traded Today")</f>
        <v>13</v>
      </c>
      <c r="M42">
        <f>RTD("nest.scriprtd",,"nse_cm|10IIFL28-N4","Open")</f>
        <v>956.9</v>
      </c>
      <c r="N42">
        <f>RTD("nest.scriprtd",,"nse_cm|10IIFL28-N4","High")</f>
        <v>956.9</v>
      </c>
      <c r="O42">
        <f>RTD("nest.scriprtd",,"nse_cm|10IIFL28-N4","Low ")</f>
        <v>955.99</v>
      </c>
      <c r="P42">
        <f>RTD("nest.scriprtd",,"nse_cm|10IIFL28-N4","Prev Close")</f>
        <v>957</v>
      </c>
      <c r="Q42">
        <f>RTD("nest.scriprtd",,"nse_cm|10IIFL28-N4","Face Value")</f>
        <v>1000</v>
      </c>
      <c r="R42" t="str">
        <f>RTD("nest.scriprtd",,"nse_cm|10IIFL28-N4","Isin code")</f>
        <v>INE477L08147</v>
      </c>
      <c r="S42" s="9">
        <f>Table1[[#This Row],[Ask Rate]]*Table1[[#This Row],[Ask Qty]]</f>
        <v>95499</v>
      </c>
      <c r="T42">
        <f>VLOOKUP(Table1[[#This Row],[Isin code]],Table2[#All],7,FALSE)</f>
        <v>10</v>
      </c>
      <c r="U42" s="17" t="str">
        <f>VLOOKUP(Table1[[#This Row],[Isin code]],Table2[#All],8,FALSE)</f>
        <v>03-Nov-2028</v>
      </c>
      <c r="V42" s="10">
        <f ca="1">Table1[[#This Row],[Maturity]]-TODAY()</f>
        <v>1479</v>
      </c>
      <c r="W42" t="str">
        <f>VLOOKUP(Table1[[#This Row],[Isin code]],Table2[#All],10,FALSE)</f>
        <v>Yearly</v>
      </c>
      <c r="X42">
        <f ca="1">_xlfn.DAYS(Table1[[#This Row],[Maturity]],TODAY())-15</f>
        <v>1464</v>
      </c>
      <c r="Y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42">
        <f>IF(Table1[[#This Row],[Ask Rate]]=0,0,Table1[[#This Row],[Face Value]]-Table1[[#This Row],[Ask Rate]])</f>
        <v>45.009999999999991</v>
      </c>
      <c r="AA42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42">
        <f ca="1">Table1[[#This Row],[Face Value]]*Table1[[#This Row],[Rate]]*Table1[[#This Row],[Time]]</f>
        <v>500</v>
      </c>
      <c r="AC42">
        <f ca="1">Table1[[#This Row],[SI]]+Table1[[#This Row],[Disc/Prem]]</f>
        <v>545.01</v>
      </c>
      <c r="AD42" s="3">
        <f ca="1">Table1[[#This Row],[Net Gain]]/Table1[[#This Row],[Ask Rate]]</f>
        <v>0.57069707536204561</v>
      </c>
      <c r="AE42" s="3">
        <f ca="1">IF(Table1[[#This Row],[Ask Qty]]=0,0,Table1[[#This Row],[Gross Yield]]*365/Table1[[#This Row],[Days Left]])</f>
        <v>0.14084140128948389</v>
      </c>
      <c r="AF42" s="9">
        <f ca="1">+Table1[[#This Row],[Net Gain]]*Table1[[#This Row],[Ask Qty]]</f>
        <v>54501</v>
      </c>
      <c r="AG42" t="str">
        <f ca="1">IF(Table1[[#This Row],[YTM]]&gt;0.12,IF(Table1[[#This Row],[Gross Profit]]&gt;10000,"Invest","Review"),"Low YTM")</f>
        <v>Invest</v>
      </c>
    </row>
    <row r="43" spans="1:33" hidden="1" x14ac:dyDescent="0.3">
      <c r="A43" t="str">
        <f>RTD("nest.scriprtd",,"nse_cm|1049DLSL25-NX","Symbol")</f>
        <v>1049DLSL25</v>
      </c>
      <c r="B43" t="str">
        <f>RTD("nest.scriprtd",,"nse_cm|1049DLSL25-NX","Trading Symbol")</f>
        <v>1049DLSL25-NX</v>
      </c>
      <c r="C43" t="str">
        <f>RTD("nest.scriprtd",,"nse_cm|1049DLSL25-NX","Exchange")</f>
        <v>NSE</v>
      </c>
      <c r="D43">
        <f>RTD("nest.scriprtd",,"nse_cm|1049DLSL25-NX","Bid Qty")</f>
        <v>20</v>
      </c>
      <c r="E43">
        <f>RTD("nest.scriprtd",,"nse_cm|1049DLSL25-NX","Bid Rate")</f>
        <v>980</v>
      </c>
      <c r="F43">
        <f>RTD("nest.scriprtd",,"nse_cm|1049DLSL25-NX","Ask Rate")</f>
        <v>995</v>
      </c>
      <c r="G43">
        <f>RTD("nest.scriprtd",,"nse_cm|1049DLSL25-NX","Ask Qty")</f>
        <v>96</v>
      </c>
      <c r="H43">
        <f>RTD("nest.scriprtd",,"nse_cm|1049DLSL25-NX","LTP")</f>
        <v>995</v>
      </c>
      <c r="I43" t="str">
        <f>RTD("nest.scriprtd",,"nse_cm|1049DLSL25-NX","LTT")</f>
        <v/>
      </c>
      <c r="J43">
        <f>RTD("nest.scriprtd",,"nse_cm|1049DLSL25-NX","% Change")</f>
        <v>0</v>
      </c>
      <c r="K43">
        <f>RTD("nest.scriprtd",,"nse_cm|1049DLSL25-NX","ATP")</f>
        <v>0</v>
      </c>
      <c r="L43">
        <f>RTD("nest.scriprtd",,"nse_cm|1049DLSL25-NX","Volume Traded Today")</f>
        <v>0</v>
      </c>
      <c r="M43">
        <f>RTD("nest.scriprtd",,"nse_cm|1049DLSL25-NX","Open")</f>
        <v>0</v>
      </c>
      <c r="N43">
        <f>RTD("nest.scriprtd",,"nse_cm|1049DLSL25-NX","High")</f>
        <v>995</v>
      </c>
      <c r="O43">
        <f>RTD("nest.scriprtd",,"nse_cm|1049DLSL25-NX","Low ")</f>
        <v>995</v>
      </c>
      <c r="P43">
        <f>RTD("nest.scriprtd",,"nse_cm|1049DLSL25-NX","Prev Close")</f>
        <v>995</v>
      </c>
      <c r="Q43">
        <f>RTD("nest.scriprtd",,"nse_cm|1049DLSL25-NX","Face Value")</f>
        <v>1000</v>
      </c>
      <c r="R43" t="str">
        <f>RTD("nest.scriprtd",,"nse_cm|1049DLSL25-NX","Isin code")</f>
        <v>INE614X07381</v>
      </c>
      <c r="S43" s="9">
        <f>Table1[[#This Row],[Ask Rate]]*Table1[[#This Row],[Ask Qty]]</f>
        <v>95520</v>
      </c>
      <c r="T43">
        <f>VLOOKUP(Table1[[#This Row],[Isin code]],Table2[#All],7,FALSE)</f>
        <v>10.49</v>
      </c>
      <c r="U43" s="17" t="str">
        <f>VLOOKUP(Table1[[#This Row],[Isin code]],Table2[#All],8,FALSE)</f>
        <v>31-Jan-2025</v>
      </c>
      <c r="V43" s="10">
        <f ca="1">Table1[[#This Row],[Maturity]]-TODAY()</f>
        <v>107</v>
      </c>
      <c r="W43" t="str">
        <f>VLOOKUP(Table1[[#This Row],[Isin code]],Table2[#All],10,FALSE)</f>
        <v>Monthly</v>
      </c>
      <c r="X43">
        <f ca="1">_xlfn.DAYS(Table1[[#This Row],[Maturity]],TODAY())-15</f>
        <v>92</v>
      </c>
      <c r="Y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3">
        <f>IF(Table1[[#This Row],[Ask Rate]]=0,0,Table1[[#This Row],[Face Value]]-Table1[[#This Row],[Ask Rate]])</f>
        <v>5</v>
      </c>
      <c r="AA43">
        <f>IF(Table1[[#This Row],[Freq]]="Yearly",Table1[[#This Row],[Coupon_Rate]]/100,IF(Table1[[#This Row],[Freq]]="Monthly",Table1[[#This Row],[Coupon_Rate]]/1200,IF(Table1[[#This Row],[Freq]]="Quarterly",Table1[[#This Row],[Coupon_Rate]]/400,0)))</f>
        <v>8.7416666666666667E-3</v>
      </c>
      <c r="AB43">
        <f ca="1">Table1[[#This Row],[Face Value]]*Table1[[#This Row],[Rate]]*Table1[[#This Row],[Time]]</f>
        <v>34.966666666666669</v>
      </c>
      <c r="AC43">
        <f ca="1">Table1[[#This Row],[SI]]+Table1[[#This Row],[Disc/Prem]]</f>
        <v>39.966666666666669</v>
      </c>
      <c r="AD43" s="3">
        <f ca="1">Table1[[#This Row],[Net Gain]]/Table1[[#This Row],[Ask Rate]]</f>
        <v>4.0167504187604695E-2</v>
      </c>
      <c r="AE43" s="3">
        <f ca="1">IF(Table1[[#This Row],[Ask Qty]]=0,0,Table1[[#This Row],[Gross Yield]]*365/Table1[[#This Row],[Days Left]])</f>
        <v>0.13701999092033379</v>
      </c>
      <c r="AF43" s="9">
        <f ca="1">+Table1[[#This Row],[Net Gain]]*Table1[[#This Row],[Ask Qty]]</f>
        <v>3836.8</v>
      </c>
      <c r="AG43" t="str">
        <f ca="1">IF(Table1[[#This Row],[YTM]]&gt;0.12,IF(Table1[[#This Row],[Gross Profit]]&gt;10000,"Invest","Review"),"Low YTM")</f>
        <v>Review</v>
      </c>
    </row>
    <row r="44" spans="1:33" x14ac:dyDescent="0.3">
      <c r="A44" t="str">
        <f>RTD("nest.scriprtd",,"nse_cm|1049DLS25A-Y5","Symbol")</f>
        <v>1049DLS25A</v>
      </c>
      <c r="B44" t="str">
        <f>RTD("nest.scriprtd",,"nse_cm|1049DLS25A-Y5","Trading Symbol")</f>
        <v>1049DLS25A-Y5</v>
      </c>
      <c r="C44" t="str">
        <f>RTD("nest.scriprtd",,"nse_cm|1049DLS25A-Y5","Exchange")</f>
        <v>NSE</v>
      </c>
      <c r="D44">
        <f>RTD("nest.scriprtd",,"nse_cm|1049DLS25A-Y5","Bid Qty")</f>
        <v>4</v>
      </c>
      <c r="E44">
        <f>RTD("nest.scriprtd",,"nse_cm|1049DLS25A-Y5","Bid Rate")</f>
        <v>981</v>
      </c>
      <c r="F44">
        <f>RTD("nest.scriprtd",,"nse_cm|1049DLS25A-Y5","Ask Rate")</f>
        <v>985</v>
      </c>
      <c r="G44">
        <f>RTD("nest.scriprtd",,"nse_cm|1049DLS25A-Y5","Ask Qty")</f>
        <v>4</v>
      </c>
      <c r="H44">
        <f>RTD("nest.scriprtd",,"nse_cm|1049DLS25A-Y5","LTP")</f>
        <v>985</v>
      </c>
      <c r="I44" t="str">
        <f>RTD("nest.scriprtd",,"nse_cm|1049DLS25A-Y5","LTT")</f>
        <v>15:15:06</v>
      </c>
      <c r="J44">
        <f>RTD("nest.scriprtd",,"nse_cm|1049DLS25A-Y5","% Change")</f>
        <v>-0.6</v>
      </c>
      <c r="K44">
        <f>RTD("nest.scriprtd",,"nse_cm|1049DLS25A-Y5","ATP")</f>
        <v>984.49</v>
      </c>
      <c r="L44">
        <f>RTD("nest.scriprtd",,"nse_cm|1049DLS25A-Y5","Volume Traded Today")</f>
        <v>111</v>
      </c>
      <c r="M44">
        <f>RTD("nest.scriprtd",,"nse_cm|1049DLS25A-Y5","Open")</f>
        <v>963.35</v>
      </c>
      <c r="N44">
        <f>RTD("nest.scriprtd",,"nse_cm|1049DLS25A-Y5","High")</f>
        <v>989</v>
      </c>
      <c r="O44">
        <f>RTD("nest.scriprtd",,"nse_cm|1049DLS25A-Y5","Low ")</f>
        <v>963.35</v>
      </c>
      <c r="P44">
        <f>RTD("nest.scriprtd",,"nse_cm|1049DLS25A-Y5","Prev Close")</f>
        <v>990.9</v>
      </c>
      <c r="Q44">
        <f>RTD("nest.scriprtd",,"nse_cm|1049DLS25A-Y5","Face Value")</f>
        <v>1000</v>
      </c>
      <c r="R44" t="str">
        <f>RTD("nest.scriprtd",,"nse_cm|1049DLS25A-Y5","Isin code")</f>
        <v>INE614X07456</v>
      </c>
      <c r="S44" s="9">
        <f>Table1[[#This Row],[Ask Rate]]*Table1[[#This Row],[Ask Qty]]</f>
        <v>3940</v>
      </c>
      <c r="T44">
        <f>VLOOKUP(Table1[[#This Row],[Isin code]],Table2[#All],7,FALSE)</f>
        <v>10.49</v>
      </c>
      <c r="U44" s="17" t="str">
        <f>VLOOKUP(Table1[[#This Row],[Isin code]],Table2[#All],8,FALSE)</f>
        <v>16-May-2025</v>
      </c>
      <c r="V44" s="10">
        <f ca="1">Table1[[#This Row],[Maturity]]-TODAY()</f>
        <v>212</v>
      </c>
      <c r="W44" t="str">
        <f>VLOOKUP(Table1[[#This Row],[Isin code]],Table2[#All],10,FALSE)</f>
        <v>Monthly</v>
      </c>
      <c r="X44">
        <f ca="1">_xlfn.DAYS(Table1[[#This Row],[Maturity]],TODAY())-15</f>
        <v>197</v>
      </c>
      <c r="Y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4">
        <f>IF(Table1[[#This Row],[Ask Rate]]=0,0,Table1[[#This Row],[Face Value]]-Table1[[#This Row],[Ask Rate]])</f>
        <v>15</v>
      </c>
      <c r="AA44">
        <f>IF(Table1[[#This Row],[Freq]]="Yearly",Table1[[#This Row],[Coupon_Rate]]/100,IF(Table1[[#This Row],[Freq]]="Monthly",Table1[[#This Row],[Coupon_Rate]]/1200,IF(Table1[[#This Row],[Freq]]="Quarterly",Table1[[#This Row],[Coupon_Rate]]/400,0)))</f>
        <v>8.7416666666666667E-3</v>
      </c>
      <c r="AB44">
        <f ca="1">Table1[[#This Row],[Face Value]]*Table1[[#This Row],[Rate]]*Table1[[#This Row],[Time]]</f>
        <v>61.19166666666667</v>
      </c>
      <c r="AC44">
        <f ca="1">Table1[[#This Row],[SI]]+Table1[[#This Row],[Disc/Prem]]</f>
        <v>76.191666666666663</v>
      </c>
      <c r="AD44" s="3">
        <f ca="1">Table1[[#This Row],[Net Gain]]/Table1[[#This Row],[Ask Rate]]</f>
        <v>7.7351945854483919E-2</v>
      </c>
      <c r="AE44" s="3">
        <f ca="1">IF(Table1[[#This Row],[Ask Qty]]=0,0,Table1[[#This Row],[Gross Yield]]*365/Table1[[#This Row],[Days Left]])</f>
        <v>0.13317669923059733</v>
      </c>
      <c r="AF44" s="9">
        <f ca="1">+Table1[[#This Row],[Net Gain]]*Table1[[#This Row],[Ask Qty]]</f>
        <v>304.76666666666665</v>
      </c>
      <c r="AG44" t="str">
        <f ca="1">IF(Table1[[#This Row],[YTM]]&gt;0.12,IF(Table1[[#This Row],[Gross Profit]]&gt;10000,"Invest","Review"),"Low YTM")</f>
        <v>Review</v>
      </c>
    </row>
    <row r="45" spans="1:33" x14ac:dyDescent="0.3">
      <c r="A45" t="str">
        <f>RTD("nest.scriprtd",,"bse_cm|975EFSL27","Symbol")</f>
        <v>975EFSL27</v>
      </c>
      <c r="B45" t="str">
        <f>RTD("nest.scriprtd",,"bse_cm|975EFSL27","Trading Symbol")</f>
        <v>975EFSL27</v>
      </c>
      <c r="C45" t="str">
        <f>RTD("nest.scriprtd",,"bse_cm|975EFSL27","Exchange")</f>
        <v>BSE</v>
      </c>
      <c r="D45">
        <f>RTD("nest.scriprtd",,"bse_cm|975EFSL27","Bid Qty")</f>
        <v>150</v>
      </c>
      <c r="E45">
        <f>RTD("nest.scriprtd",,"bse_cm|975EFSL27","Bid Rate")</f>
        <v>922.57</v>
      </c>
      <c r="F45">
        <f>RTD("nest.scriprtd",,"bse_cm|975EFSL27","Ask Rate")</f>
        <v>924.2</v>
      </c>
      <c r="G45">
        <f>RTD("nest.scriprtd",,"bse_cm|975EFSL27","Ask Qty")</f>
        <v>148</v>
      </c>
      <c r="H45">
        <f>RTD("nest.scriprtd",,"bse_cm|975EFSL27","LTP")</f>
        <v>924.2</v>
      </c>
      <c r="I45" t="str">
        <f>RTD("nest.scriprtd",,"bse_cm|975EFSL27","LTT")</f>
        <v>09:41:07</v>
      </c>
      <c r="J45">
        <f>RTD("nest.scriprtd",,"bse_cm|975EFSL27","% Change")</f>
        <v>0.18</v>
      </c>
      <c r="K45">
        <f>RTD("nest.scriprtd",,"bse_cm|975EFSL27","ATP")</f>
        <v>924.2</v>
      </c>
      <c r="L45">
        <f>RTD("nest.scriprtd",,"bse_cm|975EFSL27","Volume Traded Today")</f>
        <v>10</v>
      </c>
      <c r="M45">
        <f>RTD("nest.scriprtd",,"bse_cm|975EFSL27","Open")</f>
        <v>924.2</v>
      </c>
      <c r="N45">
        <f>RTD("nest.scriprtd",,"bse_cm|975EFSL27","High")</f>
        <v>924.2</v>
      </c>
      <c r="O45">
        <f>RTD("nest.scriprtd",,"bse_cm|975EFSL27","Low ")</f>
        <v>924.2</v>
      </c>
      <c r="P45">
        <f>RTD("nest.scriprtd",,"bse_cm|975EFSL27","Prev Close")</f>
        <v>922.5</v>
      </c>
      <c r="Q45">
        <f>RTD("nest.scriprtd",,"bse_cm|975EFSL27","Face Value")</f>
        <v>1000</v>
      </c>
      <c r="R45" t="str">
        <f>RTD("nest.scriprtd",,"bse_cm|975EFSL27","Isin code")</f>
        <v>INE532F07DC0</v>
      </c>
      <c r="S45" s="9">
        <f>Table1[[#This Row],[Ask Rate]]*Table1[[#This Row],[Ask Qty]]</f>
        <v>136781.6</v>
      </c>
      <c r="T45">
        <f>VLOOKUP(Table1[[#This Row],[Isin code]],Table2[#All],7,FALSE)</f>
        <v>9.75</v>
      </c>
      <c r="U45" s="17" t="str">
        <f>VLOOKUP(Table1[[#This Row],[Isin code]],Table2[#All],8,FALSE)</f>
        <v>20-Oct-2027</v>
      </c>
      <c r="V45" s="10">
        <f ca="1">Table1[[#This Row],[Maturity]]-TODAY()</f>
        <v>1099</v>
      </c>
      <c r="W45" t="str">
        <f>VLOOKUP(Table1[[#This Row],[Isin code]],Table2[#All],10,FALSE)</f>
        <v>Yearly</v>
      </c>
      <c r="X45">
        <f ca="1">_xlfn.DAYS(Table1[[#This Row],[Maturity]],TODAY())-15</f>
        <v>1084</v>
      </c>
      <c r="Y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5">
        <f>IF(Table1[[#This Row],[Ask Rate]]=0,0,Table1[[#This Row],[Face Value]]-Table1[[#This Row],[Ask Rate]])</f>
        <v>75.799999999999955</v>
      </c>
      <c r="AA45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45">
        <f ca="1">Table1[[#This Row],[Face Value]]*Table1[[#This Row],[Rate]]*Table1[[#This Row],[Time]]</f>
        <v>292.5</v>
      </c>
      <c r="AC45">
        <f ca="1">Table1[[#This Row],[SI]]+Table1[[#This Row],[Disc/Prem]]</f>
        <v>368.29999999999995</v>
      </c>
      <c r="AD45" s="3">
        <f ca="1">Table1[[#This Row],[Net Gain]]/Table1[[#This Row],[Ask Rate]]</f>
        <v>0.39850681670634053</v>
      </c>
      <c r="AE45" s="3">
        <f ca="1">IF(Table1[[#This Row],[Ask Qty]]=0,0,Table1[[#This Row],[Gross Yield]]*365/Table1[[#This Row],[Days Left]])</f>
        <v>0.13235212747753802</v>
      </c>
      <c r="AF45" s="9">
        <f ca="1">+Table1[[#This Row],[Net Gain]]*Table1[[#This Row],[Ask Qty]]</f>
        <v>54508.399999999994</v>
      </c>
      <c r="AG45" t="str">
        <f ca="1">IF(Table1[[#This Row],[YTM]]&gt;0.12,IF(Table1[[#This Row],[Gross Profit]]&gt;10000,"Invest","Review"),"Low YTM")</f>
        <v>Invest</v>
      </c>
    </row>
    <row r="46" spans="1:33" hidden="1" x14ac:dyDescent="0.3">
      <c r="A46" t="str">
        <f>RTD("nest.scriprtd",,"bse_cm|91EFSL24A","Symbol")</f>
        <v>91EFSL24A</v>
      </c>
      <c r="B46" t="str">
        <f>RTD("nest.scriprtd",,"bse_cm|91EFSL24A","Trading Symbol")</f>
        <v>91EFSL24A</v>
      </c>
      <c r="C46" t="str">
        <f>RTD("nest.scriprtd",,"bse_cm|91EFSL24A","Exchange")</f>
        <v>BSE</v>
      </c>
      <c r="D46">
        <f>RTD("nest.scriprtd",,"bse_cm|91EFSL24A","Bid Qty")</f>
        <v>169</v>
      </c>
      <c r="E46">
        <f>RTD("nest.scriprtd",,"bse_cm|91EFSL24A","Bid Rate")</f>
        <v>1061.5</v>
      </c>
      <c r="F46">
        <f>RTD("nest.scriprtd",,"bse_cm|91EFSL24A","Ask Rate")</f>
        <v>1063</v>
      </c>
      <c r="G46">
        <f>RTD("nest.scriprtd",,"bse_cm|91EFSL24A","Ask Qty")</f>
        <v>20</v>
      </c>
      <c r="H46">
        <f>RTD("nest.scriprtd",,"bse_cm|91EFSL24A","LTP")</f>
        <v>0</v>
      </c>
      <c r="I46" t="str">
        <f>RTD("nest.scriprtd",,"bse_cm|91EFSL24A","LTT")</f>
        <v>00:00:00</v>
      </c>
      <c r="J46">
        <f>RTD("nest.scriprtd",,"bse_cm|91EFSL24A","% Change")</f>
        <v>-100</v>
      </c>
      <c r="K46">
        <f>RTD("nest.scriprtd",,"bse_cm|91EFSL24A","ATP")</f>
        <v>0</v>
      </c>
      <c r="L46">
        <f>RTD("nest.scriprtd",,"bse_cm|91EFSL24A","Volume Traded Today")</f>
        <v>0</v>
      </c>
      <c r="M46">
        <f>RTD("nest.scriprtd",,"bse_cm|91EFSL24A","Open")</f>
        <v>0</v>
      </c>
      <c r="N46">
        <f>RTD("nest.scriprtd",,"bse_cm|91EFSL24A","High")</f>
        <v>1061</v>
      </c>
      <c r="O46">
        <f>RTD("nest.scriprtd",,"bse_cm|91EFSL24A","Low ")</f>
        <v>1053.2</v>
      </c>
      <c r="P46">
        <f>RTD("nest.scriprtd",,"bse_cm|91EFSL24A","Prev Close")</f>
        <v>1061</v>
      </c>
      <c r="Q46">
        <f>RTD("nest.scriprtd",,"bse_cm|91EFSL24A","Face Value")</f>
        <v>1000</v>
      </c>
      <c r="R46" t="str">
        <f>RTD("nest.scriprtd",,"bse_cm|91EFSL24A","Isin code")</f>
        <v>INE532F07CO7</v>
      </c>
      <c r="S46" s="9">
        <f>Table1[[#This Row],[Ask Rate]]*Table1[[#This Row],[Ask Qty]]</f>
        <v>21260</v>
      </c>
      <c r="T46">
        <f>VLOOKUP(Table1[[#This Row],[Isin code]],Table2[#All],7,FALSE)</f>
        <v>9.1</v>
      </c>
      <c r="U46" s="17" t="str">
        <f>VLOOKUP(Table1[[#This Row],[Isin code]],Table2[#All],8,FALSE)</f>
        <v>28-Dec-2024</v>
      </c>
      <c r="V46" s="10">
        <f ca="1">Table1[[#This Row],[Maturity]]-TODAY()</f>
        <v>73</v>
      </c>
      <c r="W46" t="str">
        <f>VLOOKUP(Table1[[#This Row],[Isin code]],Table2[#All],10,FALSE)</f>
        <v>Yearly</v>
      </c>
      <c r="X46">
        <f ca="1">_xlfn.DAYS(Table1[[#This Row],[Maturity]],TODAY())-15</f>
        <v>58</v>
      </c>
      <c r="Y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6">
        <f>IF(Table1[[#This Row],[Ask Rate]]=0,0,Table1[[#This Row],[Face Value]]-Table1[[#This Row],[Ask Rate]])</f>
        <v>-63</v>
      </c>
      <c r="AA46">
        <f>IF(Table1[[#This Row],[Freq]]="Yearly",Table1[[#This Row],[Coupon_Rate]]/100,IF(Table1[[#This Row],[Freq]]="Monthly",Table1[[#This Row],[Coupon_Rate]]/1200,IF(Table1[[#This Row],[Freq]]="Quarterly",Table1[[#This Row],[Coupon_Rate]]/400,0)))</f>
        <v>9.0999999999999998E-2</v>
      </c>
      <c r="AB46">
        <f ca="1">Table1[[#This Row],[Face Value]]*Table1[[#This Row],[Rate]]*Table1[[#This Row],[Time]]</f>
        <v>91</v>
      </c>
      <c r="AC46">
        <f ca="1">Table1[[#This Row],[SI]]+Table1[[#This Row],[Disc/Prem]]</f>
        <v>28</v>
      </c>
      <c r="AD46" s="3">
        <f ca="1">Table1[[#This Row],[Net Gain]]/Table1[[#This Row],[Ask Rate]]</f>
        <v>2.634054562558796E-2</v>
      </c>
      <c r="AE46" s="3">
        <f ca="1">IF(Table1[[#This Row],[Ask Qty]]=0,0,Table1[[#This Row],[Gross Yield]]*365/Table1[[#This Row],[Days Left]])</f>
        <v>0.13170272812793979</v>
      </c>
      <c r="AF46" s="9">
        <f ca="1">+Table1[[#This Row],[Net Gain]]*Table1[[#This Row],[Ask Qty]]</f>
        <v>560</v>
      </c>
      <c r="AG46" t="str">
        <f ca="1">IF(Table1[[#This Row],[YTM]]&gt;0.12,IF(Table1[[#This Row],[Gross Profit]]&gt;10000,"Invest","Review"),"Low YTM")</f>
        <v>Review</v>
      </c>
    </row>
    <row r="47" spans="1:33" hidden="1" x14ac:dyDescent="0.3">
      <c r="A47" t="str">
        <f>RTD("nest.scriprtd",,"bse_cm|825IIFL25","Symbol")</f>
        <v>825IIFL25</v>
      </c>
      <c r="B47" t="str">
        <f>RTD("nest.scriprtd",,"bse_cm|825IIFL25","Trading Symbol")</f>
        <v>825IIFL25</v>
      </c>
      <c r="C47" t="str">
        <f>RTD("nest.scriprtd",,"bse_cm|825IIFL25","Exchange")</f>
        <v>BSE</v>
      </c>
      <c r="D47">
        <f>RTD("nest.scriprtd",,"bse_cm|825IIFL25","Bid Qty")</f>
        <v>20</v>
      </c>
      <c r="E47">
        <f>RTD("nest.scriprtd",,"bse_cm|825IIFL25","Bid Rate")</f>
        <v>1050</v>
      </c>
      <c r="F47">
        <f>RTD("nest.scriprtd",,"bse_cm|825IIFL25","Ask Rate")</f>
        <v>1052.5</v>
      </c>
      <c r="G47">
        <f>RTD("nest.scriprtd",,"bse_cm|825IIFL25","Ask Qty")</f>
        <v>50</v>
      </c>
      <c r="H47">
        <f>RTD("nest.scriprtd",,"bse_cm|825IIFL25","LTP")</f>
        <v>0</v>
      </c>
      <c r="I47" t="str">
        <f>RTD("nest.scriprtd",,"bse_cm|825IIFL25","LTT")</f>
        <v>00:00:00</v>
      </c>
      <c r="J47">
        <f>RTD("nest.scriprtd",,"bse_cm|825IIFL25","% Change")</f>
        <v>-100</v>
      </c>
      <c r="K47">
        <f>RTD("nest.scriprtd",,"bse_cm|825IIFL25","ATP")</f>
        <v>0</v>
      </c>
      <c r="L47">
        <f>RTD("nest.scriprtd",,"bse_cm|825IIFL25","Volume Traded Today")</f>
        <v>0</v>
      </c>
      <c r="M47">
        <f>RTD("nest.scriprtd",,"bse_cm|825IIFL25","Open")</f>
        <v>0</v>
      </c>
      <c r="N47">
        <f>RTD("nest.scriprtd",,"bse_cm|825IIFL25","High")</f>
        <v>1042.0999999999999</v>
      </c>
      <c r="O47">
        <f>RTD("nest.scriprtd",,"bse_cm|825IIFL25","Low ")</f>
        <v>1042.0999999999999</v>
      </c>
      <c r="P47">
        <f>RTD("nest.scriprtd",,"bse_cm|825IIFL25","Prev Close")</f>
        <v>1042.0999999999999</v>
      </c>
      <c r="Q47">
        <f>RTD("nest.scriprtd",,"bse_cm|825IIFL25","Face Value")</f>
        <v>1000</v>
      </c>
      <c r="R47" t="str">
        <f>RTD("nest.scriprtd",,"bse_cm|825IIFL25","Isin code")</f>
        <v>INE477L07AL3</v>
      </c>
      <c r="S47" s="9">
        <f>Table1[[#This Row],[Ask Rate]]*Table1[[#This Row],[Ask Qty]]</f>
        <v>52625</v>
      </c>
      <c r="T47">
        <f>VLOOKUP(Table1[[#This Row],[Isin code]],Table2[#All],7,FALSE)</f>
        <v>8.25</v>
      </c>
      <c r="U47" s="17" t="str">
        <f>VLOOKUP(Table1[[#This Row],[Isin code]],Table2[#All],8,FALSE)</f>
        <v>03-Jan-2025</v>
      </c>
      <c r="V47" s="10">
        <f ca="1">Table1[[#This Row],[Maturity]]-TODAY()</f>
        <v>79</v>
      </c>
      <c r="W47" t="str">
        <f>VLOOKUP(Table1[[#This Row],[Isin code]],Table2[#All],10,FALSE)</f>
        <v>Yearly</v>
      </c>
      <c r="X47">
        <f ca="1">_xlfn.DAYS(Table1[[#This Row],[Maturity]],TODAY())-15</f>
        <v>64</v>
      </c>
      <c r="Y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7">
        <f>IF(Table1[[#This Row],[Ask Rate]]=0,0,Table1[[#This Row],[Face Value]]-Table1[[#This Row],[Ask Rate]])</f>
        <v>-52.5</v>
      </c>
      <c r="AA47">
        <f>IF(Table1[[#This Row],[Freq]]="Yearly",Table1[[#This Row],[Coupon_Rate]]/100,IF(Table1[[#This Row],[Freq]]="Monthly",Table1[[#This Row],[Coupon_Rate]]/1200,IF(Table1[[#This Row],[Freq]]="Quarterly",Table1[[#This Row],[Coupon_Rate]]/400,0)))</f>
        <v>8.2500000000000004E-2</v>
      </c>
      <c r="AB47">
        <f ca="1">Table1[[#This Row],[Face Value]]*Table1[[#This Row],[Rate]]*Table1[[#This Row],[Time]]</f>
        <v>82.5</v>
      </c>
      <c r="AC47">
        <f ca="1">Table1[[#This Row],[SI]]+Table1[[#This Row],[Disc/Prem]]</f>
        <v>30</v>
      </c>
      <c r="AD47" s="3">
        <f ca="1">Table1[[#This Row],[Net Gain]]/Table1[[#This Row],[Ask Rate]]</f>
        <v>2.8503562945368172E-2</v>
      </c>
      <c r="AE47" s="3">
        <f ca="1">IF(Table1[[#This Row],[Ask Qty]]=0,0,Table1[[#This Row],[Gross Yield]]*365/Table1[[#This Row],[Days Left]])</f>
        <v>0.13169367689948586</v>
      </c>
      <c r="AF47" s="9">
        <f ca="1">+Table1[[#This Row],[Net Gain]]*Table1[[#This Row],[Ask Qty]]</f>
        <v>1500</v>
      </c>
      <c r="AG47" t="str">
        <f ca="1">IF(Table1[[#This Row],[YTM]]&gt;0.12,IF(Table1[[#This Row],[Gross Profit]]&gt;10000,"Invest","Review"),"Low YTM")</f>
        <v>Review</v>
      </c>
    </row>
    <row r="48" spans="1:33" hidden="1" x14ac:dyDescent="0.3">
      <c r="A48" t="str">
        <f>RTD("nest.scriprtd",,"nse_cm|11DLSL25-NV","Symbol")</f>
        <v>11DLSL25</v>
      </c>
      <c r="B48" t="str">
        <f>RTD("nest.scriprtd",,"nse_cm|11DLSL25-NV","Trading Symbol")</f>
        <v>11DLSL25-NV</v>
      </c>
      <c r="C48" t="str">
        <f>RTD("nest.scriprtd",,"nse_cm|11DLSL25-NV","Exchange")</f>
        <v>NSE</v>
      </c>
      <c r="D48">
        <f>RTD("nest.scriprtd",,"nse_cm|11DLSL25-NV","Bid Qty")</f>
        <v>10</v>
      </c>
      <c r="E48">
        <f>RTD("nest.scriprtd",,"nse_cm|11DLSL25-NV","Bid Rate")</f>
        <v>1050.42</v>
      </c>
      <c r="F48">
        <f>RTD("nest.scriprtd",,"nse_cm|11DLSL25-NV","Ask Rate")</f>
        <v>1069</v>
      </c>
      <c r="G48">
        <f>RTD("nest.scriprtd",,"nse_cm|11DLSL25-NV","Ask Qty")</f>
        <v>26</v>
      </c>
      <c r="H48">
        <f>RTD("nest.scriprtd",,"nse_cm|11DLSL25-NV","LTP")</f>
        <v>1050.01</v>
      </c>
      <c r="I48" t="str">
        <f>RTD("nest.scriprtd",,"nse_cm|11DLSL25-NV","LTT")</f>
        <v/>
      </c>
      <c r="J48">
        <f>RTD("nest.scriprtd",,"nse_cm|11DLSL25-NV","% Change")</f>
        <v>0</v>
      </c>
      <c r="K48">
        <f>RTD("nest.scriprtd",,"nse_cm|11DLSL25-NV","ATP")</f>
        <v>0</v>
      </c>
      <c r="L48">
        <f>RTD("nest.scriprtd",,"nse_cm|11DLSL25-NV","Volume Traded Today")</f>
        <v>0</v>
      </c>
      <c r="M48">
        <f>RTD("nest.scriprtd",,"nse_cm|11DLSL25-NV","Open")</f>
        <v>0</v>
      </c>
      <c r="N48">
        <f>RTD("nest.scriprtd",,"nse_cm|11DLSL25-NV","High")</f>
        <v>1050.01</v>
      </c>
      <c r="O48">
        <f>RTD("nest.scriprtd",,"nse_cm|11DLSL25-NV","Low ")</f>
        <v>1050.01</v>
      </c>
      <c r="P48">
        <f>RTD("nest.scriprtd",,"nse_cm|11DLSL25-NV","Prev Close")</f>
        <v>1050.01</v>
      </c>
      <c r="Q48">
        <f>RTD("nest.scriprtd",,"nse_cm|11DLSL25-NV","Face Value")</f>
        <v>1000</v>
      </c>
      <c r="R48" t="str">
        <f>RTD("nest.scriprtd",,"nse_cm|11DLSL25-NV","Isin code")</f>
        <v>INE614X07365</v>
      </c>
      <c r="S48" s="9">
        <f>Table1[[#This Row],[Ask Rate]]*Table1[[#This Row],[Ask Qty]]</f>
        <v>27794</v>
      </c>
      <c r="T48">
        <f>VLOOKUP(Table1[[#This Row],[Isin code]],Table2[#All],7,FALSE)</f>
        <v>11</v>
      </c>
      <c r="U48" s="17" t="str">
        <f>VLOOKUP(Table1[[#This Row],[Isin code]],Table2[#All],8,FALSE)</f>
        <v>31-Jan-2025</v>
      </c>
      <c r="V48" s="10">
        <f ca="1">Table1[[#This Row],[Maturity]]-TODAY()</f>
        <v>107</v>
      </c>
      <c r="W48" t="str">
        <f>VLOOKUP(Table1[[#This Row],[Isin code]],Table2[#All],10,FALSE)</f>
        <v>Yearly</v>
      </c>
      <c r="X48">
        <f ca="1">_xlfn.DAYS(Table1[[#This Row],[Maturity]],TODAY())-15</f>
        <v>92</v>
      </c>
      <c r="Y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8">
        <f>IF(Table1[[#This Row],[Ask Rate]]=0,0,Table1[[#This Row],[Face Value]]-Table1[[#This Row],[Ask Rate]])</f>
        <v>-69</v>
      </c>
      <c r="AA48">
        <f>IF(Table1[[#This Row],[Freq]]="Yearly",Table1[[#This Row],[Coupon_Rate]]/100,IF(Table1[[#This Row],[Freq]]="Monthly",Table1[[#This Row],[Coupon_Rate]]/1200,IF(Table1[[#This Row],[Freq]]="Quarterly",Table1[[#This Row],[Coupon_Rate]]/400,0)))</f>
        <v>0.11</v>
      </c>
      <c r="AB48">
        <f ca="1">Table1[[#This Row],[Face Value]]*Table1[[#This Row],[Rate]]*Table1[[#This Row],[Time]]</f>
        <v>110</v>
      </c>
      <c r="AC48">
        <f ca="1">Table1[[#This Row],[SI]]+Table1[[#This Row],[Disc/Prem]]</f>
        <v>41</v>
      </c>
      <c r="AD48" s="3">
        <f ca="1">Table1[[#This Row],[Net Gain]]/Table1[[#This Row],[Ask Rate]]</f>
        <v>3.8353601496725911E-2</v>
      </c>
      <c r="AE48" s="3">
        <f ca="1">IF(Table1[[#This Row],[Ask Qty]]=0,0,Table1[[#This Row],[Gross Yield]]*365/Table1[[#This Row],[Days Left]])</f>
        <v>0.13083237893742952</v>
      </c>
      <c r="AF48" s="9">
        <f ca="1">+Table1[[#This Row],[Net Gain]]*Table1[[#This Row],[Ask Qty]]</f>
        <v>1066</v>
      </c>
      <c r="AG48" t="str">
        <f ca="1">IF(Table1[[#This Row],[YTM]]&gt;0.12,IF(Table1[[#This Row],[Gross Profit]]&gt;10000,"Invest","Review"),"Low YTM")</f>
        <v>Review</v>
      </c>
    </row>
    <row r="49" spans="1:33" hidden="1" x14ac:dyDescent="0.3">
      <c r="A49" t="str">
        <f>RTD("nest.scriprtd",,"nse_cm|825IIFL25-N7","Symbol")</f>
        <v>825IIFL25</v>
      </c>
      <c r="B49" t="str">
        <f>RTD("nest.scriprtd",,"nse_cm|825IIFL25-N7","Trading Symbol")</f>
        <v>825IIFL25-N7</v>
      </c>
      <c r="C49" t="str">
        <f>RTD("nest.scriprtd",,"nse_cm|825IIFL25-N7","Exchange")</f>
        <v>NSE</v>
      </c>
      <c r="D49">
        <f>RTD("nest.scriprtd",,"nse_cm|825IIFL25-N7","Bid Qty")</f>
        <v>190</v>
      </c>
      <c r="E49">
        <f>RTD("nest.scriprtd",,"nse_cm|825IIFL25-N7","Bid Rate")</f>
        <v>1040.8</v>
      </c>
      <c r="F49">
        <f>RTD("nest.scriprtd",,"nse_cm|825IIFL25-N7","Ask Rate")</f>
        <v>1052.8</v>
      </c>
      <c r="G49">
        <f>RTD("nest.scriprtd",,"nse_cm|825IIFL25-N7","Ask Qty")</f>
        <v>2</v>
      </c>
      <c r="H49">
        <f>RTD("nest.scriprtd",,"nse_cm|825IIFL25-N7","LTP")</f>
        <v>1052.8</v>
      </c>
      <c r="I49" t="str">
        <f>RTD("nest.scriprtd",,"nse_cm|825IIFL25-N7","LTT")</f>
        <v/>
      </c>
      <c r="J49">
        <f>RTD("nest.scriprtd",,"nse_cm|825IIFL25-N7","% Change")</f>
        <v>0</v>
      </c>
      <c r="K49">
        <f>RTD("nest.scriprtd",,"nse_cm|825IIFL25-N7","ATP")</f>
        <v>0</v>
      </c>
      <c r="L49">
        <f>RTD("nest.scriprtd",,"nse_cm|825IIFL25-N7","Volume Traded Today")</f>
        <v>0</v>
      </c>
      <c r="M49">
        <f>RTD("nest.scriprtd",,"nse_cm|825IIFL25-N7","Open")</f>
        <v>0</v>
      </c>
      <c r="N49">
        <f>RTD("nest.scriprtd",,"nse_cm|825IIFL25-N7","High")</f>
        <v>1052.8</v>
      </c>
      <c r="O49">
        <f>RTD("nest.scriprtd",,"nse_cm|825IIFL25-N7","Low ")</f>
        <v>1052.8</v>
      </c>
      <c r="P49">
        <f>RTD("nest.scriprtd",,"nse_cm|825IIFL25-N7","Prev Close")</f>
        <v>1052.8</v>
      </c>
      <c r="Q49">
        <f>RTD("nest.scriprtd",,"nse_cm|825IIFL25-N7","Face Value")</f>
        <v>1000</v>
      </c>
      <c r="R49" t="str">
        <f>RTD("nest.scriprtd",,"nse_cm|825IIFL25-N7","Isin code")</f>
        <v>INE477L07AL3</v>
      </c>
      <c r="S49" s="9">
        <f>Table1[[#This Row],[Ask Rate]]*Table1[[#This Row],[Ask Qty]]</f>
        <v>2105.6</v>
      </c>
      <c r="T49">
        <f>VLOOKUP(Table1[[#This Row],[Isin code]],Table2[#All],7,FALSE)</f>
        <v>8.25</v>
      </c>
      <c r="U49" s="17" t="str">
        <f>VLOOKUP(Table1[[#This Row],[Isin code]],Table2[#All],8,FALSE)</f>
        <v>03-Jan-2025</v>
      </c>
      <c r="V49" s="10">
        <f ca="1">Table1[[#This Row],[Maturity]]-TODAY()</f>
        <v>79</v>
      </c>
      <c r="W49" t="str">
        <f>VLOOKUP(Table1[[#This Row],[Isin code]],Table2[#All],10,FALSE)</f>
        <v>Yearly</v>
      </c>
      <c r="X49">
        <f ca="1">_xlfn.DAYS(Table1[[#This Row],[Maturity]],TODAY())-15</f>
        <v>64</v>
      </c>
      <c r="Y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9">
        <f>IF(Table1[[#This Row],[Ask Rate]]=0,0,Table1[[#This Row],[Face Value]]-Table1[[#This Row],[Ask Rate]])</f>
        <v>-52.799999999999955</v>
      </c>
      <c r="AA49">
        <f>IF(Table1[[#This Row],[Freq]]="Yearly",Table1[[#This Row],[Coupon_Rate]]/100,IF(Table1[[#This Row],[Freq]]="Monthly",Table1[[#This Row],[Coupon_Rate]]/1200,IF(Table1[[#This Row],[Freq]]="Quarterly",Table1[[#This Row],[Coupon_Rate]]/400,0)))</f>
        <v>8.2500000000000004E-2</v>
      </c>
      <c r="AB49">
        <f ca="1">Table1[[#This Row],[Face Value]]*Table1[[#This Row],[Rate]]*Table1[[#This Row],[Time]]</f>
        <v>82.5</v>
      </c>
      <c r="AC49">
        <f ca="1">Table1[[#This Row],[SI]]+Table1[[#This Row],[Disc/Prem]]</f>
        <v>29.700000000000045</v>
      </c>
      <c r="AD49" s="3">
        <f ca="1">Table1[[#This Row],[Net Gain]]/Table1[[#This Row],[Ask Rate]]</f>
        <v>2.8210486322188495E-2</v>
      </c>
      <c r="AE49" s="3">
        <f ca="1">IF(Table1[[#This Row],[Ask Qty]]=0,0,Table1[[#This Row],[Gross Yield]]*365/Table1[[#This Row],[Days Left]])</f>
        <v>0.13033958870378229</v>
      </c>
      <c r="AF49" s="9">
        <f ca="1">+Table1[[#This Row],[Net Gain]]*Table1[[#This Row],[Ask Qty]]</f>
        <v>59.400000000000091</v>
      </c>
      <c r="AG49" t="str">
        <f ca="1">IF(Table1[[#This Row],[YTM]]&gt;0.12,IF(Table1[[#This Row],[Gross Profit]]&gt;10000,"Invest","Review"),"Low YTM")</f>
        <v>Review</v>
      </c>
    </row>
    <row r="50" spans="1:33" x14ac:dyDescent="0.3">
      <c r="A50" t="str">
        <f>RTD("nest.scriprtd",,"bse_cm|875KFL25","Symbol")</f>
        <v>875KFL25</v>
      </c>
      <c r="B50" t="str">
        <f>RTD("nest.scriprtd",,"bse_cm|875KFL25","Trading Symbol")</f>
        <v>875KFL25</v>
      </c>
      <c r="C50" t="str">
        <f>RTD("nest.scriprtd",,"bse_cm|875KFL25","Exchange")</f>
        <v>BSE</v>
      </c>
      <c r="D50">
        <f>RTD("nest.scriprtd",,"bse_cm|875KFL25","Bid Qty")</f>
        <v>5</v>
      </c>
      <c r="E50">
        <f>RTD("nest.scriprtd",,"bse_cm|875KFL25","Bid Rate")</f>
        <v>840.21</v>
      </c>
      <c r="F50">
        <f>RTD("nest.scriprtd",,"bse_cm|875KFL25","Ask Rate")</f>
        <v>980</v>
      </c>
      <c r="G50">
        <f>RTD("nest.scriprtd",,"bse_cm|875KFL25","Ask Qty")</f>
        <v>5</v>
      </c>
      <c r="H50">
        <f>RTD("nest.scriprtd",,"bse_cm|875KFL25","LTP")</f>
        <v>0</v>
      </c>
      <c r="I50" t="str">
        <f>RTD("nest.scriprtd",,"bse_cm|875KFL25","LTT")</f>
        <v>00:00:00</v>
      </c>
      <c r="J50">
        <f>RTD("nest.scriprtd",,"bse_cm|875KFL25","% Change")</f>
        <v>-100</v>
      </c>
      <c r="K50">
        <f>RTD("nest.scriprtd",,"bse_cm|875KFL25","ATP")</f>
        <v>0</v>
      </c>
      <c r="L50">
        <f>RTD("nest.scriprtd",,"bse_cm|875KFL25","Volume Traded Today")</f>
        <v>0</v>
      </c>
      <c r="M50">
        <f>RTD("nest.scriprtd",,"bse_cm|875KFL25","Open")</f>
        <v>0</v>
      </c>
      <c r="N50">
        <f>RTD("nest.scriprtd",,"bse_cm|875KFL25","High")</f>
        <v>980</v>
      </c>
      <c r="O50">
        <f>RTD("nest.scriprtd",,"bse_cm|875KFL25","Low ")</f>
        <v>945</v>
      </c>
      <c r="P50">
        <f>RTD("nest.scriprtd",,"bse_cm|875KFL25","Prev Close")</f>
        <v>975</v>
      </c>
      <c r="Q50">
        <f>RTD("nest.scriprtd",,"bse_cm|875KFL25","Face Value")</f>
        <v>1000</v>
      </c>
      <c r="R50" t="str">
        <f>RTD("nest.scriprtd",,"bse_cm|875KFL25","Isin code")</f>
        <v>INE403Q07CJ8</v>
      </c>
      <c r="S50" s="9">
        <f>Table1[[#This Row],[Ask Rate]]*Table1[[#This Row],[Ask Qty]]</f>
        <v>4900</v>
      </c>
      <c r="T50">
        <f>VLOOKUP(Table1[[#This Row],[Isin code]],Table2[#All],7,FALSE)</f>
        <v>8.75</v>
      </c>
      <c r="U50" s="17" t="str">
        <f>VLOOKUP(Table1[[#This Row],[Isin code]],Table2[#All],8,FALSE)</f>
        <v>17-Apr-2025</v>
      </c>
      <c r="V50" s="10">
        <f ca="1">Table1[[#This Row],[Maturity]]-TODAY()</f>
        <v>183</v>
      </c>
      <c r="W50" t="str">
        <f>VLOOKUP(Table1[[#This Row],[Isin code]],Table2[#All],10,FALSE)</f>
        <v>Monthly</v>
      </c>
      <c r="X50">
        <f ca="1">_xlfn.DAYS(Table1[[#This Row],[Maturity]],TODAY())-15</f>
        <v>168</v>
      </c>
      <c r="Y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50">
        <f>IF(Table1[[#This Row],[Ask Rate]]=0,0,Table1[[#This Row],[Face Value]]-Table1[[#This Row],[Ask Rate]])</f>
        <v>20</v>
      </c>
      <c r="AA50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50">
        <f ca="1">Table1[[#This Row],[Face Value]]*Table1[[#This Row],[Rate]]*Table1[[#This Row],[Time]]</f>
        <v>43.75</v>
      </c>
      <c r="AC50">
        <f ca="1">Table1[[#This Row],[SI]]+Table1[[#This Row],[Disc/Prem]]</f>
        <v>63.75</v>
      </c>
      <c r="AD50" s="3">
        <f ca="1">Table1[[#This Row],[Net Gain]]/Table1[[#This Row],[Ask Rate]]</f>
        <v>6.5051020408163268E-2</v>
      </c>
      <c r="AE50" s="3">
        <f ca="1">IF(Table1[[#This Row],[Ask Qty]]=0,0,Table1[[#This Row],[Gross Yield]]*365/Table1[[#This Row],[Days Left]])</f>
        <v>0.12974657075945134</v>
      </c>
      <c r="AF50" s="9">
        <f ca="1">+Table1[[#This Row],[Net Gain]]*Table1[[#This Row],[Ask Qty]]</f>
        <v>318.75</v>
      </c>
      <c r="AG50" t="str">
        <f ca="1">IF(Table1[[#This Row],[YTM]]&gt;0.12,IF(Table1[[#This Row],[Gross Profit]]&gt;10000,"Invest","Review"),"Low YTM")</f>
        <v>Review</v>
      </c>
    </row>
    <row r="51" spans="1:33" x14ac:dyDescent="0.3">
      <c r="A51" t="str">
        <f>RTD("nest.scriprtd",,"bse_cm|955NIDO27","Symbol")</f>
        <v>955NIDO27</v>
      </c>
      <c r="B51" t="str">
        <f>RTD("nest.scriprtd",,"bse_cm|955NIDO27","Trading Symbol")</f>
        <v>955NIDO27</v>
      </c>
      <c r="C51" t="str">
        <f>RTD("nest.scriprtd",,"bse_cm|955NIDO27","Exchange")</f>
        <v>BSE</v>
      </c>
      <c r="D51">
        <f>RTD("nest.scriprtd",,"bse_cm|955NIDO27","Bid Qty")</f>
        <v>20</v>
      </c>
      <c r="E51">
        <f>RTD("nest.scriprtd",,"bse_cm|955NIDO27","Bid Rate")</f>
        <v>945</v>
      </c>
      <c r="F51">
        <f>RTD("nest.scriprtd",,"bse_cm|955NIDO27","Ask Rate")</f>
        <v>968.26</v>
      </c>
      <c r="G51">
        <f>RTD("nest.scriprtd",,"bse_cm|955NIDO27","Ask Qty")</f>
        <v>190</v>
      </c>
      <c r="H51">
        <f>RTD("nest.scriprtd",,"bse_cm|955NIDO27","LTP")</f>
        <v>968.26</v>
      </c>
      <c r="I51" t="str">
        <f>RTD("nest.scriprtd",,"bse_cm|955NIDO27","LTT")</f>
        <v>11:26:00</v>
      </c>
      <c r="J51">
        <f>RTD("nest.scriprtd",,"bse_cm|955NIDO27","% Change")</f>
        <v>1.92</v>
      </c>
      <c r="K51">
        <f>RTD("nest.scriprtd",,"bse_cm|955NIDO27","ATP")</f>
        <v>950.86</v>
      </c>
      <c r="L51">
        <f>RTD("nest.scriprtd",,"bse_cm|955NIDO27","Volume Traded Today")</f>
        <v>210</v>
      </c>
      <c r="M51">
        <f>RTD("nest.scriprtd",,"bse_cm|955NIDO27","Open")</f>
        <v>0</v>
      </c>
      <c r="N51">
        <f>RTD("nest.scriprtd",,"bse_cm|955NIDO27","High")</f>
        <v>968.26</v>
      </c>
      <c r="O51">
        <f>RTD("nest.scriprtd",,"bse_cm|955NIDO27","Low ")</f>
        <v>950</v>
      </c>
      <c r="P51">
        <f>RTD("nest.scriprtd",,"bse_cm|955NIDO27","Prev Close")</f>
        <v>950</v>
      </c>
      <c r="Q51">
        <f>RTD("nest.scriprtd",,"bse_cm|955NIDO27","Face Value")</f>
        <v>1000</v>
      </c>
      <c r="R51" t="str">
        <f>RTD("nest.scriprtd",,"bse_cm|955NIDO27","Isin code")</f>
        <v>INE530L07483</v>
      </c>
      <c r="S51" s="9">
        <f>Table1[[#This Row],[Ask Rate]]*Table1[[#This Row],[Ask Qty]]</f>
        <v>183969.4</v>
      </c>
      <c r="T51">
        <f>VLOOKUP(Table1[[#This Row],[Isin code]],Table2[#All],7,FALSE)</f>
        <v>9.5500000000000007</v>
      </c>
      <c r="U51" s="17" t="str">
        <f>VLOOKUP(Table1[[#This Row],[Isin code]],Table2[#All],8,FALSE)</f>
        <v>29-Apr-2027</v>
      </c>
      <c r="V51" s="10">
        <f ca="1">Table1[[#This Row],[Maturity]]-TODAY()</f>
        <v>925</v>
      </c>
      <c r="W51" t="str">
        <f>VLOOKUP(Table1[[#This Row],[Isin code]],Table2[#All],10,FALSE)</f>
        <v>Yearly</v>
      </c>
      <c r="X51">
        <f ca="1">_xlfn.DAYS(Table1[[#This Row],[Maturity]],TODAY())-15</f>
        <v>910</v>
      </c>
      <c r="Y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51">
        <f>IF(Table1[[#This Row],[Ask Rate]]=0,0,Table1[[#This Row],[Face Value]]-Table1[[#This Row],[Ask Rate]])</f>
        <v>31.740000000000009</v>
      </c>
      <c r="AA51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51">
        <f ca="1">Table1[[#This Row],[Face Value]]*Table1[[#This Row],[Rate]]*Table1[[#This Row],[Time]]</f>
        <v>286.5</v>
      </c>
      <c r="AC51">
        <f ca="1">Table1[[#This Row],[SI]]+Table1[[#This Row],[Disc/Prem]]</f>
        <v>318.24</v>
      </c>
      <c r="AD51" s="3">
        <f ca="1">Table1[[#This Row],[Net Gain]]/Table1[[#This Row],[Ask Rate]]</f>
        <v>0.32867205089542068</v>
      </c>
      <c r="AE51" s="3">
        <f ca="1">IF(Table1[[#This Row],[Ask Qty]]=0,0,Table1[[#This Row],[Gross Yield]]*365/Table1[[#This Row],[Days Left]])</f>
        <v>0.12969221467765249</v>
      </c>
      <c r="AF51" s="9">
        <f ca="1">+Table1[[#This Row],[Net Gain]]*Table1[[#This Row],[Ask Qty]]</f>
        <v>60465.599999999999</v>
      </c>
      <c r="AG51" t="str">
        <f ca="1">IF(Table1[[#This Row],[YTM]]&gt;0.12,IF(Table1[[#This Row],[Gross Profit]]&gt;10000,"Invest","Review"),"Low YTM")</f>
        <v>Invest</v>
      </c>
    </row>
    <row r="52" spans="1:33" x14ac:dyDescent="0.3">
      <c r="A52" t="str">
        <f>RTD("nest.scriprtd",,"nse_cm|985ECL28-NK","Symbol")</f>
        <v>985ECL28</v>
      </c>
      <c r="B52" t="str">
        <f>RTD("nest.scriprtd",,"nse_cm|985ECL28-NK","Trading Symbol")</f>
        <v>985ECL28-NK</v>
      </c>
      <c r="C52" t="str">
        <f>RTD("nest.scriprtd",,"nse_cm|985ECL28-NK","Exchange")</f>
        <v>NSE</v>
      </c>
      <c r="D52">
        <f>RTD("nest.scriprtd",,"nse_cm|985ECL28-NK","Bid Qty")</f>
        <v>1</v>
      </c>
      <c r="E52">
        <f>RTD("nest.scriprtd",,"nse_cm|985ECL28-NK","Bid Rate")</f>
        <v>932.51</v>
      </c>
      <c r="F52">
        <f>RTD("nest.scriprtd",,"nse_cm|985ECL28-NK","Ask Rate")</f>
        <v>933.2</v>
      </c>
      <c r="G52">
        <f>RTD("nest.scriprtd",,"nse_cm|985ECL28-NK","Ask Qty")</f>
        <v>115</v>
      </c>
      <c r="H52">
        <f>RTD("nest.scriprtd",,"nse_cm|985ECL28-NK","LTP")</f>
        <v>932.5</v>
      </c>
      <c r="I52" t="str">
        <f>RTD("nest.scriprtd",,"nse_cm|985ECL28-NK","LTT")</f>
        <v>11:14:21</v>
      </c>
      <c r="J52">
        <f>RTD("nest.scriprtd",,"nse_cm|985ECL28-NK","% Change")</f>
        <v>-0.27</v>
      </c>
      <c r="K52">
        <f>RTD("nest.scriprtd",,"nse_cm|985ECL28-NK","ATP")</f>
        <v>935.5</v>
      </c>
      <c r="L52">
        <f>RTD("nest.scriprtd",,"nse_cm|985ECL28-NK","Volume Traded Today")</f>
        <v>3</v>
      </c>
      <c r="M52">
        <f>RTD("nest.scriprtd",,"nse_cm|985ECL28-NK","Open")</f>
        <v>935.5</v>
      </c>
      <c r="N52">
        <f>RTD("nest.scriprtd",,"nse_cm|985ECL28-NK","High")</f>
        <v>935.5</v>
      </c>
      <c r="O52">
        <f>RTD("nest.scriprtd",,"nse_cm|985ECL28-NK","Low ")</f>
        <v>932.5</v>
      </c>
      <c r="P52">
        <f>RTD("nest.scriprtd",,"nse_cm|985ECL28-NK","Prev Close")</f>
        <v>935</v>
      </c>
      <c r="Q52">
        <f>RTD("nest.scriprtd",,"nse_cm|985ECL28-NK","Face Value")</f>
        <v>1000</v>
      </c>
      <c r="R52" t="str">
        <f>RTD("nest.scriprtd",,"nse_cm|985ECL28-NK","Isin code")</f>
        <v>INE804I079Y6</v>
      </c>
      <c r="S52" s="9">
        <f>Table1[[#This Row],[Ask Rate]]*Table1[[#This Row],[Ask Qty]]</f>
        <v>107318</v>
      </c>
      <c r="T52">
        <f>VLOOKUP(Table1[[#This Row],[Isin code]],Table2[#All],7,FALSE)</f>
        <v>9.85</v>
      </c>
      <c r="U52" s="17" t="str">
        <f>VLOOKUP(Table1[[#This Row],[Isin code]],Table2[#All],8,FALSE)</f>
        <v>06-Aug-2028</v>
      </c>
      <c r="V52" s="10">
        <f ca="1">Table1[[#This Row],[Maturity]]-TODAY()</f>
        <v>1390</v>
      </c>
      <c r="W52" t="str">
        <f>VLOOKUP(Table1[[#This Row],[Isin code]],Table2[#All],10,FALSE)</f>
        <v>Yearly</v>
      </c>
      <c r="X52">
        <f ca="1">_xlfn.DAYS(Table1[[#This Row],[Maturity]],TODAY())-15</f>
        <v>1375</v>
      </c>
      <c r="Y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2">
        <f>IF(Table1[[#This Row],[Ask Rate]]=0,0,Table1[[#This Row],[Face Value]]-Table1[[#This Row],[Ask Rate]])</f>
        <v>66.799999999999955</v>
      </c>
      <c r="AA52">
        <f>IF(Table1[[#This Row],[Freq]]="Yearly",Table1[[#This Row],[Coupon_Rate]]/100,IF(Table1[[#This Row],[Freq]]="Monthly",Table1[[#This Row],[Coupon_Rate]]/1200,IF(Table1[[#This Row],[Freq]]="Quarterly",Table1[[#This Row],[Coupon_Rate]]/400,0)))</f>
        <v>9.849999999999999E-2</v>
      </c>
      <c r="AB52">
        <f ca="1">Table1[[#This Row],[Face Value]]*Table1[[#This Row],[Rate]]*Table1[[#This Row],[Time]]</f>
        <v>393.99999999999994</v>
      </c>
      <c r="AC52">
        <f ca="1">Table1[[#This Row],[SI]]+Table1[[#This Row],[Disc/Prem]]</f>
        <v>460.7999999999999</v>
      </c>
      <c r="AD52" s="3">
        <f ca="1">Table1[[#This Row],[Net Gain]]/Table1[[#This Row],[Ask Rate]]</f>
        <v>0.49378482640377186</v>
      </c>
      <c r="AE52" s="3">
        <f ca="1">IF(Table1[[#This Row],[Ask Qty]]=0,0,Table1[[#This Row],[Gross Yield]]*365/Table1[[#This Row],[Days Left]])</f>
        <v>0.12966292204127822</v>
      </c>
      <c r="AF52" s="9">
        <f ca="1">+Table1[[#This Row],[Net Gain]]*Table1[[#This Row],[Ask Qty]]</f>
        <v>52991.999999999985</v>
      </c>
      <c r="AG52" t="str">
        <f ca="1">IF(Table1[[#This Row],[YTM]]&gt;0.12,IF(Table1[[#This Row],[Gross Profit]]&gt;10000,"Invest","Review"),"Low YTM")</f>
        <v>Invest</v>
      </c>
    </row>
    <row r="53" spans="1:33" hidden="1" x14ac:dyDescent="0.3">
      <c r="A53" t="str">
        <f>RTD("nest.scriprtd",,"bse_cm|957VCL25","Symbol")</f>
        <v>957VCL25</v>
      </c>
      <c r="B53" t="str">
        <f>RTD("nest.scriprtd",,"bse_cm|957VCL25","Trading Symbol")</f>
        <v>957VCL25</v>
      </c>
      <c r="C53" t="str">
        <f>RTD("nest.scriprtd",,"bse_cm|957VCL25","Exchange")</f>
        <v>BSE</v>
      </c>
      <c r="D53">
        <f>RTD("nest.scriprtd",,"bse_cm|957VCL25","Bid Qty")</f>
        <v>40</v>
      </c>
      <c r="E53">
        <f>RTD("nest.scriprtd",,"bse_cm|957VCL25","Bid Rate")</f>
        <v>980.55</v>
      </c>
      <c r="F53">
        <f>RTD("nest.scriprtd",,"bse_cm|957VCL25","Ask Rate")</f>
        <v>981.95</v>
      </c>
      <c r="G53">
        <f>RTD("nest.scriprtd",,"bse_cm|957VCL25","Ask Qty")</f>
        <v>50</v>
      </c>
      <c r="H53">
        <f>RTD("nest.scriprtd",,"bse_cm|957VCL25","LTP")</f>
        <v>977</v>
      </c>
      <c r="I53" t="str">
        <f>RTD("nest.scriprtd",,"bse_cm|957VCL25","LTT")</f>
        <v>10:20:44</v>
      </c>
      <c r="J53">
        <f>RTD("nest.scriprtd",,"bse_cm|957VCL25","% Change")</f>
        <v>-1.1100000000000001</v>
      </c>
      <c r="K53">
        <f>RTD("nest.scriprtd",,"bse_cm|957VCL25","ATP")</f>
        <v>977</v>
      </c>
      <c r="L53">
        <f>RTD("nest.scriprtd",,"bse_cm|957VCL25","Volume Traded Today")</f>
        <v>21</v>
      </c>
      <c r="M53">
        <f>RTD("nest.scriprtd",,"bse_cm|957VCL25","Open")</f>
        <v>977</v>
      </c>
      <c r="N53">
        <f>RTD("nest.scriprtd",,"bse_cm|957VCL25","High")</f>
        <v>977</v>
      </c>
      <c r="O53">
        <f>RTD("nest.scriprtd",,"bse_cm|957VCL25","Low ")</f>
        <v>977</v>
      </c>
      <c r="P53">
        <f>RTD("nest.scriprtd",,"bse_cm|957VCL25","Prev Close")</f>
        <v>987.93</v>
      </c>
      <c r="Q53">
        <f>RTD("nest.scriprtd",,"bse_cm|957VCL25","Face Value")</f>
        <v>1000</v>
      </c>
      <c r="R53" t="str">
        <f>RTD("nest.scriprtd",,"bse_cm|957VCL25","Isin code")</f>
        <v>INE01HV07411</v>
      </c>
      <c r="S53" s="9">
        <f>Table1[[#This Row],[Ask Rate]]*Table1[[#This Row],[Ask Qty]]</f>
        <v>49097.5</v>
      </c>
      <c r="T53">
        <f>VLOOKUP(Table1[[#This Row],[Isin code]],Table2[#All],7,FALSE)</f>
        <v>9.5699999999999985</v>
      </c>
      <c r="U53" s="17" t="str">
        <f>VLOOKUP(Table1[[#This Row],[Isin code]],Table2[#All],8,FALSE)</f>
        <v>06-Mar-2025</v>
      </c>
      <c r="V53" s="10">
        <f ca="1">Table1[[#This Row],[Maturity]]-TODAY()</f>
        <v>141</v>
      </c>
      <c r="W53" t="str">
        <f>VLOOKUP(Table1[[#This Row],[Isin code]],Table2[#All],10,FALSE)</f>
        <v>MONTHLY</v>
      </c>
      <c r="X53">
        <f ca="1">_xlfn.DAYS(Table1[[#This Row],[Maturity]],TODAY())-15</f>
        <v>126</v>
      </c>
      <c r="Y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3">
        <f>IF(Table1[[#This Row],[Ask Rate]]=0,0,Table1[[#This Row],[Face Value]]-Table1[[#This Row],[Ask Rate]])</f>
        <v>18.049999999999955</v>
      </c>
      <c r="AA53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53">
        <f ca="1">Table1[[#This Row],[Face Value]]*Table1[[#This Row],[Rate]]*Table1[[#This Row],[Time]]</f>
        <v>39.875</v>
      </c>
      <c r="AC53">
        <f ca="1">Table1[[#This Row],[SI]]+Table1[[#This Row],[Disc/Prem]]</f>
        <v>57.924999999999955</v>
      </c>
      <c r="AD53" s="3">
        <f ca="1">Table1[[#This Row],[Net Gain]]/Table1[[#This Row],[Ask Rate]]</f>
        <v>5.8989765262997047E-2</v>
      </c>
      <c r="AE53" s="3">
        <f ca="1">IF(Table1[[#This Row],[Ask Qty]]=0,0,Table1[[#This Row],[Gross Yield]]*365/Table1[[#This Row],[Days Left]])</f>
        <v>0.15270400227655265</v>
      </c>
      <c r="AF53" s="9">
        <f ca="1">+Table1[[#This Row],[Net Gain]]*Table1[[#This Row],[Ask Qty]]</f>
        <v>2896.2499999999977</v>
      </c>
      <c r="AG53" t="str">
        <f ca="1">IF(Table1[[#This Row],[YTM]]&gt;0.12,IF(Table1[[#This Row],[Gross Profit]]&gt;10000,"Invest","Review"),"Low YTM")</f>
        <v>Review</v>
      </c>
    </row>
    <row r="54" spans="1:33" x14ac:dyDescent="0.3">
      <c r="A54" t="str">
        <f>RTD("nest.scriprtd",,"bse_cm|895NHFL25","Symbol")</f>
        <v>895NHFL25</v>
      </c>
      <c r="B54" t="str">
        <f>RTD("nest.scriprtd",,"bse_cm|895NHFL25","Trading Symbol")</f>
        <v>895NHFL25</v>
      </c>
      <c r="C54" t="str">
        <f>RTD("nest.scriprtd",,"bse_cm|895NHFL25","Exchange")</f>
        <v>BSE</v>
      </c>
      <c r="D54">
        <f>RTD("nest.scriprtd",,"bse_cm|895NHFL25","Bid Qty")</f>
        <v>9</v>
      </c>
      <c r="E54">
        <f>RTD("nest.scriprtd",,"bse_cm|895NHFL25","Bid Rate")</f>
        <v>963</v>
      </c>
      <c r="F54">
        <f>RTD("nest.scriprtd",,"bse_cm|895NHFL25","Ask Rate")</f>
        <v>975</v>
      </c>
      <c r="G54">
        <f>RTD("nest.scriprtd",,"bse_cm|895NHFL25","Ask Qty")</f>
        <v>126</v>
      </c>
      <c r="H54">
        <f>RTD("nest.scriprtd",,"bse_cm|895NHFL25","LTP")</f>
        <v>0</v>
      </c>
      <c r="I54" t="str">
        <f>RTD("nest.scriprtd",,"bse_cm|895NHFL25","LTT")</f>
        <v>00:00:00</v>
      </c>
      <c r="J54">
        <f>RTD("nest.scriprtd",,"bse_cm|895NHFL25","% Change")</f>
        <v>-100</v>
      </c>
      <c r="K54">
        <f>RTD("nest.scriprtd",,"bse_cm|895NHFL25","ATP")</f>
        <v>0</v>
      </c>
      <c r="L54">
        <f>RTD("nest.scriprtd",,"bse_cm|895NHFL25","Volume Traded Today")</f>
        <v>0</v>
      </c>
      <c r="M54">
        <f>RTD("nest.scriprtd",,"bse_cm|895NHFL25","Open")</f>
        <v>0</v>
      </c>
      <c r="N54">
        <f>RTD("nest.scriprtd",,"bse_cm|895NHFL25","High")</f>
        <v>960.25</v>
      </c>
      <c r="O54">
        <f>RTD("nest.scriprtd",,"bse_cm|895NHFL25","Low ")</f>
        <v>960.2</v>
      </c>
      <c r="P54">
        <f>RTD("nest.scriprtd",,"bse_cm|895NHFL25","Prev Close")</f>
        <v>960.2</v>
      </c>
      <c r="Q54">
        <f>RTD("nest.scriprtd",,"bse_cm|895NHFL25","Face Value")</f>
        <v>1000</v>
      </c>
      <c r="R54" t="str">
        <f>RTD("nest.scriprtd",,"bse_cm|895NHFL25","Isin code")</f>
        <v>INE530L07590</v>
      </c>
      <c r="S54" s="9">
        <f>Table1[[#This Row],[Ask Rate]]*Table1[[#This Row],[Ask Qty]]</f>
        <v>122850</v>
      </c>
      <c r="T54">
        <f>VLOOKUP(Table1[[#This Row],[Isin code]],Table2[#All],7,FALSE)</f>
        <v>8.9499999999999993</v>
      </c>
      <c r="U54" s="17" t="str">
        <f>VLOOKUP(Table1[[#This Row],[Isin code]],Table2[#All],8,FALSE)</f>
        <v>15-Sep-2025</v>
      </c>
      <c r="V54" s="10">
        <f ca="1">Table1[[#This Row],[Maturity]]-TODAY()</f>
        <v>334</v>
      </c>
      <c r="W54" t="str">
        <f>VLOOKUP(Table1[[#This Row],[Isin code]],Table2[#All],10,FALSE)</f>
        <v>Yearly</v>
      </c>
      <c r="X54">
        <f ca="1">_xlfn.DAYS(Table1[[#This Row],[Maturity]],TODAY())-15</f>
        <v>319</v>
      </c>
      <c r="Y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54">
        <f>IF(Table1[[#This Row],[Ask Rate]]=0,0,Table1[[#This Row],[Face Value]]-Table1[[#This Row],[Ask Rate]])</f>
        <v>25</v>
      </c>
      <c r="AA54">
        <f>IF(Table1[[#This Row],[Freq]]="Yearly",Table1[[#This Row],[Coupon_Rate]]/100,IF(Table1[[#This Row],[Freq]]="Monthly",Table1[[#This Row],[Coupon_Rate]]/1200,IF(Table1[[#This Row],[Freq]]="Quarterly",Table1[[#This Row],[Coupon_Rate]]/400,0)))</f>
        <v>8.9499999999999996E-2</v>
      </c>
      <c r="AB54">
        <f ca="1">Table1[[#This Row],[Face Value]]*Table1[[#This Row],[Rate]]*Table1[[#This Row],[Time]]</f>
        <v>89.5</v>
      </c>
      <c r="AC54">
        <f ca="1">Table1[[#This Row],[SI]]+Table1[[#This Row],[Disc/Prem]]</f>
        <v>114.5</v>
      </c>
      <c r="AD54" s="3">
        <f ca="1">Table1[[#This Row],[Net Gain]]/Table1[[#This Row],[Ask Rate]]</f>
        <v>0.11743589743589744</v>
      </c>
      <c r="AE54" s="3">
        <f ca="1">IF(Table1[[#This Row],[Ask Qty]]=0,0,Table1[[#This Row],[Gross Yield]]*365/Table1[[#This Row],[Days Left]])</f>
        <v>0.12833563641946877</v>
      </c>
      <c r="AF54" s="9">
        <f ca="1">+Table1[[#This Row],[Net Gain]]*Table1[[#This Row],[Ask Qty]]</f>
        <v>14427</v>
      </c>
      <c r="AG54" t="str">
        <f ca="1">IF(Table1[[#This Row],[YTM]]&gt;0.12,IF(Table1[[#This Row],[Gross Profit]]&gt;10000,"Invest","Review"),"Low YTM")</f>
        <v>Invest</v>
      </c>
    </row>
    <row r="55" spans="1:33" x14ac:dyDescent="0.3">
      <c r="A55" t="str">
        <f>RTD("nest.scriprtd",,"bse_cm|920EFSL27","Symbol")</f>
        <v>920EFSL27</v>
      </c>
      <c r="B55" t="str">
        <f>RTD("nest.scriprtd",,"bse_cm|920EFSL27","Trading Symbol")</f>
        <v>920EFSL27</v>
      </c>
      <c r="C55" t="str">
        <f>RTD("nest.scriprtd",,"bse_cm|920EFSL27","Exchange")</f>
        <v>BSE</v>
      </c>
      <c r="D55">
        <f>RTD("nest.scriprtd",,"bse_cm|920EFSL27","Bid Qty")</f>
        <v>33</v>
      </c>
      <c r="E55">
        <f>RTD("nest.scriprtd",,"bse_cm|920EFSL27","Bid Rate")</f>
        <v>935</v>
      </c>
      <c r="F55">
        <f>RTD("nest.scriprtd",,"bse_cm|920EFSL27","Ask Rate")</f>
        <v>975</v>
      </c>
      <c r="G55">
        <f>RTD("nest.scriprtd",,"bse_cm|920EFSL27","Ask Qty")</f>
        <v>10</v>
      </c>
      <c r="H55">
        <f>RTD("nest.scriprtd",,"bse_cm|920EFSL27","LTP")</f>
        <v>940</v>
      </c>
      <c r="I55" t="str">
        <f>RTD("nest.scriprtd",,"bse_cm|920EFSL27","LTT")</f>
        <v>15:15:16</v>
      </c>
      <c r="J55">
        <f>RTD("nest.scriprtd",,"bse_cm|920EFSL27","% Change")</f>
        <v>-1.05</v>
      </c>
      <c r="K55">
        <f>RTD("nest.scriprtd",,"bse_cm|920EFSL27","ATP")</f>
        <v>924.27</v>
      </c>
      <c r="L55">
        <f>RTD("nest.scriprtd",,"bse_cm|920EFSL27","Volume Traded Today")</f>
        <v>370</v>
      </c>
      <c r="M55">
        <f>RTD("nest.scriprtd",,"bse_cm|920EFSL27","Open")</f>
        <v>935</v>
      </c>
      <c r="N55">
        <f>RTD("nest.scriprtd",,"bse_cm|920EFSL27","High")</f>
        <v>940</v>
      </c>
      <c r="O55">
        <f>RTD("nest.scriprtd",,"bse_cm|920EFSL27","Low ")</f>
        <v>906</v>
      </c>
      <c r="P55">
        <f>RTD("nest.scriprtd",,"bse_cm|920EFSL27","Prev Close")</f>
        <v>950</v>
      </c>
      <c r="Q55">
        <f>RTD("nest.scriprtd",,"bse_cm|920EFSL27","Face Value")</f>
        <v>1000</v>
      </c>
      <c r="R55" t="str">
        <f>RTD("nest.scriprtd",,"bse_cm|920EFSL27","Isin code")</f>
        <v>INE532F07EU0</v>
      </c>
      <c r="S55" s="9">
        <f>Table1[[#This Row],[Ask Rate]]*Table1[[#This Row],[Ask Qty]]</f>
        <v>9750</v>
      </c>
      <c r="T55">
        <f>VLOOKUP(Table1[[#This Row],[Isin code]],Table2[#All],7,FALSE)</f>
        <v>9.1999999999999993</v>
      </c>
      <c r="U55" s="17" t="str">
        <f>VLOOKUP(Table1[[#This Row],[Isin code]],Table2[#All],8,FALSE)</f>
        <v>29-Jan-2027</v>
      </c>
      <c r="V55" s="10">
        <f ca="1">Table1[[#This Row],[Maturity]]-TODAY()</f>
        <v>835</v>
      </c>
      <c r="W55" t="str">
        <f>VLOOKUP(Table1[[#This Row],[Isin code]],Table2[#All],10,FALSE)</f>
        <v>Monthly</v>
      </c>
      <c r="X55">
        <f ca="1">_xlfn.DAYS(Table1[[#This Row],[Maturity]],TODAY())-15</f>
        <v>820</v>
      </c>
      <c r="Y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28</v>
      </c>
      <c r="Z55">
        <f>IF(Table1[[#This Row],[Ask Rate]]=0,0,Table1[[#This Row],[Face Value]]-Table1[[#This Row],[Ask Rate]])</f>
        <v>25</v>
      </c>
      <c r="AA55">
        <f>IF(Table1[[#This Row],[Freq]]="Yearly",Table1[[#This Row],[Coupon_Rate]]/100,IF(Table1[[#This Row],[Freq]]="Monthly",Table1[[#This Row],[Coupon_Rate]]/1200,IF(Table1[[#This Row],[Freq]]="Quarterly",Table1[[#This Row],[Coupon_Rate]]/400,0)))</f>
        <v>7.6666666666666662E-3</v>
      </c>
      <c r="AB55">
        <f ca="1">Table1[[#This Row],[Face Value]]*Table1[[#This Row],[Rate]]*Table1[[#This Row],[Time]]</f>
        <v>214.66666666666666</v>
      </c>
      <c r="AC55">
        <f ca="1">Table1[[#This Row],[SI]]+Table1[[#This Row],[Disc/Prem]]</f>
        <v>239.66666666666666</v>
      </c>
      <c r="AD55" s="3">
        <f ca="1">Table1[[#This Row],[Net Gain]]/Table1[[#This Row],[Ask Rate]]</f>
        <v>0.24581196581196579</v>
      </c>
      <c r="AE55" s="3">
        <f ca="1">IF(Table1[[#This Row],[Ask Qty]]=0,0,Table1[[#This Row],[Gross Yield]]*365/Table1[[#This Row],[Days Left]])</f>
        <v>0.10745073954654792</v>
      </c>
      <c r="AF55" s="9">
        <f ca="1">+Table1[[#This Row],[Net Gain]]*Table1[[#This Row],[Ask Qty]]</f>
        <v>2396.6666666666665</v>
      </c>
      <c r="AG55" t="str">
        <f ca="1">IF(Table1[[#This Row],[YTM]]&gt;0.12,IF(Table1[[#This Row],[Gross Profit]]&gt;10000,"Invest","Review"),"Low YTM")</f>
        <v>Low YTM</v>
      </c>
    </row>
    <row r="56" spans="1:33" x14ac:dyDescent="0.3">
      <c r="A56" t="str">
        <f>RTD("nest.scriprtd",,"bse_cm|985ECL28","Symbol")</f>
        <v>985ECL28</v>
      </c>
      <c r="B56" t="str">
        <f>RTD("nest.scriprtd",,"bse_cm|985ECL28","Trading Symbol")</f>
        <v>985ECL28</v>
      </c>
      <c r="C56" t="str">
        <f>RTD("nest.scriprtd",,"bse_cm|985ECL28","Exchange")</f>
        <v>BSE</v>
      </c>
      <c r="D56">
        <f>RTD("nest.scriprtd",,"bse_cm|985ECL28","Bid Qty")</f>
        <v>10</v>
      </c>
      <c r="E56">
        <f>RTD("nest.scriprtd",,"bse_cm|985ECL28","Bid Rate")</f>
        <v>930.3</v>
      </c>
      <c r="F56">
        <f>RTD("nest.scriprtd",,"bse_cm|985ECL28","Ask Rate")</f>
        <v>939.89</v>
      </c>
      <c r="G56">
        <f>RTD("nest.scriprtd",,"bse_cm|985ECL28","Ask Qty")</f>
        <v>214</v>
      </c>
      <c r="H56">
        <f>RTD("nest.scriprtd",,"bse_cm|985ECL28","LTP")</f>
        <v>933.9</v>
      </c>
      <c r="I56" t="str">
        <f>RTD("nest.scriprtd",,"bse_cm|985ECL28","LTT")</f>
        <v>00:00:00</v>
      </c>
      <c r="J56">
        <f>RTD("nest.scriprtd",,"bse_cm|985ECL28","% Change")</f>
        <v>0</v>
      </c>
      <c r="K56">
        <f>RTD("nest.scriprtd",,"bse_cm|985ECL28","ATP")</f>
        <v>0</v>
      </c>
      <c r="L56">
        <f>RTD("nest.scriprtd",,"bse_cm|985ECL28","Volume Traded Today")</f>
        <v>0</v>
      </c>
      <c r="M56">
        <f>RTD("nest.scriprtd",,"bse_cm|985ECL28","Open")</f>
        <v>0</v>
      </c>
      <c r="N56">
        <f>RTD("nest.scriprtd",,"bse_cm|985ECL28","High")</f>
        <v>934</v>
      </c>
      <c r="O56">
        <f>RTD("nest.scriprtd",,"bse_cm|985ECL28","Low ")</f>
        <v>933.9</v>
      </c>
      <c r="P56">
        <f>RTD("nest.scriprtd",,"bse_cm|985ECL28","Prev Close")</f>
        <v>933.9</v>
      </c>
      <c r="Q56">
        <f>RTD("nest.scriprtd",,"bse_cm|985ECL28","Face Value")</f>
        <v>1000</v>
      </c>
      <c r="R56" t="str">
        <f>RTD("nest.scriprtd",,"bse_cm|985ECL28","Isin code")</f>
        <v>INE804I079Y6</v>
      </c>
      <c r="S56" s="9">
        <f>Table1[[#This Row],[Ask Rate]]*Table1[[#This Row],[Ask Qty]]</f>
        <v>201136.46</v>
      </c>
      <c r="T56">
        <f>VLOOKUP(Table1[[#This Row],[Isin code]],Table2[#All],7,FALSE)</f>
        <v>9.85</v>
      </c>
      <c r="U56" s="17" t="str">
        <f>VLOOKUP(Table1[[#This Row],[Isin code]],Table2[#All],8,FALSE)</f>
        <v>06-Aug-2028</v>
      </c>
      <c r="V56" s="10">
        <f ca="1">Table1[[#This Row],[Maturity]]-TODAY()</f>
        <v>1390</v>
      </c>
      <c r="W56" t="str">
        <f>VLOOKUP(Table1[[#This Row],[Isin code]],Table2[#All],10,FALSE)</f>
        <v>Yearly</v>
      </c>
      <c r="X56">
        <f ca="1">_xlfn.DAYS(Table1[[#This Row],[Maturity]],TODAY())-15</f>
        <v>1375</v>
      </c>
      <c r="Y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6">
        <f>IF(Table1[[#This Row],[Ask Rate]]=0,0,Table1[[#This Row],[Face Value]]-Table1[[#This Row],[Ask Rate]])</f>
        <v>60.110000000000014</v>
      </c>
      <c r="AA56">
        <f>IF(Table1[[#This Row],[Freq]]="Yearly",Table1[[#This Row],[Coupon_Rate]]/100,IF(Table1[[#This Row],[Freq]]="Monthly",Table1[[#This Row],[Coupon_Rate]]/1200,IF(Table1[[#This Row],[Freq]]="Quarterly",Table1[[#This Row],[Coupon_Rate]]/400,0)))</f>
        <v>9.849999999999999E-2</v>
      </c>
      <c r="AB56">
        <f ca="1">Table1[[#This Row],[Face Value]]*Table1[[#This Row],[Rate]]*Table1[[#This Row],[Time]]</f>
        <v>393.99999999999994</v>
      </c>
      <c r="AC56">
        <f ca="1">Table1[[#This Row],[SI]]+Table1[[#This Row],[Disc/Prem]]</f>
        <v>454.10999999999996</v>
      </c>
      <c r="AD56" s="3">
        <f ca="1">Table1[[#This Row],[Net Gain]]/Table1[[#This Row],[Ask Rate]]</f>
        <v>0.48315228377788888</v>
      </c>
      <c r="AE56" s="3">
        <f ca="1">IF(Table1[[#This Row],[Ask Qty]]=0,0,Table1[[#This Row],[Gross Yield]]*365/Table1[[#This Row],[Days Left]])</f>
        <v>0.12687092343807874</v>
      </c>
      <c r="AF56" s="9">
        <f ca="1">+Table1[[#This Row],[Net Gain]]*Table1[[#This Row],[Ask Qty]]</f>
        <v>97179.54</v>
      </c>
      <c r="AG56" t="str">
        <f ca="1">IF(Table1[[#This Row],[YTM]]&gt;0.12,IF(Table1[[#This Row],[Gross Profit]]&gt;10000,"Invest","Review"),"Low YTM")</f>
        <v>Invest</v>
      </c>
    </row>
    <row r="57" spans="1:33" x14ac:dyDescent="0.3">
      <c r="A57" t="str">
        <f>RTD("nest.scriprtd",,"bse_cm|885SCL26","Symbol")</f>
        <v>885SCL26</v>
      </c>
      <c r="B57" t="str">
        <f>RTD("nest.scriprtd",,"bse_cm|885SCL26","Trading Symbol")</f>
        <v>885SCL26</v>
      </c>
      <c r="C57" t="str">
        <f>RTD("nest.scriprtd",,"bse_cm|885SCL26","Exchange")</f>
        <v>BSE</v>
      </c>
      <c r="D57">
        <f>RTD("nest.scriprtd",,"bse_cm|885SCL26","Bid Qty")</f>
        <v>1</v>
      </c>
      <c r="E57">
        <f>RTD("nest.scriprtd",,"bse_cm|885SCL26","Bid Rate")</f>
        <v>900</v>
      </c>
      <c r="F57">
        <f>RTD("nest.scriprtd",,"bse_cm|885SCL26","Ask Rate")</f>
        <v>944.2</v>
      </c>
      <c r="G57">
        <f>RTD("nest.scriprtd",,"bse_cm|885SCL26","Ask Qty")</f>
        <v>10</v>
      </c>
      <c r="H57">
        <f>RTD("nest.scriprtd",,"bse_cm|885SCL26","LTP")</f>
        <v>944.2</v>
      </c>
      <c r="I57" t="str">
        <f>RTD("nest.scriprtd",,"bse_cm|885SCL26","LTT")</f>
        <v>11:09:34</v>
      </c>
      <c r="J57">
        <f>RTD("nest.scriprtd",,"bse_cm|885SCL26","% Change")</f>
        <v>0.13</v>
      </c>
      <c r="K57">
        <f>RTD("nest.scriprtd",,"bse_cm|885SCL26","ATP")</f>
        <v>944.2</v>
      </c>
      <c r="L57">
        <f>RTD("nest.scriprtd",,"bse_cm|885SCL26","Volume Traded Today")</f>
        <v>10</v>
      </c>
      <c r="M57">
        <f>RTD("nest.scriprtd",,"bse_cm|885SCL26","Open")</f>
        <v>944.2</v>
      </c>
      <c r="N57">
        <f>RTD("nest.scriprtd",,"bse_cm|885SCL26","High")</f>
        <v>944.2</v>
      </c>
      <c r="O57">
        <f>RTD("nest.scriprtd",,"bse_cm|885SCL26","Low ")</f>
        <v>944.2</v>
      </c>
      <c r="P57">
        <f>RTD("nest.scriprtd",,"bse_cm|885SCL26","Prev Close")</f>
        <v>942.99</v>
      </c>
      <c r="Q57">
        <f>RTD("nest.scriprtd",,"bse_cm|885SCL26","Face Value")</f>
        <v>1000</v>
      </c>
      <c r="R57" t="str">
        <f>RTD("nest.scriprtd",,"bse_cm|885SCL26","Isin code")</f>
        <v>INE148I07GK5</v>
      </c>
      <c r="S57" s="9">
        <f>Table1[[#This Row],[Ask Rate]]*Table1[[#This Row],[Ask Qty]]</f>
        <v>9442</v>
      </c>
      <c r="T57">
        <f>VLOOKUP(Table1[[#This Row],[Isin code]],Table2[#All],7,FALSE)</f>
        <v>8.85</v>
      </c>
      <c r="U57" s="17" t="str">
        <f>VLOOKUP(Table1[[#This Row],[Isin code]],Table2[#All],8,FALSE)</f>
        <v>26-Sep-2026</v>
      </c>
      <c r="V57" s="10">
        <f ca="1">Table1[[#This Row],[Maturity]]-TODAY()</f>
        <v>710</v>
      </c>
      <c r="W57" t="str">
        <f>VLOOKUP(Table1[[#This Row],[Isin code]],Table2[#All],10,FALSE)</f>
        <v>Yearly</v>
      </c>
      <c r="X57">
        <f ca="1">_xlfn.DAYS(Table1[[#This Row],[Maturity]],TODAY())-15</f>
        <v>695</v>
      </c>
      <c r="Y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7">
        <f>IF(Table1[[#This Row],[Ask Rate]]=0,0,Table1[[#This Row],[Face Value]]-Table1[[#This Row],[Ask Rate]])</f>
        <v>55.799999999999955</v>
      </c>
      <c r="AA57">
        <f>IF(Table1[[#This Row],[Freq]]="Yearly",Table1[[#This Row],[Coupon_Rate]]/100,IF(Table1[[#This Row],[Freq]]="Monthly",Table1[[#This Row],[Coupon_Rate]]/1200,IF(Table1[[#This Row],[Freq]]="Quarterly",Table1[[#This Row],[Coupon_Rate]]/400,0)))</f>
        <v>8.8499999999999995E-2</v>
      </c>
      <c r="AB57">
        <f ca="1">Table1[[#This Row],[Face Value]]*Table1[[#This Row],[Rate]]*Table1[[#This Row],[Time]]</f>
        <v>177</v>
      </c>
      <c r="AC57">
        <f ca="1">Table1[[#This Row],[SI]]+Table1[[#This Row],[Disc/Prem]]</f>
        <v>232.79999999999995</v>
      </c>
      <c r="AD57" s="3">
        <f ca="1">Table1[[#This Row],[Net Gain]]/Table1[[#This Row],[Ask Rate]]</f>
        <v>0.24655793264138948</v>
      </c>
      <c r="AE57" s="3">
        <f ca="1">IF(Table1[[#This Row],[Ask Qty]]=0,0,Table1[[#This Row],[Gross Yield]]*365/Table1[[#This Row],[Days Left]])</f>
        <v>0.12675161325930587</v>
      </c>
      <c r="AF57" s="9">
        <f ca="1">+Table1[[#This Row],[Net Gain]]*Table1[[#This Row],[Ask Qty]]</f>
        <v>2327.9999999999995</v>
      </c>
      <c r="AG57" t="str">
        <f ca="1">IF(Table1[[#This Row],[YTM]]&gt;0.12,IF(Table1[[#This Row],[Gross Profit]]&gt;10000,"Invest","Review"),"Low YTM")</f>
        <v>Review</v>
      </c>
    </row>
    <row r="58" spans="1:33" x14ac:dyDescent="0.3">
      <c r="A58" t="str">
        <f>RTD("nest.scriprtd",,"nse_cm|915SCL26-NE","Symbol")</f>
        <v>915SCL26</v>
      </c>
      <c r="B58" t="str">
        <f>RTD("nest.scriprtd",,"nse_cm|915SCL26-NE","Trading Symbol")</f>
        <v>915SCL26-NE</v>
      </c>
      <c r="C58" t="str">
        <f>RTD("nest.scriprtd",,"nse_cm|915SCL26-NE","Exchange")</f>
        <v>NSE</v>
      </c>
      <c r="D58">
        <f>RTD("nest.scriprtd",,"nse_cm|915SCL26-NE","Bid Qty")</f>
        <v>100</v>
      </c>
      <c r="E58">
        <f>RTD("nest.scriprtd",,"nse_cm|915SCL26-NE","Bid Rate")</f>
        <v>881.01</v>
      </c>
      <c r="F58">
        <f>RTD("nest.scriprtd",,"nse_cm|915SCL26-NE","Ask Rate")</f>
        <v>949.65</v>
      </c>
      <c r="G58">
        <f>RTD("nest.scriprtd",,"nse_cm|915SCL26-NE","Ask Qty")</f>
        <v>1</v>
      </c>
      <c r="H58">
        <f>RTD("nest.scriprtd",,"nse_cm|915SCL26-NE","LTP")</f>
        <v>974</v>
      </c>
      <c r="I58" t="str">
        <f>RTD("nest.scriprtd",,"nse_cm|915SCL26-NE","LTT")</f>
        <v/>
      </c>
      <c r="J58">
        <f>RTD("nest.scriprtd",,"nse_cm|915SCL26-NE","% Change")</f>
        <v>0</v>
      </c>
      <c r="K58">
        <f>RTD("nest.scriprtd",,"nse_cm|915SCL26-NE","ATP")</f>
        <v>0</v>
      </c>
      <c r="L58">
        <f>RTD("nest.scriprtd",,"nse_cm|915SCL26-NE","Volume Traded Today")</f>
        <v>0</v>
      </c>
      <c r="M58">
        <f>RTD("nest.scriprtd",,"nse_cm|915SCL26-NE","Open")</f>
        <v>0</v>
      </c>
      <c r="N58">
        <f>RTD("nest.scriprtd",,"nse_cm|915SCL26-NE","High")</f>
        <v>974</v>
      </c>
      <c r="O58">
        <f>RTD("nest.scriprtd",,"nse_cm|915SCL26-NE","Low ")</f>
        <v>974</v>
      </c>
      <c r="P58">
        <f>RTD("nest.scriprtd",,"nse_cm|915SCL26-NE","Prev Close")</f>
        <v>974</v>
      </c>
      <c r="Q58">
        <f>RTD("nest.scriprtd",,"nse_cm|915SCL26-NE","Face Value")</f>
        <v>1000</v>
      </c>
      <c r="R58" t="str">
        <f>RTD("nest.scriprtd",,"nse_cm|915SCL26-NE","Isin code")</f>
        <v>INE148I08256</v>
      </c>
      <c r="S58" s="9">
        <f>Table1[[#This Row],[Ask Rate]]*Table1[[#This Row],[Ask Qty]]</f>
        <v>949.65</v>
      </c>
      <c r="T58">
        <f>VLOOKUP(Table1[[#This Row],[Isin code]],Table2[#All],7,FALSE)</f>
        <v>9.15</v>
      </c>
      <c r="U58" s="17" t="str">
        <f>VLOOKUP(Table1[[#This Row],[Isin code]],Table2[#All],8,FALSE)</f>
        <v>26-Sep-2026</v>
      </c>
      <c r="V58" s="10">
        <f ca="1">Table1[[#This Row],[Maturity]]-TODAY()</f>
        <v>710</v>
      </c>
      <c r="W58" t="str">
        <f>VLOOKUP(Table1[[#This Row],[Isin code]],Table2[#All],10,FALSE)</f>
        <v>Yearly</v>
      </c>
      <c r="X58">
        <f ca="1">_xlfn.DAYS(Table1[[#This Row],[Maturity]],TODAY())-15</f>
        <v>695</v>
      </c>
      <c r="Y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8">
        <f>IF(Table1[[#This Row],[Ask Rate]]=0,0,Table1[[#This Row],[Face Value]]-Table1[[#This Row],[Ask Rate]])</f>
        <v>50.350000000000023</v>
      </c>
      <c r="AA58">
        <f>IF(Table1[[#This Row],[Freq]]="Yearly",Table1[[#This Row],[Coupon_Rate]]/100,IF(Table1[[#This Row],[Freq]]="Monthly",Table1[[#This Row],[Coupon_Rate]]/1200,IF(Table1[[#This Row],[Freq]]="Quarterly",Table1[[#This Row],[Coupon_Rate]]/400,0)))</f>
        <v>9.1499999999999998E-2</v>
      </c>
      <c r="AB58">
        <f ca="1">Table1[[#This Row],[Face Value]]*Table1[[#This Row],[Rate]]*Table1[[#This Row],[Time]]</f>
        <v>183</v>
      </c>
      <c r="AC58">
        <f ca="1">Table1[[#This Row],[SI]]+Table1[[#This Row],[Disc/Prem]]</f>
        <v>233.35000000000002</v>
      </c>
      <c r="AD58" s="3">
        <f ca="1">Table1[[#This Row],[Net Gain]]/Table1[[#This Row],[Ask Rate]]</f>
        <v>0.24572210814510612</v>
      </c>
      <c r="AE58" s="3">
        <f ca="1">IF(Table1[[#This Row],[Ask Qty]]=0,0,Table1[[#This Row],[Gross Yield]]*365/Table1[[#This Row],[Days Left]])</f>
        <v>0.12632192883516019</v>
      </c>
      <c r="AF58" s="9">
        <f ca="1">+Table1[[#This Row],[Net Gain]]*Table1[[#This Row],[Ask Qty]]</f>
        <v>233.35000000000002</v>
      </c>
      <c r="AG58" t="str">
        <f ca="1">IF(Table1[[#This Row],[YTM]]&gt;0.12,IF(Table1[[#This Row],[Gross Profit]]&gt;10000,"Invest","Review"),"Low YTM")</f>
        <v>Review</v>
      </c>
    </row>
    <row r="59" spans="1:33" x14ac:dyDescent="0.3">
      <c r="A59" t="str">
        <f>RTD("nest.scriprtd",,"bse_cm|915NIDO27","Symbol")</f>
        <v>915NIDO27</v>
      </c>
      <c r="B59" t="str">
        <f>RTD("nest.scriprtd",,"bse_cm|915NIDO27","Trading Symbol")</f>
        <v>915NIDO27</v>
      </c>
      <c r="C59" t="str">
        <f>RTD("nest.scriprtd",,"bse_cm|915NIDO27","Exchange")</f>
        <v>BSE</v>
      </c>
      <c r="D59">
        <f>RTD("nest.scriprtd",,"bse_cm|915NIDO27","Bid Qty")</f>
        <v>190</v>
      </c>
      <c r="E59">
        <f>RTD("nest.scriprtd",,"bse_cm|915NIDO27","Bid Rate")</f>
        <v>927</v>
      </c>
      <c r="F59">
        <f>RTD("nest.scriprtd",,"bse_cm|915NIDO27","Ask Rate")</f>
        <v>937.19</v>
      </c>
      <c r="G59">
        <f>RTD("nest.scriprtd",,"bse_cm|915NIDO27","Ask Qty")</f>
        <v>1</v>
      </c>
      <c r="H59">
        <f>RTD("nest.scriprtd",,"bse_cm|915NIDO27","LTP")</f>
        <v>937.2</v>
      </c>
      <c r="I59" t="str">
        <f>RTD("nest.scriprtd",,"bse_cm|915NIDO27","LTT")</f>
        <v>09:50:20</v>
      </c>
      <c r="J59">
        <f>RTD("nest.scriprtd",,"bse_cm|915NIDO27","% Change")</f>
        <v>0.24</v>
      </c>
      <c r="K59">
        <f>RTD("nest.scriprtd",,"bse_cm|915NIDO27","ATP")</f>
        <v>937.2</v>
      </c>
      <c r="L59">
        <f>RTD("nest.scriprtd",,"bse_cm|915NIDO27","Volume Traded Today")</f>
        <v>5</v>
      </c>
      <c r="M59">
        <f>RTD("nest.scriprtd",,"bse_cm|915NIDO27","Open")</f>
        <v>937.2</v>
      </c>
      <c r="N59">
        <f>RTD("nest.scriprtd",,"bse_cm|915NIDO27","High")</f>
        <v>937.2</v>
      </c>
      <c r="O59">
        <f>RTD("nest.scriprtd",,"bse_cm|915NIDO27","Low ")</f>
        <v>937.2</v>
      </c>
      <c r="P59">
        <f>RTD("nest.scriprtd",,"bse_cm|915NIDO27","Prev Close")</f>
        <v>935</v>
      </c>
      <c r="Q59">
        <f>RTD("nest.scriprtd",,"bse_cm|915NIDO27","Face Value")</f>
        <v>1000</v>
      </c>
      <c r="R59" t="str">
        <f>RTD("nest.scriprtd",,"bse_cm|915NIDO27","Isin code")</f>
        <v>INE530L07475</v>
      </c>
      <c r="S59" s="9">
        <f>Table1[[#This Row],[Ask Rate]]*Table1[[#This Row],[Ask Qty]]</f>
        <v>937.19</v>
      </c>
      <c r="T59">
        <f>VLOOKUP(Table1[[#This Row],[Isin code]],Table2[#All],7,FALSE)</f>
        <v>9.15</v>
      </c>
      <c r="U59" s="17" t="str">
        <f>VLOOKUP(Table1[[#This Row],[Isin code]],Table2[#All],8,FALSE)</f>
        <v>29-Apr-2027</v>
      </c>
      <c r="V59" s="10">
        <f ca="1">Table1[[#This Row],[Maturity]]-TODAY()</f>
        <v>925</v>
      </c>
      <c r="W59" t="str">
        <f>VLOOKUP(Table1[[#This Row],[Isin code]],Table2[#All],10,FALSE)</f>
        <v>Monthly</v>
      </c>
      <c r="X59">
        <f ca="1">_xlfn.DAYS(Table1[[#This Row],[Maturity]],TODAY())-15</f>
        <v>910</v>
      </c>
      <c r="Y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59">
        <f>IF(Table1[[#This Row],[Ask Rate]]=0,0,Table1[[#This Row],[Face Value]]-Table1[[#This Row],[Ask Rate]])</f>
        <v>62.809999999999945</v>
      </c>
      <c r="AA59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59">
        <f ca="1">Table1[[#This Row],[Face Value]]*Table1[[#This Row],[Rate]]*Table1[[#This Row],[Time]]</f>
        <v>236.37500000000003</v>
      </c>
      <c r="AC59">
        <f ca="1">Table1[[#This Row],[SI]]+Table1[[#This Row],[Disc/Prem]]</f>
        <v>299.18499999999995</v>
      </c>
      <c r="AD59" s="3">
        <f ca="1">Table1[[#This Row],[Net Gain]]/Table1[[#This Row],[Ask Rate]]</f>
        <v>0.31923622744587538</v>
      </c>
      <c r="AE59" s="3">
        <f ca="1">IF(Table1[[#This Row],[Ask Qty]]=0,0,Table1[[#This Row],[Gross Yield]]*365/Table1[[#This Row],[Days Left]])</f>
        <v>0.12596888974891299</v>
      </c>
      <c r="AF59" s="9">
        <f ca="1">+Table1[[#This Row],[Net Gain]]*Table1[[#This Row],[Ask Qty]]</f>
        <v>299.18499999999995</v>
      </c>
      <c r="AG59" t="str">
        <f ca="1">IF(Table1[[#This Row],[YTM]]&gt;0.12,IF(Table1[[#This Row],[Gross Profit]]&gt;10000,"Invest","Review"),"Low YTM")</f>
        <v>Review</v>
      </c>
    </row>
    <row r="60" spans="1:33" x14ac:dyDescent="0.3">
      <c r="A60" t="str">
        <f>RTD("nest.scriprtd",,"bse_cm|905NIDO25","Symbol")</f>
        <v>905NIDO25</v>
      </c>
      <c r="B60" t="str">
        <f>RTD("nest.scriprtd",,"bse_cm|905NIDO25","Trading Symbol")</f>
        <v>905NIDO25</v>
      </c>
      <c r="C60" t="str">
        <f>RTD("nest.scriprtd",,"bse_cm|905NIDO25","Exchange")</f>
        <v>BSE</v>
      </c>
      <c r="D60">
        <f>RTD("nest.scriprtd",,"bse_cm|905NIDO25","Bid Qty")</f>
        <v>50</v>
      </c>
      <c r="E60">
        <f>RTD("nest.scriprtd",,"bse_cm|905NIDO25","Bid Rate")</f>
        <v>1016.11</v>
      </c>
      <c r="F60">
        <f>RTD("nest.scriprtd",,"bse_cm|905NIDO25","Ask Rate")</f>
        <v>1021.95</v>
      </c>
      <c r="G60">
        <f>RTD("nest.scriprtd",,"bse_cm|905NIDO25","Ask Qty")</f>
        <v>22</v>
      </c>
      <c r="H60">
        <f>RTD("nest.scriprtd",,"bse_cm|905NIDO25","LTP")</f>
        <v>0</v>
      </c>
      <c r="I60" t="str">
        <f>RTD("nest.scriprtd",,"bse_cm|905NIDO25","LTT")</f>
        <v>00:00:00</v>
      </c>
      <c r="J60">
        <f>RTD("nest.scriprtd",,"bse_cm|905NIDO25","% Change")</f>
        <v>-100</v>
      </c>
      <c r="K60">
        <f>RTD("nest.scriprtd",,"bse_cm|905NIDO25","ATP")</f>
        <v>0</v>
      </c>
      <c r="L60">
        <f>RTD("nest.scriprtd",,"bse_cm|905NIDO25","Volume Traded Today")</f>
        <v>0</v>
      </c>
      <c r="M60">
        <f>RTD("nest.scriprtd",,"bse_cm|905NIDO25","Open")</f>
        <v>0</v>
      </c>
      <c r="N60">
        <f>RTD("nest.scriprtd",,"bse_cm|905NIDO25","High")</f>
        <v>1015.51</v>
      </c>
      <c r="O60">
        <f>RTD("nest.scriprtd",,"bse_cm|905NIDO25","Low ")</f>
        <v>1010.2</v>
      </c>
      <c r="P60">
        <f>RTD("nest.scriprtd",,"bse_cm|905NIDO25","Prev Close")</f>
        <v>1010.2</v>
      </c>
      <c r="Q60">
        <f>RTD("nest.scriprtd",,"bse_cm|905NIDO25","Face Value")</f>
        <v>1000</v>
      </c>
      <c r="R60" t="str">
        <f>RTD("nest.scriprtd",,"bse_cm|905NIDO25","Isin code")</f>
        <v>INE530L07459</v>
      </c>
      <c r="S60" s="9">
        <f>Table1[[#This Row],[Ask Rate]]*Table1[[#This Row],[Ask Qty]]</f>
        <v>22482.9</v>
      </c>
      <c r="T60">
        <f>VLOOKUP(Table1[[#This Row],[Isin code]],Table2[#All],7,FALSE)</f>
        <v>9.0499999999999989</v>
      </c>
      <c r="U60" s="17" t="str">
        <f>VLOOKUP(Table1[[#This Row],[Isin code]],Table2[#All],8,FALSE)</f>
        <v>29-Apr-2025</v>
      </c>
      <c r="V60" s="10">
        <f ca="1">Table1[[#This Row],[Maturity]]-TODAY()</f>
        <v>195</v>
      </c>
      <c r="W60" t="str">
        <f>VLOOKUP(Table1[[#This Row],[Isin code]],Table2[#All],10,FALSE)</f>
        <v>Yearly</v>
      </c>
      <c r="X60">
        <f ca="1">_xlfn.DAYS(Table1[[#This Row],[Maturity]],TODAY())-15</f>
        <v>180</v>
      </c>
      <c r="Y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0">
        <f>IF(Table1[[#This Row],[Ask Rate]]=0,0,Table1[[#This Row],[Face Value]]-Table1[[#This Row],[Ask Rate]])</f>
        <v>-21.950000000000045</v>
      </c>
      <c r="AA60">
        <f>IF(Table1[[#This Row],[Freq]]="Yearly",Table1[[#This Row],[Coupon_Rate]]/100,IF(Table1[[#This Row],[Freq]]="Monthly",Table1[[#This Row],[Coupon_Rate]]/1200,IF(Table1[[#This Row],[Freq]]="Quarterly",Table1[[#This Row],[Coupon_Rate]]/400,0)))</f>
        <v>9.0499999999999983E-2</v>
      </c>
      <c r="AB60">
        <f ca="1">Table1[[#This Row],[Face Value]]*Table1[[#This Row],[Rate]]*Table1[[#This Row],[Time]]</f>
        <v>90.499999999999986</v>
      </c>
      <c r="AC60">
        <f ca="1">Table1[[#This Row],[SI]]+Table1[[#This Row],[Disc/Prem]]</f>
        <v>68.54999999999994</v>
      </c>
      <c r="AD60" s="3">
        <f ca="1">Table1[[#This Row],[Net Gain]]/Table1[[#This Row],[Ask Rate]]</f>
        <v>6.707764567738142E-2</v>
      </c>
      <c r="AE60" s="3">
        <f ca="1">IF(Table1[[#This Row],[Ask Qty]]=0,0,Table1[[#This Row],[Gross Yield]]*365/Table1[[#This Row],[Days Left]])</f>
        <v>0.12555559319099599</v>
      </c>
      <c r="AF60" s="9">
        <f ca="1">+Table1[[#This Row],[Net Gain]]*Table1[[#This Row],[Ask Qty]]</f>
        <v>1508.0999999999988</v>
      </c>
      <c r="AG60" t="str">
        <f ca="1">IF(Table1[[#This Row],[YTM]]&gt;0.12,IF(Table1[[#This Row],[Gross Profit]]&gt;10000,"Invest","Review"),"Low YTM")</f>
        <v>Review</v>
      </c>
    </row>
    <row r="61" spans="1:33" x14ac:dyDescent="0.3">
      <c r="A61" t="str">
        <f>RTD("nest.scriprtd",,"bse_cm|920EFSL26A","Symbol")</f>
        <v>920EFSL26A</v>
      </c>
      <c r="B61" t="str">
        <f>RTD("nest.scriprtd",,"bse_cm|920EFSL26A","Trading Symbol")</f>
        <v>920EFSL26A</v>
      </c>
      <c r="C61" t="str">
        <f>RTD("nest.scriprtd",,"bse_cm|920EFSL26A","Exchange")</f>
        <v>BSE</v>
      </c>
      <c r="D61">
        <f>RTD("nest.scriprtd",,"bse_cm|920EFSL26A","Bid Qty")</f>
        <v>25</v>
      </c>
      <c r="E61">
        <f>RTD("nest.scriprtd",,"bse_cm|920EFSL26A","Bid Rate")</f>
        <v>940</v>
      </c>
      <c r="F61">
        <f>RTD("nest.scriprtd",,"bse_cm|920EFSL26A","Ask Rate")</f>
        <v>947.8</v>
      </c>
      <c r="G61">
        <f>RTD("nest.scriprtd",,"bse_cm|920EFSL26A","Ask Qty")</f>
        <v>10</v>
      </c>
      <c r="H61">
        <f>RTD("nest.scriprtd",,"bse_cm|920EFSL26A","LTP")</f>
        <v>945</v>
      </c>
      <c r="I61" t="str">
        <f>RTD("nest.scriprtd",,"bse_cm|920EFSL26A","LTT")</f>
        <v>11:13:32</v>
      </c>
      <c r="J61">
        <f>RTD("nest.scriprtd",,"bse_cm|920EFSL26A","% Change")</f>
        <v>-1.56</v>
      </c>
      <c r="K61">
        <f>RTD("nest.scriprtd",,"bse_cm|920EFSL26A","ATP")</f>
        <v>932.55</v>
      </c>
      <c r="L61">
        <f>RTD("nest.scriprtd",,"bse_cm|920EFSL26A","Volume Traded Today")</f>
        <v>210</v>
      </c>
      <c r="M61">
        <f>RTD("nest.scriprtd",,"bse_cm|920EFSL26A","Open")</f>
        <v>932.2</v>
      </c>
      <c r="N61">
        <f>RTD("nest.scriprtd",,"bse_cm|920EFSL26A","High")</f>
        <v>1000</v>
      </c>
      <c r="O61">
        <f>RTD("nest.scriprtd",,"bse_cm|920EFSL26A","Low ")</f>
        <v>902</v>
      </c>
      <c r="P61">
        <f>RTD("nest.scriprtd",,"bse_cm|920EFSL26A","Prev Close")</f>
        <v>960</v>
      </c>
      <c r="Q61">
        <f>RTD("nest.scriprtd",,"bse_cm|920EFSL26A","Face Value")</f>
        <v>1000</v>
      </c>
      <c r="R61" t="str">
        <f>RTD("nest.scriprtd",,"bse_cm|920EFSL26A","Isin code")</f>
        <v>INE532F07EQ8</v>
      </c>
      <c r="S61" s="9">
        <f>Table1[[#This Row],[Ask Rate]]*Table1[[#This Row],[Ask Qty]]</f>
        <v>9478</v>
      </c>
      <c r="T61">
        <f>VLOOKUP(Table1[[#This Row],[Isin code]],Table2[#All],7,FALSE)</f>
        <v>9.1999999999999993</v>
      </c>
      <c r="U61" s="17" t="str">
        <f>VLOOKUP(Table1[[#This Row],[Isin code]],Table2[#All],8,FALSE)</f>
        <v>26-Oct-2026</v>
      </c>
      <c r="V61" s="10">
        <f ca="1">Table1[[#This Row],[Maturity]]-TODAY()</f>
        <v>740</v>
      </c>
      <c r="W61" t="str">
        <f>VLOOKUP(Table1[[#This Row],[Isin code]],Table2[#All],10,FALSE)</f>
        <v>Monthly</v>
      </c>
      <c r="X61">
        <f ca="1">_xlfn.DAYS(Table1[[#This Row],[Maturity]],TODAY())-15</f>
        <v>725</v>
      </c>
      <c r="Y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61">
        <f>IF(Table1[[#This Row],[Ask Rate]]=0,0,Table1[[#This Row],[Face Value]]-Table1[[#This Row],[Ask Rate]])</f>
        <v>52.200000000000045</v>
      </c>
      <c r="AA61">
        <f>IF(Table1[[#This Row],[Freq]]="Yearly",Table1[[#This Row],[Coupon_Rate]]/100,IF(Table1[[#This Row],[Freq]]="Monthly",Table1[[#This Row],[Coupon_Rate]]/1200,IF(Table1[[#This Row],[Freq]]="Quarterly",Table1[[#This Row],[Coupon_Rate]]/400,0)))</f>
        <v>7.6666666666666662E-3</v>
      </c>
      <c r="AB61">
        <f ca="1">Table1[[#This Row],[Face Value]]*Table1[[#This Row],[Rate]]*Table1[[#This Row],[Time]]</f>
        <v>191.66666666666666</v>
      </c>
      <c r="AC61">
        <f ca="1">Table1[[#This Row],[SI]]+Table1[[#This Row],[Disc/Prem]]</f>
        <v>243.8666666666667</v>
      </c>
      <c r="AD61" s="3">
        <f ca="1">Table1[[#This Row],[Net Gain]]/Table1[[#This Row],[Ask Rate]]</f>
        <v>0.25729760146303726</v>
      </c>
      <c r="AE61" s="3">
        <f ca="1">IF(Table1[[#This Row],[Ask Qty]]=0,0,Table1[[#This Row],[Gross Yield]]*365/Table1[[#This Row],[Days Left]])</f>
        <v>0.12691030342433596</v>
      </c>
      <c r="AF61" s="9">
        <f ca="1">+Table1[[#This Row],[Net Gain]]*Table1[[#This Row],[Ask Qty]]</f>
        <v>2438.666666666667</v>
      </c>
      <c r="AG61" t="str">
        <f ca="1">IF(Table1[[#This Row],[YTM]]&gt;0.12,IF(Table1[[#This Row],[Gross Profit]]&gt;10000,"Invest","Review"),"Low YTM")</f>
        <v>Review</v>
      </c>
    </row>
    <row r="62" spans="1:33" x14ac:dyDescent="0.3">
      <c r="A62" t="str">
        <f>RTD("nest.scriprtd",,"bse_cm|10NIDO26","Symbol")</f>
        <v>10NIDO26</v>
      </c>
      <c r="B62" t="str">
        <f>RTD("nest.scriprtd",,"bse_cm|10NIDO26","Trading Symbol")</f>
        <v>10NIDO26</v>
      </c>
      <c r="C62" t="str">
        <f>RTD("nest.scriprtd",,"bse_cm|10NIDO26","Exchange")</f>
        <v>BSE</v>
      </c>
      <c r="D62">
        <f>RTD("nest.scriprtd",,"bse_cm|10NIDO26","Bid Qty")</f>
        <v>10</v>
      </c>
      <c r="E62">
        <f>RTD("nest.scriprtd",,"bse_cm|10NIDO26","Bid Rate")</f>
        <v>980</v>
      </c>
      <c r="F62">
        <f>RTD("nest.scriprtd",,"bse_cm|10NIDO26","Ask Rate")</f>
        <v>985</v>
      </c>
      <c r="G62">
        <f>RTD("nest.scriprtd",,"bse_cm|10NIDO26","Ask Qty")</f>
        <v>5</v>
      </c>
      <c r="H62">
        <f>RTD("nest.scriprtd",,"bse_cm|10NIDO26","LTP")</f>
        <v>980</v>
      </c>
      <c r="I62" t="str">
        <f>RTD("nest.scriprtd",,"bse_cm|10NIDO26","LTT")</f>
        <v>00:00:00</v>
      </c>
      <c r="J62">
        <f>RTD("nest.scriprtd",,"bse_cm|10NIDO26","% Change")</f>
        <v>-0.51</v>
      </c>
      <c r="K62">
        <f>RTD("nest.scriprtd",,"bse_cm|10NIDO26","ATP")</f>
        <v>0</v>
      </c>
      <c r="L62">
        <f>RTD("nest.scriprtd",,"bse_cm|10NIDO26","Volume Traded Today")</f>
        <v>0</v>
      </c>
      <c r="M62">
        <f>RTD("nest.scriprtd",,"bse_cm|10NIDO26","Open")</f>
        <v>0</v>
      </c>
      <c r="N62">
        <f>RTD("nest.scriprtd",,"bse_cm|10NIDO26","High")</f>
        <v>980</v>
      </c>
      <c r="O62">
        <f>RTD("nest.scriprtd",,"bse_cm|10NIDO26","Low ")</f>
        <v>980</v>
      </c>
      <c r="P62">
        <f>RTD("nest.scriprtd",,"bse_cm|10NIDO26","Prev Close")</f>
        <v>985</v>
      </c>
      <c r="Q62">
        <f>RTD("nest.scriprtd",,"bse_cm|10NIDO26","Face Value")</f>
        <v>1000</v>
      </c>
      <c r="R62" t="str">
        <f>RTD("nest.scriprtd",,"bse_cm|10NIDO26","Isin code")</f>
        <v>INE530L07228</v>
      </c>
      <c r="S62" s="9">
        <f>Table1[[#This Row],[Ask Rate]]*Table1[[#This Row],[Ask Qty]]</f>
        <v>4925</v>
      </c>
      <c r="T62">
        <f>VLOOKUP(Table1[[#This Row],[Isin code]],Table2[#All],7,FALSE)</f>
        <v>10</v>
      </c>
      <c r="U62" s="17">
        <f>VLOOKUP(Table1[[#This Row],[Isin code]],Table2[#All],8,FALSE)</f>
        <v>46222</v>
      </c>
      <c r="V62" s="10">
        <f ca="1">Table1[[#This Row],[Maturity]]-TODAY()</f>
        <v>641</v>
      </c>
      <c r="W62" t="str">
        <f>VLOOKUP(Table1[[#This Row],[Isin code]],Table2[#All],10,FALSE)</f>
        <v>Yearly</v>
      </c>
      <c r="X62">
        <f ca="1">_xlfn.DAYS(Table1[[#This Row],[Maturity]],TODAY())-15</f>
        <v>626</v>
      </c>
      <c r="Y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2">
        <f>IF(Table1[[#This Row],[Ask Rate]]=0,0,Table1[[#This Row],[Face Value]]-Table1[[#This Row],[Ask Rate]])</f>
        <v>15</v>
      </c>
      <c r="AA62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62">
        <f ca="1">Table1[[#This Row],[Face Value]]*Table1[[#This Row],[Rate]]*Table1[[#This Row],[Time]]</f>
        <v>200</v>
      </c>
      <c r="AC62">
        <f ca="1">Table1[[#This Row],[SI]]+Table1[[#This Row],[Disc/Prem]]</f>
        <v>215</v>
      </c>
      <c r="AD62" s="3">
        <f ca="1">Table1[[#This Row],[Net Gain]]/Table1[[#This Row],[Ask Rate]]</f>
        <v>0.21827411167512689</v>
      </c>
      <c r="AE62" s="3">
        <f ca="1">IF(Table1[[#This Row],[Ask Qty]]=0,0,Table1[[#This Row],[Gross Yield]]*365/Table1[[#This Row],[Days Left]])</f>
        <v>0.12429025079784918</v>
      </c>
      <c r="AF62" s="9">
        <f ca="1">+Table1[[#This Row],[Net Gain]]*Table1[[#This Row],[Ask Qty]]</f>
        <v>1075</v>
      </c>
      <c r="AG62" t="str">
        <f ca="1">IF(Table1[[#This Row],[YTM]]&gt;0.12,IF(Table1[[#This Row],[Gross Profit]]&gt;10000,"Invest","Review"),"Low YTM")</f>
        <v>Review</v>
      </c>
    </row>
    <row r="63" spans="1:33" x14ac:dyDescent="0.3">
      <c r="A63" t="str">
        <f>RTD("nest.scriprtd",,"nse_cm|888ERFL28-N5","Symbol")</f>
        <v>888ERFL28</v>
      </c>
      <c r="B63" t="str">
        <f>RTD("nest.scriprtd",,"nse_cm|888ERFL28-N5","Trading Symbol")</f>
        <v>888ERFL28-N5</v>
      </c>
      <c r="C63" t="str">
        <f>RTD("nest.scriprtd",,"nse_cm|888ERFL28-N5","Exchange")</f>
        <v>NSE</v>
      </c>
      <c r="D63">
        <f>RTD("nest.scriprtd",,"nse_cm|888ERFL28-N5","Bid Qty")</f>
        <v>25</v>
      </c>
      <c r="E63">
        <f>RTD("nest.scriprtd",,"nse_cm|888ERFL28-N5","Bid Rate")</f>
        <v>908.11</v>
      </c>
      <c r="F63">
        <f>RTD("nest.scriprtd",,"nse_cm|888ERFL28-N5","Ask Rate")</f>
        <v>918.8</v>
      </c>
      <c r="G63">
        <f>RTD("nest.scriprtd",,"nse_cm|888ERFL28-N5","Ask Qty")</f>
        <v>40</v>
      </c>
      <c r="H63">
        <f>RTD("nest.scriprtd",,"nse_cm|888ERFL28-N5","LTP")</f>
        <v>905.2</v>
      </c>
      <c r="I63" t="str">
        <f>RTD("nest.scriprtd",,"nse_cm|888ERFL28-N5","LTT")</f>
        <v>09:51:42</v>
      </c>
      <c r="J63">
        <f>RTD("nest.scriprtd",,"nse_cm|888ERFL28-N5","% Change")</f>
        <v>-2.06</v>
      </c>
      <c r="K63">
        <f>RTD("nest.scriprtd",,"nse_cm|888ERFL28-N5","ATP")</f>
        <v>907.18</v>
      </c>
      <c r="L63">
        <f>RTD("nest.scriprtd",,"nse_cm|888ERFL28-N5","Volume Traded Today")</f>
        <v>50</v>
      </c>
      <c r="M63">
        <f>RTD("nest.scriprtd",,"nse_cm|888ERFL28-N5","Open")</f>
        <v>925</v>
      </c>
      <c r="N63">
        <f>RTD("nest.scriprtd",,"nse_cm|888ERFL28-N5","High")</f>
        <v>925</v>
      </c>
      <c r="O63">
        <f>RTD("nest.scriprtd",,"nse_cm|888ERFL28-N5","Low ")</f>
        <v>905.2</v>
      </c>
      <c r="P63">
        <f>RTD("nest.scriprtd",,"nse_cm|888ERFL28-N5","Prev Close")</f>
        <v>924.2</v>
      </c>
      <c r="Q63">
        <f>RTD("nest.scriprtd",,"nse_cm|888ERFL28-N5","Face Value")</f>
        <v>1000</v>
      </c>
      <c r="R63" t="str">
        <f>RTD("nest.scriprtd",,"nse_cm|888ERFL28-N5","Isin code")</f>
        <v>INE528S07110</v>
      </c>
      <c r="S63" s="9">
        <f>Table1[[#This Row],[Ask Rate]]*Table1[[#This Row],[Ask Qty]]</f>
        <v>36752</v>
      </c>
      <c r="T63">
        <f>VLOOKUP(Table1[[#This Row],[Isin code]],Table2[#All],7,FALSE)</f>
        <v>8.8800000000000008</v>
      </c>
      <c r="U63" s="17" t="str">
        <f>VLOOKUP(Table1[[#This Row],[Isin code]],Table2[#All],8,FALSE)</f>
        <v>22-Mar-2028</v>
      </c>
      <c r="V63" s="10">
        <f ca="1">Table1[[#This Row],[Maturity]]-TODAY()</f>
        <v>1253</v>
      </c>
      <c r="W63" t="str">
        <f>VLOOKUP(Table1[[#This Row],[Isin code]],Table2[#All],10,FALSE)</f>
        <v>Monthly</v>
      </c>
      <c r="X63">
        <f ca="1">_xlfn.DAYS(Table1[[#This Row],[Maturity]],TODAY())-15</f>
        <v>1238</v>
      </c>
      <c r="Y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42</v>
      </c>
      <c r="Z63">
        <f>IF(Table1[[#This Row],[Ask Rate]]=0,0,Table1[[#This Row],[Face Value]]-Table1[[#This Row],[Ask Rate]])</f>
        <v>81.200000000000045</v>
      </c>
      <c r="AA63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63">
        <f ca="1">Table1[[#This Row],[Face Value]]*Table1[[#This Row],[Rate]]*Table1[[#This Row],[Time]]</f>
        <v>310.8</v>
      </c>
      <c r="AC63">
        <f ca="1">Table1[[#This Row],[SI]]+Table1[[#This Row],[Disc/Prem]]</f>
        <v>392.00000000000006</v>
      </c>
      <c r="AD63" s="3">
        <f ca="1">Table1[[#This Row],[Net Gain]]/Table1[[#This Row],[Ask Rate]]</f>
        <v>0.42664344797562048</v>
      </c>
      <c r="AE63" s="3">
        <f ca="1">IF(Table1[[#This Row],[Ask Qty]]=0,0,Table1[[#This Row],[Gross Yield]]*365/Table1[[#This Row],[Days Left]])</f>
        <v>0.12428161094261889</v>
      </c>
      <c r="AF63" s="9">
        <f ca="1">+Table1[[#This Row],[Net Gain]]*Table1[[#This Row],[Ask Qty]]</f>
        <v>15680.000000000002</v>
      </c>
      <c r="AG63" t="str">
        <f ca="1">IF(Table1[[#This Row],[YTM]]&gt;0.12,IF(Table1[[#This Row],[Gross Profit]]&gt;10000,"Invest","Review"),"Low YTM")</f>
        <v>Invest</v>
      </c>
    </row>
    <row r="64" spans="1:33" x14ac:dyDescent="0.3">
      <c r="A64" t="str">
        <f>RTD("nest.scriprtd",,"nse_cm|11DLSL25A-Y3","Symbol")</f>
        <v>11DLSL25A</v>
      </c>
      <c r="B64" t="str">
        <f>RTD("nest.scriprtd",,"nse_cm|11DLSL25A-Y3","Trading Symbol")</f>
        <v>11DLSL25A-Y3</v>
      </c>
      <c r="C64" t="str">
        <f>RTD("nest.scriprtd",,"nse_cm|11DLSL25A-Y3","Exchange")</f>
        <v>NSE</v>
      </c>
      <c r="D64">
        <f>RTD("nest.scriprtd",,"nse_cm|11DLSL25A-Y3","Bid Qty")</f>
        <v>5</v>
      </c>
      <c r="E64">
        <f>RTD("nest.scriprtd",,"nse_cm|11DLSL25A-Y3","Bid Rate")</f>
        <v>985.7</v>
      </c>
      <c r="F64">
        <f>RTD("nest.scriprtd",,"nse_cm|11DLSL25A-Y3","Ask Rate")</f>
        <v>1035.5</v>
      </c>
      <c r="G64">
        <f>RTD("nest.scriprtd",,"nse_cm|11DLSL25A-Y3","Ask Qty")</f>
        <v>10</v>
      </c>
      <c r="H64">
        <f>RTD("nest.scriprtd",,"nse_cm|11DLSL25A-Y3","LTP")</f>
        <v>1000</v>
      </c>
      <c r="I64" t="str">
        <f>RTD("nest.scriprtd",,"nse_cm|11DLSL25A-Y3","LTT")</f>
        <v/>
      </c>
      <c r="J64">
        <f>RTD("nest.scriprtd",,"nse_cm|11DLSL25A-Y3","% Change")</f>
        <v>0</v>
      </c>
      <c r="K64">
        <f>RTD("nest.scriprtd",,"nse_cm|11DLSL25A-Y3","ATP")</f>
        <v>0</v>
      </c>
      <c r="L64">
        <f>RTD("nest.scriprtd",,"nse_cm|11DLSL25A-Y3","Volume Traded Today")</f>
        <v>0</v>
      </c>
      <c r="M64">
        <f>RTD("nest.scriprtd",,"nse_cm|11DLSL25A-Y3","Open")</f>
        <v>0</v>
      </c>
      <c r="N64">
        <f>RTD("nest.scriprtd",,"nse_cm|11DLSL25A-Y3","High")</f>
        <v>1000</v>
      </c>
      <c r="O64">
        <f>RTD("nest.scriprtd",,"nse_cm|11DLSL25A-Y3","Low ")</f>
        <v>1000</v>
      </c>
      <c r="P64">
        <f>RTD("nest.scriprtd",,"nse_cm|11DLSL25A-Y3","Prev Close")</f>
        <v>1000</v>
      </c>
      <c r="Q64">
        <f>RTD("nest.scriprtd",,"nse_cm|11DLSL25A-Y3","Face Value")</f>
        <v>1000</v>
      </c>
      <c r="R64" t="str">
        <f>RTD("nest.scriprtd",,"nse_cm|11DLSL25A-Y3","Isin code")</f>
        <v>INE614X07449</v>
      </c>
      <c r="S64" s="9">
        <f>Table1[[#This Row],[Ask Rate]]*Table1[[#This Row],[Ask Qty]]</f>
        <v>10355</v>
      </c>
      <c r="T64">
        <f>VLOOKUP(Table1[[#This Row],[Isin code]],Table2[#All],7,FALSE)</f>
        <v>11</v>
      </c>
      <c r="U64" s="17" t="str">
        <f>VLOOKUP(Table1[[#This Row],[Isin code]],Table2[#All],8,FALSE)</f>
        <v>16-May-2025</v>
      </c>
      <c r="V64" s="10">
        <f ca="1">Table1[[#This Row],[Maturity]]-TODAY()</f>
        <v>212</v>
      </c>
      <c r="W64" t="str">
        <f>VLOOKUP(Table1[[#This Row],[Isin code]],Table2[#All],10,FALSE)</f>
        <v>Yearly</v>
      </c>
      <c r="X64">
        <f ca="1">_xlfn.DAYS(Table1[[#This Row],[Maturity]],TODAY())-15</f>
        <v>197</v>
      </c>
      <c r="Y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4">
        <f>IF(Table1[[#This Row],[Ask Rate]]=0,0,Table1[[#This Row],[Face Value]]-Table1[[#This Row],[Ask Rate]])</f>
        <v>-35.5</v>
      </c>
      <c r="AA64">
        <f>IF(Table1[[#This Row],[Freq]]="Yearly",Table1[[#This Row],[Coupon_Rate]]/100,IF(Table1[[#This Row],[Freq]]="Monthly",Table1[[#This Row],[Coupon_Rate]]/1200,IF(Table1[[#This Row],[Freq]]="Quarterly",Table1[[#This Row],[Coupon_Rate]]/400,0)))</f>
        <v>0.11</v>
      </c>
      <c r="AB64">
        <f ca="1">Table1[[#This Row],[Face Value]]*Table1[[#This Row],[Rate]]*Table1[[#This Row],[Time]]</f>
        <v>110</v>
      </c>
      <c r="AC64">
        <f ca="1">Table1[[#This Row],[SI]]+Table1[[#This Row],[Disc/Prem]]</f>
        <v>74.5</v>
      </c>
      <c r="AD64" s="3">
        <f ca="1">Table1[[#This Row],[Net Gain]]/Table1[[#This Row],[Ask Rate]]</f>
        <v>7.1945919845485276E-2</v>
      </c>
      <c r="AE64" s="3">
        <f ca="1">IF(Table1[[#This Row],[Ask Qty]]=0,0,Table1[[#This Row],[Gross Yield]]*365/Table1[[#This Row],[Days Left]])</f>
        <v>0.12386915445095342</v>
      </c>
      <c r="AF64" s="9">
        <f ca="1">+Table1[[#This Row],[Net Gain]]*Table1[[#This Row],[Ask Qty]]</f>
        <v>745</v>
      </c>
      <c r="AG64" t="str">
        <f ca="1">IF(Table1[[#This Row],[YTM]]&gt;0.12,IF(Table1[[#This Row],[Gross Profit]]&gt;10000,"Invest","Review"),"Low YTM")</f>
        <v>Review</v>
      </c>
    </row>
    <row r="65" spans="1:33" x14ac:dyDescent="0.3">
      <c r="A65" t="str">
        <f>RTD("nest.scriprtd",,"bse_cm|930EFSL31","Symbol")</f>
        <v>930EFSL31</v>
      </c>
      <c r="B65" t="str">
        <f>RTD("nest.scriprtd",,"bse_cm|930EFSL31","Trading Symbol")</f>
        <v>930EFSL31</v>
      </c>
      <c r="C65" t="str">
        <f>RTD("nest.scriprtd",,"bse_cm|930EFSL31","Exchange")</f>
        <v>BSE</v>
      </c>
      <c r="D65">
        <f>RTD("nest.scriprtd",,"bse_cm|930EFSL31","Bid Qty")</f>
        <v>180</v>
      </c>
      <c r="E65">
        <f>RTD("nest.scriprtd",,"bse_cm|930EFSL31","Bid Rate")</f>
        <v>883.8</v>
      </c>
      <c r="F65">
        <f>RTD("nest.scriprtd",,"bse_cm|930EFSL31","Ask Rate")</f>
        <v>895.5</v>
      </c>
      <c r="G65">
        <f>RTD("nest.scriprtd",,"bse_cm|930EFSL31","Ask Qty")</f>
        <v>31</v>
      </c>
      <c r="H65">
        <f>RTD("nest.scriprtd",,"bse_cm|930EFSL31","LTP")</f>
        <v>896</v>
      </c>
      <c r="I65" t="str">
        <f>RTD("nest.scriprtd",,"bse_cm|930EFSL31","LTT")</f>
        <v>09:18:17</v>
      </c>
      <c r="J65">
        <f>RTD("nest.scriprtd",,"bse_cm|930EFSL31","% Change")</f>
        <v>-0.02</v>
      </c>
      <c r="K65">
        <f>RTD("nest.scriprtd",,"bse_cm|930EFSL31","ATP")</f>
        <v>896</v>
      </c>
      <c r="L65">
        <f>RTD("nest.scriprtd",,"bse_cm|930EFSL31","Volume Traded Today")</f>
        <v>62</v>
      </c>
      <c r="M65">
        <f>RTD("nest.scriprtd",,"bse_cm|930EFSL31","Open")</f>
        <v>896</v>
      </c>
      <c r="N65">
        <f>RTD("nest.scriprtd",,"bse_cm|930EFSL31","High")</f>
        <v>896</v>
      </c>
      <c r="O65">
        <f>RTD("nest.scriprtd",,"bse_cm|930EFSL31","Low ")</f>
        <v>896</v>
      </c>
      <c r="P65">
        <f>RTD("nest.scriprtd",,"bse_cm|930EFSL31","Prev Close")</f>
        <v>896.2</v>
      </c>
      <c r="Q65">
        <f>RTD("nest.scriprtd",,"bse_cm|930EFSL31","Face Value")</f>
        <v>1000</v>
      </c>
      <c r="R65" t="str">
        <f>RTD("nest.scriprtd",,"bse_cm|930EFSL31","Isin code")</f>
        <v>INE532F07CA6</v>
      </c>
      <c r="S65" s="9">
        <f>Table1[[#This Row],[Ask Rate]]*Table1[[#This Row],[Ask Qty]]</f>
        <v>27760.5</v>
      </c>
      <c r="T65">
        <f>VLOOKUP(Table1[[#This Row],[Isin code]],Table2[#All],7,FALSE)</f>
        <v>9.3000000000000007</v>
      </c>
      <c r="U65" s="17" t="str">
        <f>VLOOKUP(Table1[[#This Row],[Isin code]],Table2[#All],8,FALSE)</f>
        <v>29-Apr-2031</v>
      </c>
      <c r="V65" s="10">
        <f ca="1">Table1[[#This Row],[Maturity]]-TODAY()</f>
        <v>2386</v>
      </c>
      <c r="W65" t="str">
        <f>VLOOKUP(Table1[[#This Row],[Isin code]],Table2[#All],10,FALSE)</f>
        <v>Monthly</v>
      </c>
      <c r="X65">
        <f ca="1">_xlfn.DAYS(Table1[[#This Row],[Maturity]],TODAY())-15</f>
        <v>2371</v>
      </c>
      <c r="Y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80</v>
      </c>
      <c r="Z65">
        <f>IF(Table1[[#This Row],[Ask Rate]]=0,0,Table1[[#This Row],[Face Value]]-Table1[[#This Row],[Ask Rate]])</f>
        <v>104.5</v>
      </c>
      <c r="AA65">
        <f>IF(Table1[[#This Row],[Freq]]="Yearly",Table1[[#This Row],[Coupon_Rate]]/100,IF(Table1[[#This Row],[Freq]]="Monthly",Table1[[#This Row],[Coupon_Rate]]/1200,IF(Table1[[#This Row],[Freq]]="Quarterly",Table1[[#This Row],[Coupon_Rate]]/400,0)))</f>
        <v>7.7500000000000008E-3</v>
      </c>
      <c r="AB65">
        <f ca="1">Table1[[#This Row],[Face Value]]*Table1[[#This Row],[Rate]]*Table1[[#This Row],[Time]]</f>
        <v>620.00000000000011</v>
      </c>
      <c r="AC65">
        <f ca="1">Table1[[#This Row],[SI]]+Table1[[#This Row],[Disc/Prem]]</f>
        <v>724.50000000000011</v>
      </c>
      <c r="AD65" s="3">
        <f ca="1">Table1[[#This Row],[Net Gain]]/Table1[[#This Row],[Ask Rate]]</f>
        <v>0.80904522613065344</v>
      </c>
      <c r="AE65" s="3">
        <f ca="1">IF(Table1[[#This Row],[Ask Qty]]=0,0,Table1[[#This Row],[Gross Yield]]*365/Table1[[#This Row],[Days Left]])</f>
        <v>0.12376425294957608</v>
      </c>
      <c r="AF65" s="9">
        <f ca="1">+Table1[[#This Row],[Net Gain]]*Table1[[#This Row],[Ask Qty]]</f>
        <v>22459.500000000004</v>
      </c>
      <c r="AG65" t="str">
        <f ca="1">IF(Table1[[#This Row],[YTM]]&gt;0.12,IF(Table1[[#This Row],[Gross Profit]]&gt;10000,"Invest","Review"),"Low YTM")</f>
        <v>Invest</v>
      </c>
    </row>
    <row r="66" spans="1:33" x14ac:dyDescent="0.3">
      <c r="A66" t="str">
        <f>RTD("nest.scriprtd",,"nse_cm|10NIDO26-N6","Symbol")</f>
        <v>10NIDO26</v>
      </c>
      <c r="B66" t="str">
        <f>RTD("nest.scriprtd",,"nse_cm|10NIDO26-N6","Trading Symbol")</f>
        <v>10NIDO26-N6</v>
      </c>
      <c r="C66" t="str">
        <f>RTD("nest.scriprtd",,"nse_cm|10NIDO26-N6","Exchange")</f>
        <v>NSE</v>
      </c>
      <c r="D66">
        <f>RTD("nest.scriprtd",,"nse_cm|10NIDO26-N6","Bid Qty")</f>
        <v>40</v>
      </c>
      <c r="E66">
        <f>RTD("nest.scriprtd",,"nse_cm|10NIDO26-N6","Bid Rate")</f>
        <v>975</v>
      </c>
      <c r="F66">
        <f>RTD("nest.scriprtd",,"nse_cm|10NIDO26-N6","Ask Rate")</f>
        <v>986</v>
      </c>
      <c r="G66">
        <f>RTD("nest.scriprtd",,"nse_cm|10NIDO26-N6","Ask Qty")</f>
        <v>20</v>
      </c>
      <c r="H66">
        <f>RTD("nest.scriprtd",,"nse_cm|10NIDO26-N6","LTP")</f>
        <v>985</v>
      </c>
      <c r="I66" t="str">
        <f>RTD("nest.scriprtd",,"nse_cm|10NIDO26-N6","LTT")</f>
        <v/>
      </c>
      <c r="J66">
        <f>RTD("nest.scriprtd",,"nse_cm|10NIDO26-N6","% Change")</f>
        <v>0</v>
      </c>
      <c r="K66">
        <f>RTD("nest.scriprtd",,"nse_cm|10NIDO26-N6","ATP")</f>
        <v>0</v>
      </c>
      <c r="L66">
        <f>RTD("nest.scriprtd",,"nse_cm|10NIDO26-N6","Volume Traded Today")</f>
        <v>0</v>
      </c>
      <c r="M66">
        <f>RTD("nest.scriprtd",,"nse_cm|10NIDO26-N6","Open")</f>
        <v>0</v>
      </c>
      <c r="N66">
        <f>RTD("nest.scriprtd",,"nse_cm|10NIDO26-N6","High")</f>
        <v>985</v>
      </c>
      <c r="O66">
        <f>RTD("nest.scriprtd",,"nse_cm|10NIDO26-N6","Low ")</f>
        <v>985</v>
      </c>
      <c r="P66">
        <f>RTD("nest.scriprtd",,"nse_cm|10NIDO26-N6","Prev Close")</f>
        <v>985</v>
      </c>
      <c r="Q66">
        <f>RTD("nest.scriprtd",,"nse_cm|10NIDO26-N6","Face Value")</f>
        <v>1000</v>
      </c>
      <c r="R66" t="str">
        <f>RTD("nest.scriprtd",,"nse_cm|10NIDO26-N6","Isin code")</f>
        <v>INE530L07228</v>
      </c>
      <c r="S66" s="9">
        <f>Table1[[#This Row],[Ask Rate]]*Table1[[#This Row],[Ask Qty]]</f>
        <v>19720</v>
      </c>
      <c r="T66">
        <f>VLOOKUP(Table1[[#This Row],[Isin code]],Table2[#All],7,FALSE)</f>
        <v>10</v>
      </c>
      <c r="U66" s="17">
        <f>VLOOKUP(Table1[[#This Row],[Isin code]],Table2[#All],8,FALSE)</f>
        <v>46222</v>
      </c>
      <c r="V66" s="10">
        <f ca="1">Table1[[#This Row],[Maturity]]-TODAY()</f>
        <v>641</v>
      </c>
      <c r="W66" t="str">
        <f>VLOOKUP(Table1[[#This Row],[Isin code]],Table2[#All],10,FALSE)</f>
        <v>Yearly</v>
      </c>
      <c r="X66">
        <f ca="1">_xlfn.DAYS(Table1[[#This Row],[Maturity]],TODAY())-15</f>
        <v>626</v>
      </c>
      <c r="Y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6">
        <f>IF(Table1[[#This Row],[Ask Rate]]=0,0,Table1[[#This Row],[Face Value]]-Table1[[#This Row],[Ask Rate]])</f>
        <v>14</v>
      </c>
      <c r="AA66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66">
        <f ca="1">Table1[[#This Row],[Face Value]]*Table1[[#This Row],[Rate]]*Table1[[#This Row],[Time]]</f>
        <v>200</v>
      </c>
      <c r="AC66">
        <f ca="1">Table1[[#This Row],[SI]]+Table1[[#This Row],[Disc/Prem]]</f>
        <v>214</v>
      </c>
      <c r="AD66" s="3">
        <f ca="1">Table1[[#This Row],[Net Gain]]/Table1[[#This Row],[Ask Rate]]</f>
        <v>0.21703853955375255</v>
      </c>
      <c r="AE66" s="3">
        <f ca="1">IF(Table1[[#This Row],[Ask Qty]]=0,0,Table1[[#This Row],[Gross Yield]]*365/Table1[[#This Row],[Days Left]])</f>
        <v>0.12358668788942227</v>
      </c>
      <c r="AF66" s="9">
        <f ca="1">+Table1[[#This Row],[Net Gain]]*Table1[[#This Row],[Ask Qty]]</f>
        <v>4280</v>
      </c>
      <c r="AG66" t="str">
        <f ca="1">IF(Table1[[#This Row],[YTM]]&gt;0.12,IF(Table1[[#This Row],[Gross Profit]]&gt;10000,"Invest","Review"),"Low YTM")</f>
        <v>Review</v>
      </c>
    </row>
    <row r="67" spans="1:33" x14ac:dyDescent="0.3">
      <c r="A67" t="str">
        <f>RTD("nest.scriprtd",,"bse_cm|970NIDO32","Symbol")</f>
        <v>970NIDO32</v>
      </c>
      <c r="B67" t="str">
        <f>RTD("nest.scriprtd",,"bse_cm|970NIDO32","Trading Symbol")</f>
        <v>970NIDO32</v>
      </c>
      <c r="C67" t="str">
        <f>RTD("nest.scriprtd",,"bse_cm|970NIDO32","Exchange")</f>
        <v>BSE</v>
      </c>
      <c r="D67">
        <f>RTD("nest.scriprtd",,"bse_cm|970NIDO32","Bid Qty")</f>
        <v>120</v>
      </c>
      <c r="E67">
        <f>RTD("nest.scriprtd",,"bse_cm|970NIDO32","Bid Rate")</f>
        <v>905.2</v>
      </c>
      <c r="F67">
        <f>RTD("nest.scriprtd",,"bse_cm|970NIDO32","Ask Rate")</f>
        <v>919.8</v>
      </c>
      <c r="G67">
        <f>RTD("nest.scriprtd",,"bse_cm|970NIDO32","Ask Qty")</f>
        <v>10</v>
      </c>
      <c r="H67">
        <f>RTD("nest.scriprtd",,"bse_cm|970NIDO32","LTP")</f>
        <v>0</v>
      </c>
      <c r="I67" t="str">
        <f>RTD("nest.scriprtd",,"bse_cm|970NIDO32","LTT")</f>
        <v>00:00:00</v>
      </c>
      <c r="J67">
        <f>RTD("nest.scriprtd",,"bse_cm|970NIDO32","% Change")</f>
        <v>-100</v>
      </c>
      <c r="K67">
        <f>RTD("nest.scriprtd",,"bse_cm|970NIDO32","ATP")</f>
        <v>0</v>
      </c>
      <c r="L67">
        <f>RTD("nest.scriprtd",,"bse_cm|970NIDO32","Volume Traded Today")</f>
        <v>0</v>
      </c>
      <c r="M67">
        <f>RTD("nest.scriprtd",,"bse_cm|970NIDO32","Open")</f>
        <v>0</v>
      </c>
      <c r="N67">
        <f>RTD("nest.scriprtd",,"bse_cm|970NIDO32","High")</f>
        <v>915</v>
      </c>
      <c r="O67">
        <f>RTD("nest.scriprtd",,"bse_cm|970NIDO32","Low ")</f>
        <v>915</v>
      </c>
      <c r="P67">
        <f>RTD("nest.scriprtd",,"bse_cm|970NIDO32","Prev Close")</f>
        <v>915</v>
      </c>
      <c r="Q67">
        <f>RTD("nest.scriprtd",,"bse_cm|970NIDO32","Face Value")</f>
        <v>1000</v>
      </c>
      <c r="R67" t="str">
        <f>RTD("nest.scriprtd",,"bse_cm|970NIDO32","Isin code")</f>
        <v>INE530L07517</v>
      </c>
      <c r="S67" s="9">
        <f>Table1[[#This Row],[Ask Rate]]*Table1[[#This Row],[Ask Qty]]</f>
        <v>9198</v>
      </c>
      <c r="T67">
        <f>VLOOKUP(Table1[[#This Row],[Isin code]],Table2[#All],7,FALSE)</f>
        <v>9.7000000000000011</v>
      </c>
      <c r="U67" s="17" t="str">
        <f>VLOOKUP(Table1[[#This Row],[Isin code]],Table2[#All],8,FALSE)</f>
        <v>29-Apr-2032</v>
      </c>
      <c r="V67" s="10">
        <f ca="1">Table1[[#This Row],[Maturity]]-TODAY()</f>
        <v>2752</v>
      </c>
      <c r="W67" t="str">
        <f>VLOOKUP(Table1[[#This Row],[Isin code]],Table2[#All],10,FALSE)</f>
        <v>Yearly</v>
      </c>
      <c r="X67">
        <f ca="1">_xlfn.DAYS(Table1[[#This Row],[Maturity]],TODAY())-15</f>
        <v>2737</v>
      </c>
      <c r="Y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67">
        <f>IF(Table1[[#This Row],[Ask Rate]]=0,0,Table1[[#This Row],[Face Value]]-Table1[[#This Row],[Ask Rate]])</f>
        <v>80.200000000000045</v>
      </c>
      <c r="AA67">
        <f>IF(Table1[[#This Row],[Freq]]="Yearly",Table1[[#This Row],[Coupon_Rate]]/100,IF(Table1[[#This Row],[Freq]]="Monthly",Table1[[#This Row],[Coupon_Rate]]/1200,IF(Table1[[#This Row],[Freq]]="Quarterly",Table1[[#This Row],[Coupon_Rate]]/400,0)))</f>
        <v>9.7000000000000017E-2</v>
      </c>
      <c r="AB67">
        <f ca="1">Table1[[#This Row],[Face Value]]*Table1[[#This Row],[Rate]]*Table1[[#This Row],[Time]]</f>
        <v>776.00000000000011</v>
      </c>
      <c r="AC67">
        <f ca="1">Table1[[#This Row],[SI]]+Table1[[#This Row],[Disc/Prem]]</f>
        <v>856.20000000000016</v>
      </c>
      <c r="AD67" s="3">
        <f ca="1">Table1[[#This Row],[Net Gain]]/Table1[[#This Row],[Ask Rate]]</f>
        <v>0.93085453359425985</v>
      </c>
      <c r="AE67" s="3">
        <f ca="1">IF(Table1[[#This Row],[Ask Qty]]=0,0,Table1[[#This Row],[Gross Yield]]*365/Table1[[#This Row],[Days Left]])</f>
        <v>0.12345999446290146</v>
      </c>
      <c r="AF67" s="9">
        <f ca="1">+Table1[[#This Row],[Net Gain]]*Table1[[#This Row],[Ask Qty]]</f>
        <v>8562.0000000000018</v>
      </c>
      <c r="AG67" t="str">
        <f ca="1">IF(Table1[[#This Row],[YTM]]&gt;0.12,IF(Table1[[#This Row],[Gross Profit]]&gt;10000,"Invest","Review"),"Low YTM")</f>
        <v>Review</v>
      </c>
    </row>
    <row r="68" spans="1:33" x14ac:dyDescent="0.3">
      <c r="A68" t="str">
        <f>RTD("nest.scriprtd",,"bse_cm|10IIFL28","Symbol")</f>
        <v>10IIFL28</v>
      </c>
      <c r="B68" t="str">
        <f>RTD("nest.scriprtd",,"bse_cm|10IIFL28","Trading Symbol")</f>
        <v>10IIFL28</v>
      </c>
      <c r="C68" t="str">
        <f>RTD("nest.scriprtd",,"bse_cm|10IIFL28","Exchange")</f>
        <v>BSE</v>
      </c>
      <c r="D68">
        <f>RTD("nest.scriprtd",,"bse_cm|10IIFL28","Bid Qty")</f>
        <v>10</v>
      </c>
      <c r="E68">
        <f>RTD("nest.scriprtd",,"bse_cm|10IIFL28","Bid Rate")</f>
        <v>920</v>
      </c>
      <c r="F68">
        <f>RTD("nest.scriprtd",,"bse_cm|10IIFL28","Ask Rate")</f>
        <v>1000</v>
      </c>
      <c r="G68">
        <f>RTD("nest.scriprtd",,"bse_cm|10IIFL28","Ask Qty")</f>
        <v>100</v>
      </c>
      <c r="H68">
        <f>RTD("nest.scriprtd",,"bse_cm|10IIFL28","LTP")</f>
        <v>0</v>
      </c>
      <c r="I68" t="str">
        <f>RTD("nest.scriprtd",,"bse_cm|10IIFL28","LTT")</f>
        <v>00:00:00</v>
      </c>
      <c r="J68">
        <f>RTD("nest.scriprtd",,"bse_cm|10IIFL28","% Change")</f>
        <v>-100</v>
      </c>
      <c r="K68">
        <f>RTD("nest.scriprtd",,"bse_cm|10IIFL28","ATP")</f>
        <v>0</v>
      </c>
      <c r="L68">
        <f>RTD("nest.scriprtd",,"bse_cm|10IIFL28","Volume Traded Today")</f>
        <v>0</v>
      </c>
      <c r="M68">
        <f>RTD("nest.scriprtd",,"bse_cm|10IIFL28","Open")</f>
        <v>0</v>
      </c>
      <c r="N68">
        <f>RTD("nest.scriprtd",,"bse_cm|10IIFL28","High")</f>
        <v>906.1</v>
      </c>
      <c r="O68">
        <f>RTD("nest.scriprtd",,"bse_cm|10IIFL28","Low ")</f>
        <v>906.1</v>
      </c>
      <c r="P68">
        <f>RTD("nest.scriprtd",,"bse_cm|10IIFL28","Prev Close")</f>
        <v>906.1</v>
      </c>
      <c r="Q68">
        <f>RTD("nest.scriprtd",,"bse_cm|10IIFL28","Face Value")</f>
        <v>1000</v>
      </c>
      <c r="R68" t="str">
        <f>RTD("nest.scriprtd",,"bse_cm|10IIFL28","Isin code")</f>
        <v>INE477L08147</v>
      </c>
      <c r="S68" s="9">
        <f>Table1[[#This Row],[Ask Rate]]*Table1[[#This Row],[Ask Qty]]</f>
        <v>100000</v>
      </c>
      <c r="T68">
        <f>VLOOKUP(Table1[[#This Row],[Isin code]],Table2[#All],7,FALSE)</f>
        <v>10</v>
      </c>
      <c r="U68" s="17" t="str">
        <f>VLOOKUP(Table1[[#This Row],[Isin code]],Table2[#All],8,FALSE)</f>
        <v>03-Nov-2028</v>
      </c>
      <c r="V68" s="10">
        <f ca="1">Table1[[#This Row],[Maturity]]-TODAY()</f>
        <v>1479</v>
      </c>
      <c r="W68" t="str">
        <f>VLOOKUP(Table1[[#This Row],[Isin code]],Table2[#All],10,FALSE)</f>
        <v>Yearly</v>
      </c>
      <c r="X68">
        <f ca="1">_xlfn.DAYS(Table1[[#This Row],[Maturity]],TODAY())-15</f>
        <v>1464</v>
      </c>
      <c r="Y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68">
        <f>IF(Table1[[#This Row],[Ask Rate]]=0,0,Table1[[#This Row],[Face Value]]-Table1[[#This Row],[Ask Rate]])</f>
        <v>0</v>
      </c>
      <c r="AA68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68">
        <f ca="1">Table1[[#This Row],[Face Value]]*Table1[[#This Row],[Rate]]*Table1[[#This Row],[Time]]</f>
        <v>500</v>
      </c>
      <c r="AC68">
        <f ca="1">Table1[[#This Row],[SI]]+Table1[[#This Row],[Disc/Prem]]</f>
        <v>500</v>
      </c>
      <c r="AD68" s="3">
        <f ca="1">Table1[[#This Row],[Net Gain]]/Table1[[#This Row],[Ask Rate]]</f>
        <v>0.5</v>
      </c>
      <c r="AE68" s="3">
        <f ca="1">IF(Table1[[#This Row],[Ask Qty]]=0,0,Table1[[#This Row],[Gross Yield]]*365/Table1[[#This Row],[Days Left]])</f>
        <v>0.12339418526031103</v>
      </c>
      <c r="AF68" s="9">
        <f ca="1">+Table1[[#This Row],[Net Gain]]*Table1[[#This Row],[Ask Qty]]</f>
        <v>50000</v>
      </c>
      <c r="AG68" t="str">
        <f ca="1">IF(Table1[[#This Row],[YTM]]&gt;0.12,IF(Table1[[#This Row],[Gross Profit]]&gt;10000,"Invest","Review"),"Low YTM")</f>
        <v>Invest</v>
      </c>
    </row>
    <row r="69" spans="1:33" x14ac:dyDescent="0.3">
      <c r="A69" t="str">
        <f>RTD("nest.scriprtd",,"bse_cm|916EFSL26","Symbol")</f>
        <v>916EFSL26</v>
      </c>
      <c r="B69" t="str">
        <f>RTD("nest.scriprtd",,"bse_cm|916EFSL26","Trading Symbol")</f>
        <v>916EFSL26</v>
      </c>
      <c r="C69" t="str">
        <f>RTD("nest.scriprtd",,"bse_cm|916EFSL26","Exchange")</f>
        <v>BSE</v>
      </c>
      <c r="D69">
        <f>RTD("nest.scriprtd",,"bse_cm|916EFSL26","Bid Qty")</f>
        <v>20</v>
      </c>
      <c r="E69">
        <f>RTD("nest.scriprtd",,"bse_cm|916EFSL26","Bid Rate")</f>
        <v>940.05</v>
      </c>
      <c r="F69">
        <f>RTD("nest.scriprtd",,"bse_cm|916EFSL26","Ask Rate")</f>
        <v>962.99</v>
      </c>
      <c r="G69">
        <f>RTD("nest.scriprtd",,"bse_cm|916EFSL26","Ask Qty")</f>
        <v>45</v>
      </c>
      <c r="H69">
        <f>RTD("nest.scriprtd",,"bse_cm|916EFSL26","LTP")</f>
        <v>950</v>
      </c>
      <c r="I69" t="str">
        <f>RTD("nest.scriprtd",,"bse_cm|916EFSL26","LTT")</f>
        <v>10:11:41</v>
      </c>
      <c r="J69">
        <f>RTD("nest.scriprtd",,"bse_cm|916EFSL26","% Change")</f>
        <v>-1.38</v>
      </c>
      <c r="K69">
        <f>RTD("nest.scriprtd",,"bse_cm|916EFSL26","ATP")</f>
        <v>938.33</v>
      </c>
      <c r="L69">
        <f>RTD("nest.scriprtd",,"bse_cm|916EFSL26","Volume Traded Today")</f>
        <v>24</v>
      </c>
      <c r="M69">
        <f>RTD("nest.scriprtd",,"bse_cm|916EFSL26","Open")</f>
        <v>936</v>
      </c>
      <c r="N69">
        <f>RTD("nest.scriprtd",,"bse_cm|916EFSL26","High")</f>
        <v>950</v>
      </c>
      <c r="O69">
        <f>RTD("nest.scriprtd",,"bse_cm|916EFSL26","Low ")</f>
        <v>936</v>
      </c>
      <c r="P69">
        <f>RTD("nest.scriprtd",,"bse_cm|916EFSL26","Prev Close")</f>
        <v>963.25</v>
      </c>
      <c r="Q69">
        <f>RTD("nest.scriprtd",,"bse_cm|916EFSL26","Face Value")</f>
        <v>1000</v>
      </c>
      <c r="R69" t="str">
        <f>RTD("nest.scriprtd",,"bse_cm|916EFSL26","Isin code")</f>
        <v>INE532F07BX0</v>
      </c>
      <c r="S69" s="9">
        <f>Table1[[#This Row],[Ask Rate]]*Table1[[#This Row],[Ask Qty]]</f>
        <v>43334.55</v>
      </c>
      <c r="T69">
        <f>VLOOKUP(Table1[[#This Row],[Isin code]],Table2[#All],7,FALSE)</f>
        <v>9.16</v>
      </c>
      <c r="U69" s="17" t="str">
        <f>VLOOKUP(Table1[[#This Row],[Isin code]],Table2[#All],8,FALSE)</f>
        <v>29-Apr-2026</v>
      </c>
      <c r="V69" s="10">
        <f ca="1">Table1[[#This Row],[Maturity]]-TODAY()</f>
        <v>560</v>
      </c>
      <c r="W69" t="str">
        <f>VLOOKUP(Table1[[#This Row],[Isin code]],Table2[#All],10,FALSE)</f>
        <v>Monthly</v>
      </c>
      <c r="X69">
        <f ca="1">_xlfn.DAYS(Table1[[#This Row],[Maturity]],TODAY())-15</f>
        <v>545</v>
      </c>
      <c r="Y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69">
        <f>IF(Table1[[#This Row],[Ask Rate]]=0,0,Table1[[#This Row],[Face Value]]-Table1[[#This Row],[Ask Rate]])</f>
        <v>37.009999999999991</v>
      </c>
      <c r="AA69">
        <f>IF(Table1[[#This Row],[Freq]]="Yearly",Table1[[#This Row],[Coupon_Rate]]/100,IF(Table1[[#This Row],[Freq]]="Monthly",Table1[[#This Row],[Coupon_Rate]]/1200,IF(Table1[[#This Row],[Freq]]="Quarterly",Table1[[#This Row],[Coupon_Rate]]/400,0)))</f>
        <v>7.6333333333333331E-3</v>
      </c>
      <c r="AB69">
        <f ca="1">Table1[[#This Row],[Face Value]]*Table1[[#This Row],[Rate]]*Table1[[#This Row],[Time]]</f>
        <v>145.03333333333333</v>
      </c>
      <c r="AC69">
        <f ca="1">Table1[[#This Row],[SI]]+Table1[[#This Row],[Disc/Prem]]</f>
        <v>182.04333333333332</v>
      </c>
      <c r="AD69" s="3">
        <f ca="1">Table1[[#This Row],[Net Gain]]/Table1[[#This Row],[Ask Rate]]</f>
        <v>0.18903969234709947</v>
      </c>
      <c r="AE69" s="3">
        <f ca="1">IF(Table1[[#This Row],[Ask Qty]]=0,0,Table1[[#This Row],[Gross Yield]]*365/Table1[[#This Row],[Days Left]])</f>
        <v>0.12321337090480591</v>
      </c>
      <c r="AF69" s="9">
        <f ca="1">+Table1[[#This Row],[Net Gain]]*Table1[[#This Row],[Ask Qty]]</f>
        <v>8191.95</v>
      </c>
      <c r="AG69" t="str">
        <f ca="1">IF(Table1[[#This Row],[YTM]]&gt;0.12,IF(Table1[[#This Row],[Gross Profit]]&gt;10000,"Invest","Review"),"Low YTM")</f>
        <v>Review</v>
      </c>
    </row>
    <row r="70" spans="1:33" x14ac:dyDescent="0.3">
      <c r="A70" t="str">
        <f>RTD("nest.scriprtd",,"bse_cm|960EFSL27","Symbol")</f>
        <v>960EFSL27</v>
      </c>
      <c r="B70" t="str">
        <f>RTD("nest.scriprtd",,"bse_cm|960EFSL27","Trading Symbol")</f>
        <v>960EFSL27</v>
      </c>
      <c r="C70" t="str">
        <f>RTD("nest.scriprtd",,"bse_cm|960EFSL27","Exchange")</f>
        <v>BSE</v>
      </c>
      <c r="D70">
        <f>RTD("nest.scriprtd",,"bse_cm|960EFSL27","Bid Qty")</f>
        <v>180</v>
      </c>
      <c r="E70">
        <f>RTD("nest.scriprtd",,"bse_cm|960EFSL27","Bid Rate")</f>
        <v>970.2</v>
      </c>
      <c r="F70">
        <f>RTD("nest.scriprtd",,"bse_cm|960EFSL27","Ask Rate")</f>
        <v>1005</v>
      </c>
      <c r="G70">
        <f>RTD("nest.scriprtd",,"bse_cm|960EFSL27","Ask Qty")</f>
        <v>173</v>
      </c>
      <c r="H70">
        <f>RTD("nest.scriprtd",,"bse_cm|960EFSL27","LTP")</f>
        <v>0</v>
      </c>
      <c r="I70" t="str">
        <f>RTD("nest.scriprtd",,"bse_cm|960EFSL27","LTT")</f>
        <v>00:00:00</v>
      </c>
      <c r="J70">
        <f>RTD("nest.scriprtd",,"bse_cm|960EFSL27","% Change")</f>
        <v>-100</v>
      </c>
      <c r="K70">
        <f>RTD("nest.scriprtd",,"bse_cm|960EFSL27","ATP")</f>
        <v>0</v>
      </c>
      <c r="L70">
        <f>RTD("nest.scriprtd",,"bse_cm|960EFSL27","Volume Traded Today")</f>
        <v>0</v>
      </c>
      <c r="M70">
        <f>RTD("nest.scriprtd",,"bse_cm|960EFSL27","Open")</f>
        <v>0</v>
      </c>
      <c r="N70">
        <f>RTD("nest.scriprtd",,"bse_cm|960EFSL27","High")</f>
        <v>1001</v>
      </c>
      <c r="O70">
        <f>RTD("nest.scriprtd",,"bse_cm|960EFSL27","Low ")</f>
        <v>1001</v>
      </c>
      <c r="P70">
        <f>RTD("nest.scriprtd",,"bse_cm|960EFSL27","Prev Close")</f>
        <v>1001</v>
      </c>
      <c r="Q70">
        <f>RTD("nest.scriprtd",,"bse_cm|960EFSL27","Face Value")</f>
        <v>1000</v>
      </c>
      <c r="R70" t="str">
        <f>RTD("nest.scriprtd",,"bse_cm|960EFSL27","Isin code")</f>
        <v>INE532F07EW6</v>
      </c>
      <c r="S70" s="9">
        <f>Table1[[#This Row],[Ask Rate]]*Table1[[#This Row],[Ask Qty]]</f>
        <v>173865</v>
      </c>
      <c r="T70">
        <f>VLOOKUP(Table1[[#This Row],[Isin code]],Table2[#All],7,FALSE)</f>
        <v>9.6</v>
      </c>
      <c r="U70" s="17" t="str">
        <f>VLOOKUP(Table1[[#This Row],[Isin code]],Table2[#All],8,FALSE)</f>
        <v>29-Jan-2027</v>
      </c>
      <c r="V70" s="10">
        <f ca="1">Table1[[#This Row],[Maturity]]-TODAY()</f>
        <v>835</v>
      </c>
      <c r="W70" t="str">
        <f>VLOOKUP(Table1[[#This Row],[Isin code]],Table2[#All],10,FALSE)</f>
        <v>Yearly</v>
      </c>
      <c r="X70">
        <f ca="1">_xlfn.DAYS(Table1[[#This Row],[Maturity]],TODAY())-15</f>
        <v>820</v>
      </c>
      <c r="Y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70">
        <f>IF(Table1[[#This Row],[Ask Rate]]=0,0,Table1[[#This Row],[Face Value]]-Table1[[#This Row],[Ask Rate]])</f>
        <v>-5</v>
      </c>
      <c r="AA70">
        <f>IF(Table1[[#This Row],[Freq]]="Yearly",Table1[[#This Row],[Coupon_Rate]]/100,IF(Table1[[#This Row],[Freq]]="Monthly",Table1[[#This Row],[Coupon_Rate]]/1200,IF(Table1[[#This Row],[Freq]]="Quarterly",Table1[[#This Row],[Coupon_Rate]]/400,0)))</f>
        <v>9.6000000000000002E-2</v>
      </c>
      <c r="AB70">
        <f ca="1">Table1[[#This Row],[Face Value]]*Table1[[#This Row],[Rate]]*Table1[[#This Row],[Time]]</f>
        <v>288</v>
      </c>
      <c r="AC70">
        <f ca="1">Table1[[#This Row],[SI]]+Table1[[#This Row],[Disc/Prem]]</f>
        <v>283</v>
      </c>
      <c r="AD70" s="3">
        <f ca="1">Table1[[#This Row],[Net Gain]]/Table1[[#This Row],[Ask Rate]]</f>
        <v>0.28159203980099501</v>
      </c>
      <c r="AE70" s="3">
        <f ca="1">IF(Table1[[#This Row],[Ask Qty]]=0,0,Table1[[#This Row],[Gross Yield]]*365/Table1[[#This Row],[Days Left]])</f>
        <v>0.12309113117049483</v>
      </c>
      <c r="AF70" s="9">
        <f ca="1">+Table1[[#This Row],[Net Gain]]*Table1[[#This Row],[Ask Qty]]</f>
        <v>48959</v>
      </c>
      <c r="AG70" t="str">
        <f ca="1">IF(Table1[[#This Row],[YTM]]&gt;0.12,IF(Table1[[#This Row],[Gross Profit]]&gt;10000,"Invest","Review"),"Low YTM")</f>
        <v>Invest</v>
      </c>
    </row>
    <row r="71" spans="1:33" x14ac:dyDescent="0.3">
      <c r="A71" t="str">
        <f>RTD("nest.scriprtd",,"bse_cm|1045NIDO33","Symbol")</f>
        <v>1045NIDO33</v>
      </c>
      <c r="B71" t="str">
        <f>RTD("nest.scriprtd",,"bse_cm|1045NIDO33","Trading Symbol")</f>
        <v>1045NIDO33</v>
      </c>
      <c r="C71" t="str">
        <f>RTD("nest.scriprtd",,"bse_cm|1045NIDO33","Exchange")</f>
        <v>BSE</v>
      </c>
      <c r="D71">
        <f>RTD("nest.scriprtd",,"bse_cm|1045NIDO33","Bid Qty")</f>
        <v>8</v>
      </c>
      <c r="E71">
        <f>RTD("nest.scriprtd",,"bse_cm|1045NIDO33","Bid Rate")</f>
        <v>903</v>
      </c>
      <c r="F71">
        <f>RTD("nest.scriprtd",,"bse_cm|1045NIDO33","Ask Rate")</f>
        <v>925.94</v>
      </c>
      <c r="G71">
        <f>RTD("nest.scriprtd",,"bse_cm|1045NIDO33","Ask Qty")</f>
        <v>8</v>
      </c>
      <c r="H71">
        <f>RTD("nest.scriprtd",,"bse_cm|1045NIDO33","LTP")</f>
        <v>903.1</v>
      </c>
      <c r="I71" t="str">
        <f>RTD("nest.scriprtd",,"bse_cm|1045NIDO33","LTT")</f>
        <v>09:21:43</v>
      </c>
      <c r="J71">
        <f>RTD("nest.scriprtd",,"bse_cm|1045NIDO33","% Change")</f>
        <v>-2.5</v>
      </c>
      <c r="K71">
        <f>RTD("nest.scriprtd",,"bse_cm|1045NIDO33","ATP")</f>
        <v>903.1</v>
      </c>
      <c r="L71">
        <f>RTD("nest.scriprtd",,"bse_cm|1045NIDO33","Volume Traded Today")</f>
        <v>8</v>
      </c>
      <c r="M71">
        <f>RTD("nest.scriprtd",,"bse_cm|1045NIDO33","Open")</f>
        <v>903.1</v>
      </c>
      <c r="N71">
        <f>RTD("nest.scriprtd",,"bse_cm|1045NIDO33","High")</f>
        <v>903.1</v>
      </c>
      <c r="O71">
        <f>RTD("nest.scriprtd",,"bse_cm|1045NIDO33","Low ")</f>
        <v>903.1</v>
      </c>
      <c r="P71">
        <f>RTD("nest.scriprtd",,"bse_cm|1045NIDO33","Prev Close")</f>
        <v>926.25</v>
      </c>
      <c r="Q71">
        <f>RTD("nest.scriprtd",,"bse_cm|1045NIDO33","Face Value")</f>
        <v>1000</v>
      </c>
      <c r="R71" t="str">
        <f>RTD("nest.scriprtd",,"bse_cm|1045NIDO33","Isin code")</f>
        <v>INE530L07541</v>
      </c>
      <c r="S71" s="9">
        <f>Table1[[#This Row],[Ask Rate]]*Table1[[#This Row],[Ask Qty]]</f>
        <v>7407.52</v>
      </c>
      <c r="T71">
        <f>VLOOKUP(Table1[[#This Row],[Isin code]],Table2[#All],7,FALSE)</f>
        <v>10.45</v>
      </c>
      <c r="U71" s="17" t="str">
        <f>VLOOKUP(Table1[[#This Row],[Isin code]],Table2[#All],8,FALSE)</f>
        <v>15-Sep-2033</v>
      </c>
      <c r="V71" s="10">
        <f ca="1">Table1[[#This Row],[Maturity]]-TODAY()</f>
        <v>3256</v>
      </c>
      <c r="W71" t="str">
        <f>VLOOKUP(Table1[[#This Row],[Isin code]],Table2[#All],10,FALSE)</f>
        <v>Yearly</v>
      </c>
      <c r="X71">
        <f ca="1">_xlfn.DAYS(Table1[[#This Row],[Maturity]],TODAY())-15</f>
        <v>3241</v>
      </c>
      <c r="Y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71">
        <f>IF(Table1[[#This Row],[Ask Rate]]=0,0,Table1[[#This Row],[Face Value]]-Table1[[#This Row],[Ask Rate]])</f>
        <v>74.059999999999945</v>
      </c>
      <c r="AA71">
        <f>IF(Table1[[#This Row],[Freq]]="Yearly",Table1[[#This Row],[Coupon_Rate]]/100,IF(Table1[[#This Row],[Freq]]="Monthly",Table1[[#This Row],[Coupon_Rate]]/1200,IF(Table1[[#This Row],[Freq]]="Quarterly",Table1[[#This Row],[Coupon_Rate]]/400,0)))</f>
        <v>0.1045</v>
      </c>
      <c r="AB71">
        <f ca="1">Table1[[#This Row],[Face Value]]*Table1[[#This Row],[Rate]]*Table1[[#This Row],[Time]]</f>
        <v>940.5</v>
      </c>
      <c r="AC71">
        <f ca="1">Table1[[#This Row],[SI]]+Table1[[#This Row],[Disc/Prem]]</f>
        <v>1014.56</v>
      </c>
      <c r="AD71" s="3">
        <f ca="1">Table1[[#This Row],[Net Gain]]/Table1[[#This Row],[Ask Rate]]</f>
        <v>1.0957081452361923</v>
      </c>
      <c r="AE71" s="3">
        <f ca="1">IF(Table1[[#This Row],[Ask Qty]]=0,0,Table1[[#This Row],[Gross Yield]]*365/Table1[[#This Row],[Days Left]])</f>
        <v>0.12282969072825865</v>
      </c>
      <c r="AF71" s="9">
        <f ca="1">+Table1[[#This Row],[Net Gain]]*Table1[[#This Row],[Ask Qty]]</f>
        <v>8116.48</v>
      </c>
      <c r="AG71" t="str">
        <f ca="1">IF(Table1[[#This Row],[YTM]]&gt;0.12,IF(Table1[[#This Row],[Gross Profit]]&gt;10000,"Invest","Review"),"Low YTM")</f>
        <v>Review</v>
      </c>
    </row>
    <row r="72" spans="1:33" x14ac:dyDescent="0.3">
      <c r="A72" t="str">
        <f>RTD("nest.scriprtd",,"bse_cm|1080MML29","Symbol")</f>
        <v>1080MML29</v>
      </c>
      <c r="B72" t="str">
        <f>RTD("nest.scriprtd",,"bse_cm|1080MML29","Trading Symbol")</f>
        <v>1080MML29</v>
      </c>
      <c r="C72" t="str">
        <f>RTD("nest.scriprtd",,"bse_cm|1080MML29","Exchange")</f>
        <v>BSE</v>
      </c>
      <c r="D72">
        <f>RTD("nest.scriprtd",,"bse_cm|1080MML29","Bid Qty")</f>
        <v>25</v>
      </c>
      <c r="E72">
        <f>RTD("nest.scriprtd",,"bse_cm|1080MML29","Bid Rate")</f>
        <v>815.2</v>
      </c>
      <c r="F72">
        <f>RTD("nest.scriprtd",,"bse_cm|1080MML29","Ask Rate")</f>
        <v>960</v>
      </c>
      <c r="G72">
        <f>RTD("nest.scriprtd",,"bse_cm|1080MML29","Ask Qty")</f>
        <v>10</v>
      </c>
      <c r="H72">
        <f>RTD("nest.scriprtd",,"bse_cm|1080MML29","LTP")</f>
        <v>815.2</v>
      </c>
      <c r="I72" t="str">
        <f>RTD("nest.scriprtd",,"bse_cm|1080MML29","LTT")</f>
        <v>10:27:03</v>
      </c>
      <c r="J72">
        <f>RTD("nest.scriprtd",,"bse_cm|1080MML29","% Change")</f>
        <v>-1.78</v>
      </c>
      <c r="K72">
        <f>RTD("nest.scriprtd",,"bse_cm|1080MML29","ATP")</f>
        <v>815.2</v>
      </c>
      <c r="L72">
        <f>RTD("nest.scriprtd",,"bse_cm|1080MML29","Volume Traded Today")</f>
        <v>10</v>
      </c>
      <c r="M72">
        <f>RTD("nest.scriprtd",,"bse_cm|1080MML29","Open")</f>
        <v>815.2</v>
      </c>
      <c r="N72">
        <f>RTD("nest.scriprtd",,"bse_cm|1080MML29","High")</f>
        <v>815.2</v>
      </c>
      <c r="O72">
        <f>RTD("nest.scriprtd",,"bse_cm|1080MML29","Low ")</f>
        <v>815.2</v>
      </c>
      <c r="P72">
        <f>RTD("nest.scriprtd",,"bse_cm|1080MML29","Prev Close")</f>
        <v>830</v>
      </c>
      <c r="Q72">
        <f>RTD("nest.scriprtd",,"bse_cm|1080MML29","Face Value")</f>
        <v>1000</v>
      </c>
      <c r="R72" t="str">
        <f>RTD("nest.scriprtd",,"bse_cm|1080MML29","Isin code")</f>
        <v>INE05F407CH1</v>
      </c>
      <c r="S72" s="9">
        <f>Table1[[#This Row],[Ask Rate]]*Table1[[#This Row],[Ask Qty]]</f>
        <v>9600</v>
      </c>
      <c r="T72">
        <f>VLOOKUP(Table1[[#This Row],[Isin code]],Table2[#All],7,FALSE)</f>
        <v>10.8</v>
      </c>
      <c r="U72" s="17" t="str">
        <f>VLOOKUP(Table1[[#This Row],[Isin code]],Table2[#All],8,FALSE)</f>
        <v>27-May-2029</v>
      </c>
      <c r="V72" s="10">
        <f ca="1">Table1[[#This Row],[Maturity]]-TODAY()</f>
        <v>1684</v>
      </c>
      <c r="W72" t="str">
        <f>VLOOKUP(Table1[[#This Row],[Isin code]],Table2[#All],10,FALSE)</f>
        <v>Monthly</v>
      </c>
      <c r="X72">
        <f ca="1">_xlfn.DAYS(Table1[[#This Row],[Maturity]],TODAY())-15</f>
        <v>1669</v>
      </c>
      <c r="Y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56</v>
      </c>
      <c r="Z72">
        <f>IF(Table1[[#This Row],[Ask Rate]]=0,0,Table1[[#This Row],[Face Value]]-Table1[[#This Row],[Ask Rate]])</f>
        <v>40</v>
      </c>
      <c r="AA72">
        <f>IF(Table1[[#This Row],[Freq]]="Yearly",Table1[[#This Row],[Coupon_Rate]]/100,IF(Table1[[#This Row],[Freq]]="Monthly",Table1[[#This Row],[Coupon_Rate]]/1200,IF(Table1[[#This Row],[Freq]]="Quarterly",Table1[[#This Row],[Coupon_Rate]]/400,0)))</f>
        <v>9.0000000000000011E-3</v>
      </c>
      <c r="AB72">
        <f ca="1">Table1[[#This Row],[Face Value]]*Table1[[#This Row],[Rate]]*Table1[[#This Row],[Time]]</f>
        <v>504.00000000000011</v>
      </c>
      <c r="AC72">
        <f ca="1">Table1[[#This Row],[SI]]+Table1[[#This Row],[Disc/Prem]]</f>
        <v>544.00000000000011</v>
      </c>
      <c r="AD72" s="3">
        <f ca="1">Table1[[#This Row],[Net Gain]]/Table1[[#This Row],[Ask Rate]]</f>
        <v>0.56666666666666676</v>
      </c>
      <c r="AE72" s="3">
        <f ca="1">IF(Table1[[#This Row],[Ask Qty]]=0,0,Table1[[#This Row],[Gross Yield]]*365/Table1[[#This Row],[Days Left]])</f>
        <v>0.12282264449722884</v>
      </c>
      <c r="AF72" s="9">
        <f ca="1">+Table1[[#This Row],[Net Gain]]*Table1[[#This Row],[Ask Qty]]</f>
        <v>5440.0000000000009</v>
      </c>
      <c r="AG72" t="str">
        <f ca="1">IF(Table1[[#This Row],[YTM]]&gt;0.12,IF(Table1[[#This Row],[Gross Profit]]&gt;10000,"Invest","Review"),"Low YTM")</f>
        <v>Review</v>
      </c>
    </row>
    <row r="73" spans="1:33" x14ac:dyDescent="0.3">
      <c r="A73" t="str">
        <f>RTD("nest.scriprtd",,"bse_cm|95KLM25","Symbol")</f>
        <v>95KLM25</v>
      </c>
      <c r="B73" t="str">
        <f>RTD("nest.scriprtd",,"bse_cm|95KLM25","Trading Symbol")</f>
        <v>95KLM25</v>
      </c>
      <c r="C73" t="str">
        <f>RTD("nest.scriprtd",,"bse_cm|95KLM25","Exchange")</f>
        <v>BSE</v>
      </c>
      <c r="D73">
        <f>RTD("nest.scriprtd",,"bse_cm|95KLM25","Bid Qty")</f>
        <v>4</v>
      </c>
      <c r="E73">
        <f>RTD("nest.scriprtd",,"bse_cm|95KLM25","Bid Rate")</f>
        <v>901</v>
      </c>
      <c r="F73">
        <f>RTD("nest.scriprtd",,"bse_cm|95KLM25","Ask Rate")</f>
        <v>975</v>
      </c>
      <c r="G73">
        <f>RTD("nest.scriprtd",,"bse_cm|95KLM25","Ask Qty")</f>
        <v>194</v>
      </c>
      <c r="H73">
        <f>RTD("nest.scriprtd",,"bse_cm|95KLM25","LTP")</f>
        <v>0</v>
      </c>
      <c r="I73" t="str">
        <f>RTD("nest.scriprtd",,"bse_cm|95KLM25","LTT")</f>
        <v>00:00:00</v>
      </c>
      <c r="J73">
        <f>RTD("nest.scriprtd",,"bse_cm|95KLM25","% Change")</f>
        <v>-100</v>
      </c>
      <c r="K73">
        <f>RTD("nest.scriprtd",,"bse_cm|95KLM25","ATP")</f>
        <v>0</v>
      </c>
      <c r="L73">
        <f>RTD("nest.scriprtd",,"bse_cm|95KLM25","Volume Traded Today")</f>
        <v>0</v>
      </c>
      <c r="M73">
        <f>RTD("nest.scriprtd",,"bse_cm|95KLM25","Open")</f>
        <v>0</v>
      </c>
      <c r="N73">
        <f>RTD("nest.scriprtd",,"bse_cm|95KLM25","High")</f>
        <v>976.66</v>
      </c>
      <c r="O73">
        <f>RTD("nest.scriprtd",,"bse_cm|95KLM25","Low ")</f>
        <v>975.27</v>
      </c>
      <c r="P73">
        <f>RTD("nest.scriprtd",,"bse_cm|95KLM25","Prev Close")</f>
        <v>976.43</v>
      </c>
      <c r="Q73">
        <f>RTD("nest.scriprtd",,"bse_cm|95KLM25","Face Value")</f>
        <v>1000</v>
      </c>
      <c r="R73" t="str">
        <f>RTD("nest.scriprtd",,"bse_cm|95KLM25","Isin code")</f>
        <v>INE01I507638</v>
      </c>
      <c r="S73" s="9">
        <f>Table1[[#This Row],[Ask Rate]]*Table1[[#This Row],[Ask Qty]]</f>
        <v>189150</v>
      </c>
      <c r="T73">
        <f>VLOOKUP(Table1[[#This Row],[Isin code]],Table2[#All],7,FALSE)</f>
        <v>9.5</v>
      </c>
      <c r="U73" s="17" t="str">
        <f>VLOOKUP(Table1[[#This Row],[Isin code]],Table2[#All],8,FALSE)</f>
        <v>17-Oct-2025</v>
      </c>
      <c r="V73" s="10">
        <f ca="1">Table1[[#This Row],[Maturity]]-TODAY()</f>
        <v>366</v>
      </c>
      <c r="W73" t="str">
        <f>VLOOKUP(Table1[[#This Row],[Isin code]],Table2[#All],10,FALSE)</f>
        <v>Monthly</v>
      </c>
      <c r="X73">
        <f ca="1">_xlfn.DAYS(Table1[[#This Row],[Maturity]],TODAY())-15</f>
        <v>351</v>
      </c>
      <c r="Y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73">
        <f>IF(Table1[[#This Row],[Ask Rate]]=0,0,Table1[[#This Row],[Face Value]]-Table1[[#This Row],[Ask Rate]])</f>
        <v>25</v>
      </c>
      <c r="AA73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73">
        <f ca="1">Table1[[#This Row],[Face Value]]*Table1[[#This Row],[Rate]]*Table1[[#This Row],[Time]]</f>
        <v>95</v>
      </c>
      <c r="AC73">
        <f ca="1">Table1[[#This Row],[SI]]+Table1[[#This Row],[Disc/Prem]]</f>
        <v>120</v>
      </c>
      <c r="AD73" s="3">
        <f ca="1">Table1[[#This Row],[Net Gain]]/Table1[[#This Row],[Ask Rate]]</f>
        <v>0.12307692307692308</v>
      </c>
      <c r="AE73" s="3">
        <f ca="1">IF(Table1[[#This Row],[Ask Qty]]=0,0,Table1[[#This Row],[Gross Yield]]*365/Table1[[#This Row],[Days Left]])</f>
        <v>0.12274064733081128</v>
      </c>
      <c r="AF73" s="9">
        <f ca="1">+Table1[[#This Row],[Net Gain]]*Table1[[#This Row],[Ask Qty]]</f>
        <v>23280</v>
      </c>
      <c r="AG73" t="str">
        <f ca="1">IF(Table1[[#This Row],[YTM]]&gt;0.12,IF(Table1[[#This Row],[Gross Profit]]&gt;10000,"Invest","Review"),"Low YTM")</f>
        <v>Invest</v>
      </c>
    </row>
    <row r="74" spans="1:33" x14ac:dyDescent="0.3">
      <c r="A74" t="str">
        <f>RTD("nest.scriprtd",,"nse_cm|865IIFL28-NS","Symbol")</f>
        <v>865IIFL28</v>
      </c>
      <c r="B74" t="str">
        <f>RTD("nest.scriprtd",,"nse_cm|865IIFL28-NS","Trading Symbol")</f>
        <v>865IIFL28-NS</v>
      </c>
      <c r="C74" t="str">
        <f>RTD("nest.scriprtd",,"nse_cm|865IIFL28-NS","Exchange")</f>
        <v>NSE</v>
      </c>
      <c r="D74">
        <f>RTD("nest.scriprtd",,"nse_cm|865IIFL28-NS","Bid Qty")</f>
        <v>100</v>
      </c>
      <c r="E74">
        <f>RTD("nest.scriprtd",,"nse_cm|865IIFL28-NS","Bid Rate")</f>
        <v>911.01</v>
      </c>
      <c r="F74">
        <f>RTD("nest.scriprtd",,"nse_cm|865IIFL28-NS","Ask Rate")</f>
        <v>920</v>
      </c>
      <c r="G74">
        <f>RTD("nest.scriprtd",,"nse_cm|865IIFL28-NS","Ask Qty")</f>
        <v>13</v>
      </c>
      <c r="H74">
        <f>RTD("nest.scriprtd",,"nse_cm|865IIFL28-NS","LTP")</f>
        <v>920</v>
      </c>
      <c r="I74" t="str">
        <f>RTD("nest.scriprtd",,"nse_cm|865IIFL28-NS","LTT")</f>
        <v>09:51:35</v>
      </c>
      <c r="J74">
        <f>RTD("nest.scriprtd",,"nse_cm|865IIFL28-NS","% Change")</f>
        <v>0.3</v>
      </c>
      <c r="K74">
        <f>RTD("nest.scriprtd",,"nse_cm|865IIFL28-NS","ATP")</f>
        <v>920</v>
      </c>
      <c r="L74">
        <f>RTD("nest.scriprtd",,"nse_cm|865IIFL28-NS","Volume Traded Today")</f>
        <v>100</v>
      </c>
      <c r="M74">
        <f>RTD("nest.scriprtd",,"nse_cm|865IIFL28-NS","Open")</f>
        <v>920</v>
      </c>
      <c r="N74">
        <f>RTD("nest.scriprtd",,"nse_cm|865IIFL28-NS","High")</f>
        <v>920</v>
      </c>
      <c r="O74">
        <f>RTD("nest.scriprtd",,"nse_cm|865IIFL28-NS","Low ")</f>
        <v>920</v>
      </c>
      <c r="P74">
        <f>RTD("nest.scriprtd",,"nse_cm|865IIFL28-NS","Prev Close")</f>
        <v>917.26</v>
      </c>
      <c r="Q74">
        <f>RTD("nest.scriprtd",,"nse_cm|865IIFL28-NS","Face Value")</f>
        <v>1000</v>
      </c>
      <c r="R74" t="str">
        <f>RTD("nest.scriprtd",,"nse_cm|865IIFL28-NS","Isin code")</f>
        <v>INE530B07310</v>
      </c>
      <c r="S74" s="9">
        <f>Table1[[#This Row],[Ask Rate]]*Table1[[#This Row],[Ask Qty]]</f>
        <v>11960</v>
      </c>
      <c r="T74">
        <f>VLOOKUP(Table1[[#This Row],[Isin code]],Table2[#All],7,FALSE)</f>
        <v>8.65</v>
      </c>
      <c r="U74" s="17" t="str">
        <f>VLOOKUP(Table1[[#This Row],[Isin code]],Table2[#All],8,FALSE)</f>
        <v>24-Jan-2028</v>
      </c>
      <c r="V74" s="10">
        <f ca="1">Table1[[#This Row],[Maturity]]-TODAY()</f>
        <v>1195</v>
      </c>
      <c r="W74" t="str">
        <f>VLOOKUP(Table1[[#This Row],[Isin code]],Table2[#All],10,FALSE)</f>
        <v>Monthly</v>
      </c>
      <c r="X74">
        <f ca="1">_xlfn.DAYS(Table1[[#This Row],[Maturity]],TODAY())-15</f>
        <v>1180</v>
      </c>
      <c r="Y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74">
        <f>IF(Table1[[#This Row],[Ask Rate]]=0,0,Table1[[#This Row],[Face Value]]-Table1[[#This Row],[Ask Rate]])</f>
        <v>80</v>
      </c>
      <c r="AA74">
        <f>IF(Table1[[#This Row],[Freq]]="Yearly",Table1[[#This Row],[Coupon_Rate]]/100,IF(Table1[[#This Row],[Freq]]="Monthly",Table1[[#This Row],[Coupon_Rate]]/1200,IF(Table1[[#This Row],[Freq]]="Quarterly",Table1[[#This Row],[Coupon_Rate]]/400,0)))</f>
        <v>7.208333333333334E-3</v>
      </c>
      <c r="AB74">
        <f ca="1">Table1[[#This Row],[Face Value]]*Table1[[#This Row],[Rate]]*Table1[[#This Row],[Time]]</f>
        <v>288.33333333333337</v>
      </c>
      <c r="AC74">
        <f ca="1">Table1[[#This Row],[SI]]+Table1[[#This Row],[Disc/Prem]]</f>
        <v>368.33333333333337</v>
      </c>
      <c r="AD74" s="3">
        <f ca="1">Table1[[#This Row],[Net Gain]]/Table1[[#This Row],[Ask Rate]]</f>
        <v>0.40036231884057977</v>
      </c>
      <c r="AE74" s="3">
        <f ca="1">IF(Table1[[#This Row],[Ask Qty]]=0,0,Table1[[#This Row],[Gross Yield]]*365/Table1[[#This Row],[Days Left]])</f>
        <v>0.12228639864168336</v>
      </c>
      <c r="AF74" s="9">
        <f ca="1">+Table1[[#This Row],[Net Gain]]*Table1[[#This Row],[Ask Qty]]</f>
        <v>4788.3333333333339</v>
      </c>
      <c r="AG74" t="str">
        <f ca="1">IF(Table1[[#This Row],[YTM]]&gt;0.12,IF(Table1[[#This Row],[Gross Profit]]&gt;10000,"Invest","Review"),"Low YTM")</f>
        <v>Review</v>
      </c>
    </row>
    <row r="75" spans="1:33" x14ac:dyDescent="0.3">
      <c r="A75" t="str">
        <f>RTD("nest.scriprtd",,"bse_cm|865IIFL28","Symbol")</f>
        <v>865IIFL28</v>
      </c>
      <c r="B75" t="str">
        <f>RTD("nest.scriprtd",,"bse_cm|865IIFL28","Trading Symbol")</f>
        <v>865IIFL28</v>
      </c>
      <c r="C75" t="str">
        <f>RTD("nest.scriprtd",,"bse_cm|865IIFL28","Exchange")</f>
        <v>BSE</v>
      </c>
      <c r="D75">
        <f>RTD("nest.scriprtd",,"bse_cm|865IIFL28","Bid Qty")</f>
        <v>100</v>
      </c>
      <c r="E75">
        <f>RTD("nest.scriprtd",,"bse_cm|865IIFL28","Bid Rate")</f>
        <v>905</v>
      </c>
      <c r="F75">
        <f>RTD("nest.scriprtd",,"bse_cm|865IIFL28","Ask Rate")</f>
        <v>920</v>
      </c>
      <c r="G75">
        <f>RTD("nest.scriprtd",,"bse_cm|865IIFL28","Ask Qty")</f>
        <v>1750</v>
      </c>
      <c r="H75">
        <f>RTD("nest.scriprtd",,"bse_cm|865IIFL28","LTP")</f>
        <v>0</v>
      </c>
      <c r="I75" t="str">
        <f>RTD("nest.scriprtd",,"bse_cm|865IIFL28","LTT")</f>
        <v>00:00:00</v>
      </c>
      <c r="J75">
        <f>RTD("nest.scriprtd",,"bse_cm|865IIFL28","% Change")</f>
        <v>-100</v>
      </c>
      <c r="K75">
        <f>RTD("nest.scriprtd",,"bse_cm|865IIFL28","ATP")</f>
        <v>0</v>
      </c>
      <c r="L75">
        <f>RTD("nest.scriprtd",,"bse_cm|865IIFL28","Volume Traded Today")</f>
        <v>0</v>
      </c>
      <c r="M75">
        <f>RTD("nest.scriprtd",,"bse_cm|865IIFL28","Open")</f>
        <v>0</v>
      </c>
      <c r="N75">
        <f>RTD("nest.scriprtd",,"bse_cm|865IIFL28","High")</f>
        <v>924</v>
      </c>
      <c r="O75">
        <f>RTD("nest.scriprtd",,"bse_cm|865IIFL28","Low ")</f>
        <v>916.5</v>
      </c>
      <c r="P75">
        <f>RTD("nest.scriprtd",,"bse_cm|865IIFL28","Prev Close")</f>
        <v>924</v>
      </c>
      <c r="Q75">
        <f>RTD("nest.scriprtd",,"bse_cm|865IIFL28","Face Value")</f>
        <v>1000</v>
      </c>
      <c r="R75" t="str">
        <f>RTD("nest.scriprtd",,"bse_cm|865IIFL28","Isin code")</f>
        <v>INE530B07310</v>
      </c>
      <c r="S75" s="9">
        <f>Table1[[#This Row],[Ask Rate]]*Table1[[#This Row],[Ask Qty]]</f>
        <v>1610000</v>
      </c>
      <c r="T75">
        <f>VLOOKUP(Table1[[#This Row],[Isin code]],Table2[#All],7,FALSE)</f>
        <v>8.65</v>
      </c>
      <c r="U75" s="17" t="str">
        <f>VLOOKUP(Table1[[#This Row],[Isin code]],Table2[#All],8,FALSE)</f>
        <v>24-Jan-2028</v>
      </c>
      <c r="V75" s="10">
        <f ca="1">Table1[[#This Row],[Maturity]]-TODAY()</f>
        <v>1195</v>
      </c>
      <c r="W75" t="str">
        <f>VLOOKUP(Table1[[#This Row],[Isin code]],Table2[#All],10,FALSE)</f>
        <v>Monthly</v>
      </c>
      <c r="X75">
        <f ca="1">_xlfn.DAYS(Table1[[#This Row],[Maturity]],TODAY())-15</f>
        <v>1180</v>
      </c>
      <c r="Y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75">
        <f>IF(Table1[[#This Row],[Ask Rate]]=0,0,Table1[[#This Row],[Face Value]]-Table1[[#This Row],[Ask Rate]])</f>
        <v>80</v>
      </c>
      <c r="AA75">
        <f>IF(Table1[[#This Row],[Freq]]="Yearly",Table1[[#This Row],[Coupon_Rate]]/100,IF(Table1[[#This Row],[Freq]]="Monthly",Table1[[#This Row],[Coupon_Rate]]/1200,IF(Table1[[#This Row],[Freq]]="Quarterly",Table1[[#This Row],[Coupon_Rate]]/400,0)))</f>
        <v>7.208333333333334E-3</v>
      </c>
      <c r="AB75">
        <f ca="1">Table1[[#This Row],[Face Value]]*Table1[[#This Row],[Rate]]*Table1[[#This Row],[Time]]</f>
        <v>288.33333333333337</v>
      </c>
      <c r="AC75">
        <f ca="1">Table1[[#This Row],[SI]]+Table1[[#This Row],[Disc/Prem]]</f>
        <v>368.33333333333337</v>
      </c>
      <c r="AD75" s="3">
        <f ca="1">Table1[[#This Row],[Net Gain]]/Table1[[#This Row],[Ask Rate]]</f>
        <v>0.40036231884057977</v>
      </c>
      <c r="AE75" s="3">
        <f ca="1">IF(Table1[[#This Row],[Ask Qty]]=0,0,Table1[[#This Row],[Gross Yield]]*365/Table1[[#This Row],[Days Left]])</f>
        <v>0.12228639864168336</v>
      </c>
      <c r="AF75" s="9">
        <f ca="1">+Table1[[#This Row],[Net Gain]]*Table1[[#This Row],[Ask Qty]]</f>
        <v>644583.33333333337</v>
      </c>
      <c r="AG75" t="str">
        <f ca="1">IF(Table1[[#This Row],[YTM]]&gt;0.12,IF(Table1[[#This Row],[Gross Profit]]&gt;10000,"Invest","Review"),"Low YTM")</f>
        <v>Invest</v>
      </c>
    </row>
    <row r="76" spans="1:33" x14ac:dyDescent="0.3">
      <c r="A76" t="str">
        <f>RTD("nest.scriprtd",,"bse_cm|930NIDO32","Symbol")</f>
        <v>930NIDO32</v>
      </c>
      <c r="B76" t="str">
        <f>RTD("nest.scriprtd",,"bse_cm|930NIDO32","Trading Symbol")</f>
        <v>930NIDO32</v>
      </c>
      <c r="C76" t="str">
        <f>RTD("nest.scriprtd",,"bse_cm|930NIDO32","Exchange")</f>
        <v>BSE</v>
      </c>
      <c r="D76">
        <f>RTD("nest.scriprtd",,"bse_cm|930NIDO32","Bid Qty")</f>
        <v>50</v>
      </c>
      <c r="E76">
        <f>RTD("nest.scriprtd",,"bse_cm|930NIDO32","Bid Rate")</f>
        <v>882</v>
      </c>
      <c r="F76">
        <f>RTD("nest.scriprtd",,"bse_cm|930NIDO32","Ask Rate")</f>
        <v>892.5</v>
      </c>
      <c r="G76">
        <f>RTD("nest.scriprtd",,"bse_cm|930NIDO32","Ask Qty")</f>
        <v>10</v>
      </c>
      <c r="H76">
        <f>RTD("nest.scriprtd",,"bse_cm|930NIDO32","LTP")</f>
        <v>0</v>
      </c>
      <c r="I76" t="str">
        <f>RTD("nest.scriprtd",,"bse_cm|930NIDO32","LTT")</f>
        <v>00:00:00</v>
      </c>
      <c r="J76">
        <f>RTD("nest.scriprtd",,"bse_cm|930NIDO32","% Change")</f>
        <v>-100</v>
      </c>
      <c r="K76">
        <f>RTD("nest.scriprtd",,"bse_cm|930NIDO32","ATP")</f>
        <v>0</v>
      </c>
      <c r="L76">
        <f>RTD("nest.scriprtd",,"bse_cm|930NIDO32","Volume Traded Today")</f>
        <v>0</v>
      </c>
      <c r="M76">
        <f>RTD("nest.scriprtd",,"bse_cm|930NIDO32","Open")</f>
        <v>0</v>
      </c>
      <c r="N76">
        <f>RTD("nest.scriprtd",,"bse_cm|930NIDO32","High")</f>
        <v>892.5</v>
      </c>
      <c r="O76">
        <f>RTD("nest.scriprtd",,"bse_cm|930NIDO32","Low ")</f>
        <v>892.5</v>
      </c>
      <c r="P76">
        <f>RTD("nest.scriprtd",,"bse_cm|930NIDO32","Prev Close")</f>
        <v>892.5</v>
      </c>
      <c r="Q76">
        <f>RTD("nest.scriprtd",,"bse_cm|930NIDO32","Face Value")</f>
        <v>1000</v>
      </c>
      <c r="R76" t="str">
        <f>RTD("nest.scriprtd",,"bse_cm|930NIDO32","Isin code")</f>
        <v>INE530L07509</v>
      </c>
      <c r="S76" s="9">
        <f>Table1[[#This Row],[Ask Rate]]*Table1[[#This Row],[Ask Qty]]</f>
        <v>8925</v>
      </c>
      <c r="T76">
        <f>VLOOKUP(Table1[[#This Row],[Isin code]],Table2[#All],7,FALSE)</f>
        <v>9.3000000000000007</v>
      </c>
      <c r="U76" s="17" t="str">
        <f>VLOOKUP(Table1[[#This Row],[Isin code]],Table2[#All],8,FALSE)</f>
        <v>29-Apr-2032</v>
      </c>
      <c r="V76" s="10">
        <f ca="1">Table1[[#This Row],[Maturity]]-TODAY()</f>
        <v>2752</v>
      </c>
      <c r="W76" t="str">
        <f>VLOOKUP(Table1[[#This Row],[Isin code]],Table2[#All],10,FALSE)</f>
        <v>Monthly</v>
      </c>
      <c r="X76">
        <f ca="1">_xlfn.DAYS(Table1[[#This Row],[Maturity]],TODAY())-15</f>
        <v>2737</v>
      </c>
      <c r="Y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92</v>
      </c>
      <c r="Z76">
        <f>IF(Table1[[#This Row],[Ask Rate]]=0,0,Table1[[#This Row],[Face Value]]-Table1[[#This Row],[Ask Rate]])</f>
        <v>107.5</v>
      </c>
      <c r="AA76">
        <f>IF(Table1[[#This Row],[Freq]]="Yearly",Table1[[#This Row],[Coupon_Rate]]/100,IF(Table1[[#This Row],[Freq]]="Monthly",Table1[[#This Row],[Coupon_Rate]]/1200,IF(Table1[[#This Row],[Freq]]="Quarterly",Table1[[#This Row],[Coupon_Rate]]/400,0)))</f>
        <v>7.7500000000000008E-3</v>
      </c>
      <c r="AB76">
        <f ca="1">Table1[[#This Row],[Face Value]]*Table1[[#This Row],[Rate]]*Table1[[#This Row],[Time]]</f>
        <v>713.00000000000011</v>
      </c>
      <c r="AC76">
        <f ca="1">Table1[[#This Row],[SI]]+Table1[[#This Row],[Disc/Prem]]</f>
        <v>820.50000000000011</v>
      </c>
      <c r="AD76" s="3">
        <f ca="1">Table1[[#This Row],[Net Gain]]/Table1[[#This Row],[Ask Rate]]</f>
        <v>0.91932773109243715</v>
      </c>
      <c r="AE76" s="3">
        <f ca="1">IF(Table1[[#This Row],[Ask Qty]]=0,0,Table1[[#This Row],[Gross Yield]]*365/Table1[[#This Row],[Days Left]])</f>
        <v>0.12193118526480361</v>
      </c>
      <c r="AF76" s="9">
        <f ca="1">+Table1[[#This Row],[Net Gain]]*Table1[[#This Row],[Ask Qty]]</f>
        <v>8205.0000000000018</v>
      </c>
      <c r="AG76" t="str">
        <f ca="1">IF(Table1[[#This Row],[YTM]]&gt;0.12,IF(Table1[[#This Row],[Gross Profit]]&gt;10000,"Invest","Review"),"Low YTM")</f>
        <v>Review</v>
      </c>
    </row>
    <row r="77" spans="1:33" x14ac:dyDescent="0.3">
      <c r="A77" t="str">
        <f>RTD("nest.scriprtd",,"nse_cm|875IHFL29-ND","Symbol")</f>
        <v>875IHFL29</v>
      </c>
      <c r="B77" t="str">
        <f>RTD("nest.scriprtd",,"nse_cm|875IHFL29-ND","Trading Symbol")</f>
        <v>875IHFL29-ND</v>
      </c>
      <c r="C77" t="str">
        <f>RTD("nest.scriprtd",,"nse_cm|875IHFL29-ND","Exchange")</f>
        <v>NSE</v>
      </c>
      <c r="D77">
        <f>RTD("nest.scriprtd",,"nse_cm|875IHFL29-ND","Bid Qty")</f>
        <v>81</v>
      </c>
      <c r="E77">
        <f>RTD("nest.scriprtd",,"nse_cm|875IHFL29-ND","Bid Rate")</f>
        <v>939.2</v>
      </c>
      <c r="F77">
        <f>RTD("nest.scriprtd",,"nse_cm|875IHFL29-ND","Ask Rate")</f>
        <v>949.8</v>
      </c>
      <c r="G77">
        <f>RTD("nest.scriprtd",,"nse_cm|875IHFL29-ND","Ask Qty")</f>
        <v>99</v>
      </c>
      <c r="H77">
        <f>RTD("nest.scriprtd",,"nse_cm|875IHFL29-ND","LTP")</f>
        <v>939.2</v>
      </c>
      <c r="I77" t="str">
        <f>RTD("nest.scriprtd",,"nse_cm|875IHFL29-ND","LTT")</f>
        <v/>
      </c>
      <c r="J77">
        <f>RTD("nest.scriprtd",,"nse_cm|875IHFL29-ND","% Change")</f>
        <v>0</v>
      </c>
      <c r="K77">
        <f>RTD("nest.scriprtd",,"nse_cm|875IHFL29-ND","ATP")</f>
        <v>0</v>
      </c>
      <c r="L77">
        <f>RTD("nest.scriprtd",,"nse_cm|875IHFL29-ND","Volume Traded Today")</f>
        <v>0</v>
      </c>
      <c r="M77">
        <f>RTD("nest.scriprtd",,"nse_cm|875IHFL29-ND","Open")</f>
        <v>0</v>
      </c>
      <c r="N77">
        <f>RTD("nest.scriprtd",,"nse_cm|875IHFL29-ND","High")</f>
        <v>939.2</v>
      </c>
      <c r="O77">
        <f>RTD("nest.scriprtd",,"nse_cm|875IHFL29-ND","Low ")</f>
        <v>939.2</v>
      </c>
      <c r="P77">
        <f>RTD("nest.scriprtd",,"nse_cm|875IHFL29-ND","Prev Close")</f>
        <v>939.2</v>
      </c>
      <c r="Q77">
        <f>RTD("nest.scriprtd",,"nse_cm|875IHFL29-ND","Face Value")</f>
        <v>1000</v>
      </c>
      <c r="R77" t="str">
        <f>RTD("nest.scriprtd",,"nse_cm|875IHFL29-ND","Isin code")</f>
        <v>INE477L07AR0</v>
      </c>
      <c r="S77" s="9">
        <f>Table1[[#This Row],[Ask Rate]]*Table1[[#This Row],[Ask Qty]]</f>
        <v>94030.2</v>
      </c>
      <c r="T77">
        <f>VLOOKUP(Table1[[#This Row],[Isin code]],Table2[#All],7,FALSE)</f>
        <v>8.75</v>
      </c>
      <c r="U77" s="17" t="str">
        <f>VLOOKUP(Table1[[#This Row],[Isin code]],Table2[#All],8,FALSE)</f>
        <v>03-Jan-2029</v>
      </c>
      <c r="V77" s="10">
        <f ca="1">Table1[[#This Row],[Maturity]]-TODAY()</f>
        <v>1540</v>
      </c>
      <c r="W77" t="str">
        <f>VLOOKUP(Table1[[#This Row],[Isin code]],Table2[#All],10,FALSE)</f>
        <v>Yearly</v>
      </c>
      <c r="X77">
        <f ca="1">_xlfn.DAYS(Table1[[#This Row],[Maturity]],TODAY())-15</f>
        <v>1525</v>
      </c>
      <c r="Y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77">
        <f>IF(Table1[[#This Row],[Ask Rate]]=0,0,Table1[[#This Row],[Face Value]]-Table1[[#This Row],[Ask Rate]])</f>
        <v>50.200000000000045</v>
      </c>
      <c r="AA77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77">
        <f ca="1">Table1[[#This Row],[Face Value]]*Table1[[#This Row],[Rate]]*Table1[[#This Row],[Time]]</f>
        <v>437.5</v>
      </c>
      <c r="AC77">
        <f ca="1">Table1[[#This Row],[SI]]+Table1[[#This Row],[Disc/Prem]]</f>
        <v>487.70000000000005</v>
      </c>
      <c r="AD77" s="3">
        <f ca="1">Table1[[#This Row],[Net Gain]]/Table1[[#This Row],[Ask Rate]]</f>
        <v>0.51347652137292066</v>
      </c>
      <c r="AE77" s="3">
        <f ca="1">IF(Table1[[#This Row],[Ask Qty]]=0,0,Table1[[#This Row],[Gross Yield]]*365/Table1[[#This Row],[Days Left]])</f>
        <v>0.12170060409163379</v>
      </c>
      <c r="AF77" s="9">
        <f ca="1">+Table1[[#This Row],[Net Gain]]*Table1[[#This Row],[Ask Qty]]</f>
        <v>48282.3</v>
      </c>
      <c r="AG77" t="str">
        <f ca="1">IF(Table1[[#This Row],[YTM]]&gt;0.12,IF(Table1[[#This Row],[Gross Profit]]&gt;10000,"Invest","Review"),"Low YTM")</f>
        <v>Invest</v>
      </c>
    </row>
    <row r="78" spans="1:33" x14ac:dyDescent="0.3">
      <c r="A78" t="str">
        <f>RTD("nest.scriprtd",,"bse_cm|1010EFS28A","Symbol")</f>
        <v>1010EFS28A</v>
      </c>
      <c r="B78" t="str">
        <f>RTD("nest.scriprtd",,"bse_cm|1010EFS28A","Trading Symbol")</f>
        <v>1010EFS28A</v>
      </c>
      <c r="C78" t="str">
        <f>RTD("nest.scriprtd",,"bse_cm|1010EFS28A","Exchange")</f>
        <v>BSE</v>
      </c>
      <c r="D78">
        <f>RTD("nest.scriprtd",,"bse_cm|1010EFS28A","Bid Qty")</f>
        <v>170</v>
      </c>
      <c r="E78">
        <f>RTD("nest.scriprtd",,"bse_cm|1010EFS28A","Bid Rate")</f>
        <v>980.2</v>
      </c>
      <c r="F78">
        <f>RTD("nest.scriprtd",,"bse_cm|1010EFS28A","Ask Rate")</f>
        <v>1005</v>
      </c>
      <c r="G78">
        <f>RTD("nest.scriprtd",,"bse_cm|1010EFS28A","Ask Qty")</f>
        <v>92</v>
      </c>
      <c r="H78">
        <f>RTD("nest.scriprtd",,"bse_cm|1010EFS28A","LTP")</f>
        <v>0</v>
      </c>
      <c r="I78" t="str">
        <f>RTD("nest.scriprtd",,"bse_cm|1010EFS28A","LTT")</f>
        <v>00:00:00</v>
      </c>
      <c r="J78">
        <f>RTD("nest.scriprtd",,"bse_cm|1010EFS28A","% Change")</f>
        <v>-100</v>
      </c>
      <c r="K78">
        <f>RTD("nest.scriprtd",,"bse_cm|1010EFS28A","ATP")</f>
        <v>0</v>
      </c>
      <c r="L78">
        <f>RTD("nest.scriprtd",,"bse_cm|1010EFS28A","Volume Traded Today")</f>
        <v>0</v>
      </c>
      <c r="M78">
        <f>RTD("nest.scriprtd",,"bse_cm|1010EFS28A","Open")</f>
        <v>0</v>
      </c>
      <c r="N78">
        <f>RTD("nest.scriprtd",,"bse_cm|1010EFS28A","High")</f>
        <v>990</v>
      </c>
      <c r="O78">
        <f>RTD("nest.scriprtd",,"bse_cm|1010EFS28A","Low ")</f>
        <v>990</v>
      </c>
      <c r="P78">
        <f>RTD("nest.scriprtd",,"bse_cm|1010EFS28A","Prev Close")</f>
        <v>990</v>
      </c>
      <c r="Q78">
        <f>RTD("nest.scriprtd",,"bse_cm|1010EFS28A","Face Value")</f>
        <v>1000</v>
      </c>
      <c r="R78" t="str">
        <f>RTD("nest.scriprtd",,"bse_cm|1010EFS28A","Isin code")</f>
        <v>INE532F07DJ5</v>
      </c>
      <c r="S78" s="9">
        <f>Table1[[#This Row],[Ask Rate]]*Table1[[#This Row],[Ask Qty]]</f>
        <v>92460</v>
      </c>
      <c r="T78">
        <f>VLOOKUP(Table1[[#This Row],[Isin code]],Table2[#All],7,FALSE)</f>
        <v>10.100000000000001</v>
      </c>
      <c r="U78" s="17" t="str">
        <f>VLOOKUP(Table1[[#This Row],[Isin code]],Table2[#All],8,FALSE)</f>
        <v>20-Jan-2028</v>
      </c>
      <c r="V78" s="10">
        <f ca="1">Table1[[#This Row],[Maturity]]-TODAY()</f>
        <v>1191</v>
      </c>
      <c r="W78" t="str">
        <f>VLOOKUP(Table1[[#This Row],[Isin code]],Table2[#All],10,FALSE)</f>
        <v>Yearly</v>
      </c>
      <c r="X78">
        <f ca="1">_xlfn.DAYS(Table1[[#This Row],[Maturity]],TODAY())-15</f>
        <v>1176</v>
      </c>
      <c r="Y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78">
        <f>IF(Table1[[#This Row],[Ask Rate]]=0,0,Table1[[#This Row],[Face Value]]-Table1[[#This Row],[Ask Rate]])</f>
        <v>-5</v>
      </c>
      <c r="AA78">
        <f>IF(Table1[[#This Row],[Freq]]="Yearly",Table1[[#This Row],[Coupon_Rate]]/100,IF(Table1[[#This Row],[Freq]]="Monthly",Table1[[#This Row],[Coupon_Rate]]/1200,IF(Table1[[#This Row],[Freq]]="Quarterly",Table1[[#This Row],[Coupon_Rate]]/400,0)))</f>
        <v>0.10100000000000002</v>
      </c>
      <c r="AB78">
        <f ca="1">Table1[[#This Row],[Face Value]]*Table1[[#This Row],[Rate]]*Table1[[#This Row],[Time]]</f>
        <v>404.00000000000006</v>
      </c>
      <c r="AC78">
        <f ca="1">Table1[[#This Row],[SI]]+Table1[[#This Row],[Disc/Prem]]</f>
        <v>399.00000000000006</v>
      </c>
      <c r="AD78" s="3">
        <f ca="1">Table1[[#This Row],[Net Gain]]/Table1[[#This Row],[Ask Rate]]</f>
        <v>0.39701492537313438</v>
      </c>
      <c r="AE78" s="3">
        <f ca="1">IF(Table1[[#This Row],[Ask Qty]]=0,0,Table1[[#This Row],[Gross Yield]]*365/Table1[[#This Row],[Days Left]])</f>
        <v>0.12167124077346267</v>
      </c>
      <c r="AF78" s="9">
        <f ca="1">+Table1[[#This Row],[Net Gain]]*Table1[[#This Row],[Ask Qty]]</f>
        <v>36708.000000000007</v>
      </c>
      <c r="AG78" t="str">
        <f ca="1">IF(Table1[[#This Row],[YTM]]&gt;0.12,IF(Table1[[#This Row],[Gross Profit]]&gt;10000,"Invest","Review"),"Low YTM")</f>
        <v>Invest</v>
      </c>
    </row>
    <row r="79" spans="1:33" x14ac:dyDescent="0.3">
      <c r="A79" t="str">
        <f>RTD("nest.scriprtd",,"bse_cm|104ECL29A","Symbol")</f>
        <v>104ECL29A</v>
      </c>
      <c r="B79" t="str">
        <f>RTD("nest.scriprtd",,"bse_cm|104ECL29A","Trading Symbol")</f>
        <v>104ECL29A</v>
      </c>
      <c r="C79" t="str">
        <f>RTD("nest.scriprtd",,"bse_cm|104ECL29A","Exchange")</f>
        <v>BSE</v>
      </c>
      <c r="D79">
        <f>RTD("nest.scriprtd",,"bse_cm|104ECL29A","Bid Qty")</f>
        <v>110</v>
      </c>
      <c r="E79">
        <f>RTD("nest.scriprtd",,"bse_cm|104ECL29A","Bid Rate")</f>
        <v>964</v>
      </c>
      <c r="F79">
        <f>RTD("nest.scriprtd",,"bse_cm|104ECL29A","Ask Rate")</f>
        <v>975</v>
      </c>
      <c r="G79">
        <f>RTD("nest.scriprtd",,"bse_cm|104ECL29A","Ask Qty")</f>
        <v>100</v>
      </c>
      <c r="H79">
        <f>RTD("nest.scriprtd",,"bse_cm|104ECL29A","LTP")</f>
        <v>0</v>
      </c>
      <c r="I79" t="str">
        <f>RTD("nest.scriprtd",,"bse_cm|104ECL29A","LTT")</f>
        <v>00:00:00</v>
      </c>
      <c r="J79">
        <f>RTD("nest.scriprtd",,"bse_cm|104ECL29A","% Change")</f>
        <v>-100</v>
      </c>
      <c r="K79">
        <f>RTD("nest.scriprtd",,"bse_cm|104ECL29A","ATP")</f>
        <v>0</v>
      </c>
      <c r="L79">
        <f>RTD("nest.scriprtd",,"bse_cm|104ECL29A","Volume Traded Today")</f>
        <v>0</v>
      </c>
      <c r="M79">
        <f>RTD("nest.scriprtd",,"bse_cm|104ECL29A","Open")</f>
        <v>0</v>
      </c>
      <c r="N79">
        <f>RTD("nest.scriprtd",,"bse_cm|104ECL29A","High")</f>
        <v>960</v>
      </c>
      <c r="O79">
        <f>RTD("nest.scriprtd",,"bse_cm|104ECL29A","Low ")</f>
        <v>908.3</v>
      </c>
      <c r="P79">
        <f>RTD("nest.scriprtd",,"bse_cm|104ECL29A","Prev Close")</f>
        <v>960</v>
      </c>
      <c r="Q79">
        <f>RTD("nest.scriprtd",,"bse_cm|104ECL29A","Face Value")</f>
        <v>1000</v>
      </c>
      <c r="R79" t="str">
        <f>RTD("nest.scriprtd",,"bse_cm|104ECL29A","Isin code")</f>
        <v>INE804IA7147</v>
      </c>
      <c r="S79" s="9">
        <f>Table1[[#This Row],[Ask Rate]]*Table1[[#This Row],[Ask Qty]]</f>
        <v>97500</v>
      </c>
      <c r="T79">
        <f>VLOOKUP(Table1[[#This Row],[Isin code]],Table2[#All],7,FALSE)</f>
        <v>10.4</v>
      </c>
      <c r="U79" s="17" t="str">
        <f>VLOOKUP(Table1[[#This Row],[Isin code]],Table2[#All],8,FALSE)</f>
        <v>23-May-2029</v>
      </c>
      <c r="V79" s="10">
        <f ca="1">Table1[[#This Row],[Maturity]]-TODAY()</f>
        <v>1680</v>
      </c>
      <c r="W79" t="str">
        <f>VLOOKUP(Table1[[#This Row],[Isin code]],Table2[#All],10,FALSE)</f>
        <v>Yearly</v>
      </c>
      <c r="X79">
        <f ca="1">_xlfn.DAYS(Table1[[#This Row],[Maturity]],TODAY())-15</f>
        <v>1665</v>
      </c>
      <c r="Y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79">
        <f>IF(Table1[[#This Row],[Ask Rate]]=0,0,Table1[[#This Row],[Face Value]]-Table1[[#This Row],[Ask Rate]])</f>
        <v>25</v>
      </c>
      <c r="AA79">
        <f>IF(Table1[[#This Row],[Freq]]="Yearly",Table1[[#This Row],[Coupon_Rate]]/100,IF(Table1[[#This Row],[Freq]]="Monthly",Table1[[#This Row],[Coupon_Rate]]/1200,IF(Table1[[#This Row],[Freq]]="Quarterly",Table1[[#This Row],[Coupon_Rate]]/400,0)))</f>
        <v>0.10400000000000001</v>
      </c>
      <c r="AB79">
        <f ca="1">Table1[[#This Row],[Face Value]]*Table1[[#This Row],[Rate]]*Table1[[#This Row],[Time]]</f>
        <v>520.00000000000011</v>
      </c>
      <c r="AC79">
        <f ca="1">Table1[[#This Row],[SI]]+Table1[[#This Row],[Disc/Prem]]</f>
        <v>545.00000000000011</v>
      </c>
      <c r="AD79" s="3">
        <f ca="1">Table1[[#This Row],[Net Gain]]/Table1[[#This Row],[Ask Rate]]</f>
        <v>0.5589743589743591</v>
      </c>
      <c r="AE79" s="3">
        <f ca="1">IF(Table1[[#This Row],[Ask Qty]]=0,0,Table1[[#This Row],[Gross Yield]]*365/Table1[[#This Row],[Days Left]])</f>
        <v>0.12144383394383397</v>
      </c>
      <c r="AF79" s="9">
        <f ca="1">+Table1[[#This Row],[Net Gain]]*Table1[[#This Row],[Ask Qty]]</f>
        <v>54500.000000000015</v>
      </c>
      <c r="AG79" t="str">
        <f ca="1">IF(Table1[[#This Row],[YTM]]&gt;0.12,IF(Table1[[#This Row],[Gross Profit]]&gt;10000,"Invest","Review"),"Low YTM")</f>
        <v>Invest</v>
      </c>
    </row>
    <row r="80" spans="1:33" x14ac:dyDescent="0.3">
      <c r="A80" t="str">
        <f>RTD("nest.scriprtd",,"nse_cm|9IIFL28A-NT","Symbol")</f>
        <v>9IIFL28A</v>
      </c>
      <c r="B80" t="str">
        <f>RTD("nest.scriprtd",,"nse_cm|9IIFL28A-NT","Trading Symbol")</f>
        <v>9IIFL28A-NT</v>
      </c>
      <c r="C80" t="str">
        <f>RTD("nest.scriprtd",,"nse_cm|9IIFL28A-NT","Exchange")</f>
        <v>NSE</v>
      </c>
      <c r="D80">
        <f>RTD("nest.scriprtd",,"nse_cm|9IIFL28A-NT","Bid Qty")</f>
        <v>175</v>
      </c>
      <c r="E80">
        <f>RTD("nest.scriprtd",,"nse_cm|9IIFL28A-NT","Bid Rate")</f>
        <v>964.2</v>
      </c>
      <c r="F80">
        <f>RTD("nest.scriprtd",,"nse_cm|9IIFL28A-NT","Ask Rate")</f>
        <v>973.8</v>
      </c>
      <c r="G80">
        <f>RTD("nest.scriprtd",,"nse_cm|9IIFL28A-NT","Ask Qty")</f>
        <v>290</v>
      </c>
      <c r="H80">
        <f>RTD("nest.scriprtd",,"nse_cm|9IIFL28A-NT","LTP")</f>
        <v>964.2</v>
      </c>
      <c r="I80" t="str">
        <f>RTD("nest.scriprtd",,"nse_cm|9IIFL28A-NT","LTT")</f>
        <v>15:12:51</v>
      </c>
      <c r="J80">
        <f>RTD("nest.scriprtd",,"nse_cm|9IIFL28A-NT","% Change")</f>
        <v>-1.61</v>
      </c>
      <c r="K80">
        <f>RTD("nest.scriprtd",,"nse_cm|9IIFL28A-NT","ATP")</f>
        <v>965.21</v>
      </c>
      <c r="L80">
        <f>RTD("nest.scriprtd",,"nse_cm|9IIFL28A-NT","Volume Traded Today")</f>
        <v>405</v>
      </c>
      <c r="M80">
        <f>RTD("nest.scriprtd",,"nse_cm|9IIFL28A-NT","Open")</f>
        <v>0</v>
      </c>
      <c r="N80">
        <f>RTD("nest.scriprtd",,"nse_cm|9IIFL28A-NT","High")</f>
        <v>970</v>
      </c>
      <c r="O80">
        <f>RTD("nest.scriprtd",,"nse_cm|9IIFL28A-NT","Low ")</f>
        <v>931</v>
      </c>
      <c r="P80">
        <f>RTD("nest.scriprtd",,"nse_cm|9IIFL28A-NT","Prev Close")</f>
        <v>980</v>
      </c>
      <c r="Q80">
        <f>RTD("nest.scriprtd",,"nse_cm|9IIFL28A-NT","Face Value")</f>
        <v>1000</v>
      </c>
      <c r="R80" t="str">
        <f>RTD("nest.scriprtd",,"nse_cm|9IIFL28A-NT","Isin code")</f>
        <v>INE530B07260</v>
      </c>
      <c r="S80" s="9">
        <f>Table1[[#This Row],[Ask Rate]]*Table1[[#This Row],[Ask Qty]]</f>
        <v>282402</v>
      </c>
      <c r="T80">
        <f>VLOOKUP(Table1[[#This Row],[Isin code]],Table2[#All],7,FALSE)</f>
        <v>9</v>
      </c>
      <c r="U80" s="17" t="str">
        <f>VLOOKUP(Table1[[#This Row],[Isin code]],Table2[#All],8,FALSE)</f>
        <v>24-Jan-2028</v>
      </c>
      <c r="V80" s="10">
        <f ca="1">Table1[[#This Row],[Maturity]]-TODAY()</f>
        <v>1195</v>
      </c>
      <c r="W80" t="str">
        <f>VLOOKUP(Table1[[#This Row],[Isin code]],Table2[#All],10,FALSE)</f>
        <v>Yearly</v>
      </c>
      <c r="X80">
        <f ca="1">_xlfn.DAYS(Table1[[#This Row],[Maturity]],TODAY())-15</f>
        <v>1180</v>
      </c>
      <c r="Y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80">
        <f>IF(Table1[[#This Row],[Ask Rate]]=0,0,Table1[[#This Row],[Face Value]]-Table1[[#This Row],[Ask Rate]])</f>
        <v>26.200000000000045</v>
      </c>
      <c r="AA80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80">
        <f ca="1">Table1[[#This Row],[Face Value]]*Table1[[#This Row],[Rate]]*Table1[[#This Row],[Time]]</f>
        <v>360</v>
      </c>
      <c r="AC80">
        <f ca="1">Table1[[#This Row],[SI]]+Table1[[#This Row],[Disc/Prem]]</f>
        <v>386.20000000000005</v>
      </c>
      <c r="AD80" s="3">
        <f ca="1">Table1[[#This Row],[Net Gain]]/Table1[[#This Row],[Ask Rate]]</f>
        <v>0.39659067570342993</v>
      </c>
      <c r="AE80" s="3">
        <f ca="1">IF(Table1[[#This Row],[Ask Qty]]=0,0,Table1[[#This Row],[Gross Yield]]*365/Table1[[#This Row],[Days Left]])</f>
        <v>0.1211343904868217</v>
      </c>
      <c r="AF80" s="9">
        <f ca="1">+Table1[[#This Row],[Net Gain]]*Table1[[#This Row],[Ask Qty]]</f>
        <v>111998.00000000001</v>
      </c>
      <c r="AG80" t="str">
        <f ca="1">IF(Table1[[#This Row],[YTM]]&gt;0.12,IF(Table1[[#This Row],[Gross Profit]]&gt;10000,"Invest","Review"),"Low YTM")</f>
        <v>Invest</v>
      </c>
    </row>
    <row r="81" spans="1:33" x14ac:dyDescent="0.3">
      <c r="A81" t="str">
        <f>RTD("nest.scriprtd",,"nse_cm|96IIFL28A-NF","Symbol")</f>
        <v>96IIFL28A</v>
      </c>
      <c r="B81" t="str">
        <f>RTD("nest.scriprtd",,"nse_cm|96IIFL28A-NF","Trading Symbol")</f>
        <v>96IIFL28A-NF</v>
      </c>
      <c r="C81" t="str">
        <f>RTD("nest.scriprtd",,"nse_cm|96IIFL28A-NF","Exchange")</f>
        <v>NSE</v>
      </c>
      <c r="D81">
        <f>RTD("nest.scriprtd",,"nse_cm|96IIFL28A-NF","Bid Qty")</f>
        <v>35</v>
      </c>
      <c r="E81">
        <f>RTD("nest.scriprtd",,"nse_cm|96IIFL28A-NF","Bid Rate")</f>
        <v>935</v>
      </c>
      <c r="F81">
        <f>RTD("nest.scriprtd",,"nse_cm|96IIFL28A-NF","Ask Rate")</f>
        <v>940</v>
      </c>
      <c r="G81">
        <f>RTD("nest.scriprtd",,"nse_cm|96IIFL28A-NF","Ask Qty")</f>
        <v>5</v>
      </c>
      <c r="H81">
        <f>RTD("nest.scriprtd",,"nse_cm|96IIFL28A-NF","LTP")</f>
        <v>940.01</v>
      </c>
      <c r="I81" t="str">
        <f>RTD("nest.scriprtd",,"nse_cm|96IIFL28A-NF","LTT")</f>
        <v/>
      </c>
      <c r="J81">
        <f>RTD("nest.scriprtd",,"nse_cm|96IIFL28A-NF","% Change")</f>
        <v>0</v>
      </c>
      <c r="K81">
        <f>RTD("nest.scriprtd",,"nse_cm|96IIFL28A-NF","ATP")</f>
        <v>0</v>
      </c>
      <c r="L81">
        <f>RTD("nest.scriprtd",,"nse_cm|96IIFL28A-NF","Volume Traded Today")</f>
        <v>0</v>
      </c>
      <c r="M81">
        <f>RTD("nest.scriprtd",,"nse_cm|96IIFL28A-NF","Open")</f>
        <v>0</v>
      </c>
      <c r="N81">
        <f>RTD("nest.scriprtd",,"nse_cm|96IIFL28A-NF","High")</f>
        <v>943</v>
      </c>
      <c r="O81">
        <f>RTD("nest.scriprtd",,"nse_cm|96IIFL28A-NF","Low ")</f>
        <v>930.1</v>
      </c>
      <c r="P81">
        <f>RTD("nest.scriprtd",,"nse_cm|96IIFL28A-NF","Prev Close")</f>
        <v>940.01</v>
      </c>
      <c r="Q81">
        <f>RTD("nest.scriprtd",,"nse_cm|96IIFL28A-NF","Face Value")</f>
        <v>1000</v>
      </c>
      <c r="R81" t="str">
        <f>RTD("nest.scriprtd",,"nse_cm|96IIFL28A-NF","Isin code")</f>
        <v>INE530B08102</v>
      </c>
      <c r="S81" s="9">
        <f>Table1[[#This Row],[Ask Rate]]*Table1[[#This Row],[Ask Qty]]</f>
        <v>4700</v>
      </c>
      <c r="T81">
        <f>VLOOKUP(Table1[[#This Row],[Isin code]],Table2[#All],7,FALSE)</f>
        <v>9.6</v>
      </c>
      <c r="U81" s="17" t="str">
        <f>VLOOKUP(Table1[[#This Row],[Isin code]],Table2[#All],8,FALSE)</f>
        <v>24-Jun-2028</v>
      </c>
      <c r="V81" s="10">
        <f ca="1">Table1[[#This Row],[Maturity]]-TODAY()</f>
        <v>1347</v>
      </c>
      <c r="W81" t="str">
        <f>VLOOKUP(Table1[[#This Row],[Isin code]],Table2[#All],10,FALSE)</f>
        <v>Monthly</v>
      </c>
      <c r="X81">
        <f ca="1">_xlfn.DAYS(Table1[[#This Row],[Maturity]],TODAY())-15</f>
        <v>1332</v>
      </c>
      <c r="Y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45</v>
      </c>
      <c r="Z81">
        <f>IF(Table1[[#This Row],[Ask Rate]]=0,0,Table1[[#This Row],[Face Value]]-Table1[[#This Row],[Ask Rate]])</f>
        <v>60</v>
      </c>
      <c r="AA81">
        <f>IF(Table1[[#This Row],[Freq]]="Yearly",Table1[[#This Row],[Coupon_Rate]]/100,IF(Table1[[#This Row],[Freq]]="Monthly",Table1[[#This Row],[Coupon_Rate]]/1200,IF(Table1[[#This Row],[Freq]]="Quarterly",Table1[[#This Row],[Coupon_Rate]]/400,0)))</f>
        <v>8.0000000000000002E-3</v>
      </c>
      <c r="AB81">
        <f ca="1">Table1[[#This Row],[Face Value]]*Table1[[#This Row],[Rate]]*Table1[[#This Row],[Time]]</f>
        <v>360</v>
      </c>
      <c r="AC81">
        <f ca="1">Table1[[#This Row],[SI]]+Table1[[#This Row],[Disc/Prem]]</f>
        <v>420</v>
      </c>
      <c r="AD81" s="3">
        <f ca="1">Table1[[#This Row],[Net Gain]]/Table1[[#This Row],[Ask Rate]]</f>
        <v>0.44680851063829785</v>
      </c>
      <c r="AE81" s="3">
        <f ca="1">IF(Table1[[#This Row],[Ask Qty]]=0,0,Table1[[#This Row],[Gross Yield]]*365/Table1[[#This Row],[Days Left]])</f>
        <v>0.12107283324645784</v>
      </c>
      <c r="AF81" s="9">
        <f ca="1">+Table1[[#This Row],[Net Gain]]*Table1[[#This Row],[Ask Qty]]</f>
        <v>2100</v>
      </c>
      <c r="AG81" t="str">
        <f ca="1">IF(Table1[[#This Row],[YTM]]&gt;0.12,IF(Table1[[#This Row],[Gross Profit]]&gt;10000,"Invest","Review"),"Low YTM")</f>
        <v>Review</v>
      </c>
    </row>
    <row r="82" spans="1:33" x14ac:dyDescent="0.3">
      <c r="A82" t="str">
        <f>RTD("nest.scriprtd",,"bse_cm|98EFSL26","Symbol")</f>
        <v>98EFSL26</v>
      </c>
      <c r="B82" t="str">
        <f>RTD("nest.scriprtd",,"bse_cm|98EFSL26","Trading Symbol")</f>
        <v>98EFSL26</v>
      </c>
      <c r="C82" t="str">
        <f>RTD("nest.scriprtd",,"bse_cm|98EFSL26","Exchange")</f>
        <v>BSE</v>
      </c>
      <c r="D82">
        <f>RTD("nest.scriprtd",,"bse_cm|98EFSL26","Bid Qty")</f>
        <v>100</v>
      </c>
      <c r="E82">
        <f>RTD("nest.scriprtd",,"bse_cm|98EFSL26","Bid Rate")</f>
        <v>1030</v>
      </c>
      <c r="F82">
        <f>RTD("nest.scriprtd",,"bse_cm|98EFSL26","Ask Rate")</f>
        <v>1041</v>
      </c>
      <c r="G82">
        <f>RTD("nest.scriprtd",,"bse_cm|98EFSL26","Ask Qty")</f>
        <v>130</v>
      </c>
      <c r="H82">
        <f>RTD("nest.scriprtd",,"bse_cm|98EFSL26","LTP")</f>
        <v>1041</v>
      </c>
      <c r="I82" t="str">
        <f>RTD("nest.scriprtd",,"bse_cm|98EFSL26","LTT")</f>
        <v>11:14:41</v>
      </c>
      <c r="J82">
        <f>RTD("nest.scriprtd",,"bse_cm|98EFSL26","% Change")</f>
        <v>-0.1</v>
      </c>
      <c r="K82">
        <f>RTD("nest.scriprtd",,"bse_cm|98EFSL26","ATP")</f>
        <v>1041</v>
      </c>
      <c r="L82">
        <f>RTD("nest.scriprtd",,"bse_cm|98EFSL26","Volume Traded Today")</f>
        <v>1</v>
      </c>
      <c r="M82">
        <f>RTD("nest.scriprtd",,"bse_cm|98EFSL26","Open")</f>
        <v>1041</v>
      </c>
      <c r="N82">
        <f>RTD("nest.scriprtd",,"bse_cm|98EFSL26","High")</f>
        <v>1041</v>
      </c>
      <c r="O82">
        <f>RTD("nest.scriprtd",,"bse_cm|98EFSL26","Low ")</f>
        <v>1041</v>
      </c>
      <c r="P82">
        <f>RTD("nest.scriprtd",,"bse_cm|98EFSL26","Prev Close")</f>
        <v>1042</v>
      </c>
      <c r="Q82">
        <f>RTD("nest.scriprtd",,"bse_cm|98EFSL26","Face Value")</f>
        <v>1000</v>
      </c>
      <c r="R82" t="str">
        <f>RTD("nest.scriprtd",,"bse_cm|98EFSL26","Isin code")</f>
        <v>INE532F07BN1</v>
      </c>
      <c r="S82" s="9">
        <f>Table1[[#This Row],[Ask Rate]]*Table1[[#This Row],[Ask Qty]]</f>
        <v>135330</v>
      </c>
      <c r="T82">
        <f>VLOOKUP(Table1[[#This Row],[Isin code]],Table2[#All],7,FALSE)</f>
        <v>9.8000000000000007</v>
      </c>
      <c r="U82" s="17" t="str">
        <f>VLOOKUP(Table1[[#This Row],[Isin code]],Table2[#All],8,FALSE)</f>
        <v>08-Jan-2026</v>
      </c>
      <c r="V82" s="10">
        <f ca="1">Table1[[#This Row],[Maturity]]-TODAY()</f>
        <v>449</v>
      </c>
      <c r="W82" t="str">
        <f>VLOOKUP(Table1[[#This Row],[Isin code]],Table2[#All],10,FALSE)</f>
        <v>Yearly</v>
      </c>
      <c r="X82">
        <f ca="1">_xlfn.DAYS(Table1[[#This Row],[Maturity]],TODAY())-15</f>
        <v>434</v>
      </c>
      <c r="Y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82">
        <f>IF(Table1[[#This Row],[Ask Rate]]=0,0,Table1[[#This Row],[Face Value]]-Table1[[#This Row],[Ask Rate]])</f>
        <v>-41</v>
      </c>
      <c r="AA82">
        <f>IF(Table1[[#This Row],[Freq]]="Yearly",Table1[[#This Row],[Coupon_Rate]]/100,IF(Table1[[#This Row],[Freq]]="Monthly",Table1[[#This Row],[Coupon_Rate]]/1200,IF(Table1[[#This Row],[Freq]]="Quarterly",Table1[[#This Row],[Coupon_Rate]]/400,0)))</f>
        <v>9.8000000000000004E-2</v>
      </c>
      <c r="AB82">
        <f ca="1">Table1[[#This Row],[Face Value]]*Table1[[#This Row],[Rate]]*Table1[[#This Row],[Time]]</f>
        <v>196</v>
      </c>
      <c r="AC82">
        <f ca="1">Table1[[#This Row],[SI]]+Table1[[#This Row],[Disc/Prem]]</f>
        <v>155</v>
      </c>
      <c r="AD82" s="3">
        <f ca="1">Table1[[#This Row],[Net Gain]]/Table1[[#This Row],[Ask Rate]]</f>
        <v>0.148895292987512</v>
      </c>
      <c r="AE82" s="3">
        <f ca="1">IF(Table1[[#This Row],[Ask Qty]]=0,0,Table1[[#This Row],[Gross Yield]]*365/Table1[[#This Row],[Days Left]])</f>
        <v>0.12103960343082824</v>
      </c>
      <c r="AF82" s="9">
        <f ca="1">+Table1[[#This Row],[Net Gain]]*Table1[[#This Row],[Ask Qty]]</f>
        <v>20150</v>
      </c>
      <c r="AG82" t="str">
        <f ca="1">IF(Table1[[#This Row],[YTM]]&gt;0.12,IF(Table1[[#This Row],[Gross Profit]]&gt;10000,"Invest","Review"),"Low YTM")</f>
        <v>Invest</v>
      </c>
    </row>
    <row r="83" spans="1:33" x14ac:dyDescent="0.3">
      <c r="A83" t="str">
        <f>RTD("nest.scriprtd",,"bse_cm|93EFSL31","Symbol")</f>
        <v>93EFSL31</v>
      </c>
      <c r="B83" t="str">
        <f>RTD("nest.scriprtd",,"bse_cm|93EFSL31","Trading Symbol")</f>
        <v>93EFSL31</v>
      </c>
      <c r="C83" t="str">
        <f>RTD("nest.scriprtd",,"bse_cm|93EFSL31","Exchange")</f>
        <v>BSE</v>
      </c>
      <c r="D83">
        <f>RTD("nest.scriprtd",,"bse_cm|93EFSL31","Bid Qty")</f>
        <v>180</v>
      </c>
      <c r="E83">
        <f>RTD("nest.scriprtd",,"bse_cm|93EFSL31","Bid Rate")</f>
        <v>885.99</v>
      </c>
      <c r="F83">
        <f>RTD("nest.scriprtd",,"bse_cm|93EFSL31","Ask Rate")</f>
        <v>900</v>
      </c>
      <c r="G83">
        <f>RTD("nest.scriprtd",,"bse_cm|93EFSL31","Ask Qty")</f>
        <v>339</v>
      </c>
      <c r="H83">
        <f>RTD("nest.scriprtd",,"bse_cm|93EFSL31","LTP")</f>
        <v>0</v>
      </c>
      <c r="I83" t="str">
        <f>RTD("nest.scriprtd",,"bse_cm|93EFSL31","LTT")</f>
        <v>00:00:00</v>
      </c>
      <c r="J83">
        <f>RTD("nest.scriprtd",,"bse_cm|93EFSL31","% Change")</f>
        <v>-100</v>
      </c>
      <c r="K83">
        <f>RTD("nest.scriprtd",,"bse_cm|93EFSL31","ATP")</f>
        <v>0</v>
      </c>
      <c r="L83">
        <f>RTD("nest.scriprtd",,"bse_cm|93EFSL31","Volume Traded Today")</f>
        <v>0</v>
      </c>
      <c r="M83">
        <f>RTD("nest.scriprtd",,"bse_cm|93EFSL31","Open")</f>
        <v>0</v>
      </c>
      <c r="N83">
        <f>RTD("nest.scriprtd",,"bse_cm|93EFSL31","High")</f>
        <v>895</v>
      </c>
      <c r="O83">
        <f>RTD("nest.scriprtd",,"bse_cm|93EFSL31","Low ")</f>
        <v>894.8</v>
      </c>
      <c r="P83">
        <f>RTD("nest.scriprtd",,"bse_cm|93EFSL31","Prev Close")</f>
        <v>895</v>
      </c>
      <c r="Q83">
        <f>RTD("nest.scriprtd",,"bse_cm|93EFSL31","Face Value")</f>
        <v>1000</v>
      </c>
      <c r="R83" t="str">
        <f>RTD("nest.scriprtd",,"bse_cm|93EFSL31","Isin code")</f>
        <v>INE532F07CI9</v>
      </c>
      <c r="S83" s="9">
        <f>Table1[[#This Row],[Ask Rate]]*Table1[[#This Row],[Ask Qty]]</f>
        <v>305100</v>
      </c>
      <c r="T83">
        <f>VLOOKUP(Table1[[#This Row],[Isin code]],Table2[#All],7,FALSE)</f>
        <v>9.3000000000000007</v>
      </c>
      <c r="U83" s="17" t="str">
        <f>VLOOKUP(Table1[[#This Row],[Isin code]],Table2[#All],8,FALSE)</f>
        <v>10-Sep-2031</v>
      </c>
      <c r="V83" s="10">
        <f ca="1">Table1[[#This Row],[Maturity]]-TODAY()</f>
        <v>2520</v>
      </c>
      <c r="W83" t="str">
        <f>VLOOKUP(Table1[[#This Row],[Isin code]],Table2[#All],10,FALSE)</f>
        <v>Monthly</v>
      </c>
      <c r="X83">
        <f ca="1">_xlfn.DAYS(Table1[[#This Row],[Maturity]],TODAY())-15</f>
        <v>2505</v>
      </c>
      <c r="Y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84</v>
      </c>
      <c r="Z83">
        <f>IF(Table1[[#This Row],[Ask Rate]]=0,0,Table1[[#This Row],[Face Value]]-Table1[[#This Row],[Ask Rate]])</f>
        <v>100</v>
      </c>
      <c r="AA83">
        <f>IF(Table1[[#This Row],[Freq]]="Yearly",Table1[[#This Row],[Coupon_Rate]]/100,IF(Table1[[#This Row],[Freq]]="Monthly",Table1[[#This Row],[Coupon_Rate]]/1200,IF(Table1[[#This Row],[Freq]]="Quarterly",Table1[[#This Row],[Coupon_Rate]]/400,0)))</f>
        <v>7.7500000000000008E-3</v>
      </c>
      <c r="AB83">
        <f ca="1">Table1[[#This Row],[Face Value]]*Table1[[#This Row],[Rate]]*Table1[[#This Row],[Time]]</f>
        <v>651.00000000000011</v>
      </c>
      <c r="AC83">
        <f ca="1">Table1[[#This Row],[SI]]+Table1[[#This Row],[Disc/Prem]]</f>
        <v>751.00000000000011</v>
      </c>
      <c r="AD83" s="3">
        <f ca="1">Table1[[#This Row],[Net Gain]]/Table1[[#This Row],[Ask Rate]]</f>
        <v>0.83444444444444454</v>
      </c>
      <c r="AE83" s="3">
        <f ca="1">IF(Table1[[#This Row],[Ask Qty]]=0,0,Table1[[#This Row],[Gross Yield]]*365/Table1[[#This Row],[Days Left]])</f>
        <v>0.12086199294532629</v>
      </c>
      <c r="AF83" s="9">
        <f ca="1">+Table1[[#This Row],[Net Gain]]*Table1[[#This Row],[Ask Qty]]</f>
        <v>254589.00000000003</v>
      </c>
      <c r="AG83" t="str">
        <f ca="1">IF(Table1[[#This Row],[YTM]]&gt;0.12,IF(Table1[[#This Row],[Gross Profit]]&gt;10000,"Invest","Review"),"Low YTM")</f>
        <v>Invest</v>
      </c>
    </row>
    <row r="84" spans="1:33" hidden="1" x14ac:dyDescent="0.3">
      <c r="A84" t="str">
        <f>RTD("nest.scriprtd",,"bse_cm|1049DLSL25","Symbol")</f>
        <v>1049DLSL25</v>
      </c>
      <c r="B84" t="str">
        <f>RTD("nest.scriprtd",,"bse_cm|1049DLSL25","Trading Symbol")</f>
        <v>1049DLSL25</v>
      </c>
      <c r="C84" t="str">
        <f>RTD("nest.scriprtd",,"bse_cm|1049DLSL25","Exchange")</f>
        <v>BSE</v>
      </c>
      <c r="D84">
        <f>RTD("nest.scriprtd",,"bse_cm|1049DLSL25","Bid Qty")</f>
        <v>16</v>
      </c>
      <c r="E84">
        <f>RTD("nest.scriprtd",,"bse_cm|1049DLSL25","Bid Rate")</f>
        <v>950.3</v>
      </c>
      <c r="F84">
        <f>RTD("nest.scriprtd",,"bse_cm|1049DLSL25","Ask Rate")</f>
        <v>999.9</v>
      </c>
      <c r="G84">
        <f>RTD("nest.scriprtd",,"bse_cm|1049DLSL25","Ask Qty")</f>
        <v>10</v>
      </c>
      <c r="H84">
        <f>RTD("nest.scriprtd",,"bse_cm|1049DLSL25","LTP")</f>
        <v>0</v>
      </c>
      <c r="I84" t="str">
        <f>RTD("nest.scriprtd",,"bse_cm|1049DLSL25","LTT")</f>
        <v>00:00:00</v>
      </c>
      <c r="J84">
        <f>RTD("nest.scriprtd",,"bse_cm|1049DLSL25","% Change")</f>
        <v>-100</v>
      </c>
      <c r="K84">
        <f>RTD("nest.scriprtd",,"bse_cm|1049DLSL25","ATP")</f>
        <v>0</v>
      </c>
      <c r="L84">
        <f>RTD("nest.scriprtd",,"bse_cm|1049DLSL25","Volume Traded Today")</f>
        <v>0</v>
      </c>
      <c r="M84">
        <f>RTD("nest.scriprtd",,"bse_cm|1049DLSL25","Open")</f>
        <v>0</v>
      </c>
      <c r="N84">
        <f>RTD("nest.scriprtd",,"bse_cm|1049DLSL25","High")</f>
        <v>998.84</v>
      </c>
      <c r="O84">
        <f>RTD("nest.scriprtd",,"bse_cm|1049DLSL25","Low ")</f>
        <v>998.84</v>
      </c>
      <c r="P84">
        <f>RTD("nest.scriprtd",,"bse_cm|1049DLSL25","Prev Close")</f>
        <v>998.84</v>
      </c>
      <c r="Q84">
        <f>RTD("nest.scriprtd",,"bse_cm|1049DLSL25","Face Value")</f>
        <v>1000</v>
      </c>
      <c r="R84" t="str">
        <f>RTD("nest.scriprtd",,"bse_cm|1049DLSL25","Isin code")</f>
        <v>INE614X07381</v>
      </c>
      <c r="S84" s="9">
        <f>Table1[[#This Row],[Ask Rate]]*Table1[[#This Row],[Ask Qty]]</f>
        <v>9999</v>
      </c>
      <c r="T84">
        <f>VLOOKUP(Table1[[#This Row],[Isin code]],Table2[#All],7,FALSE)</f>
        <v>10.49</v>
      </c>
      <c r="U84" s="17" t="str">
        <f>VLOOKUP(Table1[[#This Row],[Isin code]],Table2[#All],8,FALSE)</f>
        <v>31-Jan-2025</v>
      </c>
      <c r="V84" s="10">
        <f ca="1">Table1[[#This Row],[Maturity]]-TODAY()</f>
        <v>107</v>
      </c>
      <c r="W84" t="str">
        <f>VLOOKUP(Table1[[#This Row],[Isin code]],Table2[#All],10,FALSE)</f>
        <v>Monthly</v>
      </c>
      <c r="X84">
        <f ca="1">_xlfn.DAYS(Table1[[#This Row],[Maturity]],TODAY())-15</f>
        <v>92</v>
      </c>
      <c r="Y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84">
        <f>IF(Table1[[#This Row],[Ask Rate]]=0,0,Table1[[#This Row],[Face Value]]-Table1[[#This Row],[Ask Rate]])</f>
        <v>0.10000000000002274</v>
      </c>
      <c r="AA84">
        <f>IF(Table1[[#This Row],[Freq]]="Yearly",Table1[[#This Row],[Coupon_Rate]]/100,IF(Table1[[#This Row],[Freq]]="Monthly",Table1[[#This Row],[Coupon_Rate]]/1200,IF(Table1[[#This Row],[Freq]]="Quarterly",Table1[[#This Row],[Coupon_Rate]]/400,0)))</f>
        <v>8.7416666666666667E-3</v>
      </c>
      <c r="AB84">
        <f ca="1">Table1[[#This Row],[Face Value]]*Table1[[#This Row],[Rate]]*Table1[[#This Row],[Time]]</f>
        <v>34.966666666666669</v>
      </c>
      <c r="AC84">
        <f ca="1">Table1[[#This Row],[SI]]+Table1[[#This Row],[Disc/Prem]]</f>
        <v>35.066666666666691</v>
      </c>
      <c r="AD84" s="3">
        <f ca="1">Table1[[#This Row],[Net Gain]]/Table1[[#This Row],[Ask Rate]]</f>
        <v>3.5070173684035096E-2</v>
      </c>
      <c r="AE84" s="3">
        <f ca="1">IF(Table1[[#This Row],[Ask Qty]]=0,0,Table1[[#This Row],[Gross Yield]]*365/Table1[[#This Row],[Days Left]])</f>
        <v>0.11963190088479261</v>
      </c>
      <c r="AF84" s="9">
        <f ca="1">+Table1[[#This Row],[Net Gain]]*Table1[[#This Row],[Ask Qty]]</f>
        <v>350.66666666666691</v>
      </c>
      <c r="AG84" t="str">
        <f ca="1">IF(Table1[[#This Row],[YTM]]&gt;0.12,IF(Table1[[#This Row],[Gross Profit]]&gt;10000,"Invest","Review"),"Low YTM")</f>
        <v>Low YTM</v>
      </c>
    </row>
    <row r="85" spans="1:33" x14ac:dyDescent="0.3">
      <c r="A85" t="str">
        <f>RTD("nest.scriprtd",,"bse_cm|93EFSL31A","Symbol")</f>
        <v>93EFSL31A</v>
      </c>
      <c r="B85" t="str">
        <f>RTD("nest.scriprtd",,"bse_cm|93EFSL31A","Trading Symbol")</f>
        <v>93EFSL31A</v>
      </c>
      <c r="C85" t="str">
        <f>RTD("nest.scriprtd",,"bse_cm|93EFSL31A","Exchange")</f>
        <v>BSE</v>
      </c>
      <c r="D85">
        <f>RTD("nest.scriprtd",,"bse_cm|93EFSL31A","Bid Qty")</f>
        <v>19</v>
      </c>
      <c r="E85">
        <f>RTD("nest.scriprtd",,"bse_cm|93EFSL31A","Bid Rate")</f>
        <v>886</v>
      </c>
      <c r="F85">
        <f>RTD("nest.scriprtd",,"bse_cm|93EFSL31A","Ask Rate")</f>
        <v>899.8</v>
      </c>
      <c r="G85">
        <f>RTD("nest.scriprtd",,"bse_cm|93EFSL31A","Ask Qty")</f>
        <v>182</v>
      </c>
      <c r="H85">
        <f>RTD("nest.scriprtd",,"bse_cm|93EFSL31A","LTP")</f>
        <v>899.8</v>
      </c>
      <c r="I85" t="str">
        <f>RTD("nest.scriprtd",,"bse_cm|93EFSL31A","LTT")</f>
        <v>09:42:53</v>
      </c>
      <c r="J85">
        <f>RTD("nest.scriprtd",,"bse_cm|93EFSL31A","% Change")</f>
        <v>1.26</v>
      </c>
      <c r="K85">
        <f>RTD("nest.scriprtd",,"bse_cm|93EFSL31A","ATP")</f>
        <v>899.8</v>
      </c>
      <c r="L85">
        <f>RTD("nest.scriprtd",,"bse_cm|93EFSL31A","Volume Traded Today")</f>
        <v>1</v>
      </c>
      <c r="M85">
        <f>RTD("nest.scriprtd",,"bse_cm|93EFSL31A","Open")</f>
        <v>899.8</v>
      </c>
      <c r="N85">
        <f>RTD("nest.scriprtd",,"bse_cm|93EFSL31A","High")</f>
        <v>899.8</v>
      </c>
      <c r="O85">
        <f>RTD("nest.scriprtd",,"bse_cm|93EFSL31A","Low ")</f>
        <v>899.8</v>
      </c>
      <c r="P85">
        <f>RTD("nest.scriprtd",,"bse_cm|93EFSL31A","Prev Close")</f>
        <v>888.6</v>
      </c>
      <c r="Q85">
        <f>RTD("nest.scriprtd",,"bse_cm|93EFSL31A","Face Value")</f>
        <v>1000</v>
      </c>
      <c r="R85" t="str">
        <f>RTD("nest.scriprtd",,"bse_cm|93EFSL31A","Isin code")</f>
        <v>INE532F07CT6</v>
      </c>
      <c r="S85" s="9">
        <f>Table1[[#This Row],[Ask Rate]]*Table1[[#This Row],[Ask Qty]]</f>
        <v>163763.6</v>
      </c>
      <c r="T85">
        <f>VLOOKUP(Table1[[#This Row],[Isin code]],Table2[#All],7,FALSE)</f>
        <v>9.3000000000000007</v>
      </c>
      <c r="U85" s="17" t="str">
        <f>VLOOKUP(Table1[[#This Row],[Isin code]],Table2[#All],8,FALSE)</f>
        <v>28-Dec-2031</v>
      </c>
      <c r="V85" s="10">
        <f ca="1">Table1[[#This Row],[Maturity]]-TODAY()</f>
        <v>2629</v>
      </c>
      <c r="W85" t="str">
        <f>VLOOKUP(Table1[[#This Row],[Isin code]],Table2[#All],10,FALSE)</f>
        <v>Monthly</v>
      </c>
      <c r="X85">
        <f ca="1">_xlfn.DAYS(Table1[[#This Row],[Maturity]],TODAY())-15</f>
        <v>2614</v>
      </c>
      <c r="Y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88</v>
      </c>
      <c r="Z85">
        <f>IF(Table1[[#This Row],[Ask Rate]]=0,0,Table1[[#This Row],[Face Value]]-Table1[[#This Row],[Ask Rate]])</f>
        <v>100.20000000000005</v>
      </c>
      <c r="AA85">
        <f>IF(Table1[[#This Row],[Freq]]="Yearly",Table1[[#This Row],[Coupon_Rate]]/100,IF(Table1[[#This Row],[Freq]]="Monthly",Table1[[#This Row],[Coupon_Rate]]/1200,IF(Table1[[#This Row],[Freq]]="Quarterly",Table1[[#This Row],[Coupon_Rate]]/400,0)))</f>
        <v>7.7500000000000008E-3</v>
      </c>
      <c r="AB85">
        <f ca="1">Table1[[#This Row],[Face Value]]*Table1[[#This Row],[Rate]]*Table1[[#This Row],[Time]]</f>
        <v>682.00000000000011</v>
      </c>
      <c r="AC85">
        <f ca="1">Table1[[#This Row],[SI]]+Table1[[#This Row],[Disc/Prem]]</f>
        <v>782.20000000000016</v>
      </c>
      <c r="AD85" s="3">
        <f ca="1">Table1[[#This Row],[Net Gain]]/Table1[[#This Row],[Ask Rate]]</f>
        <v>0.86930428984218733</v>
      </c>
      <c r="AE85" s="3">
        <f ca="1">IF(Table1[[#This Row],[Ask Qty]]=0,0,Table1[[#This Row],[Gross Yield]]*365/Table1[[#This Row],[Days Left]])</f>
        <v>0.12069078196743949</v>
      </c>
      <c r="AF85" s="9">
        <f ca="1">+Table1[[#This Row],[Net Gain]]*Table1[[#This Row],[Ask Qty]]</f>
        <v>142360.40000000002</v>
      </c>
      <c r="AG85" t="str">
        <f ca="1">IF(Table1[[#This Row],[YTM]]&gt;0.12,IF(Table1[[#This Row],[Gross Profit]]&gt;10000,"Invest","Review"),"Low YTM")</f>
        <v>Invest</v>
      </c>
    </row>
    <row r="86" spans="1:33" x14ac:dyDescent="0.3">
      <c r="A86" t="str">
        <f>RTD("nest.scriprtd",,"bse_cm|870NIDO25","Symbol")</f>
        <v>870NIDO25</v>
      </c>
      <c r="B86" t="str">
        <f>RTD("nest.scriprtd",,"bse_cm|870NIDO25","Trading Symbol")</f>
        <v>870NIDO25</v>
      </c>
      <c r="C86" t="str">
        <f>RTD("nest.scriprtd",,"bse_cm|870NIDO25","Exchange")</f>
        <v>BSE</v>
      </c>
      <c r="D86">
        <f>RTD("nest.scriprtd",,"bse_cm|870NIDO25","Bid Qty")</f>
        <v>10</v>
      </c>
      <c r="E86">
        <f>RTD("nest.scriprtd",,"bse_cm|870NIDO25","Bid Rate")</f>
        <v>977</v>
      </c>
      <c r="F86">
        <f>RTD("nest.scriprtd",,"bse_cm|870NIDO25","Ask Rate")</f>
        <v>980.5</v>
      </c>
      <c r="G86">
        <f>RTD("nest.scriprtd",,"bse_cm|870NIDO25","Ask Qty")</f>
        <v>254</v>
      </c>
      <c r="H86">
        <f>RTD("nest.scriprtd",,"bse_cm|870NIDO25","LTP")</f>
        <v>980.5</v>
      </c>
      <c r="I86" t="str">
        <f>RTD("nest.scriprtd",,"bse_cm|870NIDO25","LTT")</f>
        <v>15:07:34</v>
      </c>
      <c r="J86">
        <f>RTD("nest.scriprtd",,"bse_cm|870NIDO25","% Change")</f>
        <v>0.82</v>
      </c>
      <c r="K86">
        <f>RTD("nest.scriprtd",,"bse_cm|870NIDO25","ATP")</f>
        <v>980.35</v>
      </c>
      <c r="L86">
        <f>RTD("nest.scriprtd",,"bse_cm|870NIDO25","Volume Traded Today")</f>
        <v>226</v>
      </c>
      <c r="M86">
        <f>RTD("nest.scriprtd",,"bse_cm|870NIDO25","Open")</f>
        <v>980.5</v>
      </c>
      <c r="N86">
        <f>RTD("nest.scriprtd",,"bse_cm|870NIDO25","High")</f>
        <v>980.5</v>
      </c>
      <c r="O86">
        <f>RTD("nest.scriprtd",,"bse_cm|870NIDO25","Low ")</f>
        <v>980</v>
      </c>
      <c r="P86">
        <f>RTD("nest.scriprtd",,"bse_cm|870NIDO25","Prev Close")</f>
        <v>972.5</v>
      </c>
      <c r="Q86">
        <f>RTD("nest.scriprtd",,"bse_cm|870NIDO25","Face Value")</f>
        <v>1000</v>
      </c>
      <c r="R86" t="str">
        <f>RTD("nest.scriprtd",,"bse_cm|870NIDO25","Isin code")</f>
        <v>INE530L07442</v>
      </c>
      <c r="S86" s="9">
        <f>Table1[[#This Row],[Ask Rate]]*Table1[[#This Row],[Ask Qty]]</f>
        <v>249047</v>
      </c>
      <c r="T86">
        <f>VLOOKUP(Table1[[#This Row],[Isin code]],Table2[#All],7,FALSE)</f>
        <v>8.6999999999999993</v>
      </c>
      <c r="U86" s="17" t="str">
        <f>VLOOKUP(Table1[[#This Row],[Isin code]],Table2[#All],8,FALSE)</f>
        <v>29-Apr-2025</v>
      </c>
      <c r="V86" s="10">
        <f ca="1">Table1[[#This Row],[Maturity]]-TODAY()</f>
        <v>195</v>
      </c>
      <c r="W86" t="str">
        <f>VLOOKUP(Table1[[#This Row],[Isin code]],Table2[#All],10,FALSE)</f>
        <v>Monthly</v>
      </c>
      <c r="X86">
        <f ca="1">_xlfn.DAYS(Table1[[#This Row],[Maturity]],TODAY())-15</f>
        <v>180</v>
      </c>
      <c r="Y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86">
        <f>IF(Table1[[#This Row],[Ask Rate]]=0,0,Table1[[#This Row],[Face Value]]-Table1[[#This Row],[Ask Rate]])</f>
        <v>19.5</v>
      </c>
      <c r="AA86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86">
        <f ca="1">Table1[[#This Row],[Face Value]]*Table1[[#This Row],[Rate]]*Table1[[#This Row],[Time]]</f>
        <v>43.499999999999993</v>
      </c>
      <c r="AC86">
        <f ca="1">Table1[[#This Row],[SI]]+Table1[[#This Row],[Disc/Prem]]</f>
        <v>62.999999999999993</v>
      </c>
      <c r="AD86" s="3">
        <f ca="1">Table1[[#This Row],[Net Gain]]/Table1[[#This Row],[Ask Rate]]</f>
        <v>6.4252932177460476E-2</v>
      </c>
      <c r="AE86" s="3">
        <f ca="1">IF(Table1[[#This Row],[Ask Qty]]=0,0,Table1[[#This Row],[Gross Yield]]*365/Table1[[#This Row],[Days Left]])</f>
        <v>0.12026830894755422</v>
      </c>
      <c r="AF86" s="9">
        <f ca="1">+Table1[[#This Row],[Net Gain]]*Table1[[#This Row],[Ask Qty]]</f>
        <v>16001.999999999998</v>
      </c>
      <c r="AG86" t="str">
        <f ca="1">IF(Table1[[#This Row],[YTM]]&gt;0.12,IF(Table1[[#This Row],[Gross Profit]]&gt;10000,"Invest","Review"),"Low YTM")</f>
        <v>Invest</v>
      </c>
    </row>
    <row r="87" spans="1:33" x14ac:dyDescent="0.3">
      <c r="A87" t="str">
        <f>RTD("nest.scriprtd",,"bse_cm|89EFSL25","Symbol")</f>
        <v>89EFSL25</v>
      </c>
      <c r="B87" t="str">
        <f>RTD("nest.scriprtd",,"bse_cm|89EFSL25","Trading Symbol")</f>
        <v>89EFSL25</v>
      </c>
      <c r="C87" t="str">
        <f>RTD("nest.scriprtd",,"bse_cm|89EFSL25","Exchange")</f>
        <v>BSE</v>
      </c>
      <c r="D87">
        <f>RTD("nest.scriprtd",,"bse_cm|89EFSL25","Bid Qty")</f>
        <v>66</v>
      </c>
      <c r="E87">
        <f>RTD("nest.scriprtd",,"bse_cm|89EFSL25","Bid Rate")</f>
        <v>959</v>
      </c>
      <c r="F87">
        <f>RTD("nest.scriprtd",,"bse_cm|89EFSL25","Ask Rate")</f>
        <v>971.2</v>
      </c>
      <c r="G87">
        <f>RTD("nest.scriprtd",,"bse_cm|89EFSL25","Ask Qty")</f>
        <v>190</v>
      </c>
      <c r="H87">
        <f>RTD("nest.scriprtd",,"bse_cm|89EFSL25","LTP")</f>
        <v>971.2</v>
      </c>
      <c r="I87" t="str">
        <f>RTD("nest.scriprtd",,"bse_cm|89EFSL25","LTT")</f>
        <v>11:12:15</v>
      </c>
      <c r="J87">
        <f>RTD("nest.scriprtd",,"bse_cm|89EFSL25","% Change")</f>
        <v>-0.1</v>
      </c>
      <c r="K87">
        <f>RTD("nest.scriprtd",,"bse_cm|89EFSL25","ATP")</f>
        <v>959.9</v>
      </c>
      <c r="L87">
        <f>RTD("nest.scriprtd",,"bse_cm|89EFSL25","Volume Traded Today")</f>
        <v>200</v>
      </c>
      <c r="M87">
        <f>RTD("nest.scriprtd",,"bse_cm|89EFSL25","Open")</f>
        <v>960.2</v>
      </c>
      <c r="N87">
        <f>RTD("nest.scriprtd",,"bse_cm|89EFSL25","High")</f>
        <v>971.2</v>
      </c>
      <c r="O87">
        <f>RTD("nest.scriprtd",,"bse_cm|89EFSL25","Low ")</f>
        <v>954.2</v>
      </c>
      <c r="P87">
        <f>RTD("nest.scriprtd",,"bse_cm|89EFSL25","Prev Close")</f>
        <v>972.2</v>
      </c>
      <c r="Q87">
        <f>RTD("nest.scriprtd",,"bse_cm|89EFSL25","Face Value")</f>
        <v>1000</v>
      </c>
      <c r="R87" t="str">
        <f>RTD("nest.scriprtd",,"bse_cm|89EFSL25","Isin code")</f>
        <v>INE532F07CX8</v>
      </c>
      <c r="S87" s="9">
        <f>Table1[[#This Row],[Ask Rate]]*Table1[[#This Row],[Ask Qty]]</f>
        <v>184528</v>
      </c>
      <c r="T87">
        <f>VLOOKUP(Table1[[#This Row],[Isin code]],Table2[#All],7,FALSE)</f>
        <v>8.9</v>
      </c>
      <c r="U87" s="17" t="str">
        <f>VLOOKUP(Table1[[#This Row],[Isin code]],Table2[#All],8,FALSE)</f>
        <v>20-Oct-2025</v>
      </c>
      <c r="V87" s="10">
        <f ca="1">Table1[[#This Row],[Maturity]]-TODAY()</f>
        <v>369</v>
      </c>
      <c r="W87" t="str">
        <f>VLOOKUP(Table1[[#This Row],[Isin code]],Table2[#All],10,FALSE)</f>
        <v>Monthly</v>
      </c>
      <c r="X87">
        <f ca="1">_xlfn.DAYS(Table1[[#This Row],[Maturity]],TODAY())-15</f>
        <v>354</v>
      </c>
      <c r="Y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87">
        <f>IF(Table1[[#This Row],[Ask Rate]]=0,0,Table1[[#This Row],[Face Value]]-Table1[[#This Row],[Ask Rate]])</f>
        <v>28.799999999999955</v>
      </c>
      <c r="AA87">
        <f>IF(Table1[[#This Row],[Freq]]="Yearly",Table1[[#This Row],[Coupon_Rate]]/100,IF(Table1[[#This Row],[Freq]]="Monthly",Table1[[#This Row],[Coupon_Rate]]/1200,IF(Table1[[#This Row],[Freq]]="Quarterly",Table1[[#This Row],[Coupon_Rate]]/400,0)))</f>
        <v>7.4166666666666669E-3</v>
      </c>
      <c r="AB87">
        <f ca="1">Table1[[#This Row],[Face Value]]*Table1[[#This Row],[Rate]]*Table1[[#This Row],[Time]]</f>
        <v>89</v>
      </c>
      <c r="AC87">
        <f ca="1">Table1[[#This Row],[SI]]+Table1[[#This Row],[Disc/Prem]]</f>
        <v>117.79999999999995</v>
      </c>
      <c r="AD87" s="3">
        <f ca="1">Table1[[#This Row],[Net Gain]]/Table1[[#This Row],[Ask Rate]]</f>
        <v>0.12129324546952219</v>
      </c>
      <c r="AE87" s="3">
        <f ca="1">IF(Table1[[#This Row],[Ask Qty]]=0,0,Table1[[#This Row],[Gross Yield]]*365/Table1[[#This Row],[Days Left]])</f>
        <v>0.11997841354031327</v>
      </c>
      <c r="AF87" s="9">
        <f ca="1">+Table1[[#This Row],[Net Gain]]*Table1[[#This Row],[Ask Qty]]</f>
        <v>22381.999999999993</v>
      </c>
      <c r="AG87" t="str">
        <f ca="1">IF(Table1[[#This Row],[YTM]]&gt;0.12,IF(Table1[[#This Row],[Gross Profit]]&gt;10000,"Invest","Review"),"Low YTM")</f>
        <v>Low YTM</v>
      </c>
    </row>
    <row r="88" spans="1:33" x14ac:dyDescent="0.3">
      <c r="A88" t="str">
        <f>RTD("nest.scriprtd",,"bse_cm|96IIFL28A","Symbol")</f>
        <v>96IIFL28A</v>
      </c>
      <c r="B88" t="str">
        <f>RTD("nest.scriprtd",,"bse_cm|96IIFL28A","Trading Symbol")</f>
        <v>96IIFL28A</v>
      </c>
      <c r="C88" t="str">
        <f>RTD("nest.scriprtd",,"bse_cm|96IIFL28A","Exchange")</f>
        <v>BSE</v>
      </c>
      <c r="D88">
        <f>RTD("nest.scriprtd",,"bse_cm|96IIFL28A","Bid Qty")</f>
        <v>20</v>
      </c>
      <c r="E88">
        <f>RTD("nest.scriprtd",,"bse_cm|96IIFL28A","Bid Rate")</f>
        <v>936</v>
      </c>
      <c r="F88">
        <f>RTD("nest.scriprtd",,"bse_cm|96IIFL28A","Ask Rate")</f>
        <v>944</v>
      </c>
      <c r="G88">
        <f>RTD("nest.scriprtd",,"bse_cm|96IIFL28A","Ask Qty")</f>
        <v>10</v>
      </c>
      <c r="H88">
        <f>RTD("nest.scriprtd",,"bse_cm|96IIFL28A","LTP")</f>
        <v>0</v>
      </c>
      <c r="I88" t="str">
        <f>RTD("nest.scriprtd",,"bse_cm|96IIFL28A","LTT")</f>
        <v>00:00:00</v>
      </c>
      <c r="J88">
        <f>RTD("nest.scriprtd",,"bse_cm|96IIFL28A","% Change")</f>
        <v>-100</v>
      </c>
      <c r="K88">
        <f>RTD("nest.scriprtd",,"bse_cm|96IIFL28A","ATP")</f>
        <v>0</v>
      </c>
      <c r="L88">
        <f>RTD("nest.scriprtd",,"bse_cm|96IIFL28A","Volume Traded Today")</f>
        <v>0</v>
      </c>
      <c r="M88">
        <f>RTD("nest.scriprtd",,"bse_cm|96IIFL28A","Open")</f>
        <v>0</v>
      </c>
      <c r="N88">
        <f>RTD("nest.scriprtd",,"bse_cm|96IIFL28A","High")</f>
        <v>943</v>
      </c>
      <c r="O88">
        <f>RTD("nest.scriprtd",,"bse_cm|96IIFL28A","Low ")</f>
        <v>943</v>
      </c>
      <c r="P88">
        <f>RTD("nest.scriprtd",,"bse_cm|96IIFL28A","Prev Close")</f>
        <v>943</v>
      </c>
      <c r="Q88">
        <f>RTD("nest.scriprtd",,"bse_cm|96IIFL28A","Face Value")</f>
        <v>1000</v>
      </c>
      <c r="R88" t="str">
        <f>RTD("nest.scriprtd",,"bse_cm|96IIFL28A","Isin code")</f>
        <v>INE530B08102</v>
      </c>
      <c r="S88" s="9">
        <f>Table1[[#This Row],[Ask Rate]]*Table1[[#This Row],[Ask Qty]]</f>
        <v>9440</v>
      </c>
      <c r="T88">
        <f>VLOOKUP(Table1[[#This Row],[Isin code]],Table2[#All],7,FALSE)</f>
        <v>9.6</v>
      </c>
      <c r="U88" s="17" t="str">
        <f>VLOOKUP(Table1[[#This Row],[Isin code]],Table2[#All],8,FALSE)</f>
        <v>24-Jun-2028</v>
      </c>
      <c r="V88" s="10">
        <f ca="1">Table1[[#This Row],[Maturity]]-TODAY()</f>
        <v>1347</v>
      </c>
      <c r="W88" t="str">
        <f>VLOOKUP(Table1[[#This Row],[Isin code]],Table2[#All],10,FALSE)</f>
        <v>Monthly</v>
      </c>
      <c r="X88">
        <f ca="1">_xlfn.DAYS(Table1[[#This Row],[Maturity]],TODAY())-15</f>
        <v>1332</v>
      </c>
      <c r="Y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45</v>
      </c>
      <c r="Z88">
        <f>IF(Table1[[#This Row],[Ask Rate]]=0,0,Table1[[#This Row],[Face Value]]-Table1[[#This Row],[Ask Rate]])</f>
        <v>56</v>
      </c>
      <c r="AA88">
        <f>IF(Table1[[#This Row],[Freq]]="Yearly",Table1[[#This Row],[Coupon_Rate]]/100,IF(Table1[[#This Row],[Freq]]="Monthly",Table1[[#This Row],[Coupon_Rate]]/1200,IF(Table1[[#This Row],[Freq]]="Quarterly",Table1[[#This Row],[Coupon_Rate]]/400,0)))</f>
        <v>8.0000000000000002E-3</v>
      </c>
      <c r="AB88">
        <f ca="1">Table1[[#This Row],[Face Value]]*Table1[[#This Row],[Rate]]*Table1[[#This Row],[Time]]</f>
        <v>360</v>
      </c>
      <c r="AC88">
        <f ca="1">Table1[[#This Row],[SI]]+Table1[[#This Row],[Disc/Prem]]</f>
        <v>416</v>
      </c>
      <c r="AD88" s="3">
        <f ca="1">Table1[[#This Row],[Net Gain]]/Table1[[#This Row],[Ask Rate]]</f>
        <v>0.44067796610169491</v>
      </c>
      <c r="AE88" s="3">
        <f ca="1">IF(Table1[[#This Row],[Ask Qty]]=0,0,Table1[[#This Row],[Gross Yield]]*365/Table1[[#This Row],[Days Left]])</f>
        <v>0.11941162407358474</v>
      </c>
      <c r="AF88" s="9">
        <f ca="1">+Table1[[#This Row],[Net Gain]]*Table1[[#This Row],[Ask Qty]]</f>
        <v>4160</v>
      </c>
      <c r="AG88" t="str">
        <f ca="1">IF(Table1[[#This Row],[YTM]]&gt;0.12,IF(Table1[[#This Row],[Gross Profit]]&gt;10000,"Invest","Review"),"Low YTM")</f>
        <v>Low YTM</v>
      </c>
    </row>
    <row r="89" spans="1:33" x14ac:dyDescent="0.3">
      <c r="A89" t="str">
        <f>RTD("nest.scriprtd",,"bse_cm|1025KFL27A","Symbol")</f>
        <v>1025KFL27A</v>
      </c>
      <c r="B89" t="str">
        <f>RTD("nest.scriprtd",,"bse_cm|1025KFL27A","Trading Symbol")</f>
        <v>1025KFL27A</v>
      </c>
      <c r="C89" t="str">
        <f>RTD("nest.scriprtd",,"bse_cm|1025KFL27A","Exchange")</f>
        <v>BSE</v>
      </c>
      <c r="D89">
        <f>RTD("nest.scriprtd",,"bse_cm|1025KFL27A","Bid Qty")</f>
        <v>10</v>
      </c>
      <c r="E89">
        <f>RTD("nest.scriprtd",,"bse_cm|1025KFL27A","Bid Rate")</f>
        <v>893.71</v>
      </c>
      <c r="F89">
        <f>RTD("nest.scriprtd",,"bse_cm|1025KFL27A","Ask Rate")</f>
        <v>964</v>
      </c>
      <c r="G89">
        <f>RTD("nest.scriprtd",,"bse_cm|1025KFL27A","Ask Qty")</f>
        <v>10</v>
      </c>
      <c r="H89">
        <f>RTD("nest.scriprtd",,"bse_cm|1025KFL27A","LTP")</f>
        <v>951.12</v>
      </c>
      <c r="I89" t="str">
        <f>RTD("nest.scriprtd",,"bse_cm|1025KFL27A","LTT")</f>
        <v>10:24:07</v>
      </c>
      <c r="J89">
        <f>RTD("nest.scriprtd",,"bse_cm|1025KFL27A","% Change")</f>
        <v>-0.93</v>
      </c>
      <c r="K89">
        <f>RTD("nest.scriprtd",,"bse_cm|1025KFL27A","ATP")</f>
        <v>919.77</v>
      </c>
      <c r="L89">
        <f>RTD("nest.scriprtd",,"bse_cm|1025KFL27A","Volume Traded Today")</f>
        <v>112</v>
      </c>
      <c r="M89">
        <f>RTD("nest.scriprtd",,"bse_cm|1025KFL27A","Open")</f>
        <v>881.4</v>
      </c>
      <c r="N89">
        <f>RTD("nest.scriprtd",,"bse_cm|1025KFL27A","High")</f>
        <v>971</v>
      </c>
      <c r="O89">
        <f>RTD("nest.scriprtd",,"bse_cm|1025KFL27A","Low ")</f>
        <v>881.4</v>
      </c>
      <c r="P89">
        <f>RTD("nest.scriprtd",,"bse_cm|1025KFL27A","Prev Close")</f>
        <v>960</v>
      </c>
      <c r="Q89">
        <f>RTD("nest.scriprtd",,"bse_cm|1025KFL27A","Face Value")</f>
        <v>1000</v>
      </c>
      <c r="R89" t="str">
        <f>RTD("nest.scriprtd",,"bse_cm|1025KFL27A","Isin code")</f>
        <v>INE403Q07BK8</v>
      </c>
      <c r="S89" s="9">
        <f>Table1[[#This Row],[Ask Rate]]*Table1[[#This Row],[Ask Qty]]</f>
        <v>9640</v>
      </c>
      <c r="T89">
        <f>VLOOKUP(Table1[[#This Row],[Isin code]],Table2[#All],7,FALSE)</f>
        <v>10.25</v>
      </c>
      <c r="U89" s="17" t="str">
        <f>VLOOKUP(Table1[[#This Row],[Isin code]],Table2[#All],8,FALSE)</f>
        <v>13-Oct-2027</v>
      </c>
      <c r="V89" s="10">
        <f ca="1">Table1[[#This Row],[Maturity]]-TODAY()</f>
        <v>1092</v>
      </c>
      <c r="W89" t="str">
        <f>VLOOKUP(Table1[[#This Row],[Isin code]],Table2[#All],10,FALSE)</f>
        <v>Monthly</v>
      </c>
      <c r="X89">
        <f ca="1">_xlfn.DAYS(Table1[[#This Row],[Maturity]],TODAY())-15</f>
        <v>1077</v>
      </c>
      <c r="Y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36</v>
      </c>
      <c r="Z89">
        <f>IF(Table1[[#This Row],[Ask Rate]]=0,0,Table1[[#This Row],[Face Value]]-Table1[[#This Row],[Ask Rate]])</f>
        <v>36</v>
      </c>
      <c r="AA89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89">
        <f ca="1">Table1[[#This Row],[Face Value]]*Table1[[#This Row],[Rate]]*Table1[[#This Row],[Time]]</f>
        <v>307.5</v>
      </c>
      <c r="AC89">
        <f ca="1">Table1[[#This Row],[SI]]+Table1[[#This Row],[Disc/Prem]]</f>
        <v>343.5</v>
      </c>
      <c r="AD89" s="3">
        <f ca="1">Table1[[#This Row],[Net Gain]]/Table1[[#This Row],[Ask Rate]]</f>
        <v>0.35632780082987553</v>
      </c>
      <c r="AE89" s="3">
        <f ca="1">IF(Table1[[#This Row],[Ask Qty]]=0,0,Table1[[#This Row],[Gross Yield]]*365/Table1[[#This Row],[Days Left]])</f>
        <v>0.119102241119876</v>
      </c>
      <c r="AF89" s="9">
        <f ca="1">+Table1[[#This Row],[Net Gain]]*Table1[[#This Row],[Ask Qty]]</f>
        <v>3435</v>
      </c>
      <c r="AG89" t="str">
        <f ca="1">IF(Table1[[#This Row],[YTM]]&gt;0.12,IF(Table1[[#This Row],[Gross Profit]]&gt;10000,"Invest","Review"),"Low YTM")</f>
        <v>Low YTM</v>
      </c>
    </row>
    <row r="90" spans="1:33" x14ac:dyDescent="0.3">
      <c r="A90" t="str">
        <f>RTD("nest.scriprtd",,"nse_cm|925SCL26B-YQ","Symbol")</f>
        <v>925SCL26B</v>
      </c>
      <c r="B90" t="str">
        <f>RTD("nest.scriprtd",,"nse_cm|925SCL26B-YQ","Trading Symbol")</f>
        <v>925SCL26B-YQ</v>
      </c>
      <c r="C90" t="str">
        <f>RTD("nest.scriprtd",,"nse_cm|925SCL26B-YQ","Exchange")</f>
        <v>NSE</v>
      </c>
      <c r="D90">
        <f>RTD("nest.scriprtd",,"nse_cm|925SCL26B-YQ","Bid Qty")</f>
        <v>12</v>
      </c>
      <c r="E90">
        <f>RTD("nest.scriprtd",,"nse_cm|925SCL26B-YQ","Bid Rate")</f>
        <v>920.3</v>
      </c>
      <c r="F90">
        <f>RTD("nest.scriprtd",,"nse_cm|925SCL26B-YQ","Ask Rate")</f>
        <v>972</v>
      </c>
      <c r="G90">
        <f>RTD("nest.scriprtd",,"nse_cm|925SCL26B-YQ","Ask Qty")</f>
        <v>2</v>
      </c>
      <c r="H90">
        <f>RTD("nest.scriprtd",,"nse_cm|925SCL26B-YQ","LTP")</f>
        <v>975</v>
      </c>
      <c r="I90" t="str">
        <f>RTD("nest.scriprtd",,"nse_cm|925SCL26B-YQ","LTT")</f>
        <v/>
      </c>
      <c r="J90">
        <f>RTD("nest.scriprtd",,"nse_cm|925SCL26B-YQ","% Change")</f>
        <v>0</v>
      </c>
      <c r="K90">
        <f>RTD("nest.scriprtd",,"nse_cm|925SCL26B-YQ","ATP")</f>
        <v>0</v>
      </c>
      <c r="L90">
        <f>RTD("nest.scriprtd",,"nse_cm|925SCL26B-YQ","Volume Traded Today")</f>
        <v>0</v>
      </c>
      <c r="M90">
        <f>RTD("nest.scriprtd",,"nse_cm|925SCL26B-YQ","Open")</f>
        <v>0</v>
      </c>
      <c r="N90">
        <f>RTD("nest.scriprtd",,"nse_cm|925SCL26B-YQ","High")</f>
        <v>975</v>
      </c>
      <c r="O90">
        <f>RTD("nest.scriprtd",,"nse_cm|925SCL26B-YQ","Low ")</f>
        <v>975</v>
      </c>
      <c r="P90">
        <f>RTD("nest.scriprtd",,"nse_cm|925SCL26B-YQ","Prev Close")</f>
        <v>975</v>
      </c>
      <c r="Q90">
        <f>RTD("nest.scriprtd",,"nse_cm|925SCL26B-YQ","Face Value")</f>
        <v>1000</v>
      </c>
      <c r="R90" t="str">
        <f>RTD("nest.scriprtd",,"nse_cm|925SCL26B-YQ","Isin code")</f>
        <v>INE148I07SC7</v>
      </c>
      <c r="S90" s="9">
        <f>Table1[[#This Row],[Ask Rate]]*Table1[[#This Row],[Ask Qty]]</f>
        <v>1944</v>
      </c>
      <c r="T90">
        <f>VLOOKUP(Table1[[#This Row],[Isin code]],Table2[#All],7,FALSE)</f>
        <v>9.25</v>
      </c>
      <c r="U90" s="17" t="str">
        <f>VLOOKUP(Table1[[#This Row],[Isin code]],Table2[#All],8,FALSE)</f>
        <v>26-Mar-2026</v>
      </c>
      <c r="V90" s="10">
        <f ca="1">Table1[[#This Row],[Maturity]]-TODAY()</f>
        <v>526</v>
      </c>
      <c r="W90" t="str">
        <f>VLOOKUP(Table1[[#This Row],[Isin code]],Table2[#All],10,FALSE)</f>
        <v>Monthly</v>
      </c>
      <c r="X90">
        <f ca="1">_xlfn.DAYS(Table1[[#This Row],[Maturity]],TODAY())-15</f>
        <v>511</v>
      </c>
      <c r="Y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90">
        <f>IF(Table1[[#This Row],[Ask Rate]]=0,0,Table1[[#This Row],[Face Value]]-Table1[[#This Row],[Ask Rate]])</f>
        <v>28</v>
      </c>
      <c r="AA90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90">
        <f ca="1">Table1[[#This Row],[Face Value]]*Table1[[#This Row],[Rate]]*Table1[[#This Row],[Time]]</f>
        <v>138.75</v>
      </c>
      <c r="AC90">
        <f ca="1">Table1[[#This Row],[SI]]+Table1[[#This Row],[Disc/Prem]]</f>
        <v>166.75</v>
      </c>
      <c r="AD90" s="3">
        <f ca="1">Table1[[#This Row],[Net Gain]]/Table1[[#This Row],[Ask Rate]]</f>
        <v>0.17155349794238683</v>
      </c>
      <c r="AE90" s="3">
        <f ca="1">IF(Table1[[#This Row],[Ask Qty]]=0,0,Table1[[#This Row],[Gross Yield]]*365/Table1[[#This Row],[Days Left]])</f>
        <v>0.11904377708929885</v>
      </c>
      <c r="AF90" s="9">
        <f ca="1">+Table1[[#This Row],[Net Gain]]*Table1[[#This Row],[Ask Qty]]</f>
        <v>333.5</v>
      </c>
      <c r="AG90" t="str">
        <f ca="1">IF(Table1[[#This Row],[YTM]]&gt;0.12,IF(Table1[[#This Row],[Gross Profit]]&gt;10000,"Invest","Review"),"Low YTM")</f>
        <v>Low YTM</v>
      </c>
    </row>
    <row r="91" spans="1:33" x14ac:dyDescent="0.3">
      <c r="A91" t="str">
        <f>RTD("nest.scriprtd",,"bse_cm|12CCI29","Symbol")</f>
        <v>12CCI29</v>
      </c>
      <c r="B91" t="str">
        <f>RTD("nest.scriprtd",,"bse_cm|12CCI29","Trading Symbol")</f>
        <v>12CCI29</v>
      </c>
      <c r="C91" t="str">
        <f>RTD("nest.scriprtd",,"bse_cm|12CCI29","Exchange")</f>
        <v>BSE</v>
      </c>
      <c r="D91">
        <f>RTD("nest.scriprtd",,"bse_cm|12CCI29","Bid Qty")</f>
        <v>100</v>
      </c>
      <c r="E91">
        <f>RTD("nest.scriprtd",,"bse_cm|12CCI29","Bid Rate")</f>
        <v>942.86</v>
      </c>
      <c r="F91">
        <f>RTD("nest.scriprtd",,"bse_cm|12CCI29","Ask Rate")</f>
        <v>1010</v>
      </c>
      <c r="G91">
        <f>RTD("nest.scriprtd",,"bse_cm|12CCI29","Ask Qty")</f>
        <v>50</v>
      </c>
      <c r="H91">
        <f>RTD("nest.scriprtd",,"bse_cm|12CCI29","LTP")</f>
        <v>942</v>
      </c>
      <c r="I91" t="str">
        <f>RTD("nest.scriprtd",,"bse_cm|12CCI29","LTT")</f>
        <v>00:00:00</v>
      </c>
      <c r="J91">
        <f>RTD("nest.scriprtd",,"bse_cm|12CCI29","% Change")</f>
        <v>-2.42</v>
      </c>
      <c r="K91">
        <f>RTD("nest.scriprtd",,"bse_cm|12CCI29","ATP")</f>
        <v>0</v>
      </c>
      <c r="L91">
        <f>RTD("nest.scriprtd",,"bse_cm|12CCI29","Volume Traded Today")</f>
        <v>0</v>
      </c>
      <c r="M91">
        <f>RTD("nest.scriprtd",,"bse_cm|12CCI29","Open")</f>
        <v>0</v>
      </c>
      <c r="N91">
        <f>RTD("nest.scriprtd",,"bse_cm|12CCI29","High")</f>
        <v>942</v>
      </c>
      <c r="O91">
        <f>RTD("nest.scriprtd",,"bse_cm|12CCI29","Low ")</f>
        <v>942</v>
      </c>
      <c r="P91">
        <f>RTD("nest.scriprtd",,"bse_cm|12CCI29","Prev Close")</f>
        <v>965.33</v>
      </c>
      <c r="Q91">
        <f>RTD("nest.scriprtd",,"bse_cm|12CCI29","Face Value")</f>
        <v>1000</v>
      </c>
      <c r="R91" t="str">
        <f>RTD("nest.scriprtd",,"bse_cm|12CCI29","Isin code")</f>
        <v>INE051307BD2</v>
      </c>
      <c r="S91" s="9">
        <f>Table1[[#This Row],[Ask Rate]]*Table1[[#This Row],[Ask Qty]]</f>
        <v>50500</v>
      </c>
      <c r="T91">
        <f>VLOOKUP(Table1[[#This Row],[Isin code]],Table2[#All],7,FALSE)</f>
        <v>12</v>
      </c>
      <c r="U91" s="17" t="str">
        <f>VLOOKUP(Table1[[#This Row],[Isin code]],Table2[#All],8,FALSE)</f>
        <v>13-Aug-2029</v>
      </c>
      <c r="V91" s="10">
        <f ca="1">Table1[[#This Row],[Maturity]]-TODAY()</f>
        <v>1762</v>
      </c>
      <c r="W91" t="str">
        <f>VLOOKUP(Table1[[#This Row],[Isin code]],Table2[#All],10,FALSE)</f>
        <v>MONTHLY</v>
      </c>
      <c r="X91">
        <f ca="1">_xlfn.DAYS(Table1[[#This Row],[Maturity]],TODAY())-15</f>
        <v>1747</v>
      </c>
      <c r="Y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59</v>
      </c>
      <c r="Z91">
        <f>IF(Table1[[#This Row],[Ask Rate]]=0,0,Table1[[#This Row],[Face Value]]-Table1[[#This Row],[Ask Rate]])</f>
        <v>-10</v>
      </c>
      <c r="AA91">
        <f>IF(Table1[[#This Row],[Freq]]="Yearly",Table1[[#This Row],[Coupon_Rate]]/100,IF(Table1[[#This Row],[Freq]]="Monthly",Table1[[#This Row],[Coupon_Rate]]/1200,IF(Table1[[#This Row],[Freq]]="Quarterly",Table1[[#This Row],[Coupon_Rate]]/400,0)))</f>
        <v>0.01</v>
      </c>
      <c r="AB91">
        <f ca="1">Table1[[#This Row],[Face Value]]*Table1[[#This Row],[Rate]]*Table1[[#This Row],[Time]]</f>
        <v>590</v>
      </c>
      <c r="AC91">
        <f ca="1">Table1[[#This Row],[SI]]+Table1[[#This Row],[Disc/Prem]]</f>
        <v>580</v>
      </c>
      <c r="AD91" s="3">
        <f ca="1">Table1[[#This Row],[Net Gain]]/Table1[[#This Row],[Ask Rate]]</f>
        <v>0.57425742574257421</v>
      </c>
      <c r="AE91" s="3">
        <f ca="1">IF(Table1[[#This Row],[Ask Qty]]=0,0,Table1[[#This Row],[Gross Yield]]*365/Table1[[#This Row],[Days Left]])</f>
        <v>0.11895797979343904</v>
      </c>
      <c r="AF91" s="9">
        <f ca="1">+Table1[[#This Row],[Net Gain]]*Table1[[#This Row],[Ask Qty]]</f>
        <v>29000</v>
      </c>
      <c r="AG91" t="str">
        <f ca="1">IF(Table1[[#This Row],[YTM]]&gt;0.12,IF(Table1[[#This Row],[Gross Profit]]&gt;10000,"Invest","Review"),"Low YTM")</f>
        <v>Low YTM</v>
      </c>
    </row>
    <row r="92" spans="1:33" x14ac:dyDescent="0.3">
      <c r="A92" t="str">
        <f>RTD("nest.scriprtd",,"bse_cm|1150IML28","Symbol")</f>
        <v>1150IML28</v>
      </c>
      <c r="B92" t="str">
        <f>RTD("nest.scriprtd",,"bse_cm|1150IML28","Trading Symbol")</f>
        <v>1150IML28</v>
      </c>
      <c r="C92" t="str">
        <f>RTD("nest.scriprtd",,"bse_cm|1150IML28","Exchange")</f>
        <v>BSE</v>
      </c>
      <c r="D92">
        <f>RTD("nest.scriprtd",,"bse_cm|1150IML28","Bid Qty")</f>
        <v>10</v>
      </c>
      <c r="E92">
        <f>RTD("nest.scriprtd",,"bse_cm|1150IML28","Bid Rate")</f>
        <v>986.7</v>
      </c>
      <c r="F92">
        <f>RTD("nest.scriprtd",,"bse_cm|1150IML28","Ask Rate")</f>
        <v>995</v>
      </c>
      <c r="G92">
        <f>RTD("nest.scriprtd",,"bse_cm|1150IML28","Ask Qty")</f>
        <v>582</v>
      </c>
      <c r="H92">
        <f>RTD("nest.scriprtd",,"bse_cm|1150IML28","LTP")</f>
        <v>995</v>
      </c>
      <c r="I92" t="str">
        <f>RTD("nest.scriprtd",,"bse_cm|1150IML28","LTT")</f>
        <v>00:00:00</v>
      </c>
      <c r="J92">
        <f>RTD("nest.scriprtd",,"bse_cm|1150IML28","% Change")</f>
        <v>0</v>
      </c>
      <c r="K92">
        <f>RTD("nest.scriprtd",,"bse_cm|1150IML28","ATP")</f>
        <v>0</v>
      </c>
      <c r="L92">
        <f>RTD("nest.scriprtd",,"bse_cm|1150IML28","Volume Traded Today")</f>
        <v>0</v>
      </c>
      <c r="M92">
        <f>RTD("nest.scriprtd",,"bse_cm|1150IML28","Open")</f>
        <v>0</v>
      </c>
      <c r="N92">
        <f>RTD("nest.scriprtd",,"bse_cm|1150IML28","High")</f>
        <v>995</v>
      </c>
      <c r="O92">
        <f>RTD("nest.scriprtd",,"bse_cm|1150IML28","Low ")</f>
        <v>995</v>
      </c>
      <c r="P92">
        <f>RTD("nest.scriprtd",,"bse_cm|1150IML28","Prev Close")</f>
        <v>995</v>
      </c>
      <c r="Q92">
        <f>RTD("nest.scriprtd",,"bse_cm|1150IML28","Face Value")</f>
        <v>1000</v>
      </c>
      <c r="R92" t="str">
        <f>RTD("nest.scriprtd",,"bse_cm|1150IML28","Isin code")</f>
        <v>INE0BUS07940</v>
      </c>
      <c r="S92" s="9">
        <f>Table1[[#This Row],[Ask Rate]]*Table1[[#This Row],[Ask Qty]]</f>
        <v>579090</v>
      </c>
      <c r="T92">
        <f>VLOOKUP(Table1[[#This Row],[Isin code]],Table2[#All],7,FALSE)</f>
        <v>11.5</v>
      </c>
      <c r="U92" s="17" t="str">
        <f>VLOOKUP(Table1[[#This Row],[Isin code]],Table2[#All],8,FALSE)</f>
        <v>23-Jul-2028</v>
      </c>
      <c r="V92" s="10">
        <f ca="1">Table1[[#This Row],[Maturity]]-TODAY()</f>
        <v>1376</v>
      </c>
      <c r="W92" t="str">
        <f>VLOOKUP(Table1[[#This Row],[Isin code]],Table2[#All],10,FALSE)</f>
        <v>Monthly</v>
      </c>
      <c r="X92">
        <f ca="1">_xlfn.DAYS(Table1[[#This Row],[Maturity]],TODAY())-15</f>
        <v>1361</v>
      </c>
      <c r="Y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92">
        <f>IF(Table1[[#This Row],[Ask Rate]]=0,0,Table1[[#This Row],[Face Value]]-Table1[[#This Row],[Ask Rate]])</f>
        <v>5</v>
      </c>
      <c r="AA92">
        <f>IF(Table1[[#This Row],[Freq]]="Yearly",Table1[[#This Row],[Coupon_Rate]]/100,IF(Table1[[#This Row],[Freq]]="Monthly",Table1[[#This Row],[Coupon_Rate]]/1200,IF(Table1[[#This Row],[Freq]]="Quarterly",Table1[[#This Row],[Coupon_Rate]]/400,0)))</f>
        <v>9.5833333333333326E-3</v>
      </c>
      <c r="AB92">
        <f ca="1">Table1[[#This Row],[Face Value]]*Table1[[#This Row],[Rate]]*Table1[[#This Row],[Time]]</f>
        <v>440.83333333333326</v>
      </c>
      <c r="AC92">
        <f ca="1">Table1[[#This Row],[SI]]+Table1[[#This Row],[Disc/Prem]]</f>
        <v>445.83333333333326</v>
      </c>
      <c r="AD92" s="3">
        <f ca="1">Table1[[#This Row],[Net Gain]]/Table1[[#This Row],[Ask Rate]]</f>
        <v>0.44807370184254597</v>
      </c>
      <c r="AE92" s="3">
        <f ca="1">IF(Table1[[#This Row],[Ask Qty]]=0,0,Table1[[#This Row],[Gross Yield]]*365/Table1[[#This Row],[Days Left]])</f>
        <v>0.11885675957305908</v>
      </c>
      <c r="AF92" s="9">
        <f ca="1">+Table1[[#This Row],[Net Gain]]*Table1[[#This Row],[Ask Qty]]</f>
        <v>259474.99999999994</v>
      </c>
      <c r="AG92" t="str">
        <f ca="1">IF(Table1[[#This Row],[YTM]]&gt;0.12,IF(Table1[[#This Row],[Gross Profit]]&gt;10000,"Invest","Review"),"Low YTM")</f>
        <v>Low YTM</v>
      </c>
    </row>
    <row r="93" spans="1:33" x14ac:dyDescent="0.3">
      <c r="A93" t="str">
        <f>RTD("nest.scriprtd",,"bse_cm|915EFSL26","Symbol")</f>
        <v>915EFSL26</v>
      </c>
      <c r="B93" t="str">
        <f>RTD("nest.scriprtd",,"bse_cm|915EFSL26","Trading Symbol")</f>
        <v>915EFSL26</v>
      </c>
      <c r="C93" t="str">
        <f>RTD("nest.scriprtd",,"bse_cm|915EFSL26","Exchange")</f>
        <v>BSE</v>
      </c>
      <c r="D93">
        <f>RTD("nest.scriprtd",,"bse_cm|915EFSL26","Bid Qty")</f>
        <v>10</v>
      </c>
      <c r="E93">
        <f>RTD("nest.scriprtd",,"bse_cm|915EFSL26","Bid Rate")</f>
        <v>937</v>
      </c>
      <c r="F93">
        <f>RTD("nest.scriprtd",,"bse_cm|915EFSL26","Ask Rate")</f>
        <v>958.8</v>
      </c>
      <c r="G93">
        <f>RTD("nest.scriprtd",,"bse_cm|915EFSL26","Ask Qty")</f>
        <v>49</v>
      </c>
      <c r="H93">
        <f>RTD("nest.scriprtd",,"bse_cm|915EFSL26","LTP")</f>
        <v>0</v>
      </c>
      <c r="I93" t="str">
        <f>RTD("nest.scriprtd",,"bse_cm|915EFSL26","LTT")</f>
        <v>00:00:00</v>
      </c>
      <c r="J93">
        <f>RTD("nest.scriprtd",,"bse_cm|915EFSL26","% Change")</f>
        <v>-100</v>
      </c>
      <c r="K93">
        <f>RTD("nest.scriprtd",,"bse_cm|915EFSL26","ATP")</f>
        <v>0</v>
      </c>
      <c r="L93">
        <f>RTD("nest.scriprtd",,"bse_cm|915EFSL26","Volume Traded Today")</f>
        <v>0</v>
      </c>
      <c r="M93">
        <f>RTD("nest.scriprtd",,"bse_cm|915EFSL26","Open")</f>
        <v>0</v>
      </c>
      <c r="N93">
        <f>RTD("nest.scriprtd",,"bse_cm|915EFSL26","High")</f>
        <v>958.8</v>
      </c>
      <c r="O93">
        <f>RTD("nest.scriprtd",,"bse_cm|915EFSL26","Low ")</f>
        <v>950</v>
      </c>
      <c r="P93">
        <f>RTD("nest.scriprtd",,"bse_cm|915EFSL26","Prev Close")</f>
        <v>950</v>
      </c>
      <c r="Q93">
        <f>RTD("nest.scriprtd",,"bse_cm|915EFSL26","Face Value")</f>
        <v>1000</v>
      </c>
      <c r="R93" t="str">
        <f>RTD("nest.scriprtd",,"bse_cm|915EFSL26","Isin code")</f>
        <v>INE532F07CF5</v>
      </c>
      <c r="S93" s="9">
        <f>Table1[[#This Row],[Ask Rate]]*Table1[[#This Row],[Ask Qty]]</f>
        <v>46981.2</v>
      </c>
      <c r="T93">
        <f>VLOOKUP(Table1[[#This Row],[Isin code]],Table2[#All],7,FALSE)</f>
        <v>9.15</v>
      </c>
      <c r="U93" s="17" t="str">
        <f>VLOOKUP(Table1[[#This Row],[Isin code]],Table2[#All],8,FALSE)</f>
        <v>10-Sep-2026</v>
      </c>
      <c r="V93" s="10">
        <f ca="1">Table1[[#This Row],[Maturity]]-TODAY()</f>
        <v>694</v>
      </c>
      <c r="W93" t="str">
        <f>VLOOKUP(Table1[[#This Row],[Isin code]],Table2[#All],10,FALSE)</f>
        <v>Monthly</v>
      </c>
      <c r="X93">
        <f ca="1">_xlfn.DAYS(Table1[[#This Row],[Maturity]],TODAY())-15</f>
        <v>679</v>
      </c>
      <c r="Y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23</v>
      </c>
      <c r="Z93">
        <f>IF(Table1[[#This Row],[Ask Rate]]=0,0,Table1[[#This Row],[Face Value]]-Table1[[#This Row],[Ask Rate]])</f>
        <v>41.200000000000045</v>
      </c>
      <c r="AA93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93">
        <f ca="1">Table1[[#This Row],[Face Value]]*Table1[[#This Row],[Rate]]*Table1[[#This Row],[Time]]</f>
        <v>175.37500000000003</v>
      </c>
      <c r="AC93">
        <f ca="1">Table1[[#This Row],[SI]]+Table1[[#This Row],[Disc/Prem]]</f>
        <v>216.57500000000007</v>
      </c>
      <c r="AD93" s="3">
        <f ca="1">Table1[[#This Row],[Net Gain]]/Table1[[#This Row],[Ask Rate]]</f>
        <v>0.22588130997079692</v>
      </c>
      <c r="AE93" s="3">
        <f ca="1">IF(Table1[[#This Row],[Ask Qty]]=0,0,Table1[[#This Row],[Gross Yield]]*365/Table1[[#This Row],[Days Left]])</f>
        <v>0.11879924803939608</v>
      </c>
      <c r="AF93" s="9">
        <f ca="1">+Table1[[#This Row],[Net Gain]]*Table1[[#This Row],[Ask Qty]]</f>
        <v>10612.175000000003</v>
      </c>
      <c r="AG93" t="str">
        <f ca="1">IF(Table1[[#This Row],[YTM]]&gt;0.12,IF(Table1[[#This Row],[Gross Profit]]&gt;10000,"Invest","Review"),"Low YTM")</f>
        <v>Low YTM</v>
      </c>
    </row>
    <row r="94" spans="1:33" x14ac:dyDescent="0.3">
      <c r="A94" t="str">
        <f>RTD("nest.scriprtd",,"nse_cm|943ECL28-NJ","Symbol")</f>
        <v>943ECL28</v>
      </c>
      <c r="B94" t="str">
        <f>RTD("nest.scriprtd",,"nse_cm|943ECL28-NJ","Trading Symbol")</f>
        <v>943ECL28-NJ</v>
      </c>
      <c r="C94" t="str">
        <f>RTD("nest.scriprtd",,"nse_cm|943ECL28-NJ","Exchange")</f>
        <v>NSE</v>
      </c>
      <c r="D94">
        <f>RTD("nest.scriprtd",,"nse_cm|943ECL28-NJ","Bid Qty")</f>
        <v>50</v>
      </c>
      <c r="E94">
        <f>RTD("nest.scriprtd",,"nse_cm|943ECL28-NJ","Bid Rate")</f>
        <v>935.3</v>
      </c>
      <c r="F94">
        <f>RTD("nest.scriprtd",,"nse_cm|943ECL28-NJ","Ask Rate")</f>
        <v>938</v>
      </c>
      <c r="G94">
        <f>RTD("nest.scriprtd",,"nse_cm|943ECL28-NJ","Ask Qty")</f>
        <v>50</v>
      </c>
      <c r="H94">
        <f>RTD("nest.scriprtd",,"nse_cm|943ECL28-NJ","LTP")</f>
        <v>935.22</v>
      </c>
      <c r="I94" t="str">
        <f>RTD("nest.scriprtd",,"nse_cm|943ECL28-NJ","LTT")</f>
        <v>15:10:29</v>
      </c>
      <c r="J94">
        <f>RTD("nest.scriprtd",,"nse_cm|943ECL28-NJ","% Change")</f>
        <v>-0.51</v>
      </c>
      <c r="K94">
        <f>RTD("nest.scriprtd",,"nse_cm|943ECL28-NJ","ATP")</f>
        <v>935.31</v>
      </c>
      <c r="L94">
        <f>RTD("nest.scriprtd",,"nse_cm|943ECL28-NJ","Volume Traded Today")</f>
        <v>530</v>
      </c>
      <c r="M94">
        <f>RTD("nest.scriprtd",,"nse_cm|943ECL28-NJ","Open")</f>
        <v>936</v>
      </c>
      <c r="N94">
        <f>RTD("nest.scriprtd",,"nse_cm|943ECL28-NJ","High")</f>
        <v>938</v>
      </c>
      <c r="O94">
        <f>RTD("nest.scriprtd",,"nse_cm|943ECL28-NJ","Low ")</f>
        <v>935.1</v>
      </c>
      <c r="P94">
        <f>RTD("nest.scriprtd",,"nse_cm|943ECL28-NJ","Prev Close")</f>
        <v>940</v>
      </c>
      <c r="Q94">
        <f>RTD("nest.scriprtd",,"nse_cm|943ECL28-NJ","Face Value")</f>
        <v>1000</v>
      </c>
      <c r="R94" t="str">
        <f>RTD("nest.scriprtd",,"nse_cm|943ECL28-NJ","Isin code")</f>
        <v>INE804I078Y8</v>
      </c>
      <c r="S94" s="9">
        <f>Table1[[#This Row],[Ask Rate]]*Table1[[#This Row],[Ask Qty]]</f>
        <v>46900</v>
      </c>
      <c r="T94">
        <f>VLOOKUP(Table1[[#This Row],[Isin code]],Table2[#All],7,FALSE)</f>
        <v>9.43</v>
      </c>
      <c r="U94" s="17" t="str">
        <f>VLOOKUP(Table1[[#This Row],[Isin code]],Table2[#All],8,FALSE)</f>
        <v>06-Aug-2028</v>
      </c>
      <c r="V94" s="10">
        <f ca="1">Table1[[#This Row],[Maturity]]-TODAY()</f>
        <v>1390</v>
      </c>
      <c r="W94" t="str">
        <f>VLOOKUP(Table1[[#This Row],[Isin code]],Table2[#All],10,FALSE)</f>
        <v>Monthly</v>
      </c>
      <c r="X94">
        <f ca="1">_xlfn.DAYS(Table1[[#This Row],[Maturity]],TODAY())-15</f>
        <v>1375</v>
      </c>
      <c r="Y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94">
        <f>IF(Table1[[#This Row],[Ask Rate]]=0,0,Table1[[#This Row],[Face Value]]-Table1[[#This Row],[Ask Rate]])</f>
        <v>62</v>
      </c>
      <c r="AA94">
        <f>IF(Table1[[#This Row],[Freq]]="Yearly",Table1[[#This Row],[Coupon_Rate]]/100,IF(Table1[[#This Row],[Freq]]="Monthly",Table1[[#This Row],[Coupon_Rate]]/1200,IF(Table1[[#This Row],[Freq]]="Quarterly",Table1[[#This Row],[Coupon_Rate]]/400,0)))</f>
        <v>7.8583333333333335E-3</v>
      </c>
      <c r="AB94">
        <f ca="1">Table1[[#This Row],[Face Value]]*Table1[[#This Row],[Rate]]*Table1[[#This Row],[Time]]</f>
        <v>361.48333333333335</v>
      </c>
      <c r="AC94">
        <f ca="1">Table1[[#This Row],[SI]]+Table1[[#This Row],[Disc/Prem]]</f>
        <v>423.48333333333335</v>
      </c>
      <c r="AD94" s="3">
        <f ca="1">Table1[[#This Row],[Net Gain]]/Table1[[#This Row],[Ask Rate]]</f>
        <v>0.45147476901208244</v>
      </c>
      <c r="AE94" s="3">
        <f ca="1">IF(Table1[[#This Row],[Ask Qty]]=0,0,Table1[[#This Row],[Gross Yield]]*365/Table1[[#This Row],[Days Left]])</f>
        <v>0.11855272711468352</v>
      </c>
      <c r="AF94" s="9">
        <f ca="1">+Table1[[#This Row],[Net Gain]]*Table1[[#This Row],[Ask Qty]]</f>
        <v>21174.166666666668</v>
      </c>
      <c r="AG94" t="str">
        <f ca="1">IF(Table1[[#This Row],[YTM]]&gt;0.12,IF(Table1[[#This Row],[Gross Profit]]&gt;10000,"Invest","Review"),"Low YTM")</f>
        <v>Low YTM</v>
      </c>
    </row>
    <row r="95" spans="1:33" x14ac:dyDescent="0.3">
      <c r="A95" t="str">
        <f>RTD("nest.scriprtd",,"bse_cm|1045EFS33A","Symbol")</f>
        <v>1045EFS33A</v>
      </c>
      <c r="B95" t="str">
        <f>RTD("nest.scriprtd",,"bse_cm|1045EFS33A","Trading Symbol")</f>
        <v>1045EFS33A</v>
      </c>
      <c r="C95" t="str">
        <f>RTD("nest.scriprtd",,"bse_cm|1045EFS33A","Exchange")</f>
        <v>BSE</v>
      </c>
      <c r="D95">
        <f>RTD("nest.scriprtd",,"bse_cm|1045EFS33A","Bid Qty")</f>
        <v>15</v>
      </c>
      <c r="E95">
        <f>RTD("nest.scriprtd",,"bse_cm|1045EFS33A","Bid Rate")</f>
        <v>960.01</v>
      </c>
      <c r="F95">
        <f>RTD("nest.scriprtd",,"bse_cm|1045EFS33A","Ask Rate")</f>
        <v>979.98</v>
      </c>
      <c r="G95">
        <f>RTD("nest.scriprtd",,"bse_cm|1045EFS33A","Ask Qty")</f>
        <v>182</v>
      </c>
      <c r="H95">
        <f>RTD("nest.scriprtd",,"bse_cm|1045EFS33A","LTP")</f>
        <v>963</v>
      </c>
      <c r="I95" t="str">
        <f>RTD("nest.scriprtd",,"bse_cm|1045EFS33A","LTT")</f>
        <v>00:00:00</v>
      </c>
      <c r="J95">
        <f>RTD("nest.scriprtd",,"bse_cm|1045EFS33A","% Change")</f>
        <v>-0.72</v>
      </c>
      <c r="K95">
        <f>RTD("nest.scriprtd",,"bse_cm|1045EFS33A","ATP")</f>
        <v>0</v>
      </c>
      <c r="L95">
        <f>RTD("nest.scriprtd",,"bse_cm|1045EFS33A","Volume Traded Today")</f>
        <v>0</v>
      </c>
      <c r="M95">
        <f>RTD("nest.scriprtd",,"bse_cm|1045EFS33A","Open")</f>
        <v>0</v>
      </c>
      <c r="N95">
        <f>RTD("nest.scriprtd",,"bse_cm|1045EFS33A","High")</f>
        <v>963.01</v>
      </c>
      <c r="O95">
        <f>RTD("nest.scriprtd",,"bse_cm|1045EFS33A","Low ")</f>
        <v>963</v>
      </c>
      <c r="P95">
        <f>RTD("nest.scriprtd",,"bse_cm|1045EFS33A","Prev Close")</f>
        <v>970</v>
      </c>
      <c r="Q95">
        <f>RTD("nest.scriprtd",,"bse_cm|1045EFS33A","Face Value")</f>
        <v>1000</v>
      </c>
      <c r="R95" t="str">
        <f>RTD("nest.scriprtd",,"bse_cm|1045EFS33A","Isin code")</f>
        <v>INE532F07DI7</v>
      </c>
      <c r="S95" s="9">
        <f>Table1[[#This Row],[Ask Rate]]*Table1[[#This Row],[Ask Qty]]</f>
        <v>178356.36000000002</v>
      </c>
      <c r="T95">
        <f>VLOOKUP(Table1[[#This Row],[Isin code]],Table2[#All],7,FALSE)</f>
        <v>10.45</v>
      </c>
      <c r="U95" s="17" t="str">
        <f>VLOOKUP(Table1[[#This Row],[Isin code]],Table2[#All],8,FALSE)</f>
        <v>20-Jan-2033</v>
      </c>
      <c r="V95" s="10">
        <f ca="1">Table1[[#This Row],[Maturity]]-TODAY()</f>
        <v>3018</v>
      </c>
      <c r="W95" t="str">
        <f>VLOOKUP(Table1[[#This Row],[Isin code]],Table2[#All],10,FALSE)</f>
        <v>Yearly</v>
      </c>
      <c r="X95">
        <f ca="1">_xlfn.DAYS(Table1[[#This Row],[Maturity]],TODAY())-15</f>
        <v>3003</v>
      </c>
      <c r="Y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95">
        <f>IF(Table1[[#This Row],[Ask Rate]]=0,0,Table1[[#This Row],[Face Value]]-Table1[[#This Row],[Ask Rate]])</f>
        <v>20.019999999999982</v>
      </c>
      <c r="AA95">
        <f>IF(Table1[[#This Row],[Freq]]="Yearly",Table1[[#This Row],[Coupon_Rate]]/100,IF(Table1[[#This Row],[Freq]]="Monthly",Table1[[#This Row],[Coupon_Rate]]/1200,IF(Table1[[#This Row],[Freq]]="Quarterly",Table1[[#This Row],[Coupon_Rate]]/400,0)))</f>
        <v>0.1045</v>
      </c>
      <c r="AB95">
        <f ca="1">Table1[[#This Row],[Face Value]]*Table1[[#This Row],[Rate]]*Table1[[#This Row],[Time]]</f>
        <v>940.5</v>
      </c>
      <c r="AC95">
        <f ca="1">Table1[[#This Row],[SI]]+Table1[[#This Row],[Disc/Prem]]</f>
        <v>960.52</v>
      </c>
      <c r="AD95" s="3">
        <f ca="1">Table1[[#This Row],[Net Gain]]/Table1[[#This Row],[Ask Rate]]</f>
        <v>0.98014245188677318</v>
      </c>
      <c r="AE95" s="3">
        <f ca="1">IF(Table1[[#This Row],[Ask Qty]]=0,0,Table1[[#This Row],[Gross Yield]]*365/Table1[[#This Row],[Days Left]])</f>
        <v>0.1185394284091028</v>
      </c>
      <c r="AF95" s="9">
        <f ca="1">+Table1[[#This Row],[Net Gain]]*Table1[[#This Row],[Ask Qty]]</f>
        <v>174814.63999999998</v>
      </c>
      <c r="AG95" t="str">
        <f ca="1">IF(Table1[[#This Row],[YTM]]&gt;0.12,IF(Table1[[#This Row],[Gross Profit]]&gt;10000,"Invest","Review"),"Low YTM")</f>
        <v>Low YTM</v>
      </c>
    </row>
    <row r="96" spans="1:33" x14ac:dyDescent="0.3">
      <c r="A96" t="str">
        <f>RTD("nest.scriprtd",,"bse_cm|1075IML27","Symbol")</f>
        <v>1075IML27</v>
      </c>
      <c r="B96" t="str">
        <f>RTD("nest.scriprtd",,"bse_cm|1075IML27","Trading Symbol")</f>
        <v>1075IML27</v>
      </c>
      <c r="C96" t="str">
        <f>RTD("nest.scriprtd",,"bse_cm|1075IML27","Exchange")</f>
        <v>BSE</v>
      </c>
      <c r="D96">
        <f>RTD("nest.scriprtd",,"bse_cm|1075IML27","Bid Qty")</f>
        <v>2</v>
      </c>
      <c r="E96">
        <f>RTD("nest.scriprtd",,"bse_cm|1075IML27","Bid Rate")</f>
        <v>921</v>
      </c>
      <c r="F96">
        <f>RTD("nest.scriprtd",,"bse_cm|1075IML27","Ask Rate")</f>
        <v>980</v>
      </c>
      <c r="G96">
        <f>RTD("nest.scriprtd",,"bse_cm|1075IML27","Ask Qty")</f>
        <v>19</v>
      </c>
      <c r="H96">
        <f>RTD("nest.scriprtd",,"bse_cm|1075IML27","LTP")</f>
        <v>0</v>
      </c>
      <c r="I96" t="str">
        <f>RTD("nest.scriprtd",,"bse_cm|1075IML27","LTT")</f>
        <v>00:00:00</v>
      </c>
      <c r="J96">
        <f>RTD("nest.scriprtd",,"bse_cm|1075IML27","% Change")</f>
        <v>-100</v>
      </c>
      <c r="K96">
        <f>RTD("nest.scriprtd",,"bse_cm|1075IML27","ATP")</f>
        <v>0</v>
      </c>
      <c r="L96">
        <f>RTD("nest.scriprtd",,"bse_cm|1075IML27","Volume Traded Today")</f>
        <v>0</v>
      </c>
      <c r="M96">
        <f>RTD("nest.scriprtd",,"bse_cm|1075IML27","Open")</f>
        <v>0</v>
      </c>
      <c r="N96">
        <f>RTD("nest.scriprtd",,"bse_cm|1075IML27","High")</f>
        <v>980</v>
      </c>
      <c r="O96">
        <f>RTD("nest.scriprtd",,"bse_cm|1075IML27","Low ")</f>
        <v>980</v>
      </c>
      <c r="P96">
        <f>RTD("nest.scriprtd",,"bse_cm|1075IML27","Prev Close")</f>
        <v>980</v>
      </c>
      <c r="Q96">
        <f>RTD("nest.scriprtd",,"bse_cm|1075IML27","Face Value")</f>
        <v>1000</v>
      </c>
      <c r="R96" t="str">
        <f>RTD("nest.scriprtd",,"bse_cm|1075IML27","Isin code")</f>
        <v>INE0BUS07AS7</v>
      </c>
      <c r="S96" s="9">
        <f>Table1[[#This Row],[Ask Rate]]*Table1[[#This Row],[Ask Qty]]</f>
        <v>18620</v>
      </c>
      <c r="T96">
        <f>VLOOKUP(Table1[[#This Row],[Isin code]],Table2[#All],7,FALSE)</f>
        <v>10.75</v>
      </c>
      <c r="U96" s="17" t="str">
        <f>VLOOKUP(Table1[[#This Row],[Isin code]],Table2[#All],8,FALSE)</f>
        <v>15-Feb-2027</v>
      </c>
      <c r="V96" s="10">
        <f ca="1">Table1[[#This Row],[Maturity]]-TODAY()</f>
        <v>852</v>
      </c>
      <c r="W96" t="str">
        <f>VLOOKUP(Table1[[#This Row],[Isin code]],Table2[#All],10,FALSE)</f>
        <v>Monthly</v>
      </c>
      <c r="X96">
        <f ca="1">_xlfn.DAYS(Table1[[#This Row],[Maturity]],TODAY())-15</f>
        <v>837</v>
      </c>
      <c r="Y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28</v>
      </c>
      <c r="Z96">
        <f>IF(Table1[[#This Row],[Ask Rate]]=0,0,Table1[[#This Row],[Face Value]]-Table1[[#This Row],[Ask Rate]])</f>
        <v>20</v>
      </c>
      <c r="AA96">
        <f>IF(Table1[[#This Row],[Freq]]="Yearly",Table1[[#This Row],[Coupon_Rate]]/100,IF(Table1[[#This Row],[Freq]]="Monthly",Table1[[#This Row],[Coupon_Rate]]/1200,IF(Table1[[#This Row],[Freq]]="Quarterly",Table1[[#This Row],[Coupon_Rate]]/400,0)))</f>
        <v>8.9583333333333338E-3</v>
      </c>
      <c r="AB96">
        <f ca="1">Table1[[#This Row],[Face Value]]*Table1[[#This Row],[Rate]]*Table1[[#This Row],[Time]]</f>
        <v>250.83333333333334</v>
      </c>
      <c r="AC96">
        <f ca="1">Table1[[#This Row],[SI]]+Table1[[#This Row],[Disc/Prem]]</f>
        <v>270.83333333333337</v>
      </c>
      <c r="AD96" s="3">
        <f ca="1">Table1[[#This Row],[Net Gain]]/Table1[[#This Row],[Ask Rate]]</f>
        <v>0.27636054421768713</v>
      </c>
      <c r="AE96" s="3">
        <f ca="1">IF(Table1[[#This Row],[Ask Qty]]=0,0,Table1[[#This Row],[Gross Yield]]*365/Table1[[#This Row],[Days Left]])</f>
        <v>0.11839389511673215</v>
      </c>
      <c r="AF96" s="9">
        <f ca="1">+Table1[[#This Row],[Net Gain]]*Table1[[#This Row],[Ask Qty]]</f>
        <v>5145.8333333333339</v>
      </c>
      <c r="AG96" t="str">
        <f ca="1">IF(Table1[[#This Row],[YTM]]&gt;0.12,IF(Table1[[#This Row],[Gross Profit]]&gt;10000,"Invest","Review"),"Low YTM")</f>
        <v>Low YTM</v>
      </c>
    </row>
    <row r="97" spans="1:33" x14ac:dyDescent="0.3">
      <c r="A97" t="str">
        <f>RTD("nest.scriprtd",,"nse_cm|9SCL25-YM","Symbol")</f>
        <v>9SCL25</v>
      </c>
      <c r="B97" t="str">
        <f>RTD("nest.scriprtd",,"nse_cm|9SCL25-YM","Trading Symbol")</f>
        <v>9SCL25-YM</v>
      </c>
      <c r="C97" t="str">
        <f>RTD("nest.scriprtd",,"nse_cm|9SCL25-YM","Exchange")</f>
        <v>NSE</v>
      </c>
      <c r="D97">
        <f>RTD("nest.scriprtd",,"nse_cm|9SCL25-YM","Bid Qty")</f>
        <v>5</v>
      </c>
      <c r="E97">
        <f>RTD("nest.scriprtd",,"nse_cm|9SCL25-YM","Bid Rate")</f>
        <v>1008.1</v>
      </c>
      <c r="F97">
        <f>RTD("nest.scriprtd",,"nse_cm|9SCL25-YM","Ask Rate")</f>
        <v>1025.55</v>
      </c>
      <c r="G97">
        <f>RTD("nest.scriprtd",,"nse_cm|9SCL25-YM","Ask Qty")</f>
        <v>5</v>
      </c>
      <c r="H97">
        <f>RTD("nest.scriprtd",,"nse_cm|9SCL25-YM","LTP")</f>
        <v>1000</v>
      </c>
      <c r="I97" t="str">
        <f>RTD("nest.scriprtd",,"nse_cm|9SCL25-YM","LTT")</f>
        <v/>
      </c>
      <c r="J97">
        <f>RTD("nest.scriprtd",,"nse_cm|9SCL25-YM","% Change")</f>
        <v>0</v>
      </c>
      <c r="K97">
        <f>RTD("nest.scriprtd",,"nse_cm|9SCL25-YM","ATP")</f>
        <v>0</v>
      </c>
      <c r="L97">
        <f>RTD("nest.scriprtd",,"nse_cm|9SCL25-YM","Volume Traded Today")</f>
        <v>0</v>
      </c>
      <c r="M97">
        <f>RTD("nest.scriprtd",,"nse_cm|9SCL25-YM","Open")</f>
        <v>0</v>
      </c>
      <c r="N97">
        <f>RTD("nest.scriprtd",,"nse_cm|9SCL25-YM","High")</f>
        <v>1000</v>
      </c>
      <c r="O97">
        <f>RTD("nest.scriprtd",,"nse_cm|9SCL25-YM","Low ")</f>
        <v>1000</v>
      </c>
      <c r="P97">
        <f>RTD("nest.scriprtd",,"nse_cm|9SCL25-YM","Prev Close")</f>
        <v>1000</v>
      </c>
      <c r="Q97">
        <f>RTD("nest.scriprtd",,"nse_cm|9SCL25-YM","Face Value")</f>
        <v>1000</v>
      </c>
      <c r="R97" t="str">
        <f>RTD("nest.scriprtd",,"nse_cm|9SCL25-YM","Isin code")</f>
        <v>INE148I07LN9</v>
      </c>
      <c r="S97" s="9">
        <f>Table1[[#This Row],[Ask Rate]]*Table1[[#This Row],[Ask Qty]]</f>
        <v>5127.75</v>
      </c>
      <c r="T97">
        <f>VLOOKUP(Table1[[#This Row],[Isin code]],Table2[#All],7,FALSE)</f>
        <v>9</v>
      </c>
      <c r="U97" s="17" t="str">
        <f>VLOOKUP(Table1[[#This Row],[Isin code]],Table2[#All],8,FALSE)</f>
        <v>28-Apr-2025</v>
      </c>
      <c r="V97" s="10">
        <f ca="1">Table1[[#This Row],[Maturity]]-TODAY()</f>
        <v>194</v>
      </c>
      <c r="W97" t="str">
        <f>VLOOKUP(Table1[[#This Row],[Isin code]],Table2[#All],10,FALSE)</f>
        <v>Yearly</v>
      </c>
      <c r="X97">
        <f ca="1">_xlfn.DAYS(Table1[[#This Row],[Maturity]],TODAY())-15</f>
        <v>179</v>
      </c>
      <c r="Y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7">
        <f>IF(Table1[[#This Row],[Ask Rate]]=0,0,Table1[[#This Row],[Face Value]]-Table1[[#This Row],[Ask Rate]])</f>
        <v>-25.549999999999955</v>
      </c>
      <c r="AA97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97">
        <f ca="1">Table1[[#This Row],[Face Value]]*Table1[[#This Row],[Rate]]*Table1[[#This Row],[Time]]</f>
        <v>90</v>
      </c>
      <c r="AC97">
        <f ca="1">Table1[[#This Row],[SI]]+Table1[[#This Row],[Disc/Prem]]</f>
        <v>64.450000000000045</v>
      </c>
      <c r="AD97" s="3">
        <f ca="1">Table1[[#This Row],[Net Gain]]/Table1[[#This Row],[Ask Rate]]</f>
        <v>6.2844327434059821E-2</v>
      </c>
      <c r="AE97" s="3">
        <f ca="1">IF(Table1[[#This Row],[Ask Qty]]=0,0,Table1[[#This Row],[Gross Yield]]*365/Table1[[#This Row],[Days Left]])</f>
        <v>0.11823803872903008</v>
      </c>
      <c r="AF97" s="9">
        <f ca="1">+Table1[[#This Row],[Net Gain]]*Table1[[#This Row],[Ask Qty]]</f>
        <v>322.25000000000023</v>
      </c>
      <c r="AG97" t="str">
        <f ca="1">IF(Table1[[#This Row],[YTM]]&gt;0.12,IF(Table1[[#This Row],[Gross Profit]]&gt;10000,"Invest","Review"),"Low YTM")</f>
        <v>Low YTM</v>
      </c>
    </row>
    <row r="98" spans="1:33" x14ac:dyDescent="0.3">
      <c r="A98" t="str">
        <f>RTD("nest.scriprtd",,"nse_cm|835IFL25-NV","Symbol")</f>
        <v>835IFL25</v>
      </c>
      <c r="B98" t="str">
        <f>RTD("nest.scriprtd",,"nse_cm|835IFL25-NV","Trading Symbol")</f>
        <v>835IFL25-NV</v>
      </c>
      <c r="C98" t="str">
        <f>RTD("nest.scriprtd",,"nse_cm|835IFL25-NV","Exchange")</f>
        <v>NSE</v>
      </c>
      <c r="D98">
        <f>RTD("nest.scriprtd",,"nse_cm|835IFL25-NV","Bid Qty")</f>
        <v>29</v>
      </c>
      <c r="E98">
        <f>RTD("nest.scriprtd",,"nse_cm|835IFL25-NV","Bid Rate")</f>
        <v>1000.01</v>
      </c>
      <c r="F98">
        <f>RTD("nest.scriprtd",,"nse_cm|835IFL25-NV","Ask Rate")</f>
        <v>1001</v>
      </c>
      <c r="G98">
        <f>RTD("nest.scriprtd",,"nse_cm|835IFL25-NV","Ask Qty")</f>
        <v>83</v>
      </c>
      <c r="H98">
        <f>RTD("nest.scriprtd",,"nse_cm|835IFL25-NV","LTP")</f>
        <v>998</v>
      </c>
      <c r="I98" t="str">
        <f>RTD("nest.scriprtd",,"nse_cm|835IFL25-NV","LTT")</f>
        <v/>
      </c>
      <c r="J98">
        <f>RTD("nest.scriprtd",,"nse_cm|835IFL25-NV","% Change")</f>
        <v>0</v>
      </c>
      <c r="K98">
        <f>RTD("nest.scriprtd",,"nse_cm|835IFL25-NV","ATP")</f>
        <v>0</v>
      </c>
      <c r="L98">
        <f>RTD("nest.scriprtd",,"nse_cm|835IFL25-NV","Volume Traded Today")</f>
        <v>0</v>
      </c>
      <c r="M98">
        <f>RTD("nest.scriprtd",,"nse_cm|835IFL25-NV","Open")</f>
        <v>0</v>
      </c>
      <c r="N98">
        <f>RTD("nest.scriprtd",,"nse_cm|835IFL25-NV","High")</f>
        <v>998</v>
      </c>
      <c r="O98">
        <f>RTD("nest.scriprtd",,"nse_cm|835IFL25-NV","Low ")</f>
        <v>998</v>
      </c>
      <c r="P98">
        <f>RTD("nest.scriprtd",,"nse_cm|835IFL25-NV","Prev Close")</f>
        <v>998</v>
      </c>
      <c r="Q98">
        <f>RTD("nest.scriprtd",,"nse_cm|835IFL25-NV","Face Value")</f>
        <v>1000</v>
      </c>
      <c r="R98" t="str">
        <f>RTD("nest.scriprtd",,"nse_cm|835IFL25-NV","Isin code")</f>
        <v>INE530B07336</v>
      </c>
      <c r="S98" s="9">
        <f>Table1[[#This Row],[Ask Rate]]*Table1[[#This Row],[Ask Qty]]</f>
        <v>83083</v>
      </c>
      <c r="T98">
        <f>VLOOKUP(Table1[[#This Row],[Isin code]],Table2[#All],7,FALSE)</f>
        <v>8.35</v>
      </c>
      <c r="U98" s="17" t="str">
        <f>VLOOKUP(Table1[[#This Row],[Isin code]],Table2[#All],8,FALSE)</f>
        <v>28-Jun-2025</v>
      </c>
      <c r="V98" s="10">
        <f ca="1">Table1[[#This Row],[Maturity]]-TODAY()</f>
        <v>255</v>
      </c>
      <c r="W98" t="str">
        <f>VLOOKUP(Table1[[#This Row],[Isin code]],Table2[#All],10,FALSE)</f>
        <v>Yearly</v>
      </c>
      <c r="X98">
        <f ca="1">_xlfn.DAYS(Table1[[#This Row],[Maturity]],TODAY())-15</f>
        <v>240</v>
      </c>
      <c r="Y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8">
        <f>IF(Table1[[#This Row],[Ask Rate]]=0,0,Table1[[#This Row],[Face Value]]-Table1[[#This Row],[Ask Rate]])</f>
        <v>-1</v>
      </c>
      <c r="AA98">
        <f>IF(Table1[[#This Row],[Freq]]="Yearly",Table1[[#This Row],[Coupon_Rate]]/100,IF(Table1[[#This Row],[Freq]]="Monthly",Table1[[#This Row],[Coupon_Rate]]/1200,IF(Table1[[#This Row],[Freq]]="Quarterly",Table1[[#This Row],[Coupon_Rate]]/400,0)))</f>
        <v>8.3499999999999991E-2</v>
      </c>
      <c r="AB98">
        <f ca="1">Table1[[#This Row],[Face Value]]*Table1[[#This Row],[Rate]]*Table1[[#This Row],[Time]]</f>
        <v>83.499999999999986</v>
      </c>
      <c r="AC98">
        <f ca="1">Table1[[#This Row],[SI]]+Table1[[#This Row],[Disc/Prem]]</f>
        <v>82.499999999999986</v>
      </c>
      <c r="AD98" s="3">
        <f ca="1">Table1[[#This Row],[Net Gain]]/Table1[[#This Row],[Ask Rate]]</f>
        <v>8.2417582417582402E-2</v>
      </c>
      <c r="AE98" s="3">
        <f ca="1">IF(Table1[[#This Row],[Ask Qty]]=0,0,Table1[[#This Row],[Gross Yield]]*365/Table1[[#This Row],[Days Left]])</f>
        <v>0.11797026502908854</v>
      </c>
      <c r="AF98" s="9">
        <f ca="1">+Table1[[#This Row],[Net Gain]]*Table1[[#This Row],[Ask Qty]]</f>
        <v>6847.4999999999991</v>
      </c>
      <c r="AG98" t="str">
        <f ca="1">IF(Table1[[#This Row],[YTM]]&gt;0.12,IF(Table1[[#This Row],[Gross Profit]]&gt;10000,"Invest","Review"),"Low YTM")</f>
        <v>Low YTM</v>
      </c>
    </row>
    <row r="99" spans="1:33" x14ac:dyDescent="0.3">
      <c r="A99" t="str">
        <f>RTD("nest.scriprtd",,"bse_cm|950CCIL25","Symbol")</f>
        <v>950CCIL25</v>
      </c>
      <c r="B99" t="str">
        <f>RTD("nest.scriprtd",,"bse_cm|950CCIL25","Trading Symbol")</f>
        <v>950CCIL25</v>
      </c>
      <c r="C99" t="str">
        <f>RTD("nest.scriprtd",,"bse_cm|950CCIL25","Exchange")</f>
        <v>BSE</v>
      </c>
      <c r="D99">
        <f>RTD("nest.scriprtd",,"bse_cm|950CCIL25","Bid Qty")</f>
        <v>10</v>
      </c>
      <c r="E99">
        <f>RTD("nest.scriprtd",,"bse_cm|950CCIL25","Bid Rate")</f>
        <v>930</v>
      </c>
      <c r="F99">
        <f>RTD("nest.scriprtd",,"bse_cm|950CCIL25","Ask Rate")</f>
        <v>983</v>
      </c>
      <c r="G99">
        <f>RTD("nest.scriprtd",,"bse_cm|950CCIL25","Ask Qty")</f>
        <v>10</v>
      </c>
      <c r="H99">
        <f>RTD("nest.scriprtd",,"bse_cm|950CCIL25","LTP")</f>
        <v>0</v>
      </c>
      <c r="I99" t="str">
        <f>RTD("nest.scriprtd",,"bse_cm|950CCIL25","LTT")</f>
        <v>00:00:00</v>
      </c>
      <c r="J99">
        <f>RTD("nest.scriprtd",,"bse_cm|950CCIL25","% Change")</f>
        <v>-100</v>
      </c>
      <c r="K99">
        <f>RTD("nest.scriprtd",,"bse_cm|950CCIL25","ATP")</f>
        <v>0</v>
      </c>
      <c r="L99">
        <f>RTD("nest.scriprtd",,"bse_cm|950CCIL25","Volume Traded Today")</f>
        <v>0</v>
      </c>
      <c r="M99">
        <f>RTD("nest.scriprtd",,"bse_cm|950CCIL25","Open")</f>
        <v>0</v>
      </c>
      <c r="N99">
        <f>RTD("nest.scriprtd",,"bse_cm|950CCIL25","High")</f>
        <v>950</v>
      </c>
      <c r="O99">
        <f>RTD("nest.scriprtd",,"bse_cm|950CCIL25","Low ")</f>
        <v>925</v>
      </c>
      <c r="P99">
        <f>RTD("nest.scriprtd",,"bse_cm|950CCIL25","Prev Close")</f>
        <v>934.62</v>
      </c>
      <c r="Q99">
        <f>RTD("nest.scriprtd",,"bse_cm|950CCIL25","Face Value")</f>
        <v>1000</v>
      </c>
      <c r="R99" t="str">
        <f>RTD("nest.scriprtd",,"bse_cm|950CCIL25","Isin code")</f>
        <v>INE051307BC4</v>
      </c>
      <c r="S99" s="9">
        <f>Table1[[#This Row],[Ask Rate]]*Table1[[#This Row],[Ask Qty]]</f>
        <v>9830</v>
      </c>
      <c r="T99">
        <f>VLOOKUP(Table1[[#This Row],[Isin code]],Table2[#All],7,FALSE)</f>
        <v>9.5</v>
      </c>
      <c r="U99" s="17" t="str">
        <f>VLOOKUP(Table1[[#This Row],[Isin code]],Table2[#All],8,FALSE)</f>
        <v>15-Aug-2025</v>
      </c>
      <c r="V99" s="10">
        <f ca="1">Table1[[#This Row],[Maturity]]-TODAY()</f>
        <v>303</v>
      </c>
      <c r="W99" t="str">
        <f>VLOOKUP(Table1[[#This Row],[Isin code]],Table2[#All],10,FALSE)</f>
        <v>MONTHLY</v>
      </c>
      <c r="X99">
        <f ca="1">_xlfn.DAYS(Table1[[#This Row],[Maturity]],TODAY())-15</f>
        <v>288</v>
      </c>
      <c r="Y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99">
        <f>IF(Table1[[#This Row],[Ask Rate]]=0,0,Table1[[#This Row],[Face Value]]-Table1[[#This Row],[Ask Rate]])</f>
        <v>17</v>
      </c>
      <c r="AA99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99">
        <f ca="1">Table1[[#This Row],[Face Value]]*Table1[[#This Row],[Rate]]*Table1[[#This Row],[Time]]</f>
        <v>79.166666666666671</v>
      </c>
      <c r="AC99">
        <f ca="1">Table1[[#This Row],[SI]]+Table1[[#This Row],[Disc/Prem]]</f>
        <v>96.166666666666671</v>
      </c>
      <c r="AD99" s="3">
        <f ca="1">Table1[[#This Row],[Net Gain]]/Table1[[#This Row],[Ask Rate]]</f>
        <v>9.7829772804340465E-2</v>
      </c>
      <c r="AE99" s="3">
        <f ca="1">IF(Table1[[#This Row],[Ask Qty]]=0,0,Table1[[#This Row],[Gross Yield]]*365/Table1[[#This Row],[Days Left]])</f>
        <v>0.11784774611743982</v>
      </c>
      <c r="AF99" s="9">
        <f ca="1">+Table1[[#This Row],[Net Gain]]*Table1[[#This Row],[Ask Qty]]</f>
        <v>961.66666666666674</v>
      </c>
      <c r="AG99" t="str">
        <f ca="1">IF(Table1[[#This Row],[YTM]]&gt;0.12,IF(Table1[[#This Row],[Gross Profit]]&gt;10000,"Invest","Review"),"Low YTM")</f>
        <v>Low YTM</v>
      </c>
    </row>
    <row r="100" spans="1:33" x14ac:dyDescent="0.3">
      <c r="A100" t="str">
        <f>RTD("nest.scriprtd",,"bse_cm|1025SFL28","Symbol")</f>
        <v>1025SFL28</v>
      </c>
      <c r="B100" t="str">
        <f>RTD("nest.scriprtd",,"bse_cm|1025SFL28","Trading Symbol")</f>
        <v>1025SFL28</v>
      </c>
      <c r="C100" t="str">
        <f>RTD("nest.scriprtd",,"bse_cm|1025SFL28","Exchange")</f>
        <v>BSE</v>
      </c>
      <c r="D100">
        <f>RTD("nest.scriprtd",,"bse_cm|1025SFL28","Bid Qty")</f>
        <v>5</v>
      </c>
      <c r="E100">
        <f>RTD("nest.scriprtd",,"bse_cm|1025SFL28","Bid Rate")</f>
        <v>950</v>
      </c>
      <c r="F100">
        <f>RTD("nest.scriprtd",,"bse_cm|1025SFL28","Ask Rate")</f>
        <v>963.96</v>
      </c>
      <c r="G100">
        <f>RTD("nest.scriprtd",,"bse_cm|1025SFL28","Ask Qty")</f>
        <v>35</v>
      </c>
      <c r="H100">
        <f>RTD("nest.scriprtd",,"bse_cm|1025SFL28","LTP")</f>
        <v>960</v>
      </c>
      <c r="I100" t="str">
        <f>RTD("nest.scriprtd",,"bse_cm|1025SFL28","LTT")</f>
        <v>00:00:00</v>
      </c>
      <c r="J100">
        <f>RTD("nest.scriprtd",,"bse_cm|1025SFL28","% Change")</f>
        <v>-0.41</v>
      </c>
      <c r="K100">
        <f>RTD("nest.scriprtd",,"bse_cm|1025SFL28","ATP")</f>
        <v>0</v>
      </c>
      <c r="L100">
        <f>RTD("nest.scriprtd",,"bse_cm|1025SFL28","Volume Traded Today")</f>
        <v>0</v>
      </c>
      <c r="M100">
        <f>RTD("nest.scriprtd",,"bse_cm|1025SFL28","Open")</f>
        <v>0</v>
      </c>
      <c r="N100">
        <f>RTD("nest.scriprtd",,"bse_cm|1025SFL28","High")</f>
        <v>962.96</v>
      </c>
      <c r="O100">
        <f>RTD("nest.scriprtd",,"bse_cm|1025SFL28","Low ")</f>
        <v>960</v>
      </c>
      <c r="P100">
        <f>RTD("nest.scriprtd",,"bse_cm|1025SFL28","Prev Close")</f>
        <v>963.96</v>
      </c>
      <c r="Q100">
        <f>RTD("nest.scriprtd",,"bse_cm|1025SFL28","Face Value")</f>
        <v>1000</v>
      </c>
      <c r="R100" t="str">
        <f>RTD("nest.scriprtd",,"bse_cm|1025SFL28","Isin code")</f>
        <v>INE302E07565</v>
      </c>
      <c r="S100" s="9">
        <f>Table1[[#This Row],[Ask Rate]]*Table1[[#This Row],[Ask Qty]]</f>
        <v>33738.6</v>
      </c>
      <c r="T100">
        <f>VLOOKUP(Table1[[#This Row],[Isin code]],Table2[#All],7,FALSE)</f>
        <v>10.25</v>
      </c>
      <c r="U100" s="17" t="str">
        <f>VLOOKUP(Table1[[#This Row],[Isin code]],Table2[#All],8,FALSE)</f>
        <v>08-May-2028</v>
      </c>
      <c r="V100" s="10">
        <f ca="1">Table1[[#This Row],[Maturity]]-TODAY()</f>
        <v>1300</v>
      </c>
      <c r="W100" t="str">
        <f>VLOOKUP(Table1[[#This Row],[Isin code]],Table2[#All],10,FALSE)</f>
        <v>Monthly</v>
      </c>
      <c r="X100">
        <f ca="1">_xlfn.DAYS(Table1[[#This Row],[Maturity]],TODAY())-15</f>
        <v>1285</v>
      </c>
      <c r="Y1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43</v>
      </c>
      <c r="Z100">
        <f>IF(Table1[[#This Row],[Ask Rate]]=0,0,Table1[[#This Row],[Face Value]]-Table1[[#This Row],[Ask Rate]])</f>
        <v>36.039999999999964</v>
      </c>
      <c r="AA100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00">
        <f ca="1">Table1[[#This Row],[Face Value]]*Table1[[#This Row],[Rate]]*Table1[[#This Row],[Time]]</f>
        <v>367.29166666666663</v>
      </c>
      <c r="AC100">
        <f ca="1">Table1[[#This Row],[SI]]+Table1[[#This Row],[Disc/Prem]]</f>
        <v>403.33166666666659</v>
      </c>
      <c r="AD100" s="3">
        <f ca="1">Table1[[#This Row],[Net Gain]]/Table1[[#This Row],[Ask Rate]]</f>
        <v>0.41841120655075581</v>
      </c>
      <c r="AE100" s="3">
        <f ca="1">IF(Table1[[#This Row],[Ask Qty]]=0,0,Table1[[#This Row],[Gross Yield]]*365/Table1[[#This Row],[Days Left]])</f>
        <v>0.11747699260848145</v>
      </c>
      <c r="AF100" s="9">
        <f ca="1">+Table1[[#This Row],[Net Gain]]*Table1[[#This Row],[Ask Qty]]</f>
        <v>14116.60833333333</v>
      </c>
      <c r="AG100" t="str">
        <f ca="1">IF(Table1[[#This Row],[YTM]]&gt;0.12,IF(Table1[[#This Row],[Gross Profit]]&gt;10000,"Invest","Review"),"Low YTM")</f>
        <v>Low YTM</v>
      </c>
    </row>
    <row r="101" spans="1:33" x14ac:dyDescent="0.3">
      <c r="A101" t="str">
        <f>RTD("nest.scriprtd",,"bse_cm|10IIFL28A","Symbol")</f>
        <v>10IIFL28A</v>
      </c>
      <c r="B101" t="str">
        <f>RTD("nest.scriprtd",,"bse_cm|10IIFL28A","Trading Symbol")</f>
        <v>10IIFL28A</v>
      </c>
      <c r="C101" t="str">
        <f>RTD("nest.scriprtd",,"bse_cm|10IIFL28A","Exchange")</f>
        <v>BSE</v>
      </c>
      <c r="D101">
        <f>RTD("nest.scriprtd",,"bse_cm|10IIFL28A","Bid Qty")</f>
        <v>50</v>
      </c>
      <c r="E101">
        <f>RTD("nest.scriprtd",,"bse_cm|10IIFL28A","Bid Rate")</f>
        <v>972.11</v>
      </c>
      <c r="F101">
        <f>RTD("nest.scriprtd",,"bse_cm|10IIFL28A","Ask Rate")</f>
        <v>977.2</v>
      </c>
      <c r="G101">
        <f>RTD("nest.scriprtd",,"bse_cm|10IIFL28A","Ask Qty")</f>
        <v>150</v>
      </c>
      <c r="H101">
        <f>RTD("nest.scriprtd",,"bse_cm|10IIFL28A","LTP")</f>
        <v>0</v>
      </c>
      <c r="I101" t="str">
        <f>RTD("nest.scriprtd",,"bse_cm|10IIFL28A","LTT")</f>
        <v>00:00:00</v>
      </c>
      <c r="J101">
        <f>RTD("nest.scriprtd",,"bse_cm|10IIFL28A","% Change")</f>
        <v>-100</v>
      </c>
      <c r="K101">
        <f>RTD("nest.scriprtd",,"bse_cm|10IIFL28A","ATP")</f>
        <v>0</v>
      </c>
      <c r="L101">
        <f>RTD("nest.scriprtd",,"bse_cm|10IIFL28A","Volume Traded Today")</f>
        <v>0</v>
      </c>
      <c r="M101">
        <f>RTD("nest.scriprtd",,"bse_cm|10IIFL28A","Open")</f>
        <v>0</v>
      </c>
      <c r="N101">
        <f>RTD("nest.scriprtd",,"bse_cm|10IIFL28A","High")</f>
        <v>981.8</v>
      </c>
      <c r="O101">
        <f>RTD("nest.scriprtd",,"bse_cm|10IIFL28A","Low ")</f>
        <v>981.8</v>
      </c>
      <c r="P101">
        <f>RTD("nest.scriprtd",,"bse_cm|10IIFL28A","Prev Close")</f>
        <v>981.8</v>
      </c>
      <c r="Q101">
        <f>RTD("nest.scriprtd",,"bse_cm|10IIFL28A","Face Value")</f>
        <v>1000</v>
      </c>
      <c r="R101" t="str">
        <f>RTD("nest.scriprtd",,"bse_cm|10IIFL28A","Isin code")</f>
        <v>INE530B08094</v>
      </c>
      <c r="S101" s="9">
        <f>Table1[[#This Row],[Ask Rate]]*Table1[[#This Row],[Ask Qty]]</f>
        <v>146580</v>
      </c>
      <c r="T101">
        <f>VLOOKUP(Table1[[#This Row],[Isin code]],Table2[#All],7,FALSE)</f>
        <v>10</v>
      </c>
      <c r="U101" s="17" t="str">
        <f>VLOOKUP(Table1[[#This Row],[Isin code]],Table2[#All],8,FALSE)</f>
        <v>24-Jun-2028</v>
      </c>
      <c r="V101" s="10">
        <f ca="1">Table1[[#This Row],[Maturity]]-TODAY()</f>
        <v>1347</v>
      </c>
      <c r="W101" t="str">
        <f>VLOOKUP(Table1[[#This Row],[Isin code]],Table2[#All],10,FALSE)</f>
        <v>Yearly</v>
      </c>
      <c r="X101">
        <f ca="1">_xlfn.DAYS(Table1[[#This Row],[Maturity]],TODAY())-15</f>
        <v>1332</v>
      </c>
      <c r="Y10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01">
        <f>IF(Table1[[#This Row],[Ask Rate]]=0,0,Table1[[#This Row],[Face Value]]-Table1[[#This Row],[Ask Rate]])</f>
        <v>22.799999999999955</v>
      </c>
      <c r="AA101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101">
        <f ca="1">Table1[[#This Row],[Face Value]]*Table1[[#This Row],[Rate]]*Table1[[#This Row],[Time]]</f>
        <v>400</v>
      </c>
      <c r="AC101">
        <f ca="1">Table1[[#This Row],[SI]]+Table1[[#This Row],[Disc/Prem]]</f>
        <v>422.79999999999995</v>
      </c>
      <c r="AD101" s="3">
        <f ca="1">Table1[[#This Row],[Net Gain]]/Table1[[#This Row],[Ask Rate]]</f>
        <v>0.43266475644699132</v>
      </c>
      <c r="AE101" s="3">
        <f ca="1">IF(Table1[[#This Row],[Ask Qty]]=0,0,Table1[[#This Row],[Gross Yield]]*365/Table1[[#This Row],[Days Left]])</f>
        <v>0.11724026436759602</v>
      </c>
      <c r="AF101" s="9">
        <f ca="1">+Table1[[#This Row],[Net Gain]]*Table1[[#This Row],[Ask Qty]]</f>
        <v>63419.999999999993</v>
      </c>
      <c r="AG101" t="str">
        <f ca="1">IF(Table1[[#This Row],[YTM]]&gt;0.12,IF(Table1[[#This Row],[Gross Profit]]&gt;10000,"Invest","Review"),"Low YTM")</f>
        <v>Low YTM</v>
      </c>
    </row>
    <row r="102" spans="1:33" x14ac:dyDescent="0.3">
      <c r="A102" t="str">
        <f>RTD("nest.scriprtd",,"bse_cm|967EFSL29","Symbol")</f>
        <v>967EFSL29</v>
      </c>
      <c r="B102" t="str">
        <f>RTD("nest.scriprtd",,"bse_cm|967EFSL29","Trading Symbol")</f>
        <v>967EFSL29</v>
      </c>
      <c r="C102" t="str">
        <f>RTD("nest.scriprtd",,"bse_cm|967EFSL29","Exchange")</f>
        <v>BSE</v>
      </c>
      <c r="D102">
        <f>RTD("nest.scriprtd",,"bse_cm|967EFSL29","Bid Qty")</f>
        <v>20</v>
      </c>
      <c r="E102">
        <f>RTD("nest.scriprtd",,"bse_cm|967EFSL29","Bid Rate")</f>
        <v>937</v>
      </c>
      <c r="F102">
        <f>RTD("nest.scriprtd",,"bse_cm|967EFSL29","Ask Rate")</f>
        <v>945</v>
      </c>
      <c r="G102">
        <f>RTD("nest.scriprtd",,"bse_cm|967EFSL29","Ask Qty")</f>
        <v>195</v>
      </c>
      <c r="H102">
        <f>RTD("nest.scriprtd",,"bse_cm|967EFSL29","LTP")</f>
        <v>945</v>
      </c>
      <c r="I102" t="str">
        <f>RTD("nest.scriprtd",,"bse_cm|967EFSL29","LTT")</f>
        <v>00:00:00</v>
      </c>
      <c r="J102">
        <f>RTD("nest.scriprtd",,"bse_cm|967EFSL29","% Change")</f>
        <v>-0.53</v>
      </c>
      <c r="K102">
        <f>RTD("nest.scriprtd",,"bse_cm|967EFSL29","ATP")</f>
        <v>0</v>
      </c>
      <c r="L102">
        <f>RTD("nest.scriprtd",,"bse_cm|967EFSL29","Volume Traded Today")</f>
        <v>0</v>
      </c>
      <c r="M102">
        <f>RTD("nest.scriprtd",,"bse_cm|967EFSL29","Open")</f>
        <v>0</v>
      </c>
      <c r="N102">
        <f>RTD("nest.scriprtd",,"bse_cm|967EFSL29","High")</f>
        <v>945</v>
      </c>
      <c r="O102">
        <f>RTD("nest.scriprtd",,"bse_cm|967EFSL29","Low ")</f>
        <v>945</v>
      </c>
      <c r="P102">
        <f>RTD("nest.scriprtd",,"bse_cm|967EFSL29","Prev Close")</f>
        <v>950</v>
      </c>
      <c r="Q102">
        <f>RTD("nest.scriprtd",,"bse_cm|967EFSL29","Face Value")</f>
        <v>1000</v>
      </c>
      <c r="R102" t="str">
        <f>RTD("nest.scriprtd",,"bse_cm|967EFSL29","Isin code")</f>
        <v>INE532F07EY2</v>
      </c>
      <c r="S102" s="9">
        <f>Table1[[#This Row],[Ask Rate]]*Table1[[#This Row],[Ask Qty]]</f>
        <v>184275</v>
      </c>
      <c r="T102">
        <f>VLOOKUP(Table1[[#This Row],[Isin code]],Table2[#All],7,FALSE)</f>
        <v>9.67</v>
      </c>
      <c r="U102" s="17" t="str">
        <f>VLOOKUP(Table1[[#This Row],[Isin code]],Table2[#All],8,FALSE)</f>
        <v>29-Jan-2029</v>
      </c>
      <c r="V102" s="10">
        <f ca="1">Table1[[#This Row],[Maturity]]-TODAY()</f>
        <v>1566</v>
      </c>
      <c r="W102" t="str">
        <f>VLOOKUP(Table1[[#This Row],[Isin code]],Table2[#All],10,FALSE)</f>
        <v>Monthly</v>
      </c>
      <c r="X102">
        <f ca="1">_xlfn.DAYS(Table1[[#This Row],[Maturity]],TODAY())-15</f>
        <v>1551</v>
      </c>
      <c r="Y1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52</v>
      </c>
      <c r="Z102">
        <f>IF(Table1[[#This Row],[Ask Rate]]=0,0,Table1[[#This Row],[Face Value]]-Table1[[#This Row],[Ask Rate]])</f>
        <v>55</v>
      </c>
      <c r="AA102">
        <f>IF(Table1[[#This Row],[Freq]]="Yearly",Table1[[#This Row],[Coupon_Rate]]/100,IF(Table1[[#This Row],[Freq]]="Monthly",Table1[[#This Row],[Coupon_Rate]]/1200,IF(Table1[[#This Row],[Freq]]="Quarterly",Table1[[#This Row],[Coupon_Rate]]/400,0)))</f>
        <v>8.058333333333334E-3</v>
      </c>
      <c r="AB102">
        <f ca="1">Table1[[#This Row],[Face Value]]*Table1[[#This Row],[Rate]]*Table1[[#This Row],[Time]]</f>
        <v>419.03333333333336</v>
      </c>
      <c r="AC102">
        <f ca="1">Table1[[#This Row],[SI]]+Table1[[#This Row],[Disc/Prem]]</f>
        <v>474.03333333333336</v>
      </c>
      <c r="AD102" s="3">
        <f ca="1">Table1[[#This Row],[Net Gain]]/Table1[[#This Row],[Ask Rate]]</f>
        <v>0.50162257495590834</v>
      </c>
      <c r="AE102" s="3">
        <f ca="1">IF(Table1[[#This Row],[Ask Qty]]=0,0,Table1[[#This Row],[Gross Yield]]*365/Table1[[#This Row],[Days Left]])</f>
        <v>0.11691713911807569</v>
      </c>
      <c r="AF102" s="9">
        <f ca="1">+Table1[[#This Row],[Net Gain]]*Table1[[#This Row],[Ask Qty]]</f>
        <v>92436.5</v>
      </c>
      <c r="AG102" t="str">
        <f ca="1">IF(Table1[[#This Row],[YTM]]&gt;0.12,IF(Table1[[#This Row],[Gross Profit]]&gt;10000,"Invest","Review"),"Low YTM")</f>
        <v>Low YTM</v>
      </c>
    </row>
    <row r="103" spans="1:33" x14ac:dyDescent="0.3">
      <c r="A103" t="str">
        <f>RTD("nest.scriprtd",,"nse_cm|865IFL28-NZ","Symbol")</f>
        <v>865IFL28</v>
      </c>
      <c r="B103" t="str">
        <f>RTD("nest.scriprtd",,"nse_cm|865IFL28-NZ","Trading Symbol")</f>
        <v>865IFL28-NZ</v>
      </c>
      <c r="C103" t="str">
        <f>RTD("nest.scriprtd",,"nse_cm|865IFL28-NZ","Exchange")</f>
        <v>NSE</v>
      </c>
      <c r="D103">
        <f>RTD("nest.scriprtd",,"nse_cm|865IFL28-NZ","Bid Qty")</f>
        <v>100</v>
      </c>
      <c r="E103">
        <f>RTD("nest.scriprtd",,"nse_cm|865IFL28-NZ","Bid Rate")</f>
        <v>910.25</v>
      </c>
      <c r="F103">
        <f>RTD("nest.scriprtd",,"nse_cm|865IFL28-NZ","Ask Rate")</f>
        <v>925</v>
      </c>
      <c r="G103">
        <f>RTD("nest.scriprtd",,"nse_cm|865IFL28-NZ","Ask Qty")</f>
        <v>71</v>
      </c>
      <c r="H103">
        <f>RTD("nest.scriprtd",,"nse_cm|865IFL28-NZ","LTP")</f>
        <v>915</v>
      </c>
      <c r="I103" t="str">
        <f>RTD("nest.scriprtd",,"nse_cm|865IFL28-NZ","LTT")</f>
        <v/>
      </c>
      <c r="J103">
        <f>RTD("nest.scriprtd",,"nse_cm|865IFL28-NZ","% Change")</f>
        <v>0</v>
      </c>
      <c r="K103">
        <f>RTD("nest.scriprtd",,"nse_cm|865IFL28-NZ","ATP")</f>
        <v>0</v>
      </c>
      <c r="L103">
        <f>RTD("nest.scriprtd",,"nse_cm|865IFL28-NZ","Volume Traded Today")</f>
        <v>0</v>
      </c>
      <c r="M103">
        <f>RTD("nest.scriprtd",,"nse_cm|865IFL28-NZ","Open")</f>
        <v>0</v>
      </c>
      <c r="N103">
        <f>RTD("nest.scriprtd",,"nse_cm|865IFL28-NZ","High")</f>
        <v>915</v>
      </c>
      <c r="O103">
        <f>RTD("nest.scriprtd",,"nse_cm|865IFL28-NZ","Low ")</f>
        <v>914</v>
      </c>
      <c r="P103">
        <f>RTD("nest.scriprtd",,"nse_cm|865IFL28-NZ","Prev Close")</f>
        <v>915</v>
      </c>
      <c r="Q103">
        <f>RTD("nest.scriprtd",,"nse_cm|865IFL28-NZ","Face Value")</f>
        <v>1000</v>
      </c>
      <c r="R103" t="str">
        <f>RTD("nest.scriprtd",,"nse_cm|865IFL28-NZ","Isin code")</f>
        <v>INE530B07385</v>
      </c>
      <c r="S103" s="9">
        <f>Table1[[#This Row],[Ask Rate]]*Table1[[#This Row],[Ask Qty]]</f>
        <v>65675</v>
      </c>
      <c r="T103">
        <f>VLOOKUP(Table1[[#This Row],[Isin code]],Table2[#All],7,FALSE)</f>
        <v>8.65</v>
      </c>
      <c r="U103" s="17" t="str">
        <f>VLOOKUP(Table1[[#This Row],[Isin code]],Table2[#All],8,FALSE)</f>
        <v>28-Jun-2028</v>
      </c>
      <c r="V103" s="10">
        <f ca="1">Table1[[#This Row],[Maturity]]-TODAY()</f>
        <v>1351</v>
      </c>
      <c r="W103" t="str">
        <f>VLOOKUP(Table1[[#This Row],[Isin code]],Table2[#All],10,FALSE)</f>
        <v>Monthly</v>
      </c>
      <c r="X103">
        <f ca="1">_xlfn.DAYS(Table1[[#This Row],[Maturity]],TODAY())-15</f>
        <v>1336</v>
      </c>
      <c r="Y1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45</v>
      </c>
      <c r="Z103">
        <f>IF(Table1[[#This Row],[Ask Rate]]=0,0,Table1[[#This Row],[Face Value]]-Table1[[#This Row],[Ask Rate]])</f>
        <v>75</v>
      </c>
      <c r="AA103">
        <f>IF(Table1[[#This Row],[Freq]]="Yearly",Table1[[#This Row],[Coupon_Rate]]/100,IF(Table1[[#This Row],[Freq]]="Monthly",Table1[[#This Row],[Coupon_Rate]]/1200,IF(Table1[[#This Row],[Freq]]="Quarterly",Table1[[#This Row],[Coupon_Rate]]/400,0)))</f>
        <v>7.208333333333334E-3</v>
      </c>
      <c r="AB103">
        <f ca="1">Table1[[#This Row],[Face Value]]*Table1[[#This Row],[Rate]]*Table1[[#This Row],[Time]]</f>
        <v>324.375</v>
      </c>
      <c r="AC103">
        <f ca="1">Table1[[#This Row],[SI]]+Table1[[#This Row],[Disc/Prem]]</f>
        <v>399.375</v>
      </c>
      <c r="AD103" s="3">
        <f ca="1">Table1[[#This Row],[Net Gain]]/Table1[[#This Row],[Ask Rate]]</f>
        <v>0.43175675675675673</v>
      </c>
      <c r="AE103" s="3">
        <f ca="1">IF(Table1[[#This Row],[Ask Qty]]=0,0,Table1[[#This Row],[Gross Yield]]*365/Table1[[#This Row],[Days Left]])</f>
        <v>0.11664782843539319</v>
      </c>
      <c r="AF103" s="9">
        <f ca="1">+Table1[[#This Row],[Net Gain]]*Table1[[#This Row],[Ask Qty]]</f>
        <v>28355.625</v>
      </c>
      <c r="AG103" t="str">
        <f ca="1">IF(Table1[[#This Row],[YTM]]&gt;0.12,IF(Table1[[#This Row],[Gross Profit]]&gt;10000,"Invest","Review"),"Low YTM")</f>
        <v>Low YTM</v>
      </c>
    </row>
    <row r="104" spans="1:33" x14ac:dyDescent="0.3">
      <c r="A104" t="str">
        <f>RTD("nest.scriprtd",,"bse_cm|925SCL25","Symbol")</f>
        <v>925SCL25</v>
      </c>
      <c r="B104" t="str">
        <f>RTD("nest.scriprtd",,"bse_cm|925SCL25","Trading Symbol")</f>
        <v>925SCL25</v>
      </c>
      <c r="C104" t="str">
        <f>RTD("nest.scriprtd",,"bse_cm|925SCL25","Exchange")</f>
        <v>BSE</v>
      </c>
      <c r="D104">
        <f>RTD("nest.scriprtd",,"bse_cm|925SCL25","Bid Qty")</f>
        <v>5</v>
      </c>
      <c r="E104">
        <f>RTD("nest.scriprtd",,"bse_cm|925SCL25","Bid Rate")</f>
        <v>967.73</v>
      </c>
      <c r="F104">
        <f>RTD("nest.scriprtd",,"bse_cm|925SCL25","Ask Rate")</f>
        <v>977.34</v>
      </c>
      <c r="G104">
        <f>RTD("nest.scriprtd",,"bse_cm|925SCL25","Ask Qty")</f>
        <v>4</v>
      </c>
      <c r="H104">
        <f>RTD("nest.scriprtd",,"bse_cm|925SCL25","LTP")</f>
        <v>0</v>
      </c>
      <c r="I104" t="str">
        <f>RTD("nest.scriprtd",,"bse_cm|925SCL25","LTT")</f>
        <v>00:00:00</v>
      </c>
      <c r="J104">
        <f>RTD("nest.scriprtd",,"bse_cm|925SCL25","% Change")</f>
        <v>-100</v>
      </c>
      <c r="K104">
        <f>RTD("nest.scriprtd",,"bse_cm|925SCL25","ATP")</f>
        <v>0</v>
      </c>
      <c r="L104">
        <f>RTD("nest.scriprtd",,"bse_cm|925SCL25","Volume Traded Today")</f>
        <v>0</v>
      </c>
      <c r="M104">
        <f>RTD("nest.scriprtd",,"bse_cm|925SCL25","Open")</f>
        <v>0</v>
      </c>
      <c r="N104">
        <f>RTD("nest.scriprtd",,"bse_cm|925SCL25","High")</f>
        <v>1002.45</v>
      </c>
      <c r="O104">
        <f>RTD("nest.scriprtd",,"bse_cm|925SCL25","Low ")</f>
        <v>1002.4</v>
      </c>
      <c r="P104">
        <f>RTD("nest.scriprtd",,"bse_cm|925SCL25","Prev Close")</f>
        <v>1002.4</v>
      </c>
      <c r="Q104">
        <f>RTD("nest.scriprtd",,"bse_cm|925SCL25","Face Value")</f>
        <v>1000</v>
      </c>
      <c r="R104" t="str">
        <f>RTD("nest.scriprtd",,"bse_cm|925SCL25","Isin code")</f>
        <v>INE148I07PA7</v>
      </c>
      <c r="S104" s="9">
        <f>Table1[[#This Row],[Ask Rate]]*Table1[[#This Row],[Ask Qty]]</f>
        <v>3909.36</v>
      </c>
      <c r="T104">
        <f>VLOOKUP(Table1[[#This Row],[Isin code]],Table2[#All],7,FALSE)</f>
        <v>9.25</v>
      </c>
      <c r="U104" s="17" t="str">
        <f>VLOOKUP(Table1[[#This Row],[Isin code]],Table2[#All],8,FALSE)</f>
        <v>26-Sep-2025</v>
      </c>
      <c r="V104" s="10">
        <f ca="1">Table1[[#This Row],[Maturity]]-TODAY()</f>
        <v>345</v>
      </c>
      <c r="W104" t="str">
        <f>VLOOKUP(Table1[[#This Row],[Isin code]],Table2[#All],10,FALSE)</f>
        <v>Monthly</v>
      </c>
      <c r="X104">
        <f ca="1">_xlfn.DAYS(Table1[[#This Row],[Maturity]],TODAY())-15</f>
        <v>330</v>
      </c>
      <c r="Y1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104">
        <f>IF(Table1[[#This Row],[Ask Rate]]=0,0,Table1[[#This Row],[Face Value]]-Table1[[#This Row],[Ask Rate]])</f>
        <v>22.659999999999968</v>
      </c>
      <c r="AA104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04">
        <f ca="1">Table1[[#This Row],[Face Value]]*Table1[[#This Row],[Rate]]*Table1[[#This Row],[Time]]</f>
        <v>84.791666666666671</v>
      </c>
      <c r="AC104">
        <f ca="1">Table1[[#This Row],[SI]]+Table1[[#This Row],[Disc/Prem]]</f>
        <v>107.45166666666664</v>
      </c>
      <c r="AD104" s="3">
        <f ca="1">Table1[[#This Row],[Net Gain]]/Table1[[#This Row],[Ask Rate]]</f>
        <v>0.1099429744681141</v>
      </c>
      <c r="AE104" s="3">
        <f ca="1">IF(Table1[[#This Row],[Ask Qty]]=0,0,Table1[[#This Row],[Gross Yield]]*365/Table1[[#This Row],[Days Left]])</f>
        <v>0.11631648023438158</v>
      </c>
      <c r="AF104" s="9">
        <f ca="1">+Table1[[#This Row],[Net Gain]]*Table1[[#This Row],[Ask Qty]]</f>
        <v>429.80666666666656</v>
      </c>
      <c r="AG104" t="str">
        <f ca="1">IF(Table1[[#This Row],[YTM]]&gt;0.12,IF(Table1[[#This Row],[Gross Profit]]&gt;10000,"Invest","Review"),"Low YTM")</f>
        <v>Low YTM</v>
      </c>
    </row>
    <row r="105" spans="1:33" x14ac:dyDescent="0.3">
      <c r="A105" t="str">
        <f>RTD("nest.scriprtd",,"bse_cm|915MFL25","Symbol")</f>
        <v>915MFL25</v>
      </c>
      <c r="B105" t="str">
        <f>RTD("nest.scriprtd",,"bse_cm|915MFL25","Trading Symbol")</f>
        <v>915MFL25</v>
      </c>
      <c r="C105" t="str">
        <f>RTD("nest.scriprtd",,"bse_cm|915MFL25","Exchange")</f>
        <v>BSE</v>
      </c>
      <c r="D105">
        <f>RTD("nest.scriprtd",,"bse_cm|915MFL25","Bid Qty")</f>
        <v>1</v>
      </c>
      <c r="E105">
        <f>RTD("nest.scriprtd",,"bse_cm|915MFL25","Bid Rate")</f>
        <v>972.23</v>
      </c>
      <c r="F105">
        <f>RTD("nest.scriprtd",,"bse_cm|915MFL25","Ask Rate")</f>
        <v>981</v>
      </c>
      <c r="G105">
        <f>RTD("nest.scriprtd",,"bse_cm|915MFL25","Ask Qty")</f>
        <v>184</v>
      </c>
      <c r="H105">
        <f>RTD("nest.scriprtd",,"bse_cm|915MFL25","LTP")</f>
        <v>971.81</v>
      </c>
      <c r="I105" t="str">
        <f>RTD("nest.scriprtd",,"bse_cm|915MFL25","LTT")</f>
        <v>09:55:26</v>
      </c>
      <c r="J105">
        <f>RTD("nest.scriprtd",,"bse_cm|915MFL25","% Change")</f>
        <v>0.06</v>
      </c>
      <c r="K105">
        <f>RTD("nest.scriprtd",,"bse_cm|915MFL25","ATP")</f>
        <v>971.8</v>
      </c>
      <c r="L105">
        <f>RTD("nest.scriprtd",,"bse_cm|915MFL25","Volume Traded Today")</f>
        <v>32</v>
      </c>
      <c r="M105">
        <f>RTD("nest.scriprtd",,"bse_cm|915MFL25","Open")</f>
        <v>971.8</v>
      </c>
      <c r="N105">
        <f>RTD("nest.scriprtd",,"bse_cm|915MFL25","High")</f>
        <v>974</v>
      </c>
      <c r="O105">
        <f>RTD("nest.scriprtd",,"bse_cm|915MFL25","Low ")</f>
        <v>971.8</v>
      </c>
      <c r="P105">
        <f>RTD("nest.scriprtd",,"bse_cm|915MFL25","Prev Close")</f>
        <v>971.22</v>
      </c>
      <c r="Q105">
        <f>RTD("nest.scriprtd",,"bse_cm|915MFL25","Face Value")</f>
        <v>1000</v>
      </c>
      <c r="R105" t="str">
        <f>RTD("nest.scriprtd",,"bse_cm|915MFL25","Isin code")</f>
        <v>INE549K07824</v>
      </c>
      <c r="S105" s="9">
        <f>Table1[[#This Row],[Ask Rate]]*Table1[[#This Row],[Ask Qty]]</f>
        <v>180504</v>
      </c>
      <c r="T105">
        <f>VLOOKUP(Table1[[#This Row],[Isin code]],Table2[#All],7,FALSE)</f>
        <v>9.15</v>
      </c>
      <c r="U105" s="17" t="str">
        <f>VLOOKUP(Table1[[#This Row],[Isin code]],Table2[#All],8,FALSE)</f>
        <v>29-Oct-2025</v>
      </c>
      <c r="V105" s="10">
        <f ca="1">Table1[[#This Row],[Maturity]]-TODAY()</f>
        <v>378</v>
      </c>
      <c r="W105" t="str">
        <f>VLOOKUP(Table1[[#This Row],[Isin code]],Table2[#All],10,FALSE)</f>
        <v>Monthly</v>
      </c>
      <c r="X105">
        <f ca="1">_xlfn.DAYS(Table1[[#This Row],[Maturity]],TODAY())-15</f>
        <v>363</v>
      </c>
      <c r="Y1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105">
        <f>IF(Table1[[#This Row],[Ask Rate]]=0,0,Table1[[#This Row],[Face Value]]-Table1[[#This Row],[Ask Rate]])</f>
        <v>19</v>
      </c>
      <c r="AA105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105">
        <f ca="1">Table1[[#This Row],[Face Value]]*Table1[[#This Row],[Rate]]*Table1[[#This Row],[Time]]</f>
        <v>99.125000000000014</v>
      </c>
      <c r="AC105">
        <f ca="1">Table1[[#This Row],[SI]]+Table1[[#This Row],[Disc/Prem]]</f>
        <v>118.12500000000001</v>
      </c>
      <c r="AD105" s="3">
        <f ca="1">Table1[[#This Row],[Net Gain]]/Table1[[#This Row],[Ask Rate]]</f>
        <v>0.12041284403669726</v>
      </c>
      <c r="AE105" s="3">
        <f ca="1">IF(Table1[[#This Row],[Ask Qty]]=0,0,Table1[[#This Row],[Gross Yield]]*365/Table1[[#This Row],[Days Left]])</f>
        <v>0.11627166156982673</v>
      </c>
      <c r="AF105" s="9">
        <f ca="1">+Table1[[#This Row],[Net Gain]]*Table1[[#This Row],[Ask Qty]]</f>
        <v>21735.000000000004</v>
      </c>
      <c r="AG105" t="str">
        <f ca="1">IF(Table1[[#This Row],[YTM]]&gt;0.12,IF(Table1[[#This Row],[Gross Profit]]&gt;10000,"Invest","Review"),"Low YTM")</f>
        <v>Low YTM</v>
      </c>
    </row>
    <row r="106" spans="1:33" x14ac:dyDescent="0.3">
      <c r="A106" t="str">
        <f>RTD("nest.scriprtd",,"nse_cm|96IIFL28-N5","Symbol")</f>
        <v>96IIFL28</v>
      </c>
      <c r="B106" t="str">
        <f>RTD("nest.scriprtd",,"nse_cm|96IIFL28-N5","Trading Symbol")</f>
        <v>96IIFL28-N5</v>
      </c>
      <c r="C106" t="str">
        <f>RTD("nest.scriprtd",,"nse_cm|96IIFL28-N5","Exchange")</f>
        <v>NSE</v>
      </c>
      <c r="D106">
        <f>RTD("nest.scriprtd",,"nse_cm|96IIFL28-N5","Bid Qty")</f>
        <v>100</v>
      </c>
      <c r="E106">
        <f>RTD("nest.scriprtd",,"nse_cm|96IIFL28-N5","Bid Rate")</f>
        <v>940</v>
      </c>
      <c r="F106">
        <f>RTD("nest.scriprtd",,"nse_cm|96IIFL28-N5","Ask Rate")</f>
        <v>944.99</v>
      </c>
      <c r="G106">
        <f>RTD("nest.scriprtd",,"nse_cm|96IIFL28-N5","Ask Qty")</f>
        <v>173</v>
      </c>
      <c r="H106">
        <f>RTD("nest.scriprtd",,"nse_cm|96IIFL28-N5","LTP")</f>
        <v>940</v>
      </c>
      <c r="I106" t="str">
        <f>RTD("nest.scriprtd",,"nse_cm|96IIFL28-N5","LTT")</f>
        <v>09:33:08</v>
      </c>
      <c r="J106">
        <f>RTD("nest.scriprtd",,"nse_cm|96IIFL28-N5","% Change")</f>
        <v>-0.69</v>
      </c>
      <c r="K106">
        <f>RTD("nest.scriprtd",,"nse_cm|96IIFL28-N5","ATP")</f>
        <v>946.5</v>
      </c>
      <c r="L106">
        <f>RTD("nest.scriprtd",,"nse_cm|96IIFL28-N5","Volume Traded Today")</f>
        <v>27</v>
      </c>
      <c r="M106">
        <f>RTD("nest.scriprtd",,"nse_cm|96IIFL28-N5","Open")</f>
        <v>946.5</v>
      </c>
      <c r="N106">
        <f>RTD("nest.scriprtd",,"nse_cm|96IIFL28-N5","High")</f>
        <v>946.5</v>
      </c>
      <c r="O106">
        <f>RTD("nest.scriprtd",,"nse_cm|96IIFL28-N5","Low ")</f>
        <v>940</v>
      </c>
      <c r="P106">
        <f>RTD("nest.scriprtd",,"nse_cm|96IIFL28-N5","Prev Close")</f>
        <v>946.5</v>
      </c>
      <c r="Q106">
        <f>RTD("nest.scriprtd",,"nse_cm|96IIFL28-N5","Face Value")</f>
        <v>1000</v>
      </c>
      <c r="R106" t="str">
        <f>RTD("nest.scriprtd",,"nse_cm|96IIFL28-N5","Isin code")</f>
        <v>INE477L08154</v>
      </c>
      <c r="S106" s="9">
        <f>Table1[[#This Row],[Ask Rate]]*Table1[[#This Row],[Ask Qty]]</f>
        <v>163483.26999999999</v>
      </c>
      <c r="T106">
        <f>VLOOKUP(Table1[[#This Row],[Isin code]],Table2[#All],7,FALSE)</f>
        <v>9.6</v>
      </c>
      <c r="U106" s="17" t="str">
        <f>VLOOKUP(Table1[[#This Row],[Isin code]],Table2[#All],8,FALSE)</f>
        <v>03-Nov-2028</v>
      </c>
      <c r="V106" s="10">
        <f ca="1">Table1[[#This Row],[Maturity]]-TODAY()</f>
        <v>1479</v>
      </c>
      <c r="W106" t="str">
        <f>VLOOKUP(Table1[[#This Row],[Isin code]],Table2[#All],10,FALSE)</f>
        <v>Monthly</v>
      </c>
      <c r="X106">
        <f ca="1">_xlfn.DAYS(Table1[[#This Row],[Maturity]],TODAY())-15</f>
        <v>1464</v>
      </c>
      <c r="Y1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49</v>
      </c>
      <c r="Z106">
        <f>IF(Table1[[#This Row],[Ask Rate]]=0,0,Table1[[#This Row],[Face Value]]-Table1[[#This Row],[Ask Rate]])</f>
        <v>55.009999999999991</v>
      </c>
      <c r="AA106">
        <f>IF(Table1[[#This Row],[Freq]]="Yearly",Table1[[#This Row],[Coupon_Rate]]/100,IF(Table1[[#This Row],[Freq]]="Monthly",Table1[[#This Row],[Coupon_Rate]]/1200,IF(Table1[[#This Row],[Freq]]="Quarterly",Table1[[#This Row],[Coupon_Rate]]/400,0)))</f>
        <v>8.0000000000000002E-3</v>
      </c>
      <c r="AB106">
        <f ca="1">Table1[[#This Row],[Face Value]]*Table1[[#This Row],[Rate]]*Table1[[#This Row],[Time]]</f>
        <v>392</v>
      </c>
      <c r="AC106">
        <f ca="1">Table1[[#This Row],[SI]]+Table1[[#This Row],[Disc/Prem]]</f>
        <v>447.01</v>
      </c>
      <c r="AD106" s="3">
        <f ca="1">Table1[[#This Row],[Net Gain]]/Table1[[#This Row],[Ask Rate]]</f>
        <v>0.47303146065037721</v>
      </c>
      <c r="AE106" s="3">
        <f ca="1">IF(Table1[[#This Row],[Ask Qty]]=0,0,Table1[[#This Row],[Gross Yield]]*365/Table1[[#This Row],[Days Left]])</f>
        <v>0.11673866337889634</v>
      </c>
      <c r="AF106" s="9">
        <f ca="1">+Table1[[#This Row],[Net Gain]]*Table1[[#This Row],[Ask Qty]]</f>
        <v>77332.73</v>
      </c>
      <c r="AG106" t="str">
        <f ca="1">IF(Table1[[#This Row],[YTM]]&gt;0.12,IF(Table1[[#This Row],[Gross Profit]]&gt;10000,"Invest","Review"),"Low YTM")</f>
        <v>Low YTM</v>
      </c>
    </row>
    <row r="107" spans="1:33" x14ac:dyDescent="0.3">
      <c r="A107" t="str">
        <f>RTD("nest.scriprtd",,"bse_cm|10KSFL25","Symbol")</f>
        <v>10KSFL25</v>
      </c>
      <c r="B107" t="str">
        <f>RTD("nest.scriprtd",,"bse_cm|10KSFL25","Trading Symbol")</f>
        <v>10KSFL25</v>
      </c>
      <c r="C107" t="str">
        <f>RTD("nest.scriprtd",,"bse_cm|10KSFL25","Exchange")</f>
        <v>BSE</v>
      </c>
      <c r="D107">
        <f>RTD("nest.scriprtd",,"bse_cm|10KSFL25","Bid Qty")</f>
        <v>25</v>
      </c>
      <c r="E107">
        <f>RTD("nest.scriprtd",,"bse_cm|10KSFL25","Bid Rate")</f>
        <v>982.5</v>
      </c>
      <c r="F107">
        <f>RTD("nest.scriprtd",,"bse_cm|10KSFL25","Ask Rate")</f>
        <v>990</v>
      </c>
      <c r="G107">
        <f>RTD("nest.scriprtd",,"bse_cm|10KSFL25","Ask Qty")</f>
        <v>10</v>
      </c>
      <c r="H107">
        <f>RTD("nest.scriprtd",,"bse_cm|10KSFL25","LTP")</f>
        <v>960</v>
      </c>
      <c r="I107" t="str">
        <f>RTD("nest.scriprtd",,"bse_cm|10KSFL25","LTT")</f>
        <v>00:00:00</v>
      </c>
      <c r="J107">
        <f>RTD("nest.scriprtd",,"bse_cm|10KSFL25","% Change")</f>
        <v>-3.03</v>
      </c>
      <c r="K107">
        <f>RTD("nest.scriprtd",,"bse_cm|10KSFL25","ATP")</f>
        <v>0</v>
      </c>
      <c r="L107">
        <f>RTD("nest.scriprtd",,"bse_cm|10KSFL25","Volume Traded Today")</f>
        <v>0</v>
      </c>
      <c r="M107">
        <f>RTD("nest.scriprtd",,"bse_cm|10KSFL25","Open")</f>
        <v>0</v>
      </c>
      <c r="N107">
        <f>RTD("nest.scriprtd",,"bse_cm|10KSFL25","High")</f>
        <v>960</v>
      </c>
      <c r="O107">
        <f>RTD("nest.scriprtd",,"bse_cm|10KSFL25","Low ")</f>
        <v>960</v>
      </c>
      <c r="P107">
        <f>RTD("nest.scriprtd",,"bse_cm|10KSFL25","Prev Close")</f>
        <v>990</v>
      </c>
      <c r="Q107">
        <f>RTD("nest.scriprtd",,"bse_cm|10KSFL25","Face Value")</f>
        <v>1000</v>
      </c>
      <c r="R107" t="str">
        <f>RTD("nest.scriprtd",,"bse_cm|10KSFL25","Isin code")</f>
        <v>INE403Q07CG4</v>
      </c>
      <c r="S107" s="9">
        <f>Table1[[#This Row],[Ask Rate]]*Table1[[#This Row],[Ask Qty]]</f>
        <v>9900</v>
      </c>
      <c r="T107">
        <f>VLOOKUP(Table1[[#This Row],[Isin code]],Table2[#All],7,FALSE)</f>
        <v>10</v>
      </c>
      <c r="U107" s="17" t="str">
        <f>VLOOKUP(Table1[[#This Row],[Isin code]],Table2[#All],8,FALSE)</f>
        <v>29-Mar-2025</v>
      </c>
      <c r="V107" s="10">
        <f ca="1">Table1[[#This Row],[Maturity]]-TODAY()</f>
        <v>164</v>
      </c>
      <c r="W107" t="str">
        <f>VLOOKUP(Table1[[#This Row],[Isin code]],Table2[#All],10,FALSE)</f>
        <v>Monthly</v>
      </c>
      <c r="X107">
        <f ca="1">_xlfn.DAYS(Table1[[#This Row],[Maturity]],TODAY())-15</f>
        <v>149</v>
      </c>
      <c r="Y1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07">
        <f>IF(Table1[[#This Row],[Ask Rate]]=0,0,Table1[[#This Row],[Face Value]]-Table1[[#This Row],[Ask Rate]])</f>
        <v>10</v>
      </c>
      <c r="AA107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07">
        <f ca="1">Table1[[#This Row],[Face Value]]*Table1[[#This Row],[Rate]]*Table1[[#This Row],[Time]]</f>
        <v>41.666666666666671</v>
      </c>
      <c r="AC107">
        <f ca="1">Table1[[#This Row],[SI]]+Table1[[#This Row],[Disc/Prem]]</f>
        <v>51.666666666666671</v>
      </c>
      <c r="AD107" s="3">
        <f ca="1">Table1[[#This Row],[Net Gain]]/Table1[[#This Row],[Ask Rate]]</f>
        <v>5.2188552188552194E-2</v>
      </c>
      <c r="AE107" s="3">
        <f ca="1">IF(Table1[[#This Row],[Ask Qty]]=0,0,Table1[[#This Row],[Gross Yield]]*365/Table1[[#This Row],[Days Left]])</f>
        <v>0.11615135090744848</v>
      </c>
      <c r="AF107" s="9">
        <f ca="1">+Table1[[#This Row],[Net Gain]]*Table1[[#This Row],[Ask Qty]]</f>
        <v>516.66666666666674</v>
      </c>
      <c r="AG107" t="str">
        <f ca="1">IF(Table1[[#This Row],[YTM]]&gt;0.12,IF(Table1[[#This Row],[Gross Profit]]&gt;10000,"Invest","Review"),"Low YTM")</f>
        <v>Low YTM</v>
      </c>
    </row>
    <row r="108" spans="1:33" x14ac:dyDescent="0.3">
      <c r="A108" t="str">
        <f>RTD("nest.scriprtd",,"nse_cm|10IIFL28A-NE","Symbol")</f>
        <v>10IIFL28A</v>
      </c>
      <c r="B108" t="str">
        <f>RTD("nest.scriprtd",,"nse_cm|10IIFL28A-NE","Trading Symbol")</f>
        <v>10IIFL28A-NE</v>
      </c>
      <c r="C108" t="str">
        <f>RTD("nest.scriprtd",,"nse_cm|10IIFL28A-NE","Exchange")</f>
        <v>NSE</v>
      </c>
      <c r="D108">
        <f>RTD("nest.scriprtd",,"nse_cm|10IIFL28A-NE","Bid Qty")</f>
        <v>100</v>
      </c>
      <c r="E108">
        <f>RTD("nest.scriprtd",,"nse_cm|10IIFL28A-NE","Bid Rate")</f>
        <v>975</v>
      </c>
      <c r="F108">
        <f>RTD("nest.scriprtd",,"nse_cm|10IIFL28A-NE","Ask Rate")</f>
        <v>980</v>
      </c>
      <c r="G108">
        <f>RTD("nest.scriprtd",,"nse_cm|10IIFL28A-NE","Ask Qty")</f>
        <v>200</v>
      </c>
      <c r="H108">
        <f>RTD("nest.scriprtd",,"nse_cm|10IIFL28A-NE","LTP")</f>
        <v>975</v>
      </c>
      <c r="I108" t="str">
        <f>RTD("nest.scriprtd",,"nse_cm|10IIFL28A-NE","LTT")</f>
        <v>11:14:40</v>
      </c>
      <c r="J108">
        <f>RTD("nest.scriprtd",,"nse_cm|10IIFL28A-NE","% Change")</f>
        <v>0.21</v>
      </c>
      <c r="K108">
        <f>RTD("nest.scriprtd",,"nse_cm|10IIFL28A-NE","ATP")</f>
        <v>972.1</v>
      </c>
      <c r="L108">
        <f>RTD("nest.scriprtd",,"nse_cm|10IIFL28A-NE","Volume Traded Today")</f>
        <v>400</v>
      </c>
      <c r="M108">
        <f>RTD("nest.scriprtd",,"nse_cm|10IIFL28A-NE","Open")</f>
        <v>969.21</v>
      </c>
      <c r="N108">
        <f>RTD("nest.scriprtd",,"nse_cm|10IIFL28A-NE","High")</f>
        <v>975</v>
      </c>
      <c r="O108">
        <f>RTD("nest.scriprtd",,"nse_cm|10IIFL28A-NE","Low ")</f>
        <v>969.2</v>
      </c>
      <c r="P108">
        <f>RTD("nest.scriprtd",,"nse_cm|10IIFL28A-NE","Prev Close")</f>
        <v>973</v>
      </c>
      <c r="Q108">
        <f>RTD("nest.scriprtd",,"nse_cm|10IIFL28A-NE","Face Value")</f>
        <v>1000</v>
      </c>
      <c r="R108" t="str">
        <f>RTD("nest.scriprtd",,"nse_cm|10IIFL28A-NE","Isin code")</f>
        <v>INE530B08094</v>
      </c>
      <c r="S108" s="9">
        <f>Table1[[#This Row],[Ask Rate]]*Table1[[#This Row],[Ask Qty]]</f>
        <v>196000</v>
      </c>
      <c r="T108">
        <f>VLOOKUP(Table1[[#This Row],[Isin code]],Table2[#All],7,FALSE)</f>
        <v>10</v>
      </c>
      <c r="U108" s="17" t="str">
        <f>VLOOKUP(Table1[[#This Row],[Isin code]],Table2[#All],8,FALSE)</f>
        <v>24-Jun-2028</v>
      </c>
      <c r="V108" s="10">
        <f ca="1">Table1[[#This Row],[Maturity]]-TODAY()</f>
        <v>1347</v>
      </c>
      <c r="W108" t="str">
        <f>VLOOKUP(Table1[[#This Row],[Isin code]],Table2[#All],10,FALSE)</f>
        <v>Yearly</v>
      </c>
      <c r="X108">
        <f ca="1">_xlfn.DAYS(Table1[[#This Row],[Maturity]],TODAY())-15</f>
        <v>1332</v>
      </c>
      <c r="Y1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08">
        <f>IF(Table1[[#This Row],[Ask Rate]]=0,0,Table1[[#This Row],[Face Value]]-Table1[[#This Row],[Ask Rate]])</f>
        <v>20</v>
      </c>
      <c r="AA108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108">
        <f ca="1">Table1[[#This Row],[Face Value]]*Table1[[#This Row],[Rate]]*Table1[[#This Row],[Time]]</f>
        <v>400</v>
      </c>
      <c r="AC108">
        <f ca="1">Table1[[#This Row],[SI]]+Table1[[#This Row],[Disc/Prem]]</f>
        <v>420</v>
      </c>
      <c r="AD108" s="3">
        <f ca="1">Table1[[#This Row],[Net Gain]]/Table1[[#This Row],[Ask Rate]]</f>
        <v>0.42857142857142855</v>
      </c>
      <c r="AE108" s="3">
        <f ca="1">IF(Table1[[#This Row],[Ask Qty]]=0,0,Table1[[#This Row],[Gross Yield]]*365/Table1[[#This Row],[Days Left]])</f>
        <v>0.11613108495068405</v>
      </c>
      <c r="AF108" s="9">
        <f ca="1">+Table1[[#This Row],[Net Gain]]*Table1[[#This Row],[Ask Qty]]</f>
        <v>84000</v>
      </c>
      <c r="AG108" t="str">
        <f ca="1">IF(Table1[[#This Row],[YTM]]&gt;0.12,IF(Table1[[#This Row],[Gross Profit]]&gt;10000,"Invest","Review"),"Low YTM")</f>
        <v>Low YTM</v>
      </c>
    </row>
    <row r="109" spans="1:33" x14ac:dyDescent="0.3">
      <c r="A109" t="str">
        <f>RTD("nest.scriprtd",,"bse_cm|895EFSL26","Symbol")</f>
        <v>895EFSL26</v>
      </c>
      <c r="B109" t="str">
        <f>RTD("nest.scriprtd",,"bse_cm|895EFSL26","Trading Symbol")</f>
        <v>895EFSL26</v>
      </c>
      <c r="C109" t="str">
        <f>RTD("nest.scriprtd",,"bse_cm|895EFSL26","Exchange")</f>
        <v>BSE</v>
      </c>
      <c r="D109">
        <f>RTD("nest.scriprtd",,"bse_cm|895EFSL26","Bid Qty")</f>
        <v>25</v>
      </c>
      <c r="E109">
        <f>RTD("nest.scriprtd",,"bse_cm|895EFSL26","Bid Rate")</f>
        <v>1017</v>
      </c>
      <c r="F109">
        <f>RTD("nest.scriprtd",,"bse_cm|895EFSL26","Ask Rate")</f>
        <v>1025.8</v>
      </c>
      <c r="G109">
        <f>RTD("nest.scriprtd",,"bse_cm|895EFSL26","Ask Qty")</f>
        <v>45</v>
      </c>
      <c r="H109">
        <f>RTD("nest.scriprtd",,"bse_cm|895EFSL26","LTP")</f>
        <v>0</v>
      </c>
      <c r="I109" t="str">
        <f>RTD("nest.scriprtd",,"bse_cm|895EFSL26","LTT")</f>
        <v>00:00:00</v>
      </c>
      <c r="J109">
        <f>RTD("nest.scriprtd",,"bse_cm|895EFSL26","% Change")</f>
        <v>-100</v>
      </c>
      <c r="K109">
        <f>RTD("nest.scriprtd",,"bse_cm|895EFSL26","ATP")</f>
        <v>0</v>
      </c>
      <c r="L109">
        <f>RTD("nest.scriprtd",,"bse_cm|895EFSL26","Volume Traded Today")</f>
        <v>0</v>
      </c>
      <c r="M109">
        <f>RTD("nest.scriprtd",,"bse_cm|895EFSL26","Open")</f>
        <v>0</v>
      </c>
      <c r="N109">
        <f>RTD("nest.scriprtd",,"bse_cm|895EFSL26","High")</f>
        <v>1016.87</v>
      </c>
      <c r="O109">
        <f>RTD("nest.scriprtd",,"bse_cm|895EFSL26","Low ")</f>
        <v>1005.2</v>
      </c>
      <c r="P109">
        <f>RTD("nest.scriprtd",,"bse_cm|895EFSL26","Prev Close")</f>
        <v>1005.2</v>
      </c>
      <c r="Q109">
        <f>RTD("nest.scriprtd",,"bse_cm|895EFSL26","Face Value")</f>
        <v>1000</v>
      </c>
      <c r="R109" t="str">
        <f>RTD("nest.scriprtd",,"bse_cm|895EFSL26","Isin code")</f>
        <v>INE532F07ET2</v>
      </c>
      <c r="S109" s="9">
        <f>Table1[[#This Row],[Ask Rate]]*Table1[[#This Row],[Ask Qty]]</f>
        <v>46161</v>
      </c>
      <c r="T109">
        <f>VLOOKUP(Table1[[#This Row],[Isin code]],Table2[#All],7,FALSE)</f>
        <v>8.9499999999999993</v>
      </c>
      <c r="U109" s="17" t="str">
        <f>VLOOKUP(Table1[[#This Row],[Isin code]],Table2[#All],8,FALSE)</f>
        <v>29-Jan-2026</v>
      </c>
      <c r="V109" s="10">
        <f ca="1">Table1[[#This Row],[Maturity]]-TODAY()</f>
        <v>470</v>
      </c>
      <c r="W109" t="str">
        <f>VLOOKUP(Table1[[#This Row],[Isin code]],Table2[#All],10,FALSE)</f>
        <v>Yearly</v>
      </c>
      <c r="X109">
        <f ca="1">_xlfn.DAYS(Table1[[#This Row],[Maturity]],TODAY())-15</f>
        <v>455</v>
      </c>
      <c r="Y1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09">
        <f>IF(Table1[[#This Row],[Ask Rate]]=0,0,Table1[[#This Row],[Face Value]]-Table1[[#This Row],[Ask Rate]])</f>
        <v>-25.799999999999955</v>
      </c>
      <c r="AA109">
        <f>IF(Table1[[#This Row],[Freq]]="Yearly",Table1[[#This Row],[Coupon_Rate]]/100,IF(Table1[[#This Row],[Freq]]="Monthly",Table1[[#This Row],[Coupon_Rate]]/1200,IF(Table1[[#This Row],[Freq]]="Quarterly",Table1[[#This Row],[Coupon_Rate]]/400,0)))</f>
        <v>8.9499999999999996E-2</v>
      </c>
      <c r="AB109">
        <f ca="1">Table1[[#This Row],[Face Value]]*Table1[[#This Row],[Rate]]*Table1[[#This Row],[Time]]</f>
        <v>179</v>
      </c>
      <c r="AC109">
        <f ca="1">Table1[[#This Row],[SI]]+Table1[[#This Row],[Disc/Prem]]</f>
        <v>153.20000000000005</v>
      </c>
      <c r="AD109" s="3">
        <f ca="1">Table1[[#This Row],[Net Gain]]/Table1[[#This Row],[Ask Rate]]</f>
        <v>0.14934685123805816</v>
      </c>
      <c r="AE109" s="3">
        <f ca="1">IF(Table1[[#This Row],[Ask Qty]]=0,0,Table1[[#This Row],[Gross Yield]]*365/Table1[[#This Row],[Days Left]])</f>
        <v>0.11598212915296005</v>
      </c>
      <c r="AF109" s="9">
        <f ca="1">+Table1[[#This Row],[Net Gain]]*Table1[[#This Row],[Ask Qty]]</f>
        <v>6894.0000000000018</v>
      </c>
      <c r="AG109" t="str">
        <f ca="1">IF(Table1[[#This Row],[YTM]]&gt;0.12,IF(Table1[[#This Row],[Gross Profit]]&gt;10000,"Invest","Review"),"Low YTM")</f>
        <v>Low YTM</v>
      </c>
    </row>
    <row r="110" spans="1:33" hidden="1" x14ac:dyDescent="0.3">
      <c r="A110" t="str">
        <f>RTD("nest.scriprtd",,"nse_cm|85IIFL25-NO","Symbol")</f>
        <v>85IIFL25</v>
      </c>
      <c r="B110" t="str">
        <f>RTD("nest.scriprtd",,"nse_cm|85IIFL25-NO","Trading Symbol")</f>
        <v>85IIFL25-NO</v>
      </c>
      <c r="C110" t="str">
        <f>RTD("nest.scriprtd",,"nse_cm|85IIFL25-NO","Exchange")</f>
        <v>NSE</v>
      </c>
      <c r="D110">
        <f>RTD("nest.scriprtd",,"nse_cm|85IIFL25-NO","Bid Qty")</f>
        <v>170</v>
      </c>
      <c r="E110">
        <f>RTD("nest.scriprtd",,"nse_cm|85IIFL25-NO","Bid Rate")</f>
        <v>1042.2</v>
      </c>
      <c r="F110">
        <f>RTD("nest.scriprtd",,"nse_cm|85IIFL25-NO","Ask Rate")</f>
        <v>1051.8</v>
      </c>
      <c r="G110">
        <f>RTD("nest.scriprtd",,"nse_cm|85IIFL25-NO","Ask Qty")</f>
        <v>75</v>
      </c>
      <c r="H110">
        <f>RTD("nest.scriprtd",,"nse_cm|85IIFL25-NO","LTP")</f>
        <v>1051.8</v>
      </c>
      <c r="I110" t="str">
        <f>RTD("nest.scriprtd",,"nse_cm|85IIFL25-NO","LTT")</f>
        <v/>
      </c>
      <c r="J110">
        <f>RTD("nest.scriprtd",,"nse_cm|85IIFL25-NO","% Change")</f>
        <v>0</v>
      </c>
      <c r="K110">
        <f>RTD("nest.scriprtd",,"nse_cm|85IIFL25-NO","ATP")</f>
        <v>0</v>
      </c>
      <c r="L110">
        <f>RTD("nest.scriprtd",,"nse_cm|85IIFL25-NO","Volume Traded Today")</f>
        <v>0</v>
      </c>
      <c r="M110">
        <f>RTD("nest.scriprtd",,"nse_cm|85IIFL25-NO","Open")</f>
        <v>0</v>
      </c>
      <c r="N110">
        <f>RTD("nest.scriprtd",,"nse_cm|85IIFL25-NO","High")</f>
        <v>1051.8</v>
      </c>
      <c r="O110">
        <f>RTD("nest.scriprtd",,"nse_cm|85IIFL25-NO","Low ")</f>
        <v>1051.8</v>
      </c>
      <c r="P110">
        <f>RTD("nest.scriprtd",,"nse_cm|85IIFL25-NO","Prev Close")</f>
        <v>1051.8</v>
      </c>
      <c r="Q110">
        <f>RTD("nest.scriprtd",,"nse_cm|85IIFL25-NO","Face Value")</f>
        <v>1000</v>
      </c>
      <c r="R110" t="str">
        <f>RTD("nest.scriprtd",,"nse_cm|85IIFL25-NO","Isin code")</f>
        <v>INE530B07252</v>
      </c>
      <c r="S110" s="9">
        <f>Table1[[#This Row],[Ask Rate]]*Table1[[#This Row],[Ask Qty]]</f>
        <v>78885</v>
      </c>
      <c r="T110">
        <f>VLOOKUP(Table1[[#This Row],[Isin code]],Table2[#All],7,FALSE)</f>
        <v>8.5</v>
      </c>
      <c r="U110" s="17" t="str">
        <f>VLOOKUP(Table1[[#This Row],[Isin code]],Table2[#All],8,FALSE)</f>
        <v>24-Jan-2025</v>
      </c>
      <c r="V110" s="10">
        <f ca="1">Table1[[#This Row],[Maturity]]-TODAY()</f>
        <v>100</v>
      </c>
      <c r="W110" t="str">
        <f>VLOOKUP(Table1[[#This Row],[Isin code]],Table2[#All],10,FALSE)</f>
        <v>Yearly</v>
      </c>
      <c r="X110">
        <f ca="1">_xlfn.DAYS(Table1[[#This Row],[Maturity]],TODAY())-15</f>
        <v>85</v>
      </c>
      <c r="Y1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0">
        <f>IF(Table1[[#This Row],[Ask Rate]]=0,0,Table1[[#This Row],[Face Value]]-Table1[[#This Row],[Ask Rate]])</f>
        <v>-51.799999999999955</v>
      </c>
      <c r="AA110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110">
        <f ca="1">Table1[[#This Row],[Face Value]]*Table1[[#This Row],[Rate]]*Table1[[#This Row],[Time]]</f>
        <v>85</v>
      </c>
      <c r="AC110">
        <f ca="1">Table1[[#This Row],[SI]]+Table1[[#This Row],[Disc/Prem]]</f>
        <v>33.200000000000045</v>
      </c>
      <c r="AD110" s="3">
        <f ca="1">Table1[[#This Row],[Net Gain]]/Table1[[#This Row],[Ask Rate]]</f>
        <v>3.1564936299676792E-2</v>
      </c>
      <c r="AE110" s="3">
        <f ca="1">IF(Table1[[#This Row],[Ask Qty]]=0,0,Table1[[#This Row],[Gross Yield]]*365/Table1[[#This Row],[Days Left]])</f>
        <v>0.1152120174938203</v>
      </c>
      <c r="AF110" s="9">
        <f ca="1">+Table1[[#This Row],[Net Gain]]*Table1[[#This Row],[Ask Qty]]</f>
        <v>2490.0000000000036</v>
      </c>
      <c r="AG110" t="str">
        <f ca="1">IF(Table1[[#This Row],[YTM]]&gt;0.12,IF(Table1[[#This Row],[Gross Profit]]&gt;10000,"Invest","Review"),"Low YTM")</f>
        <v>Low YTM</v>
      </c>
    </row>
    <row r="111" spans="1:33" x14ac:dyDescent="0.3">
      <c r="A111" t="str">
        <f>RTD("nest.scriprtd",,"bse_cm|865MF25","Symbol")</f>
        <v>865MF25</v>
      </c>
      <c r="B111" t="str">
        <f>RTD("nest.scriprtd",,"bse_cm|865MF25","Trading Symbol")</f>
        <v>865MF25</v>
      </c>
      <c r="C111" t="str">
        <f>RTD("nest.scriprtd",,"bse_cm|865MF25","Exchange")</f>
        <v>BSE</v>
      </c>
      <c r="D111">
        <f>RTD("nest.scriprtd",,"bse_cm|865MF25","Bid Qty")</f>
        <v>190</v>
      </c>
      <c r="E111">
        <f>RTD("nest.scriprtd",,"bse_cm|865MF25","Bid Rate")</f>
        <v>963.2</v>
      </c>
      <c r="F111">
        <f>RTD("nest.scriprtd",,"bse_cm|865MF25","Ask Rate")</f>
        <v>975.8</v>
      </c>
      <c r="G111">
        <f>RTD("nest.scriprtd",,"bse_cm|865MF25","Ask Qty")</f>
        <v>88</v>
      </c>
      <c r="H111">
        <f>RTD("nest.scriprtd",,"bse_cm|865MF25","LTP")</f>
        <v>0</v>
      </c>
      <c r="I111" t="str">
        <f>RTD("nest.scriprtd",,"bse_cm|865MF25","LTT")</f>
        <v>00:00:00</v>
      </c>
      <c r="J111">
        <f>RTD("nest.scriprtd",,"bse_cm|865MF25","% Change")</f>
        <v>-100</v>
      </c>
      <c r="K111">
        <f>RTD("nest.scriprtd",,"bse_cm|865MF25","ATP")</f>
        <v>0</v>
      </c>
      <c r="L111">
        <f>RTD("nest.scriprtd",,"bse_cm|865MF25","Volume Traded Today")</f>
        <v>0</v>
      </c>
      <c r="M111">
        <f>RTD("nest.scriprtd",,"bse_cm|865MF25","Open")</f>
        <v>0</v>
      </c>
      <c r="N111">
        <f>RTD("nest.scriprtd",,"bse_cm|865MF25","High")</f>
        <v>973</v>
      </c>
      <c r="O111">
        <f>RTD("nest.scriprtd",,"bse_cm|865MF25","Low ")</f>
        <v>963.5</v>
      </c>
      <c r="P111">
        <f>RTD("nest.scriprtd",,"bse_cm|865MF25","Prev Close")</f>
        <v>973</v>
      </c>
      <c r="Q111">
        <f>RTD("nest.scriprtd",,"bse_cm|865MF25","Face Value")</f>
        <v>1000</v>
      </c>
      <c r="R111" t="str">
        <f>RTD("nest.scriprtd",,"bse_cm|865MF25","Isin code")</f>
        <v>INE549K07CR4</v>
      </c>
      <c r="S111" s="9">
        <f>Table1[[#This Row],[Ask Rate]]*Table1[[#This Row],[Ask Qty]]</f>
        <v>85870.399999999994</v>
      </c>
      <c r="T111">
        <f>VLOOKUP(Table1[[#This Row],[Isin code]],Table2[#All],7,FALSE)</f>
        <v>8.6499999999999986</v>
      </c>
      <c r="U111" s="17" t="str">
        <f>VLOOKUP(Table1[[#This Row],[Isin code]],Table2[#All],8,FALSE)</f>
        <v>01-Nov-2025</v>
      </c>
      <c r="V111" s="10">
        <f ca="1">Table1[[#This Row],[Maturity]]-TODAY()</f>
        <v>381</v>
      </c>
      <c r="W111" t="str">
        <f>VLOOKUP(Table1[[#This Row],[Isin code]],Table2[#All],10,FALSE)</f>
        <v>Monthly</v>
      </c>
      <c r="X111">
        <f ca="1">_xlfn.DAYS(Table1[[#This Row],[Maturity]],TODAY())-15</f>
        <v>366</v>
      </c>
      <c r="Y1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111">
        <f>IF(Table1[[#This Row],[Ask Rate]]=0,0,Table1[[#This Row],[Face Value]]-Table1[[#This Row],[Ask Rate]])</f>
        <v>24.200000000000045</v>
      </c>
      <c r="AA111">
        <f>IF(Table1[[#This Row],[Freq]]="Yearly",Table1[[#This Row],[Coupon_Rate]]/100,IF(Table1[[#This Row],[Freq]]="Monthly",Table1[[#This Row],[Coupon_Rate]]/1200,IF(Table1[[#This Row],[Freq]]="Quarterly",Table1[[#This Row],[Coupon_Rate]]/400,0)))</f>
        <v>7.2083333333333322E-3</v>
      </c>
      <c r="AB111">
        <f ca="1">Table1[[#This Row],[Face Value]]*Table1[[#This Row],[Rate]]*Table1[[#This Row],[Time]]</f>
        <v>93.708333333333314</v>
      </c>
      <c r="AC111">
        <f ca="1">Table1[[#This Row],[SI]]+Table1[[#This Row],[Disc/Prem]]</f>
        <v>117.90833333333336</v>
      </c>
      <c r="AD111" s="3">
        <f ca="1">Table1[[#This Row],[Net Gain]]/Table1[[#This Row],[Ask Rate]]</f>
        <v>0.12083247933319673</v>
      </c>
      <c r="AE111" s="3">
        <f ca="1">IF(Table1[[#This Row],[Ask Qty]]=0,0,Table1[[#This Row],[Gross Yield]]*365/Table1[[#This Row],[Days Left]])</f>
        <v>0.11575814949243257</v>
      </c>
      <c r="AF111" s="9">
        <f ca="1">+Table1[[#This Row],[Net Gain]]*Table1[[#This Row],[Ask Qty]]</f>
        <v>10375.933333333336</v>
      </c>
      <c r="AG111" t="str">
        <f ca="1">IF(Table1[[#This Row],[YTM]]&gt;0.12,IF(Table1[[#This Row],[Gross Profit]]&gt;10000,"Invest","Review"),"Low YTM")</f>
        <v>Low YTM</v>
      </c>
    </row>
    <row r="112" spans="1:33" x14ac:dyDescent="0.3">
      <c r="A112" t="str">
        <f>RTD("nest.scriprtd",,"bse_cm|10EFS33","Symbol")</f>
        <v>10EFS33</v>
      </c>
      <c r="B112" t="str">
        <f>RTD("nest.scriprtd",,"bse_cm|10EFS33","Trading Symbol")</f>
        <v>10EFS33</v>
      </c>
      <c r="C112" t="str">
        <f>RTD("nest.scriprtd",,"bse_cm|10EFS33","Exchange")</f>
        <v>BSE</v>
      </c>
      <c r="D112">
        <f>RTD("nest.scriprtd",,"bse_cm|10EFS33","Bid Qty")</f>
        <v>50</v>
      </c>
      <c r="E112">
        <f>RTD("nest.scriprtd",,"bse_cm|10EFS33","Bid Rate")</f>
        <v>921.53</v>
      </c>
      <c r="F112">
        <f>RTD("nest.scriprtd",,"bse_cm|10EFS33","Ask Rate")</f>
        <v>940</v>
      </c>
      <c r="G112">
        <f>RTD("nest.scriprtd",,"bse_cm|10EFS33","Ask Qty")</f>
        <v>20</v>
      </c>
      <c r="H112">
        <f>RTD("nest.scriprtd",,"bse_cm|10EFS33","LTP")</f>
        <v>921</v>
      </c>
      <c r="I112" t="str">
        <f>RTD("nest.scriprtd",,"bse_cm|10EFS33","LTT")</f>
        <v>09:38:08</v>
      </c>
      <c r="J112">
        <f>RTD("nest.scriprtd",,"bse_cm|10EFS33","% Change")</f>
        <v>-5.73</v>
      </c>
      <c r="K112">
        <f>RTD("nest.scriprtd",,"bse_cm|10EFS33","ATP")</f>
        <v>905</v>
      </c>
      <c r="L112">
        <f>RTD("nest.scriprtd",,"bse_cm|10EFS33","Volume Traded Today")</f>
        <v>34</v>
      </c>
      <c r="M112">
        <f>RTD("nest.scriprtd",,"bse_cm|10EFS33","Open")</f>
        <v>905</v>
      </c>
      <c r="N112">
        <f>RTD("nest.scriprtd",,"bse_cm|10EFS33","High")</f>
        <v>960</v>
      </c>
      <c r="O112">
        <f>RTD("nest.scriprtd",,"bse_cm|10EFS33","Low ")</f>
        <v>905</v>
      </c>
      <c r="P112">
        <f>RTD("nest.scriprtd",,"bse_cm|10EFS33","Prev Close")</f>
        <v>977</v>
      </c>
      <c r="Q112">
        <f>RTD("nest.scriprtd",,"bse_cm|10EFS33","Face Value")</f>
        <v>1000</v>
      </c>
      <c r="R112" t="str">
        <f>RTD("nest.scriprtd",,"bse_cm|10EFS33","Isin code")</f>
        <v>INE532F07EI5</v>
      </c>
      <c r="S112" s="9">
        <f>Table1[[#This Row],[Ask Rate]]*Table1[[#This Row],[Ask Qty]]</f>
        <v>18800</v>
      </c>
      <c r="T112">
        <f>VLOOKUP(Table1[[#This Row],[Isin code]],Table2[#All],7,FALSE)</f>
        <v>10</v>
      </c>
      <c r="U112" s="17" t="str">
        <f>VLOOKUP(Table1[[#This Row],[Isin code]],Table2[#All],8,FALSE)</f>
        <v>21-Jul-2033</v>
      </c>
      <c r="V112" s="10">
        <f ca="1">Table1[[#This Row],[Maturity]]-TODAY()</f>
        <v>3200</v>
      </c>
      <c r="W112" t="str">
        <f>VLOOKUP(Table1[[#This Row],[Isin code]],Table2[#All],10,FALSE)</f>
        <v>Monthly</v>
      </c>
      <c r="X112">
        <f ca="1">_xlfn.DAYS(Table1[[#This Row],[Maturity]],TODAY())-15</f>
        <v>3185</v>
      </c>
      <c r="Y1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107</v>
      </c>
      <c r="Z112">
        <f>IF(Table1[[#This Row],[Ask Rate]]=0,0,Table1[[#This Row],[Face Value]]-Table1[[#This Row],[Ask Rate]])</f>
        <v>60</v>
      </c>
      <c r="AA112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12">
        <f ca="1">Table1[[#This Row],[Face Value]]*Table1[[#This Row],[Rate]]*Table1[[#This Row],[Time]]</f>
        <v>891.66666666666674</v>
      </c>
      <c r="AC112">
        <f ca="1">Table1[[#This Row],[SI]]+Table1[[#This Row],[Disc/Prem]]</f>
        <v>951.66666666666674</v>
      </c>
      <c r="AD112" s="3">
        <f ca="1">Table1[[#This Row],[Net Gain]]/Table1[[#This Row],[Ask Rate]]</f>
        <v>1.0124113475177305</v>
      </c>
      <c r="AE112" s="3">
        <f ca="1">IF(Table1[[#This Row],[Ask Qty]]=0,0,Table1[[#This Row],[Gross Yield]]*365/Table1[[#This Row],[Days Left]])</f>
        <v>0.11547816932624114</v>
      </c>
      <c r="AF112" s="9">
        <f ca="1">+Table1[[#This Row],[Net Gain]]*Table1[[#This Row],[Ask Qty]]</f>
        <v>19033.333333333336</v>
      </c>
      <c r="AG112" t="str">
        <f ca="1">IF(Table1[[#This Row],[YTM]]&gt;0.12,IF(Table1[[#This Row],[Gross Profit]]&gt;10000,"Invest","Review"),"Low YTM")</f>
        <v>Low YTM</v>
      </c>
    </row>
    <row r="113" spans="1:33" x14ac:dyDescent="0.3">
      <c r="A113" t="str">
        <f>RTD("nest.scriprtd",,"nse_cm|925SCFL27-YA","Symbol")</f>
        <v>925SCFL27</v>
      </c>
      <c r="B113" t="str">
        <f>RTD("nest.scriprtd",,"nse_cm|925SCFL27-YA","Trading Symbol")</f>
        <v>925SCFL27-YA</v>
      </c>
      <c r="C113" t="str">
        <f>RTD("nest.scriprtd",,"nse_cm|925SCFL27-YA","Exchange")</f>
        <v>NSE</v>
      </c>
      <c r="D113">
        <f>RTD("nest.scriprtd",,"nse_cm|925SCFL27-YA","Bid Qty")</f>
        <v>2</v>
      </c>
      <c r="E113">
        <f>RTD("nest.scriprtd",,"nse_cm|925SCFL27-YA","Bid Rate")</f>
        <v>950</v>
      </c>
      <c r="F113">
        <f>RTD("nest.scriprtd",,"nse_cm|925SCFL27-YA","Ask Rate")</f>
        <v>1016.55</v>
      </c>
      <c r="G113">
        <f>RTD("nest.scriprtd",,"nse_cm|925SCFL27-YA","Ask Qty")</f>
        <v>10</v>
      </c>
      <c r="H113">
        <f>RTD("nest.scriprtd",,"nse_cm|925SCFL27-YA","LTP")</f>
        <v>985</v>
      </c>
      <c r="I113" t="str">
        <f>RTD("nest.scriprtd",,"nse_cm|925SCFL27-YA","LTT")</f>
        <v/>
      </c>
      <c r="J113">
        <f>RTD("nest.scriprtd",,"nse_cm|925SCFL27-YA","% Change")</f>
        <v>0</v>
      </c>
      <c r="K113">
        <f>RTD("nest.scriprtd",,"nse_cm|925SCFL27-YA","ATP")</f>
        <v>0</v>
      </c>
      <c r="L113">
        <f>RTD("nest.scriprtd",,"nse_cm|925SCFL27-YA","Volume Traded Today")</f>
        <v>0</v>
      </c>
      <c r="M113">
        <f>RTD("nest.scriprtd",,"nse_cm|925SCFL27-YA","Open")</f>
        <v>0</v>
      </c>
      <c r="N113">
        <f>RTD("nest.scriprtd",,"nse_cm|925SCFL27-YA","High")</f>
        <v>989.25</v>
      </c>
      <c r="O113">
        <f>RTD("nest.scriprtd",,"nse_cm|925SCFL27-YA","Low ")</f>
        <v>985</v>
      </c>
      <c r="P113">
        <f>RTD("nest.scriprtd",,"nse_cm|925SCFL27-YA","Prev Close")</f>
        <v>985</v>
      </c>
      <c r="Q113">
        <f>RTD("nest.scriprtd",,"nse_cm|925SCFL27-YA","Face Value")</f>
        <v>1000</v>
      </c>
      <c r="R113" t="str">
        <f>RTD("nest.scriprtd",,"nse_cm|925SCFL27-YA","Isin code")</f>
        <v>INE148I07LC2</v>
      </c>
      <c r="S113" s="9">
        <f>Table1[[#This Row],[Ask Rate]]*Table1[[#This Row],[Ask Qty]]</f>
        <v>10165.5</v>
      </c>
      <c r="T113">
        <f>VLOOKUP(Table1[[#This Row],[Isin code]],Table2[#All],7,FALSE)</f>
        <v>9.25</v>
      </c>
      <c r="U113" s="17" t="str">
        <f>VLOOKUP(Table1[[#This Row],[Isin code]],Table2[#All],8,FALSE)</f>
        <v>06-Jan-2027</v>
      </c>
      <c r="V113" s="10">
        <f ca="1">Table1[[#This Row],[Maturity]]-TODAY()</f>
        <v>812</v>
      </c>
      <c r="W113" t="str">
        <f>VLOOKUP(Table1[[#This Row],[Isin code]],Table2[#All],10,FALSE)</f>
        <v>Yearly</v>
      </c>
      <c r="X113">
        <f ca="1">_xlfn.DAYS(Table1[[#This Row],[Maturity]],TODAY())-15</f>
        <v>797</v>
      </c>
      <c r="Y1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3">
        <f>IF(Table1[[#This Row],[Ask Rate]]=0,0,Table1[[#This Row],[Face Value]]-Table1[[#This Row],[Ask Rate]])</f>
        <v>-16.549999999999955</v>
      </c>
      <c r="AA113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113">
        <f ca="1">Table1[[#This Row],[Face Value]]*Table1[[#This Row],[Rate]]*Table1[[#This Row],[Time]]</f>
        <v>277.5</v>
      </c>
      <c r="AC113">
        <f ca="1">Table1[[#This Row],[SI]]+Table1[[#This Row],[Disc/Prem]]</f>
        <v>260.95000000000005</v>
      </c>
      <c r="AD113" s="3">
        <f ca="1">Table1[[#This Row],[Net Gain]]/Table1[[#This Row],[Ask Rate]]</f>
        <v>0.25670158870690085</v>
      </c>
      <c r="AE113" s="3">
        <f ca="1">IF(Table1[[#This Row],[Ask Qty]]=0,0,Table1[[#This Row],[Gross Yield]]*365/Table1[[#This Row],[Days Left]])</f>
        <v>0.1153892609335207</v>
      </c>
      <c r="AF113" s="9">
        <f ca="1">+Table1[[#This Row],[Net Gain]]*Table1[[#This Row],[Ask Qty]]</f>
        <v>2609.5000000000005</v>
      </c>
      <c r="AG113" t="str">
        <f ca="1">IF(Table1[[#This Row],[YTM]]&gt;0.12,IF(Table1[[#This Row],[Gross Profit]]&gt;10000,"Invest","Review"),"Low YTM")</f>
        <v>Low YTM</v>
      </c>
    </row>
    <row r="114" spans="1:33" x14ac:dyDescent="0.3">
      <c r="A114" t="str">
        <f>RTD("nest.scriprtd",,"nse_cm|985IIFL22-NC","Symbol")</f>
        <v>985IIFL22</v>
      </c>
      <c r="B114" t="str">
        <f>RTD("nest.scriprtd",,"nse_cm|985IIFL22-NC","Trading Symbol")</f>
        <v>985IIFL22-NC</v>
      </c>
      <c r="C114" t="str">
        <f>RTD("nest.scriprtd",,"nse_cm|985IIFL22-NC","Exchange")</f>
        <v>NSE</v>
      </c>
      <c r="D114">
        <f>RTD("nest.scriprtd",,"nse_cm|985IIFL22-NC","Bid Qty")</f>
        <v>100</v>
      </c>
      <c r="E114">
        <f>RTD("nest.scriprtd",,"nse_cm|985IIFL22-NC","Bid Rate")</f>
        <v>984</v>
      </c>
      <c r="F114">
        <f>RTD("nest.scriprtd",,"nse_cm|985IIFL22-NC","Ask Rate")</f>
        <v>993.7</v>
      </c>
      <c r="G114">
        <f>RTD("nest.scriprtd",,"nse_cm|985IIFL22-NC","Ask Qty")</f>
        <v>10</v>
      </c>
      <c r="H114">
        <f>RTD("nest.scriprtd",,"nse_cm|985IIFL22-NC","LTP")</f>
        <v>994</v>
      </c>
      <c r="I114" t="str">
        <f>RTD("nest.scriprtd",,"nse_cm|985IIFL22-NC","LTT")</f>
        <v/>
      </c>
      <c r="J114">
        <f>RTD("nest.scriprtd",,"nse_cm|985IIFL22-NC","% Change")</f>
        <v>0</v>
      </c>
      <c r="K114">
        <f>RTD("nest.scriprtd",,"nse_cm|985IIFL22-NC","ATP")</f>
        <v>0</v>
      </c>
      <c r="L114">
        <f>RTD("nest.scriprtd",,"nse_cm|985IIFL22-NC","Volume Traded Today")</f>
        <v>0</v>
      </c>
      <c r="M114">
        <f>RTD("nest.scriprtd",,"nse_cm|985IIFL22-NC","Open")</f>
        <v>0</v>
      </c>
      <c r="N114">
        <f>RTD("nest.scriprtd",,"nse_cm|985IIFL22-NC","High")</f>
        <v>994</v>
      </c>
      <c r="O114">
        <f>RTD("nest.scriprtd",,"nse_cm|985IIFL22-NC","Low ")</f>
        <v>985</v>
      </c>
      <c r="P114">
        <f>RTD("nest.scriprtd",,"nse_cm|985IIFL22-NC","Prev Close")</f>
        <v>994</v>
      </c>
      <c r="Q114">
        <f>RTD("nest.scriprtd",,"nse_cm|985IIFL22-NC","Face Value")</f>
        <v>1000</v>
      </c>
      <c r="R114" t="str">
        <f>RTD("nest.scriprtd",,"nse_cm|985IIFL22-NC","Isin code")</f>
        <v>INE866I08303</v>
      </c>
      <c r="S114" s="9">
        <f>Table1[[#This Row],[Ask Rate]]*Table1[[#This Row],[Ask Qty]]</f>
        <v>9937</v>
      </c>
      <c r="T114">
        <f>VLOOKUP(Table1[[#This Row],[Isin code]],Table2[#All],7,FALSE)</f>
        <v>10</v>
      </c>
      <c r="U114" s="17" t="str">
        <f>VLOOKUP(Table1[[#This Row],[Isin code]],Table2[#All],8,FALSE)</f>
        <v>06-Jun-2025</v>
      </c>
      <c r="V114" s="10">
        <f ca="1">Table1[[#This Row],[Maturity]]-TODAY()</f>
        <v>233</v>
      </c>
      <c r="W114" t="str">
        <f>VLOOKUP(Table1[[#This Row],[Isin code]],Table2[#All],10,FALSE)</f>
        <v>Monthly</v>
      </c>
      <c r="X114">
        <f ca="1">_xlfn.DAYS(Table1[[#This Row],[Maturity]],TODAY())-15</f>
        <v>218</v>
      </c>
      <c r="Y1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114">
        <f>IF(Table1[[#This Row],[Ask Rate]]=0,0,Table1[[#This Row],[Face Value]]-Table1[[#This Row],[Ask Rate]])</f>
        <v>6.2999999999999545</v>
      </c>
      <c r="AA114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14">
        <f ca="1">Table1[[#This Row],[Face Value]]*Table1[[#This Row],[Rate]]*Table1[[#This Row],[Time]]</f>
        <v>66.666666666666671</v>
      </c>
      <c r="AC114">
        <f ca="1">Table1[[#This Row],[SI]]+Table1[[#This Row],[Disc/Prem]]</f>
        <v>72.966666666666626</v>
      </c>
      <c r="AD114" s="3">
        <f ca="1">Table1[[#This Row],[Net Gain]]/Table1[[#This Row],[Ask Rate]]</f>
        <v>7.3429271074435573E-2</v>
      </c>
      <c r="AE114" s="3">
        <f ca="1">IF(Table1[[#This Row],[Ask Qty]]=0,0,Table1[[#This Row],[Gross Yield]]*365/Table1[[#This Row],[Days Left]])</f>
        <v>0.11502868644707719</v>
      </c>
      <c r="AF114" s="9">
        <f ca="1">+Table1[[#This Row],[Net Gain]]*Table1[[#This Row],[Ask Qty]]</f>
        <v>729.66666666666629</v>
      </c>
      <c r="AG114" t="str">
        <f ca="1">IF(Table1[[#This Row],[YTM]]&gt;0.12,IF(Table1[[#This Row],[Gross Profit]]&gt;10000,"Invest","Review"),"Low YTM")</f>
        <v>Low YTM</v>
      </c>
    </row>
    <row r="115" spans="1:33" x14ac:dyDescent="0.3">
      <c r="A115" t="str">
        <f>RTD("nest.scriprtd",,"bse_cm|865IFL28","Symbol")</f>
        <v>865IFL28</v>
      </c>
      <c r="B115" t="str">
        <f>RTD("nest.scriprtd",,"bse_cm|865IFL28","Trading Symbol")</f>
        <v>865IFL28</v>
      </c>
      <c r="C115" t="str">
        <f>RTD("nest.scriprtd",,"bse_cm|865IFL28","Exchange")</f>
        <v>BSE</v>
      </c>
      <c r="D115">
        <f>RTD("nest.scriprtd",,"bse_cm|865IFL28","Bid Qty")</f>
        <v>50</v>
      </c>
      <c r="E115">
        <f>RTD("nest.scriprtd",,"bse_cm|865IFL28","Bid Rate")</f>
        <v>905</v>
      </c>
      <c r="F115">
        <f>RTD("nest.scriprtd",,"bse_cm|865IFL28","Ask Rate")</f>
        <v>929</v>
      </c>
      <c r="G115">
        <f>RTD("nest.scriprtd",,"bse_cm|865IFL28","Ask Qty")</f>
        <v>100</v>
      </c>
      <c r="H115">
        <f>RTD("nest.scriprtd",,"bse_cm|865IFL28","LTP")</f>
        <v>0</v>
      </c>
      <c r="I115" t="str">
        <f>RTD("nest.scriprtd",,"bse_cm|865IFL28","LTT")</f>
        <v>00:00:00</v>
      </c>
      <c r="J115">
        <f>RTD("nest.scriprtd",,"bse_cm|865IFL28","% Change")</f>
        <v>-100</v>
      </c>
      <c r="K115">
        <f>RTD("nest.scriprtd",,"bse_cm|865IFL28","ATP")</f>
        <v>0</v>
      </c>
      <c r="L115">
        <f>RTD("nest.scriprtd",,"bse_cm|865IFL28","Volume Traded Today")</f>
        <v>0</v>
      </c>
      <c r="M115">
        <f>RTD("nest.scriprtd",,"bse_cm|865IFL28","Open")</f>
        <v>0</v>
      </c>
      <c r="N115">
        <f>RTD("nest.scriprtd",,"bse_cm|865IFL28","High")</f>
        <v>921</v>
      </c>
      <c r="O115">
        <f>RTD("nest.scriprtd",,"bse_cm|865IFL28","Low ")</f>
        <v>914.99</v>
      </c>
      <c r="P115">
        <f>RTD("nest.scriprtd",,"bse_cm|865IFL28","Prev Close")</f>
        <v>914.99</v>
      </c>
      <c r="Q115">
        <f>RTD("nest.scriprtd",,"bse_cm|865IFL28","Face Value")</f>
        <v>1000</v>
      </c>
      <c r="R115" t="str">
        <f>RTD("nest.scriprtd",,"bse_cm|865IFL28","Isin code")</f>
        <v>INE530B07385</v>
      </c>
      <c r="S115" s="9">
        <f>Table1[[#This Row],[Ask Rate]]*Table1[[#This Row],[Ask Qty]]</f>
        <v>92900</v>
      </c>
      <c r="T115">
        <f>VLOOKUP(Table1[[#This Row],[Isin code]],Table2[#All],7,FALSE)</f>
        <v>8.65</v>
      </c>
      <c r="U115" s="17" t="str">
        <f>VLOOKUP(Table1[[#This Row],[Isin code]],Table2[#All],8,FALSE)</f>
        <v>28-Jun-2028</v>
      </c>
      <c r="V115" s="10">
        <f ca="1">Table1[[#This Row],[Maturity]]-TODAY()</f>
        <v>1351</v>
      </c>
      <c r="W115" t="str">
        <f>VLOOKUP(Table1[[#This Row],[Isin code]],Table2[#All],10,FALSE)</f>
        <v>Monthly</v>
      </c>
      <c r="X115">
        <f ca="1">_xlfn.DAYS(Table1[[#This Row],[Maturity]],TODAY())-15</f>
        <v>1336</v>
      </c>
      <c r="Y1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45</v>
      </c>
      <c r="Z115">
        <f>IF(Table1[[#This Row],[Ask Rate]]=0,0,Table1[[#This Row],[Face Value]]-Table1[[#This Row],[Ask Rate]])</f>
        <v>71</v>
      </c>
      <c r="AA115">
        <f>IF(Table1[[#This Row],[Freq]]="Yearly",Table1[[#This Row],[Coupon_Rate]]/100,IF(Table1[[#This Row],[Freq]]="Monthly",Table1[[#This Row],[Coupon_Rate]]/1200,IF(Table1[[#This Row],[Freq]]="Quarterly",Table1[[#This Row],[Coupon_Rate]]/400,0)))</f>
        <v>7.208333333333334E-3</v>
      </c>
      <c r="AB115">
        <f ca="1">Table1[[#This Row],[Face Value]]*Table1[[#This Row],[Rate]]*Table1[[#This Row],[Time]]</f>
        <v>324.375</v>
      </c>
      <c r="AC115">
        <f ca="1">Table1[[#This Row],[SI]]+Table1[[#This Row],[Disc/Prem]]</f>
        <v>395.375</v>
      </c>
      <c r="AD115" s="3">
        <f ca="1">Table1[[#This Row],[Net Gain]]/Table1[[#This Row],[Ask Rate]]</f>
        <v>0.42559203444564048</v>
      </c>
      <c r="AE115" s="3">
        <f ca="1">IF(Table1[[#This Row],[Ask Qty]]=0,0,Table1[[#This Row],[Gross Yield]]*365/Table1[[#This Row],[Days Left]])</f>
        <v>0.1149823039027822</v>
      </c>
      <c r="AF115" s="9">
        <f ca="1">+Table1[[#This Row],[Net Gain]]*Table1[[#This Row],[Ask Qty]]</f>
        <v>39537.5</v>
      </c>
      <c r="AG115" t="str">
        <f ca="1">IF(Table1[[#This Row],[YTM]]&gt;0.12,IF(Table1[[#This Row],[Gross Profit]]&gt;10000,"Invest","Review"),"Low YTM")</f>
        <v>Low YTM</v>
      </c>
    </row>
    <row r="116" spans="1:33" x14ac:dyDescent="0.3">
      <c r="A116" t="str">
        <f>RTD("nest.scriprtd",,"bse_cm|1010EFS28","Symbol")</f>
        <v>1010EFS28</v>
      </c>
      <c r="B116" t="str">
        <f>RTD("nest.scriprtd",,"bse_cm|1010EFS28","Trading Symbol")</f>
        <v>1010EFS28</v>
      </c>
      <c r="C116" t="str">
        <f>RTD("nest.scriprtd",,"bse_cm|1010EFS28","Exchange")</f>
        <v>BSE</v>
      </c>
      <c r="D116">
        <f>RTD("nest.scriprtd",,"bse_cm|1010EFS28","Bid Qty")</f>
        <v>22</v>
      </c>
      <c r="E116">
        <f>RTD("nest.scriprtd",,"bse_cm|1010EFS28","Bid Rate")</f>
        <v>921.9</v>
      </c>
      <c r="F116">
        <f>RTD("nest.scriprtd",,"bse_cm|1010EFS28","Ask Rate")</f>
        <v>980</v>
      </c>
      <c r="G116">
        <f>RTD("nest.scriprtd",,"bse_cm|1010EFS28","Ask Qty")</f>
        <v>1</v>
      </c>
      <c r="H116">
        <f>RTD("nest.scriprtd",,"bse_cm|1010EFS28","LTP")</f>
        <v>0</v>
      </c>
      <c r="I116" t="str">
        <f>RTD("nest.scriprtd",,"bse_cm|1010EFS28","LTT")</f>
        <v>00:00:00</v>
      </c>
      <c r="J116">
        <f>RTD("nest.scriprtd",,"bse_cm|1010EFS28","% Change")</f>
        <v>-100</v>
      </c>
      <c r="K116">
        <f>RTD("nest.scriprtd",,"bse_cm|1010EFS28","ATP")</f>
        <v>0</v>
      </c>
      <c r="L116">
        <f>RTD("nest.scriprtd",,"bse_cm|1010EFS28","Volume Traded Today")</f>
        <v>0</v>
      </c>
      <c r="M116">
        <f>RTD("nest.scriprtd",,"bse_cm|1010EFS28","Open")</f>
        <v>0</v>
      </c>
      <c r="N116">
        <f>RTD("nest.scriprtd",,"bse_cm|1010EFS28","High")</f>
        <v>984</v>
      </c>
      <c r="O116">
        <f>RTD("nest.scriprtd",,"bse_cm|1010EFS28","Low ")</f>
        <v>984</v>
      </c>
      <c r="P116">
        <f>RTD("nest.scriprtd",,"bse_cm|1010EFS28","Prev Close")</f>
        <v>984</v>
      </c>
      <c r="Q116">
        <f>RTD("nest.scriprtd",,"bse_cm|1010EFS28","Face Value")</f>
        <v>1000</v>
      </c>
      <c r="R116" t="str">
        <f>RTD("nest.scriprtd",,"bse_cm|1010EFS28","Isin code")</f>
        <v>INE532F07EH7</v>
      </c>
      <c r="S116" s="9">
        <f>Table1[[#This Row],[Ask Rate]]*Table1[[#This Row],[Ask Qty]]</f>
        <v>980</v>
      </c>
      <c r="T116">
        <f>VLOOKUP(Table1[[#This Row],[Isin code]],Table2[#All],7,FALSE)</f>
        <v>10.100000000000001</v>
      </c>
      <c r="U116" s="17" t="str">
        <f>VLOOKUP(Table1[[#This Row],[Isin code]],Table2[#All],8,FALSE)</f>
        <v>21-Jul-2028</v>
      </c>
      <c r="V116" s="10">
        <f ca="1">Table1[[#This Row],[Maturity]]-TODAY()</f>
        <v>1374</v>
      </c>
      <c r="W116" t="str">
        <f>VLOOKUP(Table1[[#This Row],[Isin code]],Table2[#All],10,FALSE)</f>
        <v>Yearly</v>
      </c>
      <c r="X116">
        <f ca="1">_xlfn.DAYS(Table1[[#This Row],[Maturity]],TODAY())-15</f>
        <v>1359</v>
      </c>
      <c r="Y1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6">
        <f>IF(Table1[[#This Row],[Ask Rate]]=0,0,Table1[[#This Row],[Face Value]]-Table1[[#This Row],[Ask Rate]])</f>
        <v>20</v>
      </c>
      <c r="AA116">
        <f>IF(Table1[[#This Row],[Freq]]="Yearly",Table1[[#This Row],[Coupon_Rate]]/100,IF(Table1[[#This Row],[Freq]]="Monthly",Table1[[#This Row],[Coupon_Rate]]/1200,IF(Table1[[#This Row],[Freq]]="Quarterly",Table1[[#This Row],[Coupon_Rate]]/400,0)))</f>
        <v>0.10100000000000002</v>
      </c>
      <c r="AB116">
        <f ca="1">Table1[[#This Row],[Face Value]]*Table1[[#This Row],[Rate]]*Table1[[#This Row],[Time]]</f>
        <v>404.00000000000006</v>
      </c>
      <c r="AC116">
        <f ca="1">Table1[[#This Row],[SI]]+Table1[[#This Row],[Disc/Prem]]</f>
        <v>424.00000000000006</v>
      </c>
      <c r="AD116" s="3">
        <f ca="1">Table1[[#This Row],[Net Gain]]/Table1[[#This Row],[Ask Rate]]</f>
        <v>0.43265306122448988</v>
      </c>
      <c r="AE116" s="3">
        <f ca="1">IF(Table1[[#This Row],[Ask Qty]]=0,0,Table1[[#This Row],[Gross Yield]]*365/Table1[[#This Row],[Days Left]])</f>
        <v>0.11493330956836885</v>
      </c>
      <c r="AF116" s="9">
        <f ca="1">+Table1[[#This Row],[Net Gain]]*Table1[[#This Row],[Ask Qty]]</f>
        <v>424.00000000000006</v>
      </c>
      <c r="AG116" t="str">
        <f ca="1">IF(Table1[[#This Row],[YTM]]&gt;0.12,IF(Table1[[#This Row],[Gross Profit]]&gt;10000,"Invest","Review"),"Low YTM")</f>
        <v>Low YTM</v>
      </c>
    </row>
    <row r="117" spans="1:33" x14ac:dyDescent="0.3">
      <c r="A117" t="str">
        <f>RTD("nest.scriprtd",,"bse_cm|1045EFS33B","Symbol")</f>
        <v>1045EFS33B</v>
      </c>
      <c r="B117" t="str">
        <f>RTD("nest.scriprtd",,"bse_cm|1045EFS33B","Trading Symbol")</f>
        <v>1045EFS33B</v>
      </c>
      <c r="C117" t="str">
        <f>RTD("nest.scriprtd",,"bse_cm|1045EFS33B","Exchange")</f>
        <v>BSE</v>
      </c>
      <c r="D117">
        <f>RTD("nest.scriprtd",,"bse_cm|1045EFS33B","Bid Qty")</f>
        <v>50</v>
      </c>
      <c r="E117">
        <f>RTD("nest.scriprtd",,"bse_cm|1045EFS33B","Bid Rate")</f>
        <v>911.2</v>
      </c>
      <c r="F117">
        <f>RTD("nest.scriprtd",,"bse_cm|1045EFS33B","Ask Rate")</f>
        <v>979.99</v>
      </c>
      <c r="G117">
        <f>RTD("nest.scriprtd",,"bse_cm|1045EFS33B","Ask Qty")</f>
        <v>113</v>
      </c>
      <c r="H117">
        <f>RTD("nest.scriprtd",,"bse_cm|1045EFS33B","LTP")</f>
        <v>0</v>
      </c>
      <c r="I117" t="str">
        <f>RTD("nest.scriprtd",,"bse_cm|1045EFS33B","LTT")</f>
        <v>00:00:00</v>
      </c>
      <c r="J117">
        <f>RTD("nest.scriprtd",,"bse_cm|1045EFS33B","% Change")</f>
        <v>-100</v>
      </c>
      <c r="K117">
        <f>RTD("nest.scriprtd",,"bse_cm|1045EFS33B","ATP")</f>
        <v>0</v>
      </c>
      <c r="L117">
        <f>RTD("nest.scriprtd",,"bse_cm|1045EFS33B","Volume Traded Today")</f>
        <v>0</v>
      </c>
      <c r="M117">
        <f>RTD("nest.scriprtd",,"bse_cm|1045EFS33B","Open")</f>
        <v>0</v>
      </c>
      <c r="N117">
        <f>RTD("nest.scriprtd",,"bse_cm|1045EFS33B","High")</f>
        <v>979.99</v>
      </c>
      <c r="O117">
        <f>RTD("nest.scriprtd",,"bse_cm|1045EFS33B","Low ")</f>
        <v>979.9</v>
      </c>
      <c r="P117">
        <f>RTD("nest.scriprtd",,"bse_cm|1045EFS33B","Prev Close")</f>
        <v>979.99</v>
      </c>
      <c r="Q117">
        <f>RTD("nest.scriprtd",,"bse_cm|1045EFS33B","Face Value")</f>
        <v>1000</v>
      </c>
      <c r="R117" t="str">
        <f>RTD("nest.scriprtd",,"bse_cm|1045EFS33B","Isin code")</f>
        <v>INE532F07DY4</v>
      </c>
      <c r="S117" s="9">
        <f>Table1[[#This Row],[Ask Rate]]*Table1[[#This Row],[Ask Qty]]</f>
        <v>110738.87</v>
      </c>
      <c r="T117">
        <f>VLOOKUP(Table1[[#This Row],[Isin code]],Table2[#All],7,FALSE)</f>
        <v>10.45</v>
      </c>
      <c r="U117" s="17" t="str">
        <f>VLOOKUP(Table1[[#This Row],[Isin code]],Table2[#All],8,FALSE)</f>
        <v>27-Apr-2033</v>
      </c>
      <c r="V117" s="10">
        <f ca="1">Table1[[#This Row],[Maturity]]-TODAY()</f>
        <v>3115</v>
      </c>
      <c r="W117" t="str">
        <f>VLOOKUP(Table1[[#This Row],[Isin code]],Table2[#All],10,FALSE)</f>
        <v>Yearly</v>
      </c>
      <c r="X117">
        <f ca="1">_xlfn.DAYS(Table1[[#This Row],[Maturity]],TODAY())-15</f>
        <v>3100</v>
      </c>
      <c r="Y1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117">
        <f>IF(Table1[[#This Row],[Ask Rate]]=0,0,Table1[[#This Row],[Face Value]]-Table1[[#This Row],[Ask Rate]])</f>
        <v>20.009999999999991</v>
      </c>
      <c r="AA117">
        <f>IF(Table1[[#This Row],[Freq]]="Yearly",Table1[[#This Row],[Coupon_Rate]]/100,IF(Table1[[#This Row],[Freq]]="Monthly",Table1[[#This Row],[Coupon_Rate]]/1200,IF(Table1[[#This Row],[Freq]]="Quarterly",Table1[[#This Row],[Coupon_Rate]]/400,0)))</f>
        <v>0.1045</v>
      </c>
      <c r="AB117">
        <f ca="1">Table1[[#This Row],[Face Value]]*Table1[[#This Row],[Rate]]*Table1[[#This Row],[Time]]</f>
        <v>940.5</v>
      </c>
      <c r="AC117">
        <f ca="1">Table1[[#This Row],[SI]]+Table1[[#This Row],[Disc/Prem]]</f>
        <v>960.51</v>
      </c>
      <c r="AD117" s="3">
        <f ca="1">Table1[[#This Row],[Net Gain]]/Table1[[#This Row],[Ask Rate]]</f>
        <v>0.9801222461453688</v>
      </c>
      <c r="AE117" s="3">
        <f ca="1">IF(Table1[[#This Row],[Ask Qty]]=0,0,Table1[[#This Row],[Gross Yield]]*365/Table1[[#This Row],[Days Left]])</f>
        <v>0.11484578486133536</v>
      </c>
      <c r="AF117" s="9">
        <f ca="1">+Table1[[#This Row],[Net Gain]]*Table1[[#This Row],[Ask Qty]]</f>
        <v>108537.63</v>
      </c>
      <c r="AG117" t="str">
        <f ca="1">IF(Table1[[#This Row],[YTM]]&gt;0.12,IF(Table1[[#This Row],[Gross Profit]]&gt;10000,"Invest","Review"),"Low YTM")</f>
        <v>Low YTM</v>
      </c>
    </row>
    <row r="118" spans="1:33" x14ac:dyDescent="0.3">
      <c r="A118" t="str">
        <f>RTD("nest.scriprtd",,"bse_cm|96IIFL28","Symbol")</f>
        <v>96IIFL28</v>
      </c>
      <c r="B118" t="str">
        <f>RTD("nest.scriprtd",,"bse_cm|96IIFL28","Trading Symbol")</f>
        <v>96IIFL28</v>
      </c>
      <c r="C118" t="str">
        <f>RTD("nest.scriprtd",,"bse_cm|96IIFL28","Exchange")</f>
        <v>BSE</v>
      </c>
      <c r="D118">
        <f>RTD("nest.scriprtd",,"bse_cm|96IIFL28","Bid Qty")</f>
        <v>100</v>
      </c>
      <c r="E118">
        <f>RTD("nest.scriprtd",,"bse_cm|96IIFL28","Bid Rate")</f>
        <v>938.1</v>
      </c>
      <c r="F118">
        <f>RTD("nest.scriprtd",,"bse_cm|96IIFL28","Ask Rate")</f>
        <v>949.99</v>
      </c>
      <c r="G118">
        <f>RTD("nest.scriprtd",,"bse_cm|96IIFL28","Ask Qty")</f>
        <v>100</v>
      </c>
      <c r="H118">
        <f>RTD("nest.scriprtd",,"bse_cm|96IIFL28","LTP")</f>
        <v>0</v>
      </c>
      <c r="I118" t="str">
        <f>RTD("nest.scriprtd",,"bse_cm|96IIFL28","LTT")</f>
        <v>00:00:00</v>
      </c>
      <c r="J118">
        <f>RTD("nest.scriprtd",,"bse_cm|96IIFL28","% Change")</f>
        <v>-100</v>
      </c>
      <c r="K118">
        <f>RTD("nest.scriprtd",,"bse_cm|96IIFL28","ATP")</f>
        <v>0</v>
      </c>
      <c r="L118">
        <f>RTD("nest.scriprtd",,"bse_cm|96IIFL28","Volume Traded Today")</f>
        <v>0</v>
      </c>
      <c r="M118">
        <f>RTD("nest.scriprtd",,"bse_cm|96IIFL28","Open")</f>
        <v>0</v>
      </c>
      <c r="N118">
        <f>RTD("nest.scriprtd",,"bse_cm|96IIFL28","High")</f>
        <v>933.57</v>
      </c>
      <c r="O118">
        <f>RTD("nest.scriprtd",,"bse_cm|96IIFL28","Low ")</f>
        <v>933.57</v>
      </c>
      <c r="P118">
        <f>RTD("nest.scriprtd",,"bse_cm|96IIFL28","Prev Close")</f>
        <v>933.57</v>
      </c>
      <c r="Q118">
        <f>RTD("nest.scriprtd",,"bse_cm|96IIFL28","Face Value")</f>
        <v>1000</v>
      </c>
      <c r="R118" t="str">
        <f>RTD("nest.scriprtd",,"bse_cm|96IIFL28","Isin code")</f>
        <v>INE477L08154</v>
      </c>
      <c r="S118" s="9">
        <f>Table1[[#This Row],[Ask Rate]]*Table1[[#This Row],[Ask Qty]]</f>
        <v>94999</v>
      </c>
      <c r="T118">
        <f>VLOOKUP(Table1[[#This Row],[Isin code]],Table2[#All],7,FALSE)</f>
        <v>9.6</v>
      </c>
      <c r="U118" s="17" t="str">
        <f>VLOOKUP(Table1[[#This Row],[Isin code]],Table2[#All],8,FALSE)</f>
        <v>03-Nov-2028</v>
      </c>
      <c r="V118" s="10">
        <f ca="1">Table1[[#This Row],[Maturity]]-TODAY()</f>
        <v>1479</v>
      </c>
      <c r="W118" t="str">
        <f>VLOOKUP(Table1[[#This Row],[Isin code]],Table2[#All],10,FALSE)</f>
        <v>Monthly</v>
      </c>
      <c r="X118">
        <f ca="1">_xlfn.DAYS(Table1[[#This Row],[Maturity]],TODAY())-15</f>
        <v>1464</v>
      </c>
      <c r="Y1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49</v>
      </c>
      <c r="Z118">
        <f>IF(Table1[[#This Row],[Ask Rate]]=0,0,Table1[[#This Row],[Face Value]]-Table1[[#This Row],[Ask Rate]])</f>
        <v>50.009999999999991</v>
      </c>
      <c r="AA118">
        <f>IF(Table1[[#This Row],[Freq]]="Yearly",Table1[[#This Row],[Coupon_Rate]]/100,IF(Table1[[#This Row],[Freq]]="Monthly",Table1[[#This Row],[Coupon_Rate]]/1200,IF(Table1[[#This Row],[Freq]]="Quarterly",Table1[[#This Row],[Coupon_Rate]]/400,0)))</f>
        <v>8.0000000000000002E-3</v>
      </c>
      <c r="AB118">
        <f ca="1">Table1[[#This Row],[Face Value]]*Table1[[#This Row],[Rate]]*Table1[[#This Row],[Time]]</f>
        <v>392</v>
      </c>
      <c r="AC118">
        <f ca="1">Table1[[#This Row],[SI]]+Table1[[#This Row],[Disc/Prem]]</f>
        <v>442.01</v>
      </c>
      <c r="AD118" s="3">
        <f ca="1">Table1[[#This Row],[Net Gain]]/Table1[[#This Row],[Ask Rate]]</f>
        <v>0.46527858187980925</v>
      </c>
      <c r="AE118" s="3">
        <f ca="1">IF(Table1[[#This Row],[Ask Qty]]=0,0,Table1[[#This Row],[Gross Yield]]*365/Table1[[#This Row],[Days Left]])</f>
        <v>0.11482534306026396</v>
      </c>
      <c r="AF118" s="9">
        <f ca="1">+Table1[[#This Row],[Net Gain]]*Table1[[#This Row],[Ask Qty]]</f>
        <v>44201</v>
      </c>
      <c r="AG118" t="str">
        <f ca="1">IF(Table1[[#This Row],[YTM]]&gt;0.12,IF(Table1[[#This Row],[Gross Profit]]&gt;10000,"Invest","Review"),"Low YTM")</f>
        <v>Low YTM</v>
      </c>
    </row>
    <row r="119" spans="1:33" x14ac:dyDescent="0.3">
      <c r="A119" t="str">
        <f>RTD("nest.scriprtd",,"bse_cm|1049DLS25A","Symbol")</f>
        <v>1049DLS25A</v>
      </c>
      <c r="B119" t="str">
        <f>RTD("nest.scriprtd",,"bse_cm|1049DLS25A","Trading Symbol")</f>
        <v>1049DLS25A</v>
      </c>
      <c r="C119" t="str">
        <f>RTD("nest.scriprtd",,"bse_cm|1049DLS25A","Exchange")</f>
        <v>BSE</v>
      </c>
      <c r="D119">
        <f>RTD("nest.scriprtd",,"bse_cm|1049DLS25A","Bid Qty")</f>
        <v>9</v>
      </c>
      <c r="E119">
        <f>RTD("nest.scriprtd",,"bse_cm|1049DLS25A","Bid Rate")</f>
        <v>964</v>
      </c>
      <c r="F119">
        <f>RTD("nest.scriprtd",,"bse_cm|1049DLS25A","Ask Rate")</f>
        <v>995</v>
      </c>
      <c r="G119">
        <f>RTD("nest.scriprtd",,"bse_cm|1049DLS25A","Ask Qty")</f>
        <v>12</v>
      </c>
      <c r="H119">
        <f>RTD("nest.scriprtd",,"bse_cm|1049DLS25A","LTP")</f>
        <v>0</v>
      </c>
      <c r="I119" t="str">
        <f>RTD("nest.scriprtd",,"bse_cm|1049DLS25A","LTT")</f>
        <v>00:00:00</v>
      </c>
      <c r="J119">
        <f>RTD("nest.scriprtd",,"bse_cm|1049DLS25A","% Change")</f>
        <v>-100</v>
      </c>
      <c r="K119">
        <f>RTD("nest.scriprtd",,"bse_cm|1049DLS25A","ATP")</f>
        <v>0</v>
      </c>
      <c r="L119">
        <f>RTD("nest.scriprtd",,"bse_cm|1049DLS25A","Volume Traded Today")</f>
        <v>0</v>
      </c>
      <c r="M119">
        <f>RTD("nest.scriprtd",,"bse_cm|1049DLS25A","Open")</f>
        <v>0</v>
      </c>
      <c r="N119">
        <f>RTD("nest.scriprtd",,"bse_cm|1049DLS25A","High")</f>
        <v>995</v>
      </c>
      <c r="O119">
        <f>RTD("nest.scriprtd",,"bse_cm|1049DLS25A","Low ")</f>
        <v>990</v>
      </c>
      <c r="P119">
        <f>RTD("nest.scriprtd",,"bse_cm|1049DLS25A","Prev Close")</f>
        <v>990</v>
      </c>
      <c r="Q119">
        <f>RTD("nest.scriprtd",,"bse_cm|1049DLS25A","Face Value")</f>
        <v>1000</v>
      </c>
      <c r="R119" t="str">
        <f>RTD("nest.scriprtd",,"bse_cm|1049DLS25A","Isin code")</f>
        <v>INE614X07456</v>
      </c>
      <c r="S119" s="9">
        <f>Table1[[#This Row],[Ask Rate]]*Table1[[#This Row],[Ask Qty]]</f>
        <v>11940</v>
      </c>
      <c r="T119">
        <f>VLOOKUP(Table1[[#This Row],[Isin code]],Table2[#All],7,FALSE)</f>
        <v>10.49</v>
      </c>
      <c r="U119" s="17" t="str">
        <f>VLOOKUP(Table1[[#This Row],[Isin code]],Table2[#All],8,FALSE)</f>
        <v>16-May-2025</v>
      </c>
      <c r="V119" s="10">
        <f ca="1">Table1[[#This Row],[Maturity]]-TODAY()</f>
        <v>212</v>
      </c>
      <c r="W119" t="str">
        <f>VLOOKUP(Table1[[#This Row],[Isin code]],Table2[#All],10,FALSE)</f>
        <v>Monthly</v>
      </c>
      <c r="X119">
        <f ca="1">_xlfn.DAYS(Table1[[#This Row],[Maturity]],TODAY())-15</f>
        <v>197</v>
      </c>
      <c r="Y1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19">
        <f>IF(Table1[[#This Row],[Ask Rate]]=0,0,Table1[[#This Row],[Face Value]]-Table1[[#This Row],[Ask Rate]])</f>
        <v>5</v>
      </c>
      <c r="AA119">
        <f>IF(Table1[[#This Row],[Freq]]="Yearly",Table1[[#This Row],[Coupon_Rate]]/100,IF(Table1[[#This Row],[Freq]]="Monthly",Table1[[#This Row],[Coupon_Rate]]/1200,IF(Table1[[#This Row],[Freq]]="Quarterly",Table1[[#This Row],[Coupon_Rate]]/400,0)))</f>
        <v>8.7416666666666667E-3</v>
      </c>
      <c r="AB119">
        <f ca="1">Table1[[#This Row],[Face Value]]*Table1[[#This Row],[Rate]]*Table1[[#This Row],[Time]]</f>
        <v>61.19166666666667</v>
      </c>
      <c r="AC119">
        <f ca="1">Table1[[#This Row],[SI]]+Table1[[#This Row],[Disc/Prem]]</f>
        <v>66.191666666666663</v>
      </c>
      <c r="AD119" s="3">
        <f ca="1">Table1[[#This Row],[Net Gain]]/Table1[[#This Row],[Ask Rate]]</f>
        <v>6.6524288107202678E-2</v>
      </c>
      <c r="AE119" s="3">
        <f ca="1">IF(Table1[[#This Row],[Ask Qty]]=0,0,Table1[[#This Row],[Gross Yield]]*365/Table1[[#This Row],[Days Left]])</f>
        <v>0.11453474131664612</v>
      </c>
      <c r="AF119" s="9">
        <f ca="1">+Table1[[#This Row],[Net Gain]]*Table1[[#This Row],[Ask Qty]]</f>
        <v>794.3</v>
      </c>
      <c r="AG119" t="str">
        <f ca="1">IF(Table1[[#This Row],[YTM]]&gt;0.12,IF(Table1[[#This Row],[Gross Profit]]&gt;10000,"Invest","Review"),"Low YTM")</f>
        <v>Low YTM</v>
      </c>
    </row>
    <row r="120" spans="1:33" x14ac:dyDescent="0.3">
      <c r="A120" t="str">
        <f>RTD("nest.scriprtd",,"nse_cm|889SCL27-YT","Symbol")</f>
        <v>889SCL27</v>
      </c>
      <c r="B120" t="str">
        <f>RTD("nest.scriprtd",,"nse_cm|889SCL27-YT","Trading Symbol")</f>
        <v>889SCL27-YT</v>
      </c>
      <c r="C120" t="str">
        <f>RTD("nest.scriprtd",,"nse_cm|889SCL27-YT","Exchange")</f>
        <v>NSE</v>
      </c>
      <c r="D120">
        <f>RTD("nest.scriprtd",,"nse_cm|889SCL27-YT","Bid Qty")</f>
        <v>5</v>
      </c>
      <c r="E120">
        <f>RTD("nest.scriprtd",,"nse_cm|889SCL27-YT","Bid Rate")</f>
        <v>905.2</v>
      </c>
      <c r="F120">
        <f>RTD("nest.scriprtd",,"nse_cm|889SCL27-YT","Ask Rate")</f>
        <v>954</v>
      </c>
      <c r="G120">
        <f>RTD("nest.scriprtd",,"nse_cm|889SCL27-YT","Ask Qty")</f>
        <v>54</v>
      </c>
      <c r="H120">
        <f>RTD("nest.scriprtd",,"nse_cm|889SCL27-YT","LTP")</f>
        <v>905.2</v>
      </c>
      <c r="I120" t="str">
        <f>RTD("nest.scriprtd",,"nse_cm|889SCL27-YT","LTT")</f>
        <v>10:28:45</v>
      </c>
      <c r="J120">
        <f>RTD("nest.scriprtd",,"nse_cm|889SCL27-YT","% Change")</f>
        <v>-5.12</v>
      </c>
      <c r="K120">
        <f>RTD("nest.scriprtd",,"nse_cm|889SCL27-YT","ATP")</f>
        <v>905.2</v>
      </c>
      <c r="L120">
        <f>RTD("nest.scriprtd",,"nse_cm|889SCL27-YT","Volume Traded Today")</f>
        <v>10</v>
      </c>
      <c r="M120">
        <f>RTD("nest.scriprtd",,"nse_cm|889SCL27-YT","Open")</f>
        <v>905.2</v>
      </c>
      <c r="N120">
        <f>RTD("nest.scriprtd",,"nse_cm|889SCL27-YT","High")</f>
        <v>905.2</v>
      </c>
      <c r="O120">
        <f>RTD("nest.scriprtd",,"nse_cm|889SCL27-YT","Low ")</f>
        <v>905.2</v>
      </c>
      <c r="P120">
        <f>RTD("nest.scriprtd",,"nse_cm|889SCL27-YT","Prev Close")</f>
        <v>954</v>
      </c>
      <c r="Q120">
        <f>RTD("nest.scriprtd",,"nse_cm|889SCL27-YT","Face Value")</f>
        <v>1000</v>
      </c>
      <c r="R120" t="str">
        <f>RTD("nest.scriprtd",,"nse_cm|889SCL27-YT","Isin code")</f>
        <v>INE148I07LV2</v>
      </c>
      <c r="S120" s="9">
        <f>Table1[[#This Row],[Ask Rate]]*Table1[[#This Row],[Ask Qty]]</f>
        <v>51516</v>
      </c>
      <c r="T120">
        <f>VLOOKUP(Table1[[#This Row],[Isin code]],Table2[#All],7,FALSE)</f>
        <v>8.89</v>
      </c>
      <c r="U120" s="17" t="str">
        <f>VLOOKUP(Table1[[#This Row],[Isin code]],Table2[#All],8,FALSE)</f>
        <v>28-Apr-2027</v>
      </c>
      <c r="V120" s="10">
        <f ca="1">Table1[[#This Row],[Maturity]]-TODAY()</f>
        <v>924</v>
      </c>
      <c r="W120" t="str">
        <f>VLOOKUP(Table1[[#This Row],[Isin code]],Table2[#All],10,FALSE)</f>
        <v>Monthly</v>
      </c>
      <c r="X120">
        <f ca="1">_xlfn.DAYS(Table1[[#This Row],[Maturity]],TODAY())-15</f>
        <v>909</v>
      </c>
      <c r="Y1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120">
        <f>IF(Table1[[#This Row],[Ask Rate]]=0,0,Table1[[#This Row],[Face Value]]-Table1[[#This Row],[Ask Rate]])</f>
        <v>46</v>
      </c>
      <c r="AA120">
        <f>IF(Table1[[#This Row],[Freq]]="Yearly",Table1[[#This Row],[Coupon_Rate]]/100,IF(Table1[[#This Row],[Freq]]="Monthly",Table1[[#This Row],[Coupon_Rate]]/1200,IF(Table1[[#This Row],[Freq]]="Quarterly",Table1[[#This Row],[Coupon_Rate]]/400,0)))</f>
        <v>7.4083333333333336E-3</v>
      </c>
      <c r="AB120">
        <f ca="1">Table1[[#This Row],[Face Value]]*Table1[[#This Row],[Rate]]*Table1[[#This Row],[Time]]</f>
        <v>229.65833333333333</v>
      </c>
      <c r="AC120">
        <f ca="1">Table1[[#This Row],[SI]]+Table1[[#This Row],[Disc/Prem]]</f>
        <v>275.6583333333333</v>
      </c>
      <c r="AD120" s="3">
        <f ca="1">Table1[[#This Row],[Net Gain]]/Table1[[#This Row],[Ask Rate]]</f>
        <v>0.28895003494060095</v>
      </c>
      <c r="AE120" s="3">
        <f ca="1">IF(Table1[[#This Row],[Ask Qty]]=0,0,Table1[[#This Row],[Gross Yield]]*365/Table1[[#This Row],[Days Left]])</f>
        <v>0.114141518131298</v>
      </c>
      <c r="AF120" s="9">
        <f ca="1">+Table1[[#This Row],[Net Gain]]*Table1[[#This Row],[Ask Qty]]</f>
        <v>14885.55</v>
      </c>
      <c r="AG120" t="str">
        <f ca="1">IF(Table1[[#This Row],[YTM]]&gt;0.12,IF(Table1[[#This Row],[Gross Profit]]&gt;10000,"Invest","Review"),"Low YTM")</f>
        <v>Low YTM</v>
      </c>
    </row>
    <row r="121" spans="1:33" x14ac:dyDescent="0.3">
      <c r="A121" t="str">
        <f>RTD("nest.scriprtd",,"bse_cm|889SCL27","Symbol")</f>
        <v>889SCL27</v>
      </c>
      <c r="B121" t="str">
        <f>RTD("nest.scriprtd",,"bse_cm|889SCL27","Trading Symbol")</f>
        <v>889SCL27</v>
      </c>
      <c r="C121" t="str">
        <f>RTD("nest.scriprtd",,"bse_cm|889SCL27","Exchange")</f>
        <v>BSE</v>
      </c>
      <c r="D121">
        <f>RTD("nest.scriprtd",,"bse_cm|889SCL27","Bid Qty")</f>
        <v>12</v>
      </c>
      <c r="E121">
        <f>RTD("nest.scriprtd",,"bse_cm|889SCL27","Bid Rate")</f>
        <v>900.3</v>
      </c>
      <c r="F121">
        <f>RTD("nest.scriprtd",,"bse_cm|889SCL27","Ask Rate")</f>
        <v>954</v>
      </c>
      <c r="G121">
        <f>RTD("nest.scriprtd",,"bse_cm|889SCL27","Ask Qty")</f>
        <v>25</v>
      </c>
      <c r="H121">
        <f>RTD("nest.scriprtd",,"bse_cm|889SCL27","LTP")</f>
        <v>0</v>
      </c>
      <c r="I121" t="str">
        <f>RTD("nest.scriprtd",,"bse_cm|889SCL27","LTT")</f>
        <v>00:00:00</v>
      </c>
      <c r="J121">
        <f>RTD("nest.scriprtd",,"bse_cm|889SCL27","% Change")</f>
        <v>-100</v>
      </c>
      <c r="K121">
        <f>RTD("nest.scriprtd",,"bse_cm|889SCL27","ATP")</f>
        <v>0</v>
      </c>
      <c r="L121">
        <f>RTD("nest.scriprtd",,"bse_cm|889SCL27","Volume Traded Today")</f>
        <v>0</v>
      </c>
      <c r="M121">
        <f>RTD("nest.scriprtd",,"bse_cm|889SCL27","Open")</f>
        <v>0</v>
      </c>
      <c r="N121">
        <f>RTD("nest.scriprtd",,"bse_cm|889SCL27","High")</f>
        <v>954</v>
      </c>
      <c r="O121">
        <f>RTD("nest.scriprtd",,"bse_cm|889SCL27","Low ")</f>
        <v>954</v>
      </c>
      <c r="P121">
        <f>RTD("nest.scriprtd",,"bse_cm|889SCL27","Prev Close")</f>
        <v>954</v>
      </c>
      <c r="Q121">
        <f>RTD("nest.scriprtd",,"bse_cm|889SCL27","Face Value")</f>
        <v>1000</v>
      </c>
      <c r="R121" t="str">
        <f>RTD("nest.scriprtd",,"bse_cm|889SCL27","Isin code")</f>
        <v>INE148I07LV2</v>
      </c>
      <c r="S121" s="9">
        <f>Table1[[#This Row],[Ask Rate]]*Table1[[#This Row],[Ask Qty]]</f>
        <v>23850</v>
      </c>
      <c r="T121">
        <f>VLOOKUP(Table1[[#This Row],[Isin code]],Table2[#All],7,FALSE)</f>
        <v>8.89</v>
      </c>
      <c r="U121" s="17" t="str">
        <f>VLOOKUP(Table1[[#This Row],[Isin code]],Table2[#All],8,FALSE)</f>
        <v>28-Apr-2027</v>
      </c>
      <c r="V121" s="10">
        <f ca="1">Table1[[#This Row],[Maturity]]-TODAY()</f>
        <v>924</v>
      </c>
      <c r="W121" t="str">
        <f>VLOOKUP(Table1[[#This Row],[Isin code]],Table2[#All],10,FALSE)</f>
        <v>Monthly</v>
      </c>
      <c r="X121">
        <f ca="1">_xlfn.DAYS(Table1[[#This Row],[Maturity]],TODAY())-15</f>
        <v>909</v>
      </c>
      <c r="Y1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121">
        <f>IF(Table1[[#This Row],[Ask Rate]]=0,0,Table1[[#This Row],[Face Value]]-Table1[[#This Row],[Ask Rate]])</f>
        <v>46</v>
      </c>
      <c r="AA121">
        <f>IF(Table1[[#This Row],[Freq]]="Yearly",Table1[[#This Row],[Coupon_Rate]]/100,IF(Table1[[#This Row],[Freq]]="Monthly",Table1[[#This Row],[Coupon_Rate]]/1200,IF(Table1[[#This Row],[Freq]]="Quarterly",Table1[[#This Row],[Coupon_Rate]]/400,0)))</f>
        <v>7.4083333333333336E-3</v>
      </c>
      <c r="AB121">
        <f ca="1">Table1[[#This Row],[Face Value]]*Table1[[#This Row],[Rate]]*Table1[[#This Row],[Time]]</f>
        <v>229.65833333333333</v>
      </c>
      <c r="AC121">
        <f ca="1">Table1[[#This Row],[SI]]+Table1[[#This Row],[Disc/Prem]]</f>
        <v>275.6583333333333</v>
      </c>
      <c r="AD121" s="3">
        <f ca="1">Table1[[#This Row],[Net Gain]]/Table1[[#This Row],[Ask Rate]]</f>
        <v>0.28895003494060095</v>
      </c>
      <c r="AE121" s="3">
        <f ca="1">IF(Table1[[#This Row],[Ask Qty]]=0,0,Table1[[#This Row],[Gross Yield]]*365/Table1[[#This Row],[Days Left]])</f>
        <v>0.114141518131298</v>
      </c>
      <c r="AF121" s="9">
        <f ca="1">+Table1[[#This Row],[Net Gain]]*Table1[[#This Row],[Ask Qty]]</f>
        <v>6891.4583333333321</v>
      </c>
      <c r="AG121" t="str">
        <f ca="1">IF(Table1[[#This Row],[YTM]]&gt;0.12,IF(Table1[[#This Row],[Gross Profit]]&gt;10000,"Invest","Review"),"Low YTM")</f>
        <v>Low YTM</v>
      </c>
    </row>
    <row r="122" spans="1:33" x14ac:dyDescent="0.3">
      <c r="A122" t="str">
        <f>RTD("nest.scriprtd",,"nse_cm|9SCL26BA-NA","Symbol")</f>
        <v>9SCL26BA</v>
      </c>
      <c r="B122" t="str">
        <f>RTD("nest.scriprtd",,"nse_cm|9SCL26BA-NA","Trading Symbol")</f>
        <v>9SCL26BA-NA</v>
      </c>
      <c r="C122" t="str">
        <f>RTD("nest.scriprtd",,"nse_cm|9SCL26BA-NA","Exchange")</f>
        <v>NSE</v>
      </c>
      <c r="D122">
        <f>RTD("nest.scriprtd",,"nse_cm|9SCL26BA-NA","Bid Qty")</f>
        <v>119</v>
      </c>
      <c r="E122">
        <f>RTD("nest.scriprtd",,"nse_cm|9SCL26BA-NA","Bid Rate")</f>
        <v>943</v>
      </c>
      <c r="F122">
        <f>RTD("nest.scriprtd",,"nse_cm|9SCL26BA-NA","Ask Rate")</f>
        <v>966</v>
      </c>
      <c r="G122">
        <f>RTD("nest.scriprtd",,"nse_cm|9SCL26BA-NA","Ask Qty")</f>
        <v>10</v>
      </c>
      <c r="H122">
        <f>RTD("nest.scriprtd",,"nse_cm|9SCL26BA-NA","LTP")</f>
        <v>950</v>
      </c>
      <c r="I122" t="str">
        <f>RTD("nest.scriprtd",,"nse_cm|9SCL26BA-NA","LTT")</f>
        <v/>
      </c>
      <c r="J122">
        <f>RTD("nest.scriprtd",,"nse_cm|9SCL26BA-NA","% Change")</f>
        <v>0.42</v>
      </c>
      <c r="K122">
        <f>RTD("nest.scriprtd",,"nse_cm|9SCL26BA-NA","ATP")</f>
        <v>0</v>
      </c>
      <c r="L122">
        <f>RTD("nest.scriprtd",,"nse_cm|9SCL26BA-NA","Volume Traded Today")</f>
        <v>0</v>
      </c>
      <c r="M122">
        <f>RTD("nest.scriprtd",,"nse_cm|9SCL26BA-NA","Open")</f>
        <v>0</v>
      </c>
      <c r="N122">
        <f>RTD("nest.scriprtd",,"nse_cm|9SCL26BA-NA","High")</f>
        <v>950</v>
      </c>
      <c r="O122">
        <f>RTD("nest.scriprtd",,"nse_cm|9SCL26BA-NA","Low ")</f>
        <v>950</v>
      </c>
      <c r="P122">
        <f>RTD("nest.scriprtd",,"nse_cm|9SCL26BA-NA","Prev Close")</f>
        <v>946</v>
      </c>
      <c r="Q122">
        <f>RTD("nest.scriprtd",,"nse_cm|9SCL26BA-NA","Face Value")</f>
        <v>1000</v>
      </c>
      <c r="R122" t="str">
        <f>RTD("nest.scriprtd",,"nse_cm|9SCL26BA-NA","Isin code")</f>
        <v>INE148I07GL3</v>
      </c>
      <c r="S122" s="9">
        <f>Table1[[#This Row],[Ask Rate]]*Table1[[#This Row],[Ask Qty]]</f>
        <v>9660</v>
      </c>
      <c r="T122">
        <f>VLOOKUP(Table1[[#This Row],[Isin code]],Table2[#All],7,FALSE)</f>
        <v>9</v>
      </c>
      <c r="U122" s="17" t="str">
        <f>VLOOKUP(Table1[[#This Row],[Isin code]],Table2[#All],8,FALSE)</f>
        <v>26-Sep-2026</v>
      </c>
      <c r="V122" s="10">
        <f ca="1">Table1[[#This Row],[Maturity]]-TODAY()</f>
        <v>710</v>
      </c>
      <c r="W122" t="str">
        <f>VLOOKUP(Table1[[#This Row],[Isin code]],Table2[#All],10,FALSE)</f>
        <v>Yearly</v>
      </c>
      <c r="X122">
        <f ca="1">_xlfn.DAYS(Table1[[#This Row],[Maturity]],TODAY())-15</f>
        <v>695</v>
      </c>
      <c r="Y1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2">
        <f>IF(Table1[[#This Row],[Ask Rate]]=0,0,Table1[[#This Row],[Face Value]]-Table1[[#This Row],[Ask Rate]])</f>
        <v>34</v>
      </c>
      <c r="AA122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122">
        <f ca="1">Table1[[#This Row],[Face Value]]*Table1[[#This Row],[Rate]]*Table1[[#This Row],[Time]]</f>
        <v>180</v>
      </c>
      <c r="AC122">
        <f ca="1">Table1[[#This Row],[SI]]+Table1[[#This Row],[Disc/Prem]]</f>
        <v>214</v>
      </c>
      <c r="AD122" s="3">
        <f ca="1">Table1[[#This Row],[Net Gain]]/Table1[[#This Row],[Ask Rate]]</f>
        <v>0.22153209109730848</v>
      </c>
      <c r="AE122" s="3">
        <f ca="1">IF(Table1[[#This Row],[Ask Qty]]=0,0,Table1[[#This Row],[Gross Yield]]*365/Table1[[#This Row],[Days Left]])</f>
        <v>0.11388621584579943</v>
      </c>
      <c r="AF122" s="9">
        <f ca="1">+Table1[[#This Row],[Net Gain]]*Table1[[#This Row],[Ask Qty]]</f>
        <v>2140</v>
      </c>
      <c r="AG122" t="str">
        <f ca="1">IF(Table1[[#This Row],[YTM]]&gt;0.12,IF(Table1[[#This Row],[Gross Profit]]&gt;10000,"Invest","Review"),"Low YTM")</f>
        <v>Low YTM</v>
      </c>
    </row>
    <row r="123" spans="1:33" x14ac:dyDescent="0.3">
      <c r="A123" t="str">
        <f>RTD("nest.scriprtd",,"nse_cm|843IHFL29-NC","Symbol")</f>
        <v>843IHFL29</v>
      </c>
      <c r="B123" t="str">
        <f>RTD("nest.scriprtd",,"nse_cm|843IHFL29-NC","Trading Symbol")</f>
        <v>843IHFL29-NC</v>
      </c>
      <c r="C123" t="str">
        <f>RTD("nest.scriprtd",,"nse_cm|843IHFL29-NC","Exchange")</f>
        <v>NSE</v>
      </c>
      <c r="D123">
        <f>RTD("nest.scriprtd",,"nse_cm|843IHFL29-NC","Bid Qty")</f>
        <v>14</v>
      </c>
      <c r="E123">
        <f>RTD("nest.scriprtd",,"nse_cm|843IHFL29-NC","Bid Rate")</f>
        <v>907.05</v>
      </c>
      <c r="F123">
        <f>RTD("nest.scriprtd",,"nse_cm|843IHFL29-NC","Ask Rate")</f>
        <v>919</v>
      </c>
      <c r="G123">
        <f>RTD("nest.scriprtd",,"nse_cm|843IHFL29-NC","Ask Qty")</f>
        <v>95</v>
      </c>
      <c r="H123">
        <f>RTD("nest.scriprtd",,"nse_cm|843IHFL29-NC","LTP")</f>
        <v>919</v>
      </c>
      <c r="I123" t="str">
        <f>RTD("nest.scriprtd",,"nse_cm|843IHFL29-NC","LTT")</f>
        <v/>
      </c>
      <c r="J123">
        <f>RTD("nest.scriprtd",,"nse_cm|843IHFL29-NC","% Change")</f>
        <v>-0.05</v>
      </c>
      <c r="K123">
        <f>RTD("nest.scriprtd",,"nse_cm|843IHFL29-NC","ATP")</f>
        <v>0</v>
      </c>
      <c r="L123">
        <f>RTD("nest.scriprtd",,"nse_cm|843IHFL29-NC","Volume Traded Today")</f>
        <v>0</v>
      </c>
      <c r="M123">
        <f>RTD("nest.scriprtd",,"nse_cm|843IHFL29-NC","Open")</f>
        <v>0</v>
      </c>
      <c r="N123">
        <f>RTD("nest.scriprtd",,"nse_cm|843IHFL29-NC","High")</f>
        <v>919</v>
      </c>
      <c r="O123">
        <f>RTD("nest.scriprtd",,"nse_cm|843IHFL29-NC","Low ")</f>
        <v>919</v>
      </c>
      <c r="P123">
        <f>RTD("nest.scriprtd",,"nse_cm|843IHFL29-NC","Prev Close")</f>
        <v>919.44</v>
      </c>
      <c r="Q123">
        <f>RTD("nest.scriprtd",,"nse_cm|843IHFL29-NC","Face Value")</f>
        <v>1000</v>
      </c>
      <c r="R123" t="str">
        <f>RTD("nest.scriprtd",,"nse_cm|843IHFL29-NC","Isin code")</f>
        <v>INE477L07AQ2</v>
      </c>
      <c r="S123" s="9">
        <f>Table1[[#This Row],[Ask Rate]]*Table1[[#This Row],[Ask Qty]]</f>
        <v>87305</v>
      </c>
      <c r="T123">
        <f>VLOOKUP(Table1[[#This Row],[Isin code]],Table2[#All],7,FALSE)</f>
        <v>8.43</v>
      </c>
      <c r="U123" s="17" t="str">
        <f>VLOOKUP(Table1[[#This Row],[Isin code]],Table2[#All],8,FALSE)</f>
        <v>03-Jan-2029</v>
      </c>
      <c r="V123" s="10">
        <f ca="1">Table1[[#This Row],[Maturity]]-TODAY()</f>
        <v>1540</v>
      </c>
      <c r="W123" t="str">
        <f>VLOOKUP(Table1[[#This Row],[Isin code]],Table2[#All],10,FALSE)</f>
        <v>Monthly</v>
      </c>
      <c r="X123">
        <f ca="1">_xlfn.DAYS(Table1[[#This Row],[Maturity]],TODAY())-15</f>
        <v>1525</v>
      </c>
      <c r="Y1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123">
        <f>IF(Table1[[#This Row],[Ask Rate]]=0,0,Table1[[#This Row],[Face Value]]-Table1[[#This Row],[Ask Rate]])</f>
        <v>81</v>
      </c>
      <c r="AA123">
        <f>IF(Table1[[#This Row],[Freq]]="Yearly",Table1[[#This Row],[Coupon_Rate]]/100,IF(Table1[[#This Row],[Freq]]="Monthly",Table1[[#This Row],[Coupon_Rate]]/1200,IF(Table1[[#This Row],[Freq]]="Quarterly",Table1[[#This Row],[Coupon_Rate]]/400,0)))</f>
        <v>7.025E-3</v>
      </c>
      <c r="AB123">
        <f ca="1">Table1[[#This Row],[Face Value]]*Table1[[#This Row],[Rate]]*Table1[[#This Row],[Time]]</f>
        <v>358.27500000000003</v>
      </c>
      <c r="AC123">
        <f ca="1">Table1[[#This Row],[SI]]+Table1[[#This Row],[Disc/Prem]]</f>
        <v>439.27500000000003</v>
      </c>
      <c r="AD123" s="3">
        <f ca="1">Table1[[#This Row],[Net Gain]]/Table1[[#This Row],[Ask Rate]]</f>
        <v>0.47799238302502722</v>
      </c>
      <c r="AE123" s="3">
        <f ca="1">IF(Table1[[#This Row],[Ask Qty]]=0,0,Table1[[#This Row],[Gross Yield]]*365/Table1[[#This Row],[Days Left]])</f>
        <v>0.11329040247021749</v>
      </c>
      <c r="AF123" s="9">
        <f ca="1">+Table1[[#This Row],[Net Gain]]*Table1[[#This Row],[Ask Qty]]</f>
        <v>41731.125</v>
      </c>
      <c r="AG123" t="str">
        <f ca="1">IF(Table1[[#This Row],[YTM]]&gt;0.12,IF(Table1[[#This Row],[Gross Profit]]&gt;10000,"Invest","Review"),"Low YTM")</f>
        <v>Low YTM</v>
      </c>
    </row>
    <row r="124" spans="1:33" x14ac:dyDescent="0.3">
      <c r="A124" t="str">
        <f>RTD("nest.scriprtd",,"bse_cm|943ECL28","Symbol")</f>
        <v>943ECL28</v>
      </c>
      <c r="B124" t="str">
        <f>RTD("nest.scriprtd",,"bse_cm|943ECL28","Trading Symbol")</f>
        <v>943ECL28</v>
      </c>
      <c r="C124" t="str">
        <f>RTD("nest.scriprtd",,"bse_cm|943ECL28","Exchange")</f>
        <v>BSE</v>
      </c>
      <c r="D124">
        <f>RTD("nest.scriprtd",,"bse_cm|943ECL28","Bid Qty")</f>
        <v>25</v>
      </c>
      <c r="E124">
        <f>RTD("nest.scriprtd",,"bse_cm|943ECL28","Bid Rate")</f>
        <v>937.5</v>
      </c>
      <c r="F124">
        <f>RTD("nest.scriprtd",,"bse_cm|943ECL28","Ask Rate")</f>
        <v>952</v>
      </c>
      <c r="G124">
        <f>RTD("nest.scriprtd",,"bse_cm|943ECL28","Ask Qty")</f>
        <v>50</v>
      </c>
      <c r="H124">
        <f>RTD("nest.scriprtd",,"bse_cm|943ECL28","LTP")</f>
        <v>0</v>
      </c>
      <c r="I124" t="str">
        <f>RTD("nest.scriprtd",,"bse_cm|943ECL28","LTT")</f>
        <v>00:00:00</v>
      </c>
      <c r="J124">
        <f>RTD("nest.scriprtd",,"bse_cm|943ECL28","% Change")</f>
        <v>-100</v>
      </c>
      <c r="K124">
        <f>RTD("nest.scriprtd",,"bse_cm|943ECL28","ATP")</f>
        <v>0</v>
      </c>
      <c r="L124">
        <f>RTD("nest.scriprtd",,"bse_cm|943ECL28","Volume Traded Today")</f>
        <v>0</v>
      </c>
      <c r="M124">
        <f>RTD("nest.scriprtd",,"bse_cm|943ECL28","Open")</f>
        <v>0</v>
      </c>
      <c r="N124">
        <f>RTD("nest.scriprtd",,"bse_cm|943ECL28","High")</f>
        <v>1004</v>
      </c>
      <c r="O124">
        <f>RTD("nest.scriprtd",,"bse_cm|943ECL28","Low ")</f>
        <v>940</v>
      </c>
      <c r="P124">
        <f>RTD("nest.scriprtd",,"bse_cm|943ECL28","Prev Close")</f>
        <v>949.98</v>
      </c>
      <c r="Q124">
        <f>RTD("nest.scriprtd",,"bse_cm|943ECL28","Face Value")</f>
        <v>1000</v>
      </c>
      <c r="R124" t="str">
        <f>RTD("nest.scriprtd",,"bse_cm|943ECL28","Isin code")</f>
        <v>INE804I078Y8</v>
      </c>
      <c r="S124" s="9">
        <f>Table1[[#This Row],[Ask Rate]]*Table1[[#This Row],[Ask Qty]]</f>
        <v>47600</v>
      </c>
      <c r="T124">
        <f>VLOOKUP(Table1[[#This Row],[Isin code]],Table2[#All],7,FALSE)</f>
        <v>9.43</v>
      </c>
      <c r="U124" s="17" t="str">
        <f>VLOOKUP(Table1[[#This Row],[Isin code]],Table2[#All],8,FALSE)</f>
        <v>06-Aug-2028</v>
      </c>
      <c r="V124" s="10">
        <f ca="1">Table1[[#This Row],[Maturity]]-TODAY()</f>
        <v>1390</v>
      </c>
      <c r="W124" t="str">
        <f>VLOOKUP(Table1[[#This Row],[Isin code]],Table2[#All],10,FALSE)</f>
        <v>Monthly</v>
      </c>
      <c r="X124">
        <f ca="1">_xlfn.DAYS(Table1[[#This Row],[Maturity]],TODAY())-15</f>
        <v>1375</v>
      </c>
      <c r="Y1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124">
        <f>IF(Table1[[#This Row],[Ask Rate]]=0,0,Table1[[#This Row],[Face Value]]-Table1[[#This Row],[Ask Rate]])</f>
        <v>48</v>
      </c>
      <c r="AA124">
        <f>IF(Table1[[#This Row],[Freq]]="Yearly",Table1[[#This Row],[Coupon_Rate]]/100,IF(Table1[[#This Row],[Freq]]="Monthly",Table1[[#This Row],[Coupon_Rate]]/1200,IF(Table1[[#This Row],[Freq]]="Quarterly",Table1[[#This Row],[Coupon_Rate]]/400,0)))</f>
        <v>7.8583333333333335E-3</v>
      </c>
      <c r="AB124">
        <f ca="1">Table1[[#This Row],[Face Value]]*Table1[[#This Row],[Rate]]*Table1[[#This Row],[Time]]</f>
        <v>361.48333333333335</v>
      </c>
      <c r="AC124">
        <f ca="1">Table1[[#This Row],[SI]]+Table1[[#This Row],[Disc/Prem]]</f>
        <v>409.48333333333335</v>
      </c>
      <c r="AD124" s="3">
        <f ca="1">Table1[[#This Row],[Net Gain]]/Table1[[#This Row],[Ask Rate]]</f>
        <v>0.43012955182072832</v>
      </c>
      <c r="AE124" s="3">
        <f ca="1">IF(Table1[[#This Row],[Ask Qty]]=0,0,Table1[[#This Row],[Gross Yield]]*365/Table1[[#This Row],[Days Left]])</f>
        <v>0.11294768806803299</v>
      </c>
      <c r="AF124" s="9">
        <f ca="1">+Table1[[#This Row],[Net Gain]]*Table1[[#This Row],[Ask Qty]]</f>
        <v>20474.166666666668</v>
      </c>
      <c r="AG124" t="str">
        <f ca="1">IF(Table1[[#This Row],[YTM]]&gt;0.12,IF(Table1[[#This Row],[Gross Profit]]&gt;10000,"Invest","Review"),"Low YTM")</f>
        <v>Low YTM</v>
      </c>
    </row>
    <row r="125" spans="1:33" x14ac:dyDescent="0.3">
      <c r="A125" t="str">
        <f>RTD("nest.scriprtd",,"bse_cm|1075KAFL29","Symbol")</f>
        <v>1075KAFL29</v>
      </c>
      <c r="B125" t="str">
        <f>RTD("nest.scriprtd",,"bse_cm|1075KAFL29","Trading Symbol")</f>
        <v>1075KAFL29</v>
      </c>
      <c r="C125" t="str">
        <f>RTD("nest.scriprtd",,"bse_cm|1075KAFL29","Exchange")</f>
        <v>BSE</v>
      </c>
      <c r="D125">
        <f>RTD("nest.scriprtd",,"bse_cm|1075KAFL29","Bid Qty")</f>
        <v>10</v>
      </c>
      <c r="E125">
        <f>RTD("nest.scriprtd",,"bse_cm|1075KAFL29","Bid Rate")</f>
        <v>945</v>
      </c>
      <c r="F125">
        <f>RTD("nest.scriprtd",,"bse_cm|1075KAFL29","Ask Rate")</f>
        <v>990</v>
      </c>
      <c r="G125">
        <f>RTD("nest.scriprtd",,"bse_cm|1075KAFL29","Ask Qty")</f>
        <v>50</v>
      </c>
      <c r="H125">
        <f>RTD("nest.scriprtd",,"bse_cm|1075KAFL29","LTP")</f>
        <v>0</v>
      </c>
      <c r="I125" t="str">
        <f>RTD("nest.scriprtd",,"bse_cm|1075KAFL29","LTT")</f>
        <v>00:00:00</v>
      </c>
      <c r="J125">
        <f>RTD("nest.scriprtd",,"bse_cm|1075KAFL29","% Change")</f>
        <v>-100</v>
      </c>
      <c r="K125">
        <f>RTD("nest.scriprtd",,"bse_cm|1075KAFL29","ATP")</f>
        <v>0</v>
      </c>
      <c r="L125">
        <f>RTD("nest.scriprtd",,"bse_cm|1075KAFL29","Volume Traded Today")</f>
        <v>0</v>
      </c>
      <c r="M125">
        <f>RTD("nest.scriprtd",,"bse_cm|1075KAFL29","Open")</f>
        <v>0</v>
      </c>
      <c r="N125">
        <f>RTD("nest.scriprtd",,"bse_cm|1075KAFL29","High")</f>
        <v>945</v>
      </c>
      <c r="O125">
        <f>RTD("nest.scriprtd",,"bse_cm|1075KAFL29","Low ")</f>
        <v>945</v>
      </c>
      <c r="P125">
        <f>RTD("nest.scriprtd",,"bse_cm|1075KAFL29","Prev Close")</f>
        <v>945</v>
      </c>
      <c r="Q125">
        <f>RTD("nest.scriprtd",,"bse_cm|1075KAFL29","Face Value")</f>
        <v>1000</v>
      </c>
      <c r="R125" t="str">
        <f>RTD("nest.scriprtd",,"bse_cm|1075KAFL29","Isin code")</f>
        <v>INE01I507984</v>
      </c>
      <c r="S125" s="9">
        <f>Table1[[#This Row],[Ask Rate]]*Table1[[#This Row],[Ask Qty]]</f>
        <v>49500</v>
      </c>
      <c r="T125">
        <f>VLOOKUP(Table1[[#This Row],[Isin code]],Table2[#All],7,FALSE)</f>
        <v>10.73</v>
      </c>
      <c r="U125" s="17" t="str">
        <f>VLOOKUP(Table1[[#This Row],[Isin code]],Table2[#All],8,FALSE)</f>
        <v>07-Aug-2029</v>
      </c>
      <c r="V125" s="10">
        <f ca="1">Table1[[#This Row],[Maturity]]-TODAY()</f>
        <v>1756</v>
      </c>
      <c r="W125" t="str">
        <f>VLOOKUP(Table1[[#This Row],[Isin code]],Table2[#All],10,FALSE)</f>
        <v>MONTHLY</v>
      </c>
      <c r="X125">
        <f ca="1">_xlfn.DAYS(Table1[[#This Row],[Maturity]],TODAY())-15</f>
        <v>1741</v>
      </c>
      <c r="Y1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59</v>
      </c>
      <c r="Z125">
        <f>IF(Table1[[#This Row],[Ask Rate]]=0,0,Table1[[#This Row],[Face Value]]-Table1[[#This Row],[Ask Rate]])</f>
        <v>10</v>
      </c>
      <c r="AA125">
        <f>IF(Table1[[#This Row],[Freq]]="Yearly",Table1[[#This Row],[Coupon_Rate]]/100,IF(Table1[[#This Row],[Freq]]="Monthly",Table1[[#This Row],[Coupon_Rate]]/1200,IF(Table1[[#This Row],[Freq]]="Quarterly",Table1[[#This Row],[Coupon_Rate]]/400,0)))</f>
        <v>8.9416666666666672E-3</v>
      </c>
      <c r="AB125">
        <f ca="1">Table1[[#This Row],[Face Value]]*Table1[[#This Row],[Rate]]*Table1[[#This Row],[Time]]</f>
        <v>527.55833333333328</v>
      </c>
      <c r="AC125">
        <f ca="1">Table1[[#This Row],[SI]]+Table1[[#This Row],[Disc/Prem]]</f>
        <v>537.55833333333328</v>
      </c>
      <c r="AD125" s="3">
        <f ca="1">Table1[[#This Row],[Net Gain]]/Table1[[#This Row],[Ask Rate]]</f>
        <v>0.54298821548821541</v>
      </c>
      <c r="AE125" s="3">
        <f ca="1">IF(Table1[[#This Row],[Ask Qty]]=0,0,Table1[[#This Row],[Gross Yield]]*365/Table1[[#This Row],[Days Left]])</f>
        <v>0.11286486255876915</v>
      </c>
      <c r="AF125" s="9">
        <f ca="1">+Table1[[#This Row],[Net Gain]]*Table1[[#This Row],[Ask Qty]]</f>
        <v>26877.916666666664</v>
      </c>
      <c r="AG125" t="str">
        <f ca="1">IF(Table1[[#This Row],[YTM]]&gt;0.12,IF(Table1[[#This Row],[Gross Profit]]&gt;10000,"Invest","Review"),"Low YTM")</f>
        <v>Low YTM</v>
      </c>
    </row>
    <row r="126" spans="1:33" x14ac:dyDescent="0.3">
      <c r="A126" t="str">
        <f>RTD("nest.scriprtd",,"bse_cm|9IIFL28","Symbol")</f>
        <v>9IIFL28</v>
      </c>
      <c r="B126" t="str">
        <f>RTD("nest.scriprtd",,"bse_cm|9IIFL28","Trading Symbol")</f>
        <v>9IIFL28</v>
      </c>
      <c r="C126" t="str">
        <f>RTD("nest.scriprtd",,"bse_cm|9IIFL28","Exchange")</f>
        <v>BSE</v>
      </c>
      <c r="D126">
        <f>RTD("nest.scriprtd",,"bse_cm|9IIFL28","Bid Qty")</f>
        <v>100</v>
      </c>
      <c r="E126">
        <f>RTD("nest.scriprtd",,"bse_cm|9IIFL28","Bid Rate")</f>
        <v>909</v>
      </c>
      <c r="F126">
        <f>RTD("nest.scriprtd",,"bse_cm|9IIFL28","Ask Rate")</f>
        <v>959.4</v>
      </c>
      <c r="G126">
        <f>RTD("nest.scriprtd",,"bse_cm|9IIFL28","Ask Qty")</f>
        <v>20</v>
      </c>
      <c r="H126">
        <f>RTD("nest.scriprtd",,"bse_cm|9IIFL28","LTP")</f>
        <v>0</v>
      </c>
      <c r="I126" t="str">
        <f>RTD("nest.scriprtd",,"bse_cm|9IIFL28","LTT")</f>
        <v>00:00:00</v>
      </c>
      <c r="J126">
        <f>RTD("nest.scriprtd",,"bse_cm|9IIFL28","% Change")</f>
        <v>-100</v>
      </c>
      <c r="K126">
        <f>RTD("nest.scriprtd",,"bse_cm|9IIFL28","ATP")</f>
        <v>0</v>
      </c>
      <c r="L126">
        <f>RTD("nest.scriprtd",,"bse_cm|9IIFL28","Volume Traded Today")</f>
        <v>0</v>
      </c>
      <c r="M126">
        <f>RTD("nest.scriprtd",,"bse_cm|9IIFL28","Open")</f>
        <v>0</v>
      </c>
      <c r="N126">
        <f>RTD("nest.scriprtd",,"bse_cm|9IIFL28","High")</f>
        <v>954</v>
      </c>
      <c r="O126">
        <f>RTD("nest.scriprtd",,"bse_cm|9IIFL28","Low ")</f>
        <v>954</v>
      </c>
      <c r="P126">
        <f>RTD("nest.scriprtd",,"bse_cm|9IIFL28","Prev Close")</f>
        <v>954</v>
      </c>
      <c r="Q126">
        <f>RTD("nest.scriprtd",,"bse_cm|9IIFL28","Face Value")</f>
        <v>1000</v>
      </c>
      <c r="R126" t="str">
        <f>RTD("nest.scriprtd",,"bse_cm|9IIFL28","Isin code")</f>
        <v>INE530B07377</v>
      </c>
      <c r="S126" s="9">
        <f>Table1[[#This Row],[Ask Rate]]*Table1[[#This Row],[Ask Qty]]</f>
        <v>19188</v>
      </c>
      <c r="T126">
        <f>VLOOKUP(Table1[[#This Row],[Isin code]],Table2[#All],7,FALSE)</f>
        <v>9</v>
      </c>
      <c r="U126" s="17" t="str">
        <f>VLOOKUP(Table1[[#This Row],[Isin code]],Table2[#All],8,FALSE)</f>
        <v>28-Jun-2028</v>
      </c>
      <c r="V126" s="10">
        <f ca="1">Table1[[#This Row],[Maturity]]-TODAY()</f>
        <v>1351</v>
      </c>
      <c r="W126" t="str">
        <f>VLOOKUP(Table1[[#This Row],[Isin code]],Table2[#All],10,FALSE)</f>
        <v>Yearly</v>
      </c>
      <c r="X126">
        <f ca="1">_xlfn.DAYS(Table1[[#This Row],[Maturity]],TODAY())-15</f>
        <v>1336</v>
      </c>
      <c r="Y1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26">
        <f>IF(Table1[[#This Row],[Ask Rate]]=0,0,Table1[[#This Row],[Face Value]]-Table1[[#This Row],[Ask Rate]])</f>
        <v>40.600000000000023</v>
      </c>
      <c r="AA126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126">
        <f ca="1">Table1[[#This Row],[Face Value]]*Table1[[#This Row],[Rate]]*Table1[[#This Row],[Time]]</f>
        <v>360</v>
      </c>
      <c r="AC126">
        <f ca="1">Table1[[#This Row],[SI]]+Table1[[#This Row],[Disc/Prem]]</f>
        <v>400.6</v>
      </c>
      <c r="AD126" s="3">
        <f ca="1">Table1[[#This Row],[Net Gain]]/Table1[[#This Row],[Ask Rate]]</f>
        <v>0.4175526370648322</v>
      </c>
      <c r="AE126" s="3">
        <f ca="1">IF(Table1[[#This Row],[Ask Qty]]=0,0,Table1[[#This Row],[Gross Yield]]*365/Table1[[#This Row],[Days Left]])</f>
        <v>0.11281029794867783</v>
      </c>
      <c r="AF126" s="9">
        <f ca="1">+Table1[[#This Row],[Net Gain]]*Table1[[#This Row],[Ask Qty]]</f>
        <v>8012</v>
      </c>
      <c r="AG126" t="str">
        <f ca="1">IF(Table1[[#This Row],[YTM]]&gt;0.12,IF(Table1[[#This Row],[Gross Profit]]&gt;10000,"Invest","Review"),"Low YTM")</f>
        <v>Low YTM</v>
      </c>
    </row>
    <row r="127" spans="1:33" x14ac:dyDescent="0.3">
      <c r="A127" t="str">
        <f>RTD("nest.scriprtd",,"nse_cm|948SCL27-YV","Symbol")</f>
        <v>948SCL27</v>
      </c>
      <c r="B127" t="str">
        <f>RTD("nest.scriprtd",,"nse_cm|948SCL27-YV","Trading Symbol")</f>
        <v>948SCL27-YV</v>
      </c>
      <c r="C127" t="str">
        <f>RTD("nest.scriprtd",,"nse_cm|948SCL27-YV","Exchange")</f>
        <v>NSE</v>
      </c>
      <c r="D127">
        <f>RTD("nest.scriprtd",,"nse_cm|948SCL27-YV","Bid Qty")</f>
        <v>3</v>
      </c>
      <c r="E127">
        <f>RTD("nest.scriprtd",,"nse_cm|948SCL27-YV","Bid Rate")</f>
        <v>910.2</v>
      </c>
      <c r="F127">
        <f>RTD("nest.scriprtd",,"nse_cm|948SCL27-YV","Ask Rate")</f>
        <v>970</v>
      </c>
      <c r="G127">
        <f>RTD("nest.scriprtd",,"nse_cm|948SCL27-YV","Ask Qty")</f>
        <v>100</v>
      </c>
      <c r="H127">
        <f>RTD("nest.scriprtd",,"nse_cm|948SCL27-YV","LTP")</f>
        <v>970</v>
      </c>
      <c r="I127" t="str">
        <f>RTD("nest.scriprtd",,"nse_cm|948SCL27-YV","LTT")</f>
        <v/>
      </c>
      <c r="J127">
        <f>RTD("nest.scriprtd",,"nse_cm|948SCL27-YV","% Change")</f>
        <v>0</v>
      </c>
      <c r="K127">
        <f>RTD("nest.scriprtd",,"nse_cm|948SCL27-YV","ATP")</f>
        <v>0</v>
      </c>
      <c r="L127">
        <f>RTD("nest.scriprtd",,"nse_cm|948SCL27-YV","Volume Traded Today")</f>
        <v>0</v>
      </c>
      <c r="M127">
        <f>RTD("nest.scriprtd",,"nse_cm|948SCL27-YV","Open")</f>
        <v>0</v>
      </c>
      <c r="N127">
        <f>RTD("nest.scriprtd",,"nse_cm|948SCL27-YV","High")</f>
        <v>970</v>
      </c>
      <c r="O127">
        <f>RTD("nest.scriprtd",,"nse_cm|948SCL27-YV","Low ")</f>
        <v>970</v>
      </c>
      <c r="P127">
        <f>RTD("nest.scriprtd",,"nse_cm|948SCL27-YV","Prev Close")</f>
        <v>970</v>
      </c>
      <c r="Q127">
        <f>RTD("nest.scriprtd",,"nse_cm|948SCL27-YV","Face Value")</f>
        <v>1000</v>
      </c>
      <c r="R127" t="str">
        <f>RTD("nest.scriprtd",,"nse_cm|948SCL27-YV","Isin code")</f>
        <v>INE148I07SI4</v>
      </c>
      <c r="S127" s="9">
        <f>Table1[[#This Row],[Ask Rate]]*Table1[[#This Row],[Ask Qty]]</f>
        <v>97000</v>
      </c>
      <c r="T127">
        <f>VLOOKUP(Table1[[#This Row],[Isin code]],Table2[#All],7,FALSE)</f>
        <v>9.48</v>
      </c>
      <c r="U127" s="17" t="str">
        <f>VLOOKUP(Table1[[#This Row],[Isin code]],Table2[#All],8,FALSE)</f>
        <v>26-Mar-2027</v>
      </c>
      <c r="V127" s="10">
        <f ca="1">Table1[[#This Row],[Maturity]]-TODAY()</f>
        <v>891</v>
      </c>
      <c r="W127" t="str">
        <f>VLOOKUP(Table1[[#This Row],[Isin code]],Table2[#All],10,FALSE)</f>
        <v>Monthly</v>
      </c>
      <c r="X127">
        <f ca="1">_xlfn.DAYS(Table1[[#This Row],[Maturity]],TODAY())-15</f>
        <v>876</v>
      </c>
      <c r="Y1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127">
        <f>IF(Table1[[#This Row],[Ask Rate]]=0,0,Table1[[#This Row],[Face Value]]-Table1[[#This Row],[Ask Rate]])</f>
        <v>30</v>
      </c>
      <c r="AA127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127">
        <f ca="1">Table1[[#This Row],[Face Value]]*Table1[[#This Row],[Rate]]*Table1[[#This Row],[Time]]</f>
        <v>237</v>
      </c>
      <c r="AC127">
        <f ca="1">Table1[[#This Row],[SI]]+Table1[[#This Row],[Disc/Prem]]</f>
        <v>267</v>
      </c>
      <c r="AD127" s="3">
        <f ca="1">Table1[[#This Row],[Net Gain]]/Table1[[#This Row],[Ask Rate]]</f>
        <v>0.27525773195876291</v>
      </c>
      <c r="AE127" s="3">
        <f ca="1">IF(Table1[[#This Row],[Ask Qty]]=0,0,Table1[[#This Row],[Gross Yield]]*365/Table1[[#This Row],[Days Left]])</f>
        <v>0.11275990141969523</v>
      </c>
      <c r="AF127" s="9">
        <f ca="1">+Table1[[#This Row],[Net Gain]]*Table1[[#This Row],[Ask Qty]]</f>
        <v>26700</v>
      </c>
      <c r="AG127" t="str">
        <f ca="1">IF(Table1[[#This Row],[YTM]]&gt;0.12,IF(Table1[[#This Row],[Gross Profit]]&gt;10000,"Invest","Review"),"Low YTM")</f>
        <v>Low YTM</v>
      </c>
    </row>
    <row r="128" spans="1:33" x14ac:dyDescent="0.3">
      <c r="A128" t="str">
        <f>RTD("nest.scriprtd",,"nse_cm|1025SCL34-Z8","Symbol")</f>
        <v>1025SCL34</v>
      </c>
      <c r="B128" t="str">
        <f>RTD("nest.scriprtd",,"nse_cm|1025SCL34-Z8","Trading Symbol")</f>
        <v>1025SCL34-Z8</v>
      </c>
      <c r="C128" t="str">
        <f>RTD("nest.scriprtd",,"nse_cm|1025SCL34-Z8","Exchange")</f>
        <v>NSE</v>
      </c>
      <c r="D128">
        <f>RTD("nest.scriprtd",,"nse_cm|1025SCL34-Z8","Bid Qty")</f>
        <v>5</v>
      </c>
      <c r="E128">
        <f>RTD("nest.scriprtd",,"nse_cm|1025SCL34-Z8","Bid Rate")</f>
        <v>940</v>
      </c>
      <c r="F128">
        <f>RTD("nest.scriprtd",,"nse_cm|1025SCL34-Z8","Ask Rate")</f>
        <v>960</v>
      </c>
      <c r="G128">
        <f>RTD("nest.scriprtd",,"nse_cm|1025SCL34-Z8","Ask Qty")</f>
        <v>100</v>
      </c>
      <c r="H128">
        <f>RTD("nest.scriprtd",,"nse_cm|1025SCL34-Z8","LTP")</f>
        <v>960</v>
      </c>
      <c r="I128" t="str">
        <f>RTD("nest.scriprtd",,"nse_cm|1025SCL34-Z8","LTT")</f>
        <v/>
      </c>
      <c r="J128">
        <f>RTD("nest.scriprtd",,"nse_cm|1025SCL34-Z8","% Change")</f>
        <v>0.1</v>
      </c>
      <c r="K128">
        <f>RTD("nest.scriprtd",,"nse_cm|1025SCL34-Z8","ATP")</f>
        <v>0</v>
      </c>
      <c r="L128">
        <f>RTD("nest.scriprtd",,"nse_cm|1025SCL34-Z8","Volume Traded Today")</f>
        <v>0</v>
      </c>
      <c r="M128">
        <f>RTD("nest.scriprtd",,"nse_cm|1025SCL34-Z8","Open")</f>
        <v>0</v>
      </c>
      <c r="N128">
        <f>RTD("nest.scriprtd",,"nse_cm|1025SCL34-Z8","High")</f>
        <v>960</v>
      </c>
      <c r="O128">
        <f>RTD("nest.scriprtd",,"nse_cm|1025SCL34-Z8","Low ")</f>
        <v>960</v>
      </c>
      <c r="P128">
        <f>RTD("nest.scriprtd",,"nse_cm|1025SCL34-Z8","Prev Close")</f>
        <v>959</v>
      </c>
      <c r="Q128">
        <f>RTD("nest.scriprtd",,"nse_cm|1025SCL34-Z8","Face Value")</f>
        <v>1000</v>
      </c>
      <c r="R128" t="str">
        <f>RTD("nest.scriprtd",,"nse_cm|1025SCL34-Z8","Isin code")</f>
        <v>INE148I07SQ7</v>
      </c>
      <c r="S128" s="9">
        <f>Table1[[#This Row],[Ask Rate]]*Table1[[#This Row],[Ask Qty]]</f>
        <v>96000</v>
      </c>
      <c r="T128">
        <f>VLOOKUP(Table1[[#This Row],[Isin code]],Table2[#All],7,FALSE)</f>
        <v>10.25</v>
      </c>
      <c r="U128" s="17">
        <f>VLOOKUP(Table1[[#This Row],[Isin code]],Table2[#All],8,FALSE)</f>
        <v>49029</v>
      </c>
      <c r="V128" s="10">
        <f ca="1">Table1[[#This Row],[Maturity]]-TODAY()</f>
        <v>3448</v>
      </c>
      <c r="W128" t="str">
        <f>VLOOKUP(Table1[[#This Row],[Isin code]],Table2[#All],10,FALSE)</f>
        <v>Monthly</v>
      </c>
      <c r="X128">
        <f ca="1">_xlfn.DAYS(Table1[[#This Row],[Maturity]],TODAY())-15</f>
        <v>3433</v>
      </c>
      <c r="Y1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115</v>
      </c>
      <c r="Z128">
        <f>IF(Table1[[#This Row],[Ask Rate]]=0,0,Table1[[#This Row],[Face Value]]-Table1[[#This Row],[Ask Rate]])</f>
        <v>40</v>
      </c>
      <c r="AA128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28">
        <f ca="1">Table1[[#This Row],[Face Value]]*Table1[[#This Row],[Rate]]*Table1[[#This Row],[Time]]</f>
        <v>982.29166666666663</v>
      </c>
      <c r="AC128">
        <f ca="1">Table1[[#This Row],[SI]]+Table1[[#This Row],[Disc/Prem]]</f>
        <v>1022.2916666666666</v>
      </c>
      <c r="AD128" s="3">
        <f ca="1">Table1[[#This Row],[Net Gain]]/Table1[[#This Row],[Ask Rate]]</f>
        <v>1.0648871527777777</v>
      </c>
      <c r="AE128" s="3">
        <f ca="1">IF(Table1[[#This Row],[Ask Qty]]=0,0,Table1[[#This Row],[Gross Yield]]*365/Table1[[#This Row],[Days Left]])</f>
        <v>0.11272732330739237</v>
      </c>
      <c r="AF128" s="9">
        <f ca="1">+Table1[[#This Row],[Net Gain]]*Table1[[#This Row],[Ask Qty]]</f>
        <v>102229.16666666666</v>
      </c>
      <c r="AG128" t="str">
        <f ca="1">IF(Table1[[#This Row],[YTM]]&gt;0.12,IF(Table1[[#This Row],[Gross Profit]]&gt;10000,"Invest","Review"),"Low YTM")</f>
        <v>Low YTM</v>
      </c>
    </row>
    <row r="129" spans="1:33" x14ac:dyDescent="0.3">
      <c r="A129" t="str">
        <f>RTD("nest.scriprtd",,"bse_cm|1025SCL34","Symbol")</f>
        <v>1025SCL34</v>
      </c>
      <c r="B129" t="str">
        <f>RTD("nest.scriprtd",,"bse_cm|1025SCL34","Trading Symbol")</f>
        <v>1025SCL34</v>
      </c>
      <c r="C129" t="str">
        <f>RTD("nest.scriprtd",,"bse_cm|1025SCL34","Exchange")</f>
        <v>BSE</v>
      </c>
      <c r="D129">
        <f>RTD("nest.scriprtd",,"bse_cm|1025SCL34","Bid Qty")</f>
        <v>25</v>
      </c>
      <c r="E129">
        <f>RTD("nest.scriprtd",,"bse_cm|1025SCL34","Bid Rate")</f>
        <v>925</v>
      </c>
      <c r="F129">
        <f>RTD("nest.scriprtd",,"bse_cm|1025SCL34","Ask Rate")</f>
        <v>960</v>
      </c>
      <c r="G129">
        <f>RTD("nest.scriprtd",,"bse_cm|1025SCL34","Ask Qty")</f>
        <v>61</v>
      </c>
      <c r="H129">
        <f>RTD("nest.scriprtd",,"bse_cm|1025SCL34","LTP")</f>
        <v>0</v>
      </c>
      <c r="I129" t="str">
        <f>RTD("nest.scriprtd",,"bse_cm|1025SCL34","LTT")</f>
        <v>00:00:00</v>
      </c>
      <c r="J129">
        <f>RTD("nest.scriprtd",,"bse_cm|1025SCL34","% Change")</f>
        <v>-100</v>
      </c>
      <c r="K129">
        <f>RTD("nest.scriprtd",,"bse_cm|1025SCL34","ATP")</f>
        <v>0</v>
      </c>
      <c r="L129">
        <f>RTD("nest.scriprtd",,"bse_cm|1025SCL34","Volume Traded Today")</f>
        <v>0</v>
      </c>
      <c r="M129">
        <f>RTD("nest.scriprtd",,"bse_cm|1025SCL34","Open")</f>
        <v>0</v>
      </c>
      <c r="N129">
        <f>RTD("nest.scriprtd",,"bse_cm|1025SCL34","High")</f>
        <v>960</v>
      </c>
      <c r="O129">
        <f>RTD("nest.scriprtd",,"bse_cm|1025SCL34","Low ")</f>
        <v>960</v>
      </c>
      <c r="P129">
        <f>RTD("nest.scriprtd",,"bse_cm|1025SCL34","Prev Close")</f>
        <v>960</v>
      </c>
      <c r="Q129">
        <f>RTD("nest.scriprtd",,"bse_cm|1025SCL34","Face Value")</f>
        <v>1000</v>
      </c>
      <c r="R129" t="str">
        <f>RTD("nest.scriprtd",,"bse_cm|1025SCL34","Isin code")</f>
        <v>INE148I07SQ7</v>
      </c>
      <c r="S129" s="9">
        <f>Table1[[#This Row],[Ask Rate]]*Table1[[#This Row],[Ask Qty]]</f>
        <v>58560</v>
      </c>
      <c r="T129">
        <f>VLOOKUP(Table1[[#This Row],[Isin code]],Table2[#All],7,FALSE)</f>
        <v>10.25</v>
      </c>
      <c r="U129" s="17">
        <f>VLOOKUP(Table1[[#This Row],[Isin code]],Table2[#All],8,FALSE)</f>
        <v>49029</v>
      </c>
      <c r="V129" s="10">
        <f ca="1">Table1[[#This Row],[Maturity]]-TODAY()</f>
        <v>3448</v>
      </c>
      <c r="W129" t="str">
        <f>VLOOKUP(Table1[[#This Row],[Isin code]],Table2[#All],10,FALSE)</f>
        <v>Monthly</v>
      </c>
      <c r="X129">
        <f ca="1">_xlfn.DAYS(Table1[[#This Row],[Maturity]],TODAY())-15</f>
        <v>3433</v>
      </c>
      <c r="Y1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115</v>
      </c>
      <c r="Z129">
        <f>IF(Table1[[#This Row],[Ask Rate]]=0,0,Table1[[#This Row],[Face Value]]-Table1[[#This Row],[Ask Rate]])</f>
        <v>40</v>
      </c>
      <c r="AA129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29">
        <f ca="1">Table1[[#This Row],[Face Value]]*Table1[[#This Row],[Rate]]*Table1[[#This Row],[Time]]</f>
        <v>982.29166666666663</v>
      </c>
      <c r="AC129">
        <f ca="1">Table1[[#This Row],[SI]]+Table1[[#This Row],[Disc/Prem]]</f>
        <v>1022.2916666666666</v>
      </c>
      <c r="AD129" s="3">
        <f ca="1">Table1[[#This Row],[Net Gain]]/Table1[[#This Row],[Ask Rate]]</f>
        <v>1.0648871527777777</v>
      </c>
      <c r="AE129" s="3">
        <f ca="1">IF(Table1[[#This Row],[Ask Qty]]=0,0,Table1[[#This Row],[Gross Yield]]*365/Table1[[#This Row],[Days Left]])</f>
        <v>0.11272732330739237</v>
      </c>
      <c r="AF129" s="9">
        <f ca="1">+Table1[[#This Row],[Net Gain]]*Table1[[#This Row],[Ask Qty]]</f>
        <v>62359.791666666664</v>
      </c>
      <c r="AG129" t="str">
        <f ca="1">IF(Table1[[#This Row],[YTM]]&gt;0.12,IF(Table1[[#This Row],[Gross Profit]]&gt;10000,"Invest","Review"),"Low YTM")</f>
        <v>Low YTM</v>
      </c>
    </row>
    <row r="130" spans="1:33" x14ac:dyDescent="0.3">
      <c r="A130" t="str">
        <f>RTD("nest.scriprtd",,"nse_cm|105UCL2026-NB","Symbol")</f>
        <v>105UCL2026</v>
      </c>
      <c r="B130" t="str">
        <f>RTD("nest.scriprtd",,"nse_cm|105UCL2026-NB","Trading Symbol")</f>
        <v>105UCL2026-NB</v>
      </c>
      <c r="C130" t="str">
        <f>RTD("nest.scriprtd",,"nse_cm|105UCL2026-NB","Exchange")</f>
        <v>NSE</v>
      </c>
      <c r="D130">
        <f>RTD("nest.scriprtd",,"nse_cm|105UCL2026-NB","Bid Qty")</f>
        <v>6</v>
      </c>
      <c r="E130">
        <f>RTD("nest.scriprtd",,"nse_cm|105UCL2026-NB","Bid Rate")</f>
        <v>990</v>
      </c>
      <c r="F130">
        <f>RTD("nest.scriprtd",,"nse_cm|105UCL2026-NB","Ask Rate")</f>
        <v>995</v>
      </c>
      <c r="G130">
        <f>RTD("nest.scriprtd",,"nse_cm|105UCL2026-NB","Ask Qty")</f>
        <v>4</v>
      </c>
      <c r="H130">
        <f>RTD("nest.scriprtd",,"nse_cm|105UCL2026-NB","LTP")</f>
        <v>995</v>
      </c>
      <c r="I130" t="str">
        <f>RTD("nest.scriprtd",,"nse_cm|105UCL2026-NB","LTT")</f>
        <v>10:12:27</v>
      </c>
      <c r="J130">
        <f>RTD("nest.scriprtd",,"nse_cm|105UCL2026-NB","% Change")</f>
        <v>-0.5</v>
      </c>
      <c r="K130">
        <f>RTD("nest.scriprtd",,"nse_cm|105UCL2026-NB","ATP")</f>
        <v>976.25</v>
      </c>
      <c r="L130">
        <f>RTD("nest.scriprtd",,"nse_cm|105UCL2026-NB","Volume Traded Today")</f>
        <v>16</v>
      </c>
      <c r="M130">
        <f>RTD("nest.scriprtd",,"nse_cm|105UCL2026-NB","Open")</f>
        <v>965</v>
      </c>
      <c r="N130">
        <f>RTD("nest.scriprtd",,"nse_cm|105UCL2026-NB","High")</f>
        <v>995</v>
      </c>
      <c r="O130">
        <f>RTD("nest.scriprtd",,"nse_cm|105UCL2026-NB","Low ")</f>
        <v>965</v>
      </c>
      <c r="P130">
        <f>RTD("nest.scriprtd",,"nse_cm|105UCL2026-NB","Prev Close")</f>
        <v>1000</v>
      </c>
      <c r="Q130">
        <f>RTD("nest.scriprtd",,"nse_cm|105UCL2026-NB","Face Value")</f>
        <v>1000</v>
      </c>
      <c r="R130" t="str">
        <f>RTD("nest.scriprtd",,"nse_cm|105UCL2026-NB","Isin code")</f>
        <v>INE583D07463</v>
      </c>
      <c r="S130" s="9">
        <f>Table1[[#This Row],[Ask Rate]]*Table1[[#This Row],[Ask Qty]]</f>
        <v>3980</v>
      </c>
      <c r="T130">
        <f>VLOOKUP(Table1[[#This Row],[Isin code]],Table2[#All],7,FALSE)</f>
        <v>10.5</v>
      </c>
      <c r="U130" s="17" t="str">
        <f>VLOOKUP(Table1[[#This Row],[Isin code]],Table2[#All],8,FALSE)</f>
        <v>27-May-2026</v>
      </c>
      <c r="V130" s="10">
        <f ca="1">Table1[[#This Row],[Maturity]]-TODAY()</f>
        <v>588</v>
      </c>
      <c r="W130" t="str">
        <f>VLOOKUP(Table1[[#This Row],[Isin code]],Table2[#All],10,FALSE)</f>
        <v>Monthly</v>
      </c>
      <c r="X130">
        <f ca="1">_xlfn.DAYS(Table1[[#This Row],[Maturity]],TODAY())-15</f>
        <v>573</v>
      </c>
      <c r="Y1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130">
        <f>IF(Table1[[#This Row],[Ask Rate]]=0,0,Table1[[#This Row],[Face Value]]-Table1[[#This Row],[Ask Rate]])</f>
        <v>5</v>
      </c>
      <c r="AA130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130">
        <f ca="1">Table1[[#This Row],[Face Value]]*Table1[[#This Row],[Rate]]*Table1[[#This Row],[Time]]</f>
        <v>175</v>
      </c>
      <c r="AC130">
        <f ca="1">Table1[[#This Row],[SI]]+Table1[[#This Row],[Disc/Prem]]</f>
        <v>180</v>
      </c>
      <c r="AD130" s="3">
        <f ca="1">Table1[[#This Row],[Net Gain]]/Table1[[#This Row],[Ask Rate]]</f>
        <v>0.18090452261306533</v>
      </c>
      <c r="AE130" s="3">
        <f ca="1">IF(Table1[[#This Row],[Ask Qty]]=0,0,Table1[[#This Row],[Gross Yield]]*365/Table1[[#This Row],[Days Left]])</f>
        <v>0.11229617475130757</v>
      </c>
      <c r="AF130" s="9">
        <f ca="1">+Table1[[#This Row],[Net Gain]]*Table1[[#This Row],[Ask Qty]]</f>
        <v>720</v>
      </c>
      <c r="AG130" t="str">
        <f ca="1">IF(Table1[[#This Row],[YTM]]&gt;0.12,IF(Table1[[#This Row],[Gross Profit]]&gt;10000,"Invest","Review"),"Low YTM")</f>
        <v>Low YTM</v>
      </c>
    </row>
    <row r="131" spans="1:33" x14ac:dyDescent="0.3">
      <c r="A131" t="str">
        <f>RTD("nest.scriprtd",,"bse_cm|10EFSL34A","Symbol")</f>
        <v>10EFSL34A</v>
      </c>
      <c r="B131" t="str">
        <f>RTD("nest.scriprtd",,"bse_cm|10EFSL34A","Trading Symbol")</f>
        <v>10EFSL34A</v>
      </c>
      <c r="C131" t="str">
        <f>RTD("nest.scriprtd",,"bse_cm|10EFSL34A","Exchange")</f>
        <v>BSE</v>
      </c>
      <c r="D131">
        <f>RTD("nest.scriprtd",,"bse_cm|10EFSL34A","Bid Qty")</f>
        <v>10</v>
      </c>
      <c r="E131">
        <f>RTD("nest.scriprtd",,"bse_cm|10EFSL34A","Bid Rate")</f>
        <v>925</v>
      </c>
      <c r="F131">
        <f>RTD("nest.scriprtd",,"bse_cm|10EFSL34A","Ask Rate")</f>
        <v>950</v>
      </c>
      <c r="G131">
        <f>RTD("nest.scriprtd",,"bse_cm|10EFSL34A","Ask Qty")</f>
        <v>9</v>
      </c>
      <c r="H131">
        <f>RTD("nest.scriprtd",,"bse_cm|10EFSL34A","LTP")</f>
        <v>0</v>
      </c>
      <c r="I131" t="str">
        <f>RTD("nest.scriprtd",,"bse_cm|10EFSL34A","LTT")</f>
        <v>00:00:00</v>
      </c>
      <c r="J131">
        <f>RTD("nest.scriprtd",,"bse_cm|10EFSL34A","% Change")</f>
        <v>-100</v>
      </c>
      <c r="K131">
        <f>RTD("nest.scriprtd",,"bse_cm|10EFSL34A","ATP")</f>
        <v>0</v>
      </c>
      <c r="L131">
        <f>RTD("nest.scriprtd",,"bse_cm|10EFSL34A","Volume Traded Today")</f>
        <v>0</v>
      </c>
      <c r="M131">
        <f>RTD("nest.scriprtd",,"bse_cm|10EFSL34A","Open")</f>
        <v>0</v>
      </c>
      <c r="N131">
        <f>RTD("nest.scriprtd",,"bse_cm|10EFSL34A","High")</f>
        <v>900</v>
      </c>
      <c r="O131">
        <f>RTD("nest.scriprtd",,"bse_cm|10EFSL34A","Low ")</f>
        <v>900</v>
      </c>
      <c r="P131">
        <f>RTD("nest.scriprtd",,"bse_cm|10EFSL34A","Prev Close")</f>
        <v>900</v>
      </c>
      <c r="Q131">
        <f>RTD("nest.scriprtd",,"bse_cm|10EFSL34A","Face Value")</f>
        <v>1000</v>
      </c>
      <c r="R131" t="str">
        <f>RTD("nest.scriprtd",,"bse_cm|10EFSL34A","Isin code")</f>
        <v>INE532F07FD3</v>
      </c>
      <c r="S131" s="9">
        <f>Table1[[#This Row],[Ask Rate]]*Table1[[#This Row],[Ask Qty]]</f>
        <v>8550</v>
      </c>
      <c r="T131">
        <f>VLOOKUP(Table1[[#This Row],[Isin code]],Table2[#All],7,FALSE)</f>
        <v>10</v>
      </c>
      <c r="U131" s="17" t="str">
        <f>VLOOKUP(Table1[[#This Row],[Isin code]],Table2[#All],8,FALSE)</f>
        <v>29-Apr-2034</v>
      </c>
      <c r="V131" s="10">
        <f ca="1">Table1[[#This Row],[Maturity]]-TODAY()</f>
        <v>3482</v>
      </c>
      <c r="W131" t="str">
        <f>VLOOKUP(Table1[[#This Row],[Isin code]],Table2[#All],10,FALSE)</f>
        <v>Monthly</v>
      </c>
      <c r="X131">
        <f ca="1">_xlfn.DAYS(Table1[[#This Row],[Maturity]],TODAY())-15</f>
        <v>3467</v>
      </c>
      <c r="Y1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116</v>
      </c>
      <c r="Z131">
        <f>IF(Table1[[#This Row],[Ask Rate]]=0,0,Table1[[#This Row],[Face Value]]-Table1[[#This Row],[Ask Rate]])</f>
        <v>50</v>
      </c>
      <c r="AA131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31">
        <f ca="1">Table1[[#This Row],[Face Value]]*Table1[[#This Row],[Rate]]*Table1[[#This Row],[Time]]</f>
        <v>966.66666666666674</v>
      </c>
      <c r="AC131">
        <f ca="1">Table1[[#This Row],[SI]]+Table1[[#This Row],[Disc/Prem]]</f>
        <v>1016.6666666666667</v>
      </c>
      <c r="AD131" s="3">
        <f ca="1">Table1[[#This Row],[Net Gain]]/Table1[[#This Row],[Ask Rate]]</f>
        <v>1.0701754385964912</v>
      </c>
      <c r="AE131" s="3">
        <f ca="1">IF(Table1[[#This Row],[Ask Qty]]=0,0,Table1[[#This Row],[Gross Yield]]*365/Table1[[#This Row],[Days Left]])</f>
        <v>0.11218094057659946</v>
      </c>
      <c r="AF131" s="9">
        <f ca="1">+Table1[[#This Row],[Net Gain]]*Table1[[#This Row],[Ask Qty]]</f>
        <v>9150</v>
      </c>
      <c r="AG131" t="str">
        <f ca="1">IF(Table1[[#This Row],[YTM]]&gt;0.12,IF(Table1[[#This Row],[Gross Profit]]&gt;10000,"Invest","Review"),"Low YTM")</f>
        <v>Low YTM</v>
      </c>
    </row>
    <row r="132" spans="1:33" x14ac:dyDescent="0.3">
      <c r="A132" t="str">
        <f>RTD("nest.scriprtd",,"bse_cm|95KFL27A","Symbol")</f>
        <v>95KFL27A</v>
      </c>
      <c r="B132" t="str">
        <f>RTD("nest.scriprtd",,"bse_cm|95KFL27A","Trading Symbol")</f>
        <v>95KFL27A</v>
      </c>
      <c r="C132" t="str">
        <f>RTD("nest.scriprtd",,"bse_cm|95KFL27A","Exchange")</f>
        <v>BSE</v>
      </c>
      <c r="D132">
        <f>RTD("nest.scriprtd",,"bse_cm|95KFL27A","Bid Qty")</f>
        <v>2</v>
      </c>
      <c r="E132">
        <f>RTD("nest.scriprtd",,"bse_cm|95KFL27A","Bid Rate")</f>
        <v>901.7</v>
      </c>
      <c r="F132">
        <f>RTD("nest.scriprtd",,"bse_cm|95KFL27A","Ask Rate")</f>
        <v>970</v>
      </c>
      <c r="G132">
        <f>RTD("nest.scriprtd",,"bse_cm|95KFL27A","Ask Qty")</f>
        <v>100</v>
      </c>
      <c r="H132">
        <f>RTD("nest.scriprtd",,"bse_cm|95KFL27A","LTP")</f>
        <v>908</v>
      </c>
      <c r="I132" t="str">
        <f>RTD("nest.scriprtd",,"bse_cm|95KFL27A","LTT")</f>
        <v>09:59:00</v>
      </c>
      <c r="J132">
        <f>RTD("nest.scriprtd",,"bse_cm|95KFL27A","% Change")</f>
        <v>-5.42</v>
      </c>
      <c r="K132">
        <f>RTD("nest.scriprtd",,"bse_cm|95KFL27A","ATP")</f>
        <v>908</v>
      </c>
      <c r="L132">
        <f>RTD("nest.scriprtd",,"bse_cm|95KFL27A","Volume Traded Today")</f>
        <v>66</v>
      </c>
      <c r="M132">
        <f>RTD("nest.scriprtd",,"bse_cm|95KFL27A","Open")</f>
        <v>908</v>
      </c>
      <c r="N132">
        <f>RTD("nest.scriprtd",,"bse_cm|95KFL27A","High")</f>
        <v>908</v>
      </c>
      <c r="O132">
        <f>RTD("nest.scriprtd",,"bse_cm|95KFL27A","Low ")</f>
        <v>908</v>
      </c>
      <c r="P132">
        <f>RTD("nest.scriprtd",,"bse_cm|95KFL27A","Prev Close")</f>
        <v>960</v>
      </c>
      <c r="Q132">
        <f>RTD("nest.scriprtd",,"bse_cm|95KFL27A","Face Value")</f>
        <v>1000</v>
      </c>
      <c r="R132" t="str">
        <f>RTD("nest.scriprtd",,"bse_cm|95KFL27A","Isin code")</f>
        <v>INE403Q07DG2</v>
      </c>
      <c r="S132" s="9">
        <f>Table1[[#This Row],[Ask Rate]]*Table1[[#This Row],[Ask Qty]]</f>
        <v>97000</v>
      </c>
      <c r="T132">
        <f>VLOOKUP(Table1[[#This Row],[Isin code]],Table2[#All],7,FALSE)</f>
        <v>9.5</v>
      </c>
      <c r="U132" s="17" t="str">
        <f>VLOOKUP(Table1[[#This Row],[Isin code]],Table2[#All],8,FALSE)</f>
        <v>28-Apr-2027</v>
      </c>
      <c r="V132" s="10">
        <f ca="1">Table1[[#This Row],[Maturity]]-TODAY()</f>
        <v>924</v>
      </c>
      <c r="W132" t="str">
        <f>VLOOKUP(Table1[[#This Row],[Isin code]],Table2[#All],10,FALSE)</f>
        <v>Monthly</v>
      </c>
      <c r="X132">
        <f ca="1">_xlfn.DAYS(Table1[[#This Row],[Maturity]],TODAY())-15</f>
        <v>909</v>
      </c>
      <c r="Y1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132">
        <f>IF(Table1[[#This Row],[Ask Rate]]=0,0,Table1[[#This Row],[Face Value]]-Table1[[#This Row],[Ask Rate]])</f>
        <v>30</v>
      </c>
      <c r="AA132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132">
        <f ca="1">Table1[[#This Row],[Face Value]]*Table1[[#This Row],[Rate]]*Table1[[#This Row],[Time]]</f>
        <v>245.41666666666669</v>
      </c>
      <c r="AC132">
        <f ca="1">Table1[[#This Row],[SI]]+Table1[[#This Row],[Disc/Prem]]</f>
        <v>275.41666666666669</v>
      </c>
      <c r="AD132" s="3">
        <f ca="1">Table1[[#This Row],[Net Gain]]/Table1[[#This Row],[Ask Rate]]</f>
        <v>0.28393470790378011</v>
      </c>
      <c r="AE132" s="3">
        <f ca="1">IF(Table1[[#This Row],[Ask Qty]]=0,0,Table1[[#This Row],[Gross Yield]]*365/Table1[[#This Row],[Days Left]])</f>
        <v>0.1121603553948915</v>
      </c>
      <c r="AF132" s="9">
        <f ca="1">+Table1[[#This Row],[Net Gain]]*Table1[[#This Row],[Ask Qty]]</f>
        <v>27541.666666666668</v>
      </c>
      <c r="AG132" t="str">
        <f ca="1">IF(Table1[[#This Row],[YTM]]&gt;0.12,IF(Table1[[#This Row],[Gross Profit]]&gt;10000,"Invest","Review"),"Low YTM")</f>
        <v>Low YTM</v>
      </c>
    </row>
    <row r="133" spans="1:33" x14ac:dyDescent="0.3">
      <c r="A133" t="str">
        <f>RTD("nest.scriprtd",,"bse_cm|840MFL27","Symbol")</f>
        <v>840MFL27</v>
      </c>
      <c r="B133" t="str">
        <f>RTD("nest.scriprtd",,"bse_cm|840MFL27","Trading Symbol")</f>
        <v>840MFL27</v>
      </c>
      <c r="C133" t="str">
        <f>RTD("nest.scriprtd",,"bse_cm|840MFL27","Exchange")</f>
        <v>BSE</v>
      </c>
      <c r="D133">
        <f>RTD("nest.scriprtd",,"bse_cm|840MFL27","Bid Qty")</f>
        <v>13</v>
      </c>
      <c r="E133">
        <f>RTD("nest.scriprtd",,"bse_cm|840MFL27","Bid Rate")</f>
        <v>819.2</v>
      </c>
      <c r="F133">
        <f>RTD("nest.scriprtd",,"bse_cm|840MFL27","Ask Rate")</f>
        <v>951</v>
      </c>
      <c r="G133">
        <f>RTD("nest.scriprtd",,"bse_cm|840MFL27","Ask Qty")</f>
        <v>10</v>
      </c>
      <c r="H133">
        <f>RTD("nest.scriprtd",,"bse_cm|840MFL27","LTP")</f>
        <v>0</v>
      </c>
      <c r="I133" t="str">
        <f>RTD("nest.scriprtd",,"bse_cm|840MFL27","LTT")</f>
        <v>00:00:00</v>
      </c>
      <c r="J133">
        <f>RTD("nest.scriprtd",,"bse_cm|840MFL27","% Change")</f>
        <v>-100</v>
      </c>
      <c r="K133">
        <f>RTD("nest.scriprtd",,"bse_cm|840MFL27","ATP")</f>
        <v>0</v>
      </c>
      <c r="L133">
        <f>RTD("nest.scriprtd",,"bse_cm|840MFL27","Volume Traded Today")</f>
        <v>0</v>
      </c>
      <c r="M133">
        <f>RTD("nest.scriprtd",,"bse_cm|840MFL27","Open")</f>
        <v>0</v>
      </c>
      <c r="N133">
        <f>RTD("nest.scriprtd",,"bse_cm|840MFL27","High")</f>
        <v>951</v>
      </c>
      <c r="O133">
        <f>RTD("nest.scriprtd",,"bse_cm|840MFL27","Low ")</f>
        <v>951</v>
      </c>
      <c r="P133">
        <f>RTD("nest.scriprtd",,"bse_cm|840MFL27","Prev Close")</f>
        <v>951</v>
      </c>
      <c r="Q133">
        <f>RTD("nest.scriprtd",,"bse_cm|840MFL27","Face Value")</f>
        <v>1000</v>
      </c>
      <c r="R133" t="str">
        <f>RTD("nest.scriprtd",,"bse_cm|840MFL27","Isin code")</f>
        <v>INE549K07BX4</v>
      </c>
      <c r="S133" s="9">
        <f>Table1[[#This Row],[Ask Rate]]*Table1[[#This Row],[Ask Qty]]</f>
        <v>9510</v>
      </c>
      <c r="T133">
        <f>VLOOKUP(Table1[[#This Row],[Isin code]],Table2[#All],7,FALSE)</f>
        <v>8.4</v>
      </c>
      <c r="U133" s="17" t="str">
        <f>VLOOKUP(Table1[[#This Row],[Isin code]],Table2[#All],8,FALSE)</f>
        <v>02-Feb-2027</v>
      </c>
      <c r="V133" s="10">
        <f ca="1">Table1[[#This Row],[Maturity]]-TODAY()</f>
        <v>839</v>
      </c>
      <c r="W133" t="str">
        <f>VLOOKUP(Table1[[#This Row],[Isin code]],Table2[#All],10,FALSE)</f>
        <v>Monthly</v>
      </c>
      <c r="X133">
        <f ca="1">_xlfn.DAYS(Table1[[#This Row],[Maturity]],TODAY())-15</f>
        <v>824</v>
      </c>
      <c r="Y13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28</v>
      </c>
      <c r="Z133">
        <f>IF(Table1[[#This Row],[Ask Rate]]=0,0,Table1[[#This Row],[Face Value]]-Table1[[#This Row],[Ask Rate]])</f>
        <v>49</v>
      </c>
      <c r="AA133">
        <f>IF(Table1[[#This Row],[Freq]]="Yearly",Table1[[#This Row],[Coupon_Rate]]/100,IF(Table1[[#This Row],[Freq]]="Monthly",Table1[[#This Row],[Coupon_Rate]]/1200,IF(Table1[[#This Row],[Freq]]="Quarterly",Table1[[#This Row],[Coupon_Rate]]/400,0)))</f>
        <v>7.0000000000000001E-3</v>
      </c>
      <c r="AB133">
        <f ca="1">Table1[[#This Row],[Face Value]]*Table1[[#This Row],[Rate]]*Table1[[#This Row],[Time]]</f>
        <v>196</v>
      </c>
      <c r="AC133">
        <f ca="1">Table1[[#This Row],[SI]]+Table1[[#This Row],[Disc/Prem]]</f>
        <v>245</v>
      </c>
      <c r="AD133" s="3">
        <f ca="1">Table1[[#This Row],[Net Gain]]/Table1[[#This Row],[Ask Rate]]</f>
        <v>0.25762355415352262</v>
      </c>
      <c r="AE133" s="3">
        <f ca="1">IF(Table1[[#This Row],[Ask Qty]]=0,0,Table1[[#This Row],[Gross Yield]]*365/Table1[[#This Row],[Days Left]])</f>
        <v>0.11207699316571604</v>
      </c>
      <c r="AF133" s="9">
        <f ca="1">+Table1[[#This Row],[Net Gain]]*Table1[[#This Row],[Ask Qty]]</f>
        <v>2450</v>
      </c>
      <c r="AG133" t="str">
        <f ca="1">IF(Table1[[#This Row],[YTM]]&gt;0.12,IF(Table1[[#This Row],[Gross Profit]]&gt;10000,"Invest","Review"),"Low YTM")</f>
        <v>Low YTM</v>
      </c>
    </row>
    <row r="134" spans="1:33" hidden="1" x14ac:dyDescent="0.3">
      <c r="A134" t="str">
        <f>RTD("nest.scriprtd",,"bse_cm|85IIFL25","Symbol")</f>
        <v>85IIFL25</v>
      </c>
      <c r="B134" t="str">
        <f>RTD("nest.scriprtd",,"bse_cm|85IIFL25","Trading Symbol")</f>
        <v>85IIFL25</v>
      </c>
      <c r="C134" t="str">
        <f>RTD("nest.scriprtd",,"bse_cm|85IIFL25","Exchange")</f>
        <v>BSE</v>
      </c>
      <c r="D134">
        <f>RTD("nest.scriprtd",,"bse_cm|85IIFL25","Bid Qty")</f>
        <v>170</v>
      </c>
      <c r="E134">
        <f>RTD("nest.scriprtd",,"bse_cm|85IIFL25","Bid Rate")</f>
        <v>1038.2</v>
      </c>
      <c r="F134">
        <f>RTD("nest.scriprtd",,"bse_cm|85IIFL25","Ask Rate")</f>
        <v>1052.8499999999999</v>
      </c>
      <c r="G134">
        <f>RTD("nest.scriprtd",,"bse_cm|85IIFL25","Ask Qty")</f>
        <v>5</v>
      </c>
      <c r="H134">
        <f>RTD("nest.scriprtd",,"bse_cm|85IIFL25","LTP")</f>
        <v>0</v>
      </c>
      <c r="I134" t="str">
        <f>RTD("nest.scriprtd",,"bse_cm|85IIFL25","LTT")</f>
        <v>00:00:00</v>
      </c>
      <c r="J134">
        <f>RTD("nest.scriprtd",,"bse_cm|85IIFL25","% Change")</f>
        <v>-100</v>
      </c>
      <c r="K134">
        <f>RTD("nest.scriprtd",,"bse_cm|85IIFL25","ATP")</f>
        <v>0</v>
      </c>
      <c r="L134">
        <f>RTD("nest.scriprtd",,"bse_cm|85IIFL25","Volume Traded Today")</f>
        <v>0</v>
      </c>
      <c r="M134">
        <f>RTD("nest.scriprtd",,"bse_cm|85IIFL25","Open")</f>
        <v>0</v>
      </c>
      <c r="N134">
        <f>RTD("nest.scriprtd",,"bse_cm|85IIFL25","High")</f>
        <v>1038.2</v>
      </c>
      <c r="O134">
        <f>RTD("nest.scriprtd",,"bse_cm|85IIFL25","Low ")</f>
        <v>1038.2</v>
      </c>
      <c r="P134">
        <f>RTD("nest.scriprtd",,"bse_cm|85IIFL25","Prev Close")</f>
        <v>1038.2</v>
      </c>
      <c r="Q134">
        <f>RTD("nest.scriprtd",,"bse_cm|85IIFL25","Face Value")</f>
        <v>1000</v>
      </c>
      <c r="R134" t="str">
        <f>RTD("nest.scriprtd",,"bse_cm|85IIFL25","Isin code")</f>
        <v>INE530B07252</v>
      </c>
      <c r="S134" s="9">
        <f>Table1[[#This Row],[Ask Rate]]*Table1[[#This Row],[Ask Qty]]</f>
        <v>5264.25</v>
      </c>
      <c r="T134">
        <f>VLOOKUP(Table1[[#This Row],[Isin code]],Table2[#All],7,FALSE)</f>
        <v>8.5</v>
      </c>
      <c r="U134" s="17" t="str">
        <f>VLOOKUP(Table1[[#This Row],[Isin code]],Table2[#All],8,FALSE)</f>
        <v>24-Jan-2025</v>
      </c>
      <c r="V134" s="10">
        <f ca="1">Table1[[#This Row],[Maturity]]-TODAY()</f>
        <v>100</v>
      </c>
      <c r="W134" t="str">
        <f>VLOOKUP(Table1[[#This Row],[Isin code]],Table2[#All],10,FALSE)</f>
        <v>Yearly</v>
      </c>
      <c r="X134">
        <f ca="1">_xlfn.DAYS(Table1[[#This Row],[Maturity]],TODAY())-15</f>
        <v>85</v>
      </c>
      <c r="Y1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34">
        <f>IF(Table1[[#This Row],[Ask Rate]]=0,0,Table1[[#This Row],[Face Value]]-Table1[[#This Row],[Ask Rate]])</f>
        <v>-52.849999999999909</v>
      </c>
      <c r="AA134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134">
        <f ca="1">Table1[[#This Row],[Face Value]]*Table1[[#This Row],[Rate]]*Table1[[#This Row],[Time]]</f>
        <v>85</v>
      </c>
      <c r="AC134">
        <f ca="1">Table1[[#This Row],[SI]]+Table1[[#This Row],[Disc/Prem]]</f>
        <v>32.150000000000091</v>
      </c>
      <c r="AD134" s="3">
        <f ca="1">Table1[[#This Row],[Net Gain]]/Table1[[#This Row],[Ask Rate]]</f>
        <v>3.053616374602279E-2</v>
      </c>
      <c r="AE134" s="3">
        <f ca="1">IF(Table1[[#This Row],[Ask Qty]]=0,0,Table1[[#This Row],[Gross Yield]]*365/Table1[[#This Row],[Days Left]])</f>
        <v>0.11145699767298317</v>
      </c>
      <c r="AF134" s="9">
        <f ca="1">+Table1[[#This Row],[Net Gain]]*Table1[[#This Row],[Ask Qty]]</f>
        <v>160.75000000000045</v>
      </c>
      <c r="AG134" t="str">
        <f ca="1">IF(Table1[[#This Row],[YTM]]&gt;0.12,IF(Table1[[#This Row],[Gross Profit]]&gt;10000,"Invest","Review"),"Low YTM")</f>
        <v>Low YTM</v>
      </c>
    </row>
    <row r="135" spans="1:33" x14ac:dyDescent="0.3">
      <c r="A135" t="str">
        <f>RTD("nest.scriprtd",,"nse_cm|965SCL26A-ZB","Symbol")</f>
        <v>965SCL26A</v>
      </c>
      <c r="B135" t="str">
        <f>RTD("nest.scriprtd",,"nse_cm|965SCL26A-ZB","Trading Symbol")</f>
        <v>965SCL26A-ZB</v>
      </c>
      <c r="C135" t="str">
        <f>RTD("nest.scriprtd",,"nse_cm|965SCL26A-ZB","Exchange")</f>
        <v>NSE</v>
      </c>
      <c r="D135">
        <f>RTD("nest.scriprtd",,"nse_cm|965SCL26A-ZB","Bid Qty")</f>
        <v>12</v>
      </c>
      <c r="E135">
        <f>RTD("nest.scriprtd",,"nse_cm|965SCL26A-ZB","Bid Rate")</f>
        <v>920.3</v>
      </c>
      <c r="F135">
        <f>RTD("nest.scriprtd",,"nse_cm|965SCL26A-ZB","Ask Rate")</f>
        <v>1010</v>
      </c>
      <c r="G135">
        <f>RTD("nest.scriprtd",,"nse_cm|965SCL26A-ZB","Ask Qty")</f>
        <v>100</v>
      </c>
      <c r="H135">
        <f>RTD("nest.scriprtd",,"nse_cm|965SCL26A-ZB","LTP")</f>
        <v>1010</v>
      </c>
      <c r="I135" t="str">
        <f>RTD("nest.scriprtd",,"nse_cm|965SCL26A-ZB","LTT")</f>
        <v/>
      </c>
      <c r="J135">
        <f>RTD("nest.scriprtd",,"nse_cm|965SCL26A-ZB","% Change")</f>
        <v>0</v>
      </c>
      <c r="K135">
        <f>RTD("nest.scriprtd",,"nse_cm|965SCL26A-ZB","ATP")</f>
        <v>0</v>
      </c>
      <c r="L135">
        <f>RTD("nest.scriprtd",,"nse_cm|965SCL26A-ZB","Volume Traded Today")</f>
        <v>0</v>
      </c>
      <c r="M135">
        <f>RTD("nest.scriprtd",,"nse_cm|965SCL26A-ZB","Open")</f>
        <v>0</v>
      </c>
      <c r="N135">
        <f>RTD("nest.scriprtd",,"nse_cm|965SCL26A-ZB","High")</f>
        <v>1010</v>
      </c>
      <c r="O135">
        <f>RTD("nest.scriprtd",,"nse_cm|965SCL26A-ZB","Low ")</f>
        <v>1010</v>
      </c>
      <c r="P135">
        <f>RTD("nest.scriprtd",,"nse_cm|965SCL26A-ZB","Prev Close")</f>
        <v>1010</v>
      </c>
      <c r="Q135">
        <f>RTD("nest.scriprtd",,"nse_cm|965SCL26A-ZB","Face Value")</f>
        <v>1000</v>
      </c>
      <c r="R135" t="str">
        <f>RTD("nest.scriprtd",,"nse_cm|965SCL26A-ZB","Isin code")</f>
        <v>INE148I07TE1</v>
      </c>
      <c r="S135" s="9">
        <f>Table1[[#This Row],[Ask Rate]]*Table1[[#This Row],[Ask Qty]]</f>
        <v>101000</v>
      </c>
      <c r="T135">
        <f>VLOOKUP(Table1[[#This Row],[Isin code]],Table2[#All],7,FALSE)</f>
        <v>9.65</v>
      </c>
      <c r="U135" s="17" t="str">
        <f>VLOOKUP(Table1[[#This Row],[Isin code]],Table2[#All],8,FALSE)</f>
        <v>31-May-2026</v>
      </c>
      <c r="V135" s="10">
        <f ca="1">Table1[[#This Row],[Maturity]]-TODAY()</f>
        <v>592</v>
      </c>
      <c r="W135" t="str">
        <f>VLOOKUP(Table1[[#This Row],[Isin code]],Table2[#All],10,FALSE)</f>
        <v>Yearly</v>
      </c>
      <c r="X135">
        <f ca="1">_xlfn.DAYS(Table1[[#This Row],[Maturity]],TODAY())-15</f>
        <v>577</v>
      </c>
      <c r="Y13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35">
        <f>IF(Table1[[#This Row],[Ask Rate]]=0,0,Table1[[#This Row],[Face Value]]-Table1[[#This Row],[Ask Rate]])</f>
        <v>-10</v>
      </c>
      <c r="AA135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35">
        <f ca="1">Table1[[#This Row],[Face Value]]*Table1[[#This Row],[Rate]]*Table1[[#This Row],[Time]]</f>
        <v>193</v>
      </c>
      <c r="AC135">
        <f ca="1">Table1[[#This Row],[SI]]+Table1[[#This Row],[Disc/Prem]]</f>
        <v>183</v>
      </c>
      <c r="AD135" s="3">
        <f ca="1">Table1[[#This Row],[Net Gain]]/Table1[[#This Row],[Ask Rate]]</f>
        <v>0.18118811881188118</v>
      </c>
      <c r="AE135" s="3">
        <f ca="1">IF(Table1[[#This Row],[Ask Qty]]=0,0,Table1[[#This Row],[Gross Yield]]*365/Table1[[#This Row],[Days Left]])</f>
        <v>0.11171226919989297</v>
      </c>
      <c r="AF135" s="9">
        <f ca="1">+Table1[[#This Row],[Net Gain]]*Table1[[#This Row],[Ask Qty]]</f>
        <v>18300</v>
      </c>
      <c r="AG135" t="str">
        <f ca="1">IF(Table1[[#This Row],[YTM]]&gt;0.12,IF(Table1[[#This Row],[Gross Profit]]&gt;10000,"Invest","Review"),"Low YTM")</f>
        <v>Low YTM</v>
      </c>
    </row>
    <row r="136" spans="1:33" x14ac:dyDescent="0.3">
      <c r="A136" t="str">
        <f>RTD("nest.scriprtd",,"bse_cm|10EFSL33B","Symbol")</f>
        <v>10EFSL33B</v>
      </c>
      <c r="B136" t="str">
        <f>RTD("nest.scriprtd",,"bse_cm|10EFSL33B","Trading Symbol")</f>
        <v>10EFSL33B</v>
      </c>
      <c r="C136" t="str">
        <f>RTD("nest.scriprtd",,"bse_cm|10EFSL33B","Exchange")</f>
        <v>BSE</v>
      </c>
      <c r="D136">
        <f>RTD("nest.scriprtd",,"bse_cm|10EFSL33B","Bid Qty")</f>
        <v>50</v>
      </c>
      <c r="E136">
        <f>RTD("nest.scriprtd",,"bse_cm|10EFSL33B","Bid Rate")</f>
        <v>926</v>
      </c>
      <c r="F136">
        <f>RTD("nest.scriprtd",,"bse_cm|10EFSL33B","Ask Rate")</f>
        <v>958</v>
      </c>
      <c r="G136">
        <f>RTD("nest.scriprtd",,"bse_cm|10EFSL33B","Ask Qty")</f>
        <v>66</v>
      </c>
      <c r="H136">
        <f>RTD("nest.scriprtd",,"bse_cm|10EFSL33B","LTP")</f>
        <v>940</v>
      </c>
      <c r="I136" t="str">
        <f>RTD("nest.scriprtd",,"bse_cm|10EFSL33B","LTT")</f>
        <v>00:00:00</v>
      </c>
      <c r="J136">
        <f>RTD("nest.scriprtd",,"bse_cm|10EFSL33B","% Change")</f>
        <v>-1.98</v>
      </c>
      <c r="K136">
        <f>RTD("nest.scriprtd",,"bse_cm|10EFSL33B","ATP")</f>
        <v>0</v>
      </c>
      <c r="L136">
        <f>RTD("nest.scriprtd",,"bse_cm|10EFSL33B","Volume Traded Today")</f>
        <v>0</v>
      </c>
      <c r="M136">
        <f>RTD("nest.scriprtd",,"bse_cm|10EFSL33B","Open")</f>
        <v>0</v>
      </c>
      <c r="N136">
        <f>RTD("nest.scriprtd",,"bse_cm|10EFSL33B","High")</f>
        <v>950</v>
      </c>
      <c r="O136">
        <f>RTD("nest.scriprtd",,"bse_cm|10EFSL33B","Low ")</f>
        <v>925</v>
      </c>
      <c r="P136">
        <f>RTD("nest.scriprtd",,"bse_cm|10EFSL33B","Prev Close")</f>
        <v>959</v>
      </c>
      <c r="Q136">
        <f>RTD("nest.scriprtd",,"bse_cm|10EFSL33B","Face Value")</f>
        <v>1000</v>
      </c>
      <c r="R136" t="str">
        <f>RTD("nest.scriprtd",,"bse_cm|10EFSL33B","Isin code")</f>
        <v>INE532F07DH9</v>
      </c>
      <c r="S136" s="9">
        <f>Table1[[#This Row],[Ask Rate]]*Table1[[#This Row],[Ask Qty]]</f>
        <v>63228</v>
      </c>
      <c r="T136">
        <f>VLOOKUP(Table1[[#This Row],[Isin code]],Table2[#All],7,FALSE)</f>
        <v>10</v>
      </c>
      <c r="U136" s="17" t="str">
        <f>VLOOKUP(Table1[[#This Row],[Isin code]],Table2[#All],8,FALSE)</f>
        <v>20-Jan-2033</v>
      </c>
      <c r="V136" s="10">
        <f ca="1">Table1[[#This Row],[Maturity]]-TODAY()</f>
        <v>3018</v>
      </c>
      <c r="W136" t="str">
        <f>VLOOKUP(Table1[[#This Row],[Isin code]],Table2[#All],10,FALSE)</f>
        <v>Monthly</v>
      </c>
      <c r="X136">
        <f ca="1">_xlfn.DAYS(Table1[[#This Row],[Maturity]],TODAY())-15</f>
        <v>3003</v>
      </c>
      <c r="Y1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101</v>
      </c>
      <c r="Z136">
        <f>IF(Table1[[#This Row],[Ask Rate]]=0,0,Table1[[#This Row],[Face Value]]-Table1[[#This Row],[Ask Rate]])</f>
        <v>42</v>
      </c>
      <c r="AA136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36">
        <f ca="1">Table1[[#This Row],[Face Value]]*Table1[[#This Row],[Rate]]*Table1[[#This Row],[Time]]</f>
        <v>841.66666666666674</v>
      </c>
      <c r="AC136">
        <f ca="1">Table1[[#This Row],[SI]]+Table1[[#This Row],[Disc/Prem]]</f>
        <v>883.66666666666674</v>
      </c>
      <c r="AD136" s="3">
        <f ca="1">Table1[[#This Row],[Net Gain]]/Table1[[#This Row],[Ask Rate]]</f>
        <v>0.9224077940153097</v>
      </c>
      <c r="AE136" s="3">
        <f ca="1">IF(Table1[[#This Row],[Ask Qty]]=0,0,Table1[[#This Row],[Gross Yield]]*365/Table1[[#This Row],[Days Left]])</f>
        <v>0.11155693996540358</v>
      </c>
      <c r="AF136" s="9">
        <f ca="1">+Table1[[#This Row],[Net Gain]]*Table1[[#This Row],[Ask Qty]]</f>
        <v>58322.000000000007</v>
      </c>
      <c r="AG136" t="str">
        <f ca="1">IF(Table1[[#This Row],[YTM]]&gt;0.12,IF(Table1[[#This Row],[Gross Profit]]&gt;10000,"Invest","Review"),"Low YTM")</f>
        <v>Low YTM</v>
      </c>
    </row>
    <row r="137" spans="1:33" x14ac:dyDescent="0.3">
      <c r="A137" t="str">
        <f>RTD("nest.scriprtd",,"bse_cm|960EFSL26C","Symbol")</f>
        <v>960EFSL26C</v>
      </c>
      <c r="B137" t="str">
        <f>RTD("nest.scriprtd",,"bse_cm|960EFSL26C","Trading Symbol")</f>
        <v>960EFSL26C</v>
      </c>
      <c r="C137" t="str">
        <f>RTD("nest.scriprtd",,"bse_cm|960EFSL26C","Exchange")</f>
        <v>BSE</v>
      </c>
      <c r="D137">
        <f>RTD("nest.scriprtd",,"bse_cm|960EFSL26C","Bid Qty")</f>
        <v>190</v>
      </c>
      <c r="E137">
        <f>RTD("nest.scriprtd",,"bse_cm|960EFSL26C","Bid Rate")</f>
        <v>1005.2</v>
      </c>
      <c r="F137">
        <f>RTD("nest.scriprtd",,"bse_cm|960EFSL26C","Ask Rate")</f>
        <v>1045</v>
      </c>
      <c r="G137">
        <f>RTD("nest.scriprtd",,"bse_cm|960EFSL26C","Ask Qty")</f>
        <v>1743</v>
      </c>
      <c r="H137">
        <f>RTD("nest.scriprtd",,"bse_cm|960EFSL26C","LTP")</f>
        <v>0</v>
      </c>
      <c r="I137" t="str">
        <f>RTD("nest.scriprtd",,"bse_cm|960EFSL26C","LTT")</f>
        <v>00:00:00</v>
      </c>
      <c r="J137">
        <f>RTD("nest.scriprtd",,"bse_cm|960EFSL26C","% Change")</f>
        <v>-100</v>
      </c>
      <c r="K137">
        <f>RTD("nest.scriprtd",,"bse_cm|960EFSL26C","ATP")</f>
        <v>0</v>
      </c>
      <c r="L137">
        <f>RTD("nest.scriprtd",,"bse_cm|960EFSL26C","Volume Traded Today")</f>
        <v>0</v>
      </c>
      <c r="M137">
        <f>RTD("nest.scriprtd",,"bse_cm|960EFSL26C","Open")</f>
        <v>0</v>
      </c>
      <c r="N137">
        <f>RTD("nest.scriprtd",,"bse_cm|960EFSL26C","High")</f>
        <v>1025</v>
      </c>
      <c r="O137">
        <f>RTD("nest.scriprtd",,"bse_cm|960EFSL26C","Low ")</f>
        <v>1025</v>
      </c>
      <c r="P137">
        <f>RTD("nest.scriprtd",,"bse_cm|960EFSL26C","Prev Close")</f>
        <v>1025</v>
      </c>
      <c r="Q137">
        <f>RTD("nest.scriprtd",,"bse_cm|960EFSL26C","Face Value")</f>
        <v>1000</v>
      </c>
      <c r="R137" t="str">
        <f>RTD("nest.scriprtd",,"bse_cm|960EFSL26C","Isin code")</f>
        <v>INE532F07DN7</v>
      </c>
      <c r="S137" s="9">
        <f>Table1[[#This Row],[Ask Rate]]*Table1[[#This Row],[Ask Qty]]</f>
        <v>1821435</v>
      </c>
      <c r="T137">
        <f>VLOOKUP(Table1[[#This Row],[Isin code]],Table2[#All],7,FALSE)</f>
        <v>9.6</v>
      </c>
      <c r="U137" s="17" t="str">
        <f>VLOOKUP(Table1[[#This Row],[Isin code]],Table2[#All],8,FALSE)</f>
        <v>20-Jan-2026</v>
      </c>
      <c r="V137" s="10">
        <f ca="1">Table1[[#This Row],[Maturity]]-TODAY()</f>
        <v>461</v>
      </c>
      <c r="W137" t="str">
        <f>VLOOKUP(Table1[[#This Row],[Isin code]],Table2[#All],10,FALSE)</f>
        <v>Yearly</v>
      </c>
      <c r="X137">
        <f ca="1">_xlfn.DAYS(Table1[[#This Row],[Maturity]],TODAY())-15</f>
        <v>446</v>
      </c>
      <c r="Y1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37">
        <f>IF(Table1[[#This Row],[Ask Rate]]=0,0,Table1[[#This Row],[Face Value]]-Table1[[#This Row],[Ask Rate]])</f>
        <v>-45</v>
      </c>
      <c r="AA137">
        <f>IF(Table1[[#This Row],[Freq]]="Yearly",Table1[[#This Row],[Coupon_Rate]]/100,IF(Table1[[#This Row],[Freq]]="Monthly",Table1[[#This Row],[Coupon_Rate]]/1200,IF(Table1[[#This Row],[Freq]]="Quarterly",Table1[[#This Row],[Coupon_Rate]]/400,0)))</f>
        <v>9.6000000000000002E-2</v>
      </c>
      <c r="AB137">
        <f ca="1">Table1[[#This Row],[Face Value]]*Table1[[#This Row],[Rate]]*Table1[[#This Row],[Time]]</f>
        <v>192</v>
      </c>
      <c r="AC137">
        <f ca="1">Table1[[#This Row],[SI]]+Table1[[#This Row],[Disc/Prem]]</f>
        <v>147</v>
      </c>
      <c r="AD137" s="3">
        <f ca="1">Table1[[#This Row],[Net Gain]]/Table1[[#This Row],[Ask Rate]]</f>
        <v>0.14066985645933014</v>
      </c>
      <c r="AE137" s="3">
        <f ca="1">IF(Table1[[#This Row],[Ask Qty]]=0,0,Table1[[#This Row],[Gross Yield]]*365/Table1[[#This Row],[Days Left]])</f>
        <v>0.11137635055890563</v>
      </c>
      <c r="AF137" s="9">
        <f ca="1">+Table1[[#This Row],[Net Gain]]*Table1[[#This Row],[Ask Qty]]</f>
        <v>256221</v>
      </c>
      <c r="AG137" t="str">
        <f ca="1">IF(Table1[[#This Row],[YTM]]&gt;0.12,IF(Table1[[#This Row],[Gross Profit]]&gt;10000,"Invest","Review"),"Low YTM")</f>
        <v>Low YTM</v>
      </c>
    </row>
    <row r="138" spans="1:33" x14ac:dyDescent="0.3">
      <c r="A138" t="str">
        <f>RTD("nest.scriprtd",,"bse_cm|10SMCGSL26","Symbol")</f>
        <v>10SMCGSL26</v>
      </c>
      <c r="B138" t="str">
        <f>RTD("nest.scriprtd",,"bse_cm|10SMCGSL26","Trading Symbol")</f>
        <v>10SMCGSL26</v>
      </c>
      <c r="C138" t="str">
        <f>RTD("nest.scriprtd",,"bse_cm|10SMCGSL26","Exchange")</f>
        <v>BSE</v>
      </c>
      <c r="D138">
        <f>RTD("nest.scriprtd",,"bse_cm|10SMCGSL26","Bid Qty")</f>
        <v>13</v>
      </c>
      <c r="E138">
        <f>RTD("nest.scriprtd",,"bse_cm|10SMCGSL26","Bid Rate")</f>
        <v>994</v>
      </c>
      <c r="F138">
        <f>RTD("nest.scriprtd",,"bse_cm|10SMCGSL26","Ask Rate")</f>
        <v>999.2</v>
      </c>
      <c r="G138">
        <f>RTD("nest.scriprtd",,"bse_cm|10SMCGSL26","Ask Qty")</f>
        <v>238</v>
      </c>
      <c r="H138">
        <f>RTD("nest.scriprtd",,"bse_cm|10SMCGSL26","LTP")</f>
        <v>0</v>
      </c>
      <c r="I138" t="str">
        <f>RTD("nest.scriprtd",,"bse_cm|10SMCGSL26","LTT")</f>
        <v>00:00:00</v>
      </c>
      <c r="J138">
        <f>RTD("nest.scriprtd",,"bse_cm|10SMCGSL26","% Change")</f>
        <v>-100</v>
      </c>
      <c r="K138">
        <f>RTD("nest.scriprtd",,"bse_cm|10SMCGSL26","ATP")</f>
        <v>0</v>
      </c>
      <c r="L138">
        <f>RTD("nest.scriprtd",,"bse_cm|10SMCGSL26","Volume Traded Today")</f>
        <v>0</v>
      </c>
      <c r="M138">
        <f>RTD("nest.scriprtd",,"bse_cm|10SMCGSL26","Open")</f>
        <v>0</v>
      </c>
      <c r="N138">
        <f>RTD("nest.scriprtd",,"bse_cm|10SMCGSL26","High")</f>
        <v>999.2</v>
      </c>
      <c r="O138">
        <f>RTD("nest.scriprtd",,"bse_cm|10SMCGSL26","Low ")</f>
        <v>999</v>
      </c>
      <c r="P138">
        <f>RTD("nest.scriprtd",,"bse_cm|10SMCGSL26","Prev Close")</f>
        <v>999</v>
      </c>
      <c r="Q138">
        <f>RTD("nest.scriprtd",,"bse_cm|10SMCGSL26","Face Value")</f>
        <v>1000</v>
      </c>
      <c r="R138" t="str">
        <f>RTD("nest.scriprtd",,"bse_cm|10SMCGSL26","Isin code")</f>
        <v>INE103C07025</v>
      </c>
      <c r="S138" s="9">
        <f>Table1[[#This Row],[Ask Rate]]*Table1[[#This Row],[Ask Qty]]</f>
        <v>237809.6</v>
      </c>
      <c r="T138">
        <f>VLOOKUP(Table1[[#This Row],[Isin code]],Table2[#All],7,FALSE)</f>
        <v>10</v>
      </c>
      <c r="U138" s="17" t="str">
        <f>VLOOKUP(Table1[[#This Row],[Isin code]],Table2[#All],8,FALSE)</f>
        <v>07-Aug-2026</v>
      </c>
      <c r="V138" s="10">
        <f ca="1">Table1[[#This Row],[Maturity]]-TODAY()</f>
        <v>660</v>
      </c>
      <c r="W138" t="str">
        <f>VLOOKUP(Table1[[#This Row],[Isin code]],Table2[#All],10,FALSE)</f>
        <v>Yearly</v>
      </c>
      <c r="X138">
        <f ca="1">_xlfn.DAYS(Table1[[#This Row],[Maturity]],TODAY())-15</f>
        <v>645</v>
      </c>
      <c r="Y1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38">
        <f>IF(Table1[[#This Row],[Ask Rate]]=0,0,Table1[[#This Row],[Face Value]]-Table1[[#This Row],[Ask Rate]])</f>
        <v>0.79999999999995453</v>
      </c>
      <c r="AA138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138">
        <f ca="1">Table1[[#This Row],[Face Value]]*Table1[[#This Row],[Rate]]*Table1[[#This Row],[Time]]</f>
        <v>200</v>
      </c>
      <c r="AC138">
        <f ca="1">Table1[[#This Row],[SI]]+Table1[[#This Row],[Disc/Prem]]</f>
        <v>200.79999999999995</v>
      </c>
      <c r="AD138" s="3">
        <f ca="1">Table1[[#This Row],[Net Gain]]/Table1[[#This Row],[Ask Rate]]</f>
        <v>0.20096076861489187</v>
      </c>
      <c r="AE138" s="3">
        <f ca="1">IF(Table1[[#This Row],[Ask Qty]]=0,0,Table1[[#This Row],[Gross Yield]]*365/Table1[[#This Row],[Days Left]])</f>
        <v>0.11113739476429627</v>
      </c>
      <c r="AF138" s="9">
        <f ca="1">+Table1[[#This Row],[Net Gain]]*Table1[[#This Row],[Ask Qty]]</f>
        <v>47790.399999999987</v>
      </c>
      <c r="AG138" t="str">
        <f ca="1">IF(Table1[[#This Row],[YTM]]&gt;0.12,IF(Table1[[#This Row],[Gross Profit]]&gt;10000,"Invest","Review"),"Low YTM")</f>
        <v>Low YTM</v>
      </c>
    </row>
    <row r="139" spans="1:33" x14ac:dyDescent="0.3">
      <c r="A139" t="str">
        <f>RTD("nest.scriprtd",,"bse_cm|843IHFL29","Symbol")</f>
        <v>843IHFL29</v>
      </c>
      <c r="B139" t="str">
        <f>RTD("nest.scriprtd",,"bse_cm|843IHFL29","Trading Symbol")</f>
        <v>843IHFL29</v>
      </c>
      <c r="C139" t="str">
        <f>RTD("nest.scriprtd",,"bse_cm|843IHFL29","Exchange")</f>
        <v>BSE</v>
      </c>
      <c r="D139">
        <f>RTD("nest.scriprtd",,"bse_cm|843IHFL29","Bid Qty")</f>
        <v>5</v>
      </c>
      <c r="E139">
        <f>RTD("nest.scriprtd",,"bse_cm|843IHFL29","Bid Rate")</f>
        <v>903</v>
      </c>
      <c r="F139">
        <f>RTD("nest.scriprtd",,"bse_cm|843IHFL29","Ask Rate")</f>
        <v>924.94</v>
      </c>
      <c r="G139">
        <f>RTD("nest.scriprtd",,"bse_cm|843IHFL29","Ask Qty")</f>
        <v>60</v>
      </c>
      <c r="H139">
        <f>RTD("nest.scriprtd",,"bse_cm|843IHFL29","LTP")</f>
        <v>0</v>
      </c>
      <c r="I139" t="str">
        <f>RTD("nest.scriprtd",,"bse_cm|843IHFL29","LTT")</f>
        <v>00:00:00</v>
      </c>
      <c r="J139">
        <f>RTD("nest.scriprtd",,"bse_cm|843IHFL29","% Change")</f>
        <v>-100</v>
      </c>
      <c r="K139">
        <f>RTD("nest.scriprtd",,"bse_cm|843IHFL29","ATP")</f>
        <v>0</v>
      </c>
      <c r="L139">
        <f>RTD("nest.scriprtd",,"bse_cm|843IHFL29","Volume Traded Today")</f>
        <v>0</v>
      </c>
      <c r="M139">
        <f>RTD("nest.scriprtd",,"bse_cm|843IHFL29","Open")</f>
        <v>0</v>
      </c>
      <c r="N139">
        <f>RTD("nest.scriprtd",,"bse_cm|843IHFL29","High")</f>
        <v>919.44</v>
      </c>
      <c r="O139">
        <f>RTD("nest.scriprtd",,"bse_cm|843IHFL29","Low ")</f>
        <v>919.44</v>
      </c>
      <c r="P139">
        <f>RTD("nest.scriprtd",,"bse_cm|843IHFL29","Prev Close")</f>
        <v>919.44</v>
      </c>
      <c r="Q139">
        <f>RTD("nest.scriprtd",,"bse_cm|843IHFL29","Face Value")</f>
        <v>1000</v>
      </c>
      <c r="R139" t="str">
        <f>RTD("nest.scriprtd",,"bse_cm|843IHFL29","Isin code")</f>
        <v>INE477L07AQ2</v>
      </c>
      <c r="S139" s="9">
        <f>Table1[[#This Row],[Ask Rate]]*Table1[[#This Row],[Ask Qty]]</f>
        <v>55496.4</v>
      </c>
      <c r="T139">
        <f>VLOOKUP(Table1[[#This Row],[Isin code]],Table2[#All],7,FALSE)</f>
        <v>8.43</v>
      </c>
      <c r="U139" s="17" t="str">
        <f>VLOOKUP(Table1[[#This Row],[Isin code]],Table2[#All],8,FALSE)</f>
        <v>03-Jan-2029</v>
      </c>
      <c r="V139" s="10">
        <f ca="1">Table1[[#This Row],[Maturity]]-TODAY()</f>
        <v>1540</v>
      </c>
      <c r="W139" t="str">
        <f>VLOOKUP(Table1[[#This Row],[Isin code]],Table2[#All],10,FALSE)</f>
        <v>Monthly</v>
      </c>
      <c r="X139">
        <f ca="1">_xlfn.DAYS(Table1[[#This Row],[Maturity]],TODAY())-15</f>
        <v>1525</v>
      </c>
      <c r="Y1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139">
        <f>IF(Table1[[#This Row],[Ask Rate]]=0,0,Table1[[#This Row],[Face Value]]-Table1[[#This Row],[Ask Rate]])</f>
        <v>75.059999999999945</v>
      </c>
      <c r="AA139">
        <f>IF(Table1[[#This Row],[Freq]]="Yearly",Table1[[#This Row],[Coupon_Rate]]/100,IF(Table1[[#This Row],[Freq]]="Monthly",Table1[[#This Row],[Coupon_Rate]]/1200,IF(Table1[[#This Row],[Freq]]="Quarterly",Table1[[#This Row],[Coupon_Rate]]/400,0)))</f>
        <v>7.025E-3</v>
      </c>
      <c r="AB139">
        <f ca="1">Table1[[#This Row],[Face Value]]*Table1[[#This Row],[Rate]]*Table1[[#This Row],[Time]]</f>
        <v>358.27500000000003</v>
      </c>
      <c r="AC139">
        <f ca="1">Table1[[#This Row],[SI]]+Table1[[#This Row],[Disc/Prem]]</f>
        <v>433.33499999999998</v>
      </c>
      <c r="AD139" s="3">
        <f ca="1">Table1[[#This Row],[Net Gain]]/Table1[[#This Row],[Ask Rate]]</f>
        <v>0.46850065950223796</v>
      </c>
      <c r="AE139" s="3">
        <f ca="1">IF(Table1[[#This Row],[Ask Qty]]=0,0,Table1[[#This Row],[Gross Yield]]*365/Table1[[#This Row],[Days Left]])</f>
        <v>0.11104074072617978</v>
      </c>
      <c r="AF139" s="9">
        <f ca="1">+Table1[[#This Row],[Net Gain]]*Table1[[#This Row],[Ask Qty]]</f>
        <v>26000.1</v>
      </c>
      <c r="AG139" t="str">
        <f ca="1">IF(Table1[[#This Row],[YTM]]&gt;0.12,IF(Table1[[#This Row],[Gross Profit]]&gt;10000,"Invest","Review"),"Low YTM")</f>
        <v>Low YTM</v>
      </c>
    </row>
    <row r="140" spans="1:33" x14ac:dyDescent="0.3">
      <c r="A140" t="str">
        <f>RTD("nest.scriprtd",,"bse_cm|10EFSL33A","Symbol")</f>
        <v>10EFSL33A</v>
      </c>
      <c r="B140" t="str">
        <f>RTD("nest.scriprtd",,"bse_cm|10EFSL33A","Trading Symbol")</f>
        <v>10EFSL33A</v>
      </c>
      <c r="C140" t="str">
        <f>RTD("nest.scriprtd",,"bse_cm|10EFSL33A","Exchange")</f>
        <v>BSE</v>
      </c>
      <c r="D140">
        <f>RTD("nest.scriprtd",,"bse_cm|10EFSL33A","Bid Qty")</f>
        <v>100</v>
      </c>
      <c r="E140">
        <f>RTD("nest.scriprtd",,"bse_cm|10EFSL33A","Bid Rate")</f>
        <v>903.33</v>
      </c>
      <c r="F140">
        <f>RTD("nest.scriprtd",,"bse_cm|10EFSL33A","Ask Rate")</f>
        <v>958.99</v>
      </c>
      <c r="G140">
        <f>RTD("nest.scriprtd",,"bse_cm|10EFSL33A","Ask Qty")</f>
        <v>100</v>
      </c>
      <c r="H140">
        <f>RTD("nest.scriprtd",,"bse_cm|10EFSL33A","LTP")</f>
        <v>0</v>
      </c>
      <c r="I140" t="str">
        <f>RTD("nest.scriprtd",,"bse_cm|10EFSL33A","LTT")</f>
        <v>00:00:00</v>
      </c>
      <c r="J140">
        <f>RTD("nest.scriprtd",,"bse_cm|10EFSL33A","% Change")</f>
        <v>-100</v>
      </c>
      <c r="K140">
        <f>RTD("nest.scriprtd",,"bse_cm|10EFSL33A","ATP")</f>
        <v>0</v>
      </c>
      <c r="L140">
        <f>RTD("nest.scriprtd",,"bse_cm|10EFSL33A","Volume Traded Today")</f>
        <v>0</v>
      </c>
      <c r="M140">
        <f>RTD("nest.scriprtd",,"bse_cm|10EFSL33A","Open")</f>
        <v>0</v>
      </c>
      <c r="N140">
        <f>RTD("nest.scriprtd",,"bse_cm|10EFSL33A","High")</f>
        <v>941.99</v>
      </c>
      <c r="O140">
        <f>RTD("nest.scriprtd",,"bse_cm|10EFSL33A","Low ")</f>
        <v>910</v>
      </c>
      <c r="P140">
        <f>RTD("nest.scriprtd",,"bse_cm|10EFSL33A","Prev Close")</f>
        <v>941.99</v>
      </c>
      <c r="Q140">
        <f>RTD("nest.scriprtd",,"bse_cm|10EFSL33A","Face Value")</f>
        <v>1000</v>
      </c>
      <c r="R140" t="str">
        <f>RTD("nest.scriprtd",,"bse_cm|10EFSL33A","Isin code")</f>
        <v>INE532F07EL9</v>
      </c>
      <c r="S140" s="9">
        <f>Table1[[#This Row],[Ask Rate]]*Table1[[#This Row],[Ask Qty]]</f>
        <v>95899</v>
      </c>
      <c r="T140">
        <f>VLOOKUP(Table1[[#This Row],[Isin code]],Table2[#All],7,FALSE)</f>
        <v>10</v>
      </c>
      <c r="U140" s="17" t="str">
        <f>VLOOKUP(Table1[[#This Row],[Isin code]],Table2[#All],8,FALSE)</f>
        <v>26-Oct-2033</v>
      </c>
      <c r="V140" s="10">
        <f ca="1">Table1[[#This Row],[Maturity]]-TODAY()</f>
        <v>3297</v>
      </c>
      <c r="W140" t="str">
        <f>VLOOKUP(Table1[[#This Row],[Isin code]],Table2[#All],10,FALSE)</f>
        <v>Monthly</v>
      </c>
      <c r="X140">
        <f ca="1">_xlfn.DAYS(Table1[[#This Row],[Maturity]],TODAY())-15</f>
        <v>3282</v>
      </c>
      <c r="Y1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110</v>
      </c>
      <c r="Z140">
        <f>IF(Table1[[#This Row],[Ask Rate]]=0,0,Table1[[#This Row],[Face Value]]-Table1[[#This Row],[Ask Rate]])</f>
        <v>41.009999999999991</v>
      </c>
      <c r="AA140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40">
        <f ca="1">Table1[[#This Row],[Face Value]]*Table1[[#This Row],[Rate]]*Table1[[#This Row],[Time]]</f>
        <v>916.66666666666674</v>
      </c>
      <c r="AC140">
        <f ca="1">Table1[[#This Row],[SI]]+Table1[[#This Row],[Disc/Prem]]</f>
        <v>957.67666666666673</v>
      </c>
      <c r="AD140" s="3">
        <f ca="1">Table1[[#This Row],[Net Gain]]/Table1[[#This Row],[Ask Rate]]</f>
        <v>0.99863050362012817</v>
      </c>
      <c r="AE140" s="3">
        <f ca="1">IF(Table1[[#This Row],[Ask Qty]]=0,0,Table1[[#This Row],[Gross Yield]]*365/Table1[[#This Row],[Days Left]])</f>
        <v>0.11055509063431809</v>
      </c>
      <c r="AF140" s="9">
        <f ca="1">+Table1[[#This Row],[Net Gain]]*Table1[[#This Row],[Ask Qty]]</f>
        <v>95767.666666666672</v>
      </c>
      <c r="AG140" t="str">
        <f ca="1">IF(Table1[[#This Row],[YTM]]&gt;0.12,IF(Table1[[#This Row],[Gross Profit]]&gt;10000,"Invest","Review"),"Low YTM")</f>
        <v>Low YTM</v>
      </c>
    </row>
    <row r="141" spans="1:33" x14ac:dyDescent="0.3">
      <c r="A141" t="str">
        <f>RTD("nest.scriprtd",,"bse_cm|965EFSL32","Symbol")</f>
        <v>965EFSL32</v>
      </c>
      <c r="B141" t="str">
        <f>RTD("nest.scriprtd",,"bse_cm|965EFSL32","Trading Symbol")</f>
        <v>965EFSL32</v>
      </c>
      <c r="C141" t="str">
        <f>RTD("nest.scriprtd",,"bse_cm|965EFSL32","Exchange")</f>
        <v>BSE</v>
      </c>
      <c r="D141">
        <f>RTD("nest.scriprtd",,"bse_cm|965EFSL32","Bid Qty")</f>
        <v>18</v>
      </c>
      <c r="E141">
        <f>RTD("nest.scriprtd",,"bse_cm|965EFSL32","Bid Rate")</f>
        <v>910</v>
      </c>
      <c r="F141">
        <f>RTD("nest.scriprtd",,"bse_cm|965EFSL32","Ask Rate")</f>
        <v>949.5</v>
      </c>
      <c r="G141">
        <f>RTD("nest.scriprtd",,"bse_cm|965EFSL32","Ask Qty")</f>
        <v>180</v>
      </c>
      <c r="H141">
        <f>RTD("nest.scriprtd",,"bse_cm|965EFSL32","LTP")</f>
        <v>0</v>
      </c>
      <c r="I141" t="str">
        <f>RTD("nest.scriprtd",,"bse_cm|965EFSL32","LTT")</f>
        <v>00:00:00</v>
      </c>
      <c r="J141">
        <f>RTD("nest.scriprtd",,"bse_cm|965EFSL32","% Change")</f>
        <v>-100</v>
      </c>
      <c r="K141">
        <f>RTD("nest.scriprtd",,"bse_cm|965EFSL32","ATP")</f>
        <v>0</v>
      </c>
      <c r="L141">
        <f>RTD("nest.scriprtd",,"bse_cm|965EFSL32","Volume Traded Today")</f>
        <v>0</v>
      </c>
      <c r="M141">
        <f>RTD("nest.scriprtd",,"bse_cm|965EFSL32","Open")</f>
        <v>0</v>
      </c>
      <c r="N141">
        <f>RTD("nest.scriprtd",,"bse_cm|965EFSL32","High")</f>
        <v>903.1</v>
      </c>
      <c r="O141">
        <f>RTD("nest.scriprtd",,"bse_cm|965EFSL32","Low ")</f>
        <v>903</v>
      </c>
      <c r="P141">
        <f>RTD("nest.scriprtd",,"bse_cm|965EFSL32","Prev Close")</f>
        <v>903</v>
      </c>
      <c r="Q141">
        <f>RTD("nest.scriprtd",,"bse_cm|965EFSL32","Face Value")</f>
        <v>1000</v>
      </c>
      <c r="R141" t="str">
        <f>RTD("nest.scriprtd",,"bse_cm|965EFSL32","Isin code")</f>
        <v>INE532F07DD8</v>
      </c>
      <c r="S141" s="9">
        <f>Table1[[#This Row],[Ask Rate]]*Table1[[#This Row],[Ask Qty]]</f>
        <v>170910</v>
      </c>
      <c r="T141">
        <f>VLOOKUP(Table1[[#This Row],[Isin code]],Table2[#All],7,FALSE)</f>
        <v>9.65</v>
      </c>
      <c r="U141" s="17" t="str">
        <f>VLOOKUP(Table1[[#This Row],[Isin code]],Table2[#All],8,FALSE)</f>
        <v>20-Oct-2032</v>
      </c>
      <c r="V141" s="10">
        <f ca="1">Table1[[#This Row],[Maturity]]-TODAY()</f>
        <v>2926</v>
      </c>
      <c r="W141" t="str">
        <f>VLOOKUP(Table1[[#This Row],[Isin code]],Table2[#All],10,FALSE)</f>
        <v>Monthly</v>
      </c>
      <c r="X141">
        <f ca="1">_xlfn.DAYS(Table1[[#This Row],[Maturity]],TODAY())-15</f>
        <v>2911</v>
      </c>
      <c r="Y1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98</v>
      </c>
      <c r="Z141">
        <f>IF(Table1[[#This Row],[Ask Rate]]=0,0,Table1[[#This Row],[Face Value]]-Table1[[#This Row],[Ask Rate]])</f>
        <v>50.5</v>
      </c>
      <c r="AA141">
        <f>IF(Table1[[#This Row],[Freq]]="Yearly",Table1[[#This Row],[Coupon_Rate]]/100,IF(Table1[[#This Row],[Freq]]="Monthly",Table1[[#This Row],[Coupon_Rate]]/1200,IF(Table1[[#This Row],[Freq]]="Quarterly",Table1[[#This Row],[Coupon_Rate]]/400,0)))</f>
        <v>8.0416666666666674E-3</v>
      </c>
      <c r="AB141">
        <f ca="1">Table1[[#This Row],[Face Value]]*Table1[[#This Row],[Rate]]*Table1[[#This Row],[Time]]</f>
        <v>788.08333333333348</v>
      </c>
      <c r="AC141">
        <f ca="1">Table1[[#This Row],[SI]]+Table1[[#This Row],[Disc/Prem]]</f>
        <v>838.58333333333348</v>
      </c>
      <c r="AD141" s="3">
        <f ca="1">Table1[[#This Row],[Net Gain]]/Table1[[#This Row],[Ask Rate]]</f>
        <v>0.88318413199929802</v>
      </c>
      <c r="AE141" s="3">
        <f ca="1">IF(Table1[[#This Row],[Ask Qty]]=0,0,Table1[[#This Row],[Gross Yield]]*365/Table1[[#This Row],[Days Left]])</f>
        <v>0.11017163642506624</v>
      </c>
      <c r="AF141" s="9">
        <f ca="1">+Table1[[#This Row],[Net Gain]]*Table1[[#This Row],[Ask Qty]]</f>
        <v>150945.00000000003</v>
      </c>
      <c r="AG141" t="str">
        <f ca="1">IF(Table1[[#This Row],[YTM]]&gt;0.12,IF(Table1[[#This Row],[Gross Profit]]&gt;10000,"Invest","Review"),"Low YTM")</f>
        <v>Low YTM</v>
      </c>
    </row>
    <row r="142" spans="1:33" x14ac:dyDescent="0.3">
      <c r="A142" t="str">
        <f>RTD("nest.scriprtd",,"nse_cm|975SCL28-NT","Symbol")</f>
        <v>975SCL28</v>
      </c>
      <c r="B142" t="str">
        <f>RTD("nest.scriprtd",,"nse_cm|975SCL28-NT","Trading Symbol")</f>
        <v>975SCL28-NT</v>
      </c>
      <c r="C142" t="str">
        <f>RTD("nest.scriprtd",,"nse_cm|975SCL28-NT","Exchange")</f>
        <v>NSE</v>
      </c>
      <c r="D142">
        <f>RTD("nest.scriprtd",,"nse_cm|975SCL28-NT","Bid Qty")</f>
        <v>5</v>
      </c>
      <c r="E142">
        <f>RTD("nest.scriprtd",,"nse_cm|975SCL28-NT","Bid Rate")</f>
        <v>905.7</v>
      </c>
      <c r="F142">
        <f>RTD("nest.scriprtd",,"nse_cm|975SCL28-NT","Ask Rate")</f>
        <v>970.55</v>
      </c>
      <c r="G142">
        <f>RTD("nest.scriprtd",,"nse_cm|975SCL28-NT","Ask Qty")</f>
        <v>5</v>
      </c>
      <c r="H142">
        <f>RTD("nest.scriprtd",,"nse_cm|975SCL28-NT","LTP")</f>
        <v>970</v>
      </c>
      <c r="I142" t="str">
        <f>RTD("nest.scriprtd",,"nse_cm|975SCL28-NT","LTT")</f>
        <v/>
      </c>
      <c r="J142">
        <f>RTD("nest.scriprtd",,"nse_cm|975SCL28-NT","% Change")</f>
        <v>0</v>
      </c>
      <c r="K142">
        <f>RTD("nest.scriprtd",,"nse_cm|975SCL28-NT","ATP")</f>
        <v>0</v>
      </c>
      <c r="L142">
        <f>RTD("nest.scriprtd",,"nse_cm|975SCL28-NT","Volume Traded Today")</f>
        <v>0</v>
      </c>
      <c r="M142">
        <f>RTD("nest.scriprtd",,"nse_cm|975SCL28-NT","Open")</f>
        <v>0</v>
      </c>
      <c r="N142">
        <f>RTD("nest.scriprtd",,"nse_cm|975SCL28-NT","High")</f>
        <v>970</v>
      </c>
      <c r="O142">
        <f>RTD("nest.scriprtd",,"nse_cm|975SCL28-NT","Low ")</f>
        <v>970</v>
      </c>
      <c r="P142">
        <f>RTD("nest.scriprtd",,"nse_cm|975SCL28-NT","Prev Close")</f>
        <v>970</v>
      </c>
      <c r="Q142">
        <f>RTD("nest.scriprtd",,"nse_cm|975SCL28-NT","Face Value")</f>
        <v>1000</v>
      </c>
      <c r="R142" t="str">
        <f>RTD("nest.scriprtd",,"nse_cm|975SCL28-NT","Isin code")</f>
        <v>INE148I07KP6</v>
      </c>
      <c r="S142" s="9">
        <f>Table1[[#This Row],[Ask Rate]]*Table1[[#This Row],[Ask Qty]]</f>
        <v>4852.75</v>
      </c>
      <c r="T142">
        <f>VLOOKUP(Table1[[#This Row],[Isin code]],Table2[#All],7,FALSE)</f>
        <v>8.89</v>
      </c>
      <c r="U142" s="17" t="str">
        <f>VLOOKUP(Table1[[#This Row],[Isin code]],Table2[#All],8,FALSE)</f>
        <v>24-Sep-2026</v>
      </c>
      <c r="V142" s="10">
        <f ca="1">Table1[[#This Row],[Maturity]]-TODAY()</f>
        <v>708</v>
      </c>
      <c r="W142" t="str">
        <f>VLOOKUP(Table1[[#This Row],[Isin code]],Table2[#All],10,FALSE)</f>
        <v>Monthly</v>
      </c>
      <c r="X142">
        <f ca="1">_xlfn.DAYS(Table1[[#This Row],[Maturity]],TODAY())-15</f>
        <v>693</v>
      </c>
      <c r="Y1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142">
        <f>IF(Table1[[#This Row],[Ask Rate]]=0,0,Table1[[#This Row],[Face Value]]-Table1[[#This Row],[Ask Rate]])</f>
        <v>29.450000000000045</v>
      </c>
      <c r="AA142">
        <f>IF(Table1[[#This Row],[Freq]]="Yearly",Table1[[#This Row],[Coupon_Rate]]/100,IF(Table1[[#This Row],[Freq]]="Monthly",Table1[[#This Row],[Coupon_Rate]]/1200,IF(Table1[[#This Row],[Freq]]="Quarterly",Table1[[#This Row],[Coupon_Rate]]/400,0)))</f>
        <v>7.4083333333333336E-3</v>
      </c>
      <c r="AB142">
        <f ca="1">Table1[[#This Row],[Face Value]]*Table1[[#This Row],[Rate]]*Table1[[#This Row],[Time]]</f>
        <v>177.8</v>
      </c>
      <c r="AC142">
        <f ca="1">Table1[[#This Row],[SI]]+Table1[[#This Row],[Disc/Prem]]</f>
        <v>207.25000000000006</v>
      </c>
      <c r="AD142" s="3">
        <f ca="1">Table1[[#This Row],[Net Gain]]/Table1[[#This Row],[Ask Rate]]</f>
        <v>0.21353871516150644</v>
      </c>
      <c r="AE142" s="3">
        <f ca="1">IF(Table1[[#This Row],[Ask Qty]]=0,0,Table1[[#This Row],[Gross Yield]]*365/Table1[[#This Row],[Days Left]])</f>
        <v>0.11008704948298001</v>
      </c>
      <c r="AF142" s="9">
        <f ca="1">+Table1[[#This Row],[Net Gain]]*Table1[[#This Row],[Ask Qty]]</f>
        <v>1036.2500000000002</v>
      </c>
      <c r="AG142" t="str">
        <f ca="1">IF(Table1[[#This Row],[YTM]]&gt;0.12,IF(Table1[[#This Row],[Gross Profit]]&gt;10000,"Invest","Review"),"Low YTM")</f>
        <v>Low YTM</v>
      </c>
    </row>
    <row r="143" spans="1:33" x14ac:dyDescent="0.3">
      <c r="A143" t="str">
        <f>RTD("nest.scriprtd",,"bse_cm|950KFL27","Symbol")</f>
        <v>950KFL27</v>
      </c>
      <c r="B143" t="str">
        <f>RTD("nest.scriprtd",,"bse_cm|950KFL27","Trading Symbol")</f>
        <v>950KFL27</v>
      </c>
      <c r="C143" t="str">
        <f>RTD("nest.scriprtd",,"bse_cm|950KFL27","Exchange")</f>
        <v>BSE</v>
      </c>
      <c r="D143">
        <f>RTD("nest.scriprtd",,"bse_cm|950KFL27","Bid Qty")</f>
        <v>18</v>
      </c>
      <c r="E143">
        <f>RTD("nest.scriprtd",,"bse_cm|950KFL27","Bid Rate")</f>
        <v>825.3</v>
      </c>
      <c r="F143">
        <f>RTD("nest.scriprtd",,"bse_cm|950KFL27","Ask Rate")</f>
        <v>974.8</v>
      </c>
      <c r="G143">
        <f>RTD("nest.scriprtd",,"bse_cm|950KFL27","Ask Qty")</f>
        <v>10</v>
      </c>
      <c r="H143">
        <f>RTD("nest.scriprtd",,"bse_cm|950KFL27","LTP")</f>
        <v>0</v>
      </c>
      <c r="I143" t="str">
        <f>RTD("nest.scriprtd",,"bse_cm|950KFL27","LTT")</f>
        <v>00:00:00</v>
      </c>
      <c r="J143">
        <f>RTD("nest.scriprtd",,"bse_cm|950KFL27","% Change")</f>
        <v>-100</v>
      </c>
      <c r="K143">
        <f>RTD("nest.scriprtd",,"bse_cm|950KFL27","ATP")</f>
        <v>0</v>
      </c>
      <c r="L143">
        <f>RTD("nest.scriprtd",,"bse_cm|950KFL27","Volume Traded Today")</f>
        <v>0</v>
      </c>
      <c r="M143">
        <f>RTD("nest.scriprtd",,"bse_cm|950KFL27","Open")</f>
        <v>0</v>
      </c>
      <c r="N143">
        <f>RTD("nest.scriprtd",,"bse_cm|950KFL27","High")</f>
        <v>825.3</v>
      </c>
      <c r="O143">
        <f>RTD("nest.scriprtd",,"bse_cm|950KFL27","Low ")</f>
        <v>825.3</v>
      </c>
      <c r="P143">
        <f>RTD("nest.scriprtd",,"bse_cm|950KFL27","Prev Close")</f>
        <v>825.3</v>
      </c>
      <c r="Q143">
        <f>RTD("nest.scriprtd",,"bse_cm|950KFL27","Face Value")</f>
        <v>1000</v>
      </c>
      <c r="R143" t="str">
        <f>RTD("nest.scriprtd",,"bse_cm|950KFL27","Isin code")</f>
        <v>INE403Q07EL0</v>
      </c>
      <c r="S143" s="9">
        <f>Table1[[#This Row],[Ask Rate]]*Table1[[#This Row],[Ask Qty]]</f>
        <v>9748</v>
      </c>
      <c r="T143">
        <f>VLOOKUP(Table1[[#This Row],[Isin code]],Table2[#All],7,FALSE)</f>
        <v>9.5</v>
      </c>
      <c r="U143" s="17" t="str">
        <f>VLOOKUP(Table1[[#This Row],[Isin code]],Table2[#All],8,FALSE)</f>
        <v>25-Apr-2027</v>
      </c>
      <c r="V143" s="10">
        <f ca="1">Table1[[#This Row],[Maturity]]-TODAY()</f>
        <v>921</v>
      </c>
      <c r="W143" t="str">
        <f>VLOOKUP(Table1[[#This Row],[Isin code]],Table2[#All],10,FALSE)</f>
        <v>Monthly</v>
      </c>
      <c r="X143">
        <f ca="1">_xlfn.DAYS(Table1[[#This Row],[Maturity]],TODAY())-15</f>
        <v>906</v>
      </c>
      <c r="Y1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143">
        <f>IF(Table1[[#This Row],[Ask Rate]]=0,0,Table1[[#This Row],[Face Value]]-Table1[[#This Row],[Ask Rate]])</f>
        <v>25.200000000000045</v>
      </c>
      <c r="AA143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143">
        <f ca="1">Table1[[#This Row],[Face Value]]*Table1[[#This Row],[Rate]]*Table1[[#This Row],[Time]]</f>
        <v>245.41666666666669</v>
      </c>
      <c r="AC143">
        <f ca="1">Table1[[#This Row],[SI]]+Table1[[#This Row],[Disc/Prem]]</f>
        <v>270.61666666666673</v>
      </c>
      <c r="AD143" s="3">
        <f ca="1">Table1[[#This Row],[Net Gain]]/Table1[[#This Row],[Ask Rate]]</f>
        <v>0.27761250170975249</v>
      </c>
      <c r="AE143" s="3">
        <f ca="1">IF(Table1[[#This Row],[Ask Qty]]=0,0,Table1[[#This Row],[Gross Yield]]*365/Table1[[#This Row],[Days Left]])</f>
        <v>0.11002015540071623</v>
      </c>
      <c r="AF143" s="9">
        <f ca="1">+Table1[[#This Row],[Net Gain]]*Table1[[#This Row],[Ask Qty]]</f>
        <v>2706.1666666666674</v>
      </c>
      <c r="AG143" t="str">
        <f ca="1">IF(Table1[[#This Row],[YTM]]&gt;0.12,IF(Table1[[#This Row],[Gross Profit]]&gt;10000,"Invest","Review"),"Low YTM")</f>
        <v>Low YTM</v>
      </c>
    </row>
    <row r="144" spans="1:33" x14ac:dyDescent="0.3">
      <c r="A144" t="str">
        <f>RTD("nest.scriprtd",,"nse_cm|1060ECL29-NS","Symbol")</f>
        <v>1060ECL29</v>
      </c>
      <c r="B144" t="str">
        <f>RTD("nest.scriprtd",,"nse_cm|1060ECL29-NS","Trading Symbol")</f>
        <v>1060ECL29-NS</v>
      </c>
      <c r="C144" t="str">
        <f>RTD("nest.scriprtd",,"nse_cm|1060ECL29-NS","Exchange")</f>
        <v>NSE</v>
      </c>
      <c r="D144">
        <f>RTD("nest.scriprtd",,"nse_cm|1060ECL29-NS","Bid Qty")</f>
        <v>15</v>
      </c>
      <c r="E144">
        <f>RTD("nest.scriprtd",,"nse_cm|1060ECL29-NS","Bid Rate")</f>
        <v>1035</v>
      </c>
      <c r="F144">
        <f>RTD("nest.scriprtd",,"nse_cm|1060ECL29-NS","Ask Rate")</f>
        <v>1045</v>
      </c>
      <c r="G144">
        <f>RTD("nest.scriprtd",,"nse_cm|1060ECL29-NS","Ask Qty")</f>
        <v>500</v>
      </c>
      <c r="H144">
        <f>RTD("nest.scriprtd",,"nse_cm|1060ECL29-NS","LTP")</f>
        <v>1035</v>
      </c>
      <c r="I144" t="str">
        <f>RTD("nest.scriprtd",,"nse_cm|1060ECL29-NS","LTT")</f>
        <v>09:33:15</v>
      </c>
      <c r="J144">
        <f>RTD("nest.scriprtd",,"nse_cm|1060ECL29-NS","% Change")</f>
        <v>-9.61</v>
      </c>
      <c r="K144">
        <f>RTD("nest.scriprtd",,"nse_cm|1060ECL29-NS","ATP")</f>
        <v>1015.5</v>
      </c>
      <c r="L144">
        <f>RTD("nest.scriprtd",,"nse_cm|1060ECL29-NS","Volume Traded Today")</f>
        <v>5</v>
      </c>
      <c r="M144">
        <f>RTD("nest.scriprtd",,"nse_cm|1060ECL29-NS","Open")</f>
        <v>1015.5</v>
      </c>
      <c r="N144">
        <f>RTD("nest.scriprtd",,"nse_cm|1060ECL29-NS","High")</f>
        <v>1035</v>
      </c>
      <c r="O144">
        <f>RTD("nest.scriprtd",,"nse_cm|1060ECL29-NS","Low ")</f>
        <v>1015.5</v>
      </c>
      <c r="P144">
        <f>RTD("nest.scriprtd",,"nse_cm|1060ECL29-NS","Prev Close")</f>
        <v>1145</v>
      </c>
      <c r="Q144">
        <f>RTD("nest.scriprtd",,"nse_cm|1060ECL29-NS","Face Value")</f>
        <v>1000</v>
      </c>
      <c r="R144" t="str">
        <f>RTD("nest.scriprtd",,"nse_cm|1060ECL29-NS","Isin code")</f>
        <v>INE804IA7022</v>
      </c>
      <c r="S144" s="9">
        <f>Table1[[#This Row],[Ask Rate]]*Table1[[#This Row],[Ask Qty]]</f>
        <v>522500</v>
      </c>
      <c r="T144">
        <f>VLOOKUP(Table1[[#This Row],[Isin code]],Table2[#All],7,FALSE)</f>
        <v>10.6</v>
      </c>
      <c r="U144" s="17" t="str">
        <f>VLOOKUP(Table1[[#This Row],[Isin code]],Table2[#All],8,FALSE)</f>
        <v>04-Jan-2029</v>
      </c>
      <c r="V144" s="10">
        <f ca="1">Table1[[#This Row],[Maturity]]-TODAY()</f>
        <v>1541</v>
      </c>
      <c r="W144" t="str">
        <f>VLOOKUP(Table1[[#This Row],[Isin code]],Table2[#All],10,FALSE)</f>
        <v>Yearly</v>
      </c>
      <c r="X144">
        <f ca="1">_xlfn.DAYS(Table1[[#This Row],[Maturity]],TODAY())-15</f>
        <v>1526</v>
      </c>
      <c r="Y1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4">
        <f>IF(Table1[[#This Row],[Ask Rate]]=0,0,Table1[[#This Row],[Face Value]]-Table1[[#This Row],[Ask Rate]])</f>
        <v>-45</v>
      </c>
      <c r="AA144">
        <f>IF(Table1[[#This Row],[Freq]]="Yearly",Table1[[#This Row],[Coupon_Rate]]/100,IF(Table1[[#This Row],[Freq]]="Monthly",Table1[[#This Row],[Coupon_Rate]]/1200,IF(Table1[[#This Row],[Freq]]="Quarterly",Table1[[#This Row],[Coupon_Rate]]/400,0)))</f>
        <v>0.106</v>
      </c>
      <c r="AB144">
        <f ca="1">Table1[[#This Row],[Face Value]]*Table1[[#This Row],[Rate]]*Table1[[#This Row],[Time]]</f>
        <v>530</v>
      </c>
      <c r="AC144">
        <f ca="1">Table1[[#This Row],[SI]]+Table1[[#This Row],[Disc/Prem]]</f>
        <v>485</v>
      </c>
      <c r="AD144" s="3">
        <f ca="1">Table1[[#This Row],[Net Gain]]/Table1[[#This Row],[Ask Rate]]</f>
        <v>0.46411483253588515</v>
      </c>
      <c r="AE144" s="3">
        <f ca="1">IF(Table1[[#This Row],[Ask Qty]]=0,0,Table1[[#This Row],[Gross Yield]]*365/Table1[[#This Row],[Days Left]])</f>
        <v>0.10992985975055033</v>
      </c>
      <c r="AF144" s="9">
        <f ca="1">+Table1[[#This Row],[Net Gain]]*Table1[[#This Row],[Ask Qty]]</f>
        <v>242500</v>
      </c>
      <c r="AG144" t="str">
        <f ca="1">IF(Table1[[#This Row],[YTM]]&gt;0.12,IF(Table1[[#This Row],[Gross Profit]]&gt;10000,"Invest","Review"),"Low YTM")</f>
        <v>Low YTM</v>
      </c>
    </row>
    <row r="145" spans="1:33" x14ac:dyDescent="0.3">
      <c r="A145" t="str">
        <f>RTD("nest.scriprtd",,"nse_cm|842IIFL26-NL","Symbol")</f>
        <v>842IIFL26</v>
      </c>
      <c r="B145" t="str">
        <f>RTD("nest.scriprtd",,"nse_cm|842IIFL26-NL","Trading Symbol")</f>
        <v>842IIFL26-NL</v>
      </c>
      <c r="C145" t="str">
        <f>RTD("nest.scriprtd",,"nse_cm|842IIFL26-NL","Exchange")</f>
        <v>NSE</v>
      </c>
      <c r="D145">
        <f>RTD("nest.scriprtd",,"nse_cm|842IIFL26-NL","Bid Qty")</f>
        <v>163</v>
      </c>
      <c r="E145">
        <f>RTD("nest.scriprtd",,"nse_cm|842IIFL26-NL","Bid Rate")</f>
        <v>951</v>
      </c>
      <c r="F145">
        <f>RTD("nest.scriprtd",,"nse_cm|842IIFL26-NL","Ask Rate")</f>
        <v>958.35</v>
      </c>
      <c r="G145">
        <f>RTD("nest.scriprtd",,"nse_cm|842IIFL26-NL","Ask Qty")</f>
        <v>140</v>
      </c>
      <c r="H145">
        <f>RTD("nest.scriprtd",,"nse_cm|842IIFL26-NL","LTP")</f>
        <v>951</v>
      </c>
      <c r="I145" t="str">
        <f>RTD("nest.scriprtd",,"nse_cm|842IIFL26-NL","LTT")</f>
        <v/>
      </c>
      <c r="J145">
        <f>RTD("nest.scriprtd",,"nse_cm|842IIFL26-NL","% Change")</f>
        <v>-0.77</v>
      </c>
      <c r="K145">
        <f>RTD("nest.scriprtd",,"nse_cm|842IIFL26-NL","ATP")</f>
        <v>0</v>
      </c>
      <c r="L145">
        <f>RTD("nest.scriprtd",,"nse_cm|842IIFL26-NL","Volume Traded Today")</f>
        <v>0</v>
      </c>
      <c r="M145">
        <f>RTD("nest.scriprtd",,"nse_cm|842IIFL26-NL","Open")</f>
        <v>0</v>
      </c>
      <c r="N145">
        <f>RTD("nest.scriprtd",,"nse_cm|842IIFL26-NL","High")</f>
        <v>959.95</v>
      </c>
      <c r="O145">
        <f>RTD("nest.scriprtd",,"nse_cm|842IIFL26-NL","Low ")</f>
        <v>950</v>
      </c>
      <c r="P145">
        <f>RTD("nest.scriprtd",,"nse_cm|842IIFL26-NL","Prev Close")</f>
        <v>958.36</v>
      </c>
      <c r="Q145">
        <f>RTD("nest.scriprtd",,"nse_cm|842IIFL26-NL","Face Value")</f>
        <v>1000</v>
      </c>
      <c r="R145" t="str">
        <f>RTD("nest.scriprtd",,"nse_cm|842IIFL26-NL","Isin code")</f>
        <v>INE530B07161</v>
      </c>
      <c r="S145" s="9">
        <f>Table1[[#This Row],[Ask Rate]]*Table1[[#This Row],[Ask Qty]]</f>
        <v>134169</v>
      </c>
      <c r="T145">
        <f>VLOOKUP(Table1[[#This Row],[Isin code]],Table2[#All],7,FALSE)</f>
        <v>8.42</v>
      </c>
      <c r="U145" s="17" t="str">
        <f>VLOOKUP(Table1[[#This Row],[Isin code]],Table2[#All],8,FALSE)</f>
        <v>14-Oct-2026</v>
      </c>
      <c r="V145" s="10">
        <f ca="1">Table1[[#This Row],[Maturity]]-TODAY()</f>
        <v>728</v>
      </c>
      <c r="W145" t="str">
        <f>VLOOKUP(Table1[[#This Row],[Isin code]],Table2[#All],10,FALSE)</f>
        <v>Monthly</v>
      </c>
      <c r="X145">
        <f ca="1">_xlfn.DAYS(Table1[[#This Row],[Maturity]],TODAY())-15</f>
        <v>713</v>
      </c>
      <c r="Y1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145">
        <f>IF(Table1[[#This Row],[Ask Rate]]=0,0,Table1[[#This Row],[Face Value]]-Table1[[#This Row],[Ask Rate]])</f>
        <v>41.649999999999977</v>
      </c>
      <c r="AA145">
        <f>IF(Table1[[#This Row],[Freq]]="Yearly",Table1[[#This Row],[Coupon_Rate]]/100,IF(Table1[[#This Row],[Freq]]="Monthly",Table1[[#This Row],[Coupon_Rate]]/1200,IF(Table1[[#This Row],[Freq]]="Quarterly",Table1[[#This Row],[Coupon_Rate]]/400,0)))</f>
        <v>7.0166666666666667E-3</v>
      </c>
      <c r="AB145">
        <f ca="1">Table1[[#This Row],[Face Value]]*Table1[[#This Row],[Rate]]*Table1[[#This Row],[Time]]</f>
        <v>168.4</v>
      </c>
      <c r="AC145">
        <f ca="1">Table1[[#This Row],[SI]]+Table1[[#This Row],[Disc/Prem]]</f>
        <v>210.04999999999998</v>
      </c>
      <c r="AD145" s="3">
        <f ca="1">Table1[[#This Row],[Net Gain]]/Table1[[#This Row],[Ask Rate]]</f>
        <v>0.21917879689048883</v>
      </c>
      <c r="AE145" s="3">
        <f ca="1">IF(Table1[[#This Row],[Ask Qty]]=0,0,Table1[[#This Row],[Gross Yield]]*365/Table1[[#This Row],[Days Left]])</f>
        <v>0.10989046822119289</v>
      </c>
      <c r="AF145" s="9">
        <f ca="1">+Table1[[#This Row],[Net Gain]]*Table1[[#This Row],[Ask Qty]]</f>
        <v>29406.999999999996</v>
      </c>
      <c r="AG145" t="str">
        <f ca="1">IF(Table1[[#This Row],[YTM]]&gt;0.12,IF(Table1[[#This Row],[Gross Profit]]&gt;10000,"Invest","Review"),"Low YTM")</f>
        <v>Low YTM</v>
      </c>
    </row>
    <row r="146" spans="1:33" x14ac:dyDescent="0.3">
      <c r="A146" t="str">
        <f>RTD("nest.scriprtd",,"nse_cm|965SCL26-YO","Symbol")</f>
        <v>965SCL26</v>
      </c>
      <c r="B146" t="str">
        <f>RTD("nest.scriprtd",,"nse_cm|965SCL26-YO","Trading Symbol")</f>
        <v>965SCL26-YO</v>
      </c>
      <c r="C146" t="str">
        <f>RTD("nest.scriprtd",,"nse_cm|965SCL26-YO","Exchange")</f>
        <v>NSE</v>
      </c>
      <c r="D146">
        <f>RTD("nest.scriprtd",,"nse_cm|965SCL26-YO","Bid Qty")</f>
        <v>12</v>
      </c>
      <c r="E146">
        <f>RTD("nest.scriprtd",,"nse_cm|965SCL26-YO","Bid Rate")</f>
        <v>930.2</v>
      </c>
      <c r="F146">
        <f>RTD("nest.scriprtd",,"nse_cm|965SCL26-YO","Ask Rate")</f>
        <v>1030</v>
      </c>
      <c r="G146">
        <f>RTD("nest.scriprtd",,"nse_cm|965SCL26-YO","Ask Qty")</f>
        <v>19</v>
      </c>
      <c r="H146">
        <f>RTD("nest.scriprtd",,"nse_cm|965SCL26-YO","LTP")</f>
        <v>930.2</v>
      </c>
      <c r="I146" t="str">
        <f>RTD("nest.scriprtd",,"nse_cm|965SCL26-YO","LTT")</f>
        <v/>
      </c>
      <c r="J146">
        <f>RTD("nest.scriprtd",,"nse_cm|965SCL26-YO","% Change")</f>
        <v>0</v>
      </c>
      <c r="K146">
        <f>RTD("nest.scriprtd",,"nse_cm|965SCL26-YO","ATP")</f>
        <v>0</v>
      </c>
      <c r="L146">
        <f>RTD("nest.scriprtd",,"nse_cm|965SCL26-YO","Volume Traded Today")</f>
        <v>0</v>
      </c>
      <c r="M146">
        <f>RTD("nest.scriprtd",,"nse_cm|965SCL26-YO","Open")</f>
        <v>0</v>
      </c>
      <c r="N146">
        <f>RTD("nest.scriprtd",,"nse_cm|965SCL26-YO","High")</f>
        <v>930.2</v>
      </c>
      <c r="O146">
        <f>RTD("nest.scriprtd",,"nse_cm|965SCL26-YO","Low ")</f>
        <v>930.2</v>
      </c>
      <c r="P146">
        <f>RTD("nest.scriprtd",,"nse_cm|965SCL26-YO","Prev Close")</f>
        <v>930.2</v>
      </c>
      <c r="Q146">
        <f>RTD("nest.scriprtd",,"nse_cm|965SCL26-YO","Face Value")</f>
        <v>1000</v>
      </c>
      <c r="R146" t="str">
        <f>RTD("nest.scriprtd",,"nse_cm|965SCL26-YO","Isin code")</f>
        <v>INE148I07SD5</v>
      </c>
      <c r="S146" s="9">
        <f>Table1[[#This Row],[Ask Rate]]*Table1[[#This Row],[Ask Qty]]</f>
        <v>19570</v>
      </c>
      <c r="T146">
        <f>VLOOKUP(Table1[[#This Row],[Isin code]],Table2[#All],7,FALSE)</f>
        <v>9.65</v>
      </c>
      <c r="U146" s="17" t="str">
        <f>VLOOKUP(Table1[[#This Row],[Isin code]],Table2[#All],8,FALSE)</f>
        <v>26-Mar-2026</v>
      </c>
      <c r="V146" s="10">
        <f ca="1">Table1[[#This Row],[Maturity]]-TODAY()</f>
        <v>526</v>
      </c>
      <c r="W146" t="str">
        <f>VLOOKUP(Table1[[#This Row],[Isin code]],Table2[#All],10,FALSE)</f>
        <v>Yearly</v>
      </c>
      <c r="X146">
        <f ca="1">_xlfn.DAYS(Table1[[#This Row],[Maturity]],TODAY())-15</f>
        <v>511</v>
      </c>
      <c r="Y1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46">
        <f>IF(Table1[[#This Row],[Ask Rate]]=0,0,Table1[[#This Row],[Face Value]]-Table1[[#This Row],[Ask Rate]])</f>
        <v>-30</v>
      </c>
      <c r="AA146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46">
        <f ca="1">Table1[[#This Row],[Face Value]]*Table1[[#This Row],[Rate]]*Table1[[#This Row],[Time]]</f>
        <v>193</v>
      </c>
      <c r="AC146">
        <f ca="1">Table1[[#This Row],[SI]]+Table1[[#This Row],[Disc/Prem]]</f>
        <v>163</v>
      </c>
      <c r="AD146" s="3">
        <f ca="1">Table1[[#This Row],[Net Gain]]/Table1[[#This Row],[Ask Rate]]</f>
        <v>0.15825242718446603</v>
      </c>
      <c r="AE146" s="3">
        <f ca="1">IF(Table1[[#This Row],[Ask Qty]]=0,0,Table1[[#This Row],[Gross Yield]]*365/Table1[[#This Row],[Days Left]])</f>
        <v>0.10981394662039944</v>
      </c>
      <c r="AF146" s="9">
        <f ca="1">+Table1[[#This Row],[Net Gain]]*Table1[[#This Row],[Ask Qty]]</f>
        <v>3097</v>
      </c>
      <c r="AG146" t="str">
        <f ca="1">IF(Table1[[#This Row],[YTM]]&gt;0.12,IF(Table1[[#This Row],[Gross Profit]]&gt;10000,"Invest","Review"),"Low YTM")</f>
        <v>Low YTM</v>
      </c>
    </row>
    <row r="147" spans="1:33" x14ac:dyDescent="0.3">
      <c r="A147" t="str">
        <f>RTD("nest.scriprtd",,"bse_cm|925ERFL28","Symbol")</f>
        <v>925ERFL28</v>
      </c>
      <c r="B147" t="str">
        <f>RTD("nest.scriprtd",,"bse_cm|925ERFL28","Trading Symbol")</f>
        <v>925ERFL28</v>
      </c>
      <c r="C147" t="str">
        <f>RTD("nest.scriprtd",,"bse_cm|925ERFL28","Exchange")</f>
        <v>BSE</v>
      </c>
      <c r="D147">
        <f>RTD("nest.scriprtd",,"bse_cm|925ERFL28","Bid Qty")</f>
        <v>50</v>
      </c>
      <c r="E147">
        <f>RTD("nest.scriprtd",,"bse_cm|925ERFL28","Bid Rate")</f>
        <v>963.35</v>
      </c>
      <c r="F147">
        <f>RTD("nest.scriprtd",,"bse_cm|925ERFL28","Ask Rate")</f>
        <v>994.95</v>
      </c>
      <c r="G147">
        <f>RTD("nest.scriprtd",,"bse_cm|925ERFL28","Ask Qty")</f>
        <v>60</v>
      </c>
      <c r="H147">
        <f>RTD("nest.scriprtd",,"bse_cm|925ERFL28","LTP")</f>
        <v>0</v>
      </c>
      <c r="I147" t="str">
        <f>RTD("nest.scriprtd",,"bse_cm|925ERFL28","LTT")</f>
        <v>00:00:00</v>
      </c>
      <c r="J147">
        <f>RTD("nest.scriprtd",,"bse_cm|925ERFL28","% Change")</f>
        <v>-100</v>
      </c>
      <c r="K147">
        <f>RTD("nest.scriprtd",,"bse_cm|925ERFL28","ATP")</f>
        <v>0</v>
      </c>
      <c r="L147">
        <f>RTD("nest.scriprtd",,"bse_cm|925ERFL28","Volume Traded Today")</f>
        <v>0</v>
      </c>
      <c r="M147">
        <f>RTD("nest.scriprtd",,"bse_cm|925ERFL28","Open")</f>
        <v>0</v>
      </c>
      <c r="N147">
        <f>RTD("nest.scriprtd",,"bse_cm|925ERFL28","High")</f>
        <v>970.01</v>
      </c>
      <c r="O147">
        <f>RTD("nest.scriprtd",,"bse_cm|925ERFL28","Low ")</f>
        <v>970</v>
      </c>
      <c r="P147">
        <f>RTD("nest.scriprtd",,"bse_cm|925ERFL28","Prev Close")</f>
        <v>970</v>
      </c>
      <c r="Q147">
        <f>RTD("nest.scriprtd",,"bse_cm|925ERFL28","Face Value")</f>
        <v>1000</v>
      </c>
      <c r="R147" t="str">
        <f>RTD("nest.scriprtd",,"bse_cm|925ERFL28","Isin code")</f>
        <v>INE528S07128</v>
      </c>
      <c r="S147" s="9">
        <f>Table1[[#This Row],[Ask Rate]]*Table1[[#This Row],[Ask Qty]]</f>
        <v>59697</v>
      </c>
      <c r="T147">
        <f>VLOOKUP(Table1[[#This Row],[Isin code]],Table2[#All],7,FALSE)</f>
        <v>9.25</v>
      </c>
      <c r="U147" s="17" t="str">
        <f>VLOOKUP(Table1[[#This Row],[Isin code]],Table2[#All],8,FALSE)</f>
        <v>22-Mar-2028</v>
      </c>
      <c r="V147" s="10">
        <f ca="1">Table1[[#This Row],[Maturity]]-TODAY()</f>
        <v>1253</v>
      </c>
      <c r="W147" t="str">
        <f>VLOOKUP(Table1[[#This Row],[Isin code]],Table2[#All],10,FALSE)</f>
        <v>Yearly</v>
      </c>
      <c r="X147">
        <f ca="1">_xlfn.DAYS(Table1[[#This Row],[Maturity]],TODAY())-15</f>
        <v>1238</v>
      </c>
      <c r="Y1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47">
        <f>IF(Table1[[#This Row],[Ask Rate]]=0,0,Table1[[#This Row],[Face Value]]-Table1[[#This Row],[Ask Rate]])</f>
        <v>5.0499999999999545</v>
      </c>
      <c r="AA147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147">
        <f ca="1">Table1[[#This Row],[Face Value]]*Table1[[#This Row],[Rate]]*Table1[[#This Row],[Time]]</f>
        <v>370</v>
      </c>
      <c r="AC147">
        <f ca="1">Table1[[#This Row],[SI]]+Table1[[#This Row],[Disc/Prem]]</f>
        <v>375.04999999999995</v>
      </c>
      <c r="AD147" s="3">
        <f ca="1">Table1[[#This Row],[Net Gain]]/Table1[[#This Row],[Ask Rate]]</f>
        <v>0.37695361575958586</v>
      </c>
      <c r="AE147" s="3">
        <f ca="1">IF(Table1[[#This Row],[Ask Qty]]=0,0,Table1[[#This Row],[Gross Yield]]*365/Table1[[#This Row],[Days Left]])</f>
        <v>0.10980691919572931</v>
      </c>
      <c r="AF147" s="9">
        <f ca="1">+Table1[[#This Row],[Net Gain]]*Table1[[#This Row],[Ask Qty]]</f>
        <v>22502.999999999996</v>
      </c>
      <c r="AG147" t="str">
        <f ca="1">IF(Table1[[#This Row],[YTM]]&gt;0.12,IF(Table1[[#This Row],[Gross Profit]]&gt;10000,"Invest","Review"),"Low YTM")</f>
        <v>Low YTM</v>
      </c>
    </row>
    <row r="148" spans="1:33" x14ac:dyDescent="0.3">
      <c r="A148" t="str">
        <f>RTD("nest.scriprtd",,"bse_cm|915SCL26","Symbol")</f>
        <v>915SCL26</v>
      </c>
      <c r="B148" t="str">
        <f>RTD("nest.scriprtd",,"bse_cm|915SCL26","Trading Symbol")</f>
        <v>915SCL26</v>
      </c>
      <c r="C148" t="str">
        <f>RTD("nest.scriprtd",,"bse_cm|915SCL26","Exchange")</f>
        <v>BSE</v>
      </c>
      <c r="D148">
        <f>RTD("nest.scriprtd",,"bse_cm|915SCL26","Bid Qty")</f>
        <v>250</v>
      </c>
      <c r="E148">
        <f>RTD("nest.scriprtd",,"bse_cm|915SCL26","Bid Rate")</f>
        <v>902</v>
      </c>
      <c r="F148">
        <f>RTD("nest.scriprtd",,"bse_cm|915SCL26","Ask Rate")</f>
        <v>975</v>
      </c>
      <c r="G148">
        <f>RTD("nest.scriprtd",,"bse_cm|915SCL26","Ask Qty")</f>
        <v>250</v>
      </c>
      <c r="H148">
        <f>RTD("nest.scriprtd",,"bse_cm|915SCL26","LTP")</f>
        <v>0</v>
      </c>
      <c r="I148" t="str">
        <f>RTD("nest.scriprtd",,"bse_cm|915SCL26","LTT")</f>
        <v>00:00:00</v>
      </c>
      <c r="J148">
        <f>RTD("nest.scriprtd",,"bse_cm|915SCL26","% Change")</f>
        <v>-100</v>
      </c>
      <c r="K148">
        <f>RTD("nest.scriprtd",,"bse_cm|915SCL26","ATP")</f>
        <v>0</v>
      </c>
      <c r="L148">
        <f>RTD("nest.scriprtd",,"bse_cm|915SCL26","Volume Traded Today")</f>
        <v>0</v>
      </c>
      <c r="M148">
        <f>RTD("nest.scriprtd",,"bse_cm|915SCL26","Open")</f>
        <v>0</v>
      </c>
      <c r="N148">
        <f>RTD("nest.scriprtd",,"bse_cm|915SCL26","High")</f>
        <v>969</v>
      </c>
      <c r="O148">
        <f>RTD("nest.scriprtd",,"bse_cm|915SCL26","Low ")</f>
        <v>955</v>
      </c>
      <c r="P148">
        <f>RTD("nest.scriprtd",,"bse_cm|915SCL26","Prev Close")</f>
        <v>969</v>
      </c>
      <c r="Q148">
        <f>RTD("nest.scriprtd",,"bse_cm|915SCL26","Face Value")</f>
        <v>1000</v>
      </c>
      <c r="R148" t="str">
        <f>RTD("nest.scriprtd",,"bse_cm|915SCL26","Isin code")</f>
        <v>INE148I08256</v>
      </c>
      <c r="S148" s="9">
        <f>Table1[[#This Row],[Ask Rate]]*Table1[[#This Row],[Ask Qty]]</f>
        <v>243750</v>
      </c>
      <c r="T148">
        <f>VLOOKUP(Table1[[#This Row],[Isin code]],Table2[#All],7,FALSE)</f>
        <v>9.15</v>
      </c>
      <c r="U148" s="17" t="str">
        <f>VLOOKUP(Table1[[#This Row],[Isin code]],Table2[#All],8,FALSE)</f>
        <v>26-Sep-2026</v>
      </c>
      <c r="V148" s="10">
        <f ca="1">Table1[[#This Row],[Maturity]]-TODAY()</f>
        <v>710</v>
      </c>
      <c r="W148" t="str">
        <f>VLOOKUP(Table1[[#This Row],[Isin code]],Table2[#All],10,FALSE)</f>
        <v>Yearly</v>
      </c>
      <c r="X148">
        <f ca="1">_xlfn.DAYS(Table1[[#This Row],[Maturity]],TODAY())-15</f>
        <v>695</v>
      </c>
      <c r="Y1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48">
        <f>IF(Table1[[#This Row],[Ask Rate]]=0,0,Table1[[#This Row],[Face Value]]-Table1[[#This Row],[Ask Rate]])</f>
        <v>25</v>
      </c>
      <c r="AA148">
        <f>IF(Table1[[#This Row],[Freq]]="Yearly",Table1[[#This Row],[Coupon_Rate]]/100,IF(Table1[[#This Row],[Freq]]="Monthly",Table1[[#This Row],[Coupon_Rate]]/1200,IF(Table1[[#This Row],[Freq]]="Quarterly",Table1[[#This Row],[Coupon_Rate]]/400,0)))</f>
        <v>9.1499999999999998E-2</v>
      </c>
      <c r="AB148">
        <f ca="1">Table1[[#This Row],[Face Value]]*Table1[[#This Row],[Rate]]*Table1[[#This Row],[Time]]</f>
        <v>183</v>
      </c>
      <c r="AC148">
        <f ca="1">Table1[[#This Row],[SI]]+Table1[[#This Row],[Disc/Prem]]</f>
        <v>208</v>
      </c>
      <c r="AD148" s="3">
        <f ca="1">Table1[[#This Row],[Net Gain]]/Table1[[#This Row],[Ask Rate]]</f>
        <v>0.21333333333333335</v>
      </c>
      <c r="AE148" s="3">
        <f ca="1">IF(Table1[[#This Row],[Ask Qty]]=0,0,Table1[[#This Row],[Gross Yield]]*365/Table1[[#This Row],[Days Left]])</f>
        <v>0.10967136150234742</v>
      </c>
      <c r="AF148" s="9">
        <f ca="1">+Table1[[#This Row],[Net Gain]]*Table1[[#This Row],[Ask Qty]]</f>
        <v>52000</v>
      </c>
      <c r="AG148" t="str">
        <f ca="1">IF(Table1[[#This Row],[YTM]]&gt;0.12,IF(Table1[[#This Row],[Gross Profit]]&gt;10000,"Invest","Review"),"Low YTM")</f>
        <v>Low YTM</v>
      </c>
    </row>
    <row r="149" spans="1:33" x14ac:dyDescent="0.3">
      <c r="A149" t="str">
        <f>RTD("nest.scriprtd",,"bse_cm|104ECL29","Symbol")</f>
        <v>104ECL29</v>
      </c>
      <c r="B149" t="str">
        <f>RTD("nest.scriprtd",,"bse_cm|104ECL29","Trading Symbol")</f>
        <v>104ECL29</v>
      </c>
      <c r="C149" t="str">
        <f>RTD("nest.scriprtd",,"bse_cm|104ECL29","Exchange")</f>
        <v>BSE</v>
      </c>
      <c r="D149">
        <f>RTD("nest.scriprtd",,"bse_cm|104ECL29","Bid Qty")</f>
        <v>170</v>
      </c>
      <c r="E149">
        <f>RTD("nest.scriprtd",,"bse_cm|104ECL29","Bid Rate")</f>
        <v>980.2</v>
      </c>
      <c r="F149">
        <f>RTD("nest.scriprtd",,"bse_cm|104ECL29","Ask Rate")</f>
        <v>1040</v>
      </c>
      <c r="G149">
        <f>RTD("nest.scriprtd",,"bse_cm|104ECL29","Ask Qty")</f>
        <v>50</v>
      </c>
      <c r="H149">
        <f>RTD("nest.scriprtd",,"bse_cm|104ECL29","LTP")</f>
        <v>0</v>
      </c>
      <c r="I149" t="str">
        <f>RTD("nest.scriprtd",,"bse_cm|104ECL29","LTT")</f>
        <v>00:00:00</v>
      </c>
      <c r="J149">
        <f>RTD("nest.scriprtd",,"bse_cm|104ECL29","% Change")</f>
        <v>-100</v>
      </c>
      <c r="K149">
        <f>RTD("nest.scriprtd",,"bse_cm|104ECL29","ATP")</f>
        <v>0</v>
      </c>
      <c r="L149">
        <f>RTD("nest.scriprtd",,"bse_cm|104ECL29","Volume Traded Today")</f>
        <v>0</v>
      </c>
      <c r="M149">
        <f>RTD("nest.scriprtd",,"bse_cm|104ECL29","Open")</f>
        <v>0</v>
      </c>
      <c r="N149">
        <f>RTD("nest.scriprtd",,"bse_cm|104ECL29","High")</f>
        <v>999.8</v>
      </c>
      <c r="O149">
        <f>RTD("nest.scriprtd",,"bse_cm|104ECL29","Low ")</f>
        <v>999.8</v>
      </c>
      <c r="P149">
        <f>RTD("nest.scriprtd",,"bse_cm|104ECL29","Prev Close")</f>
        <v>999.8</v>
      </c>
      <c r="Q149">
        <f>RTD("nest.scriprtd",,"bse_cm|104ECL29","Face Value")</f>
        <v>1000</v>
      </c>
      <c r="R149" t="str">
        <f>RTD("nest.scriprtd",,"bse_cm|104ECL29","Isin code")</f>
        <v>INE804IA7253</v>
      </c>
      <c r="S149" s="9">
        <f>Table1[[#This Row],[Ask Rate]]*Table1[[#This Row],[Ask Qty]]</f>
        <v>52000</v>
      </c>
      <c r="T149">
        <f>VLOOKUP(Table1[[#This Row],[Isin code]],Table2[#All],7,FALSE)</f>
        <v>10.4</v>
      </c>
      <c r="U149" s="17" t="str">
        <f>VLOOKUP(Table1[[#This Row],[Isin code]],Table2[#All],8,FALSE)</f>
        <v>28-Nov-2029</v>
      </c>
      <c r="V149" s="10">
        <f ca="1">Table1[[#This Row],[Maturity]]-TODAY()</f>
        <v>1869</v>
      </c>
      <c r="W149" t="str">
        <f>VLOOKUP(Table1[[#This Row],[Isin code]],Table2[#All],10,FALSE)</f>
        <v>Yearly</v>
      </c>
      <c r="X149">
        <f ca="1">_xlfn.DAYS(Table1[[#This Row],[Maturity]],TODAY())-15</f>
        <v>1854</v>
      </c>
      <c r="Y1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49">
        <f>IF(Table1[[#This Row],[Ask Rate]]=0,0,Table1[[#This Row],[Face Value]]-Table1[[#This Row],[Ask Rate]])</f>
        <v>-40</v>
      </c>
      <c r="AA149">
        <f>IF(Table1[[#This Row],[Freq]]="Yearly",Table1[[#This Row],[Coupon_Rate]]/100,IF(Table1[[#This Row],[Freq]]="Monthly",Table1[[#This Row],[Coupon_Rate]]/1200,IF(Table1[[#This Row],[Freq]]="Quarterly",Table1[[#This Row],[Coupon_Rate]]/400,0)))</f>
        <v>0.10400000000000001</v>
      </c>
      <c r="AB149">
        <f ca="1">Table1[[#This Row],[Face Value]]*Table1[[#This Row],[Rate]]*Table1[[#This Row],[Time]]</f>
        <v>624.00000000000011</v>
      </c>
      <c r="AC149">
        <f ca="1">Table1[[#This Row],[SI]]+Table1[[#This Row],[Disc/Prem]]</f>
        <v>584.00000000000011</v>
      </c>
      <c r="AD149" s="3">
        <f ca="1">Table1[[#This Row],[Net Gain]]/Table1[[#This Row],[Ask Rate]]</f>
        <v>0.56153846153846165</v>
      </c>
      <c r="AE149" s="3">
        <f ca="1">IF(Table1[[#This Row],[Ask Qty]]=0,0,Table1[[#This Row],[Gross Yield]]*365/Table1[[#This Row],[Days Left]])</f>
        <v>0.10966374449520519</v>
      </c>
      <c r="AF149" s="9">
        <f ca="1">+Table1[[#This Row],[Net Gain]]*Table1[[#This Row],[Ask Qty]]</f>
        <v>29200.000000000007</v>
      </c>
      <c r="AG149" t="str">
        <f ca="1">IF(Table1[[#This Row],[YTM]]&gt;0.12,IF(Table1[[#This Row],[Gross Profit]]&gt;10000,"Invest","Review"),"Low YTM")</f>
        <v>Low YTM</v>
      </c>
    </row>
    <row r="150" spans="1:33" x14ac:dyDescent="0.3">
      <c r="A150" t="str">
        <f>RTD("nest.scriprtd",,"bse_cm|10EFSL33","Symbol")</f>
        <v>10EFSL33</v>
      </c>
      <c r="B150" t="str">
        <f>RTD("nest.scriprtd",,"bse_cm|10EFSL33","Trading Symbol")</f>
        <v>10EFSL33</v>
      </c>
      <c r="C150" t="str">
        <f>RTD("nest.scriprtd",,"bse_cm|10EFSL33","Exchange")</f>
        <v>BSE</v>
      </c>
      <c r="D150">
        <f>RTD("nest.scriprtd",,"bse_cm|10EFSL33","Bid Qty")</f>
        <v>9</v>
      </c>
      <c r="E150">
        <f>RTD("nest.scriprtd",,"bse_cm|10EFSL33","Bid Rate")</f>
        <v>951</v>
      </c>
      <c r="F150">
        <f>RTD("nest.scriprtd",,"bse_cm|10EFSL33","Ask Rate")</f>
        <v>965</v>
      </c>
      <c r="G150">
        <f>RTD("nest.scriprtd",,"bse_cm|10EFSL33","Ask Qty")</f>
        <v>12</v>
      </c>
      <c r="H150">
        <f>RTD("nest.scriprtd",,"bse_cm|10EFSL33","LTP")</f>
        <v>0</v>
      </c>
      <c r="I150" t="str">
        <f>RTD("nest.scriprtd",,"bse_cm|10EFSL33","LTT")</f>
        <v>00:00:00</v>
      </c>
      <c r="J150">
        <f>RTD("nest.scriprtd",,"bse_cm|10EFSL33","% Change")</f>
        <v>-100</v>
      </c>
      <c r="K150">
        <f>RTD("nest.scriprtd",,"bse_cm|10EFSL33","ATP")</f>
        <v>0</v>
      </c>
      <c r="L150">
        <f>RTD("nest.scriprtd",,"bse_cm|10EFSL33","Volume Traded Today")</f>
        <v>0</v>
      </c>
      <c r="M150">
        <f>RTD("nest.scriprtd",,"bse_cm|10EFSL33","Open")</f>
        <v>0</v>
      </c>
      <c r="N150">
        <f>RTD("nest.scriprtd",,"bse_cm|10EFSL33","High")</f>
        <v>950</v>
      </c>
      <c r="O150">
        <f>RTD("nest.scriprtd",,"bse_cm|10EFSL33","Low ")</f>
        <v>950</v>
      </c>
      <c r="P150">
        <f>RTD("nest.scriprtd",,"bse_cm|10EFSL33","Prev Close")</f>
        <v>950</v>
      </c>
      <c r="Q150">
        <f>RTD("nest.scriprtd",,"bse_cm|10EFSL33","Face Value")</f>
        <v>1000</v>
      </c>
      <c r="R150" t="str">
        <f>RTD("nest.scriprtd",,"bse_cm|10EFSL33","Isin code")</f>
        <v>INE532F07DX6</v>
      </c>
      <c r="S150" s="9">
        <f>Table1[[#This Row],[Ask Rate]]*Table1[[#This Row],[Ask Qty]]</f>
        <v>11580</v>
      </c>
      <c r="T150">
        <f>VLOOKUP(Table1[[#This Row],[Isin code]],Table2[#All],7,FALSE)</f>
        <v>10</v>
      </c>
      <c r="U150" s="17" t="str">
        <f>VLOOKUP(Table1[[#This Row],[Isin code]],Table2[#All],8,FALSE)</f>
        <v>27-Apr-2033</v>
      </c>
      <c r="V150" s="10">
        <f ca="1">Table1[[#This Row],[Maturity]]-TODAY()</f>
        <v>3115</v>
      </c>
      <c r="W150" t="str">
        <f>VLOOKUP(Table1[[#This Row],[Isin code]],Table2[#All],10,FALSE)</f>
        <v>Monthly</v>
      </c>
      <c r="X150">
        <f ca="1">_xlfn.DAYS(Table1[[#This Row],[Maturity]],TODAY())-15</f>
        <v>3100</v>
      </c>
      <c r="Y1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104</v>
      </c>
      <c r="Z150">
        <f>IF(Table1[[#This Row],[Ask Rate]]=0,0,Table1[[#This Row],[Face Value]]-Table1[[#This Row],[Ask Rate]])</f>
        <v>35</v>
      </c>
      <c r="AA150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50">
        <f ca="1">Table1[[#This Row],[Face Value]]*Table1[[#This Row],[Rate]]*Table1[[#This Row],[Time]]</f>
        <v>866.66666666666674</v>
      </c>
      <c r="AC150">
        <f ca="1">Table1[[#This Row],[SI]]+Table1[[#This Row],[Disc/Prem]]</f>
        <v>901.66666666666674</v>
      </c>
      <c r="AD150" s="3">
        <f ca="1">Table1[[#This Row],[Net Gain]]/Table1[[#This Row],[Ask Rate]]</f>
        <v>0.93436960276338521</v>
      </c>
      <c r="AE150" s="3">
        <f ca="1">IF(Table1[[#This Row],[Ask Qty]]=0,0,Table1[[#This Row],[Gross Yield]]*365/Table1[[#This Row],[Days Left]])</f>
        <v>0.1094847207090323</v>
      </c>
      <c r="AF150" s="9">
        <f ca="1">+Table1[[#This Row],[Net Gain]]*Table1[[#This Row],[Ask Qty]]</f>
        <v>10820</v>
      </c>
      <c r="AG150" t="str">
        <f ca="1">IF(Table1[[#This Row],[YTM]]&gt;0.12,IF(Table1[[#This Row],[Gross Profit]]&gt;10000,"Invest","Review"),"Low YTM")</f>
        <v>Low YTM</v>
      </c>
    </row>
    <row r="151" spans="1:33" x14ac:dyDescent="0.3">
      <c r="A151" t="str">
        <f>RTD("nest.scriprtd",,"bse_cm|1003VCL25","Symbol")</f>
        <v>1003VCL25</v>
      </c>
      <c r="B151" t="str">
        <f>RTD("nest.scriprtd",,"bse_cm|1003VCL25","Trading Symbol")</f>
        <v>1003VCL25</v>
      </c>
      <c r="C151" t="str">
        <f>RTD("nest.scriprtd",,"bse_cm|1003VCL25","Exchange")</f>
        <v>BSE</v>
      </c>
      <c r="D151">
        <f>RTD("nest.scriprtd",,"bse_cm|1003VCL25","Bid Qty")</f>
        <v>10</v>
      </c>
      <c r="E151">
        <f>RTD("nest.scriprtd",,"bse_cm|1003VCL25","Bid Rate")</f>
        <v>960.01</v>
      </c>
      <c r="F151">
        <f>RTD("nest.scriprtd",,"bse_cm|1003VCL25","Ask Rate")</f>
        <v>995</v>
      </c>
      <c r="G151">
        <f>RTD("nest.scriprtd",,"bse_cm|1003VCL25","Ask Qty")</f>
        <v>10</v>
      </c>
      <c r="H151">
        <f>RTD("nest.scriprtd",,"bse_cm|1003VCL25","LTP")</f>
        <v>0</v>
      </c>
      <c r="I151" t="str">
        <f>RTD("nest.scriprtd",,"bse_cm|1003VCL25","LTT")</f>
        <v>00:00:00</v>
      </c>
      <c r="J151">
        <f>RTD("nest.scriprtd",,"bse_cm|1003VCL25","% Change")</f>
        <v>-100</v>
      </c>
      <c r="K151">
        <f>RTD("nest.scriprtd",,"bse_cm|1003VCL25","ATP")</f>
        <v>0</v>
      </c>
      <c r="L151">
        <f>RTD("nest.scriprtd",,"bse_cm|1003VCL25","Volume Traded Today")</f>
        <v>0</v>
      </c>
      <c r="M151">
        <f>RTD("nest.scriprtd",,"bse_cm|1003VCL25","Open")</f>
        <v>0</v>
      </c>
      <c r="N151">
        <f>RTD("nest.scriprtd",,"bse_cm|1003VCL25","High")</f>
        <v>996</v>
      </c>
      <c r="O151">
        <f>RTD("nest.scriprtd",,"bse_cm|1003VCL25","Low ")</f>
        <v>995</v>
      </c>
      <c r="P151">
        <f>RTD("nest.scriprtd",,"bse_cm|1003VCL25","Prev Close")</f>
        <v>996</v>
      </c>
      <c r="Q151">
        <f>RTD("nest.scriprtd",,"bse_cm|1003VCL25","Face Value")</f>
        <v>1000</v>
      </c>
      <c r="R151" t="str">
        <f>RTD("nest.scriprtd",,"bse_cm|1003VCL25","Isin code")</f>
        <v>INE01HV07437</v>
      </c>
      <c r="S151" s="9">
        <f>Table1[[#This Row],[Ask Rate]]*Table1[[#This Row],[Ask Qty]]</f>
        <v>9950</v>
      </c>
      <c r="T151">
        <f>VLOOKUP(Table1[[#This Row],[Isin code]],Table2[#All],7,FALSE)</f>
        <v>10.029999999999999</v>
      </c>
      <c r="U151" s="17" t="str">
        <f>VLOOKUP(Table1[[#This Row],[Isin code]],Table2[#All],8,FALSE)</f>
        <v>06-Sep-2025</v>
      </c>
      <c r="V151" s="10">
        <f ca="1">Table1[[#This Row],[Maturity]]-TODAY()</f>
        <v>325</v>
      </c>
      <c r="W151" t="str">
        <f>VLOOKUP(Table1[[#This Row],[Isin code]],Table2[#All],10,FALSE)</f>
        <v>MONTHLY</v>
      </c>
      <c r="X151">
        <f ca="1">_xlfn.DAYS(Table1[[#This Row],[Maturity]],TODAY())-15</f>
        <v>310</v>
      </c>
      <c r="Y1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151">
        <f>IF(Table1[[#This Row],[Ask Rate]]=0,0,Table1[[#This Row],[Face Value]]-Table1[[#This Row],[Ask Rate]])</f>
        <v>5</v>
      </c>
      <c r="AA151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51">
        <f ca="1">Table1[[#This Row],[Face Value]]*Table1[[#This Row],[Rate]]*Table1[[#This Row],[Time]]</f>
        <v>91.941666666666663</v>
      </c>
      <c r="AC151">
        <f ca="1">Table1[[#This Row],[SI]]+Table1[[#This Row],[Disc/Prem]]</f>
        <v>96.941666666666663</v>
      </c>
      <c r="AD151" s="3">
        <f ca="1">Table1[[#This Row],[Net Gain]]/Table1[[#This Row],[Ask Rate]]</f>
        <v>9.7428810720268003E-2</v>
      </c>
      <c r="AE151" s="3">
        <f ca="1">IF(Table1[[#This Row],[Ask Qty]]=0,0,Table1[[#This Row],[Gross Yield]]*365/Table1[[#This Row],[Days Left]])</f>
        <v>0.10942004896276251</v>
      </c>
      <c r="AF151" s="9">
        <f ca="1">+Table1[[#This Row],[Net Gain]]*Table1[[#This Row],[Ask Qty]]</f>
        <v>969.41666666666663</v>
      </c>
      <c r="AG151" t="str">
        <f ca="1">IF(Table1[[#This Row],[YTM]]&gt;0.12,IF(Table1[[#This Row],[Gross Profit]]&gt;10000,"Invest","Review"),"Low YTM")</f>
        <v>Low YTM</v>
      </c>
    </row>
    <row r="152" spans="1:33" x14ac:dyDescent="0.3">
      <c r="A152" t="str">
        <f>RTD("nest.scriprtd",,"bse_cm|995ECL29A","Symbol")</f>
        <v>995ECL29A</v>
      </c>
      <c r="B152" t="str">
        <f>RTD("nest.scriprtd",,"bse_cm|995ECL29A","Trading Symbol")</f>
        <v>995ECL29A</v>
      </c>
      <c r="C152" t="str">
        <f>RTD("nest.scriprtd",,"bse_cm|995ECL29A","Exchange")</f>
        <v>BSE</v>
      </c>
      <c r="D152">
        <f>RTD("nest.scriprtd",,"bse_cm|995ECL29A","Bid Qty")</f>
        <v>31</v>
      </c>
      <c r="E152">
        <f>RTD("nest.scriprtd",,"bse_cm|995ECL29A","Bid Rate")</f>
        <v>950</v>
      </c>
      <c r="F152">
        <f>RTD("nest.scriprtd",,"bse_cm|995ECL29A","Ask Rate")</f>
        <v>955</v>
      </c>
      <c r="G152">
        <f>RTD("nest.scriprtd",,"bse_cm|995ECL29A","Ask Qty")</f>
        <v>270</v>
      </c>
      <c r="H152">
        <f>RTD("nest.scriprtd",,"bse_cm|995ECL29A","LTP")</f>
        <v>945</v>
      </c>
      <c r="I152" t="str">
        <f>RTD("nest.scriprtd",,"bse_cm|995ECL29A","LTT")</f>
        <v>10:35:32</v>
      </c>
      <c r="J152">
        <f>RTD("nest.scriprtd",,"bse_cm|995ECL29A","% Change")</f>
        <v>-2.48</v>
      </c>
      <c r="K152">
        <f>RTD("nest.scriprtd",,"bse_cm|995ECL29A","ATP")</f>
        <v>974</v>
      </c>
      <c r="L152">
        <f>RTD("nest.scriprtd",,"bse_cm|995ECL29A","Volume Traded Today")</f>
        <v>1</v>
      </c>
      <c r="M152">
        <f>RTD("nest.scriprtd",,"bse_cm|995ECL29A","Open")</f>
        <v>974</v>
      </c>
      <c r="N152">
        <f>RTD("nest.scriprtd",,"bse_cm|995ECL29A","High")</f>
        <v>974</v>
      </c>
      <c r="O152">
        <f>RTD("nest.scriprtd",,"bse_cm|995ECL29A","Low ")</f>
        <v>945</v>
      </c>
      <c r="P152">
        <f>RTD("nest.scriprtd",,"bse_cm|995ECL29A","Prev Close")</f>
        <v>969</v>
      </c>
      <c r="Q152">
        <f>RTD("nest.scriprtd",,"bse_cm|995ECL29A","Face Value")</f>
        <v>1000</v>
      </c>
      <c r="R152" t="str">
        <f>RTD("nest.scriprtd",,"bse_cm|995ECL29A","Isin code")</f>
        <v>INE804IA7139</v>
      </c>
      <c r="S152" s="9">
        <f>Table1[[#This Row],[Ask Rate]]*Table1[[#This Row],[Ask Qty]]</f>
        <v>257850</v>
      </c>
      <c r="T152">
        <f>VLOOKUP(Table1[[#This Row],[Isin code]],Table2[#All],7,FALSE)</f>
        <v>9.9500000000000011</v>
      </c>
      <c r="U152" s="17" t="str">
        <f>VLOOKUP(Table1[[#This Row],[Isin code]],Table2[#All],8,FALSE)</f>
        <v>23-May-2029</v>
      </c>
      <c r="V152" s="10">
        <f ca="1">Table1[[#This Row],[Maturity]]-TODAY()</f>
        <v>1680</v>
      </c>
      <c r="W152" t="str">
        <f>VLOOKUP(Table1[[#This Row],[Isin code]],Table2[#All],10,FALSE)</f>
        <v>Monthly</v>
      </c>
      <c r="X152">
        <f ca="1">_xlfn.DAYS(Table1[[#This Row],[Maturity]],TODAY())-15</f>
        <v>1665</v>
      </c>
      <c r="Y1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56</v>
      </c>
      <c r="Z152">
        <f>IF(Table1[[#This Row],[Ask Rate]]=0,0,Table1[[#This Row],[Face Value]]-Table1[[#This Row],[Ask Rate]])</f>
        <v>45</v>
      </c>
      <c r="AA152">
        <f>IF(Table1[[#This Row],[Freq]]="Yearly",Table1[[#This Row],[Coupon_Rate]]/100,IF(Table1[[#This Row],[Freq]]="Monthly",Table1[[#This Row],[Coupon_Rate]]/1200,IF(Table1[[#This Row],[Freq]]="Quarterly",Table1[[#This Row],[Coupon_Rate]]/400,0)))</f>
        <v>8.2916666666666677E-3</v>
      </c>
      <c r="AB152">
        <f ca="1">Table1[[#This Row],[Face Value]]*Table1[[#This Row],[Rate]]*Table1[[#This Row],[Time]]</f>
        <v>464.33333333333337</v>
      </c>
      <c r="AC152">
        <f ca="1">Table1[[#This Row],[SI]]+Table1[[#This Row],[Disc/Prem]]</f>
        <v>509.33333333333337</v>
      </c>
      <c r="AD152" s="3">
        <f ca="1">Table1[[#This Row],[Net Gain]]/Table1[[#This Row],[Ask Rate]]</f>
        <v>0.53333333333333333</v>
      </c>
      <c r="AE152" s="3">
        <f ca="1">IF(Table1[[#This Row],[Ask Qty]]=0,0,Table1[[#This Row],[Gross Yield]]*365/Table1[[#This Row],[Days Left]])</f>
        <v>0.11587301587301586</v>
      </c>
      <c r="AF152" s="9">
        <f ca="1">+Table1[[#This Row],[Net Gain]]*Table1[[#This Row],[Ask Qty]]</f>
        <v>137520</v>
      </c>
      <c r="AG152" t="str">
        <f ca="1">IF(Table1[[#This Row],[YTM]]&gt;0.12,IF(Table1[[#This Row],[Gross Profit]]&gt;10000,"Invest","Review"),"Low YTM")</f>
        <v>Low YTM</v>
      </c>
    </row>
    <row r="153" spans="1:33" x14ac:dyDescent="0.3">
      <c r="A153" t="str">
        <f>RTD("nest.scriprtd",,"bse_cm|865MFL25A","Symbol")</f>
        <v>865MFL25A</v>
      </c>
      <c r="B153" t="str">
        <f>RTD("nest.scriprtd",,"bse_cm|865MFL25A","Trading Symbol")</f>
        <v>865MFL25A</v>
      </c>
      <c r="C153" t="str">
        <f>RTD("nest.scriprtd",,"bse_cm|865MFL25A","Exchange")</f>
        <v>BSE</v>
      </c>
      <c r="D153">
        <f>RTD("nest.scriprtd",,"bse_cm|865MFL25A","Bid Qty")</f>
        <v>25</v>
      </c>
      <c r="E153">
        <f>RTD("nest.scriprtd",,"bse_cm|865MFL25A","Bid Rate")</f>
        <v>966.01</v>
      </c>
      <c r="F153">
        <f>RTD("nest.scriprtd",,"bse_cm|865MFL25A","Ask Rate")</f>
        <v>979.8</v>
      </c>
      <c r="G153">
        <f>RTD("nest.scriprtd",,"bse_cm|865MFL25A","Ask Qty")</f>
        <v>180</v>
      </c>
      <c r="H153">
        <f>RTD("nest.scriprtd",,"bse_cm|865MFL25A","LTP")</f>
        <v>979.8</v>
      </c>
      <c r="I153" t="str">
        <f>RTD("nest.scriprtd",,"bse_cm|865MFL25A","LTT")</f>
        <v>00:00:00</v>
      </c>
      <c r="J153">
        <f>RTD("nest.scriprtd",,"bse_cm|865MFL25A","% Change")</f>
        <v>1.32</v>
      </c>
      <c r="K153">
        <f>RTD("nest.scriprtd",,"bse_cm|865MFL25A","ATP")</f>
        <v>0</v>
      </c>
      <c r="L153">
        <f>RTD("nest.scriprtd",,"bse_cm|865MFL25A","Volume Traded Today")</f>
        <v>0</v>
      </c>
      <c r="M153">
        <f>RTD("nest.scriprtd",,"bse_cm|865MFL25A","Open")</f>
        <v>0</v>
      </c>
      <c r="N153">
        <f>RTD("nest.scriprtd",,"bse_cm|865MFL25A","High")</f>
        <v>979.8</v>
      </c>
      <c r="O153">
        <f>RTD("nest.scriprtd",,"bse_cm|865MFL25A","Low ")</f>
        <v>979.8</v>
      </c>
      <c r="P153">
        <f>RTD("nest.scriprtd",,"bse_cm|865MFL25A","Prev Close")</f>
        <v>967</v>
      </c>
      <c r="Q153">
        <f>RTD("nest.scriprtd",,"bse_cm|865MFL25A","Face Value")</f>
        <v>1000</v>
      </c>
      <c r="R153" t="str">
        <f>RTD("nest.scriprtd",,"bse_cm|865MFL25A","Isin code")</f>
        <v>INE549K07CI3</v>
      </c>
      <c r="S153" s="9">
        <f>Table1[[#This Row],[Ask Rate]]*Table1[[#This Row],[Ask Qty]]</f>
        <v>176364</v>
      </c>
      <c r="T153">
        <f>VLOOKUP(Table1[[#This Row],[Isin code]],Table2[#All],7,FALSE)</f>
        <v>8.6499999999999986</v>
      </c>
      <c r="U153" s="17" t="str">
        <f>VLOOKUP(Table1[[#This Row],[Isin code]],Table2[#All],8,FALSE)</f>
        <v>20-Sep-2025</v>
      </c>
      <c r="V153" s="10">
        <f ca="1">Table1[[#This Row],[Maturity]]-TODAY()</f>
        <v>339</v>
      </c>
      <c r="W153" t="str">
        <f>VLOOKUP(Table1[[#This Row],[Isin code]],Table2[#All],10,FALSE)</f>
        <v>Monthly</v>
      </c>
      <c r="X153">
        <f ca="1">_xlfn.DAYS(Table1[[#This Row],[Maturity]],TODAY())-15</f>
        <v>324</v>
      </c>
      <c r="Y1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153">
        <f>IF(Table1[[#This Row],[Ask Rate]]=0,0,Table1[[#This Row],[Face Value]]-Table1[[#This Row],[Ask Rate]])</f>
        <v>20.200000000000045</v>
      </c>
      <c r="AA153">
        <f>IF(Table1[[#This Row],[Freq]]="Yearly",Table1[[#This Row],[Coupon_Rate]]/100,IF(Table1[[#This Row],[Freq]]="Monthly",Table1[[#This Row],[Coupon_Rate]]/1200,IF(Table1[[#This Row],[Freq]]="Quarterly",Table1[[#This Row],[Coupon_Rate]]/400,0)))</f>
        <v>7.2083333333333322E-3</v>
      </c>
      <c r="AB153">
        <f ca="1">Table1[[#This Row],[Face Value]]*Table1[[#This Row],[Rate]]*Table1[[#This Row],[Time]]</f>
        <v>79.291666666666657</v>
      </c>
      <c r="AC153">
        <f ca="1">Table1[[#This Row],[SI]]+Table1[[#This Row],[Disc/Prem]]</f>
        <v>99.491666666666703</v>
      </c>
      <c r="AD153" s="3">
        <f ca="1">Table1[[#This Row],[Net Gain]]/Table1[[#This Row],[Ask Rate]]</f>
        <v>0.1015428318704498</v>
      </c>
      <c r="AE153" s="3">
        <f ca="1">IF(Table1[[#This Row],[Ask Qty]]=0,0,Table1[[#This Row],[Gross Yield]]*365/Table1[[#This Row],[Days Left]])</f>
        <v>0.10933077767762293</v>
      </c>
      <c r="AF153" s="9">
        <f ca="1">+Table1[[#This Row],[Net Gain]]*Table1[[#This Row],[Ask Qty]]</f>
        <v>17908.500000000007</v>
      </c>
      <c r="AG153" t="str">
        <f ca="1">IF(Table1[[#This Row],[YTM]]&gt;0.12,IF(Table1[[#This Row],[Gross Profit]]&gt;10000,"Invest","Review"),"Low YTM")</f>
        <v>Low YTM</v>
      </c>
    </row>
    <row r="154" spans="1:33" hidden="1" x14ac:dyDescent="0.3">
      <c r="A154" t="str">
        <f>RTD("nest.scriprtd",,"bse_cm|1025NWFL25","Symbol")</f>
        <v>1025NWFL25</v>
      </c>
      <c r="B154" t="str">
        <f>RTD("nest.scriprtd",,"bse_cm|1025NWFL25","Trading Symbol")</f>
        <v>1025NWFL25</v>
      </c>
      <c r="C154" t="str">
        <f>RTD("nest.scriprtd",,"bse_cm|1025NWFL25","Exchange")</f>
        <v>BSE</v>
      </c>
      <c r="D154">
        <f>RTD("nest.scriprtd",,"bse_cm|1025NWFL25","Bid Qty")</f>
        <v>100</v>
      </c>
      <c r="E154">
        <f>RTD("nest.scriprtd",,"bse_cm|1025NWFL25","Bid Rate")</f>
        <v>1065</v>
      </c>
      <c r="F154">
        <f>RTD("nest.scriprtd",,"bse_cm|1025NWFL25","Ask Rate")</f>
        <v>1066.9000000000001</v>
      </c>
      <c r="G154">
        <f>RTD("nest.scriprtd",,"bse_cm|1025NWFL25","Ask Qty")</f>
        <v>100</v>
      </c>
      <c r="H154">
        <f>RTD("nest.scriprtd",,"bse_cm|1025NWFL25","LTP")</f>
        <v>0</v>
      </c>
      <c r="I154" t="str">
        <f>RTD("nest.scriprtd",,"bse_cm|1025NWFL25","LTT")</f>
        <v>00:00:00</v>
      </c>
      <c r="J154">
        <f>RTD("nest.scriprtd",,"bse_cm|1025NWFL25","% Change")</f>
        <v>-100</v>
      </c>
      <c r="K154">
        <f>RTD("nest.scriprtd",,"bse_cm|1025NWFL25","ATP")</f>
        <v>0</v>
      </c>
      <c r="L154">
        <f>RTD("nest.scriprtd",,"bse_cm|1025NWFL25","Volume Traded Today")</f>
        <v>0</v>
      </c>
      <c r="M154">
        <f>RTD("nest.scriprtd",,"bse_cm|1025NWFL25","Open")</f>
        <v>0</v>
      </c>
      <c r="N154">
        <f>RTD("nest.scriprtd",,"bse_cm|1025NWFL25","High")</f>
        <v>1065.9000000000001</v>
      </c>
      <c r="O154">
        <f>RTD("nest.scriprtd",,"bse_cm|1025NWFL25","Low ")</f>
        <v>1065</v>
      </c>
      <c r="P154">
        <f>RTD("nest.scriprtd",,"bse_cm|1025NWFL25","Prev Close")</f>
        <v>1065.5</v>
      </c>
      <c r="Q154">
        <f>RTD("nest.scriprtd",,"bse_cm|1025NWFL25","Face Value")</f>
        <v>1000</v>
      </c>
      <c r="R154" t="str">
        <f>RTD("nest.scriprtd",,"bse_cm|1025NWFL25","Isin code")</f>
        <v>INE918K07FS2</v>
      </c>
      <c r="S154" s="9">
        <f>Table1[[#This Row],[Ask Rate]]*Table1[[#This Row],[Ask Qty]]</f>
        <v>106690.00000000001</v>
      </c>
      <c r="T154">
        <f>VLOOKUP(Table1[[#This Row],[Isin code]],Table2[#All],7,FALSE)</f>
        <v>10.25</v>
      </c>
      <c r="U154" s="17" t="str">
        <f>VLOOKUP(Table1[[#This Row],[Isin code]],Table2[#All],8,FALSE)</f>
        <v>05-Feb-2025</v>
      </c>
      <c r="V154" s="10">
        <f ca="1">Table1[[#This Row],[Maturity]]-TODAY()</f>
        <v>112</v>
      </c>
      <c r="W154" t="str">
        <f>VLOOKUP(Table1[[#This Row],[Isin code]],Table2[#All],10,FALSE)</f>
        <v>Yearly</v>
      </c>
      <c r="X154">
        <f ca="1">_xlfn.DAYS(Table1[[#This Row],[Maturity]],TODAY())-15</f>
        <v>97</v>
      </c>
      <c r="Y1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54">
        <f>IF(Table1[[#This Row],[Ask Rate]]=0,0,Table1[[#This Row],[Face Value]]-Table1[[#This Row],[Ask Rate]])</f>
        <v>-66.900000000000091</v>
      </c>
      <c r="AA154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154">
        <f ca="1">Table1[[#This Row],[Face Value]]*Table1[[#This Row],[Rate]]*Table1[[#This Row],[Time]]</f>
        <v>102.5</v>
      </c>
      <c r="AC154">
        <f ca="1">Table1[[#This Row],[SI]]+Table1[[#This Row],[Disc/Prem]]</f>
        <v>35.599999999999909</v>
      </c>
      <c r="AD154" s="3">
        <f ca="1">Table1[[#This Row],[Net Gain]]/Table1[[#This Row],[Ask Rate]]</f>
        <v>3.336770081544653E-2</v>
      </c>
      <c r="AE154" s="3">
        <f ca="1">IF(Table1[[#This Row],[Ask Qty]]=0,0,Table1[[#This Row],[Gross Yield]]*365/Table1[[#This Row],[Days Left]])</f>
        <v>0.10874295355033914</v>
      </c>
      <c r="AF154" s="9">
        <f ca="1">+Table1[[#This Row],[Net Gain]]*Table1[[#This Row],[Ask Qty]]</f>
        <v>3559.9999999999909</v>
      </c>
      <c r="AG154" t="str">
        <f ca="1">IF(Table1[[#This Row],[YTM]]&gt;0.12,IF(Table1[[#This Row],[Gross Profit]]&gt;10000,"Invest","Review"),"Low YTM")</f>
        <v>Low YTM</v>
      </c>
    </row>
    <row r="155" spans="1:33" x14ac:dyDescent="0.3">
      <c r="A155" t="str">
        <f>RTD("nest.scriprtd",,"bse_cm|1026NHFL34","Symbol")</f>
        <v>1026NHFL34</v>
      </c>
      <c r="B155" t="str">
        <f>RTD("nest.scriprtd",,"bse_cm|1026NHFL34","Trading Symbol")</f>
        <v>1026NHFL34</v>
      </c>
      <c r="C155" t="str">
        <f>RTD("nest.scriprtd",,"bse_cm|1026NHFL34","Exchange")</f>
        <v>BSE</v>
      </c>
      <c r="D155">
        <f>RTD("nest.scriprtd",,"bse_cm|1026NHFL34","Bid Qty")</f>
        <v>1</v>
      </c>
      <c r="E155">
        <f>RTD("nest.scriprtd",,"bse_cm|1026NHFL34","Bid Rate")</f>
        <v>890</v>
      </c>
      <c r="F155">
        <f>RTD("nest.scriprtd",,"bse_cm|1026NHFL34","Ask Rate")</f>
        <v>975</v>
      </c>
      <c r="G155">
        <f>RTD("nest.scriprtd",,"bse_cm|1026NHFL34","Ask Qty")</f>
        <v>678</v>
      </c>
      <c r="H155">
        <f>RTD("nest.scriprtd",,"bse_cm|1026NHFL34","LTP")</f>
        <v>889</v>
      </c>
      <c r="I155" t="str">
        <f>RTD("nest.scriprtd",,"bse_cm|1026NHFL34","LTT")</f>
        <v>10:26:15</v>
      </c>
      <c r="J155">
        <f>RTD("nest.scriprtd",,"bse_cm|1026NHFL34","% Change")</f>
        <v>4.08</v>
      </c>
      <c r="K155">
        <f>RTD("nest.scriprtd",,"bse_cm|1026NHFL34","ATP")</f>
        <v>889</v>
      </c>
      <c r="L155">
        <f>RTD("nest.scriprtd",,"bse_cm|1026NHFL34","Volume Traded Today")</f>
        <v>10</v>
      </c>
      <c r="M155">
        <f>RTD("nest.scriprtd",,"bse_cm|1026NHFL34","Open")</f>
        <v>889</v>
      </c>
      <c r="N155">
        <f>RTD("nest.scriprtd",,"bse_cm|1026NHFL34","High")</f>
        <v>889</v>
      </c>
      <c r="O155">
        <f>RTD("nest.scriprtd",,"bse_cm|1026NHFL34","Low ")</f>
        <v>889</v>
      </c>
      <c r="P155">
        <f>RTD("nest.scriprtd",,"bse_cm|1026NHFL34","Prev Close")</f>
        <v>854.16</v>
      </c>
      <c r="Q155">
        <f>RTD("nest.scriprtd",,"bse_cm|1026NHFL34","Face Value")</f>
        <v>1000</v>
      </c>
      <c r="R155" t="str">
        <f>RTD("nest.scriprtd",,"bse_cm|1026NHFL34","Isin code")</f>
        <v>INE530L07780</v>
      </c>
      <c r="S155" s="9">
        <f>Table1[[#This Row],[Ask Rate]]*Table1[[#This Row],[Ask Qty]]</f>
        <v>661050</v>
      </c>
      <c r="T155">
        <f>VLOOKUP(Table1[[#This Row],[Isin code]],Table2[#All],7,FALSE)</f>
        <v>10.26</v>
      </c>
      <c r="U155" s="17" t="str">
        <f>VLOOKUP(Table1[[#This Row],[Isin code]],Table2[#All],8,FALSE)</f>
        <v>03-Jul-2034</v>
      </c>
      <c r="V155" s="10">
        <f ca="1">Table1[[#This Row],[Maturity]]-TODAY()</f>
        <v>3547</v>
      </c>
      <c r="W155" t="str">
        <f>VLOOKUP(Table1[[#This Row],[Isin code]],Table2[#All],10,FALSE)</f>
        <v>Monthly</v>
      </c>
      <c r="X155">
        <f ca="1">_xlfn.DAYS(Table1[[#This Row],[Maturity]],TODAY())-15</f>
        <v>3532</v>
      </c>
      <c r="Y1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118</v>
      </c>
      <c r="Z155">
        <f>IF(Table1[[#This Row],[Ask Rate]]=0,0,Table1[[#This Row],[Face Value]]-Table1[[#This Row],[Ask Rate]])</f>
        <v>25</v>
      </c>
      <c r="AA155">
        <f>IF(Table1[[#This Row],[Freq]]="Yearly",Table1[[#This Row],[Coupon_Rate]]/100,IF(Table1[[#This Row],[Freq]]="Monthly",Table1[[#This Row],[Coupon_Rate]]/1200,IF(Table1[[#This Row],[Freq]]="Quarterly",Table1[[#This Row],[Coupon_Rate]]/400,0)))</f>
        <v>8.5500000000000003E-3</v>
      </c>
      <c r="AB155">
        <f ca="1">Table1[[#This Row],[Face Value]]*Table1[[#This Row],[Rate]]*Table1[[#This Row],[Time]]</f>
        <v>1008.9000000000001</v>
      </c>
      <c r="AC155">
        <f ca="1">Table1[[#This Row],[SI]]+Table1[[#This Row],[Disc/Prem]]</f>
        <v>1033.9000000000001</v>
      </c>
      <c r="AD155" s="3">
        <f ca="1">Table1[[#This Row],[Net Gain]]/Table1[[#This Row],[Ask Rate]]</f>
        <v>1.0604102564102564</v>
      </c>
      <c r="AE155" s="3">
        <f ca="1">IF(Table1[[#This Row],[Ask Qty]]=0,0,Table1[[#This Row],[Gross Yield]]*365/Table1[[#This Row],[Days Left]])</f>
        <v>0.10912031113327983</v>
      </c>
      <c r="AF155" s="9">
        <f ca="1">+Table1[[#This Row],[Net Gain]]*Table1[[#This Row],[Ask Qty]]</f>
        <v>700984.20000000007</v>
      </c>
      <c r="AG155" t="str">
        <f ca="1">IF(Table1[[#This Row],[YTM]]&gt;0.12,IF(Table1[[#This Row],[Gross Profit]]&gt;10000,"Invest","Review"),"Low YTM")</f>
        <v>Low YTM</v>
      </c>
    </row>
    <row r="156" spans="1:33" x14ac:dyDescent="0.3">
      <c r="A156" t="str">
        <f>RTD("nest.scriprtd",,"bse_cm|9MFCL26","Symbol")</f>
        <v>9MFCL26</v>
      </c>
      <c r="B156" t="str">
        <f>RTD("nest.scriprtd",,"bse_cm|9MFCL26","Trading Symbol")</f>
        <v>9MFCL26</v>
      </c>
      <c r="C156" t="str">
        <f>RTD("nest.scriprtd",,"bse_cm|9MFCL26","Exchange")</f>
        <v>BSE</v>
      </c>
      <c r="D156">
        <f>RTD("nest.scriprtd",,"bse_cm|9MFCL26","Bid Qty")</f>
        <v>25</v>
      </c>
      <c r="E156">
        <f>RTD("nest.scriprtd",,"bse_cm|9MFCL26","Bid Rate")</f>
        <v>962.53</v>
      </c>
      <c r="F156">
        <f>RTD("nest.scriprtd",,"bse_cm|9MFCL26","Ask Rate")</f>
        <v>969.8</v>
      </c>
      <c r="G156">
        <f>RTD("nest.scriprtd",,"bse_cm|9MFCL26","Ask Qty")</f>
        <v>444</v>
      </c>
      <c r="H156">
        <f>RTD("nest.scriprtd",,"bse_cm|9MFCL26","LTP")</f>
        <v>962.1</v>
      </c>
      <c r="I156" t="str">
        <f>RTD("nest.scriprtd",,"bse_cm|9MFCL26","LTT")</f>
        <v>10:20:30</v>
      </c>
      <c r="J156">
        <f>RTD("nest.scriprtd",,"bse_cm|9MFCL26","% Change")</f>
        <v>-0.61</v>
      </c>
      <c r="K156">
        <f>RTD("nest.scriprtd",,"bse_cm|9MFCL26","ATP")</f>
        <v>962.1</v>
      </c>
      <c r="L156">
        <f>RTD("nest.scriprtd",,"bse_cm|9MFCL26","Volume Traded Today")</f>
        <v>50</v>
      </c>
      <c r="M156">
        <f>RTD("nest.scriprtd",,"bse_cm|9MFCL26","Open")</f>
        <v>962.1</v>
      </c>
      <c r="N156">
        <f>RTD("nest.scriprtd",,"bse_cm|9MFCL26","High")</f>
        <v>962.1</v>
      </c>
      <c r="O156">
        <f>RTD("nest.scriprtd",,"bse_cm|9MFCL26","Low ")</f>
        <v>962.1</v>
      </c>
      <c r="P156">
        <f>RTD("nest.scriprtd",,"bse_cm|9MFCL26","Prev Close")</f>
        <v>968</v>
      </c>
      <c r="Q156">
        <f>RTD("nest.scriprtd",,"bse_cm|9MFCL26","Face Value")</f>
        <v>1000</v>
      </c>
      <c r="R156" t="str">
        <f>RTD("nest.scriprtd",,"bse_cm|9MFCL26","Isin code")</f>
        <v>INE549K07DZ5</v>
      </c>
      <c r="S156" s="9">
        <f>Table1[[#This Row],[Ask Rate]]*Table1[[#This Row],[Ask Qty]]</f>
        <v>430591.19999999995</v>
      </c>
      <c r="T156">
        <f>VLOOKUP(Table1[[#This Row],[Isin code]],Table2[#All],7,FALSE)</f>
        <v>9</v>
      </c>
      <c r="U156" s="17" t="str">
        <f>VLOOKUP(Table1[[#This Row],[Isin code]],Table2[#All],8,FALSE)</f>
        <v>16-Sep-2026</v>
      </c>
      <c r="V156" s="10">
        <f ca="1">Table1[[#This Row],[Maturity]]-TODAY()</f>
        <v>700</v>
      </c>
      <c r="W156" t="str">
        <f>VLOOKUP(Table1[[#This Row],[Isin code]],Table2[#All],10,FALSE)</f>
        <v>Monthly</v>
      </c>
      <c r="X156">
        <f ca="1">_xlfn.DAYS(Table1[[#This Row],[Maturity]],TODAY())-15</f>
        <v>685</v>
      </c>
      <c r="Y1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23</v>
      </c>
      <c r="Z156">
        <f>IF(Table1[[#This Row],[Ask Rate]]=0,0,Table1[[#This Row],[Face Value]]-Table1[[#This Row],[Ask Rate]])</f>
        <v>30.200000000000045</v>
      </c>
      <c r="AA156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156">
        <f ca="1">Table1[[#This Row],[Face Value]]*Table1[[#This Row],[Rate]]*Table1[[#This Row],[Time]]</f>
        <v>172.5</v>
      </c>
      <c r="AC156">
        <f ca="1">Table1[[#This Row],[SI]]+Table1[[#This Row],[Disc/Prem]]</f>
        <v>202.70000000000005</v>
      </c>
      <c r="AD156" s="3">
        <f ca="1">Table1[[#This Row],[Net Gain]]/Table1[[#This Row],[Ask Rate]]</f>
        <v>0.20901216745720771</v>
      </c>
      <c r="AE156" s="3">
        <f ca="1">IF(Table1[[#This Row],[Ask Qty]]=0,0,Table1[[#This Row],[Gross Yield]]*365/Table1[[#This Row],[Days Left]])</f>
        <v>0.10898491588840116</v>
      </c>
      <c r="AF156" s="9">
        <f ca="1">+Table1[[#This Row],[Net Gain]]*Table1[[#This Row],[Ask Qty]]</f>
        <v>89998.800000000017</v>
      </c>
      <c r="AG156" t="str">
        <f ca="1">IF(Table1[[#This Row],[YTM]]&gt;0.12,IF(Table1[[#This Row],[Gross Profit]]&gt;10000,"Invest","Review"),"Low YTM")</f>
        <v>Low YTM</v>
      </c>
    </row>
    <row r="157" spans="1:33" x14ac:dyDescent="0.3">
      <c r="A157" t="str">
        <f>RTD("nest.scriprtd",,"bse_cm|935EFSL27","Symbol")</f>
        <v>935EFSL27</v>
      </c>
      <c r="B157" t="str">
        <f>RTD("nest.scriprtd",,"bse_cm|935EFSL27","Trading Symbol")</f>
        <v>935EFSL27</v>
      </c>
      <c r="C157" t="str">
        <f>RTD("nest.scriprtd",,"bse_cm|935EFSL27","Exchange")</f>
        <v>BSE</v>
      </c>
      <c r="D157">
        <f>RTD("nest.scriprtd",,"bse_cm|935EFSL27","Bid Qty")</f>
        <v>100</v>
      </c>
      <c r="E157">
        <f>RTD("nest.scriprtd",,"bse_cm|935EFSL27","Bid Rate")</f>
        <v>927.81</v>
      </c>
      <c r="F157">
        <f>RTD("nest.scriprtd",,"bse_cm|935EFSL27","Ask Rate")</f>
        <v>970</v>
      </c>
      <c r="G157">
        <f>RTD("nest.scriprtd",,"bse_cm|935EFSL27","Ask Qty")</f>
        <v>503</v>
      </c>
      <c r="H157">
        <f>RTD("nest.scriprtd",,"bse_cm|935EFSL27","LTP")</f>
        <v>0</v>
      </c>
      <c r="I157" t="str">
        <f>RTD("nest.scriprtd",,"bse_cm|935EFSL27","LTT")</f>
        <v>00:00:00</v>
      </c>
      <c r="J157">
        <f>RTD("nest.scriprtd",,"bse_cm|935EFSL27","% Change")</f>
        <v>-100</v>
      </c>
      <c r="K157">
        <f>RTD("nest.scriprtd",,"bse_cm|935EFSL27","ATP")</f>
        <v>0</v>
      </c>
      <c r="L157">
        <f>RTD("nest.scriprtd",,"bse_cm|935EFSL27","Volume Traded Today")</f>
        <v>0</v>
      </c>
      <c r="M157">
        <f>RTD("nest.scriprtd",,"bse_cm|935EFSL27","Open")</f>
        <v>0</v>
      </c>
      <c r="N157">
        <f>RTD("nest.scriprtd",,"bse_cm|935EFSL27","High")</f>
        <v>960</v>
      </c>
      <c r="O157">
        <f>RTD("nest.scriprtd",,"bse_cm|935EFSL27","Low ")</f>
        <v>960</v>
      </c>
      <c r="P157">
        <f>RTD("nest.scriprtd",,"bse_cm|935EFSL27","Prev Close")</f>
        <v>960</v>
      </c>
      <c r="Q157">
        <f>RTD("nest.scriprtd",,"bse_cm|935EFSL27","Face Value")</f>
        <v>1000</v>
      </c>
      <c r="R157" t="str">
        <f>RTD("nest.scriprtd",,"bse_cm|935EFSL27","Isin code")</f>
        <v>INE532F07DB2</v>
      </c>
      <c r="S157" s="9">
        <f>Table1[[#This Row],[Ask Rate]]*Table1[[#This Row],[Ask Qty]]</f>
        <v>487910</v>
      </c>
      <c r="T157">
        <f>VLOOKUP(Table1[[#This Row],[Isin code]],Table2[#All],7,FALSE)</f>
        <v>9.35</v>
      </c>
      <c r="U157" s="17" t="str">
        <f>VLOOKUP(Table1[[#This Row],[Isin code]],Table2[#All],8,FALSE)</f>
        <v>20-Oct-2027</v>
      </c>
      <c r="V157" s="10">
        <f ca="1">Table1[[#This Row],[Maturity]]-TODAY()</f>
        <v>1099</v>
      </c>
      <c r="W157" t="str">
        <f>VLOOKUP(Table1[[#This Row],[Isin code]],Table2[#All],10,FALSE)</f>
        <v>Monthly</v>
      </c>
      <c r="X157">
        <f ca="1">_xlfn.DAYS(Table1[[#This Row],[Maturity]],TODAY())-15</f>
        <v>1084</v>
      </c>
      <c r="Y1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37</v>
      </c>
      <c r="Z157">
        <f>IF(Table1[[#This Row],[Ask Rate]]=0,0,Table1[[#This Row],[Face Value]]-Table1[[#This Row],[Ask Rate]])</f>
        <v>30</v>
      </c>
      <c r="AA157">
        <f>IF(Table1[[#This Row],[Freq]]="Yearly",Table1[[#This Row],[Coupon_Rate]]/100,IF(Table1[[#This Row],[Freq]]="Monthly",Table1[[#This Row],[Coupon_Rate]]/1200,IF(Table1[[#This Row],[Freq]]="Quarterly",Table1[[#This Row],[Coupon_Rate]]/400,0)))</f>
        <v>7.7916666666666664E-3</v>
      </c>
      <c r="AB157">
        <f ca="1">Table1[[#This Row],[Face Value]]*Table1[[#This Row],[Rate]]*Table1[[#This Row],[Time]]</f>
        <v>288.29166666666663</v>
      </c>
      <c r="AC157">
        <f ca="1">Table1[[#This Row],[SI]]+Table1[[#This Row],[Disc/Prem]]</f>
        <v>318.29166666666663</v>
      </c>
      <c r="AD157" s="3">
        <f ca="1">Table1[[#This Row],[Net Gain]]/Table1[[#This Row],[Ask Rate]]</f>
        <v>0.32813573883161506</v>
      </c>
      <c r="AE157" s="3">
        <f ca="1">IF(Table1[[#This Row],[Ask Qty]]=0,0,Table1[[#This Row],[Gross Yield]]*365/Table1[[#This Row],[Days Left]])</f>
        <v>0.10898047740995405</v>
      </c>
      <c r="AF157" s="9">
        <f ca="1">+Table1[[#This Row],[Net Gain]]*Table1[[#This Row],[Ask Qty]]</f>
        <v>160100.70833333331</v>
      </c>
      <c r="AG157" t="str">
        <f ca="1">IF(Table1[[#This Row],[YTM]]&gt;0.12,IF(Table1[[#This Row],[Gross Profit]]&gt;10000,"Invest","Review"),"Low YTM")</f>
        <v>Low YTM</v>
      </c>
    </row>
    <row r="158" spans="1:33" hidden="1" x14ac:dyDescent="0.3">
      <c r="A158" t="str">
        <f>RTD("nest.scriprtd",,"nse_cm|866SCFL25-Y8","Symbol")</f>
        <v>866SCFL25</v>
      </c>
      <c r="B158" t="str">
        <f>RTD("nest.scriprtd",,"nse_cm|866SCFL25-Y8","Trading Symbol")</f>
        <v>866SCFL25-Y8</v>
      </c>
      <c r="C158" t="str">
        <f>RTD("nest.scriprtd",,"nse_cm|866SCFL25-Y8","Exchange")</f>
        <v>NSE</v>
      </c>
      <c r="D158">
        <f>RTD("nest.scriprtd",,"nse_cm|866SCFL25-Y8","Bid Qty")</f>
        <v>9</v>
      </c>
      <c r="E158">
        <f>RTD("nest.scriprtd",,"nse_cm|866SCFL25-Y8","Bid Rate")</f>
        <v>985</v>
      </c>
      <c r="F158">
        <f>RTD("nest.scriprtd",,"nse_cm|866SCFL25-Y8","Ask Rate")</f>
        <v>997.45</v>
      </c>
      <c r="G158">
        <f>RTD("nest.scriprtd",,"nse_cm|866SCFL25-Y8","Ask Qty")</f>
        <v>8</v>
      </c>
      <c r="H158">
        <f>RTD("nest.scriprtd",,"nse_cm|866SCFL25-Y8","LTP")</f>
        <v>997.45</v>
      </c>
      <c r="I158" t="str">
        <f>RTD("nest.scriprtd",,"nse_cm|866SCFL25-Y8","LTT")</f>
        <v/>
      </c>
      <c r="J158">
        <f>RTD("nest.scriprtd",,"nse_cm|866SCFL25-Y8","% Change")</f>
        <v>0</v>
      </c>
      <c r="K158">
        <f>RTD("nest.scriprtd",,"nse_cm|866SCFL25-Y8","ATP")</f>
        <v>0</v>
      </c>
      <c r="L158">
        <f>RTD("nest.scriprtd",,"nse_cm|866SCFL25-Y8","Volume Traded Today")</f>
        <v>0</v>
      </c>
      <c r="M158">
        <f>RTD("nest.scriprtd",,"nse_cm|866SCFL25-Y8","Open")</f>
        <v>0</v>
      </c>
      <c r="N158">
        <f>RTD("nest.scriprtd",,"nse_cm|866SCFL25-Y8","High")</f>
        <v>997.45</v>
      </c>
      <c r="O158">
        <f>RTD("nest.scriprtd",,"nse_cm|866SCFL25-Y8","Low ")</f>
        <v>997.45</v>
      </c>
      <c r="P158">
        <f>RTD("nest.scriprtd",,"nse_cm|866SCFL25-Y8","Prev Close")</f>
        <v>997.45</v>
      </c>
      <c r="Q158">
        <f>RTD("nest.scriprtd",,"nse_cm|866SCFL25-Y8","Face Value")</f>
        <v>1000</v>
      </c>
      <c r="R158" t="str">
        <f>RTD("nest.scriprtd",,"nse_cm|866SCFL25-Y8","Isin code")</f>
        <v>INE148I07LA6</v>
      </c>
      <c r="S158" s="9">
        <f>Table1[[#This Row],[Ask Rate]]*Table1[[#This Row],[Ask Qty]]</f>
        <v>7979.6</v>
      </c>
      <c r="T158">
        <f>VLOOKUP(Table1[[#This Row],[Isin code]],Table2[#All],7,FALSE)</f>
        <v>8.66</v>
      </c>
      <c r="U158" s="17" t="str">
        <f>VLOOKUP(Table1[[#This Row],[Isin code]],Table2[#All],8,FALSE)</f>
        <v>06-Jan-2025</v>
      </c>
      <c r="V158" s="10">
        <f ca="1">Table1[[#This Row],[Maturity]]-TODAY()</f>
        <v>82</v>
      </c>
      <c r="W158" t="str">
        <f>VLOOKUP(Table1[[#This Row],[Isin code]],Table2[#All],10,FALSE)</f>
        <v>Monthly</v>
      </c>
      <c r="X158">
        <f ca="1">_xlfn.DAYS(Table1[[#This Row],[Maturity]],TODAY())-15</f>
        <v>67</v>
      </c>
      <c r="Y1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58">
        <f>IF(Table1[[#This Row],[Ask Rate]]=0,0,Table1[[#This Row],[Face Value]]-Table1[[#This Row],[Ask Rate]])</f>
        <v>2.5499999999999545</v>
      </c>
      <c r="AA158">
        <f>IF(Table1[[#This Row],[Freq]]="Yearly",Table1[[#This Row],[Coupon_Rate]]/100,IF(Table1[[#This Row],[Freq]]="Monthly",Table1[[#This Row],[Coupon_Rate]]/1200,IF(Table1[[#This Row],[Freq]]="Quarterly",Table1[[#This Row],[Coupon_Rate]]/400,0)))</f>
        <v>7.2166666666666664E-3</v>
      </c>
      <c r="AB158">
        <f ca="1">Table1[[#This Row],[Face Value]]*Table1[[#This Row],[Rate]]*Table1[[#This Row],[Time]]</f>
        <v>21.65</v>
      </c>
      <c r="AC158">
        <f ca="1">Table1[[#This Row],[SI]]+Table1[[#This Row],[Disc/Prem]]</f>
        <v>24.199999999999953</v>
      </c>
      <c r="AD158" s="3">
        <f ca="1">Table1[[#This Row],[Net Gain]]/Table1[[#This Row],[Ask Rate]]</f>
        <v>2.426186776279508E-2</v>
      </c>
      <c r="AE158" s="3">
        <f ca="1">IF(Table1[[#This Row],[Ask Qty]]=0,0,Table1[[#This Row],[Gross Yield]]*365/Table1[[#This Row],[Days Left]])</f>
        <v>0.10799489918805126</v>
      </c>
      <c r="AF158" s="9">
        <f ca="1">+Table1[[#This Row],[Net Gain]]*Table1[[#This Row],[Ask Qty]]</f>
        <v>193.59999999999962</v>
      </c>
      <c r="AG158" t="str">
        <f ca="1">IF(Table1[[#This Row],[YTM]]&gt;0.12,IF(Table1[[#This Row],[Gross Profit]]&gt;10000,"Invest","Review"),"Low YTM")</f>
        <v>Low YTM</v>
      </c>
    </row>
    <row r="159" spans="1:33" x14ac:dyDescent="0.3">
      <c r="A159" t="str">
        <f>RTD("nest.scriprtd",,"nse_cm|948SCL26B-Y8","Symbol")</f>
        <v>948SCL26B</v>
      </c>
      <c r="B159" t="str">
        <f>RTD("nest.scriprtd",,"nse_cm|948SCL26B-Y8","Trading Symbol")</f>
        <v>948SCL26B-Y8</v>
      </c>
      <c r="C159" t="str">
        <f>RTD("nest.scriprtd",,"nse_cm|948SCL26B-Y8","Exchange")</f>
        <v>NSE</v>
      </c>
      <c r="D159">
        <f>RTD("nest.scriprtd",,"nse_cm|948SCL26B-Y8","Bid Qty")</f>
        <v>5</v>
      </c>
      <c r="E159">
        <f>RTD("nest.scriprtd",,"nse_cm|948SCL26B-Y8","Bid Rate")</f>
        <v>900.3</v>
      </c>
      <c r="F159">
        <f>RTD("nest.scriprtd",,"nse_cm|948SCL26B-Y8","Ask Rate")</f>
        <v>979</v>
      </c>
      <c r="G159">
        <f>RTD("nest.scriprtd",,"nse_cm|948SCL26B-Y8","Ask Qty")</f>
        <v>1</v>
      </c>
      <c r="H159">
        <f>RTD("nest.scriprtd",,"nse_cm|948SCL26B-Y8","LTP")</f>
        <v>925.2</v>
      </c>
      <c r="I159" t="str">
        <f>RTD("nest.scriprtd",,"nse_cm|948SCL26B-Y8","LTT")</f>
        <v/>
      </c>
      <c r="J159">
        <f>RTD("nest.scriprtd",,"nse_cm|948SCL26B-Y8","% Change")</f>
        <v>0</v>
      </c>
      <c r="K159">
        <f>RTD("nest.scriprtd",,"nse_cm|948SCL26B-Y8","ATP")</f>
        <v>0</v>
      </c>
      <c r="L159">
        <f>RTD("nest.scriprtd",,"nse_cm|948SCL26B-Y8","Volume Traded Today")</f>
        <v>0</v>
      </c>
      <c r="M159">
        <f>RTD("nest.scriprtd",,"nse_cm|948SCL26B-Y8","Open")</f>
        <v>0</v>
      </c>
      <c r="N159">
        <f>RTD("nest.scriprtd",,"nse_cm|948SCL26B-Y8","High")</f>
        <v>925.2</v>
      </c>
      <c r="O159">
        <f>RTD("nest.scriprtd",,"nse_cm|948SCL26B-Y8","Low ")</f>
        <v>925.2</v>
      </c>
      <c r="P159">
        <f>RTD("nest.scriprtd",,"nse_cm|948SCL26B-Y8","Prev Close")</f>
        <v>925.2</v>
      </c>
      <c r="Q159">
        <f>RTD("nest.scriprtd",,"nse_cm|948SCL26B-Y8","Face Value")</f>
        <v>1000</v>
      </c>
      <c r="R159" t="str">
        <f>RTD("nest.scriprtd",,"nse_cm|948SCL26B-Y8","Isin code")</f>
        <v>INE148I07RJ4</v>
      </c>
      <c r="S159" s="9">
        <f>Table1[[#This Row],[Ask Rate]]*Table1[[#This Row],[Ask Qty]]</f>
        <v>979</v>
      </c>
      <c r="T159">
        <f>VLOOKUP(Table1[[#This Row],[Isin code]],Table2[#All],7,FALSE)</f>
        <v>9.48</v>
      </c>
      <c r="U159" s="17" t="str">
        <f>VLOOKUP(Table1[[#This Row],[Isin code]],Table2[#All],8,FALSE)</f>
        <v>27-Dec-2026</v>
      </c>
      <c r="V159" s="10">
        <f ca="1">Table1[[#This Row],[Maturity]]-TODAY()</f>
        <v>802</v>
      </c>
      <c r="W159" t="str">
        <f>VLOOKUP(Table1[[#This Row],[Isin code]],Table2[#All],10,FALSE)</f>
        <v>Monthly</v>
      </c>
      <c r="X159">
        <f ca="1">_xlfn.DAYS(Table1[[#This Row],[Maturity]],TODAY())-15</f>
        <v>787</v>
      </c>
      <c r="Y1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159">
        <f>IF(Table1[[#This Row],[Ask Rate]]=0,0,Table1[[#This Row],[Face Value]]-Table1[[#This Row],[Ask Rate]])</f>
        <v>21</v>
      </c>
      <c r="AA159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159">
        <f ca="1">Table1[[#This Row],[Face Value]]*Table1[[#This Row],[Rate]]*Table1[[#This Row],[Time]]</f>
        <v>213.3</v>
      </c>
      <c r="AC159">
        <f ca="1">Table1[[#This Row],[SI]]+Table1[[#This Row],[Disc/Prem]]</f>
        <v>234.3</v>
      </c>
      <c r="AD159" s="3">
        <f ca="1">Table1[[#This Row],[Net Gain]]/Table1[[#This Row],[Ask Rate]]</f>
        <v>0.23932584269662924</v>
      </c>
      <c r="AE159" s="3">
        <f ca="1">IF(Table1[[#This Row],[Ask Qty]]=0,0,Table1[[#This Row],[Gross Yield]]*365/Table1[[#This Row],[Days Left]])</f>
        <v>0.10892011544173276</v>
      </c>
      <c r="AF159" s="9">
        <f ca="1">+Table1[[#This Row],[Net Gain]]*Table1[[#This Row],[Ask Qty]]</f>
        <v>234.3</v>
      </c>
      <c r="AG159" t="str">
        <f ca="1">IF(Table1[[#This Row],[YTM]]&gt;0.12,IF(Table1[[#This Row],[Gross Profit]]&gt;10000,"Invest","Review"),"Low YTM")</f>
        <v>Low YTM</v>
      </c>
    </row>
    <row r="160" spans="1:33" x14ac:dyDescent="0.3">
      <c r="A160" t="str">
        <f>RTD("nest.scriprtd",,"bse_cm|9SCL26BA","Symbol")</f>
        <v>9SCL26BA</v>
      </c>
      <c r="B160" t="str">
        <f>RTD("nest.scriprtd",,"bse_cm|9SCL26BA","Trading Symbol")</f>
        <v>9SCL26BA</v>
      </c>
      <c r="C160" t="str">
        <f>RTD("nest.scriprtd",,"bse_cm|9SCL26BA","Exchange")</f>
        <v>BSE</v>
      </c>
      <c r="D160">
        <f>RTD("nest.scriprtd",,"bse_cm|9SCL26BA","Bid Qty")</f>
        <v>100</v>
      </c>
      <c r="E160">
        <f>RTD("nest.scriprtd",,"bse_cm|9SCL26BA","Bid Rate")</f>
        <v>946</v>
      </c>
      <c r="F160">
        <f>RTD("nest.scriprtd",,"bse_cm|9SCL26BA","Ask Rate")</f>
        <v>973.98</v>
      </c>
      <c r="G160">
        <f>RTD("nest.scriprtd",,"bse_cm|9SCL26BA","Ask Qty")</f>
        <v>10</v>
      </c>
      <c r="H160">
        <f>RTD("nest.scriprtd",,"bse_cm|9SCL26BA","LTP")</f>
        <v>950</v>
      </c>
      <c r="I160" t="str">
        <f>RTD("nest.scriprtd",,"bse_cm|9SCL26BA","LTT")</f>
        <v>00:00:00</v>
      </c>
      <c r="J160">
        <f>RTD("nest.scriprtd",,"bse_cm|9SCL26BA","% Change")</f>
        <v>0.11</v>
      </c>
      <c r="K160">
        <f>RTD("nest.scriprtd",,"bse_cm|9SCL26BA","ATP")</f>
        <v>0</v>
      </c>
      <c r="L160">
        <f>RTD("nest.scriprtd",,"bse_cm|9SCL26BA","Volume Traded Today")</f>
        <v>0</v>
      </c>
      <c r="M160">
        <f>RTD("nest.scriprtd",,"bse_cm|9SCL26BA","Open")</f>
        <v>0</v>
      </c>
      <c r="N160">
        <f>RTD("nest.scriprtd",,"bse_cm|9SCL26BA","High")</f>
        <v>950</v>
      </c>
      <c r="O160">
        <f>RTD("nest.scriprtd",,"bse_cm|9SCL26BA","Low ")</f>
        <v>949.99</v>
      </c>
      <c r="P160">
        <f>RTD("nest.scriprtd",,"bse_cm|9SCL26BA","Prev Close")</f>
        <v>948.99</v>
      </c>
      <c r="Q160">
        <f>RTD("nest.scriprtd",,"bse_cm|9SCL26BA","Face Value")</f>
        <v>1000</v>
      </c>
      <c r="R160" t="str">
        <f>RTD("nest.scriprtd",,"bse_cm|9SCL26BA","Isin code")</f>
        <v>INE148I07GL3</v>
      </c>
      <c r="S160" s="9">
        <f>Table1[[#This Row],[Ask Rate]]*Table1[[#This Row],[Ask Qty]]</f>
        <v>9739.7999999999993</v>
      </c>
      <c r="T160">
        <f>VLOOKUP(Table1[[#This Row],[Isin code]],Table2[#All],7,FALSE)</f>
        <v>9</v>
      </c>
      <c r="U160" s="17" t="str">
        <f>VLOOKUP(Table1[[#This Row],[Isin code]],Table2[#All],8,FALSE)</f>
        <v>26-Sep-2026</v>
      </c>
      <c r="V160" s="10">
        <f ca="1">Table1[[#This Row],[Maturity]]-TODAY()</f>
        <v>710</v>
      </c>
      <c r="W160" t="str">
        <f>VLOOKUP(Table1[[#This Row],[Isin code]],Table2[#All],10,FALSE)</f>
        <v>Yearly</v>
      </c>
      <c r="X160">
        <f ca="1">_xlfn.DAYS(Table1[[#This Row],[Maturity]],TODAY())-15</f>
        <v>695</v>
      </c>
      <c r="Y1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60">
        <f>IF(Table1[[#This Row],[Ask Rate]]=0,0,Table1[[#This Row],[Face Value]]-Table1[[#This Row],[Ask Rate]])</f>
        <v>26.019999999999982</v>
      </c>
      <c r="AA160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160">
        <f ca="1">Table1[[#This Row],[Face Value]]*Table1[[#This Row],[Rate]]*Table1[[#This Row],[Time]]</f>
        <v>180</v>
      </c>
      <c r="AC160">
        <f ca="1">Table1[[#This Row],[SI]]+Table1[[#This Row],[Disc/Prem]]</f>
        <v>206.01999999999998</v>
      </c>
      <c r="AD160" s="3">
        <f ca="1">Table1[[#This Row],[Net Gain]]/Table1[[#This Row],[Ask Rate]]</f>
        <v>0.2115238505924146</v>
      </c>
      <c r="AE160" s="3">
        <f ca="1">IF(Table1[[#This Row],[Ask Qty]]=0,0,Table1[[#This Row],[Gross Yield]]*365/Table1[[#This Row],[Days Left]])</f>
        <v>0.10874113445948073</v>
      </c>
      <c r="AF160" s="9">
        <f ca="1">+Table1[[#This Row],[Net Gain]]*Table1[[#This Row],[Ask Qty]]</f>
        <v>2060.1999999999998</v>
      </c>
      <c r="AG160" t="str">
        <f ca="1">IF(Table1[[#This Row],[YTM]]&gt;0.12,IF(Table1[[#This Row],[Gross Profit]]&gt;10000,"Invest","Review"),"Low YTM")</f>
        <v>Low YTM</v>
      </c>
    </row>
    <row r="161" spans="1:33" x14ac:dyDescent="0.3">
      <c r="A161" t="str">
        <f>RTD("nest.scriprtd",,"bse_cm|875MFL26","Symbol")</f>
        <v>875MFL26</v>
      </c>
      <c r="B161" t="str">
        <f>RTD("nest.scriprtd",,"bse_cm|875MFL26","Trading Symbol")</f>
        <v>875MFL26</v>
      </c>
      <c r="C161" t="str">
        <f>RTD("nest.scriprtd",,"bse_cm|875MFL26","Exchange")</f>
        <v>BSE</v>
      </c>
      <c r="D161">
        <f>RTD("nest.scriprtd",,"bse_cm|875MFL26","Bid Qty")</f>
        <v>190</v>
      </c>
      <c r="E161">
        <f>RTD("nest.scriprtd",,"bse_cm|875MFL26","Bid Rate")</f>
        <v>975</v>
      </c>
      <c r="F161">
        <f>RTD("nest.scriprtd",,"bse_cm|875MFL26","Ask Rate")</f>
        <v>979.8</v>
      </c>
      <c r="G161">
        <f>RTD("nest.scriprtd",,"bse_cm|875MFL26","Ask Qty")</f>
        <v>12</v>
      </c>
      <c r="H161">
        <f>RTD("nest.scriprtd",,"bse_cm|875MFL26","LTP")</f>
        <v>0</v>
      </c>
      <c r="I161" t="str">
        <f>RTD("nest.scriprtd",,"bse_cm|875MFL26","LTT")</f>
        <v>00:00:00</v>
      </c>
      <c r="J161">
        <f>RTD("nest.scriprtd",,"bse_cm|875MFL26","% Change")</f>
        <v>-100</v>
      </c>
      <c r="K161">
        <f>RTD("nest.scriprtd",,"bse_cm|875MFL26","ATP")</f>
        <v>0</v>
      </c>
      <c r="L161">
        <f>RTD("nest.scriprtd",,"bse_cm|875MFL26","Volume Traded Today")</f>
        <v>0</v>
      </c>
      <c r="M161">
        <f>RTD("nest.scriprtd",,"bse_cm|875MFL26","Open")</f>
        <v>0</v>
      </c>
      <c r="N161">
        <f>RTD("nest.scriprtd",,"bse_cm|875MFL26","High")</f>
        <v>975</v>
      </c>
      <c r="O161">
        <f>RTD("nest.scriprtd",,"bse_cm|875MFL26","Low ")</f>
        <v>975</v>
      </c>
      <c r="P161">
        <f>RTD("nest.scriprtd",,"bse_cm|875MFL26","Prev Close")</f>
        <v>975</v>
      </c>
      <c r="Q161">
        <f>RTD("nest.scriprtd",,"bse_cm|875MFL26","Face Value")</f>
        <v>1000</v>
      </c>
      <c r="R161" t="str">
        <f>RTD("nest.scriprtd",,"bse_cm|875MFL26","Isin code")</f>
        <v>INE549K07949</v>
      </c>
      <c r="S161" s="9">
        <f>Table1[[#This Row],[Ask Rate]]*Table1[[#This Row],[Ask Qty]]</f>
        <v>11757.599999999999</v>
      </c>
      <c r="T161">
        <f>VLOOKUP(Table1[[#This Row],[Isin code]],Table2[#All],7,FALSE)</f>
        <v>8.75</v>
      </c>
      <c r="U161" s="17" t="str">
        <f>VLOOKUP(Table1[[#This Row],[Isin code]],Table2[#All],8,FALSE)</f>
        <v>29-Jan-2026</v>
      </c>
      <c r="V161" s="10">
        <f ca="1">Table1[[#This Row],[Maturity]]-TODAY()</f>
        <v>470</v>
      </c>
      <c r="W161" t="str">
        <f>VLOOKUP(Table1[[#This Row],[Isin code]],Table2[#All],10,FALSE)</f>
        <v>Monthly</v>
      </c>
      <c r="X161">
        <f ca="1">_xlfn.DAYS(Table1[[#This Row],[Maturity]],TODAY())-15</f>
        <v>455</v>
      </c>
      <c r="Y1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16</v>
      </c>
      <c r="Z161">
        <f>IF(Table1[[#This Row],[Ask Rate]]=0,0,Table1[[#This Row],[Face Value]]-Table1[[#This Row],[Ask Rate]])</f>
        <v>20.200000000000045</v>
      </c>
      <c r="AA161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161">
        <f ca="1">Table1[[#This Row],[Face Value]]*Table1[[#This Row],[Rate]]*Table1[[#This Row],[Time]]</f>
        <v>116.66666666666667</v>
      </c>
      <c r="AC161">
        <f ca="1">Table1[[#This Row],[SI]]+Table1[[#This Row],[Disc/Prem]]</f>
        <v>136.86666666666673</v>
      </c>
      <c r="AD161" s="3">
        <f ca="1">Table1[[#This Row],[Net Gain]]/Table1[[#This Row],[Ask Rate]]</f>
        <v>0.13968837177655311</v>
      </c>
      <c r="AE161" s="3">
        <f ca="1">IF(Table1[[#This Row],[Ask Qty]]=0,0,Table1[[#This Row],[Gross Yield]]*365/Table1[[#This Row],[Days Left]])</f>
        <v>0.10848139510306783</v>
      </c>
      <c r="AF161" s="9">
        <f ca="1">+Table1[[#This Row],[Net Gain]]*Table1[[#This Row],[Ask Qty]]</f>
        <v>1642.4000000000008</v>
      </c>
      <c r="AG161" t="str">
        <f ca="1">IF(Table1[[#This Row],[YTM]]&gt;0.12,IF(Table1[[#This Row],[Gross Profit]]&gt;10000,"Invest","Review"),"Low YTM")</f>
        <v>Low YTM</v>
      </c>
    </row>
    <row r="162" spans="1:33" x14ac:dyDescent="0.3">
      <c r="A162" t="str">
        <f>RTD("nest.scriprtd",,"nse_cm|96SFL24A-NB","Symbol")</f>
        <v>96SFL24A</v>
      </c>
      <c r="B162" t="str">
        <f>RTD("nest.scriprtd",,"nse_cm|96SFL24A-NB","Trading Symbol")</f>
        <v>96SFL24A-NB</v>
      </c>
      <c r="C162" t="str">
        <f>RTD("nest.scriprtd",,"nse_cm|96SFL24A-NB","Exchange")</f>
        <v>NSE</v>
      </c>
      <c r="D162">
        <f>RTD("nest.scriprtd",,"nse_cm|96SFL24A-NB","Bid Qty")</f>
        <v>7</v>
      </c>
      <c r="E162">
        <f>RTD("nest.scriprtd",,"nse_cm|96SFL24A-NB","Bid Rate")</f>
        <v>900</v>
      </c>
      <c r="F162">
        <f>RTD("nest.scriprtd",,"nse_cm|96SFL24A-NB","Ask Rate")</f>
        <v>949</v>
      </c>
      <c r="G162">
        <f>RTD("nest.scriprtd",,"nse_cm|96SFL24A-NB","Ask Qty")</f>
        <v>10</v>
      </c>
      <c r="H162">
        <f>RTD("nest.scriprtd",,"nse_cm|96SFL24A-NB","LTP")</f>
        <v>900</v>
      </c>
      <c r="I162" t="str">
        <f>RTD("nest.scriprtd",,"nse_cm|96SFL24A-NB","LTT")</f>
        <v/>
      </c>
      <c r="J162">
        <f>RTD("nest.scriprtd",,"nse_cm|96SFL24A-NB","% Change")</f>
        <v>0</v>
      </c>
      <c r="K162">
        <f>RTD("nest.scriprtd",,"nse_cm|96SFL24A-NB","ATP")</f>
        <v>0</v>
      </c>
      <c r="L162">
        <f>RTD("nest.scriprtd",,"nse_cm|96SFL24A-NB","Volume Traded Today")</f>
        <v>0</v>
      </c>
      <c r="M162">
        <f>RTD("nest.scriprtd",,"nse_cm|96SFL24A-NB","Open")</f>
        <v>0</v>
      </c>
      <c r="N162">
        <f>RTD("nest.scriprtd",,"nse_cm|96SFL24A-NB","High")</f>
        <v>900</v>
      </c>
      <c r="O162">
        <f>RTD("nest.scriprtd",,"nse_cm|96SFL24A-NB","Low ")</f>
        <v>875</v>
      </c>
      <c r="P162">
        <f>RTD("nest.scriprtd",,"nse_cm|96SFL24A-NB","Prev Close")</f>
        <v>900</v>
      </c>
      <c r="Q162">
        <f>RTD("nest.scriprtd",,"nse_cm|96SFL24A-NB","Face Value")</f>
        <v>1000</v>
      </c>
      <c r="R162" t="str">
        <f>RTD("nest.scriprtd",,"nse_cm|96SFL24A-NB","Isin code")</f>
        <v>INE244L07168</v>
      </c>
      <c r="S162" s="9">
        <f>Table1[[#This Row],[Ask Rate]]*Table1[[#This Row],[Ask Qty]]</f>
        <v>9490</v>
      </c>
      <c r="T162">
        <f>VLOOKUP(Table1[[#This Row],[Isin code]],Table2[#All],7,FALSE)</f>
        <v>8.84</v>
      </c>
      <c r="U162" s="17" t="str">
        <f>VLOOKUP(Table1[[#This Row],[Isin code]],Table2[#All],8,FALSE)</f>
        <v>25-Sep-2028</v>
      </c>
      <c r="V162" s="10">
        <f ca="1">Table1[[#This Row],[Maturity]]-TODAY()</f>
        <v>1440</v>
      </c>
      <c r="W162" t="str">
        <f>VLOOKUP(Table1[[#This Row],[Isin code]],Table2[#All],10,FALSE)</f>
        <v>Monthly</v>
      </c>
      <c r="X162">
        <f ca="1">_xlfn.DAYS(Table1[[#This Row],[Maturity]],TODAY())-15</f>
        <v>1425</v>
      </c>
      <c r="Y1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162">
        <f>IF(Table1[[#This Row],[Ask Rate]]=0,0,Table1[[#This Row],[Face Value]]-Table1[[#This Row],[Ask Rate]])</f>
        <v>51</v>
      </c>
      <c r="AA162">
        <f>IF(Table1[[#This Row],[Freq]]="Yearly",Table1[[#This Row],[Coupon_Rate]]/100,IF(Table1[[#This Row],[Freq]]="Monthly",Table1[[#This Row],[Coupon_Rate]]/1200,IF(Table1[[#This Row],[Freq]]="Quarterly",Table1[[#This Row],[Coupon_Rate]]/400,0)))</f>
        <v>7.3666666666666663E-3</v>
      </c>
      <c r="AB162">
        <f ca="1">Table1[[#This Row],[Face Value]]*Table1[[#This Row],[Rate]]*Table1[[#This Row],[Time]]</f>
        <v>353.59999999999997</v>
      </c>
      <c r="AC162">
        <f ca="1">Table1[[#This Row],[SI]]+Table1[[#This Row],[Disc/Prem]]</f>
        <v>404.59999999999997</v>
      </c>
      <c r="AD162" s="3">
        <f ca="1">Table1[[#This Row],[Net Gain]]/Table1[[#This Row],[Ask Rate]]</f>
        <v>0.4263435194942044</v>
      </c>
      <c r="AE162" s="3">
        <f ca="1">IF(Table1[[#This Row],[Ask Qty]]=0,0,Table1[[#This Row],[Gross Yield]]*365/Table1[[#This Row],[Days Left]])</f>
        <v>0.10806623931623932</v>
      </c>
      <c r="AF162" s="9">
        <f ca="1">+Table1[[#This Row],[Net Gain]]*Table1[[#This Row],[Ask Qty]]</f>
        <v>4045.9999999999995</v>
      </c>
      <c r="AG162" t="str">
        <f ca="1">IF(Table1[[#This Row],[YTM]]&gt;0.12,IF(Table1[[#This Row],[Gross Profit]]&gt;10000,"Invest","Review"),"Low YTM")</f>
        <v>Low YTM</v>
      </c>
    </row>
    <row r="163" spans="1:33" x14ac:dyDescent="0.3">
      <c r="A163" t="str">
        <f>RTD("nest.scriprtd",,"nse_cm|965SCL25A-NF","Symbol")</f>
        <v>965SCL25A</v>
      </c>
      <c r="B163" t="str">
        <f>RTD("nest.scriprtd",,"nse_cm|965SCL25A-NF","Trading Symbol")</f>
        <v>965SCL25A-NF</v>
      </c>
      <c r="C163" t="str">
        <f>RTD("nest.scriprtd",,"nse_cm|965SCL25A-NF","Exchange")</f>
        <v>NSE</v>
      </c>
      <c r="D163">
        <f>RTD("nest.scriprtd",,"nse_cm|965SCL25A-NF","Bid Qty")</f>
        <v>11</v>
      </c>
      <c r="E163">
        <f>RTD("nest.scriprtd",,"nse_cm|965SCL25A-NF","Bid Rate")</f>
        <v>1056.8</v>
      </c>
      <c r="F163">
        <f>RTD("nest.scriprtd",,"nse_cm|965SCL25A-NF","Ask Rate")</f>
        <v>1070</v>
      </c>
      <c r="G163">
        <f>RTD("nest.scriprtd",,"nse_cm|965SCL25A-NF","Ask Qty")</f>
        <v>1</v>
      </c>
      <c r="H163">
        <f>RTD("nest.scriprtd",,"nse_cm|965SCL25A-NF","LTP")</f>
        <v>1056.8</v>
      </c>
      <c r="I163" t="str">
        <f>RTD("nest.scriprtd",,"nse_cm|965SCL25A-NF","LTT")</f>
        <v>09:39:01</v>
      </c>
      <c r="J163">
        <f>RTD("nest.scriprtd",,"nse_cm|965SCL25A-NF","% Change")</f>
        <v>2.06</v>
      </c>
      <c r="K163">
        <f>RTD("nest.scriprtd",,"nse_cm|965SCL25A-NF","ATP")</f>
        <v>1056.8</v>
      </c>
      <c r="L163">
        <f>RTD("nest.scriprtd",,"nse_cm|965SCL25A-NF","Volume Traded Today")</f>
        <v>39</v>
      </c>
      <c r="M163">
        <f>RTD("nest.scriprtd",,"nse_cm|965SCL25A-NF","Open")</f>
        <v>1056.8</v>
      </c>
      <c r="N163">
        <f>RTD("nest.scriprtd",,"nse_cm|965SCL25A-NF","High")</f>
        <v>1056.8</v>
      </c>
      <c r="O163">
        <f>RTD("nest.scriprtd",,"nse_cm|965SCL25A-NF","Low ")</f>
        <v>1056.8</v>
      </c>
      <c r="P163">
        <f>RTD("nest.scriprtd",,"nse_cm|965SCL25A-NF","Prev Close")</f>
        <v>1035.5</v>
      </c>
      <c r="Q163">
        <f>RTD("nest.scriprtd",,"nse_cm|965SCL25A-NF","Face Value")</f>
        <v>1000</v>
      </c>
      <c r="R163" t="str">
        <f>RTD("nest.scriprtd",,"nse_cm|965SCL25A-NF","Isin code")</f>
        <v>INE148I07QN8</v>
      </c>
      <c r="S163" s="9">
        <f>Table1[[#This Row],[Ask Rate]]*Table1[[#This Row],[Ask Qty]]</f>
        <v>1070</v>
      </c>
      <c r="T163">
        <f>VLOOKUP(Table1[[#This Row],[Isin code]],Table2[#All],7,FALSE)</f>
        <v>9.65</v>
      </c>
      <c r="U163" s="17" t="str">
        <f>VLOOKUP(Table1[[#This Row],[Isin code]],Table2[#All],8,FALSE)</f>
        <v>09-Nov-2025</v>
      </c>
      <c r="V163" s="10">
        <f ca="1">Table1[[#This Row],[Maturity]]-TODAY()</f>
        <v>389</v>
      </c>
      <c r="W163" t="str">
        <f>VLOOKUP(Table1[[#This Row],[Isin code]],Table2[#All],10,FALSE)</f>
        <v>Yearly</v>
      </c>
      <c r="X163">
        <f ca="1">_xlfn.DAYS(Table1[[#This Row],[Maturity]],TODAY())-15</f>
        <v>374</v>
      </c>
      <c r="Y1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63">
        <f>IF(Table1[[#This Row],[Ask Rate]]=0,0,Table1[[#This Row],[Face Value]]-Table1[[#This Row],[Ask Rate]])</f>
        <v>-70</v>
      </c>
      <c r="AA163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63">
        <f ca="1">Table1[[#This Row],[Face Value]]*Table1[[#This Row],[Rate]]*Table1[[#This Row],[Time]]</f>
        <v>193</v>
      </c>
      <c r="AC163">
        <f ca="1">Table1[[#This Row],[SI]]+Table1[[#This Row],[Disc/Prem]]</f>
        <v>123</v>
      </c>
      <c r="AD163" s="3">
        <f ca="1">Table1[[#This Row],[Net Gain]]/Table1[[#This Row],[Ask Rate]]</f>
        <v>0.11495327102803739</v>
      </c>
      <c r="AE163" s="3">
        <f ca="1">IF(Table1[[#This Row],[Ask Qty]]=0,0,Table1[[#This Row],[Gross Yield]]*365/Table1[[#This Row],[Days Left]])</f>
        <v>0.1078610383682099</v>
      </c>
      <c r="AF163" s="9">
        <f ca="1">+Table1[[#This Row],[Net Gain]]*Table1[[#This Row],[Ask Qty]]</f>
        <v>123</v>
      </c>
      <c r="AG163" t="str">
        <f ca="1">IF(Table1[[#This Row],[YTM]]&gt;0.12,IF(Table1[[#This Row],[Gross Profit]]&gt;10000,"Invest","Review"),"Low YTM")</f>
        <v>Low YTM</v>
      </c>
    </row>
    <row r="164" spans="1:33" x14ac:dyDescent="0.3">
      <c r="A164" t="str">
        <f>RTD("nest.scriprtd",,"bse_cm|10EFSL34","Symbol")</f>
        <v>10EFSL34</v>
      </c>
      <c r="B164" t="str">
        <f>RTD("nest.scriprtd",,"bse_cm|10EFSL34","Trading Symbol")</f>
        <v>10EFSL34</v>
      </c>
      <c r="C164" t="str">
        <f>RTD("nest.scriprtd",,"bse_cm|10EFSL34","Exchange")</f>
        <v>BSE</v>
      </c>
      <c r="D164">
        <f>RTD("nest.scriprtd",,"bse_cm|10EFSL34","Bid Qty")</f>
        <v>30</v>
      </c>
      <c r="E164">
        <f>RTD("nest.scriprtd",,"bse_cm|10EFSL34","Bid Rate")</f>
        <v>925.1</v>
      </c>
      <c r="F164">
        <f>RTD("nest.scriprtd",,"bse_cm|10EFSL34","Ask Rate")</f>
        <v>970</v>
      </c>
      <c r="G164">
        <f>RTD("nest.scriprtd",,"bse_cm|10EFSL34","Ask Qty")</f>
        <v>981</v>
      </c>
      <c r="H164">
        <f>RTD("nest.scriprtd",,"bse_cm|10EFSL34","LTP")</f>
        <v>0</v>
      </c>
      <c r="I164" t="str">
        <f>RTD("nest.scriprtd",,"bse_cm|10EFSL34","LTT")</f>
        <v>00:00:00</v>
      </c>
      <c r="J164">
        <f>RTD("nest.scriprtd",,"bse_cm|10EFSL34","% Change")</f>
        <v>-100</v>
      </c>
      <c r="K164">
        <f>RTD("nest.scriprtd",,"bse_cm|10EFSL34","ATP")</f>
        <v>0</v>
      </c>
      <c r="L164">
        <f>RTD("nest.scriprtd",,"bse_cm|10EFSL34","Volume Traded Today")</f>
        <v>0</v>
      </c>
      <c r="M164">
        <f>RTD("nest.scriprtd",,"bse_cm|10EFSL34","Open")</f>
        <v>0</v>
      </c>
      <c r="N164">
        <f>RTD("nest.scriprtd",,"bse_cm|10EFSL34","High")</f>
        <v>990</v>
      </c>
      <c r="O164">
        <f>RTD("nest.scriprtd",,"bse_cm|10EFSL34","Low ")</f>
        <v>990</v>
      </c>
      <c r="P164">
        <f>RTD("nest.scriprtd",,"bse_cm|10EFSL34","Prev Close")</f>
        <v>990</v>
      </c>
      <c r="Q164">
        <f>RTD("nest.scriprtd",,"bse_cm|10EFSL34","Face Value")</f>
        <v>1000</v>
      </c>
      <c r="R164" t="str">
        <f>RTD("nest.scriprtd",,"bse_cm|10EFSL34","Isin code")</f>
        <v>INE532F07FB7</v>
      </c>
      <c r="S164" s="9">
        <f>Table1[[#This Row],[Ask Rate]]*Table1[[#This Row],[Ask Qty]]</f>
        <v>951570</v>
      </c>
      <c r="T164">
        <f>VLOOKUP(Table1[[#This Row],[Isin code]],Table2[#All],7,FALSE)</f>
        <v>10</v>
      </c>
      <c r="U164" s="17" t="str">
        <f>VLOOKUP(Table1[[#This Row],[Isin code]],Table2[#All],8,FALSE)</f>
        <v>29-Jan-2034</v>
      </c>
      <c r="V164" s="10">
        <f ca="1">Table1[[#This Row],[Maturity]]-TODAY()</f>
        <v>3392</v>
      </c>
      <c r="W164" t="str">
        <f>VLOOKUP(Table1[[#This Row],[Isin code]],Table2[#All],10,FALSE)</f>
        <v>Monthly</v>
      </c>
      <c r="X164">
        <f ca="1">_xlfn.DAYS(Table1[[#This Row],[Maturity]],TODAY())-15</f>
        <v>3377</v>
      </c>
      <c r="Y1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113</v>
      </c>
      <c r="Z164">
        <f>IF(Table1[[#This Row],[Ask Rate]]=0,0,Table1[[#This Row],[Face Value]]-Table1[[#This Row],[Ask Rate]])</f>
        <v>30</v>
      </c>
      <c r="AA164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64">
        <f ca="1">Table1[[#This Row],[Face Value]]*Table1[[#This Row],[Rate]]*Table1[[#This Row],[Time]]</f>
        <v>941.66666666666674</v>
      </c>
      <c r="AC164">
        <f ca="1">Table1[[#This Row],[SI]]+Table1[[#This Row],[Disc/Prem]]</f>
        <v>971.66666666666674</v>
      </c>
      <c r="AD164" s="3">
        <f ca="1">Table1[[#This Row],[Net Gain]]/Table1[[#This Row],[Ask Rate]]</f>
        <v>1.0017182130584192</v>
      </c>
      <c r="AE164" s="3">
        <f ca="1">IF(Table1[[#This Row],[Ask Qty]]=0,0,Table1[[#This Row],[Gross Yield]]*365/Table1[[#This Row],[Days Left]])</f>
        <v>0.10779102233676977</v>
      </c>
      <c r="AF164" s="9">
        <f ca="1">+Table1[[#This Row],[Net Gain]]*Table1[[#This Row],[Ask Qty]]</f>
        <v>953205.00000000012</v>
      </c>
      <c r="AG164" t="str">
        <f ca="1">IF(Table1[[#This Row],[YTM]]&gt;0.12,IF(Table1[[#This Row],[Gross Profit]]&gt;10000,"Invest","Review"),"Low YTM")</f>
        <v>Low YTM</v>
      </c>
    </row>
    <row r="165" spans="1:33" x14ac:dyDescent="0.3">
      <c r="A165" t="str">
        <f>RTD("nest.scriprtd",,"nse_cm|925ERFL28-N6","Symbol")</f>
        <v>925ERFL28</v>
      </c>
      <c r="B165" t="str">
        <f>RTD("nest.scriprtd",,"nse_cm|925ERFL28-N6","Trading Symbol")</f>
        <v>925ERFL28-N6</v>
      </c>
      <c r="C165" t="str">
        <f>RTD("nest.scriprtd",,"nse_cm|925ERFL28-N6","Exchange")</f>
        <v>NSE</v>
      </c>
      <c r="D165">
        <f>RTD("nest.scriprtd",,"nse_cm|925ERFL28-N6","Bid Qty")</f>
        <v>50</v>
      </c>
      <c r="E165">
        <f>RTD("nest.scriprtd",,"nse_cm|925ERFL28-N6","Bid Rate")</f>
        <v>956.5</v>
      </c>
      <c r="F165">
        <f>RTD("nest.scriprtd",,"nse_cm|925ERFL28-N6","Ask Rate")</f>
        <v>999.99</v>
      </c>
      <c r="G165">
        <f>RTD("nest.scriprtd",,"nse_cm|925ERFL28-N6","Ask Qty")</f>
        <v>50</v>
      </c>
      <c r="H165">
        <f>RTD("nest.scriprtd",,"nse_cm|925ERFL28-N6","LTP")</f>
        <v>959</v>
      </c>
      <c r="I165" t="str">
        <f>RTD("nest.scriprtd",,"nse_cm|925ERFL28-N6","LTT")</f>
        <v/>
      </c>
      <c r="J165">
        <f>RTD("nest.scriprtd",,"nse_cm|925ERFL28-N6","% Change")</f>
        <v>0</v>
      </c>
      <c r="K165">
        <f>RTD("nest.scriprtd",,"nse_cm|925ERFL28-N6","ATP")</f>
        <v>0</v>
      </c>
      <c r="L165">
        <f>RTD("nest.scriprtd",,"nse_cm|925ERFL28-N6","Volume Traded Today")</f>
        <v>0</v>
      </c>
      <c r="M165">
        <f>RTD("nest.scriprtd",,"nse_cm|925ERFL28-N6","Open")</f>
        <v>0</v>
      </c>
      <c r="N165">
        <f>RTD("nest.scriprtd",,"nse_cm|925ERFL28-N6","High")</f>
        <v>959</v>
      </c>
      <c r="O165">
        <f>RTD("nest.scriprtd",,"nse_cm|925ERFL28-N6","Low ")</f>
        <v>959</v>
      </c>
      <c r="P165">
        <f>RTD("nest.scriprtd",,"nse_cm|925ERFL28-N6","Prev Close")</f>
        <v>959</v>
      </c>
      <c r="Q165">
        <f>RTD("nest.scriprtd",,"nse_cm|925ERFL28-N6","Face Value")</f>
        <v>1000</v>
      </c>
      <c r="R165" t="str">
        <f>RTD("nest.scriprtd",,"nse_cm|925ERFL28-N6","Isin code")</f>
        <v>INE528S07128</v>
      </c>
      <c r="S165" s="9">
        <f>Table1[[#This Row],[Ask Rate]]*Table1[[#This Row],[Ask Qty]]</f>
        <v>49999.5</v>
      </c>
      <c r="T165">
        <f>VLOOKUP(Table1[[#This Row],[Isin code]],Table2[#All],7,FALSE)</f>
        <v>9.25</v>
      </c>
      <c r="U165" s="17" t="str">
        <f>VLOOKUP(Table1[[#This Row],[Isin code]],Table2[#All],8,FALSE)</f>
        <v>22-Mar-2028</v>
      </c>
      <c r="V165" s="10">
        <f ca="1">Table1[[#This Row],[Maturity]]-TODAY()</f>
        <v>1253</v>
      </c>
      <c r="W165" t="str">
        <f>VLOOKUP(Table1[[#This Row],[Isin code]],Table2[#All],10,FALSE)</f>
        <v>Yearly</v>
      </c>
      <c r="X165">
        <f ca="1">_xlfn.DAYS(Table1[[#This Row],[Maturity]],TODAY())-15</f>
        <v>1238</v>
      </c>
      <c r="Y1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65">
        <f>IF(Table1[[#This Row],[Ask Rate]]=0,0,Table1[[#This Row],[Face Value]]-Table1[[#This Row],[Ask Rate]])</f>
        <v>9.9999999999909051E-3</v>
      </c>
      <c r="AA165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165">
        <f ca="1">Table1[[#This Row],[Face Value]]*Table1[[#This Row],[Rate]]*Table1[[#This Row],[Time]]</f>
        <v>370</v>
      </c>
      <c r="AC165">
        <f ca="1">Table1[[#This Row],[SI]]+Table1[[#This Row],[Disc/Prem]]</f>
        <v>370.01</v>
      </c>
      <c r="AD165" s="3">
        <f ca="1">Table1[[#This Row],[Net Gain]]/Table1[[#This Row],[Ask Rate]]</f>
        <v>0.37001370013700136</v>
      </c>
      <c r="AE165" s="3">
        <f ca="1">IF(Table1[[#This Row],[Ask Qty]]=0,0,Table1[[#This Row],[Gross Yield]]*365/Table1[[#This Row],[Days Left]])</f>
        <v>0.10778531568236673</v>
      </c>
      <c r="AF165" s="9">
        <f ca="1">+Table1[[#This Row],[Net Gain]]*Table1[[#This Row],[Ask Qty]]</f>
        <v>18500.5</v>
      </c>
      <c r="AG165" t="str">
        <f ca="1">IF(Table1[[#This Row],[YTM]]&gt;0.12,IF(Table1[[#This Row],[Gross Profit]]&gt;10000,"Invest","Review"),"Low YTM")</f>
        <v>Low YTM</v>
      </c>
    </row>
    <row r="166" spans="1:33" x14ac:dyDescent="0.3">
      <c r="A166" t="str">
        <f>RTD("nest.scriprtd",,"bse_cm|920NIDO26","Symbol")</f>
        <v>920NIDO26</v>
      </c>
      <c r="B166" t="str">
        <f>RTD("nest.scriprtd",,"bse_cm|920NIDO26","Trading Symbol")</f>
        <v>920NIDO26</v>
      </c>
      <c r="C166" t="str">
        <f>RTD("nest.scriprtd",,"bse_cm|920NIDO26","Exchange")</f>
        <v>BSE</v>
      </c>
      <c r="D166">
        <f>RTD("nest.scriprtd",,"bse_cm|920NIDO26","Bid Qty")</f>
        <v>25</v>
      </c>
      <c r="E166">
        <f>RTD("nest.scriprtd",,"bse_cm|920NIDO26","Bid Rate")</f>
        <v>944</v>
      </c>
      <c r="F166">
        <f>RTD("nest.scriprtd",,"bse_cm|920NIDO26","Ask Rate")</f>
        <v>975.2</v>
      </c>
      <c r="G166">
        <f>RTD("nest.scriprtd",,"bse_cm|920NIDO26","Ask Qty")</f>
        <v>10</v>
      </c>
      <c r="H166">
        <f>RTD("nest.scriprtd",,"bse_cm|920NIDO26","LTP")</f>
        <v>0</v>
      </c>
      <c r="I166" t="str">
        <f>RTD("nest.scriprtd",,"bse_cm|920NIDO26","LTT")</f>
        <v>00:00:00</v>
      </c>
      <c r="J166">
        <f>RTD("nest.scriprtd",,"bse_cm|920NIDO26","% Change")</f>
        <v>-100</v>
      </c>
      <c r="K166">
        <f>RTD("nest.scriprtd",,"bse_cm|920NIDO26","ATP")</f>
        <v>0</v>
      </c>
      <c r="L166">
        <f>RTD("nest.scriprtd",,"bse_cm|920NIDO26","Volume Traded Today")</f>
        <v>0</v>
      </c>
      <c r="M166">
        <f>RTD("nest.scriprtd",,"bse_cm|920NIDO26","Open")</f>
        <v>0</v>
      </c>
      <c r="N166">
        <f>RTD("nest.scriprtd",,"bse_cm|920NIDO26","High")</f>
        <v>983</v>
      </c>
      <c r="O166">
        <f>RTD("nest.scriprtd",,"bse_cm|920NIDO26","Low ")</f>
        <v>982</v>
      </c>
      <c r="P166">
        <f>RTD("nest.scriprtd",,"bse_cm|920NIDO26","Prev Close")</f>
        <v>983</v>
      </c>
      <c r="Q166">
        <f>RTD("nest.scriprtd",,"bse_cm|920NIDO26","Face Value")</f>
        <v>1000</v>
      </c>
      <c r="R166" t="str">
        <f>RTD("nest.scriprtd",,"bse_cm|920NIDO26","Isin code")</f>
        <v>INE530L07566</v>
      </c>
      <c r="S166" s="9">
        <f>Table1[[#This Row],[Ask Rate]]*Table1[[#This Row],[Ask Qty]]</f>
        <v>9752</v>
      </c>
      <c r="T166">
        <f>VLOOKUP(Table1[[#This Row],[Isin code]],Table2[#All],7,FALSE)</f>
        <v>9.1999999999999993</v>
      </c>
      <c r="U166" s="17" t="str">
        <f>VLOOKUP(Table1[[#This Row],[Isin code]],Table2[#All],8,FALSE)</f>
        <v>15-Sep-2026</v>
      </c>
      <c r="V166" s="10">
        <f ca="1">Table1[[#This Row],[Maturity]]-TODAY()</f>
        <v>699</v>
      </c>
      <c r="W166" t="str">
        <f>VLOOKUP(Table1[[#This Row],[Isin code]],Table2[#All],10,FALSE)</f>
        <v>Monthly</v>
      </c>
      <c r="X166">
        <f ca="1">_xlfn.DAYS(Table1[[#This Row],[Maturity]],TODAY())-15</f>
        <v>684</v>
      </c>
      <c r="Y1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23</v>
      </c>
      <c r="Z166">
        <f>IF(Table1[[#This Row],[Ask Rate]]=0,0,Table1[[#This Row],[Face Value]]-Table1[[#This Row],[Ask Rate]])</f>
        <v>24.799999999999955</v>
      </c>
      <c r="AA166">
        <f>IF(Table1[[#This Row],[Freq]]="Yearly",Table1[[#This Row],[Coupon_Rate]]/100,IF(Table1[[#This Row],[Freq]]="Monthly",Table1[[#This Row],[Coupon_Rate]]/1200,IF(Table1[[#This Row],[Freq]]="Quarterly",Table1[[#This Row],[Coupon_Rate]]/400,0)))</f>
        <v>7.6666666666666662E-3</v>
      </c>
      <c r="AB166">
        <f ca="1">Table1[[#This Row],[Face Value]]*Table1[[#This Row],[Rate]]*Table1[[#This Row],[Time]]</f>
        <v>176.33333333333331</v>
      </c>
      <c r="AC166">
        <f ca="1">Table1[[#This Row],[SI]]+Table1[[#This Row],[Disc/Prem]]</f>
        <v>201.13333333333327</v>
      </c>
      <c r="AD166" s="3">
        <f ca="1">Table1[[#This Row],[Net Gain]]/Table1[[#This Row],[Ask Rate]]</f>
        <v>0.20624829094886513</v>
      </c>
      <c r="AE166" s="3">
        <f ca="1">IF(Table1[[#This Row],[Ask Qty]]=0,0,Table1[[#This Row],[Gross Yield]]*365/Table1[[#This Row],[Days Left]])</f>
        <v>0.10769760543109552</v>
      </c>
      <c r="AF166" s="9">
        <f ca="1">+Table1[[#This Row],[Net Gain]]*Table1[[#This Row],[Ask Qty]]</f>
        <v>2011.3333333333326</v>
      </c>
      <c r="AG166" t="str">
        <f ca="1">IF(Table1[[#This Row],[YTM]]&gt;0.12,IF(Table1[[#This Row],[Gross Profit]]&gt;10000,"Invest","Review"),"Low YTM")</f>
        <v>Low YTM</v>
      </c>
    </row>
    <row r="167" spans="1:33" x14ac:dyDescent="0.3">
      <c r="A167" t="str">
        <f>RTD("nest.scriprtd",,"bse_cm|835SCL23B","Symbol")</f>
        <v>835SCL23B</v>
      </c>
      <c r="B167" t="str">
        <f>RTD("nest.scriprtd",,"bse_cm|835SCL23B","Trading Symbol")</f>
        <v>835SCL23B</v>
      </c>
      <c r="C167" t="str">
        <f>RTD("nest.scriprtd",,"bse_cm|835SCL23B","Exchange")</f>
        <v>BSE</v>
      </c>
      <c r="D167">
        <f>RTD("nest.scriprtd",,"bse_cm|835SCL23B","Bid Qty")</f>
        <v>9</v>
      </c>
      <c r="E167">
        <f>RTD("nest.scriprtd",,"bse_cm|835SCL23B","Bid Rate")</f>
        <v>900.3</v>
      </c>
      <c r="F167">
        <f>RTD("nest.scriprtd",,"bse_cm|835SCL23B","Ask Rate")</f>
        <v>950</v>
      </c>
      <c r="G167">
        <f>RTD("nest.scriprtd",,"bse_cm|835SCL23B","Ask Qty")</f>
        <v>12</v>
      </c>
      <c r="H167">
        <f>RTD("nest.scriprtd",,"bse_cm|835SCL23B","LTP")</f>
        <v>975</v>
      </c>
      <c r="I167" t="str">
        <f>RTD("nest.scriprtd",,"bse_cm|835SCL23B","LTT")</f>
        <v>00:00:00</v>
      </c>
      <c r="J167">
        <f>RTD("nest.scriprtd",,"bse_cm|835SCL23B","% Change")</f>
        <v>7.58</v>
      </c>
      <c r="K167">
        <f>RTD("nest.scriprtd",,"bse_cm|835SCL23B","ATP")</f>
        <v>0</v>
      </c>
      <c r="L167">
        <f>RTD("nest.scriprtd",,"bse_cm|835SCL23B","Volume Traded Today")</f>
        <v>0</v>
      </c>
      <c r="M167">
        <f>RTD("nest.scriprtd",,"bse_cm|835SCL23B","Open")</f>
        <v>0</v>
      </c>
      <c r="N167">
        <f>RTD("nest.scriprtd",,"bse_cm|835SCL23B","High")</f>
        <v>975</v>
      </c>
      <c r="O167">
        <f>RTD("nest.scriprtd",,"bse_cm|835SCL23B","Low ")</f>
        <v>970</v>
      </c>
      <c r="P167">
        <f>RTD("nest.scriprtd",,"bse_cm|835SCL23B","Prev Close")</f>
        <v>906.27</v>
      </c>
      <c r="Q167">
        <f>RTD("nest.scriprtd",,"bse_cm|835SCL23B","Face Value")</f>
        <v>1000</v>
      </c>
      <c r="R167" t="str">
        <f>RTD("nest.scriprtd",,"bse_cm|835SCL23B","Isin code")</f>
        <v>INE148I07RZ0</v>
      </c>
      <c r="S167" s="9">
        <f>Table1[[#This Row],[Ask Rate]]*Table1[[#This Row],[Ask Qty]]</f>
        <v>11400</v>
      </c>
      <c r="T167">
        <f>VLOOKUP(Table1[[#This Row],[Isin code]],Table2[#All],7,FALSE)</f>
        <v>10.25</v>
      </c>
      <c r="U167" s="17" t="str">
        <f>VLOOKUP(Table1[[#This Row],[Isin code]],Table2[#All],8,FALSE)</f>
        <v>27-Dec-2033</v>
      </c>
      <c r="V167" s="10">
        <f ca="1">Table1[[#This Row],[Maturity]]-TODAY()</f>
        <v>3359</v>
      </c>
      <c r="W167" t="str">
        <f>VLOOKUP(Table1[[#This Row],[Isin code]],Table2[#All],10,FALSE)</f>
        <v>Monthly</v>
      </c>
      <c r="X167">
        <f ca="1">_xlfn.DAYS(Table1[[#This Row],[Maturity]],TODAY())-15</f>
        <v>3344</v>
      </c>
      <c r="Y1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112</v>
      </c>
      <c r="Z167">
        <f>IF(Table1[[#This Row],[Ask Rate]]=0,0,Table1[[#This Row],[Face Value]]-Table1[[#This Row],[Ask Rate]])</f>
        <v>50</v>
      </c>
      <c r="AA167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67">
        <f ca="1">Table1[[#This Row],[Face Value]]*Table1[[#This Row],[Rate]]*Table1[[#This Row],[Time]]</f>
        <v>956.66666666666663</v>
      </c>
      <c r="AC167">
        <f ca="1">Table1[[#This Row],[SI]]+Table1[[#This Row],[Disc/Prem]]</f>
        <v>1006.6666666666666</v>
      </c>
      <c r="AD167" s="3">
        <f ca="1">Table1[[#This Row],[Net Gain]]/Table1[[#This Row],[Ask Rate]]</f>
        <v>1.0596491228070175</v>
      </c>
      <c r="AE167" s="3">
        <f ca="1">IF(Table1[[#This Row],[Ask Qty]]=0,0,Table1[[#This Row],[Gross Yield]]*365/Table1[[#This Row],[Days Left]])</f>
        <v>0.1151449627343142</v>
      </c>
      <c r="AF167" s="9">
        <f ca="1">+Table1[[#This Row],[Net Gain]]*Table1[[#This Row],[Ask Qty]]</f>
        <v>12080</v>
      </c>
      <c r="AG167" t="str">
        <f ca="1">IF(Table1[[#This Row],[YTM]]&gt;0.12,IF(Table1[[#This Row],[Gross Profit]]&gt;10000,"Invest","Review"),"Low YTM")</f>
        <v>Low YTM</v>
      </c>
    </row>
    <row r="168" spans="1:33" x14ac:dyDescent="0.3">
      <c r="A168" t="str">
        <f>RTD("nest.scriprtd",,"bse_cm|967EFSL28D","Symbol")</f>
        <v>967EFSL28D</v>
      </c>
      <c r="B168" t="str">
        <f>RTD("nest.scriprtd",,"bse_cm|967EFSL28D","Trading Symbol")</f>
        <v>967EFSL28D</v>
      </c>
      <c r="C168" t="str">
        <f>RTD("nest.scriprtd",,"bse_cm|967EFSL28D","Exchange")</f>
        <v>BSE</v>
      </c>
      <c r="D168">
        <f>RTD("nest.scriprtd",,"bse_cm|967EFSL28D","Bid Qty")</f>
        <v>9</v>
      </c>
      <c r="E168">
        <f>RTD("nest.scriprtd",,"bse_cm|967EFSL28D","Bid Rate")</f>
        <v>931</v>
      </c>
      <c r="F168">
        <f>RTD("nest.scriprtd",,"bse_cm|967EFSL28D","Ask Rate")</f>
        <v>979</v>
      </c>
      <c r="G168">
        <f>RTD("nest.scriprtd",,"bse_cm|967EFSL28D","Ask Qty")</f>
        <v>10</v>
      </c>
      <c r="H168">
        <f>RTD("nest.scriprtd",,"bse_cm|967EFSL28D","LTP")</f>
        <v>0</v>
      </c>
      <c r="I168" t="str">
        <f>RTD("nest.scriprtd",,"bse_cm|967EFSL28D","LTT")</f>
        <v>00:00:00</v>
      </c>
      <c r="J168">
        <f>RTD("nest.scriprtd",,"bse_cm|967EFSL28D","% Change")</f>
        <v>-100</v>
      </c>
      <c r="K168">
        <f>RTD("nest.scriprtd",,"bse_cm|967EFSL28D","ATP")</f>
        <v>0</v>
      </c>
      <c r="L168">
        <f>RTD("nest.scriprtd",,"bse_cm|967EFSL28D","Volume Traded Today")</f>
        <v>0</v>
      </c>
      <c r="M168">
        <f>RTD("nest.scriprtd",,"bse_cm|967EFSL28D","Open")</f>
        <v>0</v>
      </c>
      <c r="N168">
        <f>RTD("nest.scriprtd",,"bse_cm|967EFSL28D","High")</f>
        <v>949.96</v>
      </c>
      <c r="O168">
        <f>RTD("nest.scriprtd",,"bse_cm|967EFSL28D","Low ")</f>
        <v>948</v>
      </c>
      <c r="P168">
        <f>RTD("nest.scriprtd",,"bse_cm|967EFSL28D","Prev Close")</f>
        <v>948.2</v>
      </c>
      <c r="Q168">
        <f>RTD("nest.scriprtd",,"bse_cm|967EFSL28D","Face Value")</f>
        <v>1000</v>
      </c>
      <c r="R168" t="str">
        <f>RTD("nest.scriprtd",,"bse_cm|967EFSL28D","Isin code")</f>
        <v>INE532F07DK3</v>
      </c>
      <c r="S168" s="9">
        <f>Table1[[#This Row],[Ask Rate]]*Table1[[#This Row],[Ask Qty]]</f>
        <v>9790</v>
      </c>
      <c r="T168">
        <f>VLOOKUP(Table1[[#This Row],[Isin code]],Table2[#All],7,FALSE)</f>
        <v>9.67</v>
      </c>
      <c r="U168" s="17" t="str">
        <f>VLOOKUP(Table1[[#This Row],[Isin code]],Table2[#All],8,FALSE)</f>
        <v>20-Jan-2028</v>
      </c>
      <c r="V168" s="10">
        <f ca="1">Table1[[#This Row],[Maturity]]-TODAY()</f>
        <v>1191</v>
      </c>
      <c r="W168" t="str">
        <f>VLOOKUP(Table1[[#This Row],[Isin code]],Table2[#All],10,FALSE)</f>
        <v>Monthly</v>
      </c>
      <c r="X168">
        <f ca="1">_xlfn.DAYS(Table1[[#This Row],[Maturity]],TODAY())-15</f>
        <v>1176</v>
      </c>
      <c r="Y1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168">
        <f>IF(Table1[[#This Row],[Ask Rate]]=0,0,Table1[[#This Row],[Face Value]]-Table1[[#This Row],[Ask Rate]])</f>
        <v>21</v>
      </c>
      <c r="AA168">
        <f>IF(Table1[[#This Row],[Freq]]="Yearly",Table1[[#This Row],[Coupon_Rate]]/100,IF(Table1[[#This Row],[Freq]]="Monthly",Table1[[#This Row],[Coupon_Rate]]/1200,IF(Table1[[#This Row],[Freq]]="Quarterly",Table1[[#This Row],[Coupon_Rate]]/400,0)))</f>
        <v>8.058333333333334E-3</v>
      </c>
      <c r="AB168">
        <f ca="1">Table1[[#This Row],[Face Value]]*Table1[[#This Row],[Rate]]*Table1[[#This Row],[Time]]</f>
        <v>322.33333333333337</v>
      </c>
      <c r="AC168">
        <f ca="1">Table1[[#This Row],[SI]]+Table1[[#This Row],[Disc/Prem]]</f>
        <v>343.33333333333337</v>
      </c>
      <c r="AD168" s="3">
        <f ca="1">Table1[[#This Row],[Net Gain]]/Table1[[#This Row],[Ask Rate]]</f>
        <v>0.35069799114742939</v>
      </c>
      <c r="AE168" s="3">
        <f ca="1">IF(Table1[[#This Row],[Ask Qty]]=0,0,Table1[[#This Row],[Gross Yield]]*365/Table1[[#This Row],[Days Left]])</f>
        <v>0.10747671433149598</v>
      </c>
      <c r="AF168" s="9">
        <f ca="1">+Table1[[#This Row],[Net Gain]]*Table1[[#This Row],[Ask Qty]]</f>
        <v>3433.3333333333339</v>
      </c>
      <c r="AG168" t="str">
        <f ca="1">IF(Table1[[#This Row],[YTM]]&gt;0.12,IF(Table1[[#This Row],[Gross Profit]]&gt;10000,"Invest","Review"),"Low YTM")</f>
        <v>Low YTM</v>
      </c>
    </row>
    <row r="169" spans="1:33" x14ac:dyDescent="0.3">
      <c r="A169" t="str">
        <f>RTD("nest.scriprtd",,"bse_cm|835MFL26","Symbol")</f>
        <v>835MFL26</v>
      </c>
      <c r="B169" t="str">
        <f>RTD("nest.scriprtd",,"bse_cm|835MFL26","Trading Symbol")</f>
        <v>835MFL26</v>
      </c>
      <c r="C169" t="str">
        <f>RTD("nest.scriprtd",,"bse_cm|835MFL26","Exchange")</f>
        <v>BSE</v>
      </c>
      <c r="D169">
        <f>RTD("nest.scriprtd",,"bse_cm|835MFL26","Bid Qty")</f>
        <v>190</v>
      </c>
      <c r="E169">
        <f>RTD("nest.scriprtd",,"bse_cm|835MFL26","Bid Rate")</f>
        <v>950.2</v>
      </c>
      <c r="F169">
        <f>RTD("nest.scriprtd",,"bse_cm|835MFL26","Ask Rate")</f>
        <v>964.8</v>
      </c>
      <c r="G169">
        <f>RTD("nest.scriprtd",,"bse_cm|835MFL26","Ask Qty")</f>
        <v>159</v>
      </c>
      <c r="H169">
        <f>RTD("nest.scriprtd",,"bse_cm|835MFL26","LTP")</f>
        <v>0</v>
      </c>
      <c r="I169" t="str">
        <f>RTD("nest.scriprtd",,"bse_cm|835MFL26","LTT")</f>
        <v>00:00:00</v>
      </c>
      <c r="J169">
        <f>RTD("nest.scriprtd",,"bse_cm|835MFL26","% Change")</f>
        <v>-100</v>
      </c>
      <c r="K169">
        <f>RTD("nest.scriprtd",,"bse_cm|835MFL26","ATP")</f>
        <v>0</v>
      </c>
      <c r="L169">
        <f>RTD("nest.scriprtd",,"bse_cm|835MFL26","Volume Traded Today")</f>
        <v>0</v>
      </c>
      <c r="M169">
        <f>RTD("nest.scriprtd",,"bse_cm|835MFL26","Open")</f>
        <v>0</v>
      </c>
      <c r="N169">
        <f>RTD("nest.scriprtd",,"bse_cm|835MFL26","High")</f>
        <v>964.8</v>
      </c>
      <c r="O169">
        <f>RTD("nest.scriprtd",,"bse_cm|835MFL26","Low ")</f>
        <v>964.8</v>
      </c>
      <c r="P169">
        <f>RTD("nest.scriprtd",,"bse_cm|835MFL26","Prev Close")</f>
        <v>964.8</v>
      </c>
      <c r="Q169">
        <f>RTD("nest.scriprtd",,"bse_cm|835MFL26","Face Value")</f>
        <v>1000</v>
      </c>
      <c r="R169" t="str">
        <f>RTD("nest.scriprtd",,"bse_cm|835MFL26","Isin code")</f>
        <v>INE549K07BN5</v>
      </c>
      <c r="S169" s="9">
        <f>Table1[[#This Row],[Ask Rate]]*Table1[[#This Row],[Ask Qty]]</f>
        <v>153403.19999999998</v>
      </c>
      <c r="T169">
        <f>VLOOKUP(Table1[[#This Row],[Isin code]],Table2[#All],7,FALSE)</f>
        <v>8.35</v>
      </c>
      <c r="U169" s="17" t="str">
        <f>VLOOKUP(Table1[[#This Row],[Isin code]],Table2[#All],8,FALSE)</f>
        <v>06-Sep-2026</v>
      </c>
      <c r="V169" s="10">
        <f ca="1">Table1[[#This Row],[Maturity]]-TODAY()</f>
        <v>690</v>
      </c>
      <c r="W169" t="str">
        <f>VLOOKUP(Table1[[#This Row],[Isin code]],Table2[#All],10,FALSE)</f>
        <v>Monthly</v>
      </c>
      <c r="X169">
        <f ca="1">_xlfn.DAYS(Table1[[#This Row],[Maturity]],TODAY())-15</f>
        <v>675</v>
      </c>
      <c r="Y1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23</v>
      </c>
      <c r="Z169">
        <f>IF(Table1[[#This Row],[Ask Rate]]=0,0,Table1[[#This Row],[Face Value]]-Table1[[#This Row],[Ask Rate]])</f>
        <v>35.200000000000045</v>
      </c>
      <c r="AA169">
        <f>IF(Table1[[#This Row],[Freq]]="Yearly",Table1[[#This Row],[Coupon_Rate]]/100,IF(Table1[[#This Row],[Freq]]="Monthly",Table1[[#This Row],[Coupon_Rate]]/1200,IF(Table1[[#This Row],[Freq]]="Quarterly",Table1[[#This Row],[Coupon_Rate]]/400,0)))</f>
        <v>6.9583333333333329E-3</v>
      </c>
      <c r="AB169">
        <f ca="1">Table1[[#This Row],[Face Value]]*Table1[[#This Row],[Rate]]*Table1[[#This Row],[Time]]</f>
        <v>160.04166666666666</v>
      </c>
      <c r="AC169">
        <f ca="1">Table1[[#This Row],[SI]]+Table1[[#This Row],[Disc/Prem]]</f>
        <v>195.2416666666667</v>
      </c>
      <c r="AD169" s="3">
        <f ca="1">Table1[[#This Row],[Net Gain]]/Table1[[#This Row],[Ask Rate]]</f>
        <v>0.20236491155334443</v>
      </c>
      <c r="AE169" s="3">
        <f ca="1">IF(Table1[[#This Row],[Ask Qty]]=0,0,Table1[[#This Row],[Gross Yield]]*365/Table1[[#This Row],[Days Left]])</f>
        <v>0.10704810538691407</v>
      </c>
      <c r="AF169" s="9">
        <f ca="1">+Table1[[#This Row],[Net Gain]]*Table1[[#This Row],[Ask Qty]]</f>
        <v>31043.425000000007</v>
      </c>
      <c r="AG169" t="str">
        <f ca="1">IF(Table1[[#This Row],[YTM]]&gt;0.12,IF(Table1[[#This Row],[Gross Profit]]&gt;10000,"Invest","Review"),"Low YTM")</f>
        <v>Low YTM</v>
      </c>
    </row>
    <row r="170" spans="1:33" x14ac:dyDescent="0.3">
      <c r="A170" t="str">
        <f>RTD("nest.scriprtd",,"nse_cm|1065NFL27-NC","Symbol")</f>
        <v>1065NFL27</v>
      </c>
      <c r="B170" t="str">
        <f>RTD("nest.scriprtd",,"nse_cm|1065NFL27-NC","Trading Symbol")</f>
        <v>1065NFL27-NC</v>
      </c>
      <c r="C170" t="str">
        <f>RTD("nest.scriprtd",,"nse_cm|1065NFL27-NC","Exchange")</f>
        <v>NSE</v>
      </c>
      <c r="D170">
        <f>RTD("nest.scriprtd",,"nse_cm|1065NFL27-NC","Bid Qty")</f>
        <v>4</v>
      </c>
      <c r="E170">
        <f>RTD("nest.scriprtd",,"nse_cm|1065NFL27-NC","Bid Rate")</f>
        <v>998.01</v>
      </c>
      <c r="F170">
        <f>RTD("nest.scriprtd",,"nse_cm|1065NFL27-NC","Ask Rate")</f>
        <v>1000</v>
      </c>
      <c r="G170">
        <f>RTD("nest.scriprtd",,"nse_cm|1065NFL27-NC","Ask Qty")</f>
        <v>217</v>
      </c>
      <c r="H170">
        <f>RTD("nest.scriprtd",,"nse_cm|1065NFL27-NC","LTP")</f>
        <v>1000</v>
      </c>
      <c r="I170" t="str">
        <f>RTD("nest.scriprtd",,"nse_cm|1065NFL27-NC","LTT")</f>
        <v>11:28:17</v>
      </c>
      <c r="J170">
        <f>RTD("nest.scriprtd",,"nse_cm|1065NFL27-NC","% Change")</f>
        <v>-0.2</v>
      </c>
      <c r="K170">
        <f>RTD("nest.scriprtd",,"nse_cm|1065NFL27-NC","ATP")</f>
        <v>1000</v>
      </c>
      <c r="L170">
        <f>RTD("nest.scriprtd",,"nse_cm|1065NFL27-NC","Volume Traded Today")</f>
        <v>232</v>
      </c>
      <c r="M170">
        <f>RTD("nest.scriprtd",,"nse_cm|1065NFL27-NC","Open")</f>
        <v>1000</v>
      </c>
      <c r="N170">
        <f>RTD("nest.scriprtd",,"nse_cm|1065NFL27-NC","High")</f>
        <v>1000</v>
      </c>
      <c r="O170">
        <f>RTD("nest.scriprtd",,"nse_cm|1065NFL27-NC","Low ")</f>
        <v>1000</v>
      </c>
      <c r="P170">
        <f>RTD("nest.scriprtd",,"nse_cm|1065NFL27-NC","Prev Close")</f>
        <v>1002</v>
      </c>
      <c r="Q170">
        <f>RTD("nest.scriprtd",,"nse_cm|1065NFL27-NC","Face Value")</f>
        <v>1000</v>
      </c>
      <c r="R170" t="str">
        <f>RTD("nest.scriprtd",,"nse_cm|1065NFL27-NC","Isin code")</f>
        <v>INE342T07460</v>
      </c>
      <c r="S170" s="9">
        <f>Table1[[#This Row],[Ask Rate]]*Table1[[#This Row],[Ask Qty]]</f>
        <v>217000</v>
      </c>
      <c r="T170">
        <f>VLOOKUP(Table1[[#This Row],[Isin code]],Table2[#All],7,FALSE)</f>
        <v>10.65</v>
      </c>
      <c r="U170" s="17" t="str">
        <f>VLOOKUP(Table1[[#This Row],[Isin code]],Table2[#All],8,FALSE)</f>
        <v>13-Mar-2027</v>
      </c>
      <c r="V170" s="10">
        <f ca="1">Table1[[#This Row],[Maturity]]-TODAY()</f>
        <v>878</v>
      </c>
      <c r="W170" t="str">
        <f>VLOOKUP(Table1[[#This Row],[Isin code]],Table2[#All],10,FALSE)</f>
        <v>Monthly</v>
      </c>
      <c r="X170">
        <f ca="1">_xlfn.DAYS(Table1[[#This Row],[Maturity]],TODAY())-15</f>
        <v>863</v>
      </c>
      <c r="Y1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29</v>
      </c>
      <c r="Z170">
        <f>IF(Table1[[#This Row],[Ask Rate]]=0,0,Table1[[#This Row],[Face Value]]-Table1[[#This Row],[Ask Rate]])</f>
        <v>0</v>
      </c>
      <c r="AA170">
        <f>IF(Table1[[#This Row],[Freq]]="Yearly",Table1[[#This Row],[Coupon_Rate]]/100,IF(Table1[[#This Row],[Freq]]="Monthly",Table1[[#This Row],[Coupon_Rate]]/1200,IF(Table1[[#This Row],[Freq]]="Quarterly",Table1[[#This Row],[Coupon_Rate]]/400,0)))</f>
        <v>8.8750000000000009E-3</v>
      </c>
      <c r="AB170">
        <f ca="1">Table1[[#This Row],[Face Value]]*Table1[[#This Row],[Rate]]*Table1[[#This Row],[Time]]</f>
        <v>257.37500000000006</v>
      </c>
      <c r="AC170">
        <f ca="1">Table1[[#This Row],[SI]]+Table1[[#This Row],[Disc/Prem]]</f>
        <v>257.37500000000006</v>
      </c>
      <c r="AD170" s="3">
        <f ca="1">Table1[[#This Row],[Net Gain]]/Table1[[#This Row],[Ask Rate]]</f>
        <v>0.25737500000000008</v>
      </c>
      <c r="AE170" s="3">
        <f ca="1">IF(Table1[[#This Row],[Ask Qty]]=0,0,Table1[[#This Row],[Gross Yield]]*365/Table1[[#This Row],[Days Left]])</f>
        <v>0.10699530182232349</v>
      </c>
      <c r="AF170" s="9">
        <f ca="1">+Table1[[#This Row],[Net Gain]]*Table1[[#This Row],[Ask Qty]]</f>
        <v>55850.375000000015</v>
      </c>
      <c r="AG170" t="str">
        <f ca="1">IF(Table1[[#This Row],[YTM]]&gt;0.12,IF(Table1[[#This Row],[Gross Profit]]&gt;10000,"Invest","Review"),"Low YTM")</f>
        <v>Low YTM</v>
      </c>
    </row>
    <row r="171" spans="1:33" x14ac:dyDescent="0.3">
      <c r="A171" t="str">
        <f>RTD("nest.scriprtd",,"nse_cm|1025SCL34A-ZT","Symbol")</f>
        <v>1025SCL34A</v>
      </c>
      <c r="B171" t="str">
        <f>RTD("nest.scriprtd",,"nse_cm|1025SCL34A-ZT","Trading Symbol")</f>
        <v>1025SCL34A-ZT</v>
      </c>
      <c r="C171" t="str">
        <f>RTD("nest.scriprtd",,"nse_cm|1025SCL34A-ZT","Exchange")</f>
        <v>NSE</v>
      </c>
      <c r="D171">
        <f>RTD("nest.scriprtd",,"nse_cm|1025SCL34A-ZT","Bid Qty")</f>
        <v>16</v>
      </c>
      <c r="E171">
        <f>RTD("nest.scriprtd",,"nse_cm|1025SCL34A-ZT","Bid Rate")</f>
        <v>900.3</v>
      </c>
      <c r="F171">
        <f>RTD("nest.scriprtd",,"nse_cm|1025SCL34A-ZT","Ask Rate")</f>
        <v>985</v>
      </c>
      <c r="G171">
        <f>RTD("nest.scriprtd",,"nse_cm|1025SCL34A-ZT","Ask Qty")</f>
        <v>296</v>
      </c>
      <c r="H171">
        <f>RTD("nest.scriprtd",,"nse_cm|1025SCL34A-ZT","LTP")</f>
        <v>999</v>
      </c>
      <c r="I171" t="str">
        <f>RTD("nest.scriprtd",,"nse_cm|1025SCL34A-ZT","LTT")</f>
        <v/>
      </c>
      <c r="J171">
        <f>RTD("nest.scriprtd",,"nse_cm|1025SCL34A-ZT","% Change")</f>
        <v>0</v>
      </c>
      <c r="K171">
        <f>RTD("nest.scriprtd",,"nse_cm|1025SCL34A-ZT","ATP")</f>
        <v>0</v>
      </c>
      <c r="L171">
        <f>RTD("nest.scriprtd",,"nse_cm|1025SCL34A-ZT","Volume Traded Today")</f>
        <v>0</v>
      </c>
      <c r="M171">
        <f>RTD("nest.scriprtd",,"nse_cm|1025SCL34A-ZT","Open")</f>
        <v>0</v>
      </c>
      <c r="N171">
        <f>RTD("nest.scriprtd",,"nse_cm|1025SCL34A-ZT","High")</f>
        <v>999</v>
      </c>
      <c r="O171">
        <f>RTD("nest.scriprtd",,"nse_cm|1025SCL34A-ZT","Low ")</f>
        <v>999</v>
      </c>
      <c r="P171">
        <f>RTD("nest.scriprtd",,"nse_cm|1025SCL34A-ZT","Prev Close")</f>
        <v>999</v>
      </c>
      <c r="Q171">
        <f>RTD("nest.scriprtd",,"nse_cm|1025SCL34A-ZT","Face Value")</f>
        <v>1000</v>
      </c>
      <c r="R171" t="str">
        <f>RTD("nest.scriprtd",,"nse_cm|1025SCL34A-ZT","Isin code")</f>
        <v>INE148I07TN2</v>
      </c>
      <c r="S171" s="9">
        <f>Table1[[#This Row],[Ask Rate]]*Table1[[#This Row],[Ask Qty]]</f>
        <v>291560</v>
      </c>
      <c r="T171">
        <f>VLOOKUP(Table1[[#This Row],[Isin code]],Table2[#All],7,FALSE)</f>
        <v>10.25</v>
      </c>
      <c r="U171" s="17" t="str">
        <f>VLOOKUP(Table1[[#This Row],[Isin code]],Table2[#All],8,FALSE)</f>
        <v>31-May-2034</v>
      </c>
      <c r="V171" s="10">
        <f ca="1">Table1[[#This Row],[Maturity]]-TODAY()</f>
        <v>3514</v>
      </c>
      <c r="W171" t="str">
        <f>VLOOKUP(Table1[[#This Row],[Isin code]],Table2[#All],10,FALSE)</f>
        <v>Monthly</v>
      </c>
      <c r="X171">
        <f ca="1">_xlfn.DAYS(Table1[[#This Row],[Maturity]],TODAY())-15</f>
        <v>3499</v>
      </c>
      <c r="Y1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117</v>
      </c>
      <c r="Z171">
        <f>IF(Table1[[#This Row],[Ask Rate]]=0,0,Table1[[#This Row],[Face Value]]-Table1[[#This Row],[Ask Rate]])</f>
        <v>15</v>
      </c>
      <c r="AA171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71">
        <f ca="1">Table1[[#This Row],[Face Value]]*Table1[[#This Row],[Rate]]*Table1[[#This Row],[Time]]</f>
        <v>999.37499999999989</v>
      </c>
      <c r="AC171">
        <f ca="1">Table1[[#This Row],[SI]]+Table1[[#This Row],[Disc/Prem]]</f>
        <v>1014.3749999999999</v>
      </c>
      <c r="AD171" s="3">
        <f ca="1">Table1[[#This Row],[Net Gain]]/Table1[[#This Row],[Ask Rate]]</f>
        <v>1.0298223350253806</v>
      </c>
      <c r="AE171" s="3">
        <f ca="1">IF(Table1[[#This Row],[Ask Qty]]=0,0,Table1[[#This Row],[Gross Yield]]*365/Table1[[#This Row],[Days Left]])</f>
        <v>0.10696788625050196</v>
      </c>
      <c r="AF171" s="9">
        <f ca="1">+Table1[[#This Row],[Net Gain]]*Table1[[#This Row],[Ask Qty]]</f>
        <v>300254.99999999994</v>
      </c>
      <c r="AG171" t="str">
        <f ca="1">IF(Table1[[#This Row],[YTM]]&gt;0.12,IF(Table1[[#This Row],[Gross Profit]]&gt;10000,"Invest","Review"),"Low YTM")</f>
        <v>Low YTM</v>
      </c>
    </row>
    <row r="172" spans="1:33" x14ac:dyDescent="0.3">
      <c r="A172" t="str">
        <f>RTD("nest.scriprtd",,"bse_cm|967EFSL28A","Symbol")</f>
        <v>967EFSL28A</v>
      </c>
      <c r="B172" t="str">
        <f>RTD("nest.scriprtd",,"bse_cm|967EFSL28A","Trading Symbol")</f>
        <v>967EFSL28A</v>
      </c>
      <c r="C172" t="str">
        <f>RTD("nest.scriprtd",,"bse_cm|967EFSL28A","Exchange")</f>
        <v>BSE</v>
      </c>
      <c r="D172">
        <f>RTD("nest.scriprtd",,"bse_cm|967EFSL28A","Bid Qty")</f>
        <v>50</v>
      </c>
      <c r="E172">
        <f>RTD("nest.scriprtd",,"bse_cm|967EFSL28A","Bid Rate")</f>
        <v>935</v>
      </c>
      <c r="F172">
        <f>RTD("nest.scriprtd",,"bse_cm|967EFSL28A","Ask Rate")</f>
        <v>961</v>
      </c>
      <c r="G172">
        <f>RTD("nest.scriprtd",,"bse_cm|967EFSL28A","Ask Qty")</f>
        <v>259</v>
      </c>
      <c r="H172">
        <f>RTD("nest.scriprtd",,"bse_cm|967EFSL28A","LTP")</f>
        <v>931.1</v>
      </c>
      <c r="I172" t="str">
        <f>RTD("nest.scriprtd",,"bse_cm|967EFSL28A","LTT")</f>
        <v>10:23:34</v>
      </c>
      <c r="J172">
        <f>RTD("nest.scriprtd",,"bse_cm|967EFSL28A","% Change")</f>
        <v>-3.11</v>
      </c>
      <c r="K172">
        <f>RTD("nest.scriprtd",,"bse_cm|967EFSL28A","ATP")</f>
        <v>998.99</v>
      </c>
      <c r="L172">
        <f>RTD("nest.scriprtd",,"bse_cm|967EFSL28A","Volume Traded Today")</f>
        <v>2500</v>
      </c>
      <c r="M172">
        <f>RTD("nest.scriprtd",,"bse_cm|967EFSL28A","Open")</f>
        <v>1000</v>
      </c>
      <c r="N172">
        <f>RTD("nest.scriprtd",,"bse_cm|967EFSL28A","High")</f>
        <v>1000</v>
      </c>
      <c r="O172">
        <f>RTD("nest.scriprtd",,"bse_cm|967EFSL28A","Low ")</f>
        <v>931.1</v>
      </c>
      <c r="P172">
        <f>RTD("nest.scriprtd",,"bse_cm|967EFSL28A","Prev Close")</f>
        <v>961</v>
      </c>
      <c r="Q172">
        <f>RTD("nest.scriprtd",,"bse_cm|967EFSL28A","Face Value")</f>
        <v>1000</v>
      </c>
      <c r="R172" t="str">
        <f>RTD("nest.scriprtd",,"bse_cm|967EFSL28A","Isin code")</f>
        <v>INE532F07EO3</v>
      </c>
      <c r="S172" s="9">
        <f>Table1[[#This Row],[Ask Rate]]*Table1[[#This Row],[Ask Qty]]</f>
        <v>248899</v>
      </c>
      <c r="T172">
        <f>VLOOKUP(Table1[[#This Row],[Isin code]],Table2[#All],7,FALSE)</f>
        <v>9.67</v>
      </c>
      <c r="U172" s="17" t="str">
        <f>VLOOKUP(Table1[[#This Row],[Isin code]],Table2[#All],8,FALSE)</f>
        <v>26-Oct-2028</v>
      </c>
      <c r="V172" s="10">
        <f ca="1">Table1[[#This Row],[Maturity]]-TODAY()</f>
        <v>1471</v>
      </c>
      <c r="W172" t="str">
        <f>VLOOKUP(Table1[[#This Row],[Isin code]],Table2[#All],10,FALSE)</f>
        <v>Monthly</v>
      </c>
      <c r="X172">
        <f ca="1">_xlfn.DAYS(Table1[[#This Row],[Maturity]],TODAY())-15</f>
        <v>1456</v>
      </c>
      <c r="Y1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49</v>
      </c>
      <c r="Z172">
        <f>IF(Table1[[#This Row],[Ask Rate]]=0,0,Table1[[#This Row],[Face Value]]-Table1[[#This Row],[Ask Rate]])</f>
        <v>39</v>
      </c>
      <c r="AA172">
        <f>IF(Table1[[#This Row],[Freq]]="Yearly",Table1[[#This Row],[Coupon_Rate]]/100,IF(Table1[[#This Row],[Freq]]="Monthly",Table1[[#This Row],[Coupon_Rate]]/1200,IF(Table1[[#This Row],[Freq]]="Quarterly",Table1[[#This Row],[Coupon_Rate]]/400,0)))</f>
        <v>8.058333333333334E-3</v>
      </c>
      <c r="AB172">
        <f ca="1">Table1[[#This Row],[Face Value]]*Table1[[#This Row],[Rate]]*Table1[[#This Row],[Time]]</f>
        <v>394.85833333333335</v>
      </c>
      <c r="AC172">
        <f ca="1">Table1[[#This Row],[SI]]+Table1[[#This Row],[Disc/Prem]]</f>
        <v>433.85833333333335</v>
      </c>
      <c r="AD172" s="3">
        <f ca="1">Table1[[#This Row],[Net Gain]]/Table1[[#This Row],[Ask Rate]]</f>
        <v>0.45146548733957687</v>
      </c>
      <c r="AE172" s="3">
        <f ca="1">IF(Table1[[#This Row],[Ask Qty]]=0,0,Table1[[#This Row],[Gross Yield]]*365/Table1[[#This Row],[Days Left]])</f>
        <v>0.11202236769472845</v>
      </c>
      <c r="AF172" s="9">
        <f ca="1">+Table1[[#This Row],[Net Gain]]*Table1[[#This Row],[Ask Qty]]</f>
        <v>112369.30833333333</v>
      </c>
      <c r="AG172" t="str">
        <f ca="1">IF(Table1[[#This Row],[YTM]]&gt;0.12,IF(Table1[[#This Row],[Gross Profit]]&gt;10000,"Invest","Review"),"Low YTM")</f>
        <v>Low YTM</v>
      </c>
    </row>
    <row r="173" spans="1:33" x14ac:dyDescent="0.3">
      <c r="A173" t="str">
        <f>RTD("nest.scriprtd",,"bse_cm|1050CCI25","Symbol")</f>
        <v>1050CCI25</v>
      </c>
      <c r="B173" t="str">
        <f>RTD("nest.scriprtd",,"bse_cm|1050CCI25","Trading Symbol")</f>
        <v>1050CCI25</v>
      </c>
      <c r="C173" t="str">
        <f>RTD("nest.scriprtd",,"bse_cm|1050CCI25","Exchange")</f>
        <v>BSE</v>
      </c>
      <c r="D173">
        <f>RTD("nest.scriprtd",,"bse_cm|1050CCI25","Bid Qty")</f>
        <v>40</v>
      </c>
      <c r="E173">
        <f>RTD("nest.scriprtd",,"bse_cm|1050CCI25","Bid Rate")</f>
        <v>921.7</v>
      </c>
      <c r="F173">
        <f>RTD("nest.scriprtd",,"bse_cm|1050CCI25","Ask Rate")</f>
        <v>1000</v>
      </c>
      <c r="G173">
        <f>RTD("nest.scriprtd",,"bse_cm|1050CCI25","Ask Qty")</f>
        <v>100</v>
      </c>
      <c r="H173">
        <f>RTD("nest.scriprtd",,"bse_cm|1050CCI25","LTP")</f>
        <v>0</v>
      </c>
      <c r="I173" t="str">
        <f>RTD("nest.scriprtd",,"bse_cm|1050CCI25","LTT")</f>
        <v>00:00:00</v>
      </c>
      <c r="J173">
        <f>RTD("nest.scriprtd",,"bse_cm|1050CCI25","% Change")</f>
        <v>-100</v>
      </c>
      <c r="K173">
        <f>RTD("nest.scriprtd",,"bse_cm|1050CCI25","ATP")</f>
        <v>0</v>
      </c>
      <c r="L173">
        <f>RTD("nest.scriprtd",,"bse_cm|1050CCI25","Volume Traded Today")</f>
        <v>0</v>
      </c>
      <c r="M173">
        <f>RTD("nest.scriprtd",,"bse_cm|1050CCI25","Open")</f>
        <v>0</v>
      </c>
      <c r="N173">
        <f>RTD("nest.scriprtd",,"bse_cm|1050CCI25","High")</f>
        <v>975</v>
      </c>
      <c r="O173">
        <f>RTD("nest.scriprtd",,"bse_cm|1050CCI25","Low ")</f>
        <v>975</v>
      </c>
      <c r="P173">
        <f>RTD("nest.scriprtd",,"bse_cm|1050CCI25","Prev Close")</f>
        <v>975</v>
      </c>
      <c r="Q173">
        <f>RTD("nest.scriprtd",,"bse_cm|1050CCI25","Face Value")</f>
        <v>1000</v>
      </c>
      <c r="R173" t="str">
        <f>RTD("nest.scriprtd",,"bse_cm|1050CCI25","Isin code")</f>
        <v>INE051307AW4</v>
      </c>
      <c r="S173" s="9">
        <f>Table1[[#This Row],[Ask Rate]]*Table1[[#This Row],[Ask Qty]]</f>
        <v>100000</v>
      </c>
      <c r="T173">
        <f>VLOOKUP(Table1[[#This Row],[Isin code]],Table2[#All],7,FALSE)</f>
        <v>10.5</v>
      </c>
      <c r="U173" s="17" t="str">
        <f>VLOOKUP(Table1[[#This Row],[Isin code]],Table2[#All],8,FALSE)</f>
        <v>10-Sep-2025</v>
      </c>
      <c r="V173" s="10">
        <f ca="1">Table1[[#This Row],[Maturity]]-TODAY()</f>
        <v>329</v>
      </c>
      <c r="W173" t="str">
        <f>VLOOKUP(Table1[[#This Row],[Isin code]],Table2[#All],10,FALSE)</f>
        <v>Monthly</v>
      </c>
      <c r="X173">
        <f ca="1">_xlfn.DAYS(Table1[[#This Row],[Maturity]],TODAY())-15</f>
        <v>314</v>
      </c>
      <c r="Y1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173">
        <f>IF(Table1[[#This Row],[Ask Rate]]=0,0,Table1[[#This Row],[Face Value]]-Table1[[#This Row],[Ask Rate]])</f>
        <v>0</v>
      </c>
      <c r="AA173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173">
        <f ca="1">Table1[[#This Row],[Face Value]]*Table1[[#This Row],[Rate]]*Table1[[#This Row],[Time]]</f>
        <v>96.25</v>
      </c>
      <c r="AC173">
        <f ca="1">Table1[[#This Row],[SI]]+Table1[[#This Row],[Disc/Prem]]</f>
        <v>96.25</v>
      </c>
      <c r="AD173" s="3">
        <f ca="1">Table1[[#This Row],[Net Gain]]/Table1[[#This Row],[Ask Rate]]</f>
        <v>9.6250000000000002E-2</v>
      </c>
      <c r="AE173" s="3">
        <f ca="1">IF(Table1[[#This Row],[Ask Qty]]=0,0,Table1[[#This Row],[Gross Yield]]*365/Table1[[#This Row],[Days Left]])</f>
        <v>0.10678191489361702</v>
      </c>
      <c r="AF173" s="9">
        <f ca="1">+Table1[[#This Row],[Net Gain]]*Table1[[#This Row],[Ask Qty]]</f>
        <v>9625</v>
      </c>
      <c r="AG173" t="str">
        <f ca="1">IF(Table1[[#This Row],[YTM]]&gt;0.12,IF(Table1[[#This Row],[Gross Profit]]&gt;10000,"Invest","Review"),"Low YTM")</f>
        <v>Low YTM</v>
      </c>
    </row>
    <row r="174" spans="1:33" x14ac:dyDescent="0.3">
      <c r="A174" t="str">
        <f>RTD("nest.scriprtd",,"bse_cm|732IRFC25","Symbol")</f>
        <v>732IRFC25</v>
      </c>
      <c r="B174" t="str">
        <f>RTD("nest.scriprtd",,"bse_cm|732IRFC25","Trading Symbol")</f>
        <v>732IRFC25</v>
      </c>
      <c r="C174" t="str">
        <f>RTD("nest.scriprtd",,"bse_cm|732IRFC25","Exchange")</f>
        <v>BSE</v>
      </c>
      <c r="D174">
        <f>RTD("nest.scriprtd",,"bse_cm|732IRFC25","Bid Qty")</f>
        <v>25</v>
      </c>
      <c r="E174">
        <f>RTD("nest.scriprtd",,"bse_cm|732IRFC25","Bid Rate")</f>
        <v>1008</v>
      </c>
      <c r="F174">
        <f>RTD("nest.scriprtd",,"bse_cm|732IRFC25","Ask Rate")</f>
        <v>1018.1</v>
      </c>
      <c r="G174">
        <f>RTD("nest.scriprtd",,"bse_cm|732IRFC25","Ask Qty")</f>
        <v>40</v>
      </c>
      <c r="H174">
        <f>RTD("nest.scriprtd",,"bse_cm|732IRFC25","LTP")</f>
        <v>1018.35</v>
      </c>
      <c r="I174" t="str">
        <f>RTD("nest.scriprtd",,"bse_cm|732IRFC25","LTT")</f>
        <v>11:08:30</v>
      </c>
      <c r="J174">
        <f>RTD("nest.scriprtd",,"bse_cm|732IRFC25","% Change")</f>
        <v>0.33</v>
      </c>
      <c r="K174">
        <f>RTD("nest.scriprtd",,"bse_cm|732IRFC25","ATP")</f>
        <v>1018.35</v>
      </c>
      <c r="L174">
        <f>RTD("nest.scriprtd",,"bse_cm|732IRFC25","Volume Traded Today")</f>
        <v>5</v>
      </c>
      <c r="M174">
        <f>RTD("nest.scriprtd",,"bse_cm|732IRFC25","Open")</f>
        <v>1018.35</v>
      </c>
      <c r="N174">
        <f>RTD("nest.scriprtd",,"bse_cm|732IRFC25","High")</f>
        <v>1018.35</v>
      </c>
      <c r="O174">
        <f>RTD("nest.scriprtd",,"bse_cm|732IRFC25","Low ")</f>
        <v>1018.35</v>
      </c>
      <c r="P174">
        <f>RTD("nest.scriprtd",,"bse_cm|732IRFC25","Prev Close")</f>
        <v>1015</v>
      </c>
      <c r="Q174">
        <f>RTD("nest.scriprtd",,"bse_cm|732IRFC25","Face Value")</f>
        <v>1000</v>
      </c>
      <c r="R174" t="str">
        <f>RTD("nest.scriprtd",,"bse_cm|732IRFC25","Isin code")</f>
        <v>INE053F07827</v>
      </c>
      <c r="S174" s="9">
        <f>Table1[[#This Row],[Ask Rate]]*Table1[[#This Row],[Ask Qty]]</f>
        <v>40724</v>
      </c>
      <c r="T174">
        <f>VLOOKUP(Table1[[#This Row],[Isin code]],Table2[#All],7,FALSE)</f>
        <v>7.32</v>
      </c>
      <c r="U174" s="17" t="str">
        <f>VLOOKUP(Table1[[#This Row],[Isin code]],Table2[#All],8,FALSE)</f>
        <v>21-Dec-2025</v>
      </c>
      <c r="V174" s="10">
        <f ca="1">Table1[[#This Row],[Maturity]]-TODAY()</f>
        <v>431</v>
      </c>
      <c r="W174" t="str">
        <f>VLOOKUP(Table1[[#This Row],[Isin code]],Table2[#All],10,FALSE)</f>
        <v>Yearly</v>
      </c>
      <c r="X174">
        <f ca="1">_xlfn.DAYS(Table1[[#This Row],[Maturity]],TODAY())-15</f>
        <v>416</v>
      </c>
      <c r="Y1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74">
        <f>IF(Table1[[#This Row],[Ask Rate]]=0,0,Table1[[#This Row],[Face Value]]-Table1[[#This Row],[Ask Rate]])</f>
        <v>-18.100000000000023</v>
      </c>
      <c r="AA174">
        <f>IF(Table1[[#This Row],[Freq]]="Yearly",Table1[[#This Row],[Coupon_Rate]]/100,IF(Table1[[#This Row],[Freq]]="Monthly",Table1[[#This Row],[Coupon_Rate]]/1200,IF(Table1[[#This Row],[Freq]]="Quarterly",Table1[[#This Row],[Coupon_Rate]]/400,0)))</f>
        <v>7.3200000000000001E-2</v>
      </c>
      <c r="AB174">
        <f ca="1">Table1[[#This Row],[Face Value]]*Table1[[#This Row],[Rate]]*Table1[[#This Row],[Time]]</f>
        <v>146.4</v>
      </c>
      <c r="AC174">
        <f ca="1">Table1[[#This Row],[SI]]+Table1[[#This Row],[Disc/Prem]]</f>
        <v>128.29999999999998</v>
      </c>
      <c r="AD174" s="3">
        <f ca="1">Table1[[#This Row],[Net Gain]]/Table1[[#This Row],[Ask Rate]]</f>
        <v>0.12601905510264216</v>
      </c>
      <c r="AE174" s="3">
        <f ca="1">IF(Table1[[#This Row],[Ask Qty]]=0,0,Table1[[#This Row],[Gross Yield]]*365/Table1[[#This Row],[Days Left]])</f>
        <v>0.1067214735788037</v>
      </c>
      <c r="AF174" s="9">
        <f ca="1">+Table1[[#This Row],[Net Gain]]*Table1[[#This Row],[Ask Qty]]</f>
        <v>5131.9999999999991</v>
      </c>
      <c r="AG174" t="str">
        <f ca="1">IF(Table1[[#This Row],[YTM]]&gt;0.12,IF(Table1[[#This Row],[Gross Profit]]&gt;10000,"Invest","Review"),"Low YTM")</f>
        <v>Low YTM</v>
      </c>
    </row>
    <row r="175" spans="1:33" x14ac:dyDescent="0.3">
      <c r="A175" t="str">
        <f>RTD("nest.scriprtd",,"nse_cm|9IIFL28-Y0","Symbol")</f>
        <v>9IIFL28</v>
      </c>
      <c r="B175" t="str">
        <f>RTD("nest.scriprtd",,"nse_cm|9IIFL28-Y0","Trading Symbol")</f>
        <v>9IIFL28-Y0</v>
      </c>
      <c r="C175" t="str">
        <f>RTD("nest.scriprtd",,"nse_cm|9IIFL28-Y0","Exchange")</f>
        <v>NSE</v>
      </c>
      <c r="D175">
        <f>RTD("nest.scriprtd",,"nse_cm|9IIFL28-Y0","Bid Qty")</f>
        <v>100</v>
      </c>
      <c r="E175">
        <f>RTD("nest.scriprtd",,"nse_cm|9IIFL28-Y0","Bid Rate")</f>
        <v>912.25</v>
      </c>
      <c r="F175">
        <f>RTD("nest.scriprtd",,"nse_cm|9IIFL28-Y0","Ask Rate")</f>
        <v>975</v>
      </c>
      <c r="G175">
        <f>RTD("nest.scriprtd",,"nse_cm|9IIFL28-Y0","Ask Qty")</f>
        <v>50</v>
      </c>
      <c r="H175">
        <f>RTD("nest.scriprtd",,"nse_cm|9IIFL28-Y0","LTP")</f>
        <v>930</v>
      </c>
      <c r="I175" t="str">
        <f>RTD("nest.scriprtd",,"nse_cm|9IIFL28-Y0","LTT")</f>
        <v/>
      </c>
      <c r="J175">
        <f>RTD("nest.scriprtd",,"nse_cm|9IIFL28-Y0","% Change")</f>
        <v>0</v>
      </c>
      <c r="K175">
        <f>RTD("nest.scriprtd",,"nse_cm|9IIFL28-Y0","ATP")</f>
        <v>0</v>
      </c>
      <c r="L175">
        <f>RTD("nest.scriprtd",,"nse_cm|9IIFL28-Y0","Volume Traded Today")</f>
        <v>0</v>
      </c>
      <c r="M175">
        <f>RTD("nest.scriprtd",,"nse_cm|9IIFL28-Y0","Open")</f>
        <v>0</v>
      </c>
      <c r="N175">
        <f>RTD("nest.scriprtd",,"nse_cm|9IIFL28-Y0","High")</f>
        <v>930</v>
      </c>
      <c r="O175">
        <f>RTD("nest.scriprtd",,"nse_cm|9IIFL28-Y0","Low ")</f>
        <v>930</v>
      </c>
      <c r="P175">
        <f>RTD("nest.scriprtd",,"nse_cm|9IIFL28-Y0","Prev Close")</f>
        <v>930</v>
      </c>
      <c r="Q175">
        <f>RTD("nest.scriprtd",,"nse_cm|9IIFL28-Y0","Face Value")</f>
        <v>1000</v>
      </c>
      <c r="R175" t="str">
        <f>RTD("nest.scriprtd",,"nse_cm|9IIFL28-Y0","Isin code")</f>
        <v>INE530B07377</v>
      </c>
      <c r="S175" s="9">
        <f>Table1[[#This Row],[Ask Rate]]*Table1[[#This Row],[Ask Qty]]</f>
        <v>48750</v>
      </c>
      <c r="T175">
        <f>VLOOKUP(Table1[[#This Row],[Isin code]],Table2[#All],7,FALSE)</f>
        <v>9</v>
      </c>
      <c r="U175" s="17" t="str">
        <f>VLOOKUP(Table1[[#This Row],[Isin code]],Table2[#All],8,FALSE)</f>
        <v>28-Jun-2028</v>
      </c>
      <c r="V175" s="10">
        <f ca="1">Table1[[#This Row],[Maturity]]-TODAY()</f>
        <v>1351</v>
      </c>
      <c r="W175" t="str">
        <f>VLOOKUP(Table1[[#This Row],[Isin code]],Table2[#All],10,FALSE)</f>
        <v>Yearly</v>
      </c>
      <c r="X175">
        <f ca="1">_xlfn.DAYS(Table1[[#This Row],[Maturity]],TODAY())-15</f>
        <v>1336</v>
      </c>
      <c r="Y1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75">
        <f>IF(Table1[[#This Row],[Ask Rate]]=0,0,Table1[[#This Row],[Face Value]]-Table1[[#This Row],[Ask Rate]])</f>
        <v>25</v>
      </c>
      <c r="AA175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175">
        <f ca="1">Table1[[#This Row],[Face Value]]*Table1[[#This Row],[Rate]]*Table1[[#This Row],[Time]]</f>
        <v>360</v>
      </c>
      <c r="AC175">
        <f ca="1">Table1[[#This Row],[SI]]+Table1[[#This Row],[Disc/Prem]]</f>
        <v>385</v>
      </c>
      <c r="AD175" s="3">
        <f ca="1">Table1[[#This Row],[Net Gain]]/Table1[[#This Row],[Ask Rate]]</f>
        <v>0.39487179487179486</v>
      </c>
      <c r="AE175" s="3">
        <f ca="1">IF(Table1[[#This Row],[Ask Qty]]=0,0,Table1[[#This Row],[Gross Yield]]*365/Table1[[#This Row],[Days Left]])</f>
        <v>0.10668260927328284</v>
      </c>
      <c r="AF175" s="9">
        <f ca="1">+Table1[[#This Row],[Net Gain]]*Table1[[#This Row],[Ask Qty]]</f>
        <v>19250</v>
      </c>
      <c r="AG175" t="str">
        <f ca="1">IF(Table1[[#This Row],[YTM]]&gt;0.12,IF(Table1[[#This Row],[Gross Profit]]&gt;10000,"Invest","Review"),"Low YTM")</f>
        <v>Low YTM</v>
      </c>
    </row>
    <row r="176" spans="1:33" x14ac:dyDescent="0.3">
      <c r="A176" t="str">
        <f>RTD("nest.scriprtd",,"bse_cm|820IIFL27","Symbol")</f>
        <v>820IIFL27</v>
      </c>
      <c r="B176" t="str">
        <f>RTD("nest.scriprtd",,"bse_cm|820IIFL27","Trading Symbol")</f>
        <v>820IIFL27</v>
      </c>
      <c r="C176" t="str">
        <f>RTD("nest.scriprtd",,"bse_cm|820IIFL27","Exchange")</f>
        <v>BSE</v>
      </c>
      <c r="D176">
        <f>RTD("nest.scriprtd",,"bse_cm|820IIFL27","Bid Qty")</f>
        <v>10</v>
      </c>
      <c r="E176">
        <f>RTD("nest.scriprtd",,"bse_cm|820IIFL27","Bid Rate")</f>
        <v>922</v>
      </c>
      <c r="F176">
        <f>RTD("nest.scriprtd",,"bse_cm|820IIFL27","Ask Rate")</f>
        <v>958</v>
      </c>
      <c r="G176">
        <f>RTD("nest.scriprtd",,"bse_cm|820IIFL27","Ask Qty")</f>
        <v>10</v>
      </c>
      <c r="H176">
        <f>RTD("nest.scriprtd",,"bse_cm|820IIFL27","LTP")</f>
        <v>0</v>
      </c>
      <c r="I176" t="str">
        <f>RTD("nest.scriprtd",,"bse_cm|820IIFL27","LTT")</f>
        <v>00:00:00</v>
      </c>
      <c r="J176">
        <f>RTD("nest.scriprtd",,"bse_cm|820IIFL27","% Change")</f>
        <v>-100</v>
      </c>
      <c r="K176">
        <f>RTD("nest.scriprtd",,"bse_cm|820IIFL27","ATP")</f>
        <v>0</v>
      </c>
      <c r="L176">
        <f>RTD("nest.scriprtd",,"bse_cm|820IIFL27","Volume Traded Today")</f>
        <v>0</v>
      </c>
      <c r="M176">
        <f>RTD("nest.scriprtd",,"bse_cm|820IIFL27","Open")</f>
        <v>0</v>
      </c>
      <c r="N176">
        <f>RTD("nest.scriprtd",,"bse_cm|820IIFL27","High")</f>
        <v>941.8</v>
      </c>
      <c r="O176">
        <f>RTD("nest.scriprtd",,"bse_cm|820IIFL27","Low ")</f>
        <v>941.8</v>
      </c>
      <c r="P176">
        <f>RTD("nest.scriprtd",,"bse_cm|820IIFL27","Prev Close")</f>
        <v>941.8</v>
      </c>
      <c r="Q176">
        <f>RTD("nest.scriprtd",,"bse_cm|820IIFL27","Face Value")</f>
        <v>1000</v>
      </c>
      <c r="R176" t="str">
        <f>RTD("nest.scriprtd",,"bse_cm|820IIFL27","Isin code")</f>
        <v>INE477L07AN9</v>
      </c>
      <c r="S176" s="9">
        <f>Table1[[#This Row],[Ask Rate]]*Table1[[#This Row],[Ask Qty]]</f>
        <v>9580</v>
      </c>
      <c r="T176">
        <f>VLOOKUP(Table1[[#This Row],[Isin code]],Table2[#All],7,FALSE)</f>
        <v>8.1999999999999993</v>
      </c>
      <c r="U176" s="17" t="str">
        <f>VLOOKUP(Table1[[#This Row],[Isin code]],Table2[#All],8,FALSE)</f>
        <v>03-Jan-2027</v>
      </c>
      <c r="V176" s="10">
        <f ca="1">Table1[[#This Row],[Maturity]]-TODAY()</f>
        <v>809</v>
      </c>
      <c r="W176" t="str">
        <f>VLOOKUP(Table1[[#This Row],[Isin code]],Table2[#All],10,FALSE)</f>
        <v>Monthly</v>
      </c>
      <c r="X176">
        <f ca="1">_xlfn.DAYS(Table1[[#This Row],[Maturity]],TODAY())-15</f>
        <v>794</v>
      </c>
      <c r="Y1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176">
        <f>IF(Table1[[#This Row],[Ask Rate]]=0,0,Table1[[#This Row],[Face Value]]-Table1[[#This Row],[Ask Rate]])</f>
        <v>42</v>
      </c>
      <c r="AA176">
        <f>IF(Table1[[#This Row],[Freq]]="Yearly",Table1[[#This Row],[Coupon_Rate]]/100,IF(Table1[[#This Row],[Freq]]="Monthly",Table1[[#This Row],[Coupon_Rate]]/1200,IF(Table1[[#This Row],[Freq]]="Quarterly",Table1[[#This Row],[Coupon_Rate]]/400,0)))</f>
        <v>6.8333333333333328E-3</v>
      </c>
      <c r="AB176">
        <f ca="1">Table1[[#This Row],[Face Value]]*Table1[[#This Row],[Rate]]*Table1[[#This Row],[Time]]</f>
        <v>184.5</v>
      </c>
      <c r="AC176">
        <f ca="1">Table1[[#This Row],[SI]]+Table1[[#This Row],[Disc/Prem]]</f>
        <v>226.5</v>
      </c>
      <c r="AD176" s="3">
        <f ca="1">Table1[[#This Row],[Net Gain]]/Table1[[#This Row],[Ask Rate]]</f>
        <v>0.23643006263048016</v>
      </c>
      <c r="AE176" s="3">
        <f ca="1">IF(Table1[[#This Row],[Ask Qty]]=0,0,Table1[[#This Row],[Gross Yield]]*365/Table1[[#This Row],[Days Left]])</f>
        <v>0.10667116546369007</v>
      </c>
      <c r="AF176" s="9">
        <f ca="1">+Table1[[#This Row],[Net Gain]]*Table1[[#This Row],[Ask Qty]]</f>
        <v>2265</v>
      </c>
      <c r="AG176" t="str">
        <f ca="1">IF(Table1[[#This Row],[YTM]]&gt;0.12,IF(Table1[[#This Row],[Gross Profit]]&gt;10000,"Invest","Review"),"Low YTM")</f>
        <v>Low YTM</v>
      </c>
    </row>
    <row r="177" spans="1:33" x14ac:dyDescent="0.3">
      <c r="A177" t="str">
        <f>RTD("nest.scriprtd",,"bse_cm|11IML27","Symbol")</f>
        <v>11IML27</v>
      </c>
      <c r="B177" t="str">
        <f>RTD("nest.scriprtd",,"bse_cm|11IML27","Trading Symbol")</f>
        <v>11IML27</v>
      </c>
      <c r="C177" t="str">
        <f>RTD("nest.scriprtd",,"bse_cm|11IML27","Exchange")</f>
        <v>BSE</v>
      </c>
      <c r="D177">
        <f>RTD("nest.scriprtd",,"bse_cm|11IML27","Bid Qty")</f>
        <v>1</v>
      </c>
      <c r="E177">
        <f>RTD("nest.scriprtd",,"bse_cm|11IML27","Bid Rate")</f>
        <v>979.3</v>
      </c>
      <c r="F177">
        <f>RTD("nest.scriprtd",,"bse_cm|11IML27","Ask Rate")</f>
        <v>1012</v>
      </c>
      <c r="G177">
        <f>RTD("nest.scriprtd",,"bse_cm|11IML27","Ask Qty")</f>
        <v>1</v>
      </c>
      <c r="H177">
        <f>RTD("nest.scriprtd",,"bse_cm|11IML27","LTP")</f>
        <v>0</v>
      </c>
      <c r="I177" t="str">
        <f>RTD("nest.scriprtd",,"bse_cm|11IML27","LTT")</f>
        <v>00:00:00</v>
      </c>
      <c r="J177">
        <f>RTD("nest.scriprtd",,"bse_cm|11IML27","% Change")</f>
        <v>-100</v>
      </c>
      <c r="K177">
        <f>RTD("nest.scriprtd",,"bse_cm|11IML27","ATP")</f>
        <v>0</v>
      </c>
      <c r="L177">
        <f>RTD("nest.scriprtd",,"bse_cm|11IML27","Volume Traded Today")</f>
        <v>0</v>
      </c>
      <c r="M177">
        <f>RTD("nest.scriprtd",,"bse_cm|11IML27","Open")</f>
        <v>0</v>
      </c>
      <c r="N177">
        <f>RTD("nest.scriprtd",,"bse_cm|11IML27","High")</f>
        <v>980</v>
      </c>
      <c r="O177">
        <f>RTD("nest.scriprtd",,"bse_cm|11IML27","Low ")</f>
        <v>980</v>
      </c>
      <c r="P177">
        <f>RTD("nest.scriprtd",,"bse_cm|11IML27","Prev Close")</f>
        <v>980</v>
      </c>
      <c r="Q177">
        <f>RTD("nest.scriprtd",,"bse_cm|11IML27","Face Value")</f>
        <v>1000</v>
      </c>
      <c r="R177" t="str">
        <f>RTD("nest.scriprtd",,"bse_cm|11IML27","Isin code")</f>
        <v>INE0BUS07569</v>
      </c>
      <c r="S177" s="9">
        <f>Table1[[#This Row],[Ask Rate]]*Table1[[#This Row],[Ask Qty]]</f>
        <v>1012</v>
      </c>
      <c r="T177">
        <f>VLOOKUP(Table1[[#This Row],[Isin code]],Table2[#All],7,FALSE)</f>
        <v>11</v>
      </c>
      <c r="U177" s="17" t="str">
        <f>VLOOKUP(Table1[[#This Row],[Isin code]],Table2[#All],8,FALSE)</f>
        <v>27-Jul-2027</v>
      </c>
      <c r="V177" s="10">
        <f ca="1">Table1[[#This Row],[Maturity]]-TODAY()</f>
        <v>1014</v>
      </c>
      <c r="W177" t="str">
        <f>VLOOKUP(Table1[[#This Row],[Isin code]],Table2[#All],10,FALSE)</f>
        <v>Monthly</v>
      </c>
      <c r="X177">
        <f ca="1">_xlfn.DAYS(Table1[[#This Row],[Maturity]],TODAY())-15</f>
        <v>999</v>
      </c>
      <c r="Y1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34</v>
      </c>
      <c r="Z177">
        <f>IF(Table1[[#This Row],[Ask Rate]]=0,0,Table1[[#This Row],[Face Value]]-Table1[[#This Row],[Ask Rate]])</f>
        <v>-12</v>
      </c>
      <c r="AA177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177">
        <f ca="1">Table1[[#This Row],[Face Value]]*Table1[[#This Row],[Rate]]*Table1[[#This Row],[Time]]</f>
        <v>311.66666666666663</v>
      </c>
      <c r="AC177">
        <f ca="1">Table1[[#This Row],[SI]]+Table1[[#This Row],[Disc/Prem]]</f>
        <v>299.66666666666663</v>
      </c>
      <c r="AD177" s="3">
        <f ca="1">Table1[[#This Row],[Net Gain]]/Table1[[#This Row],[Ask Rate]]</f>
        <v>0.29611330698287214</v>
      </c>
      <c r="AE177" s="3">
        <f ca="1">IF(Table1[[#This Row],[Ask Qty]]=0,0,Table1[[#This Row],[Gross Yield]]*365/Table1[[#This Row],[Days Left]])</f>
        <v>0.1065891095155309</v>
      </c>
      <c r="AF177" s="9">
        <f ca="1">+Table1[[#This Row],[Net Gain]]*Table1[[#This Row],[Ask Qty]]</f>
        <v>299.66666666666663</v>
      </c>
      <c r="AG177" t="str">
        <f ca="1">IF(Table1[[#This Row],[YTM]]&gt;0.12,IF(Table1[[#This Row],[Gross Profit]]&gt;10000,"Invest","Review"),"Low YTM")</f>
        <v>Low YTM</v>
      </c>
    </row>
    <row r="178" spans="1:33" x14ac:dyDescent="0.3">
      <c r="A178" t="str">
        <f>RTD("nest.scriprtd",,"bse_cm|985IIFL22","Symbol")</f>
        <v>985IIFL22</v>
      </c>
      <c r="B178" t="str">
        <f>RTD("nest.scriprtd",,"bse_cm|985IIFL22","Trading Symbol")</f>
        <v>985IIFL22</v>
      </c>
      <c r="C178" t="str">
        <f>RTD("nest.scriprtd",,"bse_cm|985IIFL22","Exchange")</f>
        <v>BSE</v>
      </c>
      <c r="D178">
        <f>RTD("nest.scriprtd",,"bse_cm|985IIFL22","Bid Qty")</f>
        <v>50</v>
      </c>
      <c r="E178">
        <f>RTD("nest.scriprtd",,"bse_cm|985IIFL22","Bid Rate")</f>
        <v>970.11</v>
      </c>
      <c r="F178">
        <f>RTD("nest.scriprtd",,"bse_cm|985IIFL22","Ask Rate")</f>
        <v>999</v>
      </c>
      <c r="G178">
        <f>RTD("nest.scriprtd",,"bse_cm|985IIFL22","Ask Qty")</f>
        <v>10</v>
      </c>
      <c r="H178">
        <f>RTD("nest.scriprtd",,"bse_cm|985IIFL22","LTP")</f>
        <v>0</v>
      </c>
      <c r="I178" t="str">
        <f>RTD("nest.scriprtd",,"bse_cm|985IIFL22","LTT")</f>
        <v>00:00:00</v>
      </c>
      <c r="J178">
        <f>RTD("nest.scriprtd",,"bse_cm|985IIFL22","% Change")</f>
        <v>-100</v>
      </c>
      <c r="K178">
        <f>RTD("nest.scriprtd",,"bse_cm|985IIFL22","ATP")</f>
        <v>0</v>
      </c>
      <c r="L178">
        <f>RTD("nest.scriprtd",,"bse_cm|985IIFL22","Volume Traded Today")</f>
        <v>0</v>
      </c>
      <c r="M178">
        <f>RTD("nest.scriprtd",,"bse_cm|985IIFL22","Open")</f>
        <v>0</v>
      </c>
      <c r="N178">
        <f>RTD("nest.scriprtd",,"bse_cm|985IIFL22","High")</f>
        <v>980</v>
      </c>
      <c r="O178">
        <f>RTD("nest.scriprtd",,"bse_cm|985IIFL22","Low ")</f>
        <v>975.7</v>
      </c>
      <c r="P178">
        <f>RTD("nest.scriprtd",,"bse_cm|985IIFL22","Prev Close")</f>
        <v>975.7</v>
      </c>
      <c r="Q178">
        <f>RTD("nest.scriprtd",,"bse_cm|985IIFL22","Face Value")</f>
        <v>1000</v>
      </c>
      <c r="R178" t="str">
        <f>RTD("nest.scriprtd",,"bse_cm|985IIFL22","Isin code")</f>
        <v>INE866I08303</v>
      </c>
      <c r="S178" s="9">
        <f>Table1[[#This Row],[Ask Rate]]*Table1[[#This Row],[Ask Qty]]</f>
        <v>9990</v>
      </c>
      <c r="T178">
        <f>VLOOKUP(Table1[[#This Row],[Isin code]],Table2[#All],7,FALSE)</f>
        <v>10</v>
      </c>
      <c r="U178" s="17" t="str">
        <f>VLOOKUP(Table1[[#This Row],[Isin code]],Table2[#All],8,FALSE)</f>
        <v>06-Jun-2025</v>
      </c>
      <c r="V178" s="10">
        <f ca="1">Table1[[#This Row],[Maturity]]-TODAY()</f>
        <v>233</v>
      </c>
      <c r="W178" t="str">
        <f>VLOOKUP(Table1[[#This Row],[Isin code]],Table2[#All],10,FALSE)</f>
        <v>Monthly</v>
      </c>
      <c r="X178">
        <f ca="1">_xlfn.DAYS(Table1[[#This Row],[Maturity]],TODAY())-15</f>
        <v>218</v>
      </c>
      <c r="Y1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178">
        <f>IF(Table1[[#This Row],[Ask Rate]]=0,0,Table1[[#This Row],[Face Value]]-Table1[[#This Row],[Ask Rate]])</f>
        <v>1</v>
      </c>
      <c r="AA178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78">
        <f ca="1">Table1[[#This Row],[Face Value]]*Table1[[#This Row],[Rate]]*Table1[[#This Row],[Time]]</f>
        <v>66.666666666666671</v>
      </c>
      <c r="AC178">
        <f ca="1">Table1[[#This Row],[SI]]+Table1[[#This Row],[Disc/Prem]]</f>
        <v>67.666666666666671</v>
      </c>
      <c r="AD178" s="3">
        <f ca="1">Table1[[#This Row],[Net Gain]]/Table1[[#This Row],[Ask Rate]]</f>
        <v>6.7734401067734401E-2</v>
      </c>
      <c r="AE178" s="3">
        <f ca="1">IF(Table1[[#This Row],[Ask Qty]]=0,0,Table1[[#This Row],[Gross Yield]]*365/Table1[[#This Row],[Days Left]])</f>
        <v>0.10610753815331783</v>
      </c>
      <c r="AF178" s="9">
        <f ca="1">+Table1[[#This Row],[Net Gain]]*Table1[[#This Row],[Ask Qty]]</f>
        <v>676.66666666666674</v>
      </c>
      <c r="AG178" t="str">
        <f ca="1">IF(Table1[[#This Row],[YTM]]&gt;0.12,IF(Table1[[#This Row],[Gross Profit]]&gt;10000,"Invest","Review"),"Low YTM")</f>
        <v>Low YTM</v>
      </c>
    </row>
    <row r="179" spans="1:33" x14ac:dyDescent="0.3">
      <c r="A179" t="str">
        <f>RTD("nest.scriprtd",,"nse_cm|835SCL23B-YM","Symbol")</f>
        <v>835SCL23B</v>
      </c>
      <c r="B179" t="str">
        <f>RTD("nest.scriprtd",,"nse_cm|835SCL23B-YM","Trading Symbol")</f>
        <v>835SCL23B-YM</v>
      </c>
      <c r="C179" t="str">
        <f>RTD("nest.scriprtd",,"nse_cm|835SCL23B-YM","Exchange")</f>
        <v>NSE</v>
      </c>
      <c r="D179">
        <f>RTD("nest.scriprtd",,"nse_cm|835SCL23B-YM","Bid Qty")</f>
        <v>8</v>
      </c>
      <c r="E179">
        <f>RTD("nest.scriprtd",,"nse_cm|835SCL23B-YM","Bid Rate")</f>
        <v>900.3</v>
      </c>
      <c r="F179">
        <f>RTD("nest.scriprtd",,"nse_cm|835SCL23B-YM","Ask Rate")</f>
        <v>950</v>
      </c>
      <c r="G179">
        <f>RTD("nest.scriprtd",,"nse_cm|835SCL23B-YM","Ask Qty")</f>
        <v>100</v>
      </c>
      <c r="H179">
        <f>RTD("nest.scriprtd",,"nse_cm|835SCL23B-YM","LTP")</f>
        <v>984</v>
      </c>
      <c r="I179" t="str">
        <f>RTD("nest.scriprtd",,"nse_cm|835SCL23B-YM","LTT")</f>
        <v/>
      </c>
      <c r="J179">
        <f>RTD("nest.scriprtd",,"nse_cm|835SCL23B-YM","% Change")</f>
        <v>1.28</v>
      </c>
      <c r="K179">
        <f>RTD("nest.scriprtd",,"nse_cm|835SCL23B-YM","ATP")</f>
        <v>0</v>
      </c>
      <c r="L179">
        <f>RTD("nest.scriprtd",,"nse_cm|835SCL23B-YM","Volume Traded Today")</f>
        <v>0</v>
      </c>
      <c r="M179">
        <f>RTD("nest.scriprtd",,"nse_cm|835SCL23B-YM","Open")</f>
        <v>0</v>
      </c>
      <c r="N179">
        <f>RTD("nest.scriprtd",,"nse_cm|835SCL23B-YM","High")</f>
        <v>984</v>
      </c>
      <c r="O179">
        <f>RTD("nest.scriprtd",,"nse_cm|835SCL23B-YM","Low ")</f>
        <v>900</v>
      </c>
      <c r="P179">
        <f>RTD("nest.scriprtd",,"nse_cm|835SCL23B-YM","Prev Close")</f>
        <v>971.58</v>
      </c>
      <c r="Q179">
        <f>RTD("nest.scriprtd",,"nse_cm|835SCL23B-YM","Face Value")</f>
        <v>1000</v>
      </c>
      <c r="R179" t="str">
        <f>RTD("nest.scriprtd",,"nse_cm|835SCL23B-YM","Isin code")</f>
        <v>INE148I07RZ0</v>
      </c>
      <c r="S179" s="9">
        <f>Table1[[#This Row],[Ask Rate]]*Table1[[#This Row],[Ask Qty]]</f>
        <v>95000</v>
      </c>
      <c r="T179">
        <f>VLOOKUP(Table1[[#This Row],[Isin code]],Table2[#All],7,FALSE)</f>
        <v>10.25</v>
      </c>
      <c r="U179" s="17" t="str">
        <f>VLOOKUP(Table1[[#This Row],[Isin code]],Table2[#All],8,FALSE)</f>
        <v>27-Dec-2033</v>
      </c>
      <c r="V179" s="10">
        <f ca="1">Table1[[#This Row],[Maturity]]-TODAY()</f>
        <v>3359</v>
      </c>
      <c r="W179" t="str">
        <f>VLOOKUP(Table1[[#This Row],[Isin code]],Table2[#All],10,FALSE)</f>
        <v>Monthly</v>
      </c>
      <c r="X179">
        <f ca="1">_xlfn.DAYS(Table1[[#This Row],[Maturity]],TODAY())-15</f>
        <v>3344</v>
      </c>
      <c r="Y1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112</v>
      </c>
      <c r="Z179">
        <f>IF(Table1[[#This Row],[Ask Rate]]=0,0,Table1[[#This Row],[Face Value]]-Table1[[#This Row],[Ask Rate]])</f>
        <v>50</v>
      </c>
      <c r="AA179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79">
        <f ca="1">Table1[[#This Row],[Face Value]]*Table1[[#This Row],[Rate]]*Table1[[#This Row],[Time]]</f>
        <v>956.66666666666663</v>
      </c>
      <c r="AC179">
        <f ca="1">Table1[[#This Row],[SI]]+Table1[[#This Row],[Disc/Prem]]</f>
        <v>1006.6666666666666</v>
      </c>
      <c r="AD179" s="3">
        <f ca="1">Table1[[#This Row],[Net Gain]]/Table1[[#This Row],[Ask Rate]]</f>
        <v>1.0596491228070175</v>
      </c>
      <c r="AE179" s="3">
        <f ca="1">IF(Table1[[#This Row],[Ask Qty]]=0,0,Table1[[#This Row],[Gross Yield]]*365/Table1[[#This Row],[Days Left]])</f>
        <v>0.1151449627343142</v>
      </c>
      <c r="AF179" s="9">
        <f ca="1">+Table1[[#This Row],[Net Gain]]*Table1[[#This Row],[Ask Qty]]</f>
        <v>100666.66666666666</v>
      </c>
      <c r="AG179" t="str">
        <f ca="1">IF(Table1[[#This Row],[YTM]]&gt;0.12,IF(Table1[[#This Row],[Gross Profit]]&gt;10000,"Invest","Review"),"Low YTM")</f>
        <v>Low YTM</v>
      </c>
    </row>
    <row r="180" spans="1:33" x14ac:dyDescent="0.3">
      <c r="A180" t="str">
        <f>RTD("nest.scriprtd",,"bse_cm|967EFSL29A","Symbol")</f>
        <v>967EFSL29A</v>
      </c>
      <c r="B180" t="str">
        <f>RTD("nest.scriprtd",,"bse_cm|967EFSL29A","Trading Symbol")</f>
        <v>967EFSL29A</v>
      </c>
      <c r="C180" t="str">
        <f>RTD("nest.scriprtd",,"bse_cm|967EFSL29A","Exchange")</f>
        <v>BSE</v>
      </c>
      <c r="D180">
        <f>RTD("nest.scriprtd",,"bse_cm|967EFSL29A","Bid Qty")</f>
        <v>20</v>
      </c>
      <c r="E180">
        <f>RTD("nest.scriprtd",,"bse_cm|967EFSL29A","Bid Rate")</f>
        <v>920</v>
      </c>
      <c r="F180">
        <f>RTD("nest.scriprtd",,"bse_cm|967EFSL29A","Ask Rate")</f>
        <v>975</v>
      </c>
      <c r="G180">
        <f>RTD("nest.scriprtd",,"bse_cm|967EFSL29A","Ask Qty")</f>
        <v>55</v>
      </c>
      <c r="H180">
        <f>RTD("nest.scriprtd",,"bse_cm|967EFSL29A","LTP")</f>
        <v>980</v>
      </c>
      <c r="I180" t="str">
        <f>RTD("nest.scriprtd",,"bse_cm|967EFSL29A","LTT")</f>
        <v>09:17:27</v>
      </c>
      <c r="J180">
        <f>RTD("nest.scriprtd",,"bse_cm|967EFSL29A","% Change")</f>
        <v>0</v>
      </c>
      <c r="K180">
        <f>RTD("nest.scriprtd",,"bse_cm|967EFSL29A","ATP")</f>
        <v>980</v>
      </c>
      <c r="L180">
        <f>RTD("nest.scriprtd",,"bse_cm|967EFSL29A","Volume Traded Today")</f>
        <v>80</v>
      </c>
      <c r="M180">
        <f>RTD("nest.scriprtd",,"bse_cm|967EFSL29A","Open")</f>
        <v>980</v>
      </c>
      <c r="N180">
        <f>RTD("nest.scriprtd",,"bse_cm|967EFSL29A","High")</f>
        <v>980</v>
      </c>
      <c r="O180">
        <f>RTD("nest.scriprtd",,"bse_cm|967EFSL29A","Low ")</f>
        <v>980</v>
      </c>
      <c r="P180">
        <f>RTD("nest.scriprtd",,"bse_cm|967EFSL29A","Prev Close")</f>
        <v>980</v>
      </c>
      <c r="Q180">
        <f>RTD("nest.scriprtd",,"bse_cm|967EFSL29A","Face Value")</f>
        <v>1000</v>
      </c>
      <c r="R180" t="str">
        <f>RTD("nest.scriprtd",,"bse_cm|967EFSL29A","Isin code")</f>
        <v>INE532F07FN2</v>
      </c>
      <c r="S180" s="9">
        <f>Table1[[#This Row],[Ask Rate]]*Table1[[#This Row],[Ask Qty]]</f>
        <v>53625</v>
      </c>
      <c r="T180">
        <f>VLOOKUP(Table1[[#This Row],[Isin code]],Table2[#All],7,FALSE)</f>
        <v>9.67</v>
      </c>
      <c r="U180" s="17" t="str">
        <f>VLOOKUP(Table1[[#This Row],[Isin code]],Table2[#All],8,FALSE)</f>
        <v>29-Apr-2029</v>
      </c>
      <c r="V180" s="10">
        <f ca="1">Table1[[#This Row],[Maturity]]-TODAY()</f>
        <v>1656</v>
      </c>
      <c r="W180" t="str">
        <f>VLOOKUP(Table1[[#This Row],[Isin code]],Table2[#All],10,FALSE)</f>
        <v>Monthly</v>
      </c>
      <c r="X180">
        <f ca="1">_xlfn.DAYS(Table1[[#This Row],[Maturity]],TODAY())-15</f>
        <v>1641</v>
      </c>
      <c r="Y1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55</v>
      </c>
      <c r="Z180">
        <f>IF(Table1[[#This Row],[Ask Rate]]=0,0,Table1[[#This Row],[Face Value]]-Table1[[#This Row],[Ask Rate]])</f>
        <v>25</v>
      </c>
      <c r="AA180">
        <f>IF(Table1[[#This Row],[Freq]]="Yearly",Table1[[#This Row],[Coupon_Rate]]/100,IF(Table1[[#This Row],[Freq]]="Monthly",Table1[[#This Row],[Coupon_Rate]]/1200,IF(Table1[[#This Row],[Freq]]="Quarterly",Table1[[#This Row],[Coupon_Rate]]/400,0)))</f>
        <v>8.058333333333334E-3</v>
      </c>
      <c r="AB180">
        <f ca="1">Table1[[#This Row],[Face Value]]*Table1[[#This Row],[Rate]]*Table1[[#This Row],[Time]]</f>
        <v>443.20833333333337</v>
      </c>
      <c r="AC180">
        <f ca="1">Table1[[#This Row],[SI]]+Table1[[#This Row],[Disc/Prem]]</f>
        <v>468.20833333333337</v>
      </c>
      <c r="AD180" s="3">
        <f ca="1">Table1[[#This Row],[Net Gain]]/Table1[[#This Row],[Ask Rate]]</f>
        <v>0.48021367521367525</v>
      </c>
      <c r="AE180" s="3">
        <f ca="1">IF(Table1[[#This Row],[Ask Qty]]=0,0,Table1[[#This Row],[Gross Yield]]*365/Table1[[#This Row],[Days Left]])</f>
        <v>0.1058441977373137</v>
      </c>
      <c r="AF180" s="9">
        <f ca="1">+Table1[[#This Row],[Net Gain]]*Table1[[#This Row],[Ask Qty]]</f>
        <v>25751.458333333336</v>
      </c>
      <c r="AG180" t="str">
        <f ca="1">IF(Table1[[#This Row],[YTM]]&gt;0.12,IF(Table1[[#This Row],[Gross Profit]]&gt;10000,"Invest","Review"),"Low YTM")</f>
        <v>Low YTM</v>
      </c>
    </row>
    <row r="181" spans="1:33" x14ac:dyDescent="0.3">
      <c r="A181" t="str">
        <f>RTD("nest.scriprtd",,"bse_cm|842IIFL26","Symbol")</f>
        <v>842IIFL26</v>
      </c>
      <c r="B181" t="str">
        <f>RTD("nest.scriprtd",,"bse_cm|842IIFL26","Trading Symbol")</f>
        <v>842IIFL26</v>
      </c>
      <c r="C181" t="str">
        <f>RTD("nest.scriprtd",,"bse_cm|842IIFL26","Exchange")</f>
        <v>BSE</v>
      </c>
      <c r="D181">
        <f>RTD("nest.scriprtd",,"bse_cm|842IIFL26","Bid Qty")</f>
        <v>30</v>
      </c>
      <c r="E181">
        <f>RTD("nest.scriprtd",,"bse_cm|842IIFL26","Bid Rate")</f>
        <v>950</v>
      </c>
      <c r="F181">
        <f>RTD("nest.scriprtd",,"bse_cm|842IIFL26","Ask Rate")</f>
        <v>965</v>
      </c>
      <c r="G181">
        <f>RTD("nest.scriprtd",,"bse_cm|842IIFL26","Ask Qty")</f>
        <v>100</v>
      </c>
      <c r="H181">
        <f>RTD("nest.scriprtd",,"bse_cm|842IIFL26","LTP")</f>
        <v>0</v>
      </c>
      <c r="I181" t="str">
        <f>RTD("nest.scriprtd",,"bse_cm|842IIFL26","LTT")</f>
        <v>00:00:00</v>
      </c>
      <c r="J181">
        <f>RTD("nest.scriprtd",,"bse_cm|842IIFL26","% Change")</f>
        <v>-100</v>
      </c>
      <c r="K181">
        <f>RTD("nest.scriprtd",,"bse_cm|842IIFL26","ATP")</f>
        <v>0</v>
      </c>
      <c r="L181">
        <f>RTD("nest.scriprtd",,"bse_cm|842IIFL26","Volume Traded Today")</f>
        <v>0</v>
      </c>
      <c r="M181">
        <f>RTD("nest.scriprtd",,"bse_cm|842IIFL26","Open")</f>
        <v>0</v>
      </c>
      <c r="N181">
        <f>RTD("nest.scriprtd",,"bse_cm|842IIFL26","High")</f>
        <v>949.9</v>
      </c>
      <c r="O181">
        <f>RTD("nest.scriprtd",,"bse_cm|842IIFL26","Low ")</f>
        <v>949.9</v>
      </c>
      <c r="P181">
        <f>RTD("nest.scriprtd",,"bse_cm|842IIFL26","Prev Close")</f>
        <v>949.9</v>
      </c>
      <c r="Q181">
        <f>RTD("nest.scriprtd",,"bse_cm|842IIFL26","Face Value")</f>
        <v>1000</v>
      </c>
      <c r="R181" t="str">
        <f>RTD("nest.scriprtd",,"bse_cm|842IIFL26","Isin code")</f>
        <v>INE530B07161</v>
      </c>
      <c r="S181" s="9">
        <f>Table1[[#This Row],[Ask Rate]]*Table1[[#This Row],[Ask Qty]]</f>
        <v>96500</v>
      </c>
      <c r="T181">
        <f>VLOOKUP(Table1[[#This Row],[Isin code]],Table2[#All],7,FALSE)</f>
        <v>8.42</v>
      </c>
      <c r="U181" s="17" t="str">
        <f>VLOOKUP(Table1[[#This Row],[Isin code]],Table2[#All],8,FALSE)</f>
        <v>14-Oct-2026</v>
      </c>
      <c r="V181" s="10">
        <f ca="1">Table1[[#This Row],[Maturity]]-TODAY()</f>
        <v>728</v>
      </c>
      <c r="W181" t="str">
        <f>VLOOKUP(Table1[[#This Row],[Isin code]],Table2[#All],10,FALSE)</f>
        <v>Monthly</v>
      </c>
      <c r="X181">
        <f ca="1">_xlfn.DAYS(Table1[[#This Row],[Maturity]],TODAY())-15</f>
        <v>713</v>
      </c>
      <c r="Y1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181">
        <f>IF(Table1[[#This Row],[Ask Rate]]=0,0,Table1[[#This Row],[Face Value]]-Table1[[#This Row],[Ask Rate]])</f>
        <v>35</v>
      </c>
      <c r="AA181">
        <f>IF(Table1[[#This Row],[Freq]]="Yearly",Table1[[#This Row],[Coupon_Rate]]/100,IF(Table1[[#This Row],[Freq]]="Monthly",Table1[[#This Row],[Coupon_Rate]]/1200,IF(Table1[[#This Row],[Freq]]="Quarterly",Table1[[#This Row],[Coupon_Rate]]/400,0)))</f>
        <v>7.0166666666666667E-3</v>
      </c>
      <c r="AB181">
        <f ca="1">Table1[[#This Row],[Face Value]]*Table1[[#This Row],[Rate]]*Table1[[#This Row],[Time]]</f>
        <v>168.4</v>
      </c>
      <c r="AC181">
        <f ca="1">Table1[[#This Row],[SI]]+Table1[[#This Row],[Disc/Prem]]</f>
        <v>203.4</v>
      </c>
      <c r="AD181" s="3">
        <f ca="1">Table1[[#This Row],[Net Gain]]/Table1[[#This Row],[Ask Rate]]</f>
        <v>0.21077720207253886</v>
      </c>
      <c r="AE181" s="3">
        <f ca="1">IF(Table1[[#This Row],[Ask Qty]]=0,0,Table1[[#This Row],[Gross Yield]]*365/Table1[[#This Row],[Days Left]])</f>
        <v>0.10567813015999544</v>
      </c>
      <c r="AF181" s="9">
        <f ca="1">+Table1[[#This Row],[Net Gain]]*Table1[[#This Row],[Ask Qty]]</f>
        <v>20340</v>
      </c>
      <c r="AG181" t="str">
        <f ca="1">IF(Table1[[#This Row],[YTM]]&gt;0.12,IF(Table1[[#This Row],[Gross Profit]]&gt;10000,"Invest","Review"),"Low YTM")</f>
        <v>Low YTM</v>
      </c>
    </row>
    <row r="182" spans="1:33" x14ac:dyDescent="0.3">
      <c r="A182" t="str">
        <f>RTD("nest.scriprtd",,"bse_cm|1065NFL27","Symbol")</f>
        <v>1065NFL27</v>
      </c>
      <c r="B182" t="str">
        <f>RTD("nest.scriprtd",,"bse_cm|1065NFL27","Trading Symbol")</f>
        <v>1065NFL27</v>
      </c>
      <c r="C182" t="str">
        <f>RTD("nest.scriprtd",,"bse_cm|1065NFL27","Exchange")</f>
        <v>BSE</v>
      </c>
      <c r="D182">
        <f>RTD("nest.scriprtd",,"bse_cm|1065NFL27","Bid Qty")</f>
        <v>25</v>
      </c>
      <c r="E182">
        <f>RTD("nest.scriprtd",,"bse_cm|1065NFL27","Bid Rate")</f>
        <v>995</v>
      </c>
      <c r="F182">
        <f>RTD("nest.scriprtd",,"bse_cm|1065NFL27","Ask Rate")</f>
        <v>1003.4</v>
      </c>
      <c r="G182">
        <f>RTD("nest.scriprtd",,"bse_cm|1065NFL27","Ask Qty")</f>
        <v>10</v>
      </c>
      <c r="H182">
        <f>RTD("nest.scriprtd",,"bse_cm|1065NFL27","LTP")</f>
        <v>0</v>
      </c>
      <c r="I182" t="str">
        <f>RTD("nest.scriprtd",,"bse_cm|1065NFL27","LTT")</f>
        <v>00:00:00</v>
      </c>
      <c r="J182">
        <f>RTD("nest.scriprtd",,"bse_cm|1065NFL27","% Change")</f>
        <v>-100</v>
      </c>
      <c r="K182">
        <f>RTD("nest.scriprtd",,"bse_cm|1065NFL27","ATP")</f>
        <v>0</v>
      </c>
      <c r="L182">
        <f>RTD("nest.scriprtd",,"bse_cm|1065NFL27","Volume Traded Today")</f>
        <v>0</v>
      </c>
      <c r="M182">
        <f>RTD("nest.scriprtd",,"bse_cm|1065NFL27","Open")</f>
        <v>0</v>
      </c>
      <c r="N182">
        <f>RTD("nest.scriprtd",,"bse_cm|1065NFL27","High")</f>
        <v>1002.5</v>
      </c>
      <c r="O182">
        <f>RTD("nest.scriprtd",,"bse_cm|1065NFL27","Low ")</f>
        <v>1002</v>
      </c>
      <c r="P182">
        <f>RTD("nest.scriprtd",,"bse_cm|1065NFL27","Prev Close")</f>
        <v>1002</v>
      </c>
      <c r="Q182">
        <f>RTD("nest.scriprtd",,"bse_cm|1065NFL27","Face Value")</f>
        <v>1000</v>
      </c>
      <c r="R182" t="str">
        <f>RTD("nest.scriprtd",,"bse_cm|1065NFL27","Isin code")</f>
        <v>INE342T07460</v>
      </c>
      <c r="S182" s="9">
        <f>Table1[[#This Row],[Ask Rate]]*Table1[[#This Row],[Ask Qty]]</f>
        <v>10034</v>
      </c>
      <c r="T182">
        <f>VLOOKUP(Table1[[#This Row],[Isin code]],Table2[#All],7,FALSE)</f>
        <v>10.65</v>
      </c>
      <c r="U182" s="17" t="str">
        <f>VLOOKUP(Table1[[#This Row],[Isin code]],Table2[#All],8,FALSE)</f>
        <v>13-Mar-2027</v>
      </c>
      <c r="V182" s="10">
        <f ca="1">Table1[[#This Row],[Maturity]]-TODAY()</f>
        <v>878</v>
      </c>
      <c r="W182" t="str">
        <f>VLOOKUP(Table1[[#This Row],[Isin code]],Table2[#All],10,FALSE)</f>
        <v>Monthly</v>
      </c>
      <c r="X182">
        <f ca="1">_xlfn.DAYS(Table1[[#This Row],[Maturity]],TODAY())-15</f>
        <v>863</v>
      </c>
      <c r="Y1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29</v>
      </c>
      <c r="Z182">
        <f>IF(Table1[[#This Row],[Ask Rate]]=0,0,Table1[[#This Row],[Face Value]]-Table1[[#This Row],[Ask Rate]])</f>
        <v>-3.3999999999999773</v>
      </c>
      <c r="AA182">
        <f>IF(Table1[[#This Row],[Freq]]="Yearly",Table1[[#This Row],[Coupon_Rate]]/100,IF(Table1[[#This Row],[Freq]]="Monthly",Table1[[#This Row],[Coupon_Rate]]/1200,IF(Table1[[#This Row],[Freq]]="Quarterly",Table1[[#This Row],[Coupon_Rate]]/400,0)))</f>
        <v>8.8750000000000009E-3</v>
      </c>
      <c r="AB182">
        <f ca="1">Table1[[#This Row],[Face Value]]*Table1[[#This Row],[Rate]]*Table1[[#This Row],[Time]]</f>
        <v>257.37500000000006</v>
      </c>
      <c r="AC182">
        <f ca="1">Table1[[#This Row],[SI]]+Table1[[#This Row],[Disc/Prem]]</f>
        <v>253.97500000000008</v>
      </c>
      <c r="AD182" s="3">
        <f ca="1">Table1[[#This Row],[Net Gain]]/Table1[[#This Row],[Ask Rate]]</f>
        <v>0.2531144110025913</v>
      </c>
      <c r="AE182" s="3">
        <f ca="1">IF(Table1[[#This Row],[Ask Qty]]=0,0,Table1[[#This Row],[Gross Yield]]*365/Table1[[#This Row],[Days Left]])</f>
        <v>0.10522410024595197</v>
      </c>
      <c r="AF182" s="9">
        <f ca="1">+Table1[[#This Row],[Net Gain]]*Table1[[#This Row],[Ask Qty]]</f>
        <v>2539.7500000000009</v>
      </c>
      <c r="AG182" t="str">
        <f ca="1">IF(Table1[[#This Row],[YTM]]&gt;0.12,IF(Table1[[#This Row],[Gross Profit]]&gt;10000,"Invest","Review"),"Low YTM")</f>
        <v>Low YTM</v>
      </c>
    </row>
    <row r="183" spans="1:33" x14ac:dyDescent="0.3">
      <c r="A183" t="str">
        <f>RTD("nest.scriprtd",,"bse_cm|10KFIL27","Symbol")</f>
        <v>10KFIL27</v>
      </c>
      <c r="B183" t="str">
        <f>RTD("nest.scriprtd",,"bse_cm|10KFIL27","Trading Symbol")</f>
        <v>10KFIL27</v>
      </c>
      <c r="C183" t="str">
        <f>RTD("nest.scriprtd",,"bse_cm|10KFIL27","Exchange")</f>
        <v>BSE</v>
      </c>
      <c r="D183">
        <f>RTD("nest.scriprtd",,"bse_cm|10KFIL27","Bid Qty")</f>
        <v>20</v>
      </c>
      <c r="E183">
        <f>RTD("nest.scriprtd",,"bse_cm|10KFIL27","Bid Rate")</f>
        <v>970</v>
      </c>
      <c r="F183">
        <f>RTD("nest.scriprtd",,"bse_cm|10KFIL27","Ask Rate")</f>
        <v>990</v>
      </c>
      <c r="G183">
        <f>RTD("nest.scriprtd",,"bse_cm|10KFIL27","Ask Qty")</f>
        <v>175</v>
      </c>
      <c r="H183">
        <f>RTD("nest.scriprtd",,"bse_cm|10KFIL27","LTP")</f>
        <v>0</v>
      </c>
      <c r="I183" t="str">
        <f>RTD("nest.scriprtd",,"bse_cm|10KFIL27","LTT")</f>
        <v>00:00:00</v>
      </c>
      <c r="J183">
        <f>RTD("nest.scriprtd",,"bse_cm|10KFIL27","% Change")</f>
        <v>-100</v>
      </c>
      <c r="K183">
        <f>RTD("nest.scriprtd",,"bse_cm|10KFIL27","ATP")</f>
        <v>0</v>
      </c>
      <c r="L183">
        <f>RTD("nest.scriprtd",,"bse_cm|10KFIL27","Volume Traded Today")</f>
        <v>0</v>
      </c>
      <c r="M183">
        <f>RTD("nest.scriprtd",,"bse_cm|10KFIL27","Open")</f>
        <v>0</v>
      </c>
      <c r="N183">
        <f>RTD("nest.scriprtd",,"bse_cm|10KFIL27","High")</f>
        <v>980</v>
      </c>
      <c r="O183">
        <f>RTD("nest.scriprtd",,"bse_cm|10KFIL27","Low ")</f>
        <v>980</v>
      </c>
      <c r="P183">
        <f>RTD("nest.scriprtd",,"bse_cm|10KFIL27","Prev Close")</f>
        <v>980</v>
      </c>
      <c r="Q183">
        <f>RTD("nest.scriprtd",,"bse_cm|10KFIL27","Face Value")</f>
        <v>1000</v>
      </c>
      <c r="R183" t="str">
        <f>RTD("nest.scriprtd",,"bse_cm|10KFIL27","Isin code")</f>
        <v>INE403Q07CO8</v>
      </c>
      <c r="S183" s="9">
        <f>Table1[[#This Row],[Ask Rate]]*Table1[[#This Row],[Ask Qty]]</f>
        <v>173250</v>
      </c>
      <c r="T183">
        <f>VLOOKUP(Table1[[#This Row],[Isin code]],Table2[#All],7,FALSE)</f>
        <v>10</v>
      </c>
      <c r="U183" s="17" t="str">
        <f>VLOOKUP(Table1[[#This Row],[Isin code]],Table2[#All],8,FALSE)</f>
        <v>17-Apr-2027</v>
      </c>
      <c r="V183" s="10">
        <f ca="1">Table1[[#This Row],[Maturity]]-TODAY()</f>
        <v>913</v>
      </c>
      <c r="W183" t="str">
        <f>VLOOKUP(Table1[[#This Row],[Isin code]],Table2[#All],10,FALSE)</f>
        <v>Monthly</v>
      </c>
      <c r="X183">
        <f ca="1">_xlfn.DAYS(Table1[[#This Row],[Maturity]],TODAY())-15</f>
        <v>898</v>
      </c>
      <c r="Y1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183">
        <f>IF(Table1[[#This Row],[Ask Rate]]=0,0,Table1[[#This Row],[Face Value]]-Table1[[#This Row],[Ask Rate]])</f>
        <v>10</v>
      </c>
      <c r="AA183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83">
        <f ca="1">Table1[[#This Row],[Face Value]]*Table1[[#This Row],[Rate]]*Table1[[#This Row],[Time]]</f>
        <v>250.00000000000003</v>
      </c>
      <c r="AC183">
        <f ca="1">Table1[[#This Row],[SI]]+Table1[[#This Row],[Disc/Prem]]</f>
        <v>260</v>
      </c>
      <c r="AD183" s="3">
        <f ca="1">Table1[[#This Row],[Net Gain]]/Table1[[#This Row],[Ask Rate]]</f>
        <v>0.26262626262626265</v>
      </c>
      <c r="AE183" s="3">
        <f ca="1">IF(Table1[[#This Row],[Ask Qty]]=0,0,Table1[[#This Row],[Gross Yield]]*365/Table1[[#This Row],[Days Left]])</f>
        <v>0.10499297465343468</v>
      </c>
      <c r="AF183" s="9">
        <f ca="1">+Table1[[#This Row],[Net Gain]]*Table1[[#This Row],[Ask Qty]]</f>
        <v>45500</v>
      </c>
      <c r="AG183" t="str">
        <f ca="1">IF(Table1[[#This Row],[YTM]]&gt;0.12,IF(Table1[[#This Row],[Gross Profit]]&gt;10000,"Invest","Review"),"Low YTM")</f>
        <v>Low YTM</v>
      </c>
    </row>
    <row r="184" spans="1:33" x14ac:dyDescent="0.3">
      <c r="A184" t="str">
        <f>RTD("nest.scriprtd",,"bse_cm|11KAFL27","Symbol")</f>
        <v>11KAFL27</v>
      </c>
      <c r="B184" t="str">
        <f>RTD("nest.scriprtd",,"bse_cm|11KAFL27","Trading Symbol")</f>
        <v>11KAFL27</v>
      </c>
      <c r="C184" t="str">
        <f>RTD("nest.scriprtd",,"bse_cm|11KAFL27","Exchange")</f>
        <v>BSE</v>
      </c>
      <c r="D184">
        <f>RTD("nest.scriprtd",,"bse_cm|11KAFL27","Bid Qty")</f>
        <v>25</v>
      </c>
      <c r="E184">
        <f>RTD("nest.scriprtd",,"bse_cm|11KAFL27","Bid Rate")</f>
        <v>970</v>
      </c>
      <c r="F184">
        <f>RTD("nest.scriprtd",,"bse_cm|11KAFL27","Ask Rate")</f>
        <v>1010</v>
      </c>
      <c r="G184">
        <f>RTD("nest.scriprtd",,"bse_cm|11KAFL27","Ask Qty")</f>
        <v>48</v>
      </c>
      <c r="H184">
        <f>RTD("nest.scriprtd",,"bse_cm|11KAFL27","LTP")</f>
        <v>0</v>
      </c>
      <c r="I184" t="str">
        <f>RTD("nest.scriprtd",,"bse_cm|11KAFL27","LTT")</f>
        <v>00:00:00</v>
      </c>
      <c r="J184">
        <f>RTD("nest.scriprtd",,"bse_cm|11KAFL27","% Change")</f>
        <v>-100</v>
      </c>
      <c r="K184">
        <f>RTD("nest.scriprtd",,"bse_cm|11KAFL27","ATP")</f>
        <v>0</v>
      </c>
      <c r="L184">
        <f>RTD("nest.scriprtd",,"bse_cm|11KAFL27","Volume Traded Today")</f>
        <v>0</v>
      </c>
      <c r="M184">
        <f>RTD("nest.scriprtd",,"bse_cm|11KAFL27","Open")</f>
        <v>0</v>
      </c>
      <c r="N184">
        <f>RTD("nest.scriprtd",,"bse_cm|11KAFL27","High")</f>
        <v>998</v>
      </c>
      <c r="O184">
        <f>RTD("nest.scriprtd",,"bse_cm|11KAFL27","Low ")</f>
        <v>998</v>
      </c>
      <c r="P184">
        <f>RTD("nest.scriprtd",,"bse_cm|11KAFL27","Prev Close")</f>
        <v>998</v>
      </c>
      <c r="Q184">
        <f>RTD("nest.scriprtd",,"bse_cm|11KAFL27","Face Value")</f>
        <v>1000</v>
      </c>
      <c r="R184" t="str">
        <f>RTD("nest.scriprtd",,"bse_cm|11KAFL27","Isin code")</f>
        <v>INE01I507570</v>
      </c>
      <c r="S184" s="9">
        <f>Table1[[#This Row],[Ask Rate]]*Table1[[#This Row],[Ask Qty]]</f>
        <v>48480</v>
      </c>
      <c r="T184">
        <f>VLOOKUP(Table1[[#This Row],[Isin code]],Table2[#All],7,FALSE)</f>
        <v>11</v>
      </c>
      <c r="U184" s="17" t="str">
        <f>VLOOKUP(Table1[[#This Row],[Isin code]],Table2[#All],8,FALSE)</f>
        <v>16-Mar-2027</v>
      </c>
      <c r="V184" s="10">
        <f ca="1">Table1[[#This Row],[Maturity]]-TODAY()</f>
        <v>881</v>
      </c>
      <c r="W184" t="str">
        <f>VLOOKUP(Table1[[#This Row],[Isin code]],Table2[#All],10,FALSE)</f>
        <v>Monthly</v>
      </c>
      <c r="X184">
        <f ca="1">_xlfn.DAYS(Table1[[#This Row],[Maturity]],TODAY())-15</f>
        <v>866</v>
      </c>
      <c r="Y1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29</v>
      </c>
      <c r="Z184">
        <f>IF(Table1[[#This Row],[Ask Rate]]=0,0,Table1[[#This Row],[Face Value]]-Table1[[#This Row],[Ask Rate]])</f>
        <v>-10</v>
      </c>
      <c r="AA184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184">
        <f ca="1">Table1[[#This Row],[Face Value]]*Table1[[#This Row],[Rate]]*Table1[[#This Row],[Time]]</f>
        <v>265.83333333333331</v>
      </c>
      <c r="AC184">
        <f ca="1">Table1[[#This Row],[SI]]+Table1[[#This Row],[Disc/Prem]]</f>
        <v>255.83333333333331</v>
      </c>
      <c r="AD184" s="3">
        <f ca="1">Table1[[#This Row],[Net Gain]]/Table1[[#This Row],[Ask Rate]]</f>
        <v>0.25330033003300328</v>
      </c>
      <c r="AE184" s="3">
        <f ca="1">IF(Table1[[#This Row],[Ask Qty]]=0,0,Table1[[#This Row],[Gross Yield]]*365/Table1[[#This Row],[Days Left]])</f>
        <v>0.10494281550743041</v>
      </c>
      <c r="AF184" s="9">
        <f ca="1">+Table1[[#This Row],[Net Gain]]*Table1[[#This Row],[Ask Qty]]</f>
        <v>12280</v>
      </c>
      <c r="AG184" t="str">
        <f ca="1">IF(Table1[[#This Row],[YTM]]&gt;0.12,IF(Table1[[#This Row],[Gross Profit]]&gt;10000,"Invest","Review"),"Low YTM")</f>
        <v>Low YTM</v>
      </c>
    </row>
    <row r="185" spans="1:33" hidden="1" x14ac:dyDescent="0.3">
      <c r="A185" t="str">
        <f>RTD("nest.scriprtd",,"bse_cm|10MFL24B","Symbol")</f>
        <v>10MFL24B</v>
      </c>
      <c r="B185" t="str">
        <f>RTD("nest.scriprtd",,"bse_cm|10MFL24B","Trading Symbol")</f>
        <v>10MFL24B</v>
      </c>
      <c r="C185" t="str">
        <f>RTD("nest.scriprtd",,"bse_cm|10MFL24B","Exchange")</f>
        <v>BSE</v>
      </c>
      <c r="D185">
        <f>RTD("nest.scriprtd",,"bse_cm|10MFL24B","Bid Qty")</f>
        <v>5</v>
      </c>
      <c r="E185">
        <f>RTD("nest.scriprtd",,"bse_cm|10MFL24B","Bid Rate")</f>
        <v>1081.24</v>
      </c>
      <c r="F185">
        <f>RTD("nest.scriprtd",,"bse_cm|10MFL24B","Ask Rate")</f>
        <v>1095</v>
      </c>
      <c r="G185">
        <f>RTD("nest.scriprtd",,"bse_cm|10MFL24B","Ask Qty")</f>
        <v>10</v>
      </c>
      <c r="H185">
        <f>RTD("nest.scriprtd",,"bse_cm|10MFL24B","LTP")</f>
        <v>1079</v>
      </c>
      <c r="I185" t="str">
        <f>RTD("nest.scriprtd",,"bse_cm|10MFL24B","LTT")</f>
        <v>09:51:00</v>
      </c>
      <c r="J185">
        <f>RTD("nest.scriprtd",,"bse_cm|10MFL24B","% Change")</f>
        <v>-1.37</v>
      </c>
      <c r="K185">
        <f>RTD("nest.scriprtd",,"bse_cm|10MFL24B","ATP")</f>
        <v>1079</v>
      </c>
      <c r="L185">
        <f>RTD("nest.scriprtd",,"bse_cm|10MFL24B","Volume Traded Today")</f>
        <v>48</v>
      </c>
      <c r="M185">
        <f>RTD("nest.scriprtd",,"bse_cm|10MFL24B","Open")</f>
        <v>1079.0999999999999</v>
      </c>
      <c r="N185">
        <f>RTD("nest.scriprtd",,"bse_cm|10MFL24B","High")</f>
        <v>1079.0999999999999</v>
      </c>
      <c r="O185">
        <f>RTD("nest.scriprtd",,"bse_cm|10MFL24B","Low ")</f>
        <v>1079</v>
      </c>
      <c r="P185">
        <f>RTD("nest.scriprtd",,"bse_cm|10MFL24B","Prev Close")</f>
        <v>1094</v>
      </c>
      <c r="Q185">
        <f>RTD("nest.scriprtd",,"bse_cm|10MFL24B","Face Value")</f>
        <v>1000</v>
      </c>
      <c r="R185" t="str">
        <f>RTD("nest.scriprtd",,"bse_cm|10MFL24B","Isin code")</f>
        <v>INE414G07DY3</v>
      </c>
      <c r="S185" s="9">
        <f>Table1[[#This Row],[Ask Rate]]*Table1[[#This Row],[Ask Qty]]</f>
        <v>10950</v>
      </c>
      <c r="T185">
        <f>VLOOKUP(Table1[[#This Row],[Isin code]],Table2[#All],7,FALSE)</f>
        <v>10</v>
      </c>
      <c r="U185" s="17" t="str">
        <f>VLOOKUP(Table1[[#This Row],[Isin code]],Table2[#All],8,FALSE)</f>
        <v>01-Nov-2024</v>
      </c>
      <c r="V185" s="10">
        <f ca="1">Table1[[#This Row],[Maturity]]-TODAY()</f>
        <v>16</v>
      </c>
      <c r="W185" t="str">
        <f>VLOOKUP(Table1[[#This Row],[Isin code]],Table2[#All],10,FALSE)</f>
        <v>Yearly</v>
      </c>
      <c r="X185">
        <f ca="1">_xlfn.DAYS(Table1[[#This Row],[Maturity]],TODAY())-15</f>
        <v>1</v>
      </c>
      <c r="Y1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85">
        <f>IF(Table1[[#This Row],[Ask Rate]]=0,0,Table1[[#This Row],[Face Value]]-Table1[[#This Row],[Ask Rate]])</f>
        <v>-95</v>
      </c>
      <c r="AA185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185">
        <f ca="1">Table1[[#This Row],[Face Value]]*Table1[[#This Row],[Rate]]*Table1[[#This Row],[Time]]</f>
        <v>100</v>
      </c>
      <c r="AC185">
        <f ca="1">Table1[[#This Row],[SI]]+Table1[[#This Row],[Disc/Prem]]</f>
        <v>5</v>
      </c>
      <c r="AD185" s="3">
        <f ca="1">Table1[[#This Row],[Net Gain]]/Table1[[#This Row],[Ask Rate]]</f>
        <v>4.5662100456621002E-3</v>
      </c>
      <c r="AE185" s="3">
        <f ca="1">IF(Table1[[#This Row],[Ask Qty]]=0,0,Table1[[#This Row],[Gross Yield]]*365/Table1[[#This Row],[Days Left]])</f>
        <v>0.10416666666666666</v>
      </c>
      <c r="AF185" s="9">
        <f ca="1">+Table1[[#This Row],[Net Gain]]*Table1[[#This Row],[Ask Qty]]</f>
        <v>50</v>
      </c>
      <c r="AG185" t="str">
        <f ca="1">IF(Table1[[#This Row],[YTM]]&gt;0.12,IF(Table1[[#This Row],[Gross Profit]]&gt;10000,"Invest","Review"),"Low YTM")</f>
        <v>Low YTM</v>
      </c>
    </row>
    <row r="186" spans="1:33" x14ac:dyDescent="0.3">
      <c r="A186" t="str">
        <f>RTD("nest.scriprtd",,"bse_cm|92EFSL26","Symbol")</f>
        <v>92EFSL26</v>
      </c>
      <c r="B186" t="str">
        <f>RTD("nest.scriprtd",,"bse_cm|92EFSL26","Trading Symbol")</f>
        <v>92EFSL26</v>
      </c>
      <c r="C186" t="str">
        <f>RTD("nest.scriprtd",,"bse_cm|92EFSL26","Exchange")</f>
        <v>BSE</v>
      </c>
      <c r="D186">
        <f>RTD("nest.scriprtd",,"bse_cm|92EFSL26","Bid Qty")</f>
        <v>18</v>
      </c>
      <c r="E186">
        <f>RTD("nest.scriprtd",,"bse_cm|92EFSL26","Bid Rate")</f>
        <v>945</v>
      </c>
      <c r="F186">
        <f>RTD("nest.scriprtd",,"bse_cm|92EFSL26","Ask Rate")</f>
        <v>980</v>
      </c>
      <c r="G186">
        <f>RTD("nest.scriprtd",,"bse_cm|92EFSL26","Ask Qty")</f>
        <v>25</v>
      </c>
      <c r="H186">
        <f>RTD("nest.scriprtd",,"bse_cm|92EFSL26","LTP")</f>
        <v>0</v>
      </c>
      <c r="I186" t="str">
        <f>RTD("nest.scriprtd",,"bse_cm|92EFSL26","LTT")</f>
        <v>00:00:00</v>
      </c>
      <c r="J186">
        <f>RTD("nest.scriprtd",,"bse_cm|92EFSL26","% Change")</f>
        <v>-100</v>
      </c>
      <c r="K186">
        <f>RTD("nest.scriprtd",,"bse_cm|92EFSL26","ATP")</f>
        <v>0</v>
      </c>
      <c r="L186">
        <f>RTD("nest.scriprtd",,"bse_cm|92EFSL26","Volume Traded Today")</f>
        <v>0</v>
      </c>
      <c r="M186">
        <f>RTD("nest.scriprtd",,"bse_cm|92EFSL26","Open")</f>
        <v>0</v>
      </c>
      <c r="N186">
        <f>RTD("nest.scriprtd",,"bse_cm|92EFSL26","High")</f>
        <v>957</v>
      </c>
      <c r="O186">
        <f>RTD("nest.scriprtd",,"bse_cm|92EFSL26","Low ")</f>
        <v>953.5</v>
      </c>
      <c r="P186">
        <f>RTD("nest.scriprtd",,"bse_cm|92EFSL26","Prev Close")</f>
        <v>957</v>
      </c>
      <c r="Q186">
        <f>RTD("nest.scriprtd",,"bse_cm|92EFSL26","Face Value")</f>
        <v>1000</v>
      </c>
      <c r="R186" t="str">
        <f>RTD("nest.scriprtd",,"bse_cm|92EFSL26","Isin code")</f>
        <v>INE532F07EC8</v>
      </c>
      <c r="S186" s="9">
        <f>Table1[[#This Row],[Ask Rate]]*Table1[[#This Row],[Ask Qty]]</f>
        <v>24500</v>
      </c>
      <c r="T186">
        <f>VLOOKUP(Table1[[#This Row],[Isin code]],Table2[#All],7,FALSE)</f>
        <v>9.1999999999999993</v>
      </c>
      <c r="U186" s="17" t="str">
        <f>VLOOKUP(Table1[[#This Row],[Isin code]],Table2[#All],8,FALSE)</f>
        <v>21-Jul-2026</v>
      </c>
      <c r="V186" s="10">
        <f ca="1">Table1[[#This Row],[Maturity]]-TODAY()</f>
        <v>643</v>
      </c>
      <c r="W186" t="str">
        <f>VLOOKUP(Table1[[#This Row],[Isin code]],Table2[#All],10,FALSE)</f>
        <v>Monthly</v>
      </c>
      <c r="X186">
        <f ca="1">_xlfn.DAYS(Table1[[#This Row],[Maturity]],TODAY())-15</f>
        <v>628</v>
      </c>
      <c r="Y1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21</v>
      </c>
      <c r="Z186">
        <f>IF(Table1[[#This Row],[Ask Rate]]=0,0,Table1[[#This Row],[Face Value]]-Table1[[#This Row],[Ask Rate]])</f>
        <v>20</v>
      </c>
      <c r="AA186">
        <f>IF(Table1[[#This Row],[Freq]]="Yearly",Table1[[#This Row],[Coupon_Rate]]/100,IF(Table1[[#This Row],[Freq]]="Monthly",Table1[[#This Row],[Coupon_Rate]]/1200,IF(Table1[[#This Row],[Freq]]="Quarterly",Table1[[#This Row],[Coupon_Rate]]/400,0)))</f>
        <v>7.6666666666666662E-3</v>
      </c>
      <c r="AB186">
        <f ca="1">Table1[[#This Row],[Face Value]]*Table1[[#This Row],[Rate]]*Table1[[#This Row],[Time]]</f>
        <v>161</v>
      </c>
      <c r="AC186">
        <f ca="1">Table1[[#This Row],[SI]]+Table1[[#This Row],[Disc/Prem]]</f>
        <v>181</v>
      </c>
      <c r="AD186" s="3">
        <f ca="1">Table1[[#This Row],[Net Gain]]/Table1[[#This Row],[Ask Rate]]</f>
        <v>0.1846938775510204</v>
      </c>
      <c r="AE186" s="3">
        <f ca="1">IF(Table1[[#This Row],[Ask Qty]]=0,0,Table1[[#This Row],[Gross Yield]]*365/Table1[[#This Row],[Days Left]])</f>
        <v>0.10484178119148124</v>
      </c>
      <c r="AF186" s="9">
        <f ca="1">+Table1[[#This Row],[Net Gain]]*Table1[[#This Row],[Ask Qty]]</f>
        <v>4525</v>
      </c>
      <c r="AG186" t="str">
        <f ca="1">IF(Table1[[#This Row],[YTM]]&gt;0.12,IF(Table1[[#This Row],[Gross Profit]]&gt;10000,"Invest","Review"),"Low YTM")</f>
        <v>Low YTM</v>
      </c>
    </row>
    <row r="187" spans="1:33" x14ac:dyDescent="0.3">
      <c r="A187" t="str">
        <f>RTD("nest.scriprtd",,"bse_cm|915EFSL26A","Symbol")</f>
        <v>915EFSL26A</v>
      </c>
      <c r="B187" t="str">
        <f>RTD("nest.scriprtd",,"bse_cm|915EFSL26A","Trading Symbol")</f>
        <v>915EFSL26A</v>
      </c>
      <c r="C187" t="str">
        <f>RTD("nest.scriprtd",,"bse_cm|915EFSL26A","Exchange")</f>
        <v>BSE</v>
      </c>
      <c r="D187">
        <f>RTD("nest.scriprtd",,"bse_cm|915EFSL26A","Bid Qty")</f>
        <v>10</v>
      </c>
      <c r="E187">
        <f>RTD("nest.scriprtd",,"bse_cm|915EFSL26A","Bid Rate")</f>
        <v>931.7</v>
      </c>
      <c r="F187">
        <f>RTD("nest.scriprtd",,"bse_cm|915EFSL26A","Ask Rate")</f>
        <v>980.1</v>
      </c>
      <c r="G187">
        <f>RTD("nest.scriprtd",,"bse_cm|915EFSL26A","Ask Qty")</f>
        <v>25</v>
      </c>
      <c r="H187">
        <f>RTD("nest.scriprtd",,"bse_cm|915EFSL26A","LTP")</f>
        <v>0</v>
      </c>
      <c r="I187" t="str">
        <f>RTD("nest.scriprtd",,"bse_cm|915EFSL26A","LTT")</f>
        <v>00:00:00</v>
      </c>
      <c r="J187">
        <f>RTD("nest.scriprtd",,"bse_cm|915EFSL26A","% Change")</f>
        <v>-100</v>
      </c>
      <c r="K187">
        <f>RTD("nest.scriprtd",,"bse_cm|915EFSL26A","ATP")</f>
        <v>0</v>
      </c>
      <c r="L187">
        <f>RTD("nest.scriprtd",,"bse_cm|915EFSL26A","Volume Traded Today")</f>
        <v>0</v>
      </c>
      <c r="M187">
        <f>RTD("nest.scriprtd",,"bse_cm|915EFSL26A","Open")</f>
        <v>0</v>
      </c>
      <c r="N187">
        <f>RTD("nest.scriprtd",,"bse_cm|915EFSL26A","High")</f>
        <v>945.8</v>
      </c>
      <c r="O187">
        <f>RTD("nest.scriprtd",,"bse_cm|915EFSL26A","Low ")</f>
        <v>945</v>
      </c>
      <c r="P187">
        <f>RTD("nest.scriprtd",,"bse_cm|915EFSL26A","Prev Close")</f>
        <v>945</v>
      </c>
      <c r="Q187">
        <f>RTD("nest.scriprtd",,"bse_cm|915EFSL26A","Face Value")</f>
        <v>1000</v>
      </c>
      <c r="R187" t="str">
        <f>RTD("nest.scriprtd",,"bse_cm|915EFSL26A","Isin code")</f>
        <v>INE532F07CQ2</v>
      </c>
      <c r="S187" s="9">
        <f>Table1[[#This Row],[Ask Rate]]*Table1[[#This Row],[Ask Qty]]</f>
        <v>24502.5</v>
      </c>
      <c r="T187">
        <f>VLOOKUP(Table1[[#This Row],[Isin code]],Table2[#All],7,FALSE)</f>
        <v>9.15</v>
      </c>
      <c r="U187" s="17" t="str">
        <f>VLOOKUP(Table1[[#This Row],[Isin code]],Table2[#All],8,FALSE)</f>
        <v>28-Dec-2026</v>
      </c>
      <c r="V187" s="10">
        <f ca="1">Table1[[#This Row],[Maturity]]-TODAY()</f>
        <v>803</v>
      </c>
      <c r="W187" t="str">
        <f>VLOOKUP(Table1[[#This Row],[Isin code]],Table2[#All],10,FALSE)</f>
        <v>Monthly</v>
      </c>
      <c r="X187">
        <f ca="1">_xlfn.DAYS(Table1[[#This Row],[Maturity]],TODAY())-15</f>
        <v>788</v>
      </c>
      <c r="Y1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187">
        <f>IF(Table1[[#This Row],[Ask Rate]]=0,0,Table1[[#This Row],[Face Value]]-Table1[[#This Row],[Ask Rate]])</f>
        <v>19.899999999999977</v>
      </c>
      <c r="AA187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187">
        <f ca="1">Table1[[#This Row],[Face Value]]*Table1[[#This Row],[Rate]]*Table1[[#This Row],[Time]]</f>
        <v>205.87500000000003</v>
      </c>
      <c r="AC187">
        <f ca="1">Table1[[#This Row],[SI]]+Table1[[#This Row],[Disc/Prem]]</f>
        <v>225.77500000000001</v>
      </c>
      <c r="AD187" s="3">
        <f ca="1">Table1[[#This Row],[Net Gain]]/Table1[[#This Row],[Ask Rate]]</f>
        <v>0.2303591470258137</v>
      </c>
      <c r="AE187" s="3">
        <f ca="1">IF(Table1[[#This Row],[Ask Qty]]=0,0,Table1[[#This Row],[Gross Yield]]*365/Table1[[#This Row],[Days Left]])</f>
        <v>0.10470870319355167</v>
      </c>
      <c r="AF187" s="9">
        <f ca="1">+Table1[[#This Row],[Net Gain]]*Table1[[#This Row],[Ask Qty]]</f>
        <v>5644.375</v>
      </c>
      <c r="AG187" t="str">
        <f ca="1">IF(Table1[[#This Row],[YTM]]&gt;0.12,IF(Table1[[#This Row],[Gross Profit]]&gt;10000,"Invest","Review"),"Low YTM")</f>
        <v>Low YTM</v>
      </c>
    </row>
    <row r="188" spans="1:33" x14ac:dyDescent="0.3">
      <c r="A188" t="str">
        <f>RTD("nest.scriprtd",,"bse_cm|939EFSL26","Symbol")</f>
        <v>939EFSL26</v>
      </c>
      <c r="B188" t="str">
        <f>RTD("nest.scriprtd",,"bse_cm|939EFSL26","Trading Symbol")</f>
        <v>939EFSL26</v>
      </c>
      <c r="C188" t="str">
        <f>RTD("nest.scriprtd",,"bse_cm|939EFSL26","Exchange")</f>
        <v>BSE</v>
      </c>
      <c r="D188">
        <f>RTD("nest.scriprtd",,"bse_cm|939EFSL26","Bid Qty")</f>
        <v>93</v>
      </c>
      <c r="E188">
        <f>RTD("nest.scriprtd",,"bse_cm|939EFSL26","Bid Rate")</f>
        <v>956</v>
      </c>
      <c r="F188">
        <f>RTD("nest.scriprtd",,"bse_cm|939EFSL26","Ask Rate")</f>
        <v>990</v>
      </c>
      <c r="G188">
        <f>RTD("nest.scriprtd",,"bse_cm|939EFSL26","Ask Qty")</f>
        <v>50</v>
      </c>
      <c r="H188">
        <f>RTD("nest.scriprtd",,"bse_cm|939EFSL26","LTP")</f>
        <v>0</v>
      </c>
      <c r="I188" t="str">
        <f>RTD("nest.scriprtd",,"bse_cm|939EFSL26","LTT")</f>
        <v>00:00:00</v>
      </c>
      <c r="J188">
        <f>RTD("nest.scriprtd",,"bse_cm|939EFSL26","% Change")</f>
        <v>-100</v>
      </c>
      <c r="K188">
        <f>RTD("nest.scriprtd",,"bse_cm|939EFSL26","ATP")</f>
        <v>0</v>
      </c>
      <c r="L188">
        <f>RTD("nest.scriprtd",,"bse_cm|939EFSL26","Volume Traded Today")</f>
        <v>0</v>
      </c>
      <c r="M188">
        <f>RTD("nest.scriprtd",,"bse_cm|939EFSL26","Open")</f>
        <v>0</v>
      </c>
      <c r="N188">
        <f>RTD("nest.scriprtd",,"bse_cm|939EFSL26","High")</f>
        <v>986</v>
      </c>
      <c r="O188">
        <f>RTD("nest.scriprtd",,"bse_cm|939EFSL26","Low ")</f>
        <v>986</v>
      </c>
      <c r="P188">
        <f>RTD("nest.scriprtd",,"bse_cm|939EFSL26","Prev Close")</f>
        <v>986</v>
      </c>
      <c r="Q188">
        <f>RTD("nest.scriprtd",,"bse_cm|939EFSL26","Face Value")</f>
        <v>1000</v>
      </c>
      <c r="R188" t="str">
        <f>RTD("nest.scriprtd",,"bse_cm|939EFSL26","Isin code")</f>
        <v>INE532F07BM3</v>
      </c>
      <c r="S188" s="9">
        <f>Table1[[#This Row],[Ask Rate]]*Table1[[#This Row],[Ask Qty]]</f>
        <v>49500</v>
      </c>
      <c r="T188">
        <f>VLOOKUP(Table1[[#This Row],[Isin code]],Table2[#All],7,FALSE)</f>
        <v>9.39</v>
      </c>
      <c r="U188" s="17" t="str">
        <f>VLOOKUP(Table1[[#This Row],[Isin code]],Table2[#All],8,FALSE)</f>
        <v>08-Jan-2026</v>
      </c>
      <c r="V188" s="10">
        <f ca="1">Table1[[#This Row],[Maturity]]-TODAY()</f>
        <v>449</v>
      </c>
      <c r="W188" t="str">
        <f>VLOOKUP(Table1[[#This Row],[Isin code]],Table2[#All],10,FALSE)</f>
        <v>Monthly</v>
      </c>
      <c r="X188">
        <f ca="1">_xlfn.DAYS(Table1[[#This Row],[Maturity]],TODAY())-15</f>
        <v>434</v>
      </c>
      <c r="Y1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188">
        <f>IF(Table1[[#This Row],[Ask Rate]]=0,0,Table1[[#This Row],[Face Value]]-Table1[[#This Row],[Ask Rate]])</f>
        <v>10</v>
      </c>
      <c r="AA188">
        <f>IF(Table1[[#This Row],[Freq]]="Yearly",Table1[[#This Row],[Coupon_Rate]]/100,IF(Table1[[#This Row],[Freq]]="Monthly",Table1[[#This Row],[Coupon_Rate]]/1200,IF(Table1[[#This Row],[Freq]]="Quarterly",Table1[[#This Row],[Coupon_Rate]]/400,0)))</f>
        <v>7.8250000000000004E-3</v>
      </c>
      <c r="AB188">
        <f ca="1">Table1[[#This Row],[Face Value]]*Table1[[#This Row],[Rate]]*Table1[[#This Row],[Time]]</f>
        <v>117.375</v>
      </c>
      <c r="AC188">
        <f ca="1">Table1[[#This Row],[SI]]+Table1[[#This Row],[Disc/Prem]]</f>
        <v>127.375</v>
      </c>
      <c r="AD188" s="3">
        <f ca="1">Table1[[#This Row],[Net Gain]]/Table1[[#This Row],[Ask Rate]]</f>
        <v>0.12866161616161617</v>
      </c>
      <c r="AE188" s="3">
        <f ca="1">IF(Table1[[#This Row],[Ask Qty]]=0,0,Table1[[#This Row],[Gross Yield]]*365/Table1[[#This Row],[Days Left]])</f>
        <v>0.10459129153449867</v>
      </c>
      <c r="AF188" s="9">
        <f ca="1">+Table1[[#This Row],[Net Gain]]*Table1[[#This Row],[Ask Qty]]</f>
        <v>6368.75</v>
      </c>
      <c r="AG188" t="str">
        <f ca="1">IF(Table1[[#This Row],[YTM]]&gt;0.12,IF(Table1[[#This Row],[Gross Profit]]&gt;10000,"Invest","Review"),"Low YTM")</f>
        <v>Low YTM</v>
      </c>
    </row>
    <row r="189" spans="1:33" x14ac:dyDescent="0.3">
      <c r="A189" t="str">
        <f>RTD("nest.scriprtd",,"bse_cm|94MFL27","Symbol")</f>
        <v>94MFL27</v>
      </c>
      <c r="B189" t="str">
        <f>RTD("nest.scriprtd",,"bse_cm|94MFL27","Trading Symbol")</f>
        <v>94MFL27</v>
      </c>
      <c r="C189" t="str">
        <f>RTD("nest.scriprtd",,"bse_cm|94MFL27","Exchange")</f>
        <v>BSE</v>
      </c>
      <c r="D189">
        <f>RTD("nest.scriprtd",,"bse_cm|94MFL27","Bid Qty")</f>
        <v>50</v>
      </c>
      <c r="E189">
        <f>RTD("nest.scriprtd",,"bse_cm|94MFL27","Bid Rate")</f>
        <v>1011.22</v>
      </c>
      <c r="F189">
        <f>RTD("nest.scriprtd",,"bse_cm|94MFL27","Ask Rate")</f>
        <v>1035</v>
      </c>
      <c r="G189">
        <f>RTD("nest.scriprtd",,"bse_cm|94MFL27","Ask Qty")</f>
        <v>201</v>
      </c>
      <c r="H189">
        <f>RTD("nest.scriprtd",,"bse_cm|94MFL27","LTP")</f>
        <v>0</v>
      </c>
      <c r="I189" t="str">
        <f>RTD("nest.scriprtd",,"bse_cm|94MFL27","LTT")</f>
        <v>00:00:00</v>
      </c>
      <c r="J189">
        <f>RTD("nest.scriprtd",,"bse_cm|94MFL27","% Change")</f>
        <v>-100</v>
      </c>
      <c r="K189">
        <f>RTD("nest.scriprtd",,"bse_cm|94MFL27","ATP")</f>
        <v>0</v>
      </c>
      <c r="L189">
        <f>RTD("nest.scriprtd",,"bse_cm|94MFL27","Volume Traded Today")</f>
        <v>0</v>
      </c>
      <c r="M189">
        <f>RTD("nest.scriprtd",,"bse_cm|94MFL27","Open")</f>
        <v>0</v>
      </c>
      <c r="N189">
        <f>RTD("nest.scriprtd",,"bse_cm|94MFL27","High")</f>
        <v>1020.02</v>
      </c>
      <c r="O189">
        <f>RTD("nest.scriprtd",,"bse_cm|94MFL27","Low ")</f>
        <v>1020</v>
      </c>
      <c r="P189">
        <f>RTD("nest.scriprtd",,"bse_cm|94MFL27","Prev Close")</f>
        <v>1020</v>
      </c>
      <c r="Q189">
        <f>RTD("nest.scriprtd",,"bse_cm|94MFL27","Face Value")</f>
        <v>1000</v>
      </c>
      <c r="R189" t="str">
        <f>RTD("nest.scriprtd",,"bse_cm|94MFL27","Isin code")</f>
        <v>INE549K08186</v>
      </c>
      <c r="S189" s="9">
        <f>Table1[[#This Row],[Ask Rate]]*Table1[[#This Row],[Ask Qty]]</f>
        <v>208035</v>
      </c>
      <c r="T189">
        <f>VLOOKUP(Table1[[#This Row],[Isin code]],Table2[#All],7,FALSE)</f>
        <v>9.4</v>
      </c>
      <c r="U189" s="17" t="str">
        <f>VLOOKUP(Table1[[#This Row],[Isin code]],Table2[#All],8,FALSE)</f>
        <v>29-Jan-2027</v>
      </c>
      <c r="V189" s="10">
        <f ca="1">Table1[[#This Row],[Maturity]]-TODAY()</f>
        <v>835</v>
      </c>
      <c r="W189" t="str">
        <f>VLOOKUP(Table1[[#This Row],[Isin code]],Table2[#All],10,FALSE)</f>
        <v>Yearly</v>
      </c>
      <c r="X189">
        <f ca="1">_xlfn.DAYS(Table1[[#This Row],[Maturity]],TODAY())-15</f>
        <v>820</v>
      </c>
      <c r="Y1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89">
        <f>IF(Table1[[#This Row],[Ask Rate]]=0,0,Table1[[#This Row],[Face Value]]-Table1[[#This Row],[Ask Rate]])</f>
        <v>-35</v>
      </c>
      <c r="AA189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189">
        <f ca="1">Table1[[#This Row],[Face Value]]*Table1[[#This Row],[Rate]]*Table1[[#This Row],[Time]]</f>
        <v>282</v>
      </c>
      <c r="AC189">
        <f ca="1">Table1[[#This Row],[SI]]+Table1[[#This Row],[Disc/Prem]]</f>
        <v>247</v>
      </c>
      <c r="AD189" s="3">
        <f ca="1">Table1[[#This Row],[Net Gain]]/Table1[[#This Row],[Ask Rate]]</f>
        <v>0.23864734299516907</v>
      </c>
      <c r="AE189" s="3">
        <f ca="1">IF(Table1[[#This Row],[Ask Qty]]=0,0,Table1[[#This Row],[Gross Yield]]*365/Table1[[#This Row],[Days Left]])</f>
        <v>0.10431889843501403</v>
      </c>
      <c r="AF189" s="9">
        <f ca="1">+Table1[[#This Row],[Net Gain]]*Table1[[#This Row],[Ask Qty]]</f>
        <v>49647</v>
      </c>
      <c r="AG189" t="str">
        <f ca="1">IF(Table1[[#This Row],[YTM]]&gt;0.12,IF(Table1[[#This Row],[Gross Profit]]&gt;10000,"Invest","Review"),"Low YTM")</f>
        <v>Low YTM</v>
      </c>
    </row>
    <row r="190" spans="1:33" x14ac:dyDescent="0.3">
      <c r="A190" t="str">
        <f>RTD("nest.scriprtd",,"bse_cm|967EFS28","Symbol")</f>
        <v>967EFS28</v>
      </c>
      <c r="B190" t="str">
        <f>RTD("nest.scriprtd",,"bse_cm|967EFS28","Trading Symbol")</f>
        <v>967EFS28</v>
      </c>
      <c r="C190" t="str">
        <f>RTD("nest.scriprtd",,"bse_cm|967EFS28","Exchange")</f>
        <v>BSE</v>
      </c>
      <c r="D190">
        <f>RTD("nest.scriprtd",,"bse_cm|967EFS28","Bid Qty")</f>
        <v>100</v>
      </c>
      <c r="E190">
        <f>RTD("nest.scriprtd",,"bse_cm|967EFS28","Bid Rate")</f>
        <v>911.66</v>
      </c>
      <c r="F190">
        <f>RTD("nest.scriprtd",,"bse_cm|967EFS28","Ask Rate")</f>
        <v>985</v>
      </c>
      <c r="G190">
        <f>RTD("nest.scriprtd",,"bse_cm|967EFS28","Ask Qty")</f>
        <v>327</v>
      </c>
      <c r="H190">
        <f>RTD("nest.scriprtd",,"bse_cm|967EFS28","LTP")</f>
        <v>0</v>
      </c>
      <c r="I190" t="str">
        <f>RTD("nest.scriprtd",,"bse_cm|967EFS28","LTT")</f>
        <v>00:00:00</v>
      </c>
      <c r="J190">
        <f>RTD("nest.scriprtd",,"bse_cm|967EFS28","% Change")</f>
        <v>-100</v>
      </c>
      <c r="K190">
        <f>RTD("nest.scriprtd",,"bse_cm|967EFS28","ATP")</f>
        <v>0</v>
      </c>
      <c r="L190">
        <f>RTD("nest.scriprtd",,"bse_cm|967EFS28","Volume Traded Today")</f>
        <v>0</v>
      </c>
      <c r="M190">
        <f>RTD("nest.scriprtd",,"bse_cm|967EFS28","Open")</f>
        <v>0</v>
      </c>
      <c r="N190">
        <f>RTD("nest.scriprtd",,"bse_cm|967EFS28","High")</f>
        <v>940</v>
      </c>
      <c r="O190">
        <f>RTD("nest.scriprtd",,"bse_cm|967EFS28","Low ")</f>
        <v>940</v>
      </c>
      <c r="P190">
        <f>RTD("nest.scriprtd",,"bse_cm|967EFS28","Prev Close")</f>
        <v>940</v>
      </c>
      <c r="Q190">
        <f>RTD("nest.scriprtd",,"bse_cm|967EFS28","Face Value")</f>
        <v>1000</v>
      </c>
      <c r="R190" t="str">
        <f>RTD("nest.scriprtd",,"bse_cm|967EFS28","Isin code")</f>
        <v>INE532F07EG9</v>
      </c>
      <c r="S190" s="9">
        <f>Table1[[#This Row],[Ask Rate]]*Table1[[#This Row],[Ask Qty]]</f>
        <v>322095</v>
      </c>
      <c r="T190">
        <f>VLOOKUP(Table1[[#This Row],[Isin code]],Table2[#All],7,FALSE)</f>
        <v>9.67</v>
      </c>
      <c r="U190" s="17" t="str">
        <f>VLOOKUP(Table1[[#This Row],[Isin code]],Table2[#All],8,FALSE)</f>
        <v>21-Jul-2028</v>
      </c>
      <c r="V190" s="10">
        <f ca="1">Table1[[#This Row],[Maturity]]-TODAY()</f>
        <v>1374</v>
      </c>
      <c r="W190" t="str">
        <f>VLOOKUP(Table1[[#This Row],[Isin code]],Table2[#All],10,FALSE)</f>
        <v>Monthly</v>
      </c>
      <c r="X190">
        <f ca="1">_xlfn.DAYS(Table1[[#This Row],[Maturity]],TODAY())-15</f>
        <v>1359</v>
      </c>
      <c r="Y1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190">
        <f>IF(Table1[[#This Row],[Ask Rate]]=0,0,Table1[[#This Row],[Face Value]]-Table1[[#This Row],[Ask Rate]])</f>
        <v>15</v>
      </c>
      <c r="AA190">
        <f>IF(Table1[[#This Row],[Freq]]="Yearly",Table1[[#This Row],[Coupon_Rate]]/100,IF(Table1[[#This Row],[Freq]]="Monthly",Table1[[#This Row],[Coupon_Rate]]/1200,IF(Table1[[#This Row],[Freq]]="Quarterly",Table1[[#This Row],[Coupon_Rate]]/400,0)))</f>
        <v>8.058333333333334E-3</v>
      </c>
      <c r="AB190">
        <f ca="1">Table1[[#This Row],[Face Value]]*Table1[[#This Row],[Rate]]*Table1[[#This Row],[Time]]</f>
        <v>370.68333333333334</v>
      </c>
      <c r="AC190">
        <f ca="1">Table1[[#This Row],[SI]]+Table1[[#This Row],[Disc/Prem]]</f>
        <v>385.68333333333334</v>
      </c>
      <c r="AD190" s="3">
        <f ca="1">Table1[[#This Row],[Net Gain]]/Table1[[#This Row],[Ask Rate]]</f>
        <v>0.39155668358714046</v>
      </c>
      <c r="AE190" s="3">
        <f ca="1">IF(Table1[[#This Row],[Ask Qty]]=0,0,Table1[[#This Row],[Gross Yield]]*365/Table1[[#This Row],[Days Left]])</f>
        <v>0.10401614957009191</v>
      </c>
      <c r="AF190" s="9">
        <f ca="1">+Table1[[#This Row],[Net Gain]]*Table1[[#This Row],[Ask Qty]]</f>
        <v>126118.45</v>
      </c>
      <c r="AG190" t="str">
        <f ca="1">IF(Table1[[#This Row],[YTM]]&gt;0.12,IF(Table1[[#This Row],[Gross Profit]]&gt;10000,"Invest","Review"),"Low YTM")</f>
        <v>Low YTM</v>
      </c>
    </row>
    <row r="191" spans="1:33" x14ac:dyDescent="0.3">
      <c r="A191" t="str">
        <f>RTD("nest.scriprtd",,"bse_cm|953EFSL31","Symbol")</f>
        <v>953EFSL31</v>
      </c>
      <c r="B191" t="str">
        <f>RTD("nest.scriprtd",,"bse_cm|953EFSL31","Trading Symbol")</f>
        <v>953EFSL31</v>
      </c>
      <c r="C191" t="str">
        <f>RTD("nest.scriprtd",,"bse_cm|953EFSL31","Exchange")</f>
        <v>BSE</v>
      </c>
      <c r="D191">
        <f>RTD("nest.scriprtd",,"bse_cm|953EFSL31","Bid Qty")</f>
        <v>50</v>
      </c>
      <c r="E191">
        <f>RTD("nest.scriprtd",,"bse_cm|953EFSL31","Bid Rate")</f>
        <v>890</v>
      </c>
      <c r="F191">
        <f>RTD("nest.scriprtd",,"bse_cm|953EFSL31","Ask Rate")</f>
        <v>970.9</v>
      </c>
      <c r="G191">
        <f>RTD("nest.scriprtd",,"bse_cm|953EFSL31","Ask Qty")</f>
        <v>9</v>
      </c>
      <c r="H191">
        <f>RTD("nest.scriprtd",,"bse_cm|953EFSL31","LTP")</f>
        <v>0</v>
      </c>
      <c r="I191" t="str">
        <f>RTD("nest.scriprtd",,"bse_cm|953EFSL31","LTT")</f>
        <v>00:00:00</v>
      </c>
      <c r="J191">
        <f>RTD("nest.scriprtd",,"bse_cm|953EFSL31","% Change")</f>
        <v>-100</v>
      </c>
      <c r="K191">
        <f>RTD("nest.scriprtd",,"bse_cm|953EFSL31","ATP")</f>
        <v>0</v>
      </c>
      <c r="L191">
        <f>RTD("nest.scriprtd",,"bse_cm|953EFSL31","Volume Traded Today")</f>
        <v>0</v>
      </c>
      <c r="M191">
        <f>RTD("nest.scriprtd",,"bse_cm|953EFSL31","Open")</f>
        <v>0</v>
      </c>
      <c r="N191">
        <f>RTD("nest.scriprtd",,"bse_cm|953EFSL31","High")</f>
        <v>915</v>
      </c>
      <c r="O191">
        <f>RTD("nest.scriprtd",,"bse_cm|953EFSL31","Low ")</f>
        <v>915</v>
      </c>
      <c r="P191">
        <f>RTD("nest.scriprtd",,"bse_cm|953EFSL31","Prev Close")</f>
        <v>915</v>
      </c>
      <c r="Q191">
        <f>RTD("nest.scriprtd",,"bse_cm|953EFSL31","Face Value")</f>
        <v>1000</v>
      </c>
      <c r="R191" t="str">
        <f>RTD("nest.scriprtd",,"bse_cm|953EFSL31","Isin code")</f>
        <v>INE532F07BP6</v>
      </c>
      <c r="S191" s="9">
        <f>Table1[[#This Row],[Ask Rate]]*Table1[[#This Row],[Ask Qty]]</f>
        <v>8738.1</v>
      </c>
      <c r="T191">
        <f>VLOOKUP(Table1[[#This Row],[Isin code]],Table2[#All],7,FALSE)</f>
        <v>9.5299999999999994</v>
      </c>
      <c r="U191" s="17" t="str">
        <f>VLOOKUP(Table1[[#This Row],[Isin code]],Table2[#All],8,FALSE)</f>
        <v>08-Jan-2031</v>
      </c>
      <c r="V191" s="10">
        <f ca="1">Table1[[#This Row],[Maturity]]-TODAY()</f>
        <v>2275</v>
      </c>
      <c r="W191" t="str">
        <f>VLOOKUP(Table1[[#This Row],[Isin code]],Table2[#All],10,FALSE)</f>
        <v>Monthly</v>
      </c>
      <c r="X191">
        <f ca="1">_xlfn.DAYS(Table1[[#This Row],[Maturity]],TODAY())-15</f>
        <v>2260</v>
      </c>
      <c r="Y1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76</v>
      </c>
      <c r="Z191">
        <f>IF(Table1[[#This Row],[Ask Rate]]=0,0,Table1[[#This Row],[Face Value]]-Table1[[#This Row],[Ask Rate]])</f>
        <v>29.100000000000023</v>
      </c>
      <c r="AA191">
        <f>IF(Table1[[#This Row],[Freq]]="Yearly",Table1[[#This Row],[Coupon_Rate]]/100,IF(Table1[[#This Row],[Freq]]="Monthly",Table1[[#This Row],[Coupon_Rate]]/1200,IF(Table1[[#This Row],[Freq]]="Quarterly",Table1[[#This Row],[Coupon_Rate]]/400,0)))</f>
        <v>7.9416666666666663E-3</v>
      </c>
      <c r="AB191">
        <f ca="1">Table1[[#This Row],[Face Value]]*Table1[[#This Row],[Rate]]*Table1[[#This Row],[Time]]</f>
        <v>603.56666666666661</v>
      </c>
      <c r="AC191">
        <f ca="1">Table1[[#This Row],[SI]]+Table1[[#This Row],[Disc/Prem]]</f>
        <v>632.66666666666663</v>
      </c>
      <c r="AD191" s="3">
        <f ca="1">Table1[[#This Row],[Net Gain]]/Table1[[#This Row],[Ask Rate]]</f>
        <v>0.65162907268170422</v>
      </c>
      <c r="AE191" s="3">
        <f ca="1">IF(Table1[[#This Row],[Ask Qty]]=0,0,Table1[[#This Row],[Gross Yield]]*365/Table1[[#This Row],[Days Left]])</f>
        <v>0.104547081990691</v>
      </c>
      <c r="AF191" s="9">
        <f ca="1">+Table1[[#This Row],[Net Gain]]*Table1[[#This Row],[Ask Qty]]</f>
        <v>5694</v>
      </c>
      <c r="AG191" t="str">
        <f ca="1">IF(Table1[[#This Row],[YTM]]&gt;0.12,IF(Table1[[#This Row],[Gross Profit]]&gt;10000,"Invest","Review"),"Low YTM")</f>
        <v>Low YTM</v>
      </c>
    </row>
    <row r="192" spans="1:33" x14ac:dyDescent="0.3">
      <c r="A192" t="str">
        <f>RTD("nest.scriprtd",,"bse_cm|995EFSL31","Symbol")</f>
        <v>995EFSL31</v>
      </c>
      <c r="B192" t="str">
        <f>RTD("nest.scriprtd",,"bse_cm|995EFSL31","Trading Symbol")</f>
        <v>995EFSL31</v>
      </c>
      <c r="C192" t="str">
        <f>RTD("nest.scriprtd",,"bse_cm|995EFSL31","Exchange")</f>
        <v>BSE</v>
      </c>
      <c r="D192">
        <f>RTD("nest.scriprtd",,"bse_cm|995EFSL31","Bid Qty")</f>
        <v>170</v>
      </c>
      <c r="E192">
        <f>RTD("nest.scriprtd",,"bse_cm|995EFSL31","Bid Rate")</f>
        <v>940.2</v>
      </c>
      <c r="F192">
        <f>RTD("nest.scriprtd",,"bse_cm|995EFSL31","Ask Rate")</f>
        <v>1029.8</v>
      </c>
      <c r="G192">
        <f>RTD("nest.scriprtd",,"bse_cm|995EFSL31","Ask Qty")</f>
        <v>10</v>
      </c>
      <c r="H192">
        <f>RTD("nest.scriprtd",,"bse_cm|995EFSL31","LTP")</f>
        <v>0</v>
      </c>
      <c r="I192" t="str">
        <f>RTD("nest.scriprtd",,"bse_cm|995EFSL31","LTT")</f>
        <v>00:00:00</v>
      </c>
      <c r="J192">
        <f>RTD("nest.scriprtd",,"bse_cm|995EFSL31","% Change")</f>
        <v>-100</v>
      </c>
      <c r="K192">
        <f>RTD("nest.scriprtd",,"bse_cm|995EFSL31","ATP")</f>
        <v>0</v>
      </c>
      <c r="L192">
        <f>RTD("nest.scriprtd",,"bse_cm|995EFSL31","Volume Traded Today")</f>
        <v>0</v>
      </c>
      <c r="M192">
        <f>RTD("nest.scriprtd",,"bse_cm|995EFSL31","Open")</f>
        <v>0</v>
      </c>
      <c r="N192">
        <f>RTD("nest.scriprtd",,"bse_cm|995EFSL31","High")</f>
        <v>940.2</v>
      </c>
      <c r="O192">
        <f>RTD("nest.scriprtd",,"bse_cm|995EFSL31","Low ")</f>
        <v>940.2</v>
      </c>
      <c r="P192">
        <f>RTD("nest.scriprtd",,"bse_cm|995EFSL31","Prev Close")</f>
        <v>940.2</v>
      </c>
      <c r="Q192">
        <f>RTD("nest.scriprtd",,"bse_cm|995EFSL31","Face Value")</f>
        <v>1000</v>
      </c>
      <c r="R192" t="str">
        <f>RTD("nest.scriprtd",,"bse_cm|995EFSL31","Isin code")</f>
        <v>INE532F07BQ4</v>
      </c>
      <c r="S192" s="9">
        <f>Table1[[#This Row],[Ask Rate]]*Table1[[#This Row],[Ask Qty]]</f>
        <v>10298</v>
      </c>
      <c r="T192">
        <f>VLOOKUP(Table1[[#This Row],[Isin code]],Table2[#All],7,FALSE)</f>
        <v>9.9500000000000011</v>
      </c>
      <c r="U192" s="17" t="str">
        <f>VLOOKUP(Table1[[#This Row],[Isin code]],Table2[#All],8,FALSE)</f>
        <v>08-Jan-2031</v>
      </c>
      <c r="V192" s="10">
        <f ca="1">Table1[[#This Row],[Maturity]]-TODAY()</f>
        <v>2275</v>
      </c>
      <c r="W192" t="str">
        <f>VLOOKUP(Table1[[#This Row],[Isin code]],Table2[#All],10,FALSE)</f>
        <v>Yearly</v>
      </c>
      <c r="X192">
        <f ca="1">_xlfn.DAYS(Table1[[#This Row],[Maturity]],TODAY())-15</f>
        <v>2260</v>
      </c>
      <c r="Y1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92">
        <f>IF(Table1[[#This Row],[Ask Rate]]=0,0,Table1[[#This Row],[Face Value]]-Table1[[#This Row],[Ask Rate]])</f>
        <v>-29.799999999999955</v>
      </c>
      <c r="AA192">
        <f>IF(Table1[[#This Row],[Freq]]="Yearly",Table1[[#This Row],[Coupon_Rate]]/100,IF(Table1[[#This Row],[Freq]]="Monthly",Table1[[#This Row],[Coupon_Rate]]/1200,IF(Table1[[#This Row],[Freq]]="Quarterly",Table1[[#This Row],[Coupon_Rate]]/400,0)))</f>
        <v>9.9500000000000005E-2</v>
      </c>
      <c r="AB192">
        <f ca="1">Table1[[#This Row],[Face Value]]*Table1[[#This Row],[Rate]]*Table1[[#This Row],[Time]]</f>
        <v>696.5</v>
      </c>
      <c r="AC192">
        <f ca="1">Table1[[#This Row],[SI]]+Table1[[#This Row],[Disc/Prem]]</f>
        <v>666.7</v>
      </c>
      <c r="AD192" s="3">
        <f ca="1">Table1[[#This Row],[Net Gain]]/Table1[[#This Row],[Ask Rate]]</f>
        <v>0.64740726354631972</v>
      </c>
      <c r="AE192" s="3">
        <f ca="1">IF(Table1[[#This Row],[Ask Qty]]=0,0,Table1[[#This Row],[Gross Yield]]*365/Table1[[#This Row],[Days Left]])</f>
        <v>0.10386973678875021</v>
      </c>
      <c r="AF192" s="9">
        <f ca="1">+Table1[[#This Row],[Net Gain]]*Table1[[#This Row],[Ask Qty]]</f>
        <v>6667</v>
      </c>
      <c r="AG192" t="str">
        <f ca="1">IF(Table1[[#This Row],[YTM]]&gt;0.12,IF(Table1[[#This Row],[Gross Profit]]&gt;10000,"Invest","Review"),"Low YTM")</f>
        <v>Low YTM</v>
      </c>
    </row>
    <row r="193" spans="1:33" x14ac:dyDescent="0.3">
      <c r="A193" t="str">
        <f>RTD("nest.scriprtd",,"nse_cm|10IIFL29-N6","Symbol")</f>
        <v>10IIFL29</v>
      </c>
      <c r="B193" t="str">
        <f>RTD("nest.scriprtd",,"nse_cm|10IIFL29-N6","Trading Symbol")</f>
        <v>10IIFL29-N6</v>
      </c>
      <c r="C193" t="str">
        <f>RTD("nest.scriprtd",,"nse_cm|10IIFL29-N6","Exchange")</f>
        <v>NSE</v>
      </c>
      <c r="D193">
        <f>RTD("nest.scriprtd",,"nse_cm|10IIFL29-N6","Bid Qty")</f>
        <v>25</v>
      </c>
      <c r="E193">
        <f>RTD("nest.scriprtd",,"nse_cm|10IIFL29-N6","Bid Rate")</f>
        <v>956</v>
      </c>
      <c r="F193">
        <f>RTD("nest.scriprtd",,"nse_cm|10IIFL29-N6","Ask Rate")</f>
        <v>989.98</v>
      </c>
      <c r="G193">
        <f>RTD("nest.scriprtd",,"nse_cm|10IIFL29-N6","Ask Qty")</f>
        <v>30</v>
      </c>
      <c r="H193">
        <f>RTD("nest.scriprtd",,"nse_cm|10IIFL29-N6","LTP")</f>
        <v>990</v>
      </c>
      <c r="I193" t="str">
        <f>RTD("nest.scriprtd",,"nse_cm|10IIFL29-N6","LTT")</f>
        <v>09:53:30</v>
      </c>
      <c r="J193">
        <f>RTD("nest.scriprtd",,"nse_cm|10IIFL29-N6","% Change")</f>
        <v>0.25</v>
      </c>
      <c r="K193">
        <f>RTD("nest.scriprtd",,"nse_cm|10IIFL29-N6","ATP")</f>
        <v>990</v>
      </c>
      <c r="L193">
        <f>RTD("nest.scriprtd",,"nse_cm|10IIFL29-N6","Volume Traded Today")</f>
        <v>50</v>
      </c>
      <c r="M193">
        <f>RTD("nest.scriprtd",,"nse_cm|10IIFL29-N6","Open")</f>
        <v>990</v>
      </c>
      <c r="N193">
        <f>RTD("nest.scriprtd",,"nse_cm|10IIFL29-N6","High")</f>
        <v>990</v>
      </c>
      <c r="O193">
        <f>RTD("nest.scriprtd",,"nse_cm|10IIFL29-N6","Low ")</f>
        <v>990</v>
      </c>
      <c r="P193">
        <f>RTD("nest.scriprtd",,"nse_cm|10IIFL29-N6","Prev Close")</f>
        <v>987.5</v>
      </c>
      <c r="Q193">
        <f>RTD("nest.scriprtd",,"nse_cm|10IIFL29-N6","Face Value")</f>
        <v>1000</v>
      </c>
      <c r="R193" t="str">
        <f>RTD("nest.scriprtd",,"nse_cm|10IIFL29-N6","Isin code")</f>
        <v>INE866I08279</v>
      </c>
      <c r="S193" s="9">
        <f>Table1[[#This Row],[Ask Rate]]*Table1[[#This Row],[Ask Qty]]</f>
        <v>29699.4</v>
      </c>
      <c r="T193">
        <f>VLOOKUP(Table1[[#This Row],[Isin code]],Table2[#All],7,FALSE)</f>
        <v>10</v>
      </c>
      <c r="U193" s="17" t="str">
        <f>VLOOKUP(Table1[[#This Row],[Isin code]],Table2[#All],8,FALSE)</f>
        <v>07-Feb-2029</v>
      </c>
      <c r="V193" s="10">
        <f ca="1">Table1[[#This Row],[Maturity]]-TODAY()</f>
        <v>1575</v>
      </c>
      <c r="W193" t="str">
        <f>VLOOKUP(Table1[[#This Row],[Isin code]],Table2[#All],10,FALSE)</f>
        <v>Monthly</v>
      </c>
      <c r="X193">
        <f ca="1">_xlfn.DAYS(Table1[[#This Row],[Maturity]],TODAY())-15</f>
        <v>1560</v>
      </c>
      <c r="Y1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52</v>
      </c>
      <c r="Z193">
        <f>IF(Table1[[#This Row],[Ask Rate]]=0,0,Table1[[#This Row],[Face Value]]-Table1[[#This Row],[Ask Rate]])</f>
        <v>10.019999999999982</v>
      </c>
      <c r="AA193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93">
        <f ca="1">Table1[[#This Row],[Face Value]]*Table1[[#This Row],[Rate]]*Table1[[#This Row],[Time]]</f>
        <v>433.33333333333337</v>
      </c>
      <c r="AC193">
        <f ca="1">Table1[[#This Row],[SI]]+Table1[[#This Row],[Disc/Prem]]</f>
        <v>443.35333333333335</v>
      </c>
      <c r="AD193" s="3">
        <f ca="1">Table1[[#This Row],[Net Gain]]/Table1[[#This Row],[Ask Rate]]</f>
        <v>0.44784069711846031</v>
      </c>
      <c r="AE193" s="3">
        <f ca="1">IF(Table1[[#This Row],[Ask Qty]]=0,0,Table1[[#This Row],[Gross Yield]]*365/Table1[[#This Row],[Days Left]])</f>
        <v>0.10378530441157968</v>
      </c>
      <c r="AF193" s="9">
        <f ca="1">+Table1[[#This Row],[Net Gain]]*Table1[[#This Row],[Ask Qty]]</f>
        <v>13300.6</v>
      </c>
      <c r="AG193" t="str">
        <f ca="1">IF(Table1[[#This Row],[YTM]]&gt;0.12,IF(Table1[[#This Row],[Gross Profit]]&gt;10000,"Invest","Review"),"Low YTM")</f>
        <v>Low YTM</v>
      </c>
    </row>
    <row r="194" spans="1:33" x14ac:dyDescent="0.3">
      <c r="A194" t="str">
        <f>RTD("nest.scriprtd",,"bse_cm|875SCL23A","Symbol")</f>
        <v>875SCL23A</v>
      </c>
      <c r="B194" t="str">
        <f>RTD("nest.scriprtd",,"bse_cm|875SCL23A","Trading Symbol")</f>
        <v>875SCL23A</v>
      </c>
      <c r="C194" t="str">
        <f>RTD("nest.scriprtd",,"bse_cm|875SCL23A","Exchange")</f>
        <v>BSE</v>
      </c>
      <c r="D194">
        <f>RTD("nest.scriprtd",,"bse_cm|875SCL23A","Bid Qty")</f>
        <v>5</v>
      </c>
      <c r="E194">
        <f>RTD("nest.scriprtd",,"bse_cm|875SCL23A","Bid Rate")</f>
        <v>900.3</v>
      </c>
      <c r="F194">
        <f>RTD("nest.scriprtd",,"bse_cm|875SCL23A","Ask Rate")</f>
        <v>990</v>
      </c>
      <c r="G194">
        <f>RTD("nest.scriprtd",,"bse_cm|875SCL23A","Ask Qty")</f>
        <v>19</v>
      </c>
      <c r="H194">
        <f>RTD("nest.scriprtd",,"bse_cm|875SCL23A","LTP")</f>
        <v>0</v>
      </c>
      <c r="I194" t="str">
        <f>RTD("nest.scriprtd",,"bse_cm|875SCL23A","LTT")</f>
        <v>00:00:00</v>
      </c>
      <c r="J194">
        <f>RTD("nest.scriprtd",,"bse_cm|875SCL23A","% Change")</f>
        <v>-100</v>
      </c>
      <c r="K194">
        <f>RTD("nest.scriprtd",,"bse_cm|875SCL23A","ATP")</f>
        <v>0</v>
      </c>
      <c r="L194">
        <f>RTD("nest.scriprtd",,"bse_cm|875SCL23A","Volume Traded Today")</f>
        <v>0</v>
      </c>
      <c r="M194">
        <f>RTD("nest.scriprtd",,"bse_cm|875SCL23A","Open")</f>
        <v>0</v>
      </c>
      <c r="N194">
        <f>RTD("nest.scriprtd",,"bse_cm|875SCL23A","High")</f>
        <v>990</v>
      </c>
      <c r="O194">
        <f>RTD("nest.scriprtd",,"bse_cm|875SCL23A","Low ")</f>
        <v>990</v>
      </c>
      <c r="P194">
        <f>RTD("nest.scriprtd",,"bse_cm|875SCL23A","Prev Close")</f>
        <v>990</v>
      </c>
      <c r="Q194">
        <f>RTD("nest.scriprtd",,"bse_cm|875SCL23A","Face Value")</f>
        <v>1000</v>
      </c>
      <c r="R194" t="str">
        <f>RTD("nest.scriprtd",,"bse_cm|875SCL23A","Isin code")</f>
        <v>INE148I07RU1</v>
      </c>
      <c r="S194" s="9">
        <f>Table1[[#This Row],[Ask Rate]]*Table1[[#This Row],[Ask Qty]]</f>
        <v>18810</v>
      </c>
      <c r="T194">
        <f>VLOOKUP(Table1[[#This Row],[Isin code]],Table2[#All],7,FALSE)</f>
        <v>10.029999999999999</v>
      </c>
      <c r="U194" s="17" t="str">
        <f>VLOOKUP(Table1[[#This Row],[Isin code]],Table2[#All],8,FALSE)</f>
        <v>27-Dec-2030</v>
      </c>
      <c r="V194" s="10">
        <f ca="1">Table1[[#This Row],[Maturity]]-TODAY()</f>
        <v>2263</v>
      </c>
      <c r="W194" t="str">
        <f>VLOOKUP(Table1[[#This Row],[Isin code]],Table2[#All],10,FALSE)</f>
        <v>Monthly</v>
      </c>
      <c r="X194">
        <f ca="1">_xlfn.DAYS(Table1[[#This Row],[Maturity]],TODAY())-15</f>
        <v>2248</v>
      </c>
      <c r="Y1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75</v>
      </c>
      <c r="Z194">
        <f>IF(Table1[[#This Row],[Ask Rate]]=0,0,Table1[[#This Row],[Face Value]]-Table1[[#This Row],[Ask Rate]])</f>
        <v>10</v>
      </c>
      <c r="AA194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94">
        <f ca="1">Table1[[#This Row],[Face Value]]*Table1[[#This Row],[Rate]]*Table1[[#This Row],[Time]]</f>
        <v>626.87499999999989</v>
      </c>
      <c r="AC194">
        <f ca="1">Table1[[#This Row],[SI]]+Table1[[#This Row],[Disc/Prem]]</f>
        <v>636.87499999999989</v>
      </c>
      <c r="AD194" s="3">
        <f ca="1">Table1[[#This Row],[Net Gain]]/Table1[[#This Row],[Ask Rate]]</f>
        <v>0.64330808080808066</v>
      </c>
      <c r="AE194" s="3">
        <f ca="1">IF(Table1[[#This Row],[Ask Qty]]=0,0,Table1[[#This Row],[Gross Yield]]*365/Table1[[#This Row],[Days Left]])</f>
        <v>0.10375936787227108</v>
      </c>
      <c r="AF194" s="9">
        <f ca="1">+Table1[[#This Row],[Net Gain]]*Table1[[#This Row],[Ask Qty]]</f>
        <v>12100.624999999998</v>
      </c>
      <c r="AG194" t="str">
        <f ca="1">IF(Table1[[#This Row],[YTM]]&gt;0.12,IF(Table1[[#This Row],[Gross Profit]]&gt;10000,"Invest","Review"),"Low YTM")</f>
        <v>Low YTM</v>
      </c>
    </row>
    <row r="195" spans="1:33" x14ac:dyDescent="0.3">
      <c r="A195" t="str">
        <f>RTD("nest.scriprtd",,"bse_cm|9MFL27","Symbol")</f>
        <v>9MFL27</v>
      </c>
      <c r="B195" t="str">
        <f>RTD("nest.scriprtd",,"bse_cm|9MFL27","Trading Symbol")</f>
        <v>9MFL27</v>
      </c>
      <c r="C195" t="str">
        <f>RTD("nest.scriprtd",,"bse_cm|9MFL27","Exchange")</f>
        <v>BSE</v>
      </c>
      <c r="D195">
        <f>RTD("nest.scriprtd",,"bse_cm|9MFL27","Bid Qty")</f>
        <v>130</v>
      </c>
      <c r="E195">
        <f>RTD("nest.scriprtd",,"bse_cm|9MFL27","Bid Rate")</f>
        <v>931.2</v>
      </c>
      <c r="F195">
        <f>RTD("nest.scriprtd",,"bse_cm|9MFL27","Ask Rate")</f>
        <v>980</v>
      </c>
      <c r="G195">
        <f>RTD("nest.scriprtd",,"bse_cm|9MFL27","Ask Qty")</f>
        <v>20</v>
      </c>
      <c r="H195">
        <f>RTD("nest.scriprtd",,"bse_cm|9MFL27","LTP")</f>
        <v>975</v>
      </c>
      <c r="I195" t="str">
        <f>RTD("nest.scriprtd",,"bse_cm|9MFL27","LTT")</f>
        <v>15:12:00</v>
      </c>
      <c r="J195">
        <f>RTD("nest.scriprtd",,"bse_cm|9MFL27","% Change")</f>
        <v>0</v>
      </c>
      <c r="K195">
        <f>RTD("nest.scriprtd",,"bse_cm|9MFL27","ATP")</f>
        <v>975</v>
      </c>
      <c r="L195">
        <f>RTD("nest.scriprtd",,"bse_cm|9MFL27","Volume Traded Today")</f>
        <v>5</v>
      </c>
      <c r="M195">
        <f>RTD("nest.scriprtd",,"bse_cm|9MFL27","Open")</f>
        <v>975</v>
      </c>
      <c r="N195">
        <f>RTD("nest.scriprtd",,"bse_cm|9MFL27","High")</f>
        <v>975</v>
      </c>
      <c r="O195">
        <f>RTD("nest.scriprtd",,"bse_cm|9MFL27","Low ")</f>
        <v>975</v>
      </c>
      <c r="P195">
        <f>RTD("nest.scriprtd",,"bse_cm|9MFL27","Prev Close")</f>
        <v>975</v>
      </c>
      <c r="Q195">
        <f>RTD("nest.scriprtd",,"bse_cm|9MFL27","Face Value")</f>
        <v>1000</v>
      </c>
      <c r="R195" t="str">
        <f>RTD("nest.scriprtd",,"bse_cm|9MFL27","Isin code")</f>
        <v>INE549K08178</v>
      </c>
      <c r="S195" s="9">
        <f>Table1[[#This Row],[Ask Rate]]*Table1[[#This Row],[Ask Qty]]</f>
        <v>19600</v>
      </c>
      <c r="T195">
        <f>VLOOKUP(Table1[[#This Row],[Isin code]],Table2[#All],7,FALSE)</f>
        <v>9</v>
      </c>
      <c r="U195" s="17" t="str">
        <f>VLOOKUP(Table1[[#This Row],[Isin code]],Table2[#All],8,FALSE)</f>
        <v>29-Jan-2027</v>
      </c>
      <c r="V195" s="10">
        <f ca="1">Table1[[#This Row],[Maturity]]-TODAY()</f>
        <v>835</v>
      </c>
      <c r="W195" t="str">
        <f>VLOOKUP(Table1[[#This Row],[Isin code]],Table2[#All],10,FALSE)</f>
        <v>Monthly</v>
      </c>
      <c r="X195">
        <f ca="1">_xlfn.DAYS(Table1[[#This Row],[Maturity]],TODAY())-15</f>
        <v>820</v>
      </c>
      <c r="Y1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28</v>
      </c>
      <c r="Z195">
        <f>IF(Table1[[#This Row],[Ask Rate]]=0,0,Table1[[#This Row],[Face Value]]-Table1[[#This Row],[Ask Rate]])</f>
        <v>20</v>
      </c>
      <c r="AA195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195">
        <f ca="1">Table1[[#This Row],[Face Value]]*Table1[[#This Row],[Rate]]*Table1[[#This Row],[Time]]</f>
        <v>210</v>
      </c>
      <c r="AC195">
        <f ca="1">Table1[[#This Row],[SI]]+Table1[[#This Row],[Disc/Prem]]</f>
        <v>230</v>
      </c>
      <c r="AD195" s="3">
        <f ca="1">Table1[[#This Row],[Net Gain]]/Table1[[#This Row],[Ask Rate]]</f>
        <v>0.23469387755102042</v>
      </c>
      <c r="AE195" s="3">
        <f ca="1">IF(Table1[[#This Row],[Ask Qty]]=0,0,Table1[[#This Row],[Gross Yield]]*365/Table1[[#This Row],[Days Left]])</f>
        <v>0.10259073689355983</v>
      </c>
      <c r="AF195" s="9">
        <f ca="1">+Table1[[#This Row],[Net Gain]]*Table1[[#This Row],[Ask Qty]]</f>
        <v>4600</v>
      </c>
      <c r="AG195" t="str">
        <f ca="1">IF(Table1[[#This Row],[YTM]]&gt;0.12,IF(Table1[[#This Row],[Gross Profit]]&gt;10000,"Invest","Review"),"Low YTM")</f>
        <v>Low YTM</v>
      </c>
    </row>
    <row r="196" spans="1:33" x14ac:dyDescent="0.3">
      <c r="A196" t="str">
        <f>RTD("nest.scriprtd",,"bse_cm|1025KFL29","Symbol")</f>
        <v>1025KFL29</v>
      </c>
      <c r="B196" t="str">
        <f>RTD("nest.scriprtd",,"bse_cm|1025KFL29","Trading Symbol")</f>
        <v>1025KFL29</v>
      </c>
      <c r="C196" t="str">
        <f>RTD("nest.scriprtd",,"bse_cm|1025KFL29","Exchange")</f>
        <v>BSE</v>
      </c>
      <c r="D196">
        <f>RTD("nest.scriprtd",,"bse_cm|1025KFL29","Bid Qty")</f>
        <v>1</v>
      </c>
      <c r="E196">
        <f>RTD("nest.scriprtd",,"bse_cm|1025KFL29","Bid Rate")</f>
        <v>865</v>
      </c>
      <c r="F196">
        <f>RTD("nest.scriprtd",,"bse_cm|1025KFL29","Ask Rate")</f>
        <v>998</v>
      </c>
      <c r="G196">
        <f>RTD("nest.scriprtd",,"bse_cm|1025KFL29","Ask Qty")</f>
        <v>100</v>
      </c>
      <c r="H196">
        <f>RTD("nest.scriprtd",,"bse_cm|1025KFL29","LTP")</f>
        <v>0</v>
      </c>
      <c r="I196" t="str">
        <f>RTD("nest.scriprtd",,"bse_cm|1025KFL29","LTT")</f>
        <v>00:00:00</v>
      </c>
      <c r="J196">
        <f>RTD("nest.scriprtd",,"bse_cm|1025KFL29","% Change")</f>
        <v>-100</v>
      </c>
      <c r="K196">
        <f>RTD("nest.scriprtd",,"bse_cm|1025KFL29","ATP")</f>
        <v>0</v>
      </c>
      <c r="L196">
        <f>RTD("nest.scriprtd",,"bse_cm|1025KFL29","Volume Traded Today")</f>
        <v>0</v>
      </c>
      <c r="M196">
        <f>RTD("nest.scriprtd",,"bse_cm|1025KFL29","Open")</f>
        <v>0</v>
      </c>
      <c r="N196">
        <f>RTD("nest.scriprtd",,"bse_cm|1025KFL29","High")</f>
        <v>0</v>
      </c>
      <c r="O196">
        <f>RTD("nest.scriprtd",,"bse_cm|1025KFL29","Low ")</f>
        <v>0</v>
      </c>
      <c r="P196">
        <f>RTD("nest.scriprtd",,"bse_cm|1025KFL29","Prev Close")</f>
        <v>1000</v>
      </c>
      <c r="Q196">
        <f>RTD("nest.scriprtd",,"bse_cm|1025KFL29","Face Value")</f>
        <v>1000</v>
      </c>
      <c r="R196" t="str">
        <f>RTD("nest.scriprtd",,"bse_cm|1025KFL29","Isin code")</f>
        <v>INE403Q07EU1</v>
      </c>
      <c r="S196" s="9">
        <f>Table1[[#This Row],[Ask Rate]]*Table1[[#This Row],[Ask Qty]]</f>
        <v>99800</v>
      </c>
      <c r="T196">
        <f>VLOOKUP(Table1[[#This Row],[Isin code]],Table2[#All],7,FALSE)</f>
        <v>10.25</v>
      </c>
      <c r="U196" s="17" t="str">
        <f>VLOOKUP(Table1[[#This Row],[Isin code]],Table2[#All],8,FALSE)</f>
        <v>06-Aug-2029</v>
      </c>
      <c r="V196" s="10">
        <f ca="1">Table1[[#This Row],[Maturity]]-TODAY()</f>
        <v>1755</v>
      </c>
      <c r="W196" t="str">
        <f>VLOOKUP(Table1[[#This Row],[Isin code]],Table2[#All],10,FALSE)</f>
        <v>MONTHLY</v>
      </c>
      <c r="X196">
        <f ca="1">_xlfn.DAYS(Table1[[#This Row],[Maturity]],TODAY())-15</f>
        <v>1740</v>
      </c>
      <c r="Y1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58</v>
      </c>
      <c r="Z196">
        <f>IF(Table1[[#This Row],[Ask Rate]]=0,0,Table1[[#This Row],[Face Value]]-Table1[[#This Row],[Ask Rate]])</f>
        <v>2</v>
      </c>
      <c r="AA196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96">
        <f ca="1">Table1[[#This Row],[Face Value]]*Table1[[#This Row],[Rate]]*Table1[[#This Row],[Time]]</f>
        <v>495.41666666666663</v>
      </c>
      <c r="AC196">
        <f ca="1">Table1[[#This Row],[SI]]+Table1[[#This Row],[Disc/Prem]]</f>
        <v>497.41666666666663</v>
      </c>
      <c r="AD196" s="3">
        <f ca="1">Table1[[#This Row],[Net Gain]]/Table1[[#This Row],[Ask Rate]]</f>
        <v>0.49841349365397458</v>
      </c>
      <c r="AE196" s="3">
        <f ca="1">IF(Table1[[#This Row],[Ask Qty]]=0,0,Table1[[#This Row],[Gross Yield]]*365/Table1[[#This Row],[Days Left]])</f>
        <v>0.1036586468283195</v>
      </c>
      <c r="AF196" s="9">
        <f ca="1">+Table1[[#This Row],[Net Gain]]*Table1[[#This Row],[Ask Qty]]</f>
        <v>49741.666666666664</v>
      </c>
      <c r="AG196" t="str">
        <f ca="1">IF(Table1[[#This Row],[YTM]]&gt;0.12,IF(Table1[[#This Row],[Gross Profit]]&gt;10000,"Invest","Review"),"Low YTM")</f>
        <v>Low YTM</v>
      </c>
    </row>
    <row r="197" spans="1:33" x14ac:dyDescent="0.3">
      <c r="A197" t="str">
        <f>RTD("nest.scriprtd",,"nse_cm|1003ISFL28-N4","Symbol")</f>
        <v>1003ISFL28</v>
      </c>
      <c r="B197" t="str">
        <f>RTD("nest.scriprtd",,"nse_cm|1003ISFL28-N4","Trading Symbol")</f>
        <v>1003ISFL28-N4</v>
      </c>
      <c r="C197" t="str">
        <f>RTD("nest.scriprtd",,"nse_cm|1003ISFL28-N4","Exchange")</f>
        <v>NSE</v>
      </c>
      <c r="D197">
        <f>RTD("nest.scriprtd",,"nse_cm|1003ISFL28-N4","Bid Qty")</f>
        <v>20</v>
      </c>
      <c r="E197">
        <f>RTD("nest.scriprtd",,"nse_cm|1003ISFL28-N4","Bid Rate")</f>
        <v>975.3</v>
      </c>
      <c r="F197">
        <f>RTD("nest.scriprtd",,"nse_cm|1003ISFL28-N4","Ask Rate")</f>
        <v>994.99</v>
      </c>
      <c r="G197">
        <f>RTD("nest.scriprtd",,"nse_cm|1003ISFL28-N4","Ask Qty")</f>
        <v>200</v>
      </c>
      <c r="H197">
        <f>RTD("nest.scriprtd",,"nse_cm|1003ISFL28-N4","LTP")</f>
        <v>993</v>
      </c>
      <c r="I197" t="str">
        <f>RTD("nest.scriprtd",,"nse_cm|1003ISFL28-N4","LTT")</f>
        <v/>
      </c>
      <c r="J197">
        <f>RTD("nest.scriprtd",,"nse_cm|1003ISFL28-N4","% Change")</f>
        <v>0</v>
      </c>
      <c r="K197">
        <f>RTD("nest.scriprtd",,"nse_cm|1003ISFL28-N4","ATP")</f>
        <v>0</v>
      </c>
      <c r="L197">
        <f>RTD("nest.scriprtd",,"nse_cm|1003ISFL28-N4","Volume Traded Today")</f>
        <v>0</v>
      </c>
      <c r="M197">
        <f>RTD("nest.scriprtd",,"nse_cm|1003ISFL28-N4","Open")</f>
        <v>0</v>
      </c>
      <c r="N197">
        <f>RTD("nest.scriprtd",,"nse_cm|1003ISFL28-N4","High")</f>
        <v>993</v>
      </c>
      <c r="O197">
        <f>RTD("nest.scriprtd",,"nse_cm|1003ISFL28-N4","Low ")</f>
        <v>992.99</v>
      </c>
      <c r="P197">
        <f>RTD("nest.scriprtd",,"nse_cm|1003ISFL28-N4","Prev Close")</f>
        <v>993</v>
      </c>
      <c r="Q197">
        <f>RTD("nest.scriprtd",,"nse_cm|1003ISFL28-N4","Face Value")</f>
        <v>1000</v>
      </c>
      <c r="R197" t="str">
        <f>RTD("nest.scriprtd",,"nse_cm|1003ISFL28-N4","Isin code")</f>
        <v>INE413U07269</v>
      </c>
      <c r="S197" s="9">
        <f>Table1[[#This Row],[Ask Rate]]*Table1[[#This Row],[Ask Qty]]</f>
        <v>198998</v>
      </c>
      <c r="T197">
        <f>VLOOKUP(Table1[[#This Row],[Isin code]],Table2[#All],7,FALSE)</f>
        <v>10.029999999999999</v>
      </c>
      <c r="U197" s="17" t="str">
        <f>VLOOKUP(Table1[[#This Row],[Isin code]],Table2[#All],8,FALSE)</f>
        <v>21-Dec-2028</v>
      </c>
      <c r="V197" s="10">
        <f ca="1">Table1[[#This Row],[Maturity]]-TODAY()</f>
        <v>1527</v>
      </c>
      <c r="W197" t="str">
        <f>VLOOKUP(Table1[[#This Row],[Isin code]],Table2[#All],10,FALSE)</f>
        <v>Monthly</v>
      </c>
      <c r="X197">
        <f ca="1">_xlfn.DAYS(Table1[[#This Row],[Maturity]],TODAY())-15</f>
        <v>1512</v>
      </c>
      <c r="Y1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197">
        <f>IF(Table1[[#This Row],[Ask Rate]]=0,0,Table1[[#This Row],[Face Value]]-Table1[[#This Row],[Ask Rate]])</f>
        <v>5.0099999999999909</v>
      </c>
      <c r="AA197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97">
        <f ca="1">Table1[[#This Row],[Face Value]]*Table1[[#This Row],[Rate]]*Table1[[#This Row],[Time]]</f>
        <v>426.27499999999998</v>
      </c>
      <c r="AC197">
        <f ca="1">Table1[[#This Row],[SI]]+Table1[[#This Row],[Disc/Prem]]</f>
        <v>431.28499999999997</v>
      </c>
      <c r="AD197" s="3">
        <f ca="1">Table1[[#This Row],[Net Gain]]/Table1[[#This Row],[Ask Rate]]</f>
        <v>0.43345661765444876</v>
      </c>
      <c r="AE197" s="3">
        <f ca="1">IF(Table1[[#This Row],[Ask Qty]]=0,0,Table1[[#This Row],[Gross Yield]]*365/Table1[[#This Row],[Days Left]])</f>
        <v>0.10360947311321138</v>
      </c>
      <c r="AF197" s="9">
        <f ca="1">+Table1[[#This Row],[Net Gain]]*Table1[[#This Row],[Ask Qty]]</f>
        <v>86257</v>
      </c>
      <c r="AG197" t="str">
        <f ca="1">IF(Table1[[#This Row],[YTM]]&gt;0.12,IF(Table1[[#This Row],[Gross Profit]]&gt;10000,"Invest","Review"),"Low YTM")</f>
        <v>Low YTM</v>
      </c>
    </row>
    <row r="198" spans="1:33" x14ac:dyDescent="0.3">
      <c r="A198" t="str">
        <f>RTD("nest.scriprtd",,"bse_cm|995ECL29","Symbol")</f>
        <v>995ECL29</v>
      </c>
      <c r="B198" t="str">
        <f>RTD("nest.scriprtd",,"bse_cm|995ECL29","Trading Symbol")</f>
        <v>995ECL29</v>
      </c>
      <c r="C198" t="str">
        <f>RTD("nest.scriprtd",,"bse_cm|995ECL29","Exchange")</f>
        <v>BSE</v>
      </c>
      <c r="D198">
        <f>RTD("nest.scriprtd",,"bse_cm|995ECL29","Bid Qty")</f>
        <v>1</v>
      </c>
      <c r="E198">
        <f>RTD("nest.scriprtd",,"bse_cm|995ECL29","Bid Rate")</f>
        <v>939</v>
      </c>
      <c r="F198">
        <f>RTD("nest.scriprtd",,"bse_cm|995ECL29","Ask Rate")</f>
        <v>990</v>
      </c>
      <c r="G198">
        <f>RTD("nest.scriprtd",,"bse_cm|995ECL29","Ask Qty")</f>
        <v>30</v>
      </c>
      <c r="H198">
        <f>RTD("nest.scriprtd",,"bse_cm|995ECL29","LTP")</f>
        <v>930.58</v>
      </c>
      <c r="I198" t="str">
        <f>RTD("nest.scriprtd",,"bse_cm|995ECL29","LTT")</f>
        <v>09:47:09</v>
      </c>
      <c r="J198">
        <f>RTD("nest.scriprtd",,"bse_cm|995ECL29","% Change")</f>
        <v>-2.04</v>
      </c>
      <c r="K198">
        <f>RTD("nest.scriprtd",,"bse_cm|995ECL29","ATP")</f>
        <v>893.68</v>
      </c>
      <c r="L198">
        <f>RTD("nest.scriprtd",,"bse_cm|995ECL29","Volume Traded Today")</f>
        <v>11</v>
      </c>
      <c r="M198">
        <f>RTD("nest.scriprtd",,"bse_cm|995ECL29","Open")</f>
        <v>890</v>
      </c>
      <c r="N198">
        <f>RTD("nest.scriprtd",,"bse_cm|995ECL29","High")</f>
        <v>930.58</v>
      </c>
      <c r="O198">
        <f>RTD("nest.scriprtd",,"bse_cm|995ECL29","Low ")</f>
        <v>890</v>
      </c>
      <c r="P198">
        <f>RTD("nest.scriprtd",,"bse_cm|995ECL29","Prev Close")</f>
        <v>950</v>
      </c>
      <c r="Q198">
        <f>RTD("nest.scriprtd",,"bse_cm|995ECL29","Face Value")</f>
        <v>1000</v>
      </c>
      <c r="R198" t="str">
        <f>RTD("nest.scriprtd",,"bse_cm|995ECL29","Isin code")</f>
        <v>INE804IA7246</v>
      </c>
      <c r="S198" s="9">
        <f>Table1[[#This Row],[Ask Rate]]*Table1[[#This Row],[Ask Qty]]</f>
        <v>29700</v>
      </c>
      <c r="T198">
        <f>VLOOKUP(Table1[[#This Row],[Isin code]],Table2[#All],7,FALSE)</f>
        <v>9.9500000000000011</v>
      </c>
      <c r="U198" s="17" t="str">
        <f>VLOOKUP(Table1[[#This Row],[Isin code]],Table2[#All],8,FALSE)</f>
        <v>28-Nov-2029</v>
      </c>
      <c r="V198" s="10">
        <f ca="1">Table1[[#This Row],[Maturity]]-TODAY()</f>
        <v>1869</v>
      </c>
      <c r="W198" t="str">
        <f>VLOOKUP(Table1[[#This Row],[Isin code]],Table2[#All],10,FALSE)</f>
        <v>Monthly</v>
      </c>
      <c r="X198">
        <f ca="1">_xlfn.DAYS(Table1[[#This Row],[Maturity]],TODAY())-15</f>
        <v>1854</v>
      </c>
      <c r="Y1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62</v>
      </c>
      <c r="Z198">
        <f>IF(Table1[[#This Row],[Ask Rate]]=0,0,Table1[[#This Row],[Face Value]]-Table1[[#This Row],[Ask Rate]])</f>
        <v>10</v>
      </c>
      <c r="AA198">
        <f>IF(Table1[[#This Row],[Freq]]="Yearly",Table1[[#This Row],[Coupon_Rate]]/100,IF(Table1[[#This Row],[Freq]]="Monthly",Table1[[#This Row],[Coupon_Rate]]/1200,IF(Table1[[#This Row],[Freq]]="Quarterly",Table1[[#This Row],[Coupon_Rate]]/400,0)))</f>
        <v>8.2916666666666677E-3</v>
      </c>
      <c r="AB198">
        <f ca="1">Table1[[#This Row],[Face Value]]*Table1[[#This Row],[Rate]]*Table1[[#This Row],[Time]]</f>
        <v>514.08333333333337</v>
      </c>
      <c r="AC198">
        <f ca="1">Table1[[#This Row],[SI]]+Table1[[#This Row],[Disc/Prem]]</f>
        <v>524.08333333333337</v>
      </c>
      <c r="AD198" s="3">
        <f ca="1">Table1[[#This Row],[Net Gain]]/Table1[[#This Row],[Ask Rate]]</f>
        <v>0.52937710437710439</v>
      </c>
      <c r="AE198" s="3">
        <f ca="1">IF(Table1[[#This Row],[Ask Qty]]=0,0,Table1[[#This Row],[Gross Yield]]*365/Table1[[#This Row],[Days Left]])</f>
        <v>0.10338290160387539</v>
      </c>
      <c r="AF198" s="9">
        <f ca="1">+Table1[[#This Row],[Net Gain]]*Table1[[#This Row],[Ask Qty]]</f>
        <v>15722.500000000002</v>
      </c>
      <c r="AG198" t="str">
        <f ca="1">IF(Table1[[#This Row],[YTM]]&gt;0.12,IF(Table1[[#This Row],[Gross Profit]]&gt;10000,"Invest","Review"),"Low YTM")</f>
        <v>Low YTM</v>
      </c>
    </row>
    <row r="199" spans="1:33" x14ac:dyDescent="0.3">
      <c r="A199" t="str">
        <f>RTD("nest.scriprtd",,"bse_cm|1010NIDO28","Symbol")</f>
        <v>1010NIDO28</v>
      </c>
      <c r="B199" t="str">
        <f>RTD("nest.scriprtd",,"bse_cm|1010NIDO28","Trading Symbol")</f>
        <v>1010NIDO28</v>
      </c>
      <c r="C199" t="str">
        <f>RTD("nest.scriprtd",,"bse_cm|1010NIDO28","Exchange")</f>
        <v>BSE</v>
      </c>
      <c r="D199">
        <f>RTD("nest.scriprtd",,"bse_cm|1010NIDO28","Bid Qty")</f>
        <v>25</v>
      </c>
      <c r="E199">
        <f>RTD("nest.scriprtd",,"bse_cm|1010NIDO28","Bid Rate")</f>
        <v>925</v>
      </c>
      <c r="F199">
        <f>RTD("nest.scriprtd",,"bse_cm|1010NIDO28","Ask Rate")</f>
        <v>1000</v>
      </c>
      <c r="G199">
        <f>RTD("nest.scriprtd",,"bse_cm|1010NIDO28","Ask Qty")</f>
        <v>500</v>
      </c>
      <c r="H199">
        <f>RTD("nest.scriprtd",,"bse_cm|1010NIDO28","LTP")</f>
        <v>0</v>
      </c>
      <c r="I199" t="str">
        <f>RTD("nest.scriprtd",,"bse_cm|1010NIDO28","LTT")</f>
        <v>00:00:00</v>
      </c>
      <c r="J199">
        <f>RTD("nest.scriprtd",,"bse_cm|1010NIDO28","% Change")</f>
        <v>-100</v>
      </c>
      <c r="K199">
        <f>RTD("nest.scriprtd",,"bse_cm|1010NIDO28","ATP")</f>
        <v>0</v>
      </c>
      <c r="L199">
        <f>RTD("nest.scriprtd",,"bse_cm|1010NIDO28","Volume Traded Today")</f>
        <v>0</v>
      </c>
      <c r="M199">
        <f>RTD("nest.scriprtd",,"bse_cm|1010NIDO28","Open")</f>
        <v>0</v>
      </c>
      <c r="N199">
        <f>RTD("nest.scriprtd",,"bse_cm|1010NIDO28","High")</f>
        <v>1000</v>
      </c>
      <c r="O199">
        <f>RTD("nest.scriprtd",,"bse_cm|1010NIDO28","Low ")</f>
        <v>1000</v>
      </c>
      <c r="P199">
        <f>RTD("nest.scriprtd",,"bse_cm|1010NIDO28","Prev Close")</f>
        <v>1000</v>
      </c>
      <c r="Q199">
        <f>RTD("nest.scriprtd",,"bse_cm|1010NIDO28","Face Value")</f>
        <v>1000</v>
      </c>
      <c r="R199" t="str">
        <f>RTD("nest.scriprtd",,"bse_cm|1010NIDO28","Isin code")</f>
        <v>INE530L07624</v>
      </c>
      <c r="S199" s="9">
        <f>Table1[[#This Row],[Ask Rate]]*Table1[[#This Row],[Ask Qty]]</f>
        <v>500000</v>
      </c>
      <c r="T199">
        <f>VLOOKUP(Table1[[#This Row],[Isin code]],Table2[#All],7,FALSE)</f>
        <v>10.100000000000001</v>
      </c>
      <c r="U199" s="17" t="str">
        <f>VLOOKUP(Table1[[#This Row],[Isin code]],Table2[#All],8,FALSE)</f>
        <v>15-Sep-2028</v>
      </c>
      <c r="V199" s="10">
        <f ca="1">Table1[[#This Row],[Maturity]]-TODAY()</f>
        <v>1430</v>
      </c>
      <c r="W199" t="str">
        <f>VLOOKUP(Table1[[#This Row],[Isin code]],Table2[#All],10,FALSE)</f>
        <v>Yearly</v>
      </c>
      <c r="X199">
        <f ca="1">_xlfn.DAYS(Table1[[#This Row],[Maturity]],TODAY())-15</f>
        <v>1415</v>
      </c>
      <c r="Y1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99">
        <f>IF(Table1[[#This Row],[Ask Rate]]=0,0,Table1[[#This Row],[Face Value]]-Table1[[#This Row],[Ask Rate]])</f>
        <v>0</v>
      </c>
      <c r="AA199">
        <f>IF(Table1[[#This Row],[Freq]]="Yearly",Table1[[#This Row],[Coupon_Rate]]/100,IF(Table1[[#This Row],[Freq]]="Monthly",Table1[[#This Row],[Coupon_Rate]]/1200,IF(Table1[[#This Row],[Freq]]="Quarterly",Table1[[#This Row],[Coupon_Rate]]/400,0)))</f>
        <v>0.10100000000000002</v>
      </c>
      <c r="AB199">
        <f ca="1">Table1[[#This Row],[Face Value]]*Table1[[#This Row],[Rate]]*Table1[[#This Row],[Time]]</f>
        <v>404.00000000000006</v>
      </c>
      <c r="AC199">
        <f ca="1">Table1[[#This Row],[SI]]+Table1[[#This Row],[Disc/Prem]]</f>
        <v>404.00000000000006</v>
      </c>
      <c r="AD199" s="3">
        <f ca="1">Table1[[#This Row],[Net Gain]]/Table1[[#This Row],[Ask Rate]]</f>
        <v>0.40400000000000008</v>
      </c>
      <c r="AE199" s="3">
        <f ca="1">IF(Table1[[#This Row],[Ask Qty]]=0,0,Table1[[#This Row],[Gross Yield]]*365/Table1[[#This Row],[Days Left]])</f>
        <v>0.10311888111888115</v>
      </c>
      <c r="AF199" s="9">
        <f ca="1">+Table1[[#This Row],[Net Gain]]*Table1[[#This Row],[Ask Qty]]</f>
        <v>202000.00000000003</v>
      </c>
      <c r="AG199" t="str">
        <f ca="1">IF(Table1[[#This Row],[YTM]]&gt;0.12,IF(Table1[[#This Row],[Gross Profit]]&gt;10000,"Invest","Review"),"Low YTM")</f>
        <v>Low YTM</v>
      </c>
    </row>
    <row r="200" spans="1:33" x14ac:dyDescent="0.3">
      <c r="A200" t="str">
        <f>RTD("nest.scriprtd",,"bse_cm|940MFCL26","Symbol")</f>
        <v>940MFCL26</v>
      </c>
      <c r="B200" t="str">
        <f>RTD("nest.scriprtd",,"bse_cm|940MFCL26","Trading Symbol")</f>
        <v>940MFCL26</v>
      </c>
      <c r="C200" t="str">
        <f>RTD("nest.scriprtd",,"bse_cm|940MFCL26","Exchange")</f>
        <v>BSE</v>
      </c>
      <c r="D200">
        <f>RTD("nest.scriprtd",,"bse_cm|940MFCL26","Bid Qty")</f>
        <v>25</v>
      </c>
      <c r="E200">
        <f>RTD("nest.scriprtd",,"bse_cm|940MFCL26","Bid Rate")</f>
        <v>962</v>
      </c>
      <c r="F200">
        <f>RTD("nest.scriprtd",,"bse_cm|940MFCL26","Ask Rate")</f>
        <v>992</v>
      </c>
      <c r="G200">
        <f>RTD("nest.scriprtd",,"bse_cm|940MFCL26","Ask Qty")</f>
        <v>75</v>
      </c>
      <c r="H200">
        <f>RTD("nest.scriprtd",,"bse_cm|940MFCL26","LTP")</f>
        <v>960.2</v>
      </c>
      <c r="I200" t="str">
        <f>RTD("nest.scriprtd",,"bse_cm|940MFCL26","LTT")</f>
        <v>09:15:01</v>
      </c>
      <c r="J200">
        <f>RTD("nest.scriprtd",,"bse_cm|940MFCL26","% Change")</f>
        <v>-0.19</v>
      </c>
      <c r="K200">
        <f>RTD("nest.scriprtd",,"bse_cm|940MFCL26","ATP")</f>
        <v>960.2</v>
      </c>
      <c r="L200">
        <f>RTD("nest.scriprtd",,"bse_cm|940MFCL26","Volume Traded Today")</f>
        <v>20</v>
      </c>
      <c r="M200">
        <f>RTD("nest.scriprtd",,"bse_cm|940MFCL26","Open")</f>
        <v>960.2</v>
      </c>
      <c r="N200">
        <f>RTD("nest.scriprtd",,"bse_cm|940MFCL26","High")</f>
        <v>960.2</v>
      </c>
      <c r="O200">
        <f>RTD("nest.scriprtd",,"bse_cm|940MFCL26","Low ")</f>
        <v>960.2</v>
      </c>
      <c r="P200">
        <f>RTD("nest.scriprtd",,"bse_cm|940MFCL26","Prev Close")</f>
        <v>962</v>
      </c>
      <c r="Q200">
        <f>RTD("nest.scriprtd",,"bse_cm|940MFCL26","Face Value")</f>
        <v>1000</v>
      </c>
      <c r="R200" t="str">
        <f>RTD("nest.scriprtd",,"bse_cm|940MFCL26","Isin code")</f>
        <v>INE549K07EH1</v>
      </c>
      <c r="S200" s="9">
        <f>Table1[[#This Row],[Ask Rate]]*Table1[[#This Row],[Ask Qty]]</f>
        <v>74400</v>
      </c>
      <c r="T200">
        <f>VLOOKUP(Table1[[#This Row],[Isin code]],Table2[#All],7,FALSE)</f>
        <v>9.4</v>
      </c>
      <c r="U200" s="17" t="str">
        <f>VLOOKUP(Table1[[#This Row],[Isin code]],Table2[#All],8,FALSE)</f>
        <v>16-Sep-2026</v>
      </c>
      <c r="V200" s="10">
        <f ca="1">Table1[[#This Row],[Maturity]]-TODAY()</f>
        <v>700</v>
      </c>
      <c r="W200" t="str">
        <f>VLOOKUP(Table1[[#This Row],[Isin code]],Table2[#All],10,FALSE)</f>
        <v>Yearly</v>
      </c>
      <c r="X200">
        <f ca="1">_xlfn.DAYS(Table1[[#This Row],[Maturity]],TODAY())-15</f>
        <v>685</v>
      </c>
      <c r="Y2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00">
        <f>IF(Table1[[#This Row],[Ask Rate]]=0,0,Table1[[#This Row],[Face Value]]-Table1[[#This Row],[Ask Rate]])</f>
        <v>8</v>
      </c>
      <c r="AA200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200">
        <f ca="1">Table1[[#This Row],[Face Value]]*Table1[[#This Row],[Rate]]*Table1[[#This Row],[Time]]</f>
        <v>188</v>
      </c>
      <c r="AC200">
        <f ca="1">Table1[[#This Row],[SI]]+Table1[[#This Row],[Disc/Prem]]</f>
        <v>196</v>
      </c>
      <c r="AD200" s="3">
        <f ca="1">Table1[[#This Row],[Net Gain]]/Table1[[#This Row],[Ask Rate]]</f>
        <v>0.19758064516129031</v>
      </c>
      <c r="AE200" s="3">
        <f ca="1">IF(Table1[[#This Row],[Ask Qty]]=0,0,Table1[[#This Row],[Gross Yield]]*365/Table1[[#This Row],[Days Left]])</f>
        <v>0.10302419354838709</v>
      </c>
      <c r="AF200" s="9">
        <f ca="1">+Table1[[#This Row],[Net Gain]]*Table1[[#This Row],[Ask Qty]]</f>
        <v>14700</v>
      </c>
      <c r="AG200" t="str">
        <f ca="1">IF(Table1[[#This Row],[YTM]]&gt;0.12,IF(Table1[[#This Row],[Gross Profit]]&gt;10000,"Invest","Review"),"Low YTM")</f>
        <v>Low YTM</v>
      </c>
    </row>
    <row r="201" spans="1:33" x14ac:dyDescent="0.3">
      <c r="A201" t="str">
        <f>RTD("nest.scriprtd",,"nse_cm|1050UCL25-N7","Symbol")</f>
        <v>1050UCL25</v>
      </c>
      <c r="B201" t="str">
        <f>RTD("nest.scriprtd",,"nse_cm|1050UCL25-N7","Trading Symbol")</f>
        <v>1050UCL25-N7</v>
      </c>
      <c r="C201" t="str">
        <f>RTD("nest.scriprtd",,"nse_cm|1050UCL25-N7","Exchange")</f>
        <v>NSE</v>
      </c>
      <c r="D201">
        <f>RTD("nest.scriprtd",,"nse_cm|1050UCL25-N7","Bid Qty")</f>
        <v>51</v>
      </c>
      <c r="E201">
        <f>RTD("nest.scriprtd",,"nse_cm|1050UCL25-N7","Bid Rate")</f>
        <v>990</v>
      </c>
      <c r="F201">
        <f>RTD("nest.scriprtd",,"nse_cm|1050UCL25-N7","Ask Rate")</f>
        <v>999</v>
      </c>
      <c r="G201">
        <f>RTD("nest.scriprtd",,"nse_cm|1050UCL25-N7","Ask Qty")</f>
        <v>60</v>
      </c>
      <c r="H201">
        <f>RTD("nest.scriprtd",,"nse_cm|1050UCL25-N7","LTP")</f>
        <v>980</v>
      </c>
      <c r="I201" t="str">
        <f>RTD("nest.scriprtd",,"nse_cm|1050UCL25-N7","LTT")</f>
        <v>11:16:11</v>
      </c>
      <c r="J201">
        <f>RTD("nest.scriprtd",,"nse_cm|1050UCL25-N7","% Change")</f>
        <v>-1.01</v>
      </c>
      <c r="K201">
        <f>RTD("nest.scriprtd",,"nse_cm|1050UCL25-N7","ATP")</f>
        <v>983.07</v>
      </c>
      <c r="L201">
        <f>RTD("nest.scriprtd",,"nse_cm|1050UCL25-N7","Volume Traded Today")</f>
        <v>13</v>
      </c>
      <c r="M201">
        <f>RTD("nest.scriprtd",,"nse_cm|1050UCL25-N7","Open")</f>
        <v>990</v>
      </c>
      <c r="N201">
        <f>RTD("nest.scriprtd",,"nse_cm|1050UCL25-N7","High")</f>
        <v>990</v>
      </c>
      <c r="O201">
        <f>RTD("nest.scriprtd",,"nse_cm|1050UCL25-N7","Low ")</f>
        <v>980</v>
      </c>
      <c r="P201">
        <f>RTD("nest.scriprtd",,"nse_cm|1050UCL25-N7","Prev Close")</f>
        <v>990</v>
      </c>
      <c r="Q201">
        <f>RTD("nest.scriprtd",,"nse_cm|1050UCL25-N7","Face Value")</f>
        <v>1000</v>
      </c>
      <c r="R201" t="str">
        <f>RTD("nest.scriprtd",,"nse_cm|1050UCL25-N7","Isin code")</f>
        <v>INE583D07315</v>
      </c>
      <c r="S201" s="9">
        <f>Table1[[#This Row],[Ask Rate]]*Table1[[#This Row],[Ask Qty]]</f>
        <v>59940</v>
      </c>
      <c r="T201">
        <f>VLOOKUP(Table1[[#This Row],[Isin code]],Table2[#All],7,FALSE)</f>
        <v>10.5</v>
      </c>
      <c r="U201" s="17" t="str">
        <f>VLOOKUP(Table1[[#This Row],[Isin code]],Table2[#All],8,FALSE)</f>
        <v>26-Sep-2025</v>
      </c>
      <c r="V201" s="10">
        <f ca="1">Table1[[#This Row],[Maturity]]-TODAY()</f>
        <v>345</v>
      </c>
      <c r="W201" t="str">
        <f>VLOOKUP(Table1[[#This Row],[Isin code]],Table2[#All],10,FALSE)</f>
        <v>Monthly</v>
      </c>
      <c r="X201">
        <f ca="1">_xlfn.DAYS(Table1[[#This Row],[Maturity]],TODAY())-15</f>
        <v>330</v>
      </c>
      <c r="Y20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201">
        <f>IF(Table1[[#This Row],[Ask Rate]]=0,0,Table1[[#This Row],[Face Value]]-Table1[[#This Row],[Ask Rate]])</f>
        <v>1</v>
      </c>
      <c r="AA201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201">
        <f ca="1">Table1[[#This Row],[Face Value]]*Table1[[#This Row],[Rate]]*Table1[[#This Row],[Time]]</f>
        <v>96.25</v>
      </c>
      <c r="AC201">
        <f ca="1">Table1[[#This Row],[SI]]+Table1[[#This Row],[Disc/Prem]]</f>
        <v>97.25</v>
      </c>
      <c r="AD201" s="3">
        <f ca="1">Table1[[#This Row],[Net Gain]]/Table1[[#This Row],[Ask Rate]]</f>
        <v>9.7347347347347346E-2</v>
      </c>
      <c r="AE201" s="3">
        <f ca="1">IF(Table1[[#This Row],[Ask Qty]]=0,0,Table1[[#This Row],[Gross Yield]]*365/Table1[[#This Row],[Days Left]])</f>
        <v>0.10299067183125155</v>
      </c>
      <c r="AF201" s="9">
        <f ca="1">+Table1[[#This Row],[Net Gain]]*Table1[[#This Row],[Ask Qty]]</f>
        <v>5835</v>
      </c>
      <c r="AG201" t="str">
        <f ca="1">IF(Table1[[#This Row],[YTM]]&gt;0.12,IF(Table1[[#This Row],[Gross Profit]]&gt;10000,"Invest","Review"),"Low YTM")</f>
        <v>Low YTM</v>
      </c>
    </row>
    <row r="202" spans="1:33" x14ac:dyDescent="0.3">
      <c r="A202" t="str">
        <f>RTD("nest.scriprtd",,"bse_cm|92ICCL28","Symbol")</f>
        <v>92ICCL28</v>
      </c>
      <c r="B202" t="str">
        <f>RTD("nest.scriprtd",,"bse_cm|92ICCL28","Trading Symbol")</f>
        <v>92ICCL28</v>
      </c>
      <c r="C202" t="str">
        <f>RTD("nest.scriprtd",,"bse_cm|92ICCL28","Exchange")</f>
        <v>BSE</v>
      </c>
      <c r="D202">
        <f>RTD("nest.scriprtd",,"bse_cm|92ICCL28","Bid Qty")</f>
        <v>5</v>
      </c>
      <c r="E202">
        <f>RTD("nest.scriprtd",,"bse_cm|92ICCL28","Bid Rate")</f>
        <v>850.55</v>
      </c>
      <c r="F202">
        <f>RTD("nest.scriprtd",,"bse_cm|92ICCL28","Ask Rate")</f>
        <v>974.8</v>
      </c>
      <c r="G202">
        <f>RTD("nest.scriprtd",,"bse_cm|92ICCL28","Ask Qty")</f>
        <v>18</v>
      </c>
      <c r="H202">
        <f>RTD("nest.scriprtd",,"bse_cm|92ICCL28","LTP")</f>
        <v>0</v>
      </c>
      <c r="I202" t="str">
        <f>RTD("nest.scriprtd",,"bse_cm|92ICCL28","LTT")</f>
        <v>00:00:00</v>
      </c>
      <c r="J202">
        <f>RTD("nest.scriprtd",,"bse_cm|92ICCL28","% Change")</f>
        <v>-100</v>
      </c>
      <c r="K202">
        <f>RTD("nest.scriprtd",,"bse_cm|92ICCL28","ATP")</f>
        <v>0</v>
      </c>
      <c r="L202">
        <f>RTD("nest.scriprtd",,"bse_cm|92ICCL28","Volume Traded Today")</f>
        <v>0</v>
      </c>
      <c r="M202">
        <f>RTD("nest.scriprtd",,"bse_cm|92ICCL28","Open")</f>
        <v>0</v>
      </c>
      <c r="N202">
        <f>RTD("nest.scriprtd",,"bse_cm|92ICCL28","High")</f>
        <v>825.21</v>
      </c>
      <c r="O202">
        <f>RTD("nest.scriprtd",,"bse_cm|92ICCL28","Low ")</f>
        <v>825.2</v>
      </c>
      <c r="P202">
        <f>RTD("nest.scriprtd",,"bse_cm|92ICCL28","Prev Close")</f>
        <v>825.2</v>
      </c>
      <c r="Q202">
        <f>RTD("nest.scriprtd",,"bse_cm|92ICCL28","Face Value")</f>
        <v>1000</v>
      </c>
      <c r="R202" t="str">
        <f>RTD("nest.scriprtd",,"bse_cm|92ICCL28","Isin code")</f>
        <v>INE244L07184</v>
      </c>
      <c r="S202" s="9">
        <f>Table1[[#This Row],[Ask Rate]]*Table1[[#This Row],[Ask Qty]]</f>
        <v>17546.399999999998</v>
      </c>
      <c r="T202">
        <f>VLOOKUP(Table1[[#This Row],[Isin code]],Table2[#All],7,FALSE)</f>
        <v>9.1999999999999993</v>
      </c>
      <c r="U202" s="17" t="str">
        <f>VLOOKUP(Table1[[#This Row],[Isin code]],Table2[#All],8,FALSE)</f>
        <v>25-Sep-2028</v>
      </c>
      <c r="V202" s="10">
        <f ca="1">Table1[[#This Row],[Maturity]]-TODAY()</f>
        <v>1440</v>
      </c>
      <c r="W202" t="str">
        <f>VLOOKUP(Table1[[#This Row],[Isin code]],Table2[#All],10,FALSE)</f>
        <v>Yearly</v>
      </c>
      <c r="X202">
        <f ca="1">_xlfn.DAYS(Table1[[#This Row],[Maturity]],TODAY())-15</f>
        <v>1425</v>
      </c>
      <c r="Y2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202">
        <f>IF(Table1[[#This Row],[Ask Rate]]=0,0,Table1[[#This Row],[Face Value]]-Table1[[#This Row],[Ask Rate]])</f>
        <v>25.200000000000045</v>
      </c>
      <c r="AA202">
        <f>IF(Table1[[#This Row],[Freq]]="Yearly",Table1[[#This Row],[Coupon_Rate]]/100,IF(Table1[[#This Row],[Freq]]="Monthly",Table1[[#This Row],[Coupon_Rate]]/1200,IF(Table1[[#This Row],[Freq]]="Quarterly",Table1[[#This Row],[Coupon_Rate]]/400,0)))</f>
        <v>9.1999999999999998E-2</v>
      </c>
      <c r="AB202">
        <f ca="1">Table1[[#This Row],[Face Value]]*Table1[[#This Row],[Rate]]*Table1[[#This Row],[Time]]</f>
        <v>368</v>
      </c>
      <c r="AC202">
        <f ca="1">Table1[[#This Row],[SI]]+Table1[[#This Row],[Disc/Prem]]</f>
        <v>393.20000000000005</v>
      </c>
      <c r="AD202" s="3">
        <f ca="1">Table1[[#This Row],[Net Gain]]/Table1[[#This Row],[Ask Rate]]</f>
        <v>0.4033647927780058</v>
      </c>
      <c r="AE202" s="3">
        <f ca="1">IF(Table1[[#This Row],[Ask Qty]]=0,0,Table1[[#This Row],[Gross Yield]]*365/Table1[[#This Row],[Days Left]])</f>
        <v>0.10224177039164729</v>
      </c>
      <c r="AF202" s="9">
        <f ca="1">+Table1[[#This Row],[Net Gain]]*Table1[[#This Row],[Ask Qty]]</f>
        <v>7077.6</v>
      </c>
      <c r="AG202" t="str">
        <f ca="1">IF(Table1[[#This Row],[YTM]]&gt;0.12,IF(Table1[[#This Row],[Gross Profit]]&gt;10000,"Invest","Review"),"Low YTM")</f>
        <v>Low YTM</v>
      </c>
    </row>
    <row r="203" spans="1:33" x14ac:dyDescent="0.3">
      <c r="A203" t="str">
        <f>RTD("nest.scriprtd",,"nse_cm|92ICCL28-ND","Symbol")</f>
        <v>92ICCL28</v>
      </c>
      <c r="B203" t="str">
        <f>RTD("nest.scriprtd",,"nse_cm|92ICCL28-ND","Trading Symbol")</f>
        <v>92ICCL28-ND</v>
      </c>
      <c r="C203" t="str">
        <f>RTD("nest.scriprtd",,"nse_cm|92ICCL28-ND","Exchange")</f>
        <v>NSE</v>
      </c>
      <c r="D203">
        <f>RTD("nest.scriprtd",,"nse_cm|92ICCL28-ND","Bid Qty")</f>
        <v>10</v>
      </c>
      <c r="E203">
        <f>RTD("nest.scriprtd",,"nse_cm|92ICCL28-ND","Bid Rate")</f>
        <v>900</v>
      </c>
      <c r="F203">
        <f>RTD("nest.scriprtd",,"nse_cm|92ICCL28-ND","Ask Rate")</f>
        <v>974.8</v>
      </c>
      <c r="G203">
        <f>RTD("nest.scriprtd",,"nse_cm|92ICCL28-ND","Ask Qty")</f>
        <v>27</v>
      </c>
      <c r="H203">
        <f>RTD("nest.scriprtd",,"nse_cm|92ICCL28-ND","LTP")</f>
        <v>945</v>
      </c>
      <c r="I203" t="str">
        <f>RTD("nest.scriprtd",,"nse_cm|92ICCL28-ND","LTT")</f>
        <v/>
      </c>
      <c r="J203">
        <f>RTD("nest.scriprtd",,"nse_cm|92ICCL28-ND","% Change")</f>
        <v>0</v>
      </c>
      <c r="K203">
        <f>RTD("nest.scriprtd",,"nse_cm|92ICCL28-ND","ATP")</f>
        <v>0</v>
      </c>
      <c r="L203">
        <f>RTD("nest.scriprtd",,"nse_cm|92ICCL28-ND","Volume Traded Today")</f>
        <v>0</v>
      </c>
      <c r="M203">
        <f>RTD("nest.scriprtd",,"nse_cm|92ICCL28-ND","Open")</f>
        <v>0</v>
      </c>
      <c r="N203">
        <f>RTD("nest.scriprtd",,"nse_cm|92ICCL28-ND","High")</f>
        <v>945</v>
      </c>
      <c r="O203">
        <f>RTD("nest.scriprtd",,"nse_cm|92ICCL28-ND","Low ")</f>
        <v>945</v>
      </c>
      <c r="P203">
        <f>RTD("nest.scriprtd",,"nse_cm|92ICCL28-ND","Prev Close")</f>
        <v>945</v>
      </c>
      <c r="Q203">
        <f>RTD("nest.scriprtd",,"nse_cm|92ICCL28-ND","Face Value")</f>
        <v>1000</v>
      </c>
      <c r="R203" t="str">
        <f>RTD("nest.scriprtd",,"nse_cm|92ICCL28-ND","Isin code")</f>
        <v>INE244L07184</v>
      </c>
      <c r="S203" s="9">
        <f>Table1[[#This Row],[Ask Rate]]*Table1[[#This Row],[Ask Qty]]</f>
        <v>26319.599999999999</v>
      </c>
      <c r="T203">
        <f>VLOOKUP(Table1[[#This Row],[Isin code]],Table2[#All],7,FALSE)</f>
        <v>9.1999999999999993</v>
      </c>
      <c r="U203" s="17" t="str">
        <f>VLOOKUP(Table1[[#This Row],[Isin code]],Table2[#All],8,FALSE)</f>
        <v>25-Sep-2028</v>
      </c>
      <c r="V203" s="10">
        <f ca="1">Table1[[#This Row],[Maturity]]-TODAY()</f>
        <v>1440</v>
      </c>
      <c r="W203" t="str">
        <f>VLOOKUP(Table1[[#This Row],[Isin code]],Table2[#All],10,FALSE)</f>
        <v>Yearly</v>
      </c>
      <c r="X203">
        <f ca="1">_xlfn.DAYS(Table1[[#This Row],[Maturity]],TODAY())-15</f>
        <v>1425</v>
      </c>
      <c r="Y2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203">
        <f>IF(Table1[[#This Row],[Ask Rate]]=0,0,Table1[[#This Row],[Face Value]]-Table1[[#This Row],[Ask Rate]])</f>
        <v>25.200000000000045</v>
      </c>
      <c r="AA203">
        <f>IF(Table1[[#This Row],[Freq]]="Yearly",Table1[[#This Row],[Coupon_Rate]]/100,IF(Table1[[#This Row],[Freq]]="Monthly",Table1[[#This Row],[Coupon_Rate]]/1200,IF(Table1[[#This Row],[Freq]]="Quarterly",Table1[[#This Row],[Coupon_Rate]]/400,0)))</f>
        <v>9.1999999999999998E-2</v>
      </c>
      <c r="AB203">
        <f ca="1">Table1[[#This Row],[Face Value]]*Table1[[#This Row],[Rate]]*Table1[[#This Row],[Time]]</f>
        <v>368</v>
      </c>
      <c r="AC203">
        <f ca="1">Table1[[#This Row],[SI]]+Table1[[#This Row],[Disc/Prem]]</f>
        <v>393.20000000000005</v>
      </c>
      <c r="AD203" s="3">
        <f ca="1">Table1[[#This Row],[Net Gain]]/Table1[[#This Row],[Ask Rate]]</f>
        <v>0.4033647927780058</v>
      </c>
      <c r="AE203" s="3">
        <f ca="1">IF(Table1[[#This Row],[Ask Qty]]=0,0,Table1[[#This Row],[Gross Yield]]*365/Table1[[#This Row],[Days Left]])</f>
        <v>0.10224177039164729</v>
      </c>
      <c r="AF203" s="9">
        <f ca="1">+Table1[[#This Row],[Net Gain]]*Table1[[#This Row],[Ask Qty]]</f>
        <v>10616.400000000001</v>
      </c>
      <c r="AG203" t="str">
        <f ca="1">IF(Table1[[#This Row],[YTM]]&gt;0.12,IF(Table1[[#This Row],[Gross Profit]]&gt;10000,"Invest","Review"),"Low YTM")</f>
        <v>Low YTM</v>
      </c>
    </row>
    <row r="204" spans="1:33" x14ac:dyDescent="0.3">
      <c r="A204" t="str">
        <f>RTD("nest.scriprtd",,"nse_cm|1015ECL29-NR","Symbol")</f>
        <v>1015ECL29</v>
      </c>
      <c r="B204" t="str">
        <f>RTD("nest.scriprtd",,"nse_cm|1015ECL29-NR","Trading Symbol")</f>
        <v>1015ECL29-NR</v>
      </c>
      <c r="C204" t="str">
        <f>RTD("nest.scriprtd",,"nse_cm|1015ECL29-NR","Exchange")</f>
        <v>NSE</v>
      </c>
      <c r="D204">
        <f>RTD("nest.scriprtd",,"nse_cm|1015ECL29-NR","Bid Qty")</f>
        <v>100</v>
      </c>
      <c r="E204">
        <f>RTD("nest.scriprtd",,"nse_cm|1015ECL29-NR","Bid Rate")</f>
        <v>983</v>
      </c>
      <c r="F204">
        <f>RTD("nest.scriprtd",,"nse_cm|1015ECL29-NR","Ask Rate")</f>
        <v>1000</v>
      </c>
      <c r="G204">
        <f>RTD("nest.scriprtd",,"nse_cm|1015ECL29-NR","Ask Qty")</f>
        <v>55</v>
      </c>
      <c r="H204">
        <f>RTD("nest.scriprtd",,"nse_cm|1015ECL29-NR","LTP")</f>
        <v>980.1</v>
      </c>
      <c r="I204" t="str">
        <f>RTD("nest.scriprtd",,"nse_cm|1015ECL29-NR","LTT")</f>
        <v/>
      </c>
      <c r="J204">
        <f>RTD("nest.scriprtd",,"nse_cm|1015ECL29-NR","% Change")</f>
        <v>0</v>
      </c>
      <c r="K204">
        <f>RTD("nest.scriprtd",,"nse_cm|1015ECL29-NR","ATP")</f>
        <v>0</v>
      </c>
      <c r="L204">
        <f>RTD("nest.scriprtd",,"nse_cm|1015ECL29-NR","Volume Traded Today")</f>
        <v>0</v>
      </c>
      <c r="M204">
        <f>RTD("nest.scriprtd",,"nse_cm|1015ECL29-NR","Open")</f>
        <v>0</v>
      </c>
      <c r="N204">
        <f>RTD("nest.scriprtd",,"nse_cm|1015ECL29-NR","High")</f>
        <v>980.5</v>
      </c>
      <c r="O204">
        <f>RTD("nest.scriprtd",,"nse_cm|1015ECL29-NR","Low ")</f>
        <v>980.1</v>
      </c>
      <c r="P204">
        <f>RTD("nest.scriprtd",,"nse_cm|1015ECL29-NR","Prev Close")</f>
        <v>980.1</v>
      </c>
      <c r="Q204">
        <f>RTD("nest.scriprtd",,"nse_cm|1015ECL29-NR","Face Value")</f>
        <v>1000</v>
      </c>
      <c r="R204" t="str">
        <f>RTD("nest.scriprtd",,"nse_cm|1015ECL29-NR","Isin code")</f>
        <v>INE804IA7014</v>
      </c>
      <c r="S204" s="9">
        <f>Table1[[#This Row],[Ask Rate]]*Table1[[#This Row],[Ask Qty]]</f>
        <v>55000</v>
      </c>
      <c r="T204">
        <f>VLOOKUP(Table1[[#This Row],[Isin code]],Table2[#All],7,FALSE)</f>
        <v>10.15</v>
      </c>
      <c r="U204" s="17" t="str">
        <f>VLOOKUP(Table1[[#This Row],[Isin code]],Table2[#All],8,FALSE)</f>
        <v>04-Jan-2029</v>
      </c>
      <c r="V204" s="10">
        <f ca="1">Table1[[#This Row],[Maturity]]-TODAY()</f>
        <v>1541</v>
      </c>
      <c r="W204" t="str">
        <f>VLOOKUP(Table1[[#This Row],[Isin code]],Table2[#All],10,FALSE)</f>
        <v>Monthly</v>
      </c>
      <c r="X204">
        <f ca="1">_xlfn.DAYS(Table1[[#This Row],[Maturity]],TODAY())-15</f>
        <v>1526</v>
      </c>
      <c r="Y2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204">
        <f>IF(Table1[[#This Row],[Ask Rate]]=0,0,Table1[[#This Row],[Face Value]]-Table1[[#This Row],[Ask Rate]])</f>
        <v>0</v>
      </c>
      <c r="AA204">
        <f>IF(Table1[[#This Row],[Freq]]="Yearly",Table1[[#This Row],[Coupon_Rate]]/100,IF(Table1[[#This Row],[Freq]]="Monthly",Table1[[#This Row],[Coupon_Rate]]/1200,IF(Table1[[#This Row],[Freq]]="Quarterly",Table1[[#This Row],[Coupon_Rate]]/400,0)))</f>
        <v>8.4583333333333333E-3</v>
      </c>
      <c r="AB204">
        <f ca="1">Table1[[#This Row],[Face Value]]*Table1[[#This Row],[Rate]]*Table1[[#This Row],[Time]]</f>
        <v>431.37500000000006</v>
      </c>
      <c r="AC204">
        <f ca="1">Table1[[#This Row],[SI]]+Table1[[#This Row],[Disc/Prem]]</f>
        <v>431.37500000000006</v>
      </c>
      <c r="AD204" s="3">
        <f ca="1">Table1[[#This Row],[Net Gain]]/Table1[[#This Row],[Ask Rate]]</f>
        <v>0.43137500000000006</v>
      </c>
      <c r="AE204" s="3">
        <f ca="1">IF(Table1[[#This Row],[Ask Qty]]=0,0,Table1[[#This Row],[Gross Yield]]*365/Table1[[#This Row],[Days Left]])</f>
        <v>0.10217512978585336</v>
      </c>
      <c r="AF204" s="9">
        <f ca="1">+Table1[[#This Row],[Net Gain]]*Table1[[#This Row],[Ask Qty]]</f>
        <v>23725.625000000004</v>
      </c>
      <c r="AG204" t="str">
        <f ca="1">IF(Table1[[#This Row],[YTM]]&gt;0.12,IF(Table1[[#This Row],[Gross Profit]]&gt;10000,"Invest","Review"),"Low YTM")</f>
        <v>Low YTM</v>
      </c>
    </row>
    <row r="205" spans="1:33" x14ac:dyDescent="0.3">
      <c r="A205" t="str">
        <f>RTD("nest.scriprtd",,"bse_cm|967EFSL28","Symbol")</f>
        <v>967EFSL28</v>
      </c>
      <c r="B205" t="str">
        <f>RTD("nest.scriprtd",,"bse_cm|967EFSL28","Trading Symbol")</f>
        <v>967EFSL28</v>
      </c>
      <c r="C205" t="str">
        <f>RTD("nest.scriprtd",,"bse_cm|967EFSL28","Exchange")</f>
        <v>BSE</v>
      </c>
      <c r="D205">
        <f>RTD("nest.scriprtd",,"bse_cm|967EFSL28","Bid Qty")</f>
        <v>9</v>
      </c>
      <c r="E205">
        <f>RTD("nest.scriprtd",,"bse_cm|967EFSL28","Bid Rate")</f>
        <v>916</v>
      </c>
      <c r="F205">
        <f>RTD("nest.scriprtd",,"bse_cm|967EFSL28","Ask Rate")</f>
        <v>990</v>
      </c>
      <c r="G205">
        <f>RTD("nest.scriprtd",,"bse_cm|967EFSL28","Ask Qty")</f>
        <v>199</v>
      </c>
      <c r="H205">
        <f>RTD("nest.scriprtd",,"bse_cm|967EFSL28","LTP")</f>
        <v>0</v>
      </c>
      <c r="I205" t="str">
        <f>RTD("nest.scriprtd",,"bse_cm|967EFSL28","LTT")</f>
        <v>00:00:00</v>
      </c>
      <c r="J205">
        <f>RTD("nest.scriprtd",,"bse_cm|967EFSL28","% Change")</f>
        <v>-100</v>
      </c>
      <c r="K205">
        <f>RTD("nest.scriprtd",,"bse_cm|967EFSL28","ATP")</f>
        <v>0</v>
      </c>
      <c r="L205">
        <f>RTD("nest.scriprtd",,"bse_cm|967EFSL28","Volume Traded Today")</f>
        <v>0</v>
      </c>
      <c r="M205">
        <f>RTD("nest.scriprtd",,"bse_cm|967EFSL28","Open")</f>
        <v>0</v>
      </c>
      <c r="N205">
        <f>RTD("nest.scriprtd",,"bse_cm|967EFSL28","High")</f>
        <v>950</v>
      </c>
      <c r="O205">
        <f>RTD("nest.scriprtd",,"bse_cm|967EFSL28","Low ")</f>
        <v>950</v>
      </c>
      <c r="P205">
        <f>RTD("nest.scriprtd",,"bse_cm|967EFSL28","Prev Close")</f>
        <v>950</v>
      </c>
      <c r="Q205">
        <f>RTD("nest.scriprtd",,"bse_cm|967EFSL28","Face Value")</f>
        <v>1000</v>
      </c>
      <c r="R205" t="str">
        <f>RTD("nest.scriprtd",,"bse_cm|967EFSL28","Isin code")</f>
        <v>INE532F07DT4</v>
      </c>
      <c r="S205" s="9">
        <f>Table1[[#This Row],[Ask Rate]]*Table1[[#This Row],[Ask Qty]]</f>
        <v>197010</v>
      </c>
      <c r="T205">
        <f>VLOOKUP(Table1[[#This Row],[Isin code]],Table2[#All],7,FALSE)</f>
        <v>9.67</v>
      </c>
      <c r="U205" s="17" t="str">
        <f>VLOOKUP(Table1[[#This Row],[Isin code]],Table2[#All],8,FALSE)</f>
        <v>27-Apr-2028</v>
      </c>
      <c r="V205" s="10">
        <f ca="1">Table1[[#This Row],[Maturity]]-TODAY()</f>
        <v>1289</v>
      </c>
      <c r="W205" t="str">
        <f>VLOOKUP(Table1[[#This Row],[Isin code]],Table2[#All],10,FALSE)</f>
        <v>Monthly</v>
      </c>
      <c r="X205">
        <f ca="1">_xlfn.DAYS(Table1[[#This Row],[Maturity]],TODAY())-15</f>
        <v>1274</v>
      </c>
      <c r="Y2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43</v>
      </c>
      <c r="Z205">
        <f>IF(Table1[[#This Row],[Ask Rate]]=0,0,Table1[[#This Row],[Face Value]]-Table1[[#This Row],[Ask Rate]])</f>
        <v>10</v>
      </c>
      <c r="AA205">
        <f>IF(Table1[[#This Row],[Freq]]="Yearly",Table1[[#This Row],[Coupon_Rate]]/100,IF(Table1[[#This Row],[Freq]]="Monthly",Table1[[#This Row],[Coupon_Rate]]/1200,IF(Table1[[#This Row],[Freq]]="Quarterly",Table1[[#This Row],[Coupon_Rate]]/400,0)))</f>
        <v>8.058333333333334E-3</v>
      </c>
      <c r="AB205">
        <f ca="1">Table1[[#This Row],[Face Value]]*Table1[[#This Row],[Rate]]*Table1[[#This Row],[Time]]</f>
        <v>346.50833333333333</v>
      </c>
      <c r="AC205">
        <f ca="1">Table1[[#This Row],[SI]]+Table1[[#This Row],[Disc/Prem]]</f>
        <v>356.50833333333333</v>
      </c>
      <c r="AD205" s="3">
        <f ca="1">Table1[[#This Row],[Net Gain]]/Table1[[#This Row],[Ask Rate]]</f>
        <v>0.3601094276094276</v>
      </c>
      <c r="AE205" s="3">
        <f ca="1">IF(Table1[[#This Row],[Ask Qty]]=0,0,Table1[[#This Row],[Gross Yield]]*365/Table1[[#This Row],[Days Left]])</f>
        <v>0.10197047407093954</v>
      </c>
      <c r="AF205" s="9">
        <f ca="1">+Table1[[#This Row],[Net Gain]]*Table1[[#This Row],[Ask Qty]]</f>
        <v>70945.158333333326</v>
      </c>
      <c r="AG205" t="str">
        <f ca="1">IF(Table1[[#This Row],[YTM]]&gt;0.12,IF(Table1[[#This Row],[Gross Profit]]&gt;10000,"Invest","Review"),"Low YTM")</f>
        <v>Low YTM</v>
      </c>
    </row>
    <row r="206" spans="1:33" x14ac:dyDescent="0.3">
      <c r="A206" t="str">
        <f>RTD("nest.scriprtd",,"bse_cm|104SMCGS29","Symbol")</f>
        <v>104SMCGS29</v>
      </c>
      <c r="B206" t="str">
        <f>RTD("nest.scriprtd",,"bse_cm|104SMCGS29","Trading Symbol")</f>
        <v>104SMCGS29</v>
      </c>
      <c r="C206" t="str">
        <f>RTD("nest.scriprtd",,"bse_cm|104SMCGS29","Exchange")</f>
        <v>BSE</v>
      </c>
      <c r="D206">
        <f>RTD("nest.scriprtd",,"bse_cm|104SMCGS29","Bid Qty")</f>
        <v>10</v>
      </c>
      <c r="E206">
        <f>RTD("nest.scriprtd",,"bse_cm|104SMCGS29","Bid Rate")</f>
        <v>991</v>
      </c>
      <c r="F206">
        <f>RTD("nest.scriprtd",,"bse_cm|104SMCGS29","Ask Rate")</f>
        <v>1020</v>
      </c>
      <c r="G206">
        <f>RTD("nest.scriprtd",,"bse_cm|104SMCGS29","Ask Qty")</f>
        <v>50</v>
      </c>
      <c r="H206">
        <f>RTD("nest.scriprtd",,"bse_cm|104SMCGS29","LTP")</f>
        <v>0</v>
      </c>
      <c r="I206" t="str">
        <f>RTD("nest.scriprtd",,"bse_cm|104SMCGS29","LTT")</f>
        <v>00:00:00</v>
      </c>
      <c r="J206">
        <f>RTD("nest.scriprtd",,"bse_cm|104SMCGS29","% Change")</f>
        <v>-100</v>
      </c>
      <c r="K206">
        <f>RTD("nest.scriprtd",,"bse_cm|104SMCGS29","ATP")</f>
        <v>0</v>
      </c>
      <c r="L206">
        <f>RTD("nest.scriprtd",,"bse_cm|104SMCGS29","Volume Traded Today")</f>
        <v>0</v>
      </c>
      <c r="M206">
        <f>RTD("nest.scriprtd",,"bse_cm|104SMCGS29","Open")</f>
        <v>0</v>
      </c>
      <c r="N206">
        <f>RTD("nest.scriprtd",,"bse_cm|104SMCGS29","High")</f>
        <v>1000</v>
      </c>
      <c r="O206">
        <f>RTD("nest.scriprtd",,"bse_cm|104SMCGS29","Low ")</f>
        <v>971</v>
      </c>
      <c r="P206">
        <f>RTD("nest.scriprtd",,"bse_cm|104SMCGS29","Prev Close")</f>
        <v>997.75</v>
      </c>
      <c r="Q206">
        <f>RTD("nest.scriprtd",,"bse_cm|104SMCGS29","Face Value")</f>
        <v>1000</v>
      </c>
      <c r="R206" t="str">
        <f>RTD("nest.scriprtd",,"bse_cm|104SMCGS29","Isin code")</f>
        <v>INE103C07066</v>
      </c>
      <c r="S206" s="9">
        <f>Table1[[#This Row],[Ask Rate]]*Table1[[#This Row],[Ask Qty]]</f>
        <v>51000</v>
      </c>
      <c r="T206">
        <f>VLOOKUP(Table1[[#This Row],[Isin code]],Table2[#All],7,FALSE)</f>
        <v>10.4</v>
      </c>
      <c r="U206" s="17" t="str">
        <f>VLOOKUP(Table1[[#This Row],[Isin code]],Table2[#All],8,FALSE)</f>
        <v>07-Aug-2029</v>
      </c>
      <c r="V206" s="10">
        <f ca="1">Table1[[#This Row],[Maturity]]-TODAY()</f>
        <v>1756</v>
      </c>
      <c r="W206" t="str">
        <f>VLOOKUP(Table1[[#This Row],[Isin code]],Table2[#All],10,FALSE)</f>
        <v>Yearly</v>
      </c>
      <c r="X206">
        <f ca="1">_xlfn.DAYS(Table1[[#This Row],[Maturity]],TODAY())-15</f>
        <v>1741</v>
      </c>
      <c r="Y2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206">
        <f>IF(Table1[[#This Row],[Ask Rate]]=0,0,Table1[[#This Row],[Face Value]]-Table1[[#This Row],[Ask Rate]])</f>
        <v>-20</v>
      </c>
      <c r="AA206">
        <f>IF(Table1[[#This Row],[Freq]]="Yearly",Table1[[#This Row],[Coupon_Rate]]/100,IF(Table1[[#This Row],[Freq]]="Monthly",Table1[[#This Row],[Coupon_Rate]]/1200,IF(Table1[[#This Row],[Freq]]="Quarterly",Table1[[#This Row],[Coupon_Rate]]/400,0)))</f>
        <v>0.10400000000000001</v>
      </c>
      <c r="AB206">
        <f ca="1">Table1[[#This Row],[Face Value]]*Table1[[#This Row],[Rate]]*Table1[[#This Row],[Time]]</f>
        <v>520.00000000000011</v>
      </c>
      <c r="AC206">
        <f ca="1">Table1[[#This Row],[SI]]+Table1[[#This Row],[Disc/Prem]]</f>
        <v>500.00000000000011</v>
      </c>
      <c r="AD206" s="3">
        <f ca="1">Table1[[#This Row],[Net Gain]]/Table1[[#This Row],[Ask Rate]]</f>
        <v>0.49019607843137264</v>
      </c>
      <c r="AE206" s="3">
        <f ca="1">IF(Table1[[#This Row],[Ask Qty]]=0,0,Table1[[#This Row],[Gross Yield]]*365/Table1[[#This Row],[Days Left]])</f>
        <v>0.10189155388807006</v>
      </c>
      <c r="AF206" s="9">
        <f ca="1">+Table1[[#This Row],[Net Gain]]*Table1[[#This Row],[Ask Qty]]</f>
        <v>25000.000000000007</v>
      </c>
      <c r="AG206" t="str">
        <f ca="1">IF(Table1[[#This Row],[YTM]]&gt;0.12,IF(Table1[[#This Row],[Gross Profit]]&gt;10000,"Invest","Review"),"Low YTM")</f>
        <v>Low YTM</v>
      </c>
    </row>
    <row r="207" spans="1:33" x14ac:dyDescent="0.3">
      <c r="A207" t="str">
        <f>RTD("nest.scriprtd",,"bse_cm|905MFL28","Symbol")</f>
        <v>905MFL28</v>
      </c>
      <c r="B207" t="str">
        <f>RTD("nest.scriprtd",,"bse_cm|905MFL28","Trading Symbol")</f>
        <v>905MFL28</v>
      </c>
      <c r="C207" t="str">
        <f>RTD("nest.scriprtd",,"bse_cm|905MFL28","Exchange")</f>
        <v>BSE</v>
      </c>
      <c r="D207">
        <f>RTD("nest.scriprtd",,"bse_cm|905MFL28","Bid Qty")</f>
        <v>10</v>
      </c>
      <c r="E207">
        <f>RTD("nest.scriprtd",,"bse_cm|905MFL28","Bid Rate")</f>
        <v>901.5</v>
      </c>
      <c r="F207">
        <f>RTD("nest.scriprtd",,"bse_cm|905MFL28","Ask Rate")</f>
        <v>970</v>
      </c>
      <c r="G207">
        <f>RTD("nest.scriprtd",,"bse_cm|905MFL28","Ask Qty")</f>
        <v>50</v>
      </c>
      <c r="H207">
        <f>RTD("nest.scriprtd",,"bse_cm|905MFL28","LTP")</f>
        <v>0</v>
      </c>
      <c r="I207" t="str">
        <f>RTD("nest.scriprtd",,"bse_cm|905MFL28","LTT")</f>
        <v>00:00:00</v>
      </c>
      <c r="J207">
        <f>RTD("nest.scriprtd",,"bse_cm|905MFL28","% Change")</f>
        <v>-100</v>
      </c>
      <c r="K207">
        <f>RTD("nest.scriprtd",,"bse_cm|905MFL28","ATP")</f>
        <v>0</v>
      </c>
      <c r="L207">
        <f>RTD("nest.scriprtd",,"bse_cm|905MFL28","Volume Traded Today")</f>
        <v>0</v>
      </c>
      <c r="M207">
        <f>RTD("nest.scriprtd",,"bse_cm|905MFL28","Open")</f>
        <v>0</v>
      </c>
      <c r="N207">
        <f>RTD("nest.scriprtd",,"bse_cm|905MFL28","High")</f>
        <v>974</v>
      </c>
      <c r="O207">
        <f>RTD("nest.scriprtd",,"bse_cm|905MFL28","Low ")</f>
        <v>974</v>
      </c>
      <c r="P207">
        <f>RTD("nest.scriprtd",,"bse_cm|905MFL28","Prev Close")</f>
        <v>974</v>
      </c>
      <c r="Q207">
        <f>RTD("nest.scriprtd",,"bse_cm|905MFL28","Face Value")</f>
        <v>1000</v>
      </c>
      <c r="R207" t="str">
        <f>RTD("nest.scriprtd",,"bse_cm|905MFL28","Isin code")</f>
        <v>INE549K07CT0</v>
      </c>
      <c r="S207" s="9">
        <f>Table1[[#This Row],[Ask Rate]]*Table1[[#This Row],[Ask Qty]]</f>
        <v>48500</v>
      </c>
      <c r="T207">
        <f>VLOOKUP(Table1[[#This Row],[Isin code]],Table2[#All],7,FALSE)</f>
        <v>9.0499999999999989</v>
      </c>
      <c r="U207" s="17" t="str">
        <f>VLOOKUP(Table1[[#This Row],[Isin code]],Table2[#All],8,FALSE)</f>
        <v>01-Nov-2028</v>
      </c>
      <c r="V207" s="10">
        <f ca="1">Table1[[#This Row],[Maturity]]-TODAY()</f>
        <v>1477</v>
      </c>
      <c r="W207" t="str">
        <f>VLOOKUP(Table1[[#This Row],[Isin code]],Table2[#All],10,FALSE)</f>
        <v>Monthly</v>
      </c>
      <c r="X207">
        <f ca="1">_xlfn.DAYS(Table1[[#This Row],[Maturity]],TODAY())-15</f>
        <v>1462</v>
      </c>
      <c r="Y2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49</v>
      </c>
      <c r="Z207">
        <f>IF(Table1[[#This Row],[Ask Rate]]=0,0,Table1[[#This Row],[Face Value]]-Table1[[#This Row],[Ask Rate]])</f>
        <v>30</v>
      </c>
      <c r="AA207">
        <f>IF(Table1[[#This Row],[Freq]]="Yearly",Table1[[#This Row],[Coupon_Rate]]/100,IF(Table1[[#This Row],[Freq]]="Monthly",Table1[[#This Row],[Coupon_Rate]]/1200,IF(Table1[[#This Row],[Freq]]="Quarterly",Table1[[#This Row],[Coupon_Rate]]/400,0)))</f>
        <v>7.5416666666666661E-3</v>
      </c>
      <c r="AB207">
        <f ca="1">Table1[[#This Row],[Face Value]]*Table1[[#This Row],[Rate]]*Table1[[#This Row],[Time]]</f>
        <v>369.54166666666663</v>
      </c>
      <c r="AC207">
        <f ca="1">Table1[[#This Row],[SI]]+Table1[[#This Row],[Disc/Prem]]</f>
        <v>399.54166666666663</v>
      </c>
      <c r="AD207" s="3">
        <f ca="1">Table1[[#This Row],[Net Gain]]/Table1[[#This Row],[Ask Rate]]</f>
        <v>0.41189862542955324</v>
      </c>
      <c r="AE207" s="3">
        <f ca="1">IF(Table1[[#This Row],[Ask Qty]]=0,0,Table1[[#This Row],[Gross Yield]]*365/Table1[[#This Row],[Days Left]])</f>
        <v>0.10178943688678872</v>
      </c>
      <c r="AF207" s="9">
        <f ca="1">+Table1[[#This Row],[Net Gain]]*Table1[[#This Row],[Ask Qty]]</f>
        <v>19977.083333333332</v>
      </c>
      <c r="AG207" t="str">
        <f ca="1">IF(Table1[[#This Row],[YTM]]&gt;0.12,IF(Table1[[#This Row],[Gross Profit]]&gt;10000,"Invest","Review"),"Low YTM")</f>
        <v>Low YTM</v>
      </c>
    </row>
    <row r="208" spans="1:33" x14ac:dyDescent="0.3">
      <c r="A208" t="str">
        <f>RTD("nest.scriprtd",,"nse_cm|920IIFLS26-N8","Symbol")</f>
        <v>920IIFLS26</v>
      </c>
      <c r="B208" t="str">
        <f>RTD("nest.scriprtd",,"nse_cm|920IIFLS26-N8","Trading Symbol")</f>
        <v>920IIFLS26-N8</v>
      </c>
      <c r="C208" t="str">
        <f>RTD("nest.scriprtd",,"nse_cm|920IIFLS26-N8","Exchange")</f>
        <v>NSE</v>
      </c>
      <c r="D208">
        <f>RTD("nest.scriprtd",,"nse_cm|920IIFLS26-N8","Bid Qty")</f>
        <v>11</v>
      </c>
      <c r="E208">
        <f>RTD("nest.scriprtd",,"nse_cm|920IIFLS26-N8","Bid Rate")</f>
        <v>950</v>
      </c>
      <c r="F208">
        <f>RTD("nest.scriprtd",,"nse_cm|920IIFLS26-N8","Ask Rate")</f>
        <v>985</v>
      </c>
      <c r="G208">
        <f>RTD("nest.scriprtd",,"nse_cm|920IIFLS26-N8","Ask Qty")</f>
        <v>10</v>
      </c>
      <c r="H208">
        <f>RTD("nest.scriprtd",,"nse_cm|920IIFLS26-N8","LTP")</f>
        <v>826</v>
      </c>
      <c r="I208" t="str">
        <f>RTD("nest.scriprtd",,"nse_cm|920IIFLS26-N8","LTT")</f>
        <v/>
      </c>
      <c r="J208">
        <f>RTD("nest.scriprtd",,"nse_cm|920IIFLS26-N8","% Change")</f>
        <v>0</v>
      </c>
      <c r="K208">
        <f>RTD("nest.scriprtd",,"nse_cm|920IIFLS26-N8","ATP")</f>
        <v>0</v>
      </c>
      <c r="L208">
        <f>RTD("nest.scriprtd",,"nse_cm|920IIFLS26-N8","Volume Traded Today")</f>
        <v>0</v>
      </c>
      <c r="M208">
        <f>RTD("nest.scriprtd",,"nse_cm|920IIFLS26-N8","Open")</f>
        <v>0</v>
      </c>
      <c r="N208">
        <f>RTD("nest.scriprtd",,"nse_cm|920IIFLS26-N8","High")</f>
        <v>826</v>
      </c>
      <c r="O208">
        <f>RTD("nest.scriprtd",,"nse_cm|920IIFLS26-N8","Low ")</f>
        <v>826</v>
      </c>
      <c r="P208">
        <f>RTD("nest.scriprtd",,"nse_cm|920IIFLS26-N8","Prev Close")</f>
        <v>826</v>
      </c>
      <c r="Q208">
        <f>RTD("nest.scriprtd",,"nse_cm|920IIFLS26-N8","Face Value")</f>
        <v>1000</v>
      </c>
      <c r="R208" t="str">
        <f>RTD("nest.scriprtd",,"nse_cm|920IIFLS26-N8","Isin code")</f>
        <v>INE413U07285</v>
      </c>
      <c r="S208" s="9">
        <f>Table1[[#This Row],[Ask Rate]]*Table1[[#This Row],[Ask Qty]]</f>
        <v>9850</v>
      </c>
      <c r="T208">
        <f>VLOOKUP(Table1[[#This Row],[Isin code]],Table2[#All],7,FALSE)</f>
        <v>9.1999999999999993</v>
      </c>
      <c r="U208" s="17" t="str">
        <f>VLOOKUP(Table1[[#This Row],[Isin code]],Table2[#All],8,FALSE)</f>
        <v>21-Jun-2026</v>
      </c>
      <c r="V208" s="10">
        <f ca="1">Table1[[#This Row],[Maturity]]-TODAY()</f>
        <v>613</v>
      </c>
      <c r="W208" t="str">
        <f>VLOOKUP(Table1[[#This Row],[Isin code]],Table2[#All],10,FALSE)</f>
        <v>Monthly</v>
      </c>
      <c r="X208">
        <f ca="1">_xlfn.DAYS(Table1[[#This Row],[Maturity]],TODAY())-15</f>
        <v>598</v>
      </c>
      <c r="Y2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208">
        <f>IF(Table1[[#This Row],[Ask Rate]]=0,0,Table1[[#This Row],[Face Value]]-Table1[[#This Row],[Ask Rate]])</f>
        <v>15</v>
      </c>
      <c r="AA208">
        <f>IF(Table1[[#This Row],[Freq]]="Yearly",Table1[[#This Row],[Coupon_Rate]]/100,IF(Table1[[#This Row],[Freq]]="Monthly",Table1[[#This Row],[Coupon_Rate]]/1200,IF(Table1[[#This Row],[Freq]]="Quarterly",Table1[[#This Row],[Coupon_Rate]]/400,0)))</f>
        <v>7.6666666666666662E-3</v>
      </c>
      <c r="AB208">
        <f ca="1">Table1[[#This Row],[Face Value]]*Table1[[#This Row],[Rate]]*Table1[[#This Row],[Time]]</f>
        <v>153.33333333333331</v>
      </c>
      <c r="AC208">
        <f ca="1">Table1[[#This Row],[SI]]+Table1[[#This Row],[Disc/Prem]]</f>
        <v>168.33333333333331</v>
      </c>
      <c r="AD208" s="3">
        <f ca="1">Table1[[#This Row],[Net Gain]]/Table1[[#This Row],[Ask Rate]]</f>
        <v>0.17089678510998307</v>
      </c>
      <c r="AE208" s="3">
        <f ca="1">IF(Table1[[#This Row],[Ask Qty]]=0,0,Table1[[#This Row],[Gross Yield]]*365/Table1[[#This Row],[Days Left]])</f>
        <v>0.10175746584852174</v>
      </c>
      <c r="AF208" s="9">
        <f ca="1">+Table1[[#This Row],[Net Gain]]*Table1[[#This Row],[Ask Qty]]</f>
        <v>1683.333333333333</v>
      </c>
      <c r="AG208" t="str">
        <f ca="1">IF(Table1[[#This Row],[YTM]]&gt;0.12,IF(Table1[[#This Row],[Gross Profit]]&gt;10000,"Invest","Review"),"Low YTM")</f>
        <v>Low YTM</v>
      </c>
    </row>
    <row r="209" spans="1:33" x14ac:dyDescent="0.3">
      <c r="A209" t="str">
        <f>RTD("nest.scriprtd",,"bse_cm|916NWIL27","Symbol")</f>
        <v>916NWIL27</v>
      </c>
      <c r="B209" t="str">
        <f>RTD("nest.scriprtd",,"bse_cm|916NWIL27","Trading Symbol")</f>
        <v>916NWIL27</v>
      </c>
      <c r="C209" t="str">
        <f>RTD("nest.scriprtd",,"bse_cm|916NWIL27","Exchange")</f>
        <v>BSE</v>
      </c>
      <c r="D209">
        <f>RTD("nest.scriprtd",,"bse_cm|916NWIL27","Bid Qty")</f>
        <v>50</v>
      </c>
      <c r="E209">
        <f>RTD("nest.scriprtd",,"bse_cm|916NWIL27","Bid Rate")</f>
        <v>935.07</v>
      </c>
      <c r="F209">
        <f>RTD("nest.scriprtd",,"bse_cm|916NWIL27","Ask Rate")</f>
        <v>979</v>
      </c>
      <c r="G209">
        <f>RTD("nest.scriprtd",,"bse_cm|916NWIL27","Ask Qty")</f>
        <v>44</v>
      </c>
      <c r="H209">
        <f>RTD("nest.scriprtd",,"bse_cm|916NWIL27","LTP")</f>
        <v>979</v>
      </c>
      <c r="I209" t="str">
        <f>RTD("nest.scriprtd",,"bse_cm|916NWIL27","LTT")</f>
        <v>09:44:22</v>
      </c>
      <c r="J209">
        <f>RTD("nest.scriprtd",,"bse_cm|916NWIL27","% Change")</f>
        <v>1.45</v>
      </c>
      <c r="K209">
        <f>RTD("nest.scriprtd",,"bse_cm|916NWIL27","ATP")</f>
        <v>979</v>
      </c>
      <c r="L209">
        <f>RTD("nest.scriprtd",,"bse_cm|916NWIL27","Volume Traded Today")</f>
        <v>500</v>
      </c>
      <c r="M209">
        <f>RTD("nest.scriprtd",,"bse_cm|916NWIL27","Open")</f>
        <v>979</v>
      </c>
      <c r="N209">
        <f>RTD("nest.scriprtd",,"bse_cm|916NWIL27","High")</f>
        <v>979</v>
      </c>
      <c r="O209">
        <f>RTD("nest.scriprtd",,"bse_cm|916NWIL27","Low ")</f>
        <v>979</v>
      </c>
      <c r="P209">
        <f>RTD("nest.scriprtd",,"bse_cm|916NWIL27","Prev Close")</f>
        <v>965</v>
      </c>
      <c r="Q209">
        <f>RTD("nest.scriprtd",,"bse_cm|916NWIL27","Face Value")</f>
        <v>1000</v>
      </c>
      <c r="R209" t="str">
        <f>RTD("nest.scriprtd",,"bse_cm|916NWIL27","Isin code")</f>
        <v>INE523L07710</v>
      </c>
      <c r="S209" s="9">
        <f>Table1[[#This Row],[Ask Rate]]*Table1[[#This Row],[Ask Qty]]</f>
        <v>43076</v>
      </c>
      <c r="T209">
        <f>VLOOKUP(Table1[[#This Row],[Isin code]],Table2[#All],7,FALSE)</f>
        <v>9.16</v>
      </c>
      <c r="U209" s="17" t="str">
        <f>VLOOKUP(Table1[[#This Row],[Isin code]],Table2[#All],8,FALSE)</f>
        <v>15-Jul-2027</v>
      </c>
      <c r="V209" s="10">
        <f ca="1">Table1[[#This Row],[Maturity]]-TODAY()</f>
        <v>1002</v>
      </c>
      <c r="W209" t="str">
        <f>VLOOKUP(Table1[[#This Row],[Isin code]],Table2[#All],10,FALSE)</f>
        <v>Monthly</v>
      </c>
      <c r="X209">
        <f ca="1">_xlfn.DAYS(Table1[[#This Row],[Maturity]],TODAY())-15</f>
        <v>987</v>
      </c>
      <c r="Y2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33</v>
      </c>
      <c r="Z209">
        <f>IF(Table1[[#This Row],[Ask Rate]]=0,0,Table1[[#This Row],[Face Value]]-Table1[[#This Row],[Ask Rate]])</f>
        <v>21</v>
      </c>
      <c r="AA209">
        <f>IF(Table1[[#This Row],[Freq]]="Yearly",Table1[[#This Row],[Coupon_Rate]]/100,IF(Table1[[#This Row],[Freq]]="Monthly",Table1[[#This Row],[Coupon_Rate]]/1200,IF(Table1[[#This Row],[Freq]]="Quarterly",Table1[[#This Row],[Coupon_Rate]]/400,0)))</f>
        <v>7.6333333333333331E-3</v>
      </c>
      <c r="AB209">
        <f ca="1">Table1[[#This Row],[Face Value]]*Table1[[#This Row],[Rate]]*Table1[[#This Row],[Time]]</f>
        <v>251.89999999999998</v>
      </c>
      <c r="AC209">
        <f ca="1">Table1[[#This Row],[SI]]+Table1[[#This Row],[Disc/Prem]]</f>
        <v>272.89999999999998</v>
      </c>
      <c r="AD209" s="3">
        <f ca="1">Table1[[#This Row],[Net Gain]]/Table1[[#This Row],[Ask Rate]]</f>
        <v>0.27875383043922369</v>
      </c>
      <c r="AE209" s="3">
        <f ca="1">IF(Table1[[#This Row],[Ask Qty]]=0,0,Table1[[#This Row],[Gross Yield]]*365/Table1[[#This Row],[Days Left]])</f>
        <v>0.10154206398235195</v>
      </c>
      <c r="AF209" s="9">
        <f ca="1">+Table1[[#This Row],[Net Gain]]*Table1[[#This Row],[Ask Qty]]</f>
        <v>12007.599999999999</v>
      </c>
      <c r="AG209" t="str">
        <f ca="1">IF(Table1[[#This Row],[YTM]]&gt;0.12,IF(Table1[[#This Row],[Gross Profit]]&gt;10000,"Invest","Review"),"Low YTM")</f>
        <v>Low YTM</v>
      </c>
    </row>
    <row r="210" spans="1:33" x14ac:dyDescent="0.3">
      <c r="A210" t="str">
        <f>RTD("nest.scriprtd",,"bse_cm|1015ECL29","Symbol")</f>
        <v>1015ECL29</v>
      </c>
      <c r="B210" t="str">
        <f>RTD("nest.scriprtd",,"bse_cm|1015ECL29","Trading Symbol")</f>
        <v>1015ECL29</v>
      </c>
      <c r="C210" t="str">
        <f>RTD("nest.scriprtd",,"bse_cm|1015ECL29","Exchange")</f>
        <v>BSE</v>
      </c>
      <c r="D210">
        <f>RTD("nest.scriprtd",,"bse_cm|1015ECL29","Bid Qty")</f>
        <v>10</v>
      </c>
      <c r="E210">
        <f>RTD("nest.scriprtd",,"bse_cm|1015ECL29","Bid Rate")</f>
        <v>982.55</v>
      </c>
      <c r="F210">
        <f>RTD("nest.scriprtd",,"bse_cm|1015ECL29","Ask Rate")</f>
        <v>1002</v>
      </c>
      <c r="G210">
        <f>RTD("nest.scriprtd",,"bse_cm|1015ECL29","Ask Qty")</f>
        <v>100</v>
      </c>
      <c r="H210">
        <f>RTD("nest.scriprtd",,"bse_cm|1015ECL29","LTP")</f>
        <v>1070</v>
      </c>
      <c r="I210" t="str">
        <f>RTD("nest.scriprtd",,"bse_cm|1015ECL29","LTT")</f>
        <v>09:19:20</v>
      </c>
      <c r="J210">
        <f>RTD("nest.scriprtd",,"bse_cm|1015ECL29","% Change")</f>
        <v>8.4</v>
      </c>
      <c r="K210">
        <f>RTD("nest.scriprtd",,"bse_cm|1015ECL29","ATP")</f>
        <v>1170.3599999999999</v>
      </c>
      <c r="L210">
        <f>RTD("nest.scriprtd",,"bse_cm|1015ECL29","Volume Traded Today")</f>
        <v>274</v>
      </c>
      <c r="M210">
        <f>RTD("nest.scriprtd",,"bse_cm|1015ECL29","Open")</f>
        <v>1180</v>
      </c>
      <c r="N210">
        <f>RTD("nest.scriprtd",,"bse_cm|1015ECL29","High")</f>
        <v>1180</v>
      </c>
      <c r="O210">
        <f>RTD("nest.scriprtd",,"bse_cm|1015ECL29","Low ")</f>
        <v>1070</v>
      </c>
      <c r="P210">
        <f>RTD("nest.scriprtd",,"bse_cm|1015ECL29","Prev Close")</f>
        <v>987.08</v>
      </c>
      <c r="Q210">
        <f>RTD("nest.scriprtd",,"bse_cm|1015ECL29","Face Value")</f>
        <v>1000</v>
      </c>
      <c r="R210" t="str">
        <f>RTD("nest.scriprtd",,"bse_cm|1015ECL29","Isin code")</f>
        <v>INE804IA7014</v>
      </c>
      <c r="S210" s="9">
        <f>Table1[[#This Row],[Ask Rate]]*Table1[[#This Row],[Ask Qty]]</f>
        <v>100200</v>
      </c>
      <c r="T210">
        <f>VLOOKUP(Table1[[#This Row],[Isin code]],Table2[#All],7,FALSE)</f>
        <v>10.15</v>
      </c>
      <c r="U210" s="17" t="str">
        <f>VLOOKUP(Table1[[#This Row],[Isin code]],Table2[#All],8,FALSE)</f>
        <v>04-Jan-2029</v>
      </c>
      <c r="V210" s="10">
        <f ca="1">Table1[[#This Row],[Maturity]]-TODAY()</f>
        <v>1541</v>
      </c>
      <c r="W210" t="str">
        <f>VLOOKUP(Table1[[#This Row],[Isin code]],Table2[#All],10,FALSE)</f>
        <v>Monthly</v>
      </c>
      <c r="X210">
        <f ca="1">_xlfn.DAYS(Table1[[#This Row],[Maturity]],TODAY())-15</f>
        <v>1526</v>
      </c>
      <c r="Y2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210">
        <f>IF(Table1[[#This Row],[Ask Rate]]=0,0,Table1[[#This Row],[Face Value]]-Table1[[#This Row],[Ask Rate]])</f>
        <v>-2</v>
      </c>
      <c r="AA210">
        <f>IF(Table1[[#This Row],[Freq]]="Yearly",Table1[[#This Row],[Coupon_Rate]]/100,IF(Table1[[#This Row],[Freq]]="Monthly",Table1[[#This Row],[Coupon_Rate]]/1200,IF(Table1[[#This Row],[Freq]]="Quarterly",Table1[[#This Row],[Coupon_Rate]]/400,0)))</f>
        <v>8.4583333333333333E-3</v>
      </c>
      <c r="AB210">
        <f ca="1">Table1[[#This Row],[Face Value]]*Table1[[#This Row],[Rate]]*Table1[[#This Row],[Time]]</f>
        <v>431.37500000000006</v>
      </c>
      <c r="AC210">
        <f ca="1">Table1[[#This Row],[SI]]+Table1[[#This Row],[Disc/Prem]]</f>
        <v>429.37500000000006</v>
      </c>
      <c r="AD210" s="3">
        <f ca="1">Table1[[#This Row],[Net Gain]]/Table1[[#This Row],[Ask Rate]]</f>
        <v>0.42851796407185633</v>
      </c>
      <c r="AE210" s="3">
        <f ca="1">IF(Table1[[#This Row],[Ask Qty]]=0,0,Table1[[#This Row],[Gross Yield]]*365/Table1[[#This Row],[Days Left]])</f>
        <v>0.10149841459197115</v>
      </c>
      <c r="AF210" s="9">
        <f ca="1">+Table1[[#This Row],[Net Gain]]*Table1[[#This Row],[Ask Qty]]</f>
        <v>42937.500000000007</v>
      </c>
      <c r="AG210" t="str">
        <f ca="1">IF(Table1[[#This Row],[YTM]]&gt;0.12,IF(Table1[[#This Row],[Gross Profit]]&gt;10000,"Invest","Review"),"Low YTM")</f>
        <v>Low YTM</v>
      </c>
    </row>
    <row r="211" spans="1:33" x14ac:dyDescent="0.3">
      <c r="A211" t="str">
        <f>RTD("nest.scriprtd",,"bse_cm|101EFSL28","Symbol")</f>
        <v>101EFSL28</v>
      </c>
      <c r="B211" t="str">
        <f>RTD("nest.scriprtd",,"bse_cm|101EFSL28","Trading Symbol")</f>
        <v>101EFSL28</v>
      </c>
      <c r="C211" t="str">
        <f>RTD("nest.scriprtd",,"bse_cm|101EFSL28","Exchange")</f>
        <v>BSE</v>
      </c>
      <c r="D211">
        <f>RTD("nest.scriprtd",,"bse_cm|101EFSL28","Bid Qty")</f>
        <v>180</v>
      </c>
      <c r="E211">
        <f>RTD("nest.scriprtd",,"bse_cm|101EFSL28","Bid Rate")</f>
        <v>946.2</v>
      </c>
      <c r="F211">
        <f>RTD("nest.scriprtd",,"bse_cm|101EFSL28","Ask Rate")</f>
        <v>1033.8</v>
      </c>
      <c r="G211">
        <f>RTD("nest.scriprtd",,"bse_cm|101EFSL28","Ask Qty")</f>
        <v>10</v>
      </c>
      <c r="H211">
        <f>RTD("nest.scriprtd",,"bse_cm|101EFSL28","LTP")</f>
        <v>0</v>
      </c>
      <c r="I211" t="str">
        <f>RTD("nest.scriprtd",,"bse_cm|101EFSL28","LTT")</f>
        <v>00:00:00</v>
      </c>
      <c r="J211">
        <f>RTD("nest.scriprtd",,"bse_cm|101EFSL28","% Change")</f>
        <v>-100</v>
      </c>
      <c r="K211">
        <f>RTD("nest.scriprtd",,"bse_cm|101EFSL28","ATP")</f>
        <v>0</v>
      </c>
      <c r="L211">
        <f>RTD("nest.scriprtd",,"bse_cm|101EFSL28","Volume Traded Today")</f>
        <v>0</v>
      </c>
      <c r="M211">
        <f>RTD("nest.scriprtd",,"bse_cm|101EFSL28","Open")</f>
        <v>0</v>
      </c>
      <c r="N211">
        <f>RTD("nest.scriprtd",,"bse_cm|101EFSL28","High")</f>
        <v>973.8</v>
      </c>
      <c r="O211">
        <f>RTD("nest.scriprtd",,"bse_cm|101EFSL28","Low ")</f>
        <v>973.8</v>
      </c>
      <c r="P211">
        <f>RTD("nest.scriprtd",,"bse_cm|101EFSL28","Prev Close")</f>
        <v>973.8</v>
      </c>
      <c r="Q211">
        <f>RTD("nest.scriprtd",,"bse_cm|101EFSL28","Face Value")</f>
        <v>1000</v>
      </c>
      <c r="R211" t="str">
        <f>RTD("nest.scriprtd",,"bse_cm|101EFSL28","Isin code")</f>
        <v>INE532F07DV0</v>
      </c>
      <c r="S211" s="9">
        <f>Table1[[#This Row],[Ask Rate]]*Table1[[#This Row],[Ask Qty]]</f>
        <v>10338</v>
      </c>
      <c r="T211">
        <f>VLOOKUP(Table1[[#This Row],[Isin code]],Table2[#All],7,FALSE)</f>
        <v>10.100000000000001</v>
      </c>
      <c r="U211" s="17" t="str">
        <f>VLOOKUP(Table1[[#This Row],[Isin code]],Table2[#All],8,FALSE)</f>
        <v>27-Apr-2028</v>
      </c>
      <c r="V211" s="10">
        <f ca="1">Table1[[#This Row],[Maturity]]-TODAY()</f>
        <v>1289</v>
      </c>
      <c r="W211" t="str">
        <f>VLOOKUP(Table1[[#This Row],[Isin code]],Table2[#All],10,FALSE)</f>
        <v>Yearly</v>
      </c>
      <c r="X211">
        <f ca="1">_xlfn.DAYS(Table1[[#This Row],[Maturity]],TODAY())-15</f>
        <v>1274</v>
      </c>
      <c r="Y2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211">
        <f>IF(Table1[[#This Row],[Ask Rate]]=0,0,Table1[[#This Row],[Face Value]]-Table1[[#This Row],[Ask Rate]])</f>
        <v>-33.799999999999955</v>
      </c>
      <c r="AA211">
        <f>IF(Table1[[#This Row],[Freq]]="Yearly",Table1[[#This Row],[Coupon_Rate]]/100,IF(Table1[[#This Row],[Freq]]="Monthly",Table1[[#This Row],[Coupon_Rate]]/1200,IF(Table1[[#This Row],[Freq]]="Quarterly",Table1[[#This Row],[Coupon_Rate]]/400,0)))</f>
        <v>0.10100000000000002</v>
      </c>
      <c r="AB211">
        <f ca="1">Table1[[#This Row],[Face Value]]*Table1[[#This Row],[Rate]]*Table1[[#This Row],[Time]]</f>
        <v>404.00000000000006</v>
      </c>
      <c r="AC211">
        <f ca="1">Table1[[#This Row],[SI]]+Table1[[#This Row],[Disc/Prem]]</f>
        <v>370.2000000000001</v>
      </c>
      <c r="AD211" s="3">
        <f ca="1">Table1[[#This Row],[Net Gain]]/Table1[[#This Row],[Ask Rate]]</f>
        <v>0.3580963435867674</v>
      </c>
      <c r="AE211" s="3">
        <f ca="1">IF(Table1[[#This Row],[Ask Qty]]=0,0,Table1[[#This Row],[Gross Yield]]*365/Table1[[#This Row],[Days Left]])</f>
        <v>0.10140043864171458</v>
      </c>
      <c r="AF211" s="9">
        <f ca="1">+Table1[[#This Row],[Net Gain]]*Table1[[#This Row],[Ask Qty]]</f>
        <v>3702.0000000000009</v>
      </c>
      <c r="AG211" t="str">
        <f ca="1">IF(Table1[[#This Row],[YTM]]&gt;0.12,IF(Table1[[#This Row],[Gross Profit]]&gt;10000,"Invest","Review"),"Low YTM")</f>
        <v>Low YTM</v>
      </c>
    </row>
    <row r="212" spans="1:33" x14ac:dyDescent="0.3">
      <c r="A212" t="str">
        <f>RTD("nest.scriprtd",,"nse_cm|847SCL25-Z2","Symbol")</f>
        <v>847SCL25</v>
      </c>
      <c r="B212" t="str">
        <f>RTD("nest.scriprtd",,"nse_cm|847SCL25-Z2","Trading Symbol")</f>
        <v>847SCL25-Z2</v>
      </c>
      <c r="C212" t="str">
        <f>RTD("nest.scriprtd",,"nse_cm|847SCL25-Z2","Exchange")</f>
        <v>NSE</v>
      </c>
      <c r="D212">
        <f>RTD("nest.scriprtd",,"nse_cm|847SCL25-Z2","Bid Qty")</f>
        <v>1</v>
      </c>
      <c r="E212">
        <f>RTD("nest.scriprtd",,"nse_cm|847SCL25-Z2","Bid Rate")</f>
        <v>963</v>
      </c>
      <c r="F212">
        <f>RTD("nest.scriprtd",,"nse_cm|847SCL25-Z2","Ask Rate")</f>
        <v>997.55</v>
      </c>
      <c r="G212">
        <f>RTD("nest.scriprtd",,"nse_cm|847SCL25-Z2","Ask Qty")</f>
        <v>5</v>
      </c>
      <c r="H212">
        <f>RTD("nest.scriprtd",,"nse_cm|847SCL25-Z2","LTP")</f>
        <v>1047.5999999999999</v>
      </c>
      <c r="I212" t="str">
        <f>RTD("nest.scriprtd",,"nse_cm|847SCL25-Z2","LTT")</f>
        <v/>
      </c>
      <c r="J212">
        <f>RTD("nest.scriprtd",,"nse_cm|847SCL25-Z2","% Change")</f>
        <v>0</v>
      </c>
      <c r="K212">
        <f>RTD("nest.scriprtd",,"nse_cm|847SCL25-Z2","ATP")</f>
        <v>0</v>
      </c>
      <c r="L212">
        <f>RTD("nest.scriprtd",,"nse_cm|847SCL25-Z2","Volume Traded Today")</f>
        <v>0</v>
      </c>
      <c r="M212">
        <f>RTD("nest.scriprtd",,"nse_cm|847SCL25-Z2","Open")</f>
        <v>0</v>
      </c>
      <c r="N212">
        <f>RTD("nest.scriprtd",,"nse_cm|847SCL25-Z2","High")</f>
        <v>1050.8800000000001</v>
      </c>
      <c r="O212">
        <f>RTD("nest.scriprtd",,"nse_cm|847SCL25-Z2","Low ")</f>
        <v>1027</v>
      </c>
      <c r="P212">
        <f>RTD("nest.scriprtd",,"nse_cm|847SCL25-Z2","Prev Close")</f>
        <v>1047.5999999999999</v>
      </c>
      <c r="Q212">
        <f>RTD("nest.scriprtd",,"nse_cm|847SCL25-Z2","Face Value")</f>
        <v>1000</v>
      </c>
      <c r="R212" t="str">
        <f>RTD("nest.scriprtd",,"nse_cm|847SCL25-Z2","Isin code")</f>
        <v>INE148I07MB2</v>
      </c>
      <c r="S212" s="9">
        <f>Table1[[#This Row],[Ask Rate]]*Table1[[#This Row],[Ask Qty]]</f>
        <v>4987.75</v>
      </c>
      <c r="T212">
        <f>VLOOKUP(Table1[[#This Row],[Isin code]],Table2[#All],7,FALSE)</f>
        <v>9.3000000000000007</v>
      </c>
      <c r="U212" s="17">
        <f>VLOOKUP(Table1[[#This Row],[Isin code]],Table2[#All],8,FALSE)</f>
        <v>45928</v>
      </c>
      <c r="V212" s="10">
        <f ca="1">Table1[[#This Row],[Maturity]]-TODAY()</f>
        <v>347</v>
      </c>
      <c r="W212" t="str">
        <f>VLOOKUP(Table1[[#This Row],[Isin code]],Table2[#All],10,FALSE)</f>
        <v>Yearly</v>
      </c>
      <c r="X212">
        <f ca="1">_xlfn.DAYS(Table1[[#This Row],[Maturity]],TODAY())-15</f>
        <v>332</v>
      </c>
      <c r="Y2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212">
        <f>IF(Table1[[#This Row],[Ask Rate]]=0,0,Table1[[#This Row],[Face Value]]-Table1[[#This Row],[Ask Rate]])</f>
        <v>2.4500000000000455</v>
      </c>
      <c r="AA212">
        <f>IF(Table1[[#This Row],[Freq]]="Yearly",Table1[[#This Row],[Coupon_Rate]]/100,IF(Table1[[#This Row],[Freq]]="Monthly",Table1[[#This Row],[Coupon_Rate]]/1200,IF(Table1[[#This Row],[Freq]]="Quarterly",Table1[[#This Row],[Coupon_Rate]]/400,0)))</f>
        <v>9.3000000000000013E-2</v>
      </c>
      <c r="AB212">
        <f ca="1">Table1[[#This Row],[Face Value]]*Table1[[#This Row],[Rate]]*Table1[[#This Row],[Time]]</f>
        <v>93.000000000000014</v>
      </c>
      <c r="AC212">
        <f ca="1">Table1[[#This Row],[SI]]+Table1[[#This Row],[Disc/Prem]]</f>
        <v>95.45000000000006</v>
      </c>
      <c r="AD212" s="3">
        <f ca="1">Table1[[#This Row],[Net Gain]]/Table1[[#This Row],[Ask Rate]]</f>
        <v>9.5684426845772205E-2</v>
      </c>
      <c r="AE212" s="3">
        <f ca="1">IF(Table1[[#This Row],[Ask Qty]]=0,0,Table1[[#This Row],[Gross Yield]]*365/Table1[[#This Row],[Days Left]])</f>
        <v>0.10064788414612925</v>
      </c>
      <c r="AF212" s="9">
        <f ca="1">+Table1[[#This Row],[Net Gain]]*Table1[[#This Row],[Ask Qty]]</f>
        <v>477.25000000000028</v>
      </c>
      <c r="AG212" t="str">
        <f ca="1">IF(Table1[[#This Row],[YTM]]&gt;0.12,IF(Table1[[#This Row],[Gross Profit]]&gt;10000,"Invest","Review"),"Low YTM")</f>
        <v>Low YTM</v>
      </c>
    </row>
    <row r="213" spans="1:33" x14ac:dyDescent="0.3">
      <c r="A213" t="str">
        <f>RTD("nest.scriprtd",,"bse_cm|MFLIII25C","Symbol")</f>
        <v>MFLIII25C</v>
      </c>
      <c r="B213" t="str">
        <f>RTD("nest.scriprtd",,"bse_cm|MFLIII25C","Trading Symbol")</f>
        <v>MFLIII25C</v>
      </c>
      <c r="C213" t="str">
        <f>RTD("nest.scriprtd",,"bse_cm|MFLIII25C","Exchange")</f>
        <v>BSE</v>
      </c>
      <c r="D213">
        <f>RTD("nest.scriprtd",,"bse_cm|MFLIII25C","Bid Qty")</f>
        <v>380</v>
      </c>
      <c r="E213">
        <f>RTD("nest.scriprtd",,"bse_cm|MFLIII25C","Bid Rate")</f>
        <v>1000.5</v>
      </c>
      <c r="F213">
        <f>RTD("nest.scriprtd",,"bse_cm|MFLIII25C","Ask Rate")</f>
        <v>1011.5</v>
      </c>
      <c r="G213">
        <f>RTD("nest.scriprtd",,"bse_cm|MFLIII25C","Ask Qty")</f>
        <v>75</v>
      </c>
      <c r="H213">
        <f>RTD("nest.scriprtd",,"bse_cm|MFLIII25C","LTP")</f>
        <v>1000.5</v>
      </c>
      <c r="I213" t="str">
        <f>RTD("nest.scriprtd",,"bse_cm|MFLIII25C","LTT")</f>
        <v>11:25:15</v>
      </c>
      <c r="J213">
        <f>RTD("nest.scriprtd",,"bse_cm|MFLIII25C","% Change")</f>
        <v>0.05</v>
      </c>
      <c r="K213">
        <f>RTD("nest.scriprtd",,"bse_cm|MFLIII25C","ATP")</f>
        <v>1009.03</v>
      </c>
      <c r="L213">
        <f>RTD("nest.scriprtd",,"bse_cm|MFLIII25C","Volume Traded Today")</f>
        <v>441</v>
      </c>
      <c r="M213">
        <f>RTD("nest.scriprtd",,"bse_cm|MFLIII25C","Open")</f>
        <v>0</v>
      </c>
      <c r="N213">
        <f>RTD("nest.scriprtd",,"bse_cm|MFLIII25C","High")</f>
        <v>1011.5</v>
      </c>
      <c r="O213">
        <f>RTD("nest.scriprtd",,"bse_cm|MFLIII25C","Low ")</f>
        <v>1000.5</v>
      </c>
      <c r="P213">
        <f>RTD("nest.scriprtd",,"bse_cm|MFLIII25C","Prev Close")</f>
        <v>1000</v>
      </c>
      <c r="Q213">
        <f>RTD("nest.scriprtd",,"bse_cm|MFLIII25C","Face Value")</f>
        <v>1000</v>
      </c>
      <c r="R213" t="str">
        <f>RTD("nest.scriprtd",,"bse_cm|MFLIII25C","Isin code")</f>
        <v>INE414G07GF5</v>
      </c>
      <c r="S213" s="9">
        <f>Table1[[#This Row],[Ask Rate]]*Table1[[#This Row],[Ask Qty]]</f>
        <v>75862.5</v>
      </c>
      <c r="T213">
        <f>VLOOKUP(Table1[[#This Row],[Isin code]],Table2[#All],7,FALSE)</f>
        <v>6.75</v>
      </c>
      <c r="U213" s="17" t="str">
        <f>VLOOKUP(Table1[[#This Row],[Isin code]],Table2[#All],8,FALSE)</f>
        <v>05-May-2025</v>
      </c>
      <c r="V213" s="10">
        <f ca="1">Table1[[#This Row],[Maturity]]-TODAY()</f>
        <v>201</v>
      </c>
      <c r="W213" t="str">
        <f>VLOOKUP(Table1[[#This Row],[Isin code]],Table2[#All],10,FALSE)</f>
        <v>Yearly</v>
      </c>
      <c r="X213">
        <f ca="1">_xlfn.DAYS(Table1[[#This Row],[Maturity]],TODAY())-15</f>
        <v>186</v>
      </c>
      <c r="Y2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213">
        <f>IF(Table1[[#This Row],[Ask Rate]]=0,0,Table1[[#This Row],[Face Value]]-Table1[[#This Row],[Ask Rate]])</f>
        <v>-11.5</v>
      </c>
      <c r="AA213">
        <f>IF(Table1[[#This Row],[Freq]]="Yearly",Table1[[#This Row],[Coupon_Rate]]/100,IF(Table1[[#This Row],[Freq]]="Monthly",Table1[[#This Row],[Coupon_Rate]]/1200,IF(Table1[[#This Row],[Freq]]="Quarterly",Table1[[#This Row],[Coupon_Rate]]/400,0)))</f>
        <v>6.7500000000000004E-2</v>
      </c>
      <c r="AB213">
        <f ca="1">Table1[[#This Row],[Face Value]]*Table1[[#This Row],[Rate]]*Table1[[#This Row],[Time]]</f>
        <v>67.5</v>
      </c>
      <c r="AC213">
        <f ca="1">Table1[[#This Row],[SI]]+Table1[[#This Row],[Disc/Prem]]</f>
        <v>56</v>
      </c>
      <c r="AD213" s="3">
        <f ca="1">Table1[[#This Row],[Net Gain]]/Table1[[#This Row],[Ask Rate]]</f>
        <v>5.536332179930796E-2</v>
      </c>
      <c r="AE213" s="3">
        <f ca="1">IF(Table1[[#This Row],[Ask Qty]]=0,0,Table1[[#This Row],[Gross Yield]]*365/Table1[[#This Row],[Days Left]])</f>
        <v>0.10053538535695226</v>
      </c>
      <c r="AF213" s="9">
        <f ca="1">+Table1[[#This Row],[Net Gain]]*Table1[[#This Row],[Ask Qty]]</f>
        <v>4200</v>
      </c>
      <c r="AG213" t="str">
        <f ca="1">IF(Table1[[#This Row],[YTM]]&gt;0.12,IF(Table1[[#This Row],[Gross Profit]]&gt;10000,"Invest","Review"),"Low YTM")</f>
        <v>Low YTM</v>
      </c>
    </row>
    <row r="214" spans="1:33" x14ac:dyDescent="0.3">
      <c r="A214" t="str">
        <f>RTD("nest.scriprtd",,"bse_cm|955EFSL26A","Symbol")</f>
        <v>955EFSL26A</v>
      </c>
      <c r="B214" t="str">
        <f>RTD("nest.scriprtd",,"bse_cm|955EFSL26A","Trading Symbol")</f>
        <v>955EFSL26A</v>
      </c>
      <c r="C214" t="str">
        <f>RTD("nest.scriprtd",,"bse_cm|955EFSL26A","Exchange")</f>
        <v>BSE</v>
      </c>
      <c r="D214">
        <f>RTD("nest.scriprtd",,"bse_cm|955EFSL26A","Bid Qty")</f>
        <v>160</v>
      </c>
      <c r="E214">
        <f>RTD("nest.scriprtd",,"bse_cm|955EFSL26A","Bid Rate")</f>
        <v>928.3</v>
      </c>
      <c r="F214">
        <f>RTD("nest.scriprtd",,"bse_cm|955EFSL26A","Ask Rate")</f>
        <v>1000</v>
      </c>
      <c r="G214">
        <f>RTD("nest.scriprtd",,"bse_cm|955EFSL26A","Ask Qty")</f>
        <v>50</v>
      </c>
      <c r="H214">
        <f>RTD("nest.scriprtd",,"bse_cm|955EFSL26A","LTP")</f>
        <v>0</v>
      </c>
      <c r="I214" t="str">
        <f>RTD("nest.scriprtd",,"bse_cm|955EFSL26A","LTT")</f>
        <v>00:00:00</v>
      </c>
      <c r="J214">
        <f>RTD("nest.scriprtd",,"bse_cm|955EFSL26A","% Change")</f>
        <v>-100</v>
      </c>
      <c r="K214">
        <f>RTD("nest.scriprtd",,"bse_cm|955EFSL26A","ATP")</f>
        <v>0</v>
      </c>
      <c r="L214">
        <f>RTD("nest.scriprtd",,"bse_cm|955EFSL26A","Volume Traded Today")</f>
        <v>0</v>
      </c>
      <c r="M214">
        <f>RTD("nest.scriprtd",,"bse_cm|955EFSL26A","Open")</f>
        <v>0</v>
      </c>
      <c r="N214">
        <f>RTD("nest.scriprtd",,"bse_cm|955EFSL26A","High")</f>
        <v>943</v>
      </c>
      <c r="O214">
        <f>RTD("nest.scriprtd",,"bse_cm|955EFSL26A","Low ")</f>
        <v>925.3</v>
      </c>
      <c r="P214">
        <f>RTD("nest.scriprtd",,"bse_cm|955EFSL26A","Prev Close")</f>
        <v>943</v>
      </c>
      <c r="Q214">
        <f>RTD("nest.scriprtd",,"bse_cm|955EFSL26A","Face Value")</f>
        <v>1000</v>
      </c>
      <c r="R214" t="str">
        <f>RTD("nest.scriprtd",,"bse_cm|955EFSL26A","Isin code")</f>
        <v>INE532F07CG3</v>
      </c>
      <c r="S214" s="9">
        <f>Table1[[#This Row],[Ask Rate]]*Table1[[#This Row],[Ask Qty]]</f>
        <v>50000</v>
      </c>
      <c r="T214">
        <f>VLOOKUP(Table1[[#This Row],[Isin code]],Table2[#All],7,FALSE)</f>
        <v>9.5500000000000007</v>
      </c>
      <c r="U214" s="17" t="str">
        <f>VLOOKUP(Table1[[#This Row],[Isin code]],Table2[#All],8,FALSE)</f>
        <v>10-Sep-2026</v>
      </c>
      <c r="V214" s="10">
        <f ca="1">Table1[[#This Row],[Maturity]]-TODAY()</f>
        <v>694</v>
      </c>
      <c r="W214" t="str">
        <f>VLOOKUP(Table1[[#This Row],[Isin code]],Table2[#All],10,FALSE)</f>
        <v>Yearly</v>
      </c>
      <c r="X214">
        <f ca="1">_xlfn.DAYS(Table1[[#This Row],[Maturity]],TODAY())-15</f>
        <v>679</v>
      </c>
      <c r="Y2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14">
        <f>IF(Table1[[#This Row],[Ask Rate]]=0,0,Table1[[#This Row],[Face Value]]-Table1[[#This Row],[Ask Rate]])</f>
        <v>0</v>
      </c>
      <c r="AA214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214">
        <f ca="1">Table1[[#This Row],[Face Value]]*Table1[[#This Row],[Rate]]*Table1[[#This Row],[Time]]</f>
        <v>191</v>
      </c>
      <c r="AC214">
        <f ca="1">Table1[[#This Row],[SI]]+Table1[[#This Row],[Disc/Prem]]</f>
        <v>191</v>
      </c>
      <c r="AD214" s="3">
        <f ca="1">Table1[[#This Row],[Net Gain]]/Table1[[#This Row],[Ask Rate]]</f>
        <v>0.191</v>
      </c>
      <c r="AE214" s="3">
        <f ca="1">IF(Table1[[#This Row],[Ask Qty]]=0,0,Table1[[#This Row],[Gross Yield]]*365/Table1[[#This Row],[Days Left]])</f>
        <v>0.10045389048991354</v>
      </c>
      <c r="AF214" s="9">
        <f ca="1">+Table1[[#This Row],[Net Gain]]*Table1[[#This Row],[Ask Qty]]</f>
        <v>9550</v>
      </c>
      <c r="AG214" t="str">
        <f ca="1">IF(Table1[[#This Row],[YTM]]&gt;0.12,IF(Table1[[#This Row],[Gross Profit]]&gt;10000,"Invest","Review"),"Low YTM")</f>
        <v>Low YTM</v>
      </c>
    </row>
    <row r="215" spans="1:33" x14ac:dyDescent="0.3">
      <c r="A215" t="str">
        <f>RTD("nest.scriprtd",,"bse_cm|975MMFL26","Symbol")</f>
        <v>975MMFL26</v>
      </c>
      <c r="B215" t="str">
        <f>RTD("nest.scriprtd",,"bse_cm|975MMFL26","Trading Symbol")</f>
        <v>975MMFL26</v>
      </c>
      <c r="C215" t="str">
        <f>RTD("nest.scriprtd",,"bse_cm|975MMFL26","Exchange")</f>
        <v>BSE</v>
      </c>
      <c r="D215">
        <f>RTD("nest.scriprtd",,"bse_cm|975MMFL26","Bid Qty")</f>
        <v>40</v>
      </c>
      <c r="E215">
        <f>RTD("nest.scriprtd",,"bse_cm|975MMFL26","Bid Rate")</f>
        <v>855.21</v>
      </c>
      <c r="F215">
        <f>RTD("nest.scriprtd",,"bse_cm|975MMFL26","Ask Rate")</f>
        <v>1000</v>
      </c>
      <c r="G215">
        <f>RTD("nest.scriprtd",,"bse_cm|975MMFL26","Ask Qty")</f>
        <v>500</v>
      </c>
      <c r="H215">
        <f>RTD("nest.scriprtd",,"bse_cm|975MMFL26","LTP")</f>
        <v>0</v>
      </c>
      <c r="I215" t="str">
        <f>RTD("nest.scriprtd",,"bse_cm|975MMFL26","LTT")</f>
        <v>00:00:00</v>
      </c>
      <c r="J215">
        <f>RTD("nest.scriprtd",,"bse_cm|975MMFL26","% Change")</f>
        <v>-100</v>
      </c>
      <c r="K215">
        <f>RTD("nest.scriprtd",,"bse_cm|975MMFL26","ATP")</f>
        <v>0</v>
      </c>
      <c r="L215">
        <f>RTD("nest.scriprtd",,"bse_cm|975MMFL26","Volume Traded Today")</f>
        <v>0</v>
      </c>
      <c r="M215">
        <f>RTD("nest.scriprtd",,"bse_cm|975MMFL26","Open")</f>
        <v>0</v>
      </c>
      <c r="N215">
        <f>RTD("nest.scriprtd",,"bse_cm|975MMFL26","High")</f>
        <v>1010</v>
      </c>
      <c r="O215">
        <f>RTD("nest.scriprtd",,"bse_cm|975MMFL26","Low ")</f>
        <v>1010</v>
      </c>
      <c r="P215">
        <f>RTD("nest.scriprtd",,"bse_cm|975MMFL26","Prev Close")</f>
        <v>1010</v>
      </c>
      <c r="Q215">
        <f>RTD("nest.scriprtd",,"bse_cm|975MMFL26","Face Value")</f>
        <v>1000</v>
      </c>
      <c r="R215" t="str">
        <f>RTD("nest.scriprtd",,"bse_cm|975MMFL26","Isin code")</f>
        <v>INE101Q07AF0</v>
      </c>
      <c r="S215" s="9">
        <f>Table1[[#This Row],[Ask Rate]]*Table1[[#This Row],[Ask Qty]]</f>
        <v>500000</v>
      </c>
      <c r="T215">
        <f>VLOOKUP(Table1[[#This Row],[Isin code]],Table2[#All],7,FALSE)</f>
        <v>9.75</v>
      </c>
      <c r="U215" s="17" t="str">
        <f>VLOOKUP(Table1[[#This Row],[Isin code]],Table2[#All],8,FALSE)</f>
        <v>02-Jan-2026</v>
      </c>
      <c r="V215" s="10">
        <f ca="1">Table1[[#This Row],[Maturity]]-TODAY()</f>
        <v>443</v>
      </c>
      <c r="W215" t="str">
        <f>VLOOKUP(Table1[[#This Row],[Isin code]],Table2[#All],10,FALSE)</f>
        <v>Monthly</v>
      </c>
      <c r="X215">
        <f ca="1">_xlfn.DAYS(Table1[[#This Row],[Maturity]],TODAY())-15</f>
        <v>428</v>
      </c>
      <c r="Y2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215">
        <f>IF(Table1[[#This Row],[Ask Rate]]=0,0,Table1[[#This Row],[Face Value]]-Table1[[#This Row],[Ask Rate]])</f>
        <v>0</v>
      </c>
      <c r="AA215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215">
        <f ca="1">Table1[[#This Row],[Face Value]]*Table1[[#This Row],[Rate]]*Table1[[#This Row],[Time]]</f>
        <v>121.875</v>
      </c>
      <c r="AC215">
        <f ca="1">Table1[[#This Row],[SI]]+Table1[[#This Row],[Disc/Prem]]</f>
        <v>121.875</v>
      </c>
      <c r="AD215" s="3">
        <f ca="1">Table1[[#This Row],[Net Gain]]/Table1[[#This Row],[Ask Rate]]</f>
        <v>0.121875</v>
      </c>
      <c r="AE215" s="3">
        <f ca="1">IF(Table1[[#This Row],[Ask Qty]]=0,0,Table1[[#This Row],[Gross Yield]]*365/Table1[[#This Row],[Days Left]])</f>
        <v>0.10041619638826185</v>
      </c>
      <c r="AF215" s="9">
        <f ca="1">+Table1[[#This Row],[Net Gain]]*Table1[[#This Row],[Ask Qty]]</f>
        <v>60937.5</v>
      </c>
      <c r="AG215" t="str">
        <f ca="1">IF(Table1[[#This Row],[YTM]]&gt;0.12,IF(Table1[[#This Row],[Gross Profit]]&gt;10000,"Invest","Review"),"Low YTM")</f>
        <v>Low YTM</v>
      </c>
    </row>
    <row r="216" spans="1:33" x14ac:dyDescent="0.3">
      <c r="A216" t="str">
        <f>RTD("nest.scriprtd",,"bse_cm|888ERFL28","Symbol")</f>
        <v>888ERFL28</v>
      </c>
      <c r="B216" t="str">
        <f>RTD("nest.scriprtd",,"bse_cm|888ERFL28","Trading Symbol")</f>
        <v>888ERFL28</v>
      </c>
      <c r="C216" t="str">
        <f>RTD("nest.scriprtd",,"bse_cm|888ERFL28","Exchange")</f>
        <v>BSE</v>
      </c>
      <c r="D216">
        <f>RTD("nest.scriprtd",,"bse_cm|888ERFL28","Bid Qty")</f>
        <v>180</v>
      </c>
      <c r="E216">
        <f>RTD("nest.scriprtd",,"bse_cm|888ERFL28","Bid Rate")</f>
        <v>905.2</v>
      </c>
      <c r="F216">
        <f>RTD("nest.scriprtd",,"bse_cm|888ERFL28","Ask Rate")</f>
        <v>975</v>
      </c>
      <c r="G216">
        <f>RTD("nest.scriprtd",,"bse_cm|888ERFL28","Ask Qty")</f>
        <v>150</v>
      </c>
      <c r="H216">
        <f>RTD("nest.scriprtd",,"bse_cm|888ERFL28","LTP")</f>
        <v>0</v>
      </c>
      <c r="I216" t="str">
        <f>RTD("nest.scriprtd",,"bse_cm|888ERFL28","LTT")</f>
        <v>00:00:00</v>
      </c>
      <c r="J216">
        <f>RTD("nest.scriprtd",,"bse_cm|888ERFL28","% Change")</f>
        <v>-100</v>
      </c>
      <c r="K216">
        <f>RTD("nest.scriprtd",,"bse_cm|888ERFL28","ATP")</f>
        <v>0</v>
      </c>
      <c r="L216">
        <f>RTD("nest.scriprtd",,"bse_cm|888ERFL28","Volume Traded Today")</f>
        <v>0</v>
      </c>
      <c r="M216">
        <f>RTD("nest.scriprtd",,"bse_cm|888ERFL28","Open")</f>
        <v>0</v>
      </c>
      <c r="N216">
        <f>RTD("nest.scriprtd",,"bse_cm|888ERFL28","High")</f>
        <v>916.8</v>
      </c>
      <c r="O216">
        <f>RTD("nest.scriprtd",,"bse_cm|888ERFL28","Low ")</f>
        <v>916.8</v>
      </c>
      <c r="P216">
        <f>RTD("nest.scriprtd",,"bse_cm|888ERFL28","Prev Close")</f>
        <v>916.8</v>
      </c>
      <c r="Q216">
        <f>RTD("nest.scriprtd",,"bse_cm|888ERFL28","Face Value")</f>
        <v>1000</v>
      </c>
      <c r="R216" t="str">
        <f>RTD("nest.scriprtd",,"bse_cm|888ERFL28","Isin code")</f>
        <v>INE528S07110</v>
      </c>
      <c r="S216" s="9">
        <f>Table1[[#This Row],[Ask Rate]]*Table1[[#This Row],[Ask Qty]]</f>
        <v>146250</v>
      </c>
      <c r="T216">
        <f>VLOOKUP(Table1[[#This Row],[Isin code]],Table2[#All],7,FALSE)</f>
        <v>8.8800000000000008</v>
      </c>
      <c r="U216" s="17" t="str">
        <f>VLOOKUP(Table1[[#This Row],[Isin code]],Table2[#All],8,FALSE)</f>
        <v>22-Mar-2028</v>
      </c>
      <c r="V216" s="10">
        <f ca="1">Table1[[#This Row],[Maturity]]-TODAY()</f>
        <v>1253</v>
      </c>
      <c r="W216" t="str">
        <f>VLOOKUP(Table1[[#This Row],[Isin code]],Table2[#All],10,FALSE)</f>
        <v>Monthly</v>
      </c>
      <c r="X216">
        <f ca="1">_xlfn.DAYS(Table1[[#This Row],[Maturity]],TODAY())-15</f>
        <v>1238</v>
      </c>
      <c r="Y2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42</v>
      </c>
      <c r="Z216">
        <f>IF(Table1[[#This Row],[Ask Rate]]=0,0,Table1[[#This Row],[Face Value]]-Table1[[#This Row],[Ask Rate]])</f>
        <v>25</v>
      </c>
      <c r="AA216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216">
        <f ca="1">Table1[[#This Row],[Face Value]]*Table1[[#This Row],[Rate]]*Table1[[#This Row],[Time]]</f>
        <v>310.8</v>
      </c>
      <c r="AC216">
        <f ca="1">Table1[[#This Row],[SI]]+Table1[[#This Row],[Disc/Prem]]</f>
        <v>335.8</v>
      </c>
      <c r="AD216" s="3">
        <f ca="1">Table1[[#This Row],[Net Gain]]/Table1[[#This Row],[Ask Rate]]</f>
        <v>0.34441025641025641</v>
      </c>
      <c r="AE216" s="3">
        <f ca="1">IF(Table1[[#This Row],[Ask Qty]]=0,0,Table1[[#This Row],[Gross Yield]]*365/Table1[[#This Row],[Days Left]])</f>
        <v>0.10032701004768044</v>
      </c>
      <c r="AF216" s="9">
        <f ca="1">+Table1[[#This Row],[Net Gain]]*Table1[[#This Row],[Ask Qty]]</f>
        <v>50370</v>
      </c>
      <c r="AG216" t="str">
        <f ca="1">IF(Table1[[#This Row],[YTM]]&gt;0.12,IF(Table1[[#This Row],[Gross Profit]]&gt;10000,"Invest","Review"),"Low YTM")</f>
        <v>Low YTM</v>
      </c>
    </row>
    <row r="217" spans="1:33" x14ac:dyDescent="0.3">
      <c r="A217" t="str">
        <f>RTD("nest.scriprtd",,"nse_cm|1025UCL25-N8","Symbol")</f>
        <v>1025UCL25</v>
      </c>
      <c r="B217" t="str">
        <f>RTD("nest.scriprtd",,"nse_cm|1025UCL25-N8","Trading Symbol")</f>
        <v>1025UCL25-N8</v>
      </c>
      <c r="C217" t="str">
        <f>RTD("nest.scriprtd",,"nse_cm|1025UCL25-N8","Exchange")</f>
        <v>NSE</v>
      </c>
      <c r="D217">
        <f>RTD("nest.scriprtd",,"nse_cm|1025UCL25-N8","Bid Qty")</f>
        <v>10</v>
      </c>
      <c r="E217">
        <f>RTD("nest.scriprtd",,"nse_cm|1025UCL25-N8","Bid Rate")</f>
        <v>990</v>
      </c>
      <c r="F217">
        <f>RTD("nest.scriprtd",,"nse_cm|1025UCL25-N8","Ask Rate")</f>
        <v>999</v>
      </c>
      <c r="G217">
        <f>RTD("nest.scriprtd",,"nse_cm|1025UCL25-N8","Ask Qty")</f>
        <v>31</v>
      </c>
      <c r="H217">
        <f>RTD("nest.scriprtd",,"nse_cm|1025UCL25-N8","LTP")</f>
        <v>997</v>
      </c>
      <c r="I217" t="str">
        <f>RTD("nest.scriprtd",,"nse_cm|1025UCL25-N8","LTT")</f>
        <v/>
      </c>
      <c r="J217">
        <f>RTD("nest.scriprtd",,"nse_cm|1025UCL25-N8","% Change")</f>
        <v>0</v>
      </c>
      <c r="K217">
        <f>RTD("nest.scriprtd",,"nse_cm|1025UCL25-N8","ATP")</f>
        <v>0</v>
      </c>
      <c r="L217">
        <f>RTD("nest.scriprtd",,"nse_cm|1025UCL25-N8","Volume Traded Today")</f>
        <v>0</v>
      </c>
      <c r="M217">
        <f>RTD("nest.scriprtd",,"nse_cm|1025UCL25-N8","Open")</f>
        <v>0</v>
      </c>
      <c r="N217">
        <f>RTD("nest.scriprtd",,"nse_cm|1025UCL25-N8","High")</f>
        <v>997</v>
      </c>
      <c r="O217">
        <f>RTD("nest.scriprtd",,"nse_cm|1025UCL25-N8","Low ")</f>
        <v>997</v>
      </c>
      <c r="P217">
        <f>RTD("nest.scriprtd",,"nse_cm|1025UCL25-N8","Prev Close")</f>
        <v>997</v>
      </c>
      <c r="Q217">
        <f>RTD("nest.scriprtd",,"nse_cm|1025UCL25-N8","Face Value")</f>
        <v>1000</v>
      </c>
      <c r="R217" t="str">
        <f>RTD("nest.scriprtd",,"nse_cm|1025UCL25-N8","Isin code")</f>
        <v>INE583D07414</v>
      </c>
      <c r="S217" s="9">
        <f>Table1[[#This Row],[Ask Rate]]*Table1[[#This Row],[Ask Qty]]</f>
        <v>30969</v>
      </c>
      <c r="T217">
        <f>VLOOKUP(Table1[[#This Row],[Isin code]],Table2[#All],7,FALSE)</f>
        <v>10.25</v>
      </c>
      <c r="U217" s="17" t="str">
        <f>VLOOKUP(Table1[[#This Row],[Isin code]],Table2[#All],8,FALSE)</f>
        <v>27-Aug-2025</v>
      </c>
      <c r="V217" s="10">
        <f ca="1">Table1[[#This Row],[Maturity]]-TODAY()</f>
        <v>315</v>
      </c>
      <c r="W217" t="str">
        <f>VLOOKUP(Table1[[#This Row],[Isin code]],Table2[#All],10,FALSE)</f>
        <v>Monthly</v>
      </c>
      <c r="X217">
        <f ca="1">_xlfn.DAYS(Table1[[#This Row],[Maturity]],TODAY())-15</f>
        <v>300</v>
      </c>
      <c r="Y2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217">
        <f>IF(Table1[[#This Row],[Ask Rate]]=0,0,Table1[[#This Row],[Face Value]]-Table1[[#This Row],[Ask Rate]])</f>
        <v>1</v>
      </c>
      <c r="AA217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217">
        <f ca="1">Table1[[#This Row],[Face Value]]*Table1[[#This Row],[Rate]]*Table1[[#This Row],[Time]]</f>
        <v>85.416666666666657</v>
      </c>
      <c r="AC217">
        <f ca="1">Table1[[#This Row],[SI]]+Table1[[#This Row],[Disc/Prem]]</f>
        <v>86.416666666666657</v>
      </c>
      <c r="AD217" s="3">
        <f ca="1">Table1[[#This Row],[Net Gain]]/Table1[[#This Row],[Ask Rate]]</f>
        <v>8.6503169836503163E-2</v>
      </c>
      <c r="AE217" s="3">
        <f ca="1">IF(Table1[[#This Row],[Ask Qty]]=0,0,Table1[[#This Row],[Gross Yield]]*365/Table1[[#This Row],[Days Left]])</f>
        <v>0.10023383171531319</v>
      </c>
      <c r="AF217" s="9">
        <f ca="1">+Table1[[#This Row],[Net Gain]]*Table1[[#This Row],[Ask Qty]]</f>
        <v>2678.9166666666665</v>
      </c>
      <c r="AG217" t="str">
        <f ca="1">IF(Table1[[#This Row],[YTM]]&gt;0.12,IF(Table1[[#This Row],[Gross Profit]]&gt;10000,"Invest","Review"),"Low YTM")</f>
        <v>Low YTM</v>
      </c>
    </row>
    <row r="218" spans="1:33" x14ac:dyDescent="0.3">
      <c r="A218" t="str">
        <f>RTD("nest.scriprtd",,"bse_cm|9IIFL28A","Symbol")</f>
        <v>9IIFL28A</v>
      </c>
      <c r="B218" t="str">
        <f>RTD("nest.scriprtd",,"bse_cm|9IIFL28A","Trading Symbol")</f>
        <v>9IIFL28A</v>
      </c>
      <c r="C218" t="str">
        <f>RTD("nest.scriprtd",,"bse_cm|9IIFL28A","Exchange")</f>
        <v>BSE</v>
      </c>
      <c r="D218">
        <f>RTD("nest.scriprtd",,"bse_cm|9IIFL28A","Bid Qty")</f>
        <v>190</v>
      </c>
      <c r="E218">
        <f>RTD("nest.scriprtd",,"bse_cm|9IIFL28A","Bid Rate")</f>
        <v>962.2</v>
      </c>
      <c r="F218">
        <f>RTD("nest.scriprtd",,"bse_cm|9IIFL28A","Ask Rate")</f>
        <v>1024</v>
      </c>
      <c r="G218">
        <f>RTD("nest.scriprtd",,"bse_cm|9IIFL28A","Ask Qty")</f>
        <v>5</v>
      </c>
      <c r="H218">
        <f>RTD("nest.scriprtd",,"bse_cm|9IIFL28A","LTP")</f>
        <v>0</v>
      </c>
      <c r="I218" t="str">
        <f>RTD("nest.scriprtd",,"bse_cm|9IIFL28A","LTT")</f>
        <v>00:00:00</v>
      </c>
      <c r="J218">
        <f>RTD("nest.scriprtd",,"bse_cm|9IIFL28A","% Change")</f>
        <v>-100</v>
      </c>
      <c r="K218">
        <f>RTD("nest.scriprtd",,"bse_cm|9IIFL28A","ATP")</f>
        <v>0</v>
      </c>
      <c r="L218">
        <f>RTD("nest.scriprtd",,"bse_cm|9IIFL28A","Volume Traded Today")</f>
        <v>0</v>
      </c>
      <c r="M218">
        <f>RTD("nest.scriprtd",,"bse_cm|9IIFL28A","Open")</f>
        <v>0</v>
      </c>
      <c r="N218">
        <f>RTD("nest.scriprtd",,"bse_cm|9IIFL28A","High")</f>
        <v>981.55</v>
      </c>
      <c r="O218">
        <f>RTD("nest.scriprtd",,"bse_cm|9IIFL28A","Low ")</f>
        <v>978.65</v>
      </c>
      <c r="P218">
        <f>RTD("nest.scriprtd",,"bse_cm|9IIFL28A","Prev Close")</f>
        <v>981.55</v>
      </c>
      <c r="Q218">
        <f>RTD("nest.scriprtd",,"bse_cm|9IIFL28A","Face Value")</f>
        <v>1000</v>
      </c>
      <c r="R218" t="str">
        <f>RTD("nest.scriprtd",,"bse_cm|9IIFL28A","Isin code")</f>
        <v>INE530B07260</v>
      </c>
      <c r="S218" s="9">
        <f>Table1[[#This Row],[Ask Rate]]*Table1[[#This Row],[Ask Qty]]</f>
        <v>5120</v>
      </c>
      <c r="T218">
        <f>VLOOKUP(Table1[[#This Row],[Isin code]],Table2[#All],7,FALSE)</f>
        <v>9</v>
      </c>
      <c r="U218" s="17" t="str">
        <f>VLOOKUP(Table1[[#This Row],[Isin code]],Table2[#All],8,FALSE)</f>
        <v>24-Jan-2028</v>
      </c>
      <c r="V218" s="10">
        <f ca="1">Table1[[#This Row],[Maturity]]-TODAY()</f>
        <v>1195</v>
      </c>
      <c r="W218" t="str">
        <f>VLOOKUP(Table1[[#This Row],[Isin code]],Table2[#All],10,FALSE)</f>
        <v>Yearly</v>
      </c>
      <c r="X218">
        <f ca="1">_xlfn.DAYS(Table1[[#This Row],[Maturity]],TODAY())-15</f>
        <v>1180</v>
      </c>
      <c r="Y2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218">
        <f>IF(Table1[[#This Row],[Ask Rate]]=0,0,Table1[[#This Row],[Face Value]]-Table1[[#This Row],[Ask Rate]])</f>
        <v>-24</v>
      </c>
      <c r="AA218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218">
        <f ca="1">Table1[[#This Row],[Face Value]]*Table1[[#This Row],[Rate]]*Table1[[#This Row],[Time]]</f>
        <v>360</v>
      </c>
      <c r="AC218">
        <f ca="1">Table1[[#This Row],[SI]]+Table1[[#This Row],[Disc/Prem]]</f>
        <v>336</v>
      </c>
      <c r="AD218" s="3">
        <f ca="1">Table1[[#This Row],[Net Gain]]/Table1[[#This Row],[Ask Rate]]</f>
        <v>0.328125</v>
      </c>
      <c r="AE218" s="3">
        <f ca="1">IF(Table1[[#This Row],[Ask Qty]]=0,0,Table1[[#This Row],[Gross Yield]]*365/Table1[[#This Row],[Days Left]])</f>
        <v>0.10022228033472803</v>
      </c>
      <c r="AF218" s="9">
        <f ca="1">+Table1[[#This Row],[Net Gain]]*Table1[[#This Row],[Ask Qty]]</f>
        <v>1680</v>
      </c>
      <c r="AG218" t="str">
        <f ca="1">IF(Table1[[#This Row],[YTM]]&gt;0.12,IF(Table1[[#This Row],[Gross Profit]]&gt;10000,"Invest","Review"),"Low YTM")</f>
        <v>Low YTM</v>
      </c>
    </row>
    <row r="219" spans="1:33" x14ac:dyDescent="0.3">
      <c r="A219" t="str">
        <f>RTD("nest.scriprtd",,"bse_cm|88NWIL25","Symbol")</f>
        <v>88NWIL25</v>
      </c>
      <c r="B219" t="str">
        <f>RTD("nest.scriprtd",,"bse_cm|88NWIL25","Trading Symbol")</f>
        <v>88NWIL25</v>
      </c>
      <c r="C219" t="str">
        <f>RTD("nest.scriprtd",,"bse_cm|88NWIL25","Exchange")</f>
        <v>BSE</v>
      </c>
      <c r="D219">
        <f>RTD("nest.scriprtd",,"bse_cm|88NWIL25","Bid Qty")</f>
        <v>180</v>
      </c>
      <c r="E219">
        <f>RTD("nest.scriprtd",,"bse_cm|88NWIL25","Bid Rate")</f>
        <v>965</v>
      </c>
      <c r="F219">
        <f>RTD("nest.scriprtd",,"bse_cm|88NWIL25","Ask Rate")</f>
        <v>992</v>
      </c>
      <c r="G219">
        <f>RTD("nest.scriprtd",,"bse_cm|88NWIL25","Ask Qty")</f>
        <v>13</v>
      </c>
      <c r="H219">
        <f>RTD("nest.scriprtd",,"bse_cm|88NWIL25","LTP")</f>
        <v>0</v>
      </c>
      <c r="I219" t="str">
        <f>RTD("nest.scriprtd",,"bse_cm|88NWIL25","LTT")</f>
        <v>00:00:00</v>
      </c>
      <c r="J219">
        <f>RTD("nest.scriprtd",,"bse_cm|88NWIL25","% Change")</f>
        <v>-100</v>
      </c>
      <c r="K219">
        <f>RTD("nest.scriprtd",,"bse_cm|88NWIL25","ATP")</f>
        <v>0</v>
      </c>
      <c r="L219">
        <f>RTD("nest.scriprtd",,"bse_cm|88NWIL25","Volume Traded Today")</f>
        <v>0</v>
      </c>
      <c r="M219">
        <f>RTD("nest.scriprtd",,"bse_cm|88NWIL25","Open")</f>
        <v>0</v>
      </c>
      <c r="N219">
        <f>RTD("nest.scriprtd",,"bse_cm|88NWIL25","High")</f>
        <v>980</v>
      </c>
      <c r="O219">
        <f>RTD("nest.scriprtd",,"bse_cm|88NWIL25","Low ")</f>
        <v>980</v>
      </c>
      <c r="P219">
        <f>RTD("nest.scriprtd",,"bse_cm|88NWIL25","Prev Close")</f>
        <v>980</v>
      </c>
      <c r="Q219">
        <f>RTD("nest.scriprtd",,"bse_cm|88NWIL25","Face Value")</f>
        <v>1000</v>
      </c>
      <c r="R219" t="str">
        <f>RTD("nest.scriprtd",,"bse_cm|88NWIL25","Isin code")</f>
        <v>INE523L07660</v>
      </c>
      <c r="S219" s="9">
        <f>Table1[[#This Row],[Ask Rate]]*Table1[[#This Row],[Ask Qty]]</f>
        <v>12896</v>
      </c>
      <c r="T219">
        <f>VLOOKUP(Table1[[#This Row],[Isin code]],Table2[#All],7,FALSE)</f>
        <v>8.7999999999999989</v>
      </c>
      <c r="U219" s="17" t="str">
        <f>VLOOKUP(Table1[[#This Row],[Isin code]],Table2[#All],8,FALSE)</f>
        <v>15-Jul-2025</v>
      </c>
      <c r="V219" s="10">
        <f ca="1">Table1[[#This Row],[Maturity]]-TODAY()</f>
        <v>272</v>
      </c>
      <c r="W219" t="str">
        <f>VLOOKUP(Table1[[#This Row],[Isin code]],Table2[#All],10,FALSE)</f>
        <v>Monthly</v>
      </c>
      <c r="X219">
        <f ca="1">_xlfn.DAYS(Table1[[#This Row],[Maturity]],TODAY())-15</f>
        <v>257</v>
      </c>
      <c r="Y2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219">
        <f>IF(Table1[[#This Row],[Ask Rate]]=0,0,Table1[[#This Row],[Face Value]]-Table1[[#This Row],[Ask Rate]])</f>
        <v>8</v>
      </c>
      <c r="AA219">
        <f>IF(Table1[[#This Row],[Freq]]="Yearly",Table1[[#This Row],[Coupon_Rate]]/100,IF(Table1[[#This Row],[Freq]]="Monthly",Table1[[#This Row],[Coupon_Rate]]/1200,IF(Table1[[#This Row],[Freq]]="Quarterly",Table1[[#This Row],[Coupon_Rate]]/400,0)))</f>
        <v>7.3333333333333323E-3</v>
      </c>
      <c r="AB219">
        <f ca="1">Table1[[#This Row],[Face Value]]*Table1[[#This Row],[Rate]]*Table1[[#This Row],[Time]]</f>
        <v>65.999999999999986</v>
      </c>
      <c r="AC219">
        <f ca="1">Table1[[#This Row],[SI]]+Table1[[#This Row],[Disc/Prem]]</f>
        <v>73.999999999999986</v>
      </c>
      <c r="AD219" s="3">
        <f ca="1">Table1[[#This Row],[Net Gain]]/Table1[[#This Row],[Ask Rate]]</f>
        <v>7.4596774193548376E-2</v>
      </c>
      <c r="AE219" s="3">
        <f ca="1">IF(Table1[[#This Row],[Ask Qty]]=0,0,Table1[[#This Row],[Gross Yield]]*365/Table1[[#This Row],[Days Left]])</f>
        <v>0.10010228889943072</v>
      </c>
      <c r="AF219" s="9">
        <f ca="1">+Table1[[#This Row],[Net Gain]]*Table1[[#This Row],[Ask Qty]]</f>
        <v>961.99999999999977</v>
      </c>
      <c r="AG219" t="str">
        <f ca="1">IF(Table1[[#This Row],[YTM]]&gt;0.12,IF(Table1[[#This Row],[Gross Profit]]&gt;10000,"Invest","Review"),"Low YTM")</f>
        <v>Low YTM</v>
      </c>
    </row>
    <row r="220" spans="1:33" x14ac:dyDescent="0.3">
      <c r="A220" t="str">
        <f>RTD("nest.scriprtd",,"bse_cm|970EFSL31","Symbol")</f>
        <v>970EFSL31</v>
      </c>
      <c r="B220" t="str">
        <f>RTD("nest.scriprtd",,"bse_cm|970EFSL31","Trading Symbol")</f>
        <v>970EFSL31</v>
      </c>
      <c r="C220" t="str">
        <f>RTD("nest.scriprtd",,"bse_cm|970EFSL31","Exchange")</f>
        <v>BSE</v>
      </c>
      <c r="D220">
        <f>RTD("nest.scriprtd",,"bse_cm|970EFSL31","Bid Qty")</f>
        <v>181</v>
      </c>
      <c r="E220">
        <f>RTD("nest.scriprtd",,"bse_cm|970EFSL31","Bid Rate")</f>
        <v>906.8</v>
      </c>
      <c r="F220">
        <f>RTD("nest.scriprtd",,"bse_cm|970EFSL31","Ask Rate")</f>
        <v>1015</v>
      </c>
      <c r="G220">
        <f>RTD("nest.scriprtd",,"bse_cm|970EFSL31","Ask Qty")</f>
        <v>10</v>
      </c>
      <c r="H220">
        <f>RTD("nest.scriprtd",,"bse_cm|970EFSL31","LTP")</f>
        <v>0</v>
      </c>
      <c r="I220" t="str">
        <f>RTD("nest.scriprtd",,"bse_cm|970EFSL31","LTT")</f>
        <v>00:00:00</v>
      </c>
      <c r="J220">
        <f>RTD("nest.scriprtd",,"bse_cm|970EFSL31","% Change")</f>
        <v>-100</v>
      </c>
      <c r="K220">
        <f>RTD("nest.scriprtd",,"bse_cm|970EFSL31","ATP")</f>
        <v>0</v>
      </c>
      <c r="L220">
        <f>RTD("nest.scriprtd",,"bse_cm|970EFSL31","Volume Traded Today")</f>
        <v>0</v>
      </c>
      <c r="M220">
        <f>RTD("nest.scriprtd",,"bse_cm|970EFSL31","Open")</f>
        <v>0</v>
      </c>
      <c r="N220">
        <f>RTD("nest.scriprtd",,"bse_cm|970EFSL31","High")</f>
        <v>1000</v>
      </c>
      <c r="O220">
        <f>RTD("nest.scriprtd",,"bse_cm|970EFSL31","Low ")</f>
        <v>1000</v>
      </c>
      <c r="P220">
        <f>RTD("nest.scriprtd",,"bse_cm|970EFSL31","Prev Close")</f>
        <v>1000</v>
      </c>
      <c r="Q220">
        <f>RTD("nest.scriprtd",,"bse_cm|970EFSL31","Face Value")</f>
        <v>1000</v>
      </c>
      <c r="R220" t="str">
        <f>RTD("nest.scriprtd",,"bse_cm|970EFSL31","Isin code")</f>
        <v>INE532F07CB4</v>
      </c>
      <c r="S220" s="9">
        <f>Table1[[#This Row],[Ask Rate]]*Table1[[#This Row],[Ask Qty]]</f>
        <v>10150</v>
      </c>
      <c r="T220">
        <f>VLOOKUP(Table1[[#This Row],[Isin code]],Table2[#All],7,FALSE)</f>
        <v>9.7000000000000011</v>
      </c>
      <c r="U220" s="17" t="str">
        <f>VLOOKUP(Table1[[#This Row],[Isin code]],Table2[#All],8,FALSE)</f>
        <v>29-Apr-2031</v>
      </c>
      <c r="V220" s="10">
        <f ca="1">Table1[[#This Row],[Maturity]]-TODAY()</f>
        <v>2386</v>
      </c>
      <c r="W220" t="str">
        <f>VLOOKUP(Table1[[#This Row],[Isin code]],Table2[#All],10,FALSE)</f>
        <v>Yearly</v>
      </c>
      <c r="X220">
        <f ca="1">_xlfn.DAYS(Table1[[#This Row],[Maturity]],TODAY())-15</f>
        <v>2371</v>
      </c>
      <c r="Y2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220">
        <f>IF(Table1[[#This Row],[Ask Rate]]=0,0,Table1[[#This Row],[Face Value]]-Table1[[#This Row],[Ask Rate]])</f>
        <v>-15</v>
      </c>
      <c r="AA220">
        <f>IF(Table1[[#This Row],[Freq]]="Yearly",Table1[[#This Row],[Coupon_Rate]]/100,IF(Table1[[#This Row],[Freq]]="Monthly",Table1[[#This Row],[Coupon_Rate]]/1200,IF(Table1[[#This Row],[Freq]]="Quarterly",Table1[[#This Row],[Coupon_Rate]]/400,0)))</f>
        <v>9.7000000000000017E-2</v>
      </c>
      <c r="AB220">
        <f ca="1">Table1[[#This Row],[Face Value]]*Table1[[#This Row],[Rate]]*Table1[[#This Row],[Time]]</f>
        <v>679.00000000000011</v>
      </c>
      <c r="AC220">
        <f ca="1">Table1[[#This Row],[SI]]+Table1[[#This Row],[Disc/Prem]]</f>
        <v>664.00000000000011</v>
      </c>
      <c r="AD220" s="3">
        <f ca="1">Table1[[#This Row],[Net Gain]]/Table1[[#This Row],[Ask Rate]]</f>
        <v>0.65418719211822673</v>
      </c>
      <c r="AE220" s="3">
        <f ca="1">IF(Table1[[#This Row],[Ask Qty]]=0,0,Table1[[#This Row],[Gross Yield]]*365/Table1[[#This Row],[Days Left]])</f>
        <v>0.10007473810693746</v>
      </c>
      <c r="AF220" s="9">
        <f ca="1">+Table1[[#This Row],[Net Gain]]*Table1[[#This Row],[Ask Qty]]</f>
        <v>6640.0000000000009</v>
      </c>
      <c r="AG220" t="str">
        <f ca="1">IF(Table1[[#This Row],[YTM]]&gt;0.12,IF(Table1[[#This Row],[Gross Profit]]&gt;10000,"Invest","Review"),"Low YTM")</f>
        <v>Low YTM</v>
      </c>
    </row>
    <row r="221" spans="1:33" x14ac:dyDescent="0.3">
      <c r="A221" t="str">
        <f>RTD("nest.scriprtd",,"bse_cm|994SMCGS29","Symbol")</f>
        <v>994SMCGS29</v>
      </c>
      <c r="B221" t="str">
        <f>RTD("nest.scriprtd",,"bse_cm|994SMCGS29","Trading Symbol")</f>
        <v>994SMCGS29</v>
      </c>
      <c r="C221" t="str">
        <f>RTD("nest.scriprtd",,"bse_cm|994SMCGS29","Exchange")</f>
        <v>BSE</v>
      </c>
      <c r="D221">
        <f>RTD("nest.scriprtd",,"bse_cm|994SMCGS29","Bid Qty")</f>
        <v>5</v>
      </c>
      <c r="E221">
        <f>RTD("nest.scriprtd",,"bse_cm|994SMCGS29","Bid Rate")</f>
        <v>1001</v>
      </c>
      <c r="F221">
        <f>RTD("nest.scriprtd",,"bse_cm|994SMCGS29","Ask Rate")</f>
        <v>1005</v>
      </c>
      <c r="G221">
        <f>RTD("nest.scriprtd",,"bse_cm|994SMCGS29","Ask Qty")</f>
        <v>986</v>
      </c>
      <c r="H221">
        <f>RTD("nest.scriprtd",,"bse_cm|994SMCGS29","LTP")</f>
        <v>1005</v>
      </c>
      <c r="I221" t="str">
        <f>RTD("nest.scriprtd",,"bse_cm|994SMCGS29","LTT")</f>
        <v>11:16:49</v>
      </c>
      <c r="J221">
        <f>RTD("nest.scriprtd",,"bse_cm|994SMCGS29","% Change")</f>
        <v>0</v>
      </c>
      <c r="K221">
        <f>RTD("nest.scriprtd",,"bse_cm|994SMCGS29","ATP")</f>
        <v>1005</v>
      </c>
      <c r="L221">
        <f>RTD("nest.scriprtd",,"bse_cm|994SMCGS29","Volume Traded Today")</f>
        <v>4</v>
      </c>
      <c r="M221">
        <f>RTD("nest.scriprtd",,"bse_cm|994SMCGS29","Open")</f>
        <v>1005</v>
      </c>
      <c r="N221">
        <f>RTD("nest.scriprtd",,"bse_cm|994SMCGS29","High")</f>
        <v>1005</v>
      </c>
      <c r="O221">
        <f>RTD("nest.scriprtd",,"bse_cm|994SMCGS29","Low ")</f>
        <v>1005</v>
      </c>
      <c r="P221">
        <f>RTD("nest.scriprtd",,"bse_cm|994SMCGS29","Prev Close")</f>
        <v>1005</v>
      </c>
      <c r="Q221">
        <f>RTD("nest.scriprtd",,"bse_cm|994SMCGS29","Face Value")</f>
        <v>1000</v>
      </c>
      <c r="R221" t="str">
        <f>RTD("nest.scriprtd",,"bse_cm|994SMCGS29","Isin code")</f>
        <v>INE103C07041</v>
      </c>
      <c r="S221" s="9">
        <f>Table1[[#This Row],[Ask Rate]]*Table1[[#This Row],[Ask Qty]]</f>
        <v>990930</v>
      </c>
      <c r="T221">
        <f>VLOOKUP(Table1[[#This Row],[Isin code]],Table2[#All],7,FALSE)</f>
        <v>9.94</v>
      </c>
      <c r="U221" s="17" t="str">
        <f>VLOOKUP(Table1[[#This Row],[Isin code]],Table2[#All],8,FALSE)</f>
        <v>07-Aug-2029</v>
      </c>
      <c r="V221" s="10">
        <f ca="1">Table1[[#This Row],[Maturity]]-TODAY()</f>
        <v>1756</v>
      </c>
      <c r="W221" t="str">
        <f>VLOOKUP(Table1[[#This Row],[Isin code]],Table2[#All],10,FALSE)</f>
        <v>MONTHLY</v>
      </c>
      <c r="X221">
        <f ca="1">_xlfn.DAYS(Table1[[#This Row],[Maturity]],TODAY())-15</f>
        <v>1741</v>
      </c>
      <c r="Y2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59</v>
      </c>
      <c r="Z221">
        <f>IF(Table1[[#This Row],[Ask Rate]]=0,0,Table1[[#This Row],[Face Value]]-Table1[[#This Row],[Ask Rate]])</f>
        <v>-5</v>
      </c>
      <c r="AA221">
        <f>IF(Table1[[#This Row],[Freq]]="Yearly",Table1[[#This Row],[Coupon_Rate]]/100,IF(Table1[[#This Row],[Freq]]="Monthly",Table1[[#This Row],[Coupon_Rate]]/1200,IF(Table1[[#This Row],[Freq]]="Quarterly",Table1[[#This Row],[Coupon_Rate]]/400,0)))</f>
        <v>8.2833333333333335E-3</v>
      </c>
      <c r="AB221">
        <f ca="1">Table1[[#This Row],[Face Value]]*Table1[[#This Row],[Rate]]*Table1[[#This Row],[Time]]</f>
        <v>488.71666666666664</v>
      </c>
      <c r="AC221">
        <f ca="1">Table1[[#This Row],[SI]]+Table1[[#This Row],[Disc/Prem]]</f>
        <v>483.71666666666664</v>
      </c>
      <c r="AD221" s="3">
        <f ca="1">Table1[[#This Row],[Net Gain]]/Table1[[#This Row],[Ask Rate]]</f>
        <v>0.48131011608623547</v>
      </c>
      <c r="AE221" s="3">
        <f ca="1">IF(Table1[[#This Row],[Ask Qty]]=0,0,Table1[[#This Row],[Gross Yield]]*365/Table1[[#This Row],[Days Left]])</f>
        <v>0.10004452868535077</v>
      </c>
      <c r="AF221" s="9">
        <f ca="1">+Table1[[#This Row],[Net Gain]]*Table1[[#This Row],[Ask Qty]]</f>
        <v>476944.6333333333</v>
      </c>
      <c r="AG221" t="str">
        <f ca="1">IF(Table1[[#This Row],[YTM]]&gt;0.12,IF(Table1[[#This Row],[Gross Profit]]&gt;10000,"Invest","Review"),"Low YTM")</f>
        <v>Low YTM</v>
      </c>
    </row>
    <row r="222" spans="1:33" x14ac:dyDescent="0.3">
      <c r="A222" t="str">
        <f>RTD("nest.scriprtd",,"nse_cm|889SCL26-NS","Symbol")</f>
        <v>889SCL26</v>
      </c>
      <c r="B222" t="str">
        <f>RTD("nest.scriprtd",,"nse_cm|889SCL26-NS","Trading Symbol")</f>
        <v>889SCL26-NS</v>
      </c>
      <c r="C222" t="str">
        <f>RTD("nest.scriprtd",,"nse_cm|889SCL26-NS","Exchange")</f>
        <v>NSE</v>
      </c>
      <c r="D222">
        <f>RTD("nest.scriprtd",,"nse_cm|889SCL26-NS","Bid Qty")</f>
        <v>5</v>
      </c>
      <c r="E222">
        <f>RTD("nest.scriprtd",,"nse_cm|889SCL26-NS","Bid Rate")</f>
        <v>905.7</v>
      </c>
      <c r="F222">
        <f>RTD("nest.scriprtd",,"nse_cm|889SCL26-NS","Ask Rate")</f>
        <v>992.55</v>
      </c>
      <c r="G222">
        <f>RTD("nest.scriprtd",,"nse_cm|889SCL26-NS","Ask Qty")</f>
        <v>5</v>
      </c>
      <c r="H222">
        <f>RTD("nest.scriprtd",,"nse_cm|889SCL26-NS","LTP")</f>
        <v>939.33</v>
      </c>
      <c r="I222" t="str">
        <f>RTD("nest.scriprtd",,"nse_cm|889SCL26-NS","LTT")</f>
        <v/>
      </c>
      <c r="J222">
        <f>RTD("nest.scriprtd",,"nse_cm|889SCL26-NS","% Change")</f>
        <v>0</v>
      </c>
      <c r="K222">
        <f>RTD("nest.scriprtd",,"nse_cm|889SCL26-NS","ATP")</f>
        <v>0</v>
      </c>
      <c r="L222">
        <f>RTD("nest.scriprtd",,"nse_cm|889SCL26-NS","Volume Traded Today")</f>
        <v>0</v>
      </c>
      <c r="M222">
        <f>RTD("nest.scriprtd",,"nse_cm|889SCL26-NS","Open")</f>
        <v>0</v>
      </c>
      <c r="N222">
        <f>RTD("nest.scriprtd",,"nse_cm|889SCL26-NS","High")</f>
        <v>939.33</v>
      </c>
      <c r="O222">
        <f>RTD("nest.scriprtd",,"nse_cm|889SCL26-NS","Low ")</f>
        <v>939.33</v>
      </c>
      <c r="P222">
        <f>RTD("nest.scriprtd",,"nse_cm|889SCL26-NS","Prev Close")</f>
        <v>939.33</v>
      </c>
      <c r="Q222">
        <f>RTD("nest.scriprtd",,"nse_cm|889SCL26-NS","Face Value")</f>
        <v>1000</v>
      </c>
      <c r="R222" t="str">
        <f>RTD("nest.scriprtd",,"nse_cm|889SCL26-NS","Isin code")</f>
        <v>INE148I07KN1</v>
      </c>
      <c r="S222" s="9">
        <f>Table1[[#This Row],[Ask Rate]]*Table1[[#This Row],[Ask Qty]]</f>
        <v>4962.75</v>
      </c>
      <c r="T222">
        <f>VLOOKUP(Table1[[#This Row],[Isin code]],Table2[#All],7,FALSE)</f>
        <v>9.25</v>
      </c>
      <c r="U222" s="17" t="str">
        <f>VLOOKUP(Table1[[#This Row],[Isin code]],Table2[#All],8,FALSE)</f>
        <v>24-Sep-2026</v>
      </c>
      <c r="V222" s="10">
        <f ca="1">Table1[[#This Row],[Maturity]]-TODAY()</f>
        <v>708</v>
      </c>
      <c r="W222" t="str">
        <f>VLOOKUP(Table1[[#This Row],[Isin code]],Table2[#All],10,FALSE)</f>
        <v>Yearly</v>
      </c>
      <c r="X222">
        <f ca="1">_xlfn.DAYS(Table1[[#This Row],[Maturity]],TODAY())-15</f>
        <v>693</v>
      </c>
      <c r="Y2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22">
        <f>IF(Table1[[#This Row],[Ask Rate]]=0,0,Table1[[#This Row],[Face Value]]-Table1[[#This Row],[Ask Rate]])</f>
        <v>7.4500000000000455</v>
      </c>
      <c r="AA222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222">
        <f ca="1">Table1[[#This Row],[Face Value]]*Table1[[#This Row],[Rate]]*Table1[[#This Row],[Time]]</f>
        <v>185</v>
      </c>
      <c r="AC222">
        <f ca="1">Table1[[#This Row],[SI]]+Table1[[#This Row],[Disc/Prem]]</f>
        <v>192.45000000000005</v>
      </c>
      <c r="AD222" s="3">
        <f ca="1">Table1[[#This Row],[Net Gain]]/Table1[[#This Row],[Ask Rate]]</f>
        <v>0.19389451413027056</v>
      </c>
      <c r="AE222" s="3">
        <f ca="1">IF(Table1[[#This Row],[Ask Qty]]=0,0,Table1[[#This Row],[Gross Yield]]*365/Table1[[#This Row],[Days Left]])</f>
        <v>9.9959742454164904E-2</v>
      </c>
      <c r="AF222" s="9">
        <f ca="1">+Table1[[#This Row],[Net Gain]]*Table1[[#This Row],[Ask Qty]]</f>
        <v>962.25000000000023</v>
      </c>
      <c r="AG222" t="str">
        <f ca="1">IF(Table1[[#This Row],[YTM]]&gt;0.12,IF(Table1[[#This Row],[Gross Profit]]&gt;10000,"Invest","Review"),"Low YTM")</f>
        <v>Low YTM</v>
      </c>
    </row>
    <row r="223" spans="1:33" x14ac:dyDescent="0.3">
      <c r="A223" t="str">
        <f>RTD("nest.scriprtd",,"bse_cm|920EFSL26","Symbol")</f>
        <v>920EFSL26</v>
      </c>
      <c r="B223" t="str">
        <f>RTD("nest.scriprtd",,"bse_cm|920EFSL26","Trading Symbol")</f>
        <v>920EFSL26</v>
      </c>
      <c r="C223" t="str">
        <f>RTD("nest.scriprtd",,"bse_cm|920EFSL26","Exchange")</f>
        <v>BSE</v>
      </c>
      <c r="D223">
        <f>RTD("nest.scriprtd",,"bse_cm|920EFSL26","Bid Qty")</f>
        <v>6</v>
      </c>
      <c r="E223">
        <f>RTD("nest.scriprtd",,"bse_cm|920EFSL26","Bid Rate")</f>
        <v>960.15</v>
      </c>
      <c r="F223">
        <f>RTD("nest.scriprtd",,"bse_cm|920EFSL26","Ask Rate")</f>
        <v>993.3</v>
      </c>
      <c r="G223">
        <f>RTD("nest.scriprtd",,"bse_cm|920EFSL26","Ask Qty")</f>
        <v>25</v>
      </c>
      <c r="H223">
        <f>RTD("nest.scriprtd",,"bse_cm|920EFSL26","LTP")</f>
        <v>0</v>
      </c>
      <c r="I223" t="str">
        <f>RTD("nest.scriprtd",,"bse_cm|920EFSL26","LTT")</f>
        <v>00:00:00</v>
      </c>
      <c r="J223">
        <f>RTD("nest.scriprtd",,"bse_cm|920EFSL26","% Change")</f>
        <v>-100</v>
      </c>
      <c r="K223">
        <f>RTD("nest.scriprtd",,"bse_cm|920EFSL26","ATP")</f>
        <v>0</v>
      </c>
      <c r="L223">
        <f>RTD("nest.scriprtd",,"bse_cm|920EFSL26","Volume Traded Today")</f>
        <v>0</v>
      </c>
      <c r="M223">
        <f>RTD("nest.scriprtd",,"bse_cm|920EFSL26","Open")</f>
        <v>0</v>
      </c>
      <c r="N223">
        <f>RTD("nest.scriprtd",,"bse_cm|920EFSL26","High")</f>
        <v>994.8</v>
      </c>
      <c r="O223">
        <f>RTD("nest.scriprtd",,"bse_cm|920EFSL26","Low ")</f>
        <v>994.8</v>
      </c>
      <c r="P223">
        <f>RTD("nest.scriprtd",,"bse_cm|920EFSL26","Prev Close")</f>
        <v>994.8</v>
      </c>
      <c r="Q223">
        <f>RTD("nest.scriprtd",,"bse_cm|920EFSL26","Face Value")</f>
        <v>1000</v>
      </c>
      <c r="R223" t="str">
        <f>RTD("nest.scriprtd",,"bse_cm|920EFSL26","Isin code")</f>
        <v>INE532F07DP2</v>
      </c>
      <c r="S223" s="9">
        <f>Table1[[#This Row],[Ask Rate]]*Table1[[#This Row],[Ask Qty]]</f>
        <v>24832.5</v>
      </c>
      <c r="T223">
        <f>VLOOKUP(Table1[[#This Row],[Isin code]],Table2[#All],7,FALSE)</f>
        <v>9.1999999999999993</v>
      </c>
      <c r="U223" s="17" t="str">
        <f>VLOOKUP(Table1[[#This Row],[Isin code]],Table2[#All],8,FALSE)</f>
        <v>27-Apr-2026</v>
      </c>
      <c r="V223" s="10">
        <f ca="1">Table1[[#This Row],[Maturity]]-TODAY()</f>
        <v>558</v>
      </c>
      <c r="W223" t="str">
        <f>VLOOKUP(Table1[[#This Row],[Isin code]],Table2[#All],10,FALSE)</f>
        <v>Monthly</v>
      </c>
      <c r="X223">
        <f ca="1">_xlfn.DAYS(Table1[[#This Row],[Maturity]],TODAY())-15</f>
        <v>543</v>
      </c>
      <c r="Y2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223">
        <f>IF(Table1[[#This Row],[Ask Rate]]=0,0,Table1[[#This Row],[Face Value]]-Table1[[#This Row],[Ask Rate]])</f>
        <v>6.7000000000000455</v>
      </c>
      <c r="AA223">
        <f>IF(Table1[[#This Row],[Freq]]="Yearly",Table1[[#This Row],[Coupon_Rate]]/100,IF(Table1[[#This Row],[Freq]]="Monthly",Table1[[#This Row],[Coupon_Rate]]/1200,IF(Table1[[#This Row],[Freq]]="Quarterly",Table1[[#This Row],[Coupon_Rate]]/400,0)))</f>
        <v>7.6666666666666662E-3</v>
      </c>
      <c r="AB223">
        <f ca="1">Table1[[#This Row],[Face Value]]*Table1[[#This Row],[Rate]]*Table1[[#This Row],[Time]]</f>
        <v>145.66666666666666</v>
      </c>
      <c r="AC223">
        <f ca="1">Table1[[#This Row],[SI]]+Table1[[#This Row],[Disc/Prem]]</f>
        <v>152.3666666666667</v>
      </c>
      <c r="AD223" s="3">
        <f ca="1">Table1[[#This Row],[Net Gain]]/Table1[[#This Row],[Ask Rate]]</f>
        <v>0.15339440920836275</v>
      </c>
      <c r="AE223" s="3">
        <f ca="1">IF(Table1[[#This Row],[Ask Qty]]=0,0,Table1[[#This Row],[Gross Yield]]*365/Table1[[#This Row],[Days Left]])</f>
        <v>0.10033863684776416</v>
      </c>
      <c r="AF223" s="9">
        <f ca="1">+Table1[[#This Row],[Net Gain]]*Table1[[#This Row],[Ask Qty]]</f>
        <v>3809.1666666666674</v>
      </c>
      <c r="AG223" t="str">
        <f ca="1">IF(Table1[[#This Row],[YTM]]&gt;0.12,IF(Table1[[#This Row],[Gross Profit]]&gt;10000,"Invest","Review"),"Low YTM")</f>
        <v>Low YTM</v>
      </c>
    </row>
    <row r="224" spans="1:33" x14ac:dyDescent="0.3">
      <c r="A224" t="str">
        <f>RTD("nest.scriprtd",,"bse_cm|905MFL28A","Symbol")</f>
        <v>905MFL28A</v>
      </c>
      <c r="B224" t="str">
        <f>RTD("nest.scriprtd",,"bse_cm|905MFL28A","Trading Symbol")</f>
        <v>905MFL28A</v>
      </c>
      <c r="C224" t="str">
        <f>RTD("nest.scriprtd",,"bse_cm|905MFL28A","Exchange")</f>
        <v>BSE</v>
      </c>
      <c r="D224">
        <f>RTD("nest.scriprtd",,"bse_cm|905MFL28A","Bid Qty")</f>
        <v>39</v>
      </c>
      <c r="E224">
        <f>RTD("nest.scriprtd",,"bse_cm|905MFL28A","Bid Rate")</f>
        <v>850</v>
      </c>
      <c r="F224">
        <f>RTD("nest.scriprtd",,"bse_cm|905MFL28A","Ask Rate")</f>
        <v>980</v>
      </c>
      <c r="G224">
        <f>RTD("nest.scriprtd",,"bse_cm|905MFL28A","Ask Qty")</f>
        <v>205</v>
      </c>
      <c r="H224">
        <f>RTD("nest.scriprtd",,"bse_cm|905MFL28A","LTP")</f>
        <v>0</v>
      </c>
      <c r="I224" t="str">
        <f>RTD("nest.scriprtd",,"bse_cm|905MFL28A","LTT")</f>
        <v>00:00:00</v>
      </c>
      <c r="J224">
        <f>RTD("nest.scriprtd",,"bse_cm|905MFL28A","% Change")</f>
        <v>-100</v>
      </c>
      <c r="K224">
        <f>RTD("nest.scriprtd",,"bse_cm|905MFL28A","ATP")</f>
        <v>0</v>
      </c>
      <c r="L224">
        <f>RTD("nest.scriprtd",,"bse_cm|905MFL28A","Volume Traded Today")</f>
        <v>0</v>
      </c>
      <c r="M224">
        <f>RTD("nest.scriprtd",,"bse_cm|905MFL28A","Open")</f>
        <v>0</v>
      </c>
      <c r="N224">
        <f>RTD("nest.scriprtd",,"bse_cm|905MFL28A","High")</f>
        <v>975</v>
      </c>
      <c r="O224">
        <f>RTD("nest.scriprtd",,"bse_cm|905MFL28A","Low ")</f>
        <v>975</v>
      </c>
      <c r="P224">
        <f>RTD("nest.scriprtd",,"bse_cm|905MFL28A","Prev Close")</f>
        <v>975</v>
      </c>
      <c r="Q224">
        <f>RTD("nest.scriprtd",,"bse_cm|905MFL28A","Face Value")</f>
        <v>1000</v>
      </c>
      <c r="R224" t="str">
        <f>RTD("nest.scriprtd",,"bse_cm|905MFL28A","Isin code")</f>
        <v>INE549K07CP8</v>
      </c>
      <c r="S224" s="9">
        <f>Table1[[#This Row],[Ask Rate]]*Table1[[#This Row],[Ask Qty]]</f>
        <v>200900</v>
      </c>
      <c r="T224">
        <f>VLOOKUP(Table1[[#This Row],[Isin code]],Table2[#All],7,FALSE)</f>
        <v>9.0499999999999989</v>
      </c>
      <c r="U224" s="17" t="str">
        <f>VLOOKUP(Table1[[#This Row],[Isin code]],Table2[#All],8,FALSE)</f>
        <v>20-Sep-2028</v>
      </c>
      <c r="V224" s="10">
        <f ca="1">Table1[[#This Row],[Maturity]]-TODAY()</f>
        <v>1435</v>
      </c>
      <c r="W224" t="str">
        <f>VLOOKUP(Table1[[#This Row],[Isin code]],Table2[#All],10,FALSE)</f>
        <v>Monthly</v>
      </c>
      <c r="X224">
        <f ca="1">_xlfn.DAYS(Table1[[#This Row],[Maturity]],TODAY())-15</f>
        <v>1420</v>
      </c>
      <c r="Y2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224">
        <f>IF(Table1[[#This Row],[Ask Rate]]=0,0,Table1[[#This Row],[Face Value]]-Table1[[#This Row],[Ask Rate]])</f>
        <v>20</v>
      </c>
      <c r="AA224">
        <f>IF(Table1[[#This Row],[Freq]]="Yearly",Table1[[#This Row],[Coupon_Rate]]/100,IF(Table1[[#This Row],[Freq]]="Monthly",Table1[[#This Row],[Coupon_Rate]]/1200,IF(Table1[[#This Row],[Freq]]="Quarterly",Table1[[#This Row],[Coupon_Rate]]/400,0)))</f>
        <v>7.5416666666666661E-3</v>
      </c>
      <c r="AB224">
        <f ca="1">Table1[[#This Row],[Face Value]]*Table1[[#This Row],[Rate]]*Table1[[#This Row],[Time]]</f>
        <v>362</v>
      </c>
      <c r="AC224">
        <f ca="1">Table1[[#This Row],[SI]]+Table1[[#This Row],[Disc/Prem]]</f>
        <v>382</v>
      </c>
      <c r="AD224" s="3">
        <f ca="1">Table1[[#This Row],[Net Gain]]/Table1[[#This Row],[Ask Rate]]</f>
        <v>0.38979591836734695</v>
      </c>
      <c r="AE224" s="3">
        <f ca="1">IF(Table1[[#This Row],[Ask Qty]]=0,0,Table1[[#This Row],[Gross Yield]]*365/Table1[[#This Row],[Days Left]])</f>
        <v>9.9146697006328666E-2</v>
      </c>
      <c r="AF224" s="9">
        <f ca="1">+Table1[[#This Row],[Net Gain]]*Table1[[#This Row],[Ask Qty]]</f>
        <v>78310</v>
      </c>
      <c r="AG224" t="str">
        <f ca="1">IF(Table1[[#This Row],[YTM]]&gt;0.12,IF(Table1[[#This Row],[Gross Profit]]&gt;10000,"Invest","Review"),"Low YTM")</f>
        <v>Low YTM</v>
      </c>
    </row>
    <row r="225" spans="1:33" x14ac:dyDescent="0.3">
      <c r="A225" t="str">
        <f>RTD("nest.scriprtd",,"bse_cm|965MFCL30","Symbol")</f>
        <v>965MFCL30</v>
      </c>
      <c r="B225" t="str">
        <f>RTD("nest.scriprtd",,"bse_cm|965MFCL30","Trading Symbol")</f>
        <v>965MFCL30</v>
      </c>
      <c r="C225" t="str">
        <f>RTD("nest.scriprtd",,"bse_cm|965MFCL30","Exchange")</f>
        <v>BSE</v>
      </c>
      <c r="D225">
        <f>RTD("nest.scriprtd",,"bse_cm|965MFCL30","Bid Qty")</f>
        <v>5</v>
      </c>
      <c r="E225">
        <f>RTD("nest.scriprtd",,"bse_cm|965MFCL30","Bid Rate")</f>
        <v>983</v>
      </c>
      <c r="F225">
        <f>RTD("nest.scriprtd",,"bse_cm|965MFCL30","Ask Rate")</f>
        <v>995</v>
      </c>
      <c r="G225">
        <f>RTD("nest.scriprtd",,"bse_cm|965MFCL30","Ask Qty")</f>
        <v>300</v>
      </c>
      <c r="H225">
        <f>RTD("nest.scriprtd",,"bse_cm|965MFCL30","LTP")</f>
        <v>0</v>
      </c>
      <c r="I225" t="str">
        <f>RTD("nest.scriprtd",,"bse_cm|965MFCL30","LTT")</f>
        <v>00:00:00</v>
      </c>
      <c r="J225">
        <f>RTD("nest.scriprtd",,"bse_cm|965MFCL30","% Change")</f>
        <v>-100</v>
      </c>
      <c r="K225">
        <f>RTD("nest.scriprtd",,"bse_cm|965MFCL30","ATP")</f>
        <v>0</v>
      </c>
      <c r="L225">
        <f>RTD("nest.scriprtd",,"bse_cm|965MFCL30","Volume Traded Today")</f>
        <v>0</v>
      </c>
      <c r="M225">
        <f>RTD("nest.scriprtd",,"bse_cm|965MFCL30","Open")</f>
        <v>0</v>
      </c>
      <c r="N225">
        <f>RTD("nest.scriprtd",,"bse_cm|965MFCL30","High")</f>
        <v>989</v>
      </c>
      <c r="O225">
        <f>RTD("nest.scriprtd",,"bse_cm|965MFCL30","Low ")</f>
        <v>985</v>
      </c>
      <c r="P225">
        <f>RTD("nest.scriprtd",,"bse_cm|965MFCL30","Prev Close")</f>
        <v>985</v>
      </c>
      <c r="Q225">
        <f>RTD("nest.scriprtd",,"bse_cm|965MFCL30","Face Value")</f>
        <v>1000</v>
      </c>
      <c r="R225" t="str">
        <f>RTD("nest.scriprtd",,"bse_cm|965MFCL30","Isin code")</f>
        <v>INE549K07EI9</v>
      </c>
      <c r="S225" s="9">
        <f>Table1[[#This Row],[Ask Rate]]*Table1[[#This Row],[Ask Qty]]</f>
        <v>298500</v>
      </c>
      <c r="T225">
        <f>VLOOKUP(Table1[[#This Row],[Isin code]],Table2[#All],7,FALSE)</f>
        <v>9.65</v>
      </c>
      <c r="U225" s="17" t="str">
        <f>VLOOKUP(Table1[[#This Row],[Isin code]],Table2[#All],8,FALSE)</f>
        <v>16-Sep-2030</v>
      </c>
      <c r="V225" s="10">
        <f ca="1">Table1[[#This Row],[Maturity]]-TODAY()</f>
        <v>2161</v>
      </c>
      <c r="W225" t="str">
        <f>VLOOKUP(Table1[[#This Row],[Isin code]],Table2[#All],10,FALSE)</f>
        <v>Monthly</v>
      </c>
      <c r="X225">
        <f ca="1">_xlfn.DAYS(Table1[[#This Row],[Maturity]],TODAY())-15</f>
        <v>2146</v>
      </c>
      <c r="Y2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72</v>
      </c>
      <c r="Z225">
        <f>IF(Table1[[#This Row],[Ask Rate]]=0,0,Table1[[#This Row],[Face Value]]-Table1[[#This Row],[Ask Rate]])</f>
        <v>5</v>
      </c>
      <c r="AA225">
        <f>IF(Table1[[#This Row],[Freq]]="Yearly",Table1[[#This Row],[Coupon_Rate]]/100,IF(Table1[[#This Row],[Freq]]="Monthly",Table1[[#This Row],[Coupon_Rate]]/1200,IF(Table1[[#This Row],[Freq]]="Quarterly",Table1[[#This Row],[Coupon_Rate]]/400,0)))</f>
        <v>8.0416666666666674E-3</v>
      </c>
      <c r="AB225">
        <f ca="1">Table1[[#This Row],[Face Value]]*Table1[[#This Row],[Rate]]*Table1[[#This Row],[Time]]</f>
        <v>579.00000000000011</v>
      </c>
      <c r="AC225">
        <f ca="1">Table1[[#This Row],[SI]]+Table1[[#This Row],[Disc/Prem]]</f>
        <v>584.00000000000011</v>
      </c>
      <c r="AD225" s="3">
        <f ca="1">Table1[[#This Row],[Net Gain]]/Table1[[#This Row],[Ask Rate]]</f>
        <v>0.58693467336683425</v>
      </c>
      <c r="AE225" s="3">
        <f ca="1">IF(Table1[[#This Row],[Ask Qty]]=0,0,Table1[[#This Row],[Gross Yield]]*365/Table1[[#This Row],[Days Left]])</f>
        <v>9.913519471489797E-2</v>
      </c>
      <c r="AF225" s="9">
        <f ca="1">+Table1[[#This Row],[Net Gain]]*Table1[[#This Row],[Ask Qty]]</f>
        <v>175200.00000000003</v>
      </c>
      <c r="AG225" t="str">
        <f ca="1">IF(Table1[[#This Row],[YTM]]&gt;0.12,IF(Table1[[#This Row],[Gross Profit]]&gt;10000,"Invest","Review"),"Low YTM")</f>
        <v>Low YTM</v>
      </c>
    </row>
    <row r="226" spans="1:33" x14ac:dyDescent="0.3">
      <c r="A226" t="str">
        <f>RTD("nest.scriprtd",,"bse_cm|953NWIL32","Symbol")</f>
        <v>953NWIL32</v>
      </c>
      <c r="B226" t="str">
        <f>RTD("nest.scriprtd",,"bse_cm|953NWIL32","Trading Symbol")</f>
        <v>953NWIL32</v>
      </c>
      <c r="C226" t="str">
        <f>RTD("nest.scriprtd",,"bse_cm|953NWIL32","Exchange")</f>
        <v>BSE</v>
      </c>
      <c r="D226">
        <f>RTD("nest.scriprtd",,"bse_cm|953NWIL32","Bid Qty")</f>
        <v>109</v>
      </c>
      <c r="E226">
        <f>RTD("nest.scriprtd",,"bse_cm|953NWIL32","Bid Rate")</f>
        <v>920.02</v>
      </c>
      <c r="F226">
        <f>RTD("nest.scriprtd",,"bse_cm|953NWIL32","Ask Rate")</f>
        <v>989</v>
      </c>
      <c r="G226">
        <f>RTD("nest.scriprtd",,"bse_cm|953NWIL32","Ask Qty")</f>
        <v>100</v>
      </c>
      <c r="H226">
        <f>RTD("nest.scriprtd",,"bse_cm|953NWIL32","LTP")</f>
        <v>0</v>
      </c>
      <c r="I226" t="str">
        <f>RTD("nest.scriprtd",,"bse_cm|953NWIL32","LTT")</f>
        <v>00:00:00</v>
      </c>
      <c r="J226">
        <f>RTD("nest.scriprtd",,"bse_cm|953NWIL32","% Change")</f>
        <v>-100</v>
      </c>
      <c r="K226">
        <f>RTD("nest.scriprtd",,"bse_cm|953NWIL32","ATP")</f>
        <v>0</v>
      </c>
      <c r="L226">
        <f>RTD("nest.scriprtd",,"bse_cm|953NWIL32","Volume Traded Today")</f>
        <v>0</v>
      </c>
      <c r="M226">
        <f>RTD("nest.scriprtd",,"bse_cm|953NWIL32","Open")</f>
        <v>0</v>
      </c>
      <c r="N226">
        <f>RTD("nest.scriprtd",,"bse_cm|953NWIL32","High")</f>
        <v>994</v>
      </c>
      <c r="O226">
        <f>RTD("nest.scriprtd",,"bse_cm|953NWIL32","Low ")</f>
        <v>994</v>
      </c>
      <c r="P226">
        <f>RTD("nest.scriprtd",,"bse_cm|953NWIL32","Prev Close")</f>
        <v>994</v>
      </c>
      <c r="Q226">
        <f>RTD("nest.scriprtd",,"bse_cm|953NWIL32","Face Value")</f>
        <v>1000</v>
      </c>
      <c r="R226" t="str">
        <f>RTD("nest.scriprtd",,"bse_cm|953NWIL32","Isin code")</f>
        <v>INE523L07744</v>
      </c>
      <c r="S226" s="9">
        <f>Table1[[#This Row],[Ask Rate]]*Table1[[#This Row],[Ask Qty]]</f>
        <v>98900</v>
      </c>
      <c r="T226">
        <f>VLOOKUP(Table1[[#This Row],[Isin code]],Table2[#All],7,FALSE)</f>
        <v>9.5299999999999994</v>
      </c>
      <c r="U226" s="17" t="str">
        <f>VLOOKUP(Table1[[#This Row],[Isin code]],Table2[#All],8,FALSE)</f>
        <v>15-Jul-2032</v>
      </c>
      <c r="V226" s="10">
        <f ca="1">Table1[[#This Row],[Maturity]]-TODAY()</f>
        <v>2829</v>
      </c>
      <c r="W226" t="str">
        <f>VLOOKUP(Table1[[#This Row],[Isin code]],Table2[#All],10,FALSE)</f>
        <v>Monthly</v>
      </c>
      <c r="X226">
        <f ca="1">_xlfn.DAYS(Table1[[#This Row],[Maturity]],TODAY())-15</f>
        <v>2814</v>
      </c>
      <c r="Y2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94</v>
      </c>
      <c r="Z226">
        <f>IF(Table1[[#This Row],[Ask Rate]]=0,0,Table1[[#This Row],[Face Value]]-Table1[[#This Row],[Ask Rate]])</f>
        <v>11</v>
      </c>
      <c r="AA226">
        <f>IF(Table1[[#This Row],[Freq]]="Yearly",Table1[[#This Row],[Coupon_Rate]]/100,IF(Table1[[#This Row],[Freq]]="Monthly",Table1[[#This Row],[Coupon_Rate]]/1200,IF(Table1[[#This Row],[Freq]]="Quarterly",Table1[[#This Row],[Coupon_Rate]]/400,0)))</f>
        <v>7.9416666666666663E-3</v>
      </c>
      <c r="AB226">
        <f ca="1">Table1[[#This Row],[Face Value]]*Table1[[#This Row],[Rate]]*Table1[[#This Row],[Time]]</f>
        <v>746.51666666666665</v>
      </c>
      <c r="AC226">
        <f ca="1">Table1[[#This Row],[SI]]+Table1[[#This Row],[Disc/Prem]]</f>
        <v>757.51666666666665</v>
      </c>
      <c r="AD226" s="3">
        <f ca="1">Table1[[#This Row],[Net Gain]]/Table1[[#This Row],[Ask Rate]]</f>
        <v>0.76594202898550723</v>
      </c>
      <c r="AE226" s="3">
        <f ca="1">IF(Table1[[#This Row],[Ask Qty]]=0,0,Table1[[#This Row],[Gross Yield]]*365/Table1[[#This Row],[Days Left]])</f>
        <v>9.8822495786394529E-2</v>
      </c>
      <c r="AF226" s="9">
        <f ca="1">+Table1[[#This Row],[Net Gain]]*Table1[[#This Row],[Ask Qty]]</f>
        <v>75751.666666666672</v>
      </c>
      <c r="AG226" t="str">
        <f ca="1">IF(Table1[[#This Row],[YTM]]&gt;0.12,IF(Table1[[#This Row],[Gross Profit]]&gt;10000,"Invest","Review"),"Low YTM")</f>
        <v>Low YTM</v>
      </c>
    </row>
    <row r="227" spans="1:33" x14ac:dyDescent="0.3">
      <c r="A227" t="str">
        <f>RTD("nest.scriprtd",,"bse_cm|967NIDO28","Symbol")</f>
        <v>967NIDO28</v>
      </c>
      <c r="B227" t="str">
        <f>RTD("nest.scriprtd",,"bse_cm|967NIDO28","Trading Symbol")</f>
        <v>967NIDO28</v>
      </c>
      <c r="C227" t="str">
        <f>RTD("nest.scriprtd",,"bse_cm|967NIDO28","Exchange")</f>
        <v>BSE</v>
      </c>
      <c r="D227">
        <f>RTD("nest.scriprtd",,"bse_cm|967NIDO28","Bid Qty")</f>
        <v>25</v>
      </c>
      <c r="E227">
        <f>RTD("nest.scriprtd",,"bse_cm|967NIDO28","Bid Rate")</f>
        <v>915</v>
      </c>
      <c r="F227">
        <f>RTD("nest.scriprtd",,"bse_cm|967NIDO28","Ask Rate")</f>
        <v>1000</v>
      </c>
      <c r="G227">
        <f>RTD("nest.scriprtd",,"bse_cm|967NIDO28","Ask Qty")</f>
        <v>210</v>
      </c>
      <c r="H227">
        <f>RTD("nest.scriprtd",,"bse_cm|967NIDO28","LTP")</f>
        <v>0</v>
      </c>
      <c r="I227" t="str">
        <f>RTD("nest.scriprtd",,"bse_cm|967NIDO28","LTT")</f>
        <v>00:00:00</v>
      </c>
      <c r="J227">
        <f>RTD("nest.scriprtd",,"bse_cm|967NIDO28","% Change")</f>
        <v>-100</v>
      </c>
      <c r="K227">
        <f>RTD("nest.scriprtd",,"bse_cm|967NIDO28","ATP")</f>
        <v>0</v>
      </c>
      <c r="L227">
        <f>RTD("nest.scriprtd",,"bse_cm|967NIDO28","Volume Traded Today")</f>
        <v>0</v>
      </c>
      <c r="M227">
        <f>RTD("nest.scriprtd",,"bse_cm|967NIDO28","Open")</f>
        <v>0</v>
      </c>
      <c r="N227">
        <f>RTD("nest.scriprtd",,"bse_cm|967NIDO28","High")</f>
        <v>941</v>
      </c>
      <c r="O227">
        <f>RTD("nest.scriprtd",,"bse_cm|967NIDO28","Low ")</f>
        <v>941</v>
      </c>
      <c r="P227">
        <f>RTD("nest.scriprtd",,"bse_cm|967NIDO28","Prev Close")</f>
        <v>941</v>
      </c>
      <c r="Q227">
        <f>RTD("nest.scriprtd",,"bse_cm|967NIDO28","Face Value")</f>
        <v>1000</v>
      </c>
      <c r="R227" t="str">
        <f>RTD("nest.scriprtd",,"bse_cm|967NIDO28","Isin code")</f>
        <v>INE530L07616</v>
      </c>
      <c r="S227" s="9">
        <f>Table1[[#This Row],[Ask Rate]]*Table1[[#This Row],[Ask Qty]]</f>
        <v>210000</v>
      </c>
      <c r="T227">
        <f>VLOOKUP(Table1[[#This Row],[Isin code]],Table2[#All],7,FALSE)</f>
        <v>9.67</v>
      </c>
      <c r="U227" s="17" t="str">
        <f>VLOOKUP(Table1[[#This Row],[Isin code]],Table2[#All],8,FALSE)</f>
        <v>15-Sep-2028</v>
      </c>
      <c r="V227" s="10">
        <f ca="1">Table1[[#This Row],[Maturity]]-TODAY()</f>
        <v>1430</v>
      </c>
      <c r="W227" t="str">
        <f>VLOOKUP(Table1[[#This Row],[Isin code]],Table2[#All],10,FALSE)</f>
        <v>Monthly</v>
      </c>
      <c r="X227">
        <f ca="1">_xlfn.DAYS(Table1[[#This Row],[Maturity]],TODAY())-15</f>
        <v>1415</v>
      </c>
      <c r="Y2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227">
        <f>IF(Table1[[#This Row],[Ask Rate]]=0,0,Table1[[#This Row],[Face Value]]-Table1[[#This Row],[Ask Rate]])</f>
        <v>0</v>
      </c>
      <c r="AA227">
        <f>IF(Table1[[#This Row],[Freq]]="Yearly",Table1[[#This Row],[Coupon_Rate]]/100,IF(Table1[[#This Row],[Freq]]="Monthly",Table1[[#This Row],[Coupon_Rate]]/1200,IF(Table1[[#This Row],[Freq]]="Quarterly",Table1[[#This Row],[Coupon_Rate]]/400,0)))</f>
        <v>8.058333333333334E-3</v>
      </c>
      <c r="AB227">
        <f ca="1">Table1[[#This Row],[Face Value]]*Table1[[#This Row],[Rate]]*Table1[[#This Row],[Time]]</f>
        <v>386.8</v>
      </c>
      <c r="AC227">
        <f ca="1">Table1[[#This Row],[SI]]+Table1[[#This Row],[Disc/Prem]]</f>
        <v>386.8</v>
      </c>
      <c r="AD227" s="3">
        <f ca="1">Table1[[#This Row],[Net Gain]]/Table1[[#This Row],[Ask Rate]]</f>
        <v>0.38680000000000003</v>
      </c>
      <c r="AE227" s="3">
        <f ca="1">IF(Table1[[#This Row],[Ask Qty]]=0,0,Table1[[#This Row],[Gross Yield]]*365/Table1[[#This Row],[Days Left]])</f>
        <v>9.8728671328671344E-2</v>
      </c>
      <c r="AF227" s="9">
        <f ca="1">+Table1[[#This Row],[Net Gain]]*Table1[[#This Row],[Ask Qty]]</f>
        <v>81228</v>
      </c>
      <c r="AG227" t="str">
        <f ca="1">IF(Table1[[#This Row],[YTM]]&gt;0.12,IF(Table1[[#This Row],[Gross Profit]]&gt;10000,"Invest","Review"),"Low YTM")</f>
        <v>Low YTM</v>
      </c>
    </row>
    <row r="228" spans="1:33" hidden="1" x14ac:dyDescent="0.3">
      <c r="A228" t="str">
        <f>RTD("nest.scriprtd",,"bse_cm|94IFCI25","Symbol")</f>
        <v>94IFCI25</v>
      </c>
      <c r="B228" t="str">
        <f>RTD("nest.scriprtd",,"bse_cm|94IFCI25","Trading Symbol")</f>
        <v>94IFCI25</v>
      </c>
      <c r="C228" t="str">
        <f>RTD("nest.scriprtd",,"bse_cm|94IFCI25","Exchange")</f>
        <v>BSE</v>
      </c>
      <c r="D228">
        <f>RTD("nest.scriprtd",,"bse_cm|94IFCI25","Bid Qty")</f>
        <v>10</v>
      </c>
      <c r="E228">
        <f>RTD("nest.scriprtd",,"bse_cm|94IFCI25","Bid Rate")</f>
        <v>1049.05</v>
      </c>
      <c r="F228">
        <f>RTD("nest.scriprtd",,"bse_cm|94IFCI25","Ask Rate")</f>
        <v>1059.7</v>
      </c>
      <c r="G228">
        <f>RTD("nest.scriprtd",,"bse_cm|94IFCI25","Ask Qty")</f>
        <v>10</v>
      </c>
      <c r="H228">
        <f>RTD("nest.scriprtd",,"bse_cm|94IFCI25","LTP")</f>
        <v>0</v>
      </c>
      <c r="I228" t="str">
        <f>RTD("nest.scriprtd",,"bse_cm|94IFCI25","LTT")</f>
        <v>00:00:00</v>
      </c>
      <c r="J228">
        <f>RTD("nest.scriprtd",,"bse_cm|94IFCI25","% Change")</f>
        <v>-100</v>
      </c>
      <c r="K228">
        <f>RTD("nest.scriprtd",,"bse_cm|94IFCI25","ATP")</f>
        <v>0</v>
      </c>
      <c r="L228">
        <f>RTD("nest.scriprtd",,"bse_cm|94IFCI25","Volume Traded Today")</f>
        <v>0</v>
      </c>
      <c r="M228">
        <f>RTD("nest.scriprtd",,"bse_cm|94IFCI25","Open")</f>
        <v>0</v>
      </c>
      <c r="N228">
        <f>RTD("nest.scriprtd",,"bse_cm|94IFCI25","High")</f>
        <v>1044.2</v>
      </c>
      <c r="O228">
        <f>RTD("nest.scriprtd",,"bse_cm|94IFCI25","Low ")</f>
        <v>1044.2</v>
      </c>
      <c r="P228">
        <f>RTD("nest.scriprtd",,"bse_cm|94IFCI25","Prev Close")</f>
        <v>1044.2</v>
      </c>
      <c r="Q228">
        <f>RTD("nest.scriprtd",,"bse_cm|94IFCI25","Face Value")</f>
        <v>1000</v>
      </c>
      <c r="R228" t="str">
        <f>RTD("nest.scriprtd",,"bse_cm|94IFCI25","Isin code")</f>
        <v>INE039A07843</v>
      </c>
      <c r="S228" s="9">
        <f>Table1[[#This Row],[Ask Rate]]*Table1[[#This Row],[Ask Qty]]</f>
        <v>10597</v>
      </c>
      <c r="T228">
        <f>VLOOKUP(Table1[[#This Row],[Isin code]],Table2[#All],7,FALSE)</f>
        <v>9.4</v>
      </c>
      <c r="U228" s="17" t="str">
        <f>VLOOKUP(Table1[[#This Row],[Isin code]],Table2[#All],8,FALSE)</f>
        <v>13-Feb-2025</v>
      </c>
      <c r="V228" s="10">
        <f ca="1">Table1[[#This Row],[Maturity]]-TODAY()</f>
        <v>120</v>
      </c>
      <c r="W228" t="str">
        <f>VLOOKUP(Table1[[#This Row],[Isin code]],Table2[#All],10,FALSE)</f>
        <v>Yearly</v>
      </c>
      <c r="X228">
        <f ca="1">_xlfn.DAYS(Table1[[#This Row],[Maturity]],TODAY())-15</f>
        <v>105</v>
      </c>
      <c r="Y2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228">
        <f>IF(Table1[[#This Row],[Ask Rate]]=0,0,Table1[[#This Row],[Face Value]]-Table1[[#This Row],[Ask Rate]])</f>
        <v>-59.700000000000045</v>
      </c>
      <c r="AA228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228">
        <f ca="1">Table1[[#This Row],[Face Value]]*Table1[[#This Row],[Rate]]*Table1[[#This Row],[Time]]</f>
        <v>94</v>
      </c>
      <c r="AC228">
        <f ca="1">Table1[[#This Row],[SI]]+Table1[[#This Row],[Disc/Prem]]</f>
        <v>34.299999999999955</v>
      </c>
      <c r="AD228" s="3">
        <f ca="1">Table1[[#This Row],[Net Gain]]/Table1[[#This Row],[Ask Rate]]</f>
        <v>3.2367651222043929E-2</v>
      </c>
      <c r="AE228" s="3">
        <f ca="1">IF(Table1[[#This Row],[Ask Qty]]=0,0,Table1[[#This Row],[Gross Yield]]*365/Table1[[#This Row],[Days Left]])</f>
        <v>9.8451605800383618E-2</v>
      </c>
      <c r="AF228" s="9">
        <f ca="1">+Table1[[#This Row],[Net Gain]]*Table1[[#This Row],[Ask Qty]]</f>
        <v>342.99999999999955</v>
      </c>
      <c r="AG228" t="str">
        <f ca="1">IF(Table1[[#This Row],[YTM]]&gt;0.12,IF(Table1[[#This Row],[Gross Profit]]&gt;10000,"Invest","Review"),"Low YTM")</f>
        <v>Low YTM</v>
      </c>
    </row>
    <row r="229" spans="1:33" hidden="1" x14ac:dyDescent="0.3">
      <c r="A229" t="str">
        <f>RTD("nest.scriprtd",,"bse_cm|875EFSL24A","Symbol")</f>
        <v>875EFSL24A</v>
      </c>
      <c r="B229" t="str">
        <f>RTD("nest.scriprtd",,"bse_cm|875EFSL24A","Trading Symbol")</f>
        <v>875EFSL24A</v>
      </c>
      <c r="C229" t="str">
        <f>RTD("nest.scriprtd",,"bse_cm|875EFSL24A","Exchange")</f>
        <v>BSE</v>
      </c>
      <c r="D229">
        <f>RTD("nest.scriprtd",,"bse_cm|875EFSL24A","Bid Qty")</f>
        <v>54</v>
      </c>
      <c r="E229">
        <f>RTD("nest.scriprtd",,"bse_cm|875EFSL24A","Bid Rate")</f>
        <v>991.44</v>
      </c>
      <c r="F229">
        <f>RTD("nest.scriprtd",,"bse_cm|875EFSL24A","Ask Rate")</f>
        <v>993.8</v>
      </c>
      <c r="G229">
        <f>RTD("nest.scriprtd",,"bse_cm|875EFSL24A","Ask Qty")</f>
        <v>650</v>
      </c>
      <c r="H229">
        <f>RTD("nest.scriprtd",,"bse_cm|875EFSL24A","LTP")</f>
        <v>993.8</v>
      </c>
      <c r="I229" t="str">
        <f>RTD("nest.scriprtd",,"bse_cm|875EFSL24A","LTT")</f>
        <v>11:14:44</v>
      </c>
      <c r="J229">
        <f>RTD("nest.scriprtd",,"bse_cm|875EFSL24A","% Change")</f>
        <v>0.18</v>
      </c>
      <c r="K229">
        <f>RTD("nest.scriprtd",,"bse_cm|875EFSL24A","ATP")</f>
        <v>987.41</v>
      </c>
      <c r="L229">
        <f>RTD("nest.scriprtd",,"bse_cm|875EFSL24A","Volume Traded Today")</f>
        <v>200</v>
      </c>
      <c r="M229">
        <f>RTD("nest.scriprtd",,"bse_cm|875EFSL24A","Open")</f>
        <v>986.22</v>
      </c>
      <c r="N229">
        <f>RTD("nest.scriprtd",,"bse_cm|875EFSL24A","High")</f>
        <v>995</v>
      </c>
      <c r="O229">
        <f>RTD("nest.scriprtd",,"bse_cm|875EFSL24A","Low ")</f>
        <v>986.2</v>
      </c>
      <c r="P229">
        <f>RTD("nest.scriprtd",,"bse_cm|875EFSL24A","Prev Close")</f>
        <v>992</v>
      </c>
      <c r="Q229">
        <f>RTD("nest.scriprtd",,"bse_cm|875EFSL24A","Face Value")</f>
        <v>1000</v>
      </c>
      <c r="R229" t="str">
        <f>RTD("nest.scriprtd",,"bse_cm|875EFSL24A","Isin code")</f>
        <v>INE532F07CN9</v>
      </c>
      <c r="S229" s="9">
        <f>Table1[[#This Row],[Ask Rate]]*Table1[[#This Row],[Ask Qty]]</f>
        <v>645970</v>
      </c>
      <c r="T229">
        <f>VLOOKUP(Table1[[#This Row],[Isin code]],Table2[#All],7,FALSE)</f>
        <v>8.75</v>
      </c>
      <c r="U229" s="17" t="str">
        <f>VLOOKUP(Table1[[#This Row],[Isin code]],Table2[#All],8,FALSE)</f>
        <v>28-Dec-2024</v>
      </c>
      <c r="V229" s="10">
        <f ca="1">Table1[[#This Row],[Maturity]]-TODAY()</f>
        <v>73</v>
      </c>
      <c r="W229" t="str">
        <f>VLOOKUP(Table1[[#This Row],[Isin code]],Table2[#All],10,FALSE)</f>
        <v>Monthly</v>
      </c>
      <c r="X229">
        <f ca="1">_xlfn.DAYS(Table1[[#This Row],[Maturity]],TODAY())-15</f>
        <v>58</v>
      </c>
      <c r="Y2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29">
        <f>IF(Table1[[#This Row],[Ask Rate]]=0,0,Table1[[#This Row],[Face Value]]-Table1[[#This Row],[Ask Rate]])</f>
        <v>6.2000000000000455</v>
      </c>
      <c r="AA229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229">
        <f ca="1">Table1[[#This Row],[Face Value]]*Table1[[#This Row],[Rate]]*Table1[[#This Row],[Time]]</f>
        <v>14.583333333333334</v>
      </c>
      <c r="AC229">
        <f ca="1">Table1[[#This Row],[SI]]+Table1[[#This Row],[Disc/Prem]]</f>
        <v>20.783333333333381</v>
      </c>
      <c r="AD229" s="3">
        <f ca="1">Table1[[#This Row],[Net Gain]]/Table1[[#This Row],[Ask Rate]]</f>
        <v>2.0912993895485392E-2</v>
      </c>
      <c r="AE229" s="3">
        <f ca="1">IF(Table1[[#This Row],[Ask Qty]]=0,0,Table1[[#This Row],[Gross Yield]]*365/Table1[[#This Row],[Days Left]])</f>
        <v>0.10456496947742695</v>
      </c>
      <c r="AF229" s="9">
        <f ca="1">+Table1[[#This Row],[Net Gain]]*Table1[[#This Row],[Ask Qty]]</f>
        <v>13509.166666666697</v>
      </c>
      <c r="AG229" t="str">
        <f ca="1">IF(Table1[[#This Row],[YTM]]&gt;0.12,IF(Table1[[#This Row],[Gross Profit]]&gt;10000,"Invest","Review"),"Low YTM")</f>
        <v>Low YTM</v>
      </c>
    </row>
    <row r="230" spans="1:33" x14ac:dyDescent="0.3">
      <c r="A230" t="str">
        <f>RTD("nest.scriprtd",,"bse_cm|925MFL26","Symbol")</f>
        <v>925MFL26</v>
      </c>
      <c r="B230" t="str">
        <f>RTD("nest.scriprtd",,"bse_cm|925MFL26","Trading Symbol")</f>
        <v>925MFL26</v>
      </c>
      <c r="C230" t="str">
        <f>RTD("nest.scriprtd",,"bse_cm|925MFL26","Exchange")</f>
        <v>BSE</v>
      </c>
      <c r="D230">
        <f>RTD("nest.scriprtd",,"bse_cm|925MFL26","Bid Qty")</f>
        <v>5</v>
      </c>
      <c r="E230">
        <f>RTD("nest.scriprtd",,"bse_cm|925MFL26","Bid Rate")</f>
        <v>1006.2</v>
      </c>
      <c r="F230">
        <f>RTD("nest.scriprtd",,"bse_cm|925MFL26","Ask Rate")</f>
        <v>1051</v>
      </c>
      <c r="G230">
        <f>RTD("nest.scriprtd",,"bse_cm|925MFL26","Ask Qty")</f>
        <v>32</v>
      </c>
      <c r="H230">
        <f>RTD("nest.scriprtd",,"bse_cm|925MFL26","LTP")</f>
        <v>0</v>
      </c>
      <c r="I230" t="str">
        <f>RTD("nest.scriprtd",,"bse_cm|925MFL26","LTT")</f>
        <v>00:00:00</v>
      </c>
      <c r="J230">
        <f>RTD("nest.scriprtd",,"bse_cm|925MFL26","% Change")</f>
        <v>-100</v>
      </c>
      <c r="K230">
        <f>RTD("nest.scriprtd",,"bse_cm|925MFL26","ATP")</f>
        <v>0</v>
      </c>
      <c r="L230">
        <f>RTD("nest.scriprtd",,"bse_cm|925MFL26","Volume Traded Today")</f>
        <v>0</v>
      </c>
      <c r="M230">
        <f>RTD("nest.scriprtd",,"bse_cm|925MFL26","Open")</f>
        <v>0</v>
      </c>
      <c r="N230">
        <f>RTD("nest.scriprtd",,"bse_cm|925MFL26","High")</f>
        <v>1015.8</v>
      </c>
      <c r="O230">
        <f>RTD("nest.scriprtd",,"bse_cm|925MFL26","Low ")</f>
        <v>991.5</v>
      </c>
      <c r="P230">
        <f>RTD("nest.scriprtd",,"bse_cm|925MFL26","Prev Close")</f>
        <v>1015.8</v>
      </c>
      <c r="Q230">
        <f>RTD("nest.scriprtd",,"bse_cm|925MFL26","Face Value")</f>
        <v>1000</v>
      </c>
      <c r="R230" t="str">
        <f>RTD("nest.scriprtd",,"bse_cm|925MFL26","Isin code")</f>
        <v>INE549K07DD2</v>
      </c>
      <c r="S230" s="9">
        <f>Table1[[#This Row],[Ask Rate]]*Table1[[#This Row],[Ask Qty]]</f>
        <v>33632</v>
      </c>
      <c r="T230">
        <f>VLOOKUP(Table1[[#This Row],[Isin code]],Table2[#All],7,FALSE)</f>
        <v>9.25</v>
      </c>
      <c r="U230" s="17" t="str">
        <f>VLOOKUP(Table1[[#This Row],[Isin code]],Table2[#All],8,FALSE)</f>
        <v>31-Jan-2026</v>
      </c>
      <c r="V230" s="10">
        <f ca="1">Table1[[#This Row],[Maturity]]-TODAY()</f>
        <v>472</v>
      </c>
      <c r="W230" t="str">
        <f>VLOOKUP(Table1[[#This Row],[Isin code]],Table2[#All],10,FALSE)</f>
        <v>Yearly</v>
      </c>
      <c r="X230">
        <f ca="1">_xlfn.DAYS(Table1[[#This Row],[Maturity]],TODAY())-15</f>
        <v>457</v>
      </c>
      <c r="Y2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30">
        <f>IF(Table1[[#This Row],[Ask Rate]]=0,0,Table1[[#This Row],[Face Value]]-Table1[[#This Row],[Ask Rate]])</f>
        <v>-51</v>
      </c>
      <c r="AA230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230">
        <f ca="1">Table1[[#This Row],[Face Value]]*Table1[[#This Row],[Rate]]*Table1[[#This Row],[Time]]</f>
        <v>185</v>
      </c>
      <c r="AC230">
        <f ca="1">Table1[[#This Row],[SI]]+Table1[[#This Row],[Disc/Prem]]</f>
        <v>134</v>
      </c>
      <c r="AD230" s="3">
        <f ca="1">Table1[[#This Row],[Net Gain]]/Table1[[#This Row],[Ask Rate]]</f>
        <v>0.12749762131303521</v>
      </c>
      <c r="AE230" s="3">
        <f ca="1">IF(Table1[[#This Row],[Ask Qty]]=0,0,Table1[[#This Row],[Gross Yield]]*365/Table1[[#This Row],[Days Left]])</f>
        <v>9.8594558854359859E-2</v>
      </c>
      <c r="AF230" s="9">
        <f ca="1">+Table1[[#This Row],[Net Gain]]*Table1[[#This Row],[Ask Qty]]</f>
        <v>4288</v>
      </c>
      <c r="AG230" t="str">
        <f ca="1">IF(Table1[[#This Row],[YTM]]&gt;0.12,IF(Table1[[#This Row],[Gross Profit]]&gt;10000,"Invest","Review"),"Low YTM")</f>
        <v>Low YTM</v>
      </c>
    </row>
    <row r="231" spans="1:33" x14ac:dyDescent="0.3">
      <c r="A231" t="str">
        <f>RTD("nest.scriprtd",,"bse_cm|98NWFL30","Symbol")</f>
        <v>98NWFL30</v>
      </c>
      <c r="B231" t="str">
        <f>RTD("nest.scriprtd",,"bse_cm|98NWFL30","Trading Symbol")</f>
        <v>98NWFL30</v>
      </c>
      <c r="C231" t="str">
        <f>RTD("nest.scriprtd",,"bse_cm|98NWFL30","Exchange")</f>
        <v>BSE</v>
      </c>
      <c r="D231">
        <f>RTD("nest.scriprtd",,"bse_cm|98NWFL30","Bid Qty")</f>
        <v>15</v>
      </c>
      <c r="E231">
        <f>RTD("nest.scriprtd",,"bse_cm|98NWFL30","Bid Rate")</f>
        <v>955.15</v>
      </c>
      <c r="F231">
        <f>RTD("nest.scriprtd",,"bse_cm|98NWFL30","Ask Rate")</f>
        <v>1005</v>
      </c>
      <c r="G231">
        <f>RTD("nest.scriprtd",,"bse_cm|98NWFL30","Ask Qty")</f>
        <v>22</v>
      </c>
      <c r="H231">
        <f>RTD("nest.scriprtd",,"bse_cm|98NWFL30","LTP")</f>
        <v>0</v>
      </c>
      <c r="I231" t="str">
        <f>RTD("nest.scriprtd",,"bse_cm|98NWFL30","LTT")</f>
        <v>00:00:00</v>
      </c>
      <c r="J231">
        <f>RTD("nest.scriprtd",,"bse_cm|98NWFL30","% Change")</f>
        <v>-100</v>
      </c>
      <c r="K231">
        <f>RTD("nest.scriprtd",,"bse_cm|98NWFL30","ATP")</f>
        <v>0</v>
      </c>
      <c r="L231">
        <f>RTD("nest.scriprtd",,"bse_cm|98NWFL30","Volume Traded Today")</f>
        <v>0</v>
      </c>
      <c r="M231">
        <f>RTD("nest.scriprtd",,"bse_cm|98NWFL30","Open")</f>
        <v>0</v>
      </c>
      <c r="N231">
        <f>RTD("nest.scriprtd",,"bse_cm|98NWFL30","High")</f>
        <v>960.01</v>
      </c>
      <c r="O231">
        <f>RTD("nest.scriprtd",,"bse_cm|98NWFL30","Low ")</f>
        <v>955.15</v>
      </c>
      <c r="P231">
        <f>RTD("nest.scriprtd",,"bse_cm|98NWFL30","Prev Close")</f>
        <v>960.01</v>
      </c>
      <c r="Q231">
        <f>RTD("nest.scriprtd",,"bse_cm|98NWFL30","Face Value")</f>
        <v>1000</v>
      </c>
      <c r="R231" t="str">
        <f>RTD("nest.scriprtd",,"bse_cm|98NWFL30","Isin code")</f>
        <v>INE918K07FU8</v>
      </c>
      <c r="S231" s="9">
        <f>Table1[[#This Row],[Ask Rate]]*Table1[[#This Row],[Ask Qty]]</f>
        <v>22110</v>
      </c>
      <c r="T231">
        <f>VLOOKUP(Table1[[#This Row],[Isin code]],Table2[#All],7,FALSE)</f>
        <v>9.8000000000000007</v>
      </c>
      <c r="U231" s="17" t="str">
        <f>VLOOKUP(Table1[[#This Row],[Isin code]],Table2[#All],8,FALSE)</f>
        <v>05-Feb-2030</v>
      </c>
      <c r="V231" s="10">
        <f ca="1">Table1[[#This Row],[Maturity]]-TODAY()</f>
        <v>1938</v>
      </c>
      <c r="W231" t="str">
        <f>VLOOKUP(Table1[[#This Row],[Isin code]],Table2[#All],10,FALSE)</f>
        <v>Monthly</v>
      </c>
      <c r="X231">
        <f ca="1">_xlfn.DAYS(Table1[[#This Row],[Maturity]],TODAY())-15</f>
        <v>1923</v>
      </c>
      <c r="Y2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65</v>
      </c>
      <c r="Z231">
        <f>IF(Table1[[#This Row],[Ask Rate]]=0,0,Table1[[#This Row],[Face Value]]-Table1[[#This Row],[Ask Rate]])</f>
        <v>-5</v>
      </c>
      <c r="AA231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231">
        <f ca="1">Table1[[#This Row],[Face Value]]*Table1[[#This Row],[Rate]]*Table1[[#This Row],[Time]]</f>
        <v>530.83333333333337</v>
      </c>
      <c r="AC231">
        <f ca="1">Table1[[#This Row],[SI]]+Table1[[#This Row],[Disc/Prem]]</f>
        <v>525.83333333333337</v>
      </c>
      <c r="AD231" s="3">
        <f ca="1">Table1[[#This Row],[Net Gain]]/Table1[[#This Row],[Ask Rate]]</f>
        <v>0.52321724709784412</v>
      </c>
      <c r="AE231" s="3">
        <f ca="1">IF(Table1[[#This Row],[Ask Qty]]=0,0,Table1[[#This Row],[Gross Yield]]*365/Table1[[#This Row],[Days Left]])</f>
        <v>9.8541947982824091E-2</v>
      </c>
      <c r="AF231" s="9">
        <f ca="1">+Table1[[#This Row],[Net Gain]]*Table1[[#This Row],[Ask Qty]]</f>
        <v>11568.333333333334</v>
      </c>
      <c r="AG231" t="str">
        <f ca="1">IF(Table1[[#This Row],[YTM]]&gt;0.12,IF(Table1[[#This Row],[Gross Profit]]&gt;10000,"Invest","Review"),"Low YTM")</f>
        <v>Low YTM</v>
      </c>
    </row>
    <row r="232" spans="1:33" x14ac:dyDescent="0.3">
      <c r="A232" t="str">
        <f>RTD("nest.scriprtd",,"bse_cm|875IIFL26A","Symbol")</f>
        <v>875IIFL26A</v>
      </c>
      <c r="B232" t="str">
        <f>RTD("nest.scriprtd",,"bse_cm|875IIFL26A","Trading Symbol")</f>
        <v>875IIFL26A</v>
      </c>
      <c r="C232" t="str">
        <f>RTD("nest.scriprtd",,"bse_cm|875IIFL26A","Exchange")</f>
        <v>BSE</v>
      </c>
      <c r="D232">
        <f>RTD("nest.scriprtd",,"bse_cm|875IIFL26A","Bid Qty")</f>
        <v>100</v>
      </c>
      <c r="E232">
        <f>RTD("nest.scriprtd",,"bse_cm|875IIFL26A","Bid Rate")</f>
        <v>1012.5</v>
      </c>
      <c r="F232">
        <f>RTD("nest.scriprtd",,"bse_cm|875IIFL26A","Ask Rate")</f>
        <v>1044</v>
      </c>
      <c r="G232">
        <f>RTD("nest.scriprtd",,"bse_cm|875IIFL26A","Ask Qty")</f>
        <v>25</v>
      </c>
      <c r="H232">
        <f>RTD("nest.scriprtd",,"bse_cm|875IIFL26A","LTP")</f>
        <v>0</v>
      </c>
      <c r="I232" t="str">
        <f>RTD("nest.scriprtd",,"bse_cm|875IIFL26A","LTT")</f>
        <v>00:00:00</v>
      </c>
      <c r="J232">
        <f>RTD("nest.scriprtd",,"bse_cm|875IIFL26A","% Change")</f>
        <v>-100</v>
      </c>
      <c r="K232">
        <f>RTD("nest.scriprtd",,"bse_cm|875IIFL26A","ATP")</f>
        <v>0</v>
      </c>
      <c r="L232">
        <f>RTD("nest.scriprtd",,"bse_cm|875IIFL26A","Volume Traded Today")</f>
        <v>0</v>
      </c>
      <c r="M232">
        <f>RTD("nest.scriprtd",,"bse_cm|875IIFL26A","Open")</f>
        <v>0</v>
      </c>
      <c r="N232">
        <f>RTD("nest.scriprtd",,"bse_cm|875IIFL26A","High")</f>
        <v>1029.8</v>
      </c>
      <c r="O232">
        <f>RTD("nest.scriprtd",,"bse_cm|875IIFL26A","Low ")</f>
        <v>1029.8</v>
      </c>
      <c r="P232">
        <f>RTD("nest.scriprtd",,"bse_cm|875IIFL26A","Prev Close")</f>
        <v>1029.8</v>
      </c>
      <c r="Q232">
        <f>RTD("nest.scriprtd",,"bse_cm|875IIFL26A","Face Value")</f>
        <v>1000</v>
      </c>
      <c r="R232" t="str">
        <f>RTD("nest.scriprtd",,"bse_cm|875IIFL26A","Isin code")</f>
        <v>INE530B07294</v>
      </c>
      <c r="S232" s="9">
        <f>Table1[[#This Row],[Ask Rate]]*Table1[[#This Row],[Ask Qty]]</f>
        <v>26100</v>
      </c>
      <c r="T232">
        <f>VLOOKUP(Table1[[#This Row],[Isin code]],Table2[#All],7,FALSE)</f>
        <v>8.75</v>
      </c>
      <c r="U232" s="17" t="str">
        <f>VLOOKUP(Table1[[#This Row],[Isin code]],Table2[#All],8,FALSE)</f>
        <v>24-Jan-2026</v>
      </c>
      <c r="V232" s="10">
        <f ca="1">Table1[[#This Row],[Maturity]]-TODAY()</f>
        <v>465</v>
      </c>
      <c r="W232" t="str">
        <f>VLOOKUP(Table1[[#This Row],[Isin code]],Table2[#All],10,FALSE)</f>
        <v>Yearly</v>
      </c>
      <c r="X232">
        <f ca="1">_xlfn.DAYS(Table1[[#This Row],[Maturity]],TODAY())-15</f>
        <v>450</v>
      </c>
      <c r="Y2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32">
        <f>IF(Table1[[#This Row],[Ask Rate]]=0,0,Table1[[#This Row],[Face Value]]-Table1[[#This Row],[Ask Rate]])</f>
        <v>-44</v>
      </c>
      <c r="AA232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232">
        <f ca="1">Table1[[#This Row],[Face Value]]*Table1[[#This Row],[Rate]]*Table1[[#This Row],[Time]]</f>
        <v>175</v>
      </c>
      <c r="AC232">
        <f ca="1">Table1[[#This Row],[SI]]+Table1[[#This Row],[Disc/Prem]]</f>
        <v>131</v>
      </c>
      <c r="AD232" s="3">
        <f ca="1">Table1[[#This Row],[Net Gain]]/Table1[[#This Row],[Ask Rate]]</f>
        <v>0.12547892720306514</v>
      </c>
      <c r="AE232" s="3">
        <f ca="1">IF(Table1[[#This Row],[Ask Qty]]=0,0,Table1[[#This Row],[Gross Yield]]*365/Table1[[#This Row],[Days Left]])</f>
        <v>9.8494211675524246E-2</v>
      </c>
      <c r="AF232" s="9">
        <f ca="1">+Table1[[#This Row],[Net Gain]]*Table1[[#This Row],[Ask Qty]]</f>
        <v>3275</v>
      </c>
      <c r="AG232" t="str">
        <f ca="1">IF(Table1[[#This Row],[YTM]]&gt;0.12,IF(Table1[[#This Row],[Gross Profit]]&gt;10000,"Invest","Review"),"Low YTM")</f>
        <v>Low YTM</v>
      </c>
    </row>
    <row r="233" spans="1:33" x14ac:dyDescent="0.3">
      <c r="A233" t="str">
        <f>RTD("nest.scriprtd",,"bse_cm|88MFL28","Symbol")</f>
        <v>88MFL28</v>
      </c>
      <c r="B233" t="str">
        <f>RTD("nest.scriprtd",,"bse_cm|88MFL28","Trading Symbol")</f>
        <v>88MFL28</v>
      </c>
      <c r="C233" t="str">
        <f>RTD("nest.scriprtd",,"bse_cm|88MFL28","Exchange")</f>
        <v>BSE</v>
      </c>
      <c r="D233">
        <f>RTD("nest.scriprtd",,"bse_cm|88MFL28","Bid Qty")</f>
        <v>20</v>
      </c>
      <c r="E233">
        <f>RTD("nest.scriprtd",,"bse_cm|88MFL28","Bid Rate")</f>
        <v>834.2</v>
      </c>
      <c r="F233">
        <f>RTD("nest.scriprtd",,"bse_cm|88MFL28","Ask Rate")</f>
        <v>974.99</v>
      </c>
      <c r="G233">
        <f>RTD("nest.scriprtd",,"bse_cm|88MFL28","Ask Qty")</f>
        <v>167</v>
      </c>
      <c r="H233">
        <f>RTD("nest.scriprtd",,"bse_cm|88MFL28","LTP")</f>
        <v>0</v>
      </c>
      <c r="I233" t="str">
        <f>RTD("nest.scriprtd",,"bse_cm|88MFL28","LTT")</f>
        <v>00:00:00</v>
      </c>
      <c r="J233">
        <f>RTD("nest.scriprtd",,"bse_cm|88MFL28","% Change")</f>
        <v>-100</v>
      </c>
      <c r="K233">
        <f>RTD("nest.scriprtd",,"bse_cm|88MFL28","ATP")</f>
        <v>0</v>
      </c>
      <c r="L233">
        <f>RTD("nest.scriprtd",,"bse_cm|88MFL28","Volume Traded Today")</f>
        <v>0</v>
      </c>
      <c r="M233">
        <f>RTD("nest.scriprtd",,"bse_cm|88MFL28","Open")</f>
        <v>0</v>
      </c>
      <c r="N233">
        <f>RTD("nest.scriprtd",,"bse_cm|88MFL28","High")</f>
        <v>974.99</v>
      </c>
      <c r="O233">
        <f>RTD("nest.scriprtd",,"bse_cm|88MFL28","Low ")</f>
        <v>974.99</v>
      </c>
      <c r="P233">
        <f>RTD("nest.scriprtd",,"bse_cm|88MFL28","Prev Close")</f>
        <v>974.99</v>
      </c>
      <c r="Q233">
        <f>RTD("nest.scriprtd",,"bse_cm|88MFL28","Face Value")</f>
        <v>1000</v>
      </c>
      <c r="R233" t="str">
        <f>RTD("nest.scriprtd",,"bse_cm|88MFL28","Isin code")</f>
        <v>INE549K07CD4</v>
      </c>
      <c r="S233" s="9">
        <f>Table1[[#This Row],[Ask Rate]]*Table1[[#This Row],[Ask Qty]]</f>
        <v>162823.32999999999</v>
      </c>
      <c r="T233">
        <f>VLOOKUP(Table1[[#This Row],[Isin code]],Table2[#All],7,FALSE)</f>
        <v>8.7999999999999989</v>
      </c>
      <c r="U233" s="17" t="str">
        <f>VLOOKUP(Table1[[#This Row],[Isin code]],Table2[#All],8,FALSE)</f>
        <v>02-May-2028</v>
      </c>
      <c r="V233" s="10">
        <f ca="1">Table1[[#This Row],[Maturity]]-TODAY()</f>
        <v>1294</v>
      </c>
      <c r="W233" t="str">
        <f>VLOOKUP(Table1[[#This Row],[Isin code]],Table2[#All],10,FALSE)</f>
        <v>Monthly</v>
      </c>
      <c r="X233">
        <f ca="1">_xlfn.DAYS(Table1[[#This Row],[Maturity]],TODAY())-15</f>
        <v>1279</v>
      </c>
      <c r="Y23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43</v>
      </c>
      <c r="Z233">
        <f>IF(Table1[[#This Row],[Ask Rate]]=0,0,Table1[[#This Row],[Face Value]]-Table1[[#This Row],[Ask Rate]])</f>
        <v>25.009999999999991</v>
      </c>
      <c r="AA233">
        <f>IF(Table1[[#This Row],[Freq]]="Yearly",Table1[[#This Row],[Coupon_Rate]]/100,IF(Table1[[#This Row],[Freq]]="Monthly",Table1[[#This Row],[Coupon_Rate]]/1200,IF(Table1[[#This Row],[Freq]]="Quarterly",Table1[[#This Row],[Coupon_Rate]]/400,0)))</f>
        <v>7.3333333333333323E-3</v>
      </c>
      <c r="AB233">
        <f ca="1">Table1[[#This Row],[Face Value]]*Table1[[#This Row],[Rate]]*Table1[[#This Row],[Time]]</f>
        <v>315.33333333333326</v>
      </c>
      <c r="AC233">
        <f ca="1">Table1[[#This Row],[SI]]+Table1[[#This Row],[Disc/Prem]]</f>
        <v>340.34333333333325</v>
      </c>
      <c r="AD233" s="3">
        <f ca="1">Table1[[#This Row],[Net Gain]]/Table1[[#This Row],[Ask Rate]]</f>
        <v>0.34907366571281062</v>
      </c>
      <c r="AE233" s="3">
        <f ca="1">IF(Table1[[#This Row],[Ask Qty]]=0,0,Table1[[#This Row],[Gross Yield]]*365/Table1[[#This Row],[Days Left]])</f>
        <v>9.8463591951449672E-2</v>
      </c>
      <c r="AF233" s="9">
        <f ca="1">+Table1[[#This Row],[Net Gain]]*Table1[[#This Row],[Ask Qty]]</f>
        <v>56837.336666666655</v>
      </c>
      <c r="AG233" t="str">
        <f ca="1">IF(Table1[[#This Row],[YTM]]&gt;0.12,IF(Table1[[#This Row],[Gross Profit]]&gt;10000,"Invest","Review"),"Low YTM")</f>
        <v>Low YTM</v>
      </c>
    </row>
    <row r="234" spans="1:33" x14ac:dyDescent="0.3">
      <c r="A234" t="str">
        <f>RTD("nest.scriprtd",,"bse_cm|965SCL25A","Symbol")</f>
        <v>965SCL25A</v>
      </c>
      <c r="B234" t="str">
        <f>RTD("nest.scriprtd",,"bse_cm|965SCL25A","Trading Symbol")</f>
        <v>965SCL25A</v>
      </c>
      <c r="C234" t="str">
        <f>RTD("nest.scriprtd",,"bse_cm|965SCL25A","Exchange")</f>
        <v>BSE</v>
      </c>
      <c r="D234">
        <f>RTD("nest.scriprtd",,"bse_cm|965SCL25A","Bid Qty")</f>
        <v>140</v>
      </c>
      <c r="E234">
        <f>RTD("nest.scriprtd",,"bse_cm|965SCL25A","Bid Rate")</f>
        <v>1035.2</v>
      </c>
      <c r="F234">
        <f>RTD("nest.scriprtd",,"bse_cm|965SCL25A","Ask Rate")</f>
        <v>1080</v>
      </c>
      <c r="G234">
        <f>RTD("nest.scriprtd",,"bse_cm|965SCL25A","Ask Qty")</f>
        <v>1</v>
      </c>
      <c r="H234">
        <f>RTD("nest.scriprtd",,"bse_cm|965SCL25A","LTP")</f>
        <v>0</v>
      </c>
      <c r="I234" t="str">
        <f>RTD("nest.scriprtd",,"bse_cm|965SCL25A","LTT")</f>
        <v>00:00:00</v>
      </c>
      <c r="J234">
        <f>RTD("nest.scriprtd",,"bse_cm|965SCL25A","% Change")</f>
        <v>-100</v>
      </c>
      <c r="K234">
        <f>RTD("nest.scriprtd",,"bse_cm|965SCL25A","ATP")</f>
        <v>0</v>
      </c>
      <c r="L234">
        <f>RTD("nest.scriprtd",,"bse_cm|965SCL25A","Volume Traded Today")</f>
        <v>0</v>
      </c>
      <c r="M234">
        <f>RTD("nest.scriprtd",,"bse_cm|965SCL25A","Open")</f>
        <v>0</v>
      </c>
      <c r="N234">
        <f>RTD("nest.scriprtd",,"bse_cm|965SCL25A","High")</f>
        <v>1070</v>
      </c>
      <c r="O234">
        <f>RTD("nest.scriprtd",,"bse_cm|965SCL25A","Low ")</f>
        <v>1070</v>
      </c>
      <c r="P234">
        <f>RTD("nest.scriprtd",,"bse_cm|965SCL25A","Prev Close")</f>
        <v>1070</v>
      </c>
      <c r="Q234">
        <f>RTD("nest.scriprtd",,"bse_cm|965SCL25A","Face Value")</f>
        <v>1000</v>
      </c>
      <c r="R234" t="str">
        <f>RTD("nest.scriprtd",,"bse_cm|965SCL25A","Isin code")</f>
        <v>INE148I07QN8</v>
      </c>
      <c r="S234" s="9">
        <f>Table1[[#This Row],[Ask Rate]]*Table1[[#This Row],[Ask Qty]]</f>
        <v>1080</v>
      </c>
      <c r="T234">
        <f>VLOOKUP(Table1[[#This Row],[Isin code]],Table2[#All],7,FALSE)</f>
        <v>9.65</v>
      </c>
      <c r="U234" s="17" t="str">
        <f>VLOOKUP(Table1[[#This Row],[Isin code]],Table2[#All],8,FALSE)</f>
        <v>09-Nov-2025</v>
      </c>
      <c r="V234" s="10">
        <f ca="1">Table1[[#This Row],[Maturity]]-TODAY()</f>
        <v>389</v>
      </c>
      <c r="W234" t="str">
        <f>VLOOKUP(Table1[[#This Row],[Isin code]],Table2[#All],10,FALSE)</f>
        <v>Yearly</v>
      </c>
      <c r="X234">
        <f ca="1">_xlfn.DAYS(Table1[[#This Row],[Maturity]],TODAY())-15</f>
        <v>374</v>
      </c>
      <c r="Y2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34">
        <f>IF(Table1[[#This Row],[Ask Rate]]=0,0,Table1[[#This Row],[Face Value]]-Table1[[#This Row],[Ask Rate]])</f>
        <v>-80</v>
      </c>
      <c r="AA234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234">
        <f ca="1">Table1[[#This Row],[Face Value]]*Table1[[#This Row],[Rate]]*Table1[[#This Row],[Time]]</f>
        <v>193</v>
      </c>
      <c r="AC234">
        <f ca="1">Table1[[#This Row],[SI]]+Table1[[#This Row],[Disc/Prem]]</f>
        <v>113</v>
      </c>
      <c r="AD234" s="3">
        <f ca="1">Table1[[#This Row],[Net Gain]]/Table1[[#This Row],[Ask Rate]]</f>
        <v>0.10462962962962963</v>
      </c>
      <c r="AE234" s="3">
        <f ca="1">IF(Table1[[#This Row],[Ask Qty]]=0,0,Table1[[#This Row],[Gross Yield]]*365/Table1[[#This Row],[Days Left]])</f>
        <v>9.8174331143482813E-2</v>
      </c>
      <c r="AF234" s="9">
        <f ca="1">+Table1[[#This Row],[Net Gain]]*Table1[[#This Row],[Ask Qty]]</f>
        <v>113</v>
      </c>
      <c r="AG234" t="str">
        <f ca="1">IF(Table1[[#This Row],[YTM]]&gt;0.12,IF(Table1[[#This Row],[Gross Profit]]&gt;10000,"Invest","Review"),"Low YTM")</f>
        <v>Low YTM</v>
      </c>
    </row>
    <row r="235" spans="1:33" hidden="1" x14ac:dyDescent="0.3">
      <c r="A235" t="str">
        <f>RTD("nest.scriprtd",,"nse_cm|94IFCI25-NL","Symbol")</f>
        <v>94IFCI25</v>
      </c>
      <c r="B235" t="str">
        <f>RTD("nest.scriprtd",,"nse_cm|94IFCI25-NL","Trading Symbol")</f>
        <v>94IFCI25-NL</v>
      </c>
      <c r="C235" t="str">
        <f>RTD("nest.scriprtd",,"nse_cm|94IFCI25-NL","Exchange")</f>
        <v>NSE</v>
      </c>
      <c r="D235">
        <f>RTD("nest.scriprtd",,"nse_cm|94IFCI25-NL","Bid Qty")</f>
        <v>10</v>
      </c>
      <c r="E235">
        <f>RTD("nest.scriprtd",,"nse_cm|94IFCI25-NL","Bid Rate")</f>
        <v>1048.05</v>
      </c>
      <c r="F235">
        <f>RTD("nest.scriprtd",,"nse_cm|94IFCI25-NL","Ask Rate")</f>
        <v>1060</v>
      </c>
      <c r="G235">
        <f>RTD("nest.scriprtd",,"nse_cm|94IFCI25-NL","Ask Qty")</f>
        <v>50</v>
      </c>
      <c r="H235">
        <f>RTD("nest.scriprtd",,"nse_cm|94IFCI25-NL","LTP")</f>
        <v>1047.8</v>
      </c>
      <c r="I235" t="str">
        <f>RTD("nest.scriprtd",,"nse_cm|94IFCI25-NL","LTT")</f>
        <v/>
      </c>
      <c r="J235">
        <f>RTD("nest.scriprtd",,"nse_cm|94IFCI25-NL","% Change")</f>
        <v>0</v>
      </c>
      <c r="K235">
        <f>RTD("nest.scriprtd",,"nse_cm|94IFCI25-NL","ATP")</f>
        <v>0</v>
      </c>
      <c r="L235">
        <f>RTD("nest.scriprtd",,"nse_cm|94IFCI25-NL","Volume Traded Today")</f>
        <v>0</v>
      </c>
      <c r="M235">
        <f>RTD("nest.scriprtd",,"nse_cm|94IFCI25-NL","Open")</f>
        <v>0</v>
      </c>
      <c r="N235">
        <f>RTD("nest.scriprtd",,"nse_cm|94IFCI25-NL","High")</f>
        <v>1047.8</v>
      </c>
      <c r="O235">
        <f>RTD("nest.scriprtd",,"nse_cm|94IFCI25-NL","Low ")</f>
        <v>1047.8</v>
      </c>
      <c r="P235">
        <f>RTD("nest.scriprtd",,"nse_cm|94IFCI25-NL","Prev Close")</f>
        <v>1047.8</v>
      </c>
      <c r="Q235">
        <f>RTD("nest.scriprtd",,"nse_cm|94IFCI25-NL","Face Value")</f>
        <v>1000</v>
      </c>
      <c r="R235" t="str">
        <f>RTD("nest.scriprtd",,"nse_cm|94IFCI25-NL","Isin code")</f>
        <v>INE039A07843</v>
      </c>
      <c r="S235" s="9">
        <f>Table1[[#This Row],[Ask Rate]]*Table1[[#This Row],[Ask Qty]]</f>
        <v>53000</v>
      </c>
      <c r="T235">
        <f>VLOOKUP(Table1[[#This Row],[Isin code]],Table2[#All],7,FALSE)</f>
        <v>9.4</v>
      </c>
      <c r="U235" s="17" t="str">
        <f>VLOOKUP(Table1[[#This Row],[Isin code]],Table2[#All],8,FALSE)</f>
        <v>13-Feb-2025</v>
      </c>
      <c r="V235" s="10">
        <f ca="1">Table1[[#This Row],[Maturity]]-TODAY()</f>
        <v>120</v>
      </c>
      <c r="W235" t="str">
        <f>VLOOKUP(Table1[[#This Row],[Isin code]],Table2[#All],10,FALSE)</f>
        <v>Yearly</v>
      </c>
      <c r="X235">
        <f ca="1">_xlfn.DAYS(Table1[[#This Row],[Maturity]],TODAY())-15</f>
        <v>105</v>
      </c>
      <c r="Y23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235">
        <f>IF(Table1[[#This Row],[Ask Rate]]=0,0,Table1[[#This Row],[Face Value]]-Table1[[#This Row],[Ask Rate]])</f>
        <v>-60</v>
      </c>
      <c r="AA235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235">
        <f ca="1">Table1[[#This Row],[Face Value]]*Table1[[#This Row],[Rate]]*Table1[[#This Row],[Time]]</f>
        <v>94</v>
      </c>
      <c r="AC235">
        <f ca="1">Table1[[#This Row],[SI]]+Table1[[#This Row],[Disc/Prem]]</f>
        <v>34</v>
      </c>
      <c r="AD235" s="3">
        <f ca="1">Table1[[#This Row],[Net Gain]]/Table1[[#This Row],[Ask Rate]]</f>
        <v>3.2075471698113207E-2</v>
      </c>
      <c r="AE235" s="3">
        <f ca="1">IF(Table1[[#This Row],[Ask Qty]]=0,0,Table1[[#This Row],[Gross Yield]]*365/Table1[[#This Row],[Days Left]])</f>
        <v>9.7562893081760999E-2</v>
      </c>
      <c r="AF235" s="9">
        <f ca="1">+Table1[[#This Row],[Net Gain]]*Table1[[#This Row],[Ask Qty]]</f>
        <v>1700</v>
      </c>
      <c r="AG235" t="str">
        <f ca="1">IF(Table1[[#This Row],[YTM]]&gt;0.12,IF(Table1[[#This Row],[Gross Profit]]&gt;10000,"Invest","Review"),"Low YTM")</f>
        <v>Low YTM</v>
      </c>
    </row>
    <row r="236" spans="1:33" x14ac:dyDescent="0.3">
      <c r="A236" t="str">
        <f>RTD("nest.scriprtd",,"bse_cm|850MFL28","Symbol")</f>
        <v>850MFL28</v>
      </c>
      <c r="B236" t="str">
        <f>RTD("nest.scriprtd",,"bse_cm|850MFL28","Trading Symbol")</f>
        <v>850MFL28</v>
      </c>
      <c r="C236" t="str">
        <f>RTD("nest.scriprtd",,"bse_cm|850MFL28","Exchange")</f>
        <v>BSE</v>
      </c>
      <c r="D236">
        <f>RTD("nest.scriprtd",,"bse_cm|850MFL28","Bid Qty")</f>
        <v>20</v>
      </c>
      <c r="E236">
        <f>RTD("nest.scriprtd",,"bse_cm|850MFL28","Bid Rate")</f>
        <v>830.2</v>
      </c>
      <c r="F236">
        <f>RTD("nest.scriprtd",,"bse_cm|850MFL28","Ask Rate")</f>
        <v>969.99</v>
      </c>
      <c r="G236">
        <f>RTD("nest.scriprtd",,"bse_cm|850MFL28","Ask Qty")</f>
        <v>205</v>
      </c>
      <c r="H236">
        <f>RTD("nest.scriprtd",,"bse_cm|850MFL28","LTP")</f>
        <v>0</v>
      </c>
      <c r="I236" t="str">
        <f>RTD("nest.scriprtd",,"bse_cm|850MFL28","LTT")</f>
        <v>00:00:00</v>
      </c>
      <c r="J236">
        <f>RTD("nest.scriprtd",,"bse_cm|850MFL28","% Change")</f>
        <v>-100</v>
      </c>
      <c r="K236">
        <f>RTD("nest.scriprtd",,"bse_cm|850MFL28","ATP")</f>
        <v>0</v>
      </c>
      <c r="L236">
        <f>RTD("nest.scriprtd",,"bse_cm|850MFL28","Volume Traded Today")</f>
        <v>0</v>
      </c>
      <c r="M236">
        <f>RTD("nest.scriprtd",,"bse_cm|850MFL28","Open")</f>
        <v>0</v>
      </c>
      <c r="N236">
        <f>RTD("nest.scriprtd",,"bse_cm|850MFL28","High")</f>
        <v>975</v>
      </c>
      <c r="O236">
        <f>RTD("nest.scriprtd",,"bse_cm|850MFL28","Low ")</f>
        <v>975</v>
      </c>
      <c r="P236">
        <f>RTD("nest.scriprtd",,"bse_cm|850MFL28","Prev Close")</f>
        <v>975</v>
      </c>
      <c r="Q236">
        <f>RTD("nest.scriprtd",,"bse_cm|850MFL28","Face Value")</f>
        <v>1000</v>
      </c>
      <c r="R236" t="str">
        <f>RTD("nest.scriprtd",,"bse_cm|850MFL28","Isin code")</f>
        <v>INE549K07BU0</v>
      </c>
      <c r="S236" s="9">
        <f>Table1[[#This Row],[Ask Rate]]*Table1[[#This Row],[Ask Qty]]</f>
        <v>198847.95</v>
      </c>
      <c r="T236">
        <f>VLOOKUP(Table1[[#This Row],[Isin code]],Table2[#All],7,FALSE)</f>
        <v>8.5</v>
      </c>
      <c r="U236" s="17" t="str">
        <f>VLOOKUP(Table1[[#This Row],[Isin code]],Table2[#All],8,FALSE)</f>
        <v>02-Feb-2028</v>
      </c>
      <c r="V236" s="10">
        <f ca="1">Table1[[#This Row],[Maturity]]-TODAY()</f>
        <v>1204</v>
      </c>
      <c r="W236" t="str">
        <f>VLOOKUP(Table1[[#This Row],[Isin code]],Table2[#All],10,FALSE)</f>
        <v>Monthly</v>
      </c>
      <c r="X236">
        <f ca="1">_xlfn.DAYS(Table1[[#This Row],[Maturity]],TODAY())-15</f>
        <v>1189</v>
      </c>
      <c r="Y2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236">
        <f>IF(Table1[[#This Row],[Ask Rate]]=0,0,Table1[[#This Row],[Face Value]]-Table1[[#This Row],[Ask Rate]])</f>
        <v>30.009999999999991</v>
      </c>
      <c r="AA236">
        <f>IF(Table1[[#This Row],[Freq]]="Yearly",Table1[[#This Row],[Coupon_Rate]]/100,IF(Table1[[#This Row],[Freq]]="Monthly",Table1[[#This Row],[Coupon_Rate]]/1200,IF(Table1[[#This Row],[Freq]]="Quarterly",Table1[[#This Row],[Coupon_Rate]]/400,0)))</f>
        <v>7.083333333333333E-3</v>
      </c>
      <c r="AB236">
        <f ca="1">Table1[[#This Row],[Face Value]]*Table1[[#This Row],[Rate]]*Table1[[#This Row],[Time]]</f>
        <v>283.33333333333331</v>
      </c>
      <c r="AC236">
        <f ca="1">Table1[[#This Row],[SI]]+Table1[[#This Row],[Disc/Prem]]</f>
        <v>313.34333333333331</v>
      </c>
      <c r="AD236" s="3">
        <f ca="1">Table1[[#This Row],[Net Gain]]/Table1[[#This Row],[Ask Rate]]</f>
        <v>0.32303769454667913</v>
      </c>
      <c r="AE236" s="3">
        <f ca="1">IF(Table1[[#This Row],[Ask Qty]]=0,0,Table1[[#This Row],[Gross Yield]]*365/Table1[[#This Row],[Days Left]])</f>
        <v>9.7930862549450076E-2</v>
      </c>
      <c r="AF236" s="9">
        <f ca="1">+Table1[[#This Row],[Net Gain]]*Table1[[#This Row],[Ask Qty]]</f>
        <v>64235.383333333324</v>
      </c>
      <c r="AG236" t="str">
        <f ca="1">IF(Table1[[#This Row],[YTM]]&gt;0.12,IF(Table1[[#This Row],[Gross Profit]]&gt;10000,"Invest","Review"),"Low YTM")</f>
        <v>Low YTM</v>
      </c>
    </row>
    <row r="237" spans="1:33" x14ac:dyDescent="0.3">
      <c r="A237" t="str">
        <f>RTD("nest.scriprtd",,"bse_cm|889SCL26","Symbol")</f>
        <v>889SCL26</v>
      </c>
      <c r="B237" t="str">
        <f>RTD("nest.scriprtd",,"bse_cm|889SCL26","Trading Symbol")</f>
        <v>889SCL26</v>
      </c>
      <c r="C237" t="str">
        <f>RTD("nest.scriprtd",,"bse_cm|889SCL26","Exchange")</f>
        <v>BSE</v>
      </c>
      <c r="D237">
        <f>RTD("nest.scriprtd",,"bse_cm|889SCL26","Bid Qty")</f>
        <v>5</v>
      </c>
      <c r="E237">
        <f>RTD("nest.scriprtd",,"bse_cm|889SCL26","Bid Rate")</f>
        <v>905.7</v>
      </c>
      <c r="F237">
        <f>RTD("nest.scriprtd",,"bse_cm|889SCL26","Ask Rate")</f>
        <v>996</v>
      </c>
      <c r="G237">
        <f>RTD("nest.scriprtd",,"bse_cm|889SCL26","Ask Qty")</f>
        <v>14</v>
      </c>
      <c r="H237">
        <f>RTD("nest.scriprtd",,"bse_cm|889SCL26","LTP")</f>
        <v>0</v>
      </c>
      <c r="I237" t="str">
        <f>RTD("nest.scriprtd",,"bse_cm|889SCL26","LTT")</f>
        <v>00:00:00</v>
      </c>
      <c r="J237">
        <f>RTD("nest.scriprtd",,"bse_cm|889SCL26","% Change")</f>
        <v>-100</v>
      </c>
      <c r="K237">
        <f>RTD("nest.scriprtd",,"bse_cm|889SCL26","ATP")</f>
        <v>0</v>
      </c>
      <c r="L237">
        <f>RTD("nest.scriprtd",,"bse_cm|889SCL26","Volume Traded Today")</f>
        <v>0</v>
      </c>
      <c r="M237">
        <f>RTD("nest.scriprtd",,"bse_cm|889SCL26","Open")</f>
        <v>0</v>
      </c>
      <c r="N237">
        <f>RTD("nest.scriprtd",,"bse_cm|889SCL26","High")</f>
        <v>920</v>
      </c>
      <c r="O237">
        <f>RTD("nest.scriprtd",,"bse_cm|889SCL26","Low ")</f>
        <v>920</v>
      </c>
      <c r="P237">
        <f>RTD("nest.scriprtd",,"bse_cm|889SCL26","Prev Close")</f>
        <v>920</v>
      </c>
      <c r="Q237">
        <f>RTD("nest.scriprtd",,"bse_cm|889SCL26","Face Value")</f>
        <v>1000</v>
      </c>
      <c r="R237" t="str">
        <f>RTD("nest.scriprtd",,"bse_cm|889SCL26","Isin code")</f>
        <v>INE148I07KN1</v>
      </c>
      <c r="S237" s="9">
        <f>Table1[[#This Row],[Ask Rate]]*Table1[[#This Row],[Ask Qty]]</f>
        <v>13944</v>
      </c>
      <c r="T237">
        <f>VLOOKUP(Table1[[#This Row],[Isin code]],Table2[#All],7,FALSE)</f>
        <v>9.25</v>
      </c>
      <c r="U237" s="17" t="str">
        <f>VLOOKUP(Table1[[#This Row],[Isin code]],Table2[#All],8,FALSE)</f>
        <v>24-Sep-2026</v>
      </c>
      <c r="V237" s="10">
        <f ca="1">Table1[[#This Row],[Maturity]]-TODAY()</f>
        <v>708</v>
      </c>
      <c r="W237" t="str">
        <f>VLOOKUP(Table1[[#This Row],[Isin code]],Table2[#All],10,FALSE)</f>
        <v>Yearly</v>
      </c>
      <c r="X237">
        <f ca="1">_xlfn.DAYS(Table1[[#This Row],[Maturity]],TODAY())-15</f>
        <v>693</v>
      </c>
      <c r="Y2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37">
        <f>IF(Table1[[#This Row],[Ask Rate]]=0,0,Table1[[#This Row],[Face Value]]-Table1[[#This Row],[Ask Rate]])</f>
        <v>4</v>
      </c>
      <c r="AA237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237">
        <f ca="1">Table1[[#This Row],[Face Value]]*Table1[[#This Row],[Rate]]*Table1[[#This Row],[Time]]</f>
        <v>185</v>
      </c>
      <c r="AC237">
        <f ca="1">Table1[[#This Row],[SI]]+Table1[[#This Row],[Disc/Prem]]</f>
        <v>189</v>
      </c>
      <c r="AD237" s="3">
        <f ca="1">Table1[[#This Row],[Net Gain]]/Table1[[#This Row],[Ask Rate]]</f>
        <v>0.18975903614457831</v>
      </c>
      <c r="AE237" s="3">
        <f ca="1">IF(Table1[[#This Row],[Ask Qty]]=0,0,Table1[[#This Row],[Gross Yield]]*365/Table1[[#This Row],[Days Left]])</f>
        <v>9.7827751684704922E-2</v>
      </c>
      <c r="AF237" s="9">
        <f ca="1">+Table1[[#This Row],[Net Gain]]*Table1[[#This Row],[Ask Qty]]</f>
        <v>2646</v>
      </c>
      <c r="AG237" t="str">
        <f ca="1">IF(Table1[[#This Row],[YTM]]&gt;0.12,IF(Table1[[#This Row],[Gross Profit]]&gt;10000,"Invest","Review"),"Low YTM")</f>
        <v>Low YTM</v>
      </c>
    </row>
    <row r="238" spans="1:33" x14ac:dyDescent="0.3">
      <c r="A238" t="str">
        <f>RTD("nest.scriprtd",,"bse_cm|935MFL29","Symbol")</f>
        <v>935MFL29</v>
      </c>
      <c r="B238" t="str">
        <f>RTD("nest.scriprtd",,"bse_cm|935MFL29","Trading Symbol")</f>
        <v>935MFL29</v>
      </c>
      <c r="C238" t="str">
        <f>RTD("nest.scriprtd",,"bse_cm|935MFL29","Exchange")</f>
        <v>BSE</v>
      </c>
      <c r="D238">
        <f>RTD("nest.scriprtd",,"bse_cm|935MFL29","Bid Qty")</f>
        <v>2</v>
      </c>
      <c r="E238">
        <f>RTD("nest.scriprtd",,"bse_cm|935MFL29","Bid Rate")</f>
        <v>950.1</v>
      </c>
      <c r="F238">
        <f>RTD("nest.scriprtd",,"bse_cm|935MFL29","Ask Rate")</f>
        <v>990</v>
      </c>
      <c r="G238">
        <f>RTD("nest.scriprtd",,"bse_cm|935MFL29","Ask Qty")</f>
        <v>175</v>
      </c>
      <c r="H238">
        <f>RTD("nest.scriprtd",,"bse_cm|935MFL29","LTP")</f>
        <v>0</v>
      </c>
      <c r="I238" t="str">
        <f>RTD("nest.scriprtd",,"bse_cm|935MFL29","LTT")</f>
        <v>00:00:00</v>
      </c>
      <c r="J238">
        <f>RTD("nest.scriprtd",,"bse_cm|935MFL29","% Change")</f>
        <v>-100</v>
      </c>
      <c r="K238">
        <f>RTD("nest.scriprtd",,"bse_cm|935MFL29","ATP")</f>
        <v>0</v>
      </c>
      <c r="L238">
        <f>RTD("nest.scriprtd",,"bse_cm|935MFL29","Volume Traded Today")</f>
        <v>0</v>
      </c>
      <c r="M238">
        <f>RTD("nest.scriprtd",,"bse_cm|935MFL29","Open")</f>
        <v>0</v>
      </c>
      <c r="N238">
        <f>RTD("nest.scriprtd",,"bse_cm|935MFL29","High")</f>
        <v>955</v>
      </c>
      <c r="O238">
        <f>RTD("nest.scriprtd",,"bse_cm|935MFL29","Low ")</f>
        <v>955</v>
      </c>
      <c r="P238">
        <f>RTD("nest.scriprtd",,"bse_cm|935MFL29","Prev Close")</f>
        <v>955</v>
      </c>
      <c r="Q238">
        <f>RTD("nest.scriprtd",,"bse_cm|935MFL29","Face Value")</f>
        <v>1000</v>
      </c>
      <c r="R238" t="str">
        <f>RTD("nest.scriprtd",,"bse_cm|935MFL29","Isin code")</f>
        <v>INE549K07DG5</v>
      </c>
      <c r="S238" s="9">
        <f>Table1[[#This Row],[Ask Rate]]*Table1[[#This Row],[Ask Qty]]</f>
        <v>173250</v>
      </c>
      <c r="T238">
        <f>VLOOKUP(Table1[[#This Row],[Isin code]],Table2[#All],7,FALSE)</f>
        <v>9.35</v>
      </c>
      <c r="U238" s="17" t="str">
        <f>VLOOKUP(Table1[[#This Row],[Isin code]],Table2[#All],8,FALSE)</f>
        <v>31-Jan-2029</v>
      </c>
      <c r="V238" s="10">
        <f ca="1">Table1[[#This Row],[Maturity]]-TODAY()</f>
        <v>1568</v>
      </c>
      <c r="W238" t="str">
        <f>VLOOKUP(Table1[[#This Row],[Isin code]],Table2[#All],10,FALSE)</f>
        <v>Monthly</v>
      </c>
      <c r="X238">
        <f ca="1">_xlfn.DAYS(Table1[[#This Row],[Maturity]],TODAY())-15</f>
        <v>1553</v>
      </c>
      <c r="Y2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52</v>
      </c>
      <c r="Z238">
        <f>IF(Table1[[#This Row],[Ask Rate]]=0,0,Table1[[#This Row],[Face Value]]-Table1[[#This Row],[Ask Rate]])</f>
        <v>10</v>
      </c>
      <c r="AA238">
        <f>IF(Table1[[#This Row],[Freq]]="Yearly",Table1[[#This Row],[Coupon_Rate]]/100,IF(Table1[[#This Row],[Freq]]="Monthly",Table1[[#This Row],[Coupon_Rate]]/1200,IF(Table1[[#This Row],[Freq]]="Quarterly",Table1[[#This Row],[Coupon_Rate]]/400,0)))</f>
        <v>7.7916666666666664E-3</v>
      </c>
      <c r="AB238">
        <f ca="1">Table1[[#This Row],[Face Value]]*Table1[[#This Row],[Rate]]*Table1[[#This Row],[Time]]</f>
        <v>405.16666666666663</v>
      </c>
      <c r="AC238">
        <f ca="1">Table1[[#This Row],[SI]]+Table1[[#This Row],[Disc/Prem]]</f>
        <v>415.16666666666663</v>
      </c>
      <c r="AD238" s="3">
        <f ca="1">Table1[[#This Row],[Net Gain]]/Table1[[#This Row],[Ask Rate]]</f>
        <v>0.41936026936026932</v>
      </c>
      <c r="AE238" s="3">
        <f ca="1">IF(Table1[[#This Row],[Ask Qty]]=0,0,Table1[[#This Row],[Gross Yield]]*365/Table1[[#This Row],[Days Left]])</f>
        <v>9.761894025286881E-2</v>
      </c>
      <c r="AF238" s="9">
        <f ca="1">+Table1[[#This Row],[Net Gain]]*Table1[[#This Row],[Ask Qty]]</f>
        <v>72654.166666666657</v>
      </c>
      <c r="AG238" t="str">
        <f ca="1">IF(Table1[[#This Row],[YTM]]&gt;0.12,IF(Table1[[#This Row],[Gross Profit]]&gt;10000,"Invest","Review"),"Low YTM")</f>
        <v>Low YTM</v>
      </c>
    </row>
    <row r="239" spans="1:33" x14ac:dyDescent="0.3">
      <c r="A239" t="str">
        <f>RTD("nest.scriprtd",,"bse_cm|935MFCL29","Symbol")</f>
        <v>935MFCL29</v>
      </c>
      <c r="B239" t="str">
        <f>RTD("nest.scriprtd",,"bse_cm|935MFCL29","Trading Symbol")</f>
        <v>935MFCL29</v>
      </c>
      <c r="C239" t="str">
        <f>RTD("nest.scriprtd",,"bse_cm|935MFCL29","Exchange")</f>
        <v>BSE</v>
      </c>
      <c r="D239">
        <f>RTD("nest.scriprtd",,"bse_cm|935MFCL29","Bid Qty")</f>
        <v>12</v>
      </c>
      <c r="E239">
        <f>RTD("nest.scriprtd",,"bse_cm|935MFCL29","Bid Rate")</f>
        <v>820.2</v>
      </c>
      <c r="F239">
        <f>RTD("nest.scriprtd",,"bse_cm|935MFCL29","Ask Rate")</f>
        <v>990</v>
      </c>
      <c r="G239">
        <f>RTD("nest.scriprtd",,"bse_cm|935MFCL29","Ask Qty")</f>
        <v>300</v>
      </c>
      <c r="H239">
        <f>RTD("nest.scriprtd",,"bse_cm|935MFCL29","LTP")</f>
        <v>0</v>
      </c>
      <c r="I239" t="str">
        <f>RTD("nest.scriprtd",,"bse_cm|935MFCL29","LTT")</f>
        <v>00:00:00</v>
      </c>
      <c r="J239">
        <f>RTD("nest.scriprtd",,"bse_cm|935MFCL29","% Change")</f>
        <v>-100</v>
      </c>
      <c r="K239">
        <f>RTD("nest.scriprtd",,"bse_cm|935MFCL29","ATP")</f>
        <v>0</v>
      </c>
      <c r="L239">
        <f>RTD("nest.scriprtd",,"bse_cm|935MFCL29","Volume Traded Today")</f>
        <v>0</v>
      </c>
      <c r="M239">
        <f>RTD("nest.scriprtd",,"bse_cm|935MFCL29","Open")</f>
        <v>0</v>
      </c>
      <c r="N239">
        <f>RTD("nest.scriprtd",,"bse_cm|935MFCL29","High")</f>
        <v>995</v>
      </c>
      <c r="O239">
        <f>RTD("nest.scriprtd",,"bse_cm|935MFCL29","Low ")</f>
        <v>995</v>
      </c>
      <c r="P239">
        <f>RTD("nest.scriprtd",,"bse_cm|935MFCL29","Prev Close")</f>
        <v>995</v>
      </c>
      <c r="Q239">
        <f>RTD("nest.scriprtd",,"bse_cm|935MFCL29","Face Value")</f>
        <v>1000</v>
      </c>
      <c r="R239" t="str">
        <f>RTD("nest.scriprtd",,"bse_cm|935MFCL29","Isin code")</f>
        <v>INE549K07DV4</v>
      </c>
      <c r="S239" s="9">
        <f>Table1[[#This Row],[Ask Rate]]*Table1[[#This Row],[Ask Qty]]</f>
        <v>297000</v>
      </c>
      <c r="T239">
        <f>VLOOKUP(Table1[[#This Row],[Isin code]],Table2[#All],7,FALSE)</f>
        <v>9.35</v>
      </c>
      <c r="U239" s="17" t="str">
        <f>VLOOKUP(Table1[[#This Row],[Isin code]],Table2[#All],8,FALSE)</f>
        <v>30-Apr-2029</v>
      </c>
      <c r="V239" s="10">
        <f ca="1">Table1[[#This Row],[Maturity]]-TODAY()</f>
        <v>1657</v>
      </c>
      <c r="W239" t="str">
        <f>VLOOKUP(Table1[[#This Row],[Isin code]],Table2[#All],10,FALSE)</f>
        <v>Monthly</v>
      </c>
      <c r="X239">
        <f ca="1">_xlfn.DAYS(Table1[[#This Row],[Maturity]],TODAY())-15</f>
        <v>1642</v>
      </c>
      <c r="Y2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55</v>
      </c>
      <c r="Z239">
        <f>IF(Table1[[#This Row],[Ask Rate]]=0,0,Table1[[#This Row],[Face Value]]-Table1[[#This Row],[Ask Rate]])</f>
        <v>10</v>
      </c>
      <c r="AA239">
        <f>IF(Table1[[#This Row],[Freq]]="Yearly",Table1[[#This Row],[Coupon_Rate]]/100,IF(Table1[[#This Row],[Freq]]="Monthly",Table1[[#This Row],[Coupon_Rate]]/1200,IF(Table1[[#This Row],[Freq]]="Quarterly",Table1[[#This Row],[Coupon_Rate]]/400,0)))</f>
        <v>7.7916666666666664E-3</v>
      </c>
      <c r="AB239">
        <f ca="1">Table1[[#This Row],[Face Value]]*Table1[[#This Row],[Rate]]*Table1[[#This Row],[Time]]</f>
        <v>428.54166666666663</v>
      </c>
      <c r="AC239">
        <f ca="1">Table1[[#This Row],[SI]]+Table1[[#This Row],[Disc/Prem]]</f>
        <v>438.54166666666663</v>
      </c>
      <c r="AD239" s="3">
        <f ca="1">Table1[[#This Row],[Net Gain]]/Table1[[#This Row],[Ask Rate]]</f>
        <v>0.44297138047138046</v>
      </c>
      <c r="AE239" s="3">
        <f ca="1">IF(Table1[[#This Row],[Ask Qty]]=0,0,Table1[[#This Row],[Gross Yield]]*365/Table1[[#This Row],[Days Left]])</f>
        <v>9.7576677050123031E-2</v>
      </c>
      <c r="AF239" s="9">
        <f ca="1">+Table1[[#This Row],[Net Gain]]*Table1[[#This Row],[Ask Qty]]</f>
        <v>131562.5</v>
      </c>
      <c r="AG239" t="str">
        <f ca="1">IF(Table1[[#This Row],[YTM]]&gt;0.12,IF(Table1[[#This Row],[Gross Profit]]&gt;10000,"Invest","Review"),"Low YTM")</f>
        <v>Low YTM</v>
      </c>
    </row>
    <row r="240" spans="1:33" x14ac:dyDescent="0.3">
      <c r="A240" t="str">
        <f>RTD("nest.scriprtd",,"bse_cm|775MFL2026","Symbol")</f>
        <v>775MFL2026</v>
      </c>
      <c r="B240" t="str">
        <f>RTD("nest.scriprtd",,"bse_cm|775MFL2026","Trading Symbol")</f>
        <v>775MFL2026</v>
      </c>
      <c r="C240" t="str">
        <f>RTD("nest.scriprtd",,"bse_cm|775MFL2026","Exchange")</f>
        <v>BSE</v>
      </c>
      <c r="D240">
        <f>RTD("nest.scriprtd",,"bse_cm|775MFL2026","Bid Qty")</f>
        <v>170</v>
      </c>
      <c r="E240">
        <f>RTD("nest.scriprtd",,"bse_cm|775MFL2026","Bid Rate")</f>
        <v>964.8</v>
      </c>
      <c r="F240">
        <f>RTD("nest.scriprtd",,"bse_cm|775MFL2026","Ask Rate")</f>
        <v>975</v>
      </c>
      <c r="G240">
        <f>RTD("nest.scriprtd",,"bse_cm|775MFL2026","Ask Qty")</f>
        <v>46</v>
      </c>
      <c r="H240">
        <f>RTD("nest.scriprtd",,"bse_cm|775MFL2026","LTP")</f>
        <v>975</v>
      </c>
      <c r="I240" t="str">
        <f>RTD("nest.scriprtd",,"bse_cm|775MFL2026","LTT")</f>
        <v>11:27:00</v>
      </c>
      <c r="J240">
        <f>RTD("nest.scriprtd",,"bse_cm|775MFL2026","% Change")</f>
        <v>0</v>
      </c>
      <c r="K240">
        <f>RTD("nest.scriprtd",,"bse_cm|775MFL2026","ATP")</f>
        <v>975</v>
      </c>
      <c r="L240">
        <f>RTD("nest.scriprtd",,"bse_cm|775MFL2026","Volume Traded Today")</f>
        <v>1</v>
      </c>
      <c r="M240">
        <f>RTD("nest.scriprtd",,"bse_cm|775MFL2026","Open")</f>
        <v>975</v>
      </c>
      <c r="N240">
        <f>RTD("nest.scriprtd",,"bse_cm|775MFL2026","High")</f>
        <v>975</v>
      </c>
      <c r="O240">
        <f>RTD("nest.scriprtd",,"bse_cm|775MFL2026","Low ")</f>
        <v>975</v>
      </c>
      <c r="P240">
        <f>RTD("nest.scriprtd",,"bse_cm|775MFL2026","Prev Close")</f>
        <v>975</v>
      </c>
      <c r="Q240">
        <f>RTD("nest.scriprtd",,"bse_cm|775MFL2026","Face Value")</f>
        <v>1000</v>
      </c>
      <c r="R240" t="str">
        <f>RTD("nest.scriprtd",,"bse_cm|775MFL2026","Isin code")</f>
        <v>INE414G07HY4</v>
      </c>
      <c r="S240" s="9">
        <f>Table1[[#This Row],[Ask Rate]]*Table1[[#This Row],[Ask Qty]]</f>
        <v>44850</v>
      </c>
      <c r="T240">
        <f>VLOOKUP(Table1[[#This Row],[Isin code]],Table2[#All],7,FALSE)</f>
        <v>7.75</v>
      </c>
      <c r="U240" s="17" t="str">
        <f>VLOOKUP(Table1[[#This Row],[Isin code]],Table2[#All],8,FALSE)</f>
        <v>03-Jun-2026</v>
      </c>
      <c r="V240" s="10">
        <f ca="1">Table1[[#This Row],[Maturity]]-TODAY()</f>
        <v>595</v>
      </c>
      <c r="W240" t="str">
        <f>VLOOKUP(Table1[[#This Row],[Isin code]],Table2[#All],10,FALSE)</f>
        <v>Monthly</v>
      </c>
      <c r="X240">
        <f ca="1">_xlfn.DAYS(Table1[[#This Row],[Maturity]],TODAY())-15</f>
        <v>580</v>
      </c>
      <c r="Y2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240">
        <f>IF(Table1[[#This Row],[Ask Rate]]=0,0,Table1[[#This Row],[Face Value]]-Table1[[#This Row],[Ask Rate]])</f>
        <v>25</v>
      </c>
      <c r="AA240">
        <f>IF(Table1[[#This Row],[Freq]]="Yearly",Table1[[#This Row],[Coupon_Rate]]/100,IF(Table1[[#This Row],[Freq]]="Monthly",Table1[[#This Row],[Coupon_Rate]]/1200,IF(Table1[[#This Row],[Freq]]="Quarterly",Table1[[#This Row],[Coupon_Rate]]/400,0)))</f>
        <v>6.4583333333333333E-3</v>
      </c>
      <c r="AB240">
        <f ca="1">Table1[[#This Row],[Face Value]]*Table1[[#This Row],[Rate]]*Table1[[#This Row],[Time]]</f>
        <v>129.16666666666666</v>
      </c>
      <c r="AC240">
        <f ca="1">Table1[[#This Row],[SI]]+Table1[[#This Row],[Disc/Prem]]</f>
        <v>154.16666666666666</v>
      </c>
      <c r="AD240" s="3">
        <f ca="1">Table1[[#This Row],[Net Gain]]/Table1[[#This Row],[Ask Rate]]</f>
        <v>0.15811965811965811</v>
      </c>
      <c r="AE240" s="3">
        <f ca="1">IF(Table1[[#This Row],[Ask Qty]]=0,0,Table1[[#This Row],[Gross Yield]]*365/Table1[[#This Row],[Days Left]])</f>
        <v>9.6997773468361692E-2</v>
      </c>
      <c r="AF240" s="9">
        <f ca="1">+Table1[[#This Row],[Net Gain]]*Table1[[#This Row],[Ask Qty]]</f>
        <v>7091.6666666666661</v>
      </c>
      <c r="AG240" t="str">
        <f ca="1">IF(Table1[[#This Row],[YTM]]&gt;0.12,IF(Table1[[#This Row],[Gross Profit]]&gt;10000,"Invest","Review"),"Low YTM")</f>
        <v>Low YTM</v>
      </c>
    </row>
    <row r="241" spans="1:33" x14ac:dyDescent="0.3">
      <c r="A241" t="str">
        <f>RTD("nest.scriprtd",,"bse_cm|950MFL27A","Symbol")</f>
        <v>950MFL27A</v>
      </c>
      <c r="B241" t="str">
        <f>RTD("nest.scriprtd",,"bse_cm|950MFL27A","Trading Symbol")</f>
        <v>950MFL27A</v>
      </c>
      <c r="C241" t="str">
        <f>RTD("nest.scriprtd",,"bse_cm|950MFL27A","Exchange")</f>
        <v>BSE</v>
      </c>
      <c r="D241">
        <f>RTD("nest.scriprtd",,"bse_cm|950MFL27A","Bid Qty")</f>
        <v>16</v>
      </c>
      <c r="E241">
        <f>RTD("nest.scriprtd",,"bse_cm|950MFL27A","Bid Rate")</f>
        <v>834.15</v>
      </c>
      <c r="F241">
        <f>RTD("nest.scriprtd",,"bse_cm|950MFL27A","Ask Rate")</f>
        <v>1051.5</v>
      </c>
      <c r="G241">
        <f>RTD("nest.scriprtd",,"bse_cm|950MFL27A","Ask Qty")</f>
        <v>45</v>
      </c>
      <c r="H241">
        <f>RTD("nest.scriprtd",,"bse_cm|950MFL27A","LTP")</f>
        <v>0</v>
      </c>
      <c r="I241" t="str">
        <f>RTD("nest.scriprtd",,"bse_cm|950MFL27A","LTT")</f>
        <v>00:00:00</v>
      </c>
      <c r="J241">
        <f>RTD("nest.scriprtd",,"bse_cm|950MFL27A","% Change")</f>
        <v>-100</v>
      </c>
      <c r="K241">
        <f>RTD("nest.scriprtd",,"bse_cm|950MFL27A","ATP")</f>
        <v>0</v>
      </c>
      <c r="L241">
        <f>RTD("nest.scriprtd",,"bse_cm|950MFL27A","Volume Traded Today")</f>
        <v>0</v>
      </c>
      <c r="M241">
        <f>RTD("nest.scriprtd",,"bse_cm|950MFL27A","Open")</f>
        <v>0</v>
      </c>
      <c r="N241">
        <f>RTD("nest.scriprtd",,"bse_cm|950MFL27A","High")</f>
        <v>1029.8</v>
      </c>
      <c r="O241">
        <f>RTD("nest.scriprtd",,"bse_cm|950MFL27A","Low ")</f>
        <v>1029.8</v>
      </c>
      <c r="P241">
        <f>RTD("nest.scriprtd",,"bse_cm|950MFL27A","Prev Close")</f>
        <v>1029.8</v>
      </c>
      <c r="Q241">
        <f>RTD("nest.scriprtd",,"bse_cm|950MFL27A","Face Value")</f>
        <v>1000</v>
      </c>
      <c r="R241" t="str">
        <f>RTD("nest.scriprtd",,"bse_cm|950MFL27A","Isin code")</f>
        <v>INE549K07DE0</v>
      </c>
      <c r="S241" s="9">
        <f>Table1[[#This Row],[Ask Rate]]*Table1[[#This Row],[Ask Qty]]</f>
        <v>47317.5</v>
      </c>
      <c r="T241">
        <f>VLOOKUP(Table1[[#This Row],[Isin code]],Table2[#All],7,FALSE)</f>
        <v>9.5</v>
      </c>
      <c r="U241" s="17" t="str">
        <f>VLOOKUP(Table1[[#This Row],[Isin code]],Table2[#All],8,FALSE)</f>
        <v>31-Jan-2027</v>
      </c>
      <c r="V241" s="10">
        <f ca="1">Table1[[#This Row],[Maturity]]-TODAY()</f>
        <v>837</v>
      </c>
      <c r="W241" t="str">
        <f>VLOOKUP(Table1[[#This Row],[Isin code]],Table2[#All],10,FALSE)</f>
        <v>Yearly</v>
      </c>
      <c r="X241">
        <f ca="1">_xlfn.DAYS(Table1[[#This Row],[Maturity]],TODAY())-15</f>
        <v>822</v>
      </c>
      <c r="Y2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241">
        <f>IF(Table1[[#This Row],[Ask Rate]]=0,0,Table1[[#This Row],[Face Value]]-Table1[[#This Row],[Ask Rate]])</f>
        <v>-51.5</v>
      </c>
      <c r="AA241">
        <f>IF(Table1[[#This Row],[Freq]]="Yearly",Table1[[#This Row],[Coupon_Rate]]/100,IF(Table1[[#This Row],[Freq]]="Monthly",Table1[[#This Row],[Coupon_Rate]]/1200,IF(Table1[[#This Row],[Freq]]="Quarterly",Table1[[#This Row],[Coupon_Rate]]/400,0)))</f>
        <v>9.5000000000000001E-2</v>
      </c>
      <c r="AB241">
        <f ca="1">Table1[[#This Row],[Face Value]]*Table1[[#This Row],[Rate]]*Table1[[#This Row],[Time]]</f>
        <v>285</v>
      </c>
      <c r="AC241">
        <f ca="1">Table1[[#This Row],[SI]]+Table1[[#This Row],[Disc/Prem]]</f>
        <v>233.5</v>
      </c>
      <c r="AD241" s="3">
        <f ca="1">Table1[[#This Row],[Net Gain]]/Table1[[#This Row],[Ask Rate]]</f>
        <v>0.22206371849738468</v>
      </c>
      <c r="AE241" s="3">
        <f ca="1">IF(Table1[[#This Row],[Ask Qty]]=0,0,Table1[[#This Row],[Gross Yield]]*365/Table1[[#This Row],[Days Left]])</f>
        <v>9.6837822283805733E-2</v>
      </c>
      <c r="AF241" s="9">
        <f ca="1">+Table1[[#This Row],[Net Gain]]*Table1[[#This Row],[Ask Qty]]</f>
        <v>10507.5</v>
      </c>
      <c r="AG241" t="str">
        <f ca="1">IF(Table1[[#This Row],[YTM]]&gt;0.12,IF(Table1[[#This Row],[Gross Profit]]&gt;10000,"Invest","Review"),"Low YTM")</f>
        <v>Low YTM</v>
      </c>
    </row>
    <row r="242" spans="1:33" x14ac:dyDescent="0.3">
      <c r="A242" t="str">
        <f>RTD("nest.scriprtd",,"bse_cm|865MFL26A","Symbol")</f>
        <v>865MFL26A</v>
      </c>
      <c r="B242" t="str">
        <f>RTD("nest.scriprtd",,"bse_cm|865MFL26A","Trading Symbol")</f>
        <v>865MFL26A</v>
      </c>
      <c r="C242" t="str">
        <f>RTD("nest.scriprtd",,"bse_cm|865MFL26A","Exchange")</f>
        <v>BSE</v>
      </c>
      <c r="D242">
        <f>RTD("nest.scriprtd",,"bse_cm|865MFL26A","Bid Qty")</f>
        <v>10</v>
      </c>
      <c r="E242">
        <f>RTD("nest.scriprtd",,"bse_cm|865MFL26A","Bid Rate")</f>
        <v>835</v>
      </c>
      <c r="F242">
        <f>RTD("nest.scriprtd",,"bse_cm|865MFL26A","Ask Rate")</f>
        <v>985</v>
      </c>
      <c r="G242">
        <f>RTD("nest.scriprtd",,"bse_cm|865MFL26A","Ask Qty")</f>
        <v>50</v>
      </c>
      <c r="H242">
        <f>RTD("nest.scriprtd",,"bse_cm|865MFL26A","LTP")</f>
        <v>0</v>
      </c>
      <c r="I242" t="str">
        <f>RTD("nest.scriprtd",,"bse_cm|865MFL26A","LTT")</f>
        <v>00:00:00</v>
      </c>
      <c r="J242">
        <f>RTD("nest.scriprtd",,"bse_cm|865MFL26A","% Change")</f>
        <v>-100</v>
      </c>
      <c r="K242">
        <f>RTD("nest.scriprtd",,"bse_cm|865MFL26A","ATP")</f>
        <v>0</v>
      </c>
      <c r="L242">
        <f>RTD("nest.scriprtd",,"bse_cm|865MFL26A","Volume Traded Today")</f>
        <v>0</v>
      </c>
      <c r="M242">
        <f>RTD("nest.scriprtd",,"bse_cm|865MFL26A","Open")</f>
        <v>0</v>
      </c>
      <c r="N242">
        <f>RTD("nest.scriprtd",,"bse_cm|865MFL26A","High")</f>
        <v>965</v>
      </c>
      <c r="O242">
        <f>RTD("nest.scriprtd",,"bse_cm|865MFL26A","Low ")</f>
        <v>965</v>
      </c>
      <c r="P242">
        <f>RTD("nest.scriprtd",,"bse_cm|865MFL26A","Prev Close")</f>
        <v>965</v>
      </c>
      <c r="Q242">
        <f>RTD("nest.scriprtd",,"bse_cm|865MFL26A","Face Value")</f>
        <v>1000</v>
      </c>
      <c r="R242" t="str">
        <f>RTD("nest.scriprtd",,"bse_cm|865MFL26A","Isin code")</f>
        <v>INE549K07CE2</v>
      </c>
      <c r="S242" s="9">
        <f>Table1[[#This Row],[Ask Rate]]*Table1[[#This Row],[Ask Qty]]</f>
        <v>49250</v>
      </c>
      <c r="T242">
        <f>VLOOKUP(Table1[[#This Row],[Isin code]],Table2[#All],7,FALSE)</f>
        <v>8.6499999999999986</v>
      </c>
      <c r="U242" s="17" t="str">
        <f>VLOOKUP(Table1[[#This Row],[Isin code]],Table2[#All],8,FALSE)</f>
        <v>02-Nov-2026</v>
      </c>
      <c r="V242" s="10">
        <f ca="1">Table1[[#This Row],[Maturity]]-TODAY()</f>
        <v>747</v>
      </c>
      <c r="W242" t="str">
        <f>VLOOKUP(Table1[[#This Row],[Isin code]],Table2[#All],10,FALSE)</f>
        <v>Monthly</v>
      </c>
      <c r="X242">
        <f ca="1">_xlfn.DAYS(Table1[[#This Row],[Maturity]],TODAY())-15</f>
        <v>732</v>
      </c>
      <c r="Y2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242">
        <f>IF(Table1[[#This Row],[Ask Rate]]=0,0,Table1[[#This Row],[Face Value]]-Table1[[#This Row],[Ask Rate]])</f>
        <v>15</v>
      </c>
      <c r="AA242">
        <f>IF(Table1[[#This Row],[Freq]]="Yearly",Table1[[#This Row],[Coupon_Rate]]/100,IF(Table1[[#This Row],[Freq]]="Monthly",Table1[[#This Row],[Coupon_Rate]]/1200,IF(Table1[[#This Row],[Freq]]="Quarterly",Table1[[#This Row],[Coupon_Rate]]/400,0)))</f>
        <v>7.2083333333333322E-3</v>
      </c>
      <c r="AB242">
        <f ca="1">Table1[[#This Row],[Face Value]]*Table1[[#This Row],[Rate]]*Table1[[#This Row],[Time]]</f>
        <v>180.20833333333331</v>
      </c>
      <c r="AC242">
        <f ca="1">Table1[[#This Row],[SI]]+Table1[[#This Row],[Disc/Prem]]</f>
        <v>195.20833333333331</v>
      </c>
      <c r="AD242" s="3">
        <f ca="1">Table1[[#This Row],[Net Gain]]/Table1[[#This Row],[Ask Rate]]</f>
        <v>0.19818104906937392</v>
      </c>
      <c r="AE242" s="3">
        <f ca="1">IF(Table1[[#This Row],[Ask Qty]]=0,0,Table1[[#This Row],[Gross Yield]]*365/Table1[[#This Row],[Days Left]])</f>
        <v>9.6835452356521398E-2</v>
      </c>
      <c r="AF242" s="9">
        <f ca="1">+Table1[[#This Row],[Net Gain]]*Table1[[#This Row],[Ask Qty]]</f>
        <v>9760.4166666666661</v>
      </c>
      <c r="AG242" t="str">
        <f ca="1">IF(Table1[[#This Row],[YTM]]&gt;0.12,IF(Table1[[#This Row],[Gross Profit]]&gt;10000,"Invest","Review"),"Low YTM")</f>
        <v>Low YTM</v>
      </c>
    </row>
    <row r="243" spans="1:33" x14ac:dyDescent="0.3">
      <c r="A243" t="str">
        <f>RTD("nest.scriprtd",,"bse_cm|99AEL29","Symbol")</f>
        <v>99AEL29</v>
      </c>
      <c r="B243" t="str">
        <f>RTD("nest.scriprtd",,"bse_cm|99AEL29","Trading Symbol")</f>
        <v>99AEL29</v>
      </c>
      <c r="C243" t="str">
        <f>RTD("nest.scriprtd",,"bse_cm|99AEL29","Exchange")</f>
        <v>BSE</v>
      </c>
      <c r="D243">
        <f>RTD("nest.scriprtd",,"bse_cm|99AEL29","Bid Qty")</f>
        <v>100</v>
      </c>
      <c r="E243">
        <f>RTD("nest.scriprtd",,"bse_cm|99AEL29","Bid Rate")</f>
        <v>1011</v>
      </c>
      <c r="F243">
        <f>RTD("nest.scriprtd",,"bse_cm|99AEL29","Ask Rate")</f>
        <v>1014.29</v>
      </c>
      <c r="G243">
        <f>RTD("nest.scriprtd",,"bse_cm|99AEL29","Ask Qty")</f>
        <v>44</v>
      </c>
      <c r="H243">
        <f>RTD("nest.scriprtd",,"bse_cm|99AEL29","LTP")</f>
        <v>1014.25</v>
      </c>
      <c r="I243" t="str">
        <f>RTD("nest.scriprtd",,"bse_cm|99AEL29","LTT")</f>
        <v>09:40:45</v>
      </c>
      <c r="J243">
        <f>RTD("nest.scriprtd",,"bse_cm|99AEL29","% Change")</f>
        <v>0.05</v>
      </c>
      <c r="K243">
        <f>RTD("nest.scriprtd",,"bse_cm|99AEL29","ATP")</f>
        <v>1014.12</v>
      </c>
      <c r="L243">
        <f>RTD("nest.scriprtd",,"bse_cm|99AEL29","Volume Traded Today")</f>
        <v>200</v>
      </c>
      <c r="M243">
        <f>RTD("nest.scriprtd",,"bse_cm|99AEL29","Open")</f>
        <v>1014</v>
      </c>
      <c r="N243">
        <f>RTD("nest.scriprtd",,"bse_cm|99AEL29","High")</f>
        <v>1014.25</v>
      </c>
      <c r="O243">
        <f>RTD("nest.scriprtd",,"bse_cm|99AEL29","Low ")</f>
        <v>1014</v>
      </c>
      <c r="P243">
        <f>RTD("nest.scriprtd",,"bse_cm|99AEL29","Prev Close")</f>
        <v>1013.75</v>
      </c>
      <c r="Q243">
        <f>RTD("nest.scriprtd",,"bse_cm|99AEL29","Face Value")</f>
        <v>1000</v>
      </c>
      <c r="R243" t="str">
        <f>RTD("nest.scriprtd",,"bse_cm|99AEL29","Isin code")</f>
        <v>INE423A07344</v>
      </c>
      <c r="S243" s="9">
        <f>Table1[[#This Row],[Ask Rate]]*Table1[[#This Row],[Ask Qty]]</f>
        <v>44628.759999999995</v>
      </c>
      <c r="T243">
        <f>VLOOKUP(Table1[[#This Row],[Isin code]],Table2[#All],7,FALSE)</f>
        <v>9.9</v>
      </c>
      <c r="U243" s="17" t="str">
        <f>VLOOKUP(Table1[[#This Row],[Isin code]],Table2[#All],8,FALSE)</f>
        <v>12-Sep-2029</v>
      </c>
      <c r="V243" s="10">
        <f ca="1">Table1[[#This Row],[Maturity]]-TODAY()</f>
        <v>1792</v>
      </c>
      <c r="W243" t="str">
        <f>VLOOKUP(Table1[[#This Row],[Isin code]],Table2[#All],10,FALSE)</f>
        <v>Yearly</v>
      </c>
      <c r="X243">
        <f ca="1">_xlfn.DAYS(Table1[[#This Row],[Maturity]],TODAY())-15</f>
        <v>1777</v>
      </c>
      <c r="Y2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243">
        <f>IF(Table1[[#This Row],[Ask Rate]]=0,0,Table1[[#This Row],[Face Value]]-Table1[[#This Row],[Ask Rate]])</f>
        <v>-14.289999999999964</v>
      </c>
      <c r="AA243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243">
        <f ca="1">Table1[[#This Row],[Face Value]]*Table1[[#This Row],[Rate]]*Table1[[#This Row],[Time]]</f>
        <v>495</v>
      </c>
      <c r="AC243">
        <f ca="1">Table1[[#This Row],[SI]]+Table1[[#This Row],[Disc/Prem]]</f>
        <v>480.71000000000004</v>
      </c>
      <c r="AD243" s="3">
        <f ca="1">Table1[[#This Row],[Net Gain]]/Table1[[#This Row],[Ask Rate]]</f>
        <v>0.47393743406718003</v>
      </c>
      <c r="AE243" s="3">
        <f ca="1">IF(Table1[[#This Row],[Ask Qty]]=0,0,Table1[[#This Row],[Gross Yield]]*365/Table1[[#This Row],[Days Left]])</f>
        <v>9.653301530944236E-2</v>
      </c>
      <c r="AF243" s="9">
        <f ca="1">+Table1[[#This Row],[Net Gain]]*Table1[[#This Row],[Ask Qty]]</f>
        <v>21151.24</v>
      </c>
      <c r="AG243" t="str">
        <f ca="1">IF(Table1[[#This Row],[YTM]]&gt;0.12,IF(Table1[[#This Row],[Gross Profit]]&gt;10000,"Invest","Review"),"Low YTM")</f>
        <v>Low YTM</v>
      </c>
    </row>
    <row r="244" spans="1:33" x14ac:dyDescent="0.3">
      <c r="A244" t="str">
        <f>RTD("nest.scriprtd",,"bse_cm|9MFL30","Symbol")</f>
        <v>9MFL30</v>
      </c>
      <c r="B244" t="str">
        <f>RTD("nest.scriprtd",,"bse_cm|9MFL30","Trading Symbol")</f>
        <v>9MFL30</v>
      </c>
      <c r="C244" t="str">
        <f>RTD("nest.scriprtd",,"bse_cm|9MFL30","Exchange")</f>
        <v>BSE</v>
      </c>
      <c r="D244">
        <f>RTD("nest.scriprtd",,"bse_cm|9MFL30","Bid Qty")</f>
        <v>20</v>
      </c>
      <c r="E244">
        <f>RTD("nest.scriprtd",,"bse_cm|9MFL30","Bid Rate")</f>
        <v>846.01</v>
      </c>
      <c r="F244">
        <f>RTD("nest.scriprtd",,"bse_cm|9MFL30","Ask Rate")</f>
        <v>979</v>
      </c>
      <c r="G244">
        <f>RTD("nest.scriprtd",,"bse_cm|9MFL30","Ask Qty")</f>
        <v>25</v>
      </c>
      <c r="H244">
        <f>RTD("nest.scriprtd",,"bse_cm|9MFL30","LTP")</f>
        <v>0</v>
      </c>
      <c r="I244" t="str">
        <f>RTD("nest.scriprtd",,"bse_cm|9MFL30","LTT")</f>
        <v>00:00:00</v>
      </c>
      <c r="J244">
        <f>RTD("nest.scriprtd",,"bse_cm|9MFL30","% Change")</f>
        <v>-100</v>
      </c>
      <c r="K244">
        <f>RTD("nest.scriprtd",,"bse_cm|9MFL30","ATP")</f>
        <v>0</v>
      </c>
      <c r="L244">
        <f>RTD("nest.scriprtd",,"bse_cm|9MFL30","Volume Traded Today")</f>
        <v>0</v>
      </c>
      <c r="M244">
        <f>RTD("nest.scriprtd",,"bse_cm|9MFL30","Open")</f>
        <v>0</v>
      </c>
      <c r="N244">
        <f>RTD("nest.scriprtd",,"bse_cm|9MFL30","High")</f>
        <v>975</v>
      </c>
      <c r="O244">
        <f>RTD("nest.scriprtd",,"bse_cm|9MFL30","Low ")</f>
        <v>975</v>
      </c>
      <c r="P244">
        <f>RTD("nest.scriprtd",,"bse_cm|9MFL30","Prev Close")</f>
        <v>975</v>
      </c>
      <c r="Q244">
        <f>RTD("nest.scriprtd",,"bse_cm|9MFL30","Face Value")</f>
        <v>1000</v>
      </c>
      <c r="R244" t="str">
        <f>RTD("nest.scriprtd",,"bse_cm|9MFL30","Isin code")</f>
        <v>INE549K07BD6</v>
      </c>
      <c r="S244" s="9">
        <f>Table1[[#This Row],[Ask Rate]]*Table1[[#This Row],[Ask Qty]]</f>
        <v>24475</v>
      </c>
      <c r="T244">
        <f>VLOOKUP(Table1[[#This Row],[Isin code]],Table2[#All],7,FALSE)</f>
        <v>9</v>
      </c>
      <c r="U244" s="17" t="str">
        <f>VLOOKUP(Table1[[#This Row],[Isin code]],Table2[#All],8,FALSE)</f>
        <v>02-Feb-2030</v>
      </c>
      <c r="V244" s="10">
        <f ca="1">Table1[[#This Row],[Maturity]]-TODAY()</f>
        <v>1935</v>
      </c>
      <c r="W244" t="str">
        <f>VLOOKUP(Table1[[#This Row],[Isin code]],Table2[#All],10,FALSE)</f>
        <v>Monthly</v>
      </c>
      <c r="X244">
        <f ca="1">_xlfn.DAYS(Table1[[#This Row],[Maturity]],TODAY())-15</f>
        <v>1920</v>
      </c>
      <c r="Y2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64</v>
      </c>
      <c r="Z244">
        <f>IF(Table1[[#This Row],[Ask Rate]]=0,0,Table1[[#This Row],[Face Value]]-Table1[[#This Row],[Ask Rate]])</f>
        <v>21</v>
      </c>
      <c r="AA244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244">
        <f ca="1">Table1[[#This Row],[Face Value]]*Table1[[#This Row],[Rate]]*Table1[[#This Row],[Time]]</f>
        <v>480</v>
      </c>
      <c r="AC244">
        <f ca="1">Table1[[#This Row],[SI]]+Table1[[#This Row],[Disc/Prem]]</f>
        <v>501</v>
      </c>
      <c r="AD244" s="3">
        <f ca="1">Table1[[#This Row],[Net Gain]]/Table1[[#This Row],[Ask Rate]]</f>
        <v>0.51174668028600612</v>
      </c>
      <c r="AE244" s="3">
        <f ca="1">IF(Table1[[#This Row],[Ask Qty]]=0,0,Table1[[#This Row],[Gross Yield]]*365/Table1[[#This Row],[Days Left]])</f>
        <v>9.6531027547489517E-2</v>
      </c>
      <c r="AF244" s="9">
        <f ca="1">+Table1[[#This Row],[Net Gain]]*Table1[[#This Row],[Ask Qty]]</f>
        <v>12525</v>
      </c>
      <c r="AG244" t="str">
        <f ca="1">IF(Table1[[#This Row],[YTM]]&gt;0.12,IF(Table1[[#This Row],[Gross Profit]]&gt;10000,"Invest","Review"),"Low YTM")</f>
        <v>Low YTM</v>
      </c>
    </row>
    <row r="245" spans="1:33" x14ac:dyDescent="0.3">
      <c r="A245" t="str">
        <f>RTD("nest.scriprtd",,"nse_cm|957ISFL26-N2","Symbol")</f>
        <v>957ISFL26</v>
      </c>
      <c r="B245" t="str">
        <f>RTD("nest.scriprtd",,"nse_cm|957ISFL26-N2","Trading Symbol")</f>
        <v>957ISFL26-N2</v>
      </c>
      <c r="C245" t="str">
        <f>RTD("nest.scriprtd",,"nse_cm|957ISFL26-N2","Exchange")</f>
        <v>NSE</v>
      </c>
      <c r="D245">
        <f>RTD("nest.scriprtd",,"nse_cm|957ISFL26-N2","Bid Qty")</f>
        <v>190</v>
      </c>
      <c r="E245">
        <f>RTD("nest.scriprtd",,"nse_cm|957ISFL26-N2","Bid Rate")</f>
        <v>970</v>
      </c>
      <c r="F245">
        <f>RTD("nest.scriprtd",,"nse_cm|957ISFL26-N2","Ask Rate")</f>
        <v>1004</v>
      </c>
      <c r="G245">
        <f>RTD("nest.scriprtd",,"nse_cm|957ISFL26-N2","Ask Qty")</f>
        <v>60</v>
      </c>
      <c r="H245">
        <f>RTD("nest.scriprtd",,"nse_cm|957ISFL26-N2","LTP")</f>
        <v>971</v>
      </c>
      <c r="I245" t="str">
        <f>RTD("nest.scriprtd",,"nse_cm|957ISFL26-N2","LTT")</f>
        <v/>
      </c>
      <c r="J245">
        <f>RTD("nest.scriprtd",,"nse_cm|957ISFL26-N2","% Change")</f>
        <v>0</v>
      </c>
      <c r="K245">
        <f>RTD("nest.scriprtd",,"nse_cm|957ISFL26-N2","ATP")</f>
        <v>0</v>
      </c>
      <c r="L245">
        <f>RTD("nest.scriprtd",,"nse_cm|957ISFL26-N2","Volume Traded Today")</f>
        <v>0</v>
      </c>
      <c r="M245">
        <f>RTD("nest.scriprtd",,"nse_cm|957ISFL26-N2","Open")</f>
        <v>0</v>
      </c>
      <c r="N245">
        <f>RTD("nest.scriprtd",,"nse_cm|957ISFL26-N2","High")</f>
        <v>971</v>
      </c>
      <c r="O245">
        <f>RTD("nest.scriprtd",,"nse_cm|957ISFL26-N2","Low ")</f>
        <v>971</v>
      </c>
      <c r="P245">
        <f>RTD("nest.scriprtd",,"nse_cm|957ISFL26-N2","Prev Close")</f>
        <v>971</v>
      </c>
      <c r="Q245">
        <f>RTD("nest.scriprtd",,"nse_cm|957ISFL26-N2","Face Value")</f>
        <v>1000</v>
      </c>
      <c r="R245" t="str">
        <f>RTD("nest.scriprtd",,"nse_cm|957ISFL26-N2","Isin code")</f>
        <v>INE413U07236</v>
      </c>
      <c r="S245" s="9">
        <f>Table1[[#This Row],[Ask Rate]]*Table1[[#This Row],[Ask Qty]]</f>
        <v>60240</v>
      </c>
      <c r="T245">
        <f>VLOOKUP(Table1[[#This Row],[Isin code]],Table2[#All],7,FALSE)</f>
        <v>9.57</v>
      </c>
      <c r="U245" s="17" t="str">
        <f>VLOOKUP(Table1[[#This Row],[Isin code]],Table2[#All],8,FALSE)</f>
        <v>21-Dec-2026</v>
      </c>
      <c r="V245" s="10">
        <f ca="1">Table1[[#This Row],[Maturity]]-TODAY()</f>
        <v>796</v>
      </c>
      <c r="W245" t="str">
        <f>VLOOKUP(Table1[[#This Row],[Isin code]],Table2[#All],10,FALSE)</f>
        <v>Monthly</v>
      </c>
      <c r="X245">
        <f ca="1">_xlfn.DAYS(Table1[[#This Row],[Maturity]],TODAY())-15</f>
        <v>781</v>
      </c>
      <c r="Y2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245">
        <f>IF(Table1[[#This Row],[Ask Rate]]=0,0,Table1[[#This Row],[Face Value]]-Table1[[#This Row],[Ask Rate]])</f>
        <v>-4</v>
      </c>
      <c r="AA245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245">
        <f ca="1">Table1[[#This Row],[Face Value]]*Table1[[#This Row],[Rate]]*Table1[[#This Row],[Time]]</f>
        <v>215.32499999999999</v>
      </c>
      <c r="AC245">
        <f ca="1">Table1[[#This Row],[SI]]+Table1[[#This Row],[Disc/Prem]]</f>
        <v>211.32499999999999</v>
      </c>
      <c r="AD245" s="3">
        <f ca="1">Table1[[#This Row],[Net Gain]]/Table1[[#This Row],[Ask Rate]]</f>
        <v>0.21048306772908365</v>
      </c>
      <c r="AE245" s="3">
        <f ca="1">IF(Table1[[#This Row],[Ask Qty]]=0,0,Table1[[#This Row],[Gross Yield]]*365/Table1[[#This Row],[Days Left]])</f>
        <v>9.6515477036577313E-2</v>
      </c>
      <c r="AF245" s="9">
        <f ca="1">+Table1[[#This Row],[Net Gain]]*Table1[[#This Row],[Ask Qty]]</f>
        <v>12679.5</v>
      </c>
      <c r="AG245" t="str">
        <f ca="1">IF(Table1[[#This Row],[YTM]]&gt;0.12,IF(Table1[[#This Row],[Gross Profit]]&gt;10000,"Invest","Review"),"Low YTM")</f>
        <v>Low YTM</v>
      </c>
    </row>
    <row r="246" spans="1:33" x14ac:dyDescent="0.3">
      <c r="A246" t="str">
        <f>RTD("nest.scriprtd",,"nse_cm|99AEL29-N7","Symbol")</f>
        <v>99AEL29</v>
      </c>
      <c r="B246" t="str">
        <f>RTD("nest.scriprtd",,"nse_cm|99AEL29-N7","Trading Symbol")</f>
        <v>99AEL29-N7</v>
      </c>
      <c r="C246" t="str">
        <f>RTD("nest.scriprtd",,"nse_cm|99AEL29-N7","Exchange")</f>
        <v>NSE</v>
      </c>
      <c r="D246">
        <f>RTD("nest.scriprtd",,"nse_cm|99AEL29-N7","Bid Qty")</f>
        <v>30</v>
      </c>
      <c r="E246">
        <f>RTD("nest.scriprtd",,"nse_cm|99AEL29-N7","Bid Rate")</f>
        <v>1012.01</v>
      </c>
      <c r="F246">
        <f>RTD("nest.scriprtd",,"nse_cm|99AEL29-N7","Ask Rate")</f>
        <v>1014.4</v>
      </c>
      <c r="G246">
        <f>RTD("nest.scriprtd",,"nse_cm|99AEL29-N7","Ask Qty")</f>
        <v>1832</v>
      </c>
      <c r="H246">
        <f>RTD("nest.scriprtd",,"nse_cm|99AEL29-N7","LTP")</f>
        <v>1014.4</v>
      </c>
      <c r="I246" t="str">
        <f>RTD("nest.scriprtd",,"nse_cm|99AEL29-N7","LTT")</f>
        <v>11:11:48</v>
      </c>
      <c r="J246">
        <f>RTD("nest.scriprtd",,"nse_cm|99AEL29-N7","% Change")</f>
        <v>7.0000000000000007E-2</v>
      </c>
      <c r="K246">
        <f>RTD("nest.scriprtd",,"nse_cm|99AEL29-N7","ATP")</f>
        <v>1014.13</v>
      </c>
      <c r="L246">
        <f>RTD("nest.scriprtd",,"nse_cm|99AEL29-N7","Volume Traded Today")</f>
        <v>475</v>
      </c>
      <c r="M246">
        <f>RTD("nest.scriprtd",,"nse_cm|99AEL29-N7","Open")</f>
        <v>1014</v>
      </c>
      <c r="N246">
        <f>RTD("nest.scriprtd",,"nse_cm|99AEL29-N7","High")</f>
        <v>1014.4</v>
      </c>
      <c r="O246">
        <f>RTD("nest.scriprtd",,"nse_cm|99AEL29-N7","Low ")</f>
        <v>1014</v>
      </c>
      <c r="P246">
        <f>RTD("nest.scriprtd",,"nse_cm|99AEL29-N7","Prev Close")</f>
        <v>1013.7</v>
      </c>
      <c r="Q246">
        <f>RTD("nest.scriprtd",,"nse_cm|99AEL29-N7","Face Value")</f>
        <v>1000</v>
      </c>
      <c r="R246" t="str">
        <f>RTD("nest.scriprtd",,"nse_cm|99AEL29-N7","Isin code")</f>
        <v>INE423A07344</v>
      </c>
      <c r="S246" s="9">
        <f>Table1[[#This Row],[Ask Rate]]*Table1[[#This Row],[Ask Qty]]</f>
        <v>1858380.8</v>
      </c>
      <c r="T246">
        <f>VLOOKUP(Table1[[#This Row],[Isin code]],Table2[#All],7,FALSE)</f>
        <v>9.9</v>
      </c>
      <c r="U246" s="17" t="str">
        <f>VLOOKUP(Table1[[#This Row],[Isin code]],Table2[#All],8,FALSE)</f>
        <v>12-Sep-2029</v>
      </c>
      <c r="V246" s="10">
        <f ca="1">Table1[[#This Row],[Maturity]]-TODAY()</f>
        <v>1792</v>
      </c>
      <c r="W246" t="str">
        <f>VLOOKUP(Table1[[#This Row],[Isin code]],Table2[#All],10,FALSE)</f>
        <v>Yearly</v>
      </c>
      <c r="X246">
        <f ca="1">_xlfn.DAYS(Table1[[#This Row],[Maturity]],TODAY())-15</f>
        <v>1777</v>
      </c>
      <c r="Y2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246">
        <f>IF(Table1[[#This Row],[Ask Rate]]=0,0,Table1[[#This Row],[Face Value]]-Table1[[#This Row],[Ask Rate]])</f>
        <v>-14.399999999999977</v>
      </c>
      <c r="AA246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246">
        <f ca="1">Table1[[#This Row],[Face Value]]*Table1[[#This Row],[Rate]]*Table1[[#This Row],[Time]]</f>
        <v>495</v>
      </c>
      <c r="AC246">
        <f ca="1">Table1[[#This Row],[SI]]+Table1[[#This Row],[Disc/Prem]]</f>
        <v>480.6</v>
      </c>
      <c r="AD246" s="3">
        <f ca="1">Table1[[#This Row],[Net Gain]]/Table1[[#This Row],[Ask Rate]]</f>
        <v>0.47377760252365936</v>
      </c>
      <c r="AE246" s="3">
        <f ca="1">IF(Table1[[#This Row],[Ask Qty]]=0,0,Table1[[#This Row],[Gross Yield]]*365/Table1[[#This Row],[Days Left]])</f>
        <v>9.650046033545516E-2</v>
      </c>
      <c r="AF246" s="9">
        <f ca="1">+Table1[[#This Row],[Net Gain]]*Table1[[#This Row],[Ask Qty]]</f>
        <v>880459.20000000007</v>
      </c>
      <c r="AG246" t="str">
        <f ca="1">IF(Table1[[#This Row],[YTM]]&gt;0.12,IF(Table1[[#This Row],[Gross Profit]]&gt;10000,"Invest","Review"),"Low YTM")</f>
        <v>Low YTM</v>
      </c>
    </row>
    <row r="247" spans="1:33" x14ac:dyDescent="0.3">
      <c r="A247" t="str">
        <f>RTD("nest.scriprtd",,"bse_cm|920EFSL26B","Symbol")</f>
        <v>920EFSL26B</v>
      </c>
      <c r="B247" t="str">
        <f>RTD("nest.scriprtd",,"bse_cm|920EFSL26B","Trading Symbol")</f>
        <v>920EFSL26B</v>
      </c>
      <c r="C247" t="str">
        <f>RTD("nest.scriprtd",,"bse_cm|920EFSL26B","Exchange")</f>
        <v>BSE</v>
      </c>
      <c r="D247">
        <f>RTD("nest.scriprtd",,"bse_cm|920EFSL26B","Bid Qty")</f>
        <v>9</v>
      </c>
      <c r="E247">
        <f>RTD("nest.scriprtd",,"bse_cm|920EFSL26B","Bid Rate")</f>
        <v>956</v>
      </c>
      <c r="F247">
        <f>RTD("nest.scriprtd",,"bse_cm|920EFSL26B","Ask Rate")</f>
        <v>994</v>
      </c>
      <c r="G247">
        <f>RTD("nest.scriprtd",,"bse_cm|920EFSL26B","Ask Qty")</f>
        <v>14</v>
      </c>
      <c r="H247">
        <f>RTD("nest.scriprtd",,"bse_cm|920EFSL26B","LTP")</f>
        <v>0</v>
      </c>
      <c r="I247" t="str">
        <f>RTD("nest.scriprtd",,"bse_cm|920EFSL26B","LTT")</f>
        <v>00:00:00</v>
      </c>
      <c r="J247">
        <f>RTD("nest.scriprtd",,"bse_cm|920EFSL26B","% Change")</f>
        <v>-100</v>
      </c>
      <c r="K247">
        <f>RTD("nest.scriprtd",,"bse_cm|920EFSL26B","ATP")</f>
        <v>0</v>
      </c>
      <c r="L247">
        <f>RTD("nest.scriprtd",,"bse_cm|920EFSL26B","Volume Traded Today")</f>
        <v>0</v>
      </c>
      <c r="M247">
        <f>RTD("nest.scriprtd",,"bse_cm|920EFSL26B","Open")</f>
        <v>0</v>
      </c>
      <c r="N247">
        <f>RTD("nest.scriprtd",,"bse_cm|920EFSL26B","High")</f>
        <v>995</v>
      </c>
      <c r="O247">
        <f>RTD("nest.scriprtd",,"bse_cm|920EFSL26B","Low ")</f>
        <v>960</v>
      </c>
      <c r="P247">
        <f>RTD("nest.scriprtd",,"bse_cm|920EFSL26B","Prev Close")</f>
        <v>966.6</v>
      </c>
      <c r="Q247">
        <f>RTD("nest.scriprtd",,"bse_cm|920EFSL26B","Face Value")</f>
        <v>1000</v>
      </c>
      <c r="R247" t="str">
        <f>RTD("nest.scriprtd",,"bse_cm|920EFSL26B","Isin code")</f>
        <v>INE532F07DM9</v>
      </c>
      <c r="S247" s="9">
        <f>Table1[[#This Row],[Ask Rate]]*Table1[[#This Row],[Ask Qty]]</f>
        <v>13916</v>
      </c>
      <c r="T247">
        <f>VLOOKUP(Table1[[#This Row],[Isin code]],Table2[#All],7,FALSE)</f>
        <v>9.1999999999999993</v>
      </c>
      <c r="U247" s="17" t="str">
        <f>VLOOKUP(Table1[[#This Row],[Isin code]],Table2[#All],8,FALSE)</f>
        <v>20-Jan-2026</v>
      </c>
      <c r="V247" s="10">
        <f ca="1">Table1[[#This Row],[Maturity]]-TODAY()</f>
        <v>461</v>
      </c>
      <c r="W247" t="str">
        <f>VLOOKUP(Table1[[#This Row],[Isin code]],Table2[#All],10,FALSE)</f>
        <v>Monthly</v>
      </c>
      <c r="X247">
        <f ca="1">_xlfn.DAYS(Table1[[#This Row],[Maturity]],TODAY())-15</f>
        <v>446</v>
      </c>
      <c r="Y2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247">
        <f>IF(Table1[[#This Row],[Ask Rate]]=0,0,Table1[[#This Row],[Face Value]]-Table1[[#This Row],[Ask Rate]])</f>
        <v>6</v>
      </c>
      <c r="AA247">
        <f>IF(Table1[[#This Row],[Freq]]="Yearly",Table1[[#This Row],[Coupon_Rate]]/100,IF(Table1[[#This Row],[Freq]]="Monthly",Table1[[#This Row],[Coupon_Rate]]/1200,IF(Table1[[#This Row],[Freq]]="Quarterly",Table1[[#This Row],[Coupon_Rate]]/400,0)))</f>
        <v>7.6666666666666662E-3</v>
      </c>
      <c r="AB247">
        <f ca="1">Table1[[#This Row],[Face Value]]*Table1[[#This Row],[Rate]]*Table1[[#This Row],[Time]]</f>
        <v>114.99999999999999</v>
      </c>
      <c r="AC247">
        <f ca="1">Table1[[#This Row],[SI]]+Table1[[#This Row],[Disc/Prem]]</f>
        <v>120.99999999999999</v>
      </c>
      <c r="AD247" s="3">
        <f ca="1">Table1[[#This Row],[Net Gain]]/Table1[[#This Row],[Ask Rate]]</f>
        <v>0.12173038229376257</v>
      </c>
      <c r="AE247" s="3">
        <f ca="1">IF(Table1[[#This Row],[Ask Qty]]=0,0,Table1[[#This Row],[Gross Yield]]*365/Table1[[#This Row],[Days Left]])</f>
        <v>9.6380888367078824E-2</v>
      </c>
      <c r="AF247" s="9">
        <f ca="1">+Table1[[#This Row],[Net Gain]]*Table1[[#This Row],[Ask Qty]]</f>
        <v>1693.9999999999998</v>
      </c>
      <c r="AG247" t="str">
        <f ca="1">IF(Table1[[#This Row],[YTM]]&gt;0.12,IF(Table1[[#This Row],[Gross Profit]]&gt;10000,"Invest","Review"),"Low YTM")</f>
        <v>Low YTM</v>
      </c>
    </row>
    <row r="248" spans="1:33" x14ac:dyDescent="0.3">
      <c r="A248" t="str">
        <f>RTD("nest.scriprtd",,"bse_cm|1150MML29","Symbol")</f>
        <v>1150MML29</v>
      </c>
      <c r="B248" t="str">
        <f>RTD("nest.scriprtd",,"bse_cm|1150MML29","Trading Symbol")</f>
        <v>1150MML29</v>
      </c>
      <c r="C248" t="str">
        <f>RTD("nest.scriprtd",,"bse_cm|1150MML29","Exchange")</f>
        <v>BSE</v>
      </c>
      <c r="D248">
        <f>RTD("nest.scriprtd",,"bse_cm|1150MML29","Bid Qty")</f>
        <v>5</v>
      </c>
      <c r="E248">
        <f>RTD("nest.scriprtd",,"bse_cm|1150MML29","Bid Rate")</f>
        <v>951.9</v>
      </c>
      <c r="F248">
        <f>RTD("nest.scriprtd",,"bse_cm|1150MML29","Ask Rate")</f>
        <v>1070</v>
      </c>
      <c r="G248">
        <f>RTD("nest.scriprtd",,"bse_cm|1150MML29","Ask Qty")</f>
        <v>100</v>
      </c>
      <c r="H248">
        <f>RTD("nest.scriprtd",,"bse_cm|1150MML29","LTP")</f>
        <v>0</v>
      </c>
      <c r="I248" t="str">
        <f>RTD("nest.scriprtd",,"bse_cm|1150MML29","LTT")</f>
        <v>00:00:00</v>
      </c>
      <c r="J248">
        <f>RTD("nest.scriprtd",,"bse_cm|1150MML29","% Change")</f>
        <v>-100</v>
      </c>
      <c r="K248">
        <f>RTD("nest.scriprtd",,"bse_cm|1150MML29","ATP")</f>
        <v>0</v>
      </c>
      <c r="L248">
        <f>RTD("nest.scriprtd",,"bse_cm|1150MML29","Volume Traded Today")</f>
        <v>0</v>
      </c>
      <c r="M248">
        <f>RTD("nest.scriprtd",,"bse_cm|1150MML29","Open")</f>
        <v>0</v>
      </c>
      <c r="N248">
        <f>RTD("nest.scriprtd",,"bse_cm|1150MML29","High")</f>
        <v>1070</v>
      </c>
      <c r="O248">
        <f>RTD("nest.scriprtd",,"bse_cm|1150MML29","Low ")</f>
        <v>1069</v>
      </c>
      <c r="P248">
        <f>RTD("nest.scriprtd",,"bse_cm|1150MML29","Prev Close")</f>
        <v>1070</v>
      </c>
      <c r="Q248">
        <f>RTD("nest.scriprtd",,"bse_cm|1150MML29","Face Value")</f>
        <v>1000</v>
      </c>
      <c r="R248" t="str">
        <f>RTD("nest.scriprtd",,"bse_cm|1150MML29","Isin code")</f>
        <v>INE05F407CO7</v>
      </c>
      <c r="S248" s="9">
        <f>Table1[[#This Row],[Ask Rate]]*Table1[[#This Row],[Ask Qty]]</f>
        <v>107000</v>
      </c>
      <c r="T248">
        <f>VLOOKUP(Table1[[#This Row],[Isin code]],Table2[#All],7,FALSE)</f>
        <v>11.5</v>
      </c>
      <c r="U248" s="17" t="str">
        <f>VLOOKUP(Table1[[#This Row],[Isin code]],Table2[#All],8,FALSE)</f>
        <v>11-Sep-2029</v>
      </c>
      <c r="V248" s="10">
        <f ca="1">Table1[[#This Row],[Maturity]]-TODAY()</f>
        <v>1791</v>
      </c>
      <c r="W248" t="str">
        <f>VLOOKUP(Table1[[#This Row],[Isin code]],Table2[#All],10,FALSE)</f>
        <v>Monthly</v>
      </c>
      <c r="X248">
        <f ca="1">_xlfn.DAYS(Table1[[#This Row],[Maturity]],TODAY())-15</f>
        <v>1776</v>
      </c>
      <c r="Y2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60</v>
      </c>
      <c r="Z248">
        <f>IF(Table1[[#This Row],[Ask Rate]]=0,0,Table1[[#This Row],[Face Value]]-Table1[[#This Row],[Ask Rate]])</f>
        <v>-70</v>
      </c>
      <c r="AA248">
        <f>IF(Table1[[#This Row],[Freq]]="Yearly",Table1[[#This Row],[Coupon_Rate]]/100,IF(Table1[[#This Row],[Freq]]="Monthly",Table1[[#This Row],[Coupon_Rate]]/1200,IF(Table1[[#This Row],[Freq]]="Quarterly",Table1[[#This Row],[Coupon_Rate]]/400,0)))</f>
        <v>9.5833333333333326E-3</v>
      </c>
      <c r="AB248">
        <f ca="1">Table1[[#This Row],[Face Value]]*Table1[[#This Row],[Rate]]*Table1[[#This Row],[Time]]</f>
        <v>574.99999999999989</v>
      </c>
      <c r="AC248">
        <f ca="1">Table1[[#This Row],[SI]]+Table1[[#This Row],[Disc/Prem]]</f>
        <v>504.99999999999989</v>
      </c>
      <c r="AD248" s="3">
        <f ca="1">Table1[[#This Row],[Net Gain]]/Table1[[#This Row],[Ask Rate]]</f>
        <v>0.47196261682242979</v>
      </c>
      <c r="AE248" s="3">
        <f ca="1">IF(Table1[[#This Row],[Ask Qty]]=0,0,Table1[[#This Row],[Gross Yield]]*365/Table1[[#This Row],[Days Left]])</f>
        <v>9.6184452897926792E-2</v>
      </c>
      <c r="AF248" s="9">
        <f ca="1">+Table1[[#This Row],[Net Gain]]*Table1[[#This Row],[Ask Qty]]</f>
        <v>50499.999999999985</v>
      </c>
      <c r="AG248" t="str">
        <f ca="1">IF(Table1[[#This Row],[YTM]]&gt;0.12,IF(Table1[[#This Row],[Gross Profit]]&gt;10000,"Invest","Review"),"Low YTM")</f>
        <v>Low YTM</v>
      </c>
    </row>
    <row r="249" spans="1:33" x14ac:dyDescent="0.3">
      <c r="A249" t="str">
        <f>RTD("nest.scriprtd",,"nse_cm|925SCL25C-AR","Symbol")</f>
        <v>925SCL25C</v>
      </c>
      <c r="B249" t="str">
        <f>RTD("nest.scriprtd",,"nse_cm|925SCL25C-AR","Trading Symbol")</f>
        <v>925SCL25C-AR</v>
      </c>
      <c r="C249" t="str">
        <f>RTD("nest.scriprtd",,"nse_cm|925SCL25C-AR","Exchange")</f>
        <v>NSE</v>
      </c>
      <c r="D249">
        <f>RTD("nest.scriprtd",,"nse_cm|925SCL25C-AR","Bid Qty")</f>
        <v>1</v>
      </c>
      <c r="E249">
        <f>RTD("nest.scriprtd",,"nse_cm|925SCL25C-AR","Bid Rate")</f>
        <v>963</v>
      </c>
      <c r="F249">
        <f>RTD("nest.scriprtd",,"nse_cm|925SCL25C-AR","Ask Rate")</f>
        <v>995</v>
      </c>
      <c r="G249">
        <f>RTD("nest.scriprtd",,"nse_cm|925SCL25C-AR","Ask Qty")</f>
        <v>2</v>
      </c>
      <c r="H249">
        <f>RTD("nest.scriprtd",,"nse_cm|925SCL25C-AR","LTP")</f>
        <v>983</v>
      </c>
      <c r="I249" t="str">
        <f>RTD("nest.scriprtd",,"nse_cm|925SCL25C-AR","LTT")</f>
        <v/>
      </c>
      <c r="J249">
        <f>RTD("nest.scriprtd",,"nse_cm|925SCL25C-AR","% Change")</f>
        <v>0</v>
      </c>
      <c r="K249">
        <f>RTD("nest.scriprtd",,"nse_cm|925SCL25C-AR","ATP")</f>
        <v>0</v>
      </c>
      <c r="L249">
        <f>RTD("nest.scriprtd",,"nse_cm|925SCL25C-AR","Volume Traded Today")</f>
        <v>0</v>
      </c>
      <c r="M249">
        <f>RTD("nest.scriprtd",,"nse_cm|925SCL25C-AR","Open")</f>
        <v>0</v>
      </c>
      <c r="N249">
        <f>RTD("nest.scriprtd",,"nse_cm|925SCL25C-AR","High")</f>
        <v>983</v>
      </c>
      <c r="O249">
        <f>RTD("nest.scriprtd",,"nse_cm|925SCL25C-AR","Low ")</f>
        <v>983</v>
      </c>
      <c r="P249">
        <f>RTD("nest.scriprtd",,"nse_cm|925SCL25C-AR","Prev Close")</f>
        <v>983</v>
      </c>
      <c r="Q249">
        <f>RTD("nest.scriprtd",,"nse_cm|925SCL25C-AR","Face Value")</f>
        <v>1000</v>
      </c>
      <c r="R249" t="str">
        <f>RTD("nest.scriprtd",,"nse_cm|925SCL25C-AR","Isin code")</f>
        <v>INE148I07OL7</v>
      </c>
      <c r="S249" s="9">
        <f>Table1[[#This Row],[Ask Rate]]*Table1[[#This Row],[Ask Qty]]</f>
        <v>1990</v>
      </c>
      <c r="T249">
        <f>VLOOKUP(Table1[[#This Row],[Isin code]],Table2[#All],7,FALSE)</f>
        <v>9.25</v>
      </c>
      <c r="U249" s="17" t="str">
        <f>VLOOKUP(Table1[[#This Row],[Isin code]],Table2[#All],8,FALSE)</f>
        <v>27-Jul-2025</v>
      </c>
      <c r="V249" s="10">
        <f ca="1">Table1[[#This Row],[Maturity]]-TODAY()</f>
        <v>284</v>
      </c>
      <c r="W249" t="str">
        <f>VLOOKUP(Table1[[#This Row],[Isin code]],Table2[#All],10,FALSE)</f>
        <v>Monthly</v>
      </c>
      <c r="X249">
        <f ca="1">_xlfn.DAYS(Table1[[#This Row],[Maturity]],TODAY())-15</f>
        <v>269</v>
      </c>
      <c r="Y2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249">
        <f>IF(Table1[[#This Row],[Ask Rate]]=0,0,Table1[[#This Row],[Face Value]]-Table1[[#This Row],[Ask Rate]])</f>
        <v>5</v>
      </c>
      <c r="AA249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249">
        <f ca="1">Table1[[#This Row],[Face Value]]*Table1[[#This Row],[Rate]]*Table1[[#This Row],[Time]]</f>
        <v>69.375</v>
      </c>
      <c r="AC249">
        <f ca="1">Table1[[#This Row],[SI]]+Table1[[#This Row],[Disc/Prem]]</f>
        <v>74.375</v>
      </c>
      <c r="AD249" s="3">
        <f ca="1">Table1[[#This Row],[Net Gain]]/Table1[[#This Row],[Ask Rate]]</f>
        <v>7.4748743718592969E-2</v>
      </c>
      <c r="AE249" s="3">
        <f ca="1">IF(Table1[[#This Row],[Ask Qty]]=0,0,Table1[[#This Row],[Gross Yield]]*365/Table1[[#This Row],[Days Left]])</f>
        <v>9.6067927666501532E-2</v>
      </c>
      <c r="AF249" s="9">
        <f ca="1">+Table1[[#This Row],[Net Gain]]*Table1[[#This Row],[Ask Qty]]</f>
        <v>148.75</v>
      </c>
      <c r="AG249" t="str">
        <f ca="1">IF(Table1[[#This Row],[YTM]]&gt;0.12,IF(Table1[[#This Row],[Gross Profit]]&gt;10000,"Invest","Review"),"Low YTM")</f>
        <v>Low YTM</v>
      </c>
    </row>
    <row r="250" spans="1:33" x14ac:dyDescent="0.3">
      <c r="A250" t="str">
        <f>RTD("nest.scriprtd",,"bse_cm|89MFL26","Symbol")</f>
        <v>89MFL26</v>
      </c>
      <c r="B250" t="str">
        <f>RTD("nest.scriprtd",,"bse_cm|89MFL26","Trading Symbol")</f>
        <v>89MFL26</v>
      </c>
      <c r="C250" t="str">
        <f>RTD("nest.scriprtd",,"bse_cm|89MFL26","Exchange")</f>
        <v>BSE</v>
      </c>
      <c r="D250">
        <f>RTD("nest.scriprtd",,"bse_cm|89MFL26","Bid Qty")</f>
        <v>190</v>
      </c>
      <c r="E250">
        <f>RTD("nest.scriprtd",,"bse_cm|89MFL26","Bid Rate")</f>
        <v>950.2</v>
      </c>
      <c r="F250">
        <f>RTD("nest.scriprtd",,"bse_cm|89MFL26","Ask Rate")</f>
        <v>991</v>
      </c>
      <c r="G250">
        <f>RTD("nest.scriprtd",,"bse_cm|89MFL26","Ask Qty")</f>
        <v>38</v>
      </c>
      <c r="H250">
        <f>RTD("nest.scriprtd",,"bse_cm|89MFL26","LTP")</f>
        <v>0</v>
      </c>
      <c r="I250" t="str">
        <f>RTD("nest.scriprtd",,"bse_cm|89MFL26","LTT")</f>
        <v>00:00:00</v>
      </c>
      <c r="J250">
        <f>RTD("nest.scriprtd",,"bse_cm|89MFL26","% Change")</f>
        <v>-100</v>
      </c>
      <c r="K250">
        <f>RTD("nest.scriprtd",,"bse_cm|89MFL26","ATP")</f>
        <v>0</v>
      </c>
      <c r="L250">
        <f>RTD("nest.scriprtd",,"bse_cm|89MFL26","Volume Traded Today")</f>
        <v>0</v>
      </c>
      <c r="M250">
        <f>RTD("nest.scriprtd",,"bse_cm|89MFL26","Open")</f>
        <v>0</v>
      </c>
      <c r="N250">
        <f>RTD("nest.scriprtd",,"bse_cm|89MFL26","High")</f>
        <v>990</v>
      </c>
      <c r="O250">
        <f>RTD("nest.scriprtd",,"bse_cm|89MFL26","Low ")</f>
        <v>990</v>
      </c>
      <c r="P250">
        <f>RTD("nest.scriprtd",,"bse_cm|89MFL26","Prev Close")</f>
        <v>990</v>
      </c>
      <c r="Q250">
        <f>RTD("nest.scriprtd",,"bse_cm|89MFL26","Face Value")</f>
        <v>1000</v>
      </c>
      <c r="R250" t="str">
        <f>RTD("nest.scriprtd",,"bse_cm|89MFL26","Isin code")</f>
        <v>INE549K07CS2</v>
      </c>
      <c r="S250" s="9">
        <f>Table1[[#This Row],[Ask Rate]]*Table1[[#This Row],[Ask Qty]]</f>
        <v>37658</v>
      </c>
      <c r="T250">
        <f>VLOOKUP(Table1[[#This Row],[Isin code]],Table2[#All],7,FALSE)</f>
        <v>8.9</v>
      </c>
      <c r="U250" s="17" t="str">
        <f>VLOOKUP(Table1[[#This Row],[Isin code]],Table2[#All],8,FALSE)</f>
        <v>01-Nov-2026</v>
      </c>
      <c r="V250" s="10">
        <f ca="1">Table1[[#This Row],[Maturity]]-TODAY()</f>
        <v>746</v>
      </c>
      <c r="W250" t="str">
        <f>VLOOKUP(Table1[[#This Row],[Isin code]],Table2[#All],10,FALSE)</f>
        <v>Monthly</v>
      </c>
      <c r="X250">
        <f ca="1">_xlfn.DAYS(Table1[[#This Row],[Maturity]],TODAY())-15</f>
        <v>731</v>
      </c>
      <c r="Y2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250">
        <f>IF(Table1[[#This Row],[Ask Rate]]=0,0,Table1[[#This Row],[Face Value]]-Table1[[#This Row],[Ask Rate]])</f>
        <v>9</v>
      </c>
      <c r="AA250">
        <f>IF(Table1[[#This Row],[Freq]]="Yearly",Table1[[#This Row],[Coupon_Rate]]/100,IF(Table1[[#This Row],[Freq]]="Monthly",Table1[[#This Row],[Coupon_Rate]]/1200,IF(Table1[[#This Row],[Freq]]="Quarterly",Table1[[#This Row],[Coupon_Rate]]/400,0)))</f>
        <v>7.4166666666666669E-3</v>
      </c>
      <c r="AB250">
        <f ca="1">Table1[[#This Row],[Face Value]]*Table1[[#This Row],[Rate]]*Table1[[#This Row],[Time]]</f>
        <v>185.41666666666669</v>
      </c>
      <c r="AC250">
        <f ca="1">Table1[[#This Row],[SI]]+Table1[[#This Row],[Disc/Prem]]</f>
        <v>194.41666666666669</v>
      </c>
      <c r="AD250" s="3">
        <f ca="1">Table1[[#This Row],[Net Gain]]/Table1[[#This Row],[Ask Rate]]</f>
        <v>0.19618230743356879</v>
      </c>
      <c r="AE250" s="3">
        <f ca="1">IF(Table1[[#This Row],[Ask Qty]]=0,0,Table1[[#This Row],[Gross Yield]]*365/Table1[[#This Row],[Days Left]])</f>
        <v>9.5987322001679101E-2</v>
      </c>
      <c r="AF250" s="9">
        <f ca="1">+Table1[[#This Row],[Net Gain]]*Table1[[#This Row],[Ask Qty]]</f>
        <v>7387.8333333333339</v>
      </c>
      <c r="AG250" t="str">
        <f ca="1">IF(Table1[[#This Row],[YTM]]&gt;0.12,IF(Table1[[#This Row],[Gross Profit]]&gt;10000,"Invest","Review"),"Low YTM")</f>
        <v>Low YTM</v>
      </c>
    </row>
    <row r="251" spans="1:33" x14ac:dyDescent="0.3">
      <c r="A251" t="str">
        <f>RTD("nest.scriprtd",,"bse_cm|830JMFPL30","Symbol")</f>
        <v>830JMFPL30</v>
      </c>
      <c r="B251" t="str">
        <f>RTD("nest.scriprtd",,"bse_cm|830JMFPL30","Trading Symbol")</f>
        <v>830JMFPL30</v>
      </c>
      <c r="C251" t="str">
        <f>RTD("nest.scriprtd",,"bse_cm|830JMFPL30","Exchange")</f>
        <v>BSE</v>
      </c>
      <c r="D251">
        <f>RTD("nest.scriprtd",,"bse_cm|830JMFPL30","Bid Qty")</f>
        <v>200</v>
      </c>
      <c r="E251">
        <f>RTD("nest.scriprtd",,"bse_cm|830JMFPL30","Bid Rate")</f>
        <v>892</v>
      </c>
      <c r="F251">
        <f>RTD("nest.scriprtd",,"bse_cm|830JMFPL30","Ask Rate")</f>
        <v>992.1</v>
      </c>
      <c r="G251">
        <f>RTD("nest.scriprtd",,"bse_cm|830JMFPL30","Ask Qty")</f>
        <v>127</v>
      </c>
      <c r="H251">
        <f>RTD("nest.scriprtd",,"bse_cm|830JMFPL30","LTP")</f>
        <v>0</v>
      </c>
      <c r="I251" t="str">
        <f>RTD("nest.scriprtd",,"bse_cm|830JMFPL30","LTT")</f>
        <v>00:00:00</v>
      </c>
      <c r="J251">
        <f>RTD("nest.scriprtd",,"bse_cm|830JMFPL30","% Change")</f>
        <v>-100</v>
      </c>
      <c r="K251">
        <f>RTD("nest.scriprtd",,"bse_cm|830JMFPL30","ATP")</f>
        <v>0</v>
      </c>
      <c r="L251">
        <f>RTD("nest.scriprtd",,"bse_cm|830JMFPL30","Volume Traded Today")</f>
        <v>0</v>
      </c>
      <c r="M251">
        <f>RTD("nest.scriprtd",,"bse_cm|830JMFPL30","Open")</f>
        <v>0</v>
      </c>
      <c r="N251">
        <f>RTD("nest.scriprtd",,"bse_cm|830JMFPL30","High")</f>
        <v>945.33</v>
      </c>
      <c r="O251">
        <f>RTD("nest.scriprtd",,"bse_cm|830JMFPL30","Low ")</f>
        <v>945.33</v>
      </c>
      <c r="P251">
        <f>RTD("nest.scriprtd",,"bse_cm|830JMFPL30","Prev Close")</f>
        <v>945.33</v>
      </c>
      <c r="Q251">
        <f>RTD("nest.scriprtd",,"bse_cm|830JMFPL30","Face Value")</f>
        <v>1000</v>
      </c>
      <c r="R251" t="str">
        <f>RTD("nest.scriprtd",,"bse_cm|830JMFPL30","Isin code")</f>
        <v>INE523H07BQ9</v>
      </c>
      <c r="S251" s="9">
        <f>Table1[[#This Row],[Ask Rate]]*Table1[[#This Row],[Ask Qty]]</f>
        <v>125996.7</v>
      </c>
      <c r="T251">
        <f>VLOOKUP(Table1[[#This Row],[Isin code]],Table2[#All],7,FALSE)</f>
        <v>8.3000000000000007</v>
      </c>
      <c r="U251" s="17" t="str">
        <f>VLOOKUP(Table1[[#This Row],[Isin code]],Table2[#All],8,FALSE)</f>
        <v>07-Feb-2030</v>
      </c>
      <c r="V251" s="10">
        <f ca="1">Table1[[#This Row],[Maturity]]-TODAY()</f>
        <v>1940</v>
      </c>
      <c r="W251" t="str">
        <f>VLOOKUP(Table1[[#This Row],[Isin code]],Table2[#All],10,FALSE)</f>
        <v>Yearly</v>
      </c>
      <c r="X251">
        <f ca="1">_xlfn.DAYS(Table1[[#This Row],[Maturity]],TODAY())-15</f>
        <v>1925</v>
      </c>
      <c r="Y2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251">
        <f>IF(Table1[[#This Row],[Ask Rate]]=0,0,Table1[[#This Row],[Face Value]]-Table1[[#This Row],[Ask Rate]])</f>
        <v>7.8999999999999773</v>
      </c>
      <c r="AA251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251">
        <f ca="1">Table1[[#This Row],[Face Value]]*Table1[[#This Row],[Rate]]*Table1[[#This Row],[Time]]</f>
        <v>498</v>
      </c>
      <c r="AC251">
        <f ca="1">Table1[[#This Row],[SI]]+Table1[[#This Row],[Disc/Prem]]</f>
        <v>505.9</v>
      </c>
      <c r="AD251" s="3">
        <f ca="1">Table1[[#This Row],[Net Gain]]/Table1[[#This Row],[Ask Rate]]</f>
        <v>0.50992843463360549</v>
      </c>
      <c r="AE251" s="3">
        <f ca="1">IF(Table1[[#This Row],[Ask Qty]]=0,0,Table1[[#This Row],[Gross Yield]]*365/Table1[[#This Row],[Days Left]])</f>
        <v>9.5940143629518554E-2</v>
      </c>
      <c r="AF251" s="9">
        <f ca="1">+Table1[[#This Row],[Net Gain]]*Table1[[#This Row],[Ask Qty]]</f>
        <v>64249.299999999996</v>
      </c>
      <c r="AG251" t="str">
        <f ca="1">IF(Table1[[#This Row],[YTM]]&gt;0.12,IF(Table1[[#This Row],[Gross Profit]]&gt;10000,"Invest","Review"),"Low YTM")</f>
        <v>Low YTM</v>
      </c>
    </row>
    <row r="252" spans="1:33" hidden="1" x14ac:dyDescent="0.3">
      <c r="A252" t="str">
        <f>RTD("nest.scriprtd",,"bse_cm|825KFL25","Symbol")</f>
        <v>825KFL25</v>
      </c>
      <c r="B252" t="str">
        <f>RTD("nest.scriprtd",,"bse_cm|825KFL25","Trading Symbol")</f>
        <v>825KFL25</v>
      </c>
      <c r="C252" t="str">
        <f>RTD("nest.scriprtd",,"bse_cm|825KFL25","Exchange")</f>
        <v>BSE</v>
      </c>
      <c r="D252">
        <f>RTD("nest.scriprtd",,"bse_cm|825KFL25","Bid Qty")</f>
        <v>16</v>
      </c>
      <c r="E252">
        <f>RTD("nest.scriprtd",,"bse_cm|825KFL25","Bid Rate")</f>
        <v>825.3</v>
      </c>
      <c r="F252">
        <f>RTD("nest.scriprtd",,"bse_cm|825KFL25","Ask Rate")</f>
        <v>997</v>
      </c>
      <c r="G252">
        <f>RTD("nest.scriprtd",,"bse_cm|825KFL25","Ask Qty")</f>
        <v>144</v>
      </c>
      <c r="H252">
        <f>RTD("nest.scriprtd",,"bse_cm|825KFL25","LTP")</f>
        <v>0</v>
      </c>
      <c r="I252" t="str">
        <f>RTD("nest.scriprtd",,"bse_cm|825KFL25","LTT")</f>
        <v>00:00:00</v>
      </c>
      <c r="J252">
        <f>RTD("nest.scriprtd",,"bse_cm|825KFL25","% Change")</f>
        <v>-100</v>
      </c>
      <c r="K252">
        <f>RTD("nest.scriprtd",,"bse_cm|825KFL25","ATP")</f>
        <v>0</v>
      </c>
      <c r="L252">
        <f>RTD("nest.scriprtd",,"bse_cm|825KFL25","Volume Traded Today")</f>
        <v>0</v>
      </c>
      <c r="M252">
        <f>RTD("nest.scriprtd",,"bse_cm|825KFL25","Open")</f>
        <v>0</v>
      </c>
      <c r="N252">
        <f>RTD("nest.scriprtd",,"bse_cm|825KFL25","High")</f>
        <v>992</v>
      </c>
      <c r="O252">
        <f>RTD("nest.scriprtd",,"bse_cm|825KFL25","Low ")</f>
        <v>992</v>
      </c>
      <c r="P252">
        <f>RTD("nest.scriprtd",,"bse_cm|825KFL25","Prev Close")</f>
        <v>992</v>
      </c>
      <c r="Q252">
        <f>RTD("nest.scriprtd",,"bse_cm|825KFL25","Face Value")</f>
        <v>1000</v>
      </c>
      <c r="R252" t="str">
        <f>RTD("nest.scriprtd",,"bse_cm|825KFL25","Isin code")</f>
        <v>INE403Q07CZ4</v>
      </c>
      <c r="S252" s="9">
        <f>Table1[[#This Row],[Ask Rate]]*Table1[[#This Row],[Ask Qty]]</f>
        <v>143568</v>
      </c>
      <c r="T252">
        <f>VLOOKUP(Table1[[#This Row],[Isin code]],Table2[#All],7,FALSE)</f>
        <v>8.25</v>
      </c>
      <c r="U252" s="17" t="str">
        <f>VLOOKUP(Table1[[#This Row],[Isin code]],Table2[#All],8,FALSE)</f>
        <v>15-Jan-2025</v>
      </c>
      <c r="V252" s="10">
        <f ca="1">Table1[[#This Row],[Maturity]]-TODAY()</f>
        <v>91</v>
      </c>
      <c r="W252" t="str">
        <f>VLOOKUP(Table1[[#This Row],[Isin code]],Table2[#All],10,FALSE)</f>
        <v>Monthly</v>
      </c>
      <c r="X252">
        <f ca="1">_xlfn.DAYS(Table1[[#This Row],[Maturity]],TODAY())-15</f>
        <v>76</v>
      </c>
      <c r="Y2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252">
        <f>IF(Table1[[#This Row],[Ask Rate]]=0,0,Table1[[#This Row],[Face Value]]-Table1[[#This Row],[Ask Rate]])</f>
        <v>3</v>
      </c>
      <c r="AA252">
        <f>IF(Table1[[#This Row],[Freq]]="Yearly",Table1[[#This Row],[Coupon_Rate]]/100,IF(Table1[[#This Row],[Freq]]="Monthly",Table1[[#This Row],[Coupon_Rate]]/1200,IF(Table1[[#This Row],[Freq]]="Quarterly",Table1[[#This Row],[Coupon_Rate]]/400,0)))</f>
        <v>6.875E-3</v>
      </c>
      <c r="AB252">
        <f ca="1">Table1[[#This Row],[Face Value]]*Table1[[#This Row],[Rate]]*Table1[[#This Row],[Time]]</f>
        <v>20.625</v>
      </c>
      <c r="AC252">
        <f ca="1">Table1[[#This Row],[SI]]+Table1[[#This Row],[Disc/Prem]]</f>
        <v>23.625</v>
      </c>
      <c r="AD252" s="3">
        <f ca="1">Table1[[#This Row],[Net Gain]]/Table1[[#This Row],[Ask Rate]]</f>
        <v>2.3696088264794381E-2</v>
      </c>
      <c r="AE252" s="3">
        <f ca="1">IF(Table1[[#This Row],[Ask Qty]]=0,0,Table1[[#This Row],[Gross Yield]]*365/Table1[[#This Row],[Days Left]])</f>
        <v>9.5044749633515932E-2</v>
      </c>
      <c r="AF252" s="9">
        <f ca="1">+Table1[[#This Row],[Net Gain]]*Table1[[#This Row],[Ask Qty]]</f>
        <v>3402</v>
      </c>
      <c r="AG252" t="str">
        <f ca="1">IF(Table1[[#This Row],[YTM]]&gt;0.12,IF(Table1[[#This Row],[Gross Profit]]&gt;10000,"Invest","Review"),"Low YTM")</f>
        <v>Low YTM</v>
      </c>
    </row>
    <row r="253" spans="1:33" x14ac:dyDescent="0.3">
      <c r="A253" t="str">
        <f>RTD("nest.scriprtd",,"bse_cm|95KFL26","Symbol")</f>
        <v>95KFL26</v>
      </c>
      <c r="B253" t="str">
        <f>RTD("nest.scriprtd",,"bse_cm|95KFL26","Trading Symbol")</f>
        <v>95KFL26</v>
      </c>
      <c r="C253" t="str">
        <f>RTD("nest.scriprtd",,"bse_cm|95KFL26","Exchange")</f>
        <v>BSE</v>
      </c>
      <c r="D253">
        <f>RTD("nest.scriprtd",,"bse_cm|95KFL26","Bid Qty")</f>
        <v>10</v>
      </c>
      <c r="E253">
        <f>RTD("nest.scriprtd",,"bse_cm|95KFL26","Bid Rate")</f>
        <v>950.05</v>
      </c>
      <c r="F253">
        <f>RTD("nest.scriprtd",,"bse_cm|95KFL26","Ask Rate")</f>
        <v>1000</v>
      </c>
      <c r="G253">
        <f>RTD("nest.scriprtd",,"bse_cm|95KFL26","Ask Qty")</f>
        <v>50</v>
      </c>
      <c r="H253">
        <f>RTD("nest.scriprtd",,"bse_cm|95KFL26","LTP")</f>
        <v>0</v>
      </c>
      <c r="I253" t="str">
        <f>RTD("nest.scriprtd",,"bse_cm|95KFL26","LTT")</f>
        <v>00:00:00</v>
      </c>
      <c r="J253">
        <f>RTD("nest.scriprtd",,"bse_cm|95KFL26","% Change")</f>
        <v>-100</v>
      </c>
      <c r="K253">
        <f>RTD("nest.scriprtd",,"bse_cm|95KFL26","ATP")</f>
        <v>0</v>
      </c>
      <c r="L253">
        <f>RTD("nest.scriprtd",,"bse_cm|95KFL26","Volume Traded Today")</f>
        <v>0</v>
      </c>
      <c r="M253">
        <f>RTD("nest.scriprtd",,"bse_cm|95KFL26","Open")</f>
        <v>0</v>
      </c>
      <c r="N253">
        <f>RTD("nest.scriprtd",,"bse_cm|95KFL26","High")</f>
        <v>970</v>
      </c>
      <c r="O253">
        <f>RTD("nest.scriprtd",,"bse_cm|95KFL26","Low ")</f>
        <v>970</v>
      </c>
      <c r="P253">
        <f>RTD("nest.scriprtd",,"bse_cm|95KFL26","Prev Close")</f>
        <v>970</v>
      </c>
      <c r="Q253">
        <f>RTD("nest.scriprtd",,"bse_cm|95KFL26","Face Value")</f>
        <v>1000</v>
      </c>
      <c r="R253" t="str">
        <f>RTD("nest.scriprtd",,"bse_cm|95KFL26","Isin code")</f>
        <v>INE403Q07CU5</v>
      </c>
      <c r="S253" s="9">
        <f>Table1[[#This Row],[Ask Rate]]*Table1[[#This Row],[Ask Qty]]</f>
        <v>50000</v>
      </c>
      <c r="T253">
        <f>VLOOKUP(Table1[[#This Row],[Isin code]],Table2[#All],7,FALSE)</f>
        <v>9.5</v>
      </c>
      <c r="U253" s="17" t="str">
        <f>VLOOKUP(Table1[[#This Row],[Isin code]],Table2[#All],8,FALSE)</f>
        <v>10-Aug-2026</v>
      </c>
      <c r="V253" s="10">
        <f ca="1">Table1[[#This Row],[Maturity]]-TODAY()</f>
        <v>663</v>
      </c>
      <c r="W253" t="str">
        <f>VLOOKUP(Table1[[#This Row],[Isin code]],Table2[#All],10,FALSE)</f>
        <v>Monthly</v>
      </c>
      <c r="X253">
        <f ca="1">_xlfn.DAYS(Table1[[#This Row],[Maturity]],TODAY())-15</f>
        <v>648</v>
      </c>
      <c r="Y2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253">
        <f>IF(Table1[[#This Row],[Ask Rate]]=0,0,Table1[[#This Row],[Face Value]]-Table1[[#This Row],[Ask Rate]])</f>
        <v>0</v>
      </c>
      <c r="AA253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253">
        <f ca="1">Table1[[#This Row],[Face Value]]*Table1[[#This Row],[Rate]]*Table1[[#This Row],[Time]]</f>
        <v>174.16666666666669</v>
      </c>
      <c r="AC253">
        <f ca="1">Table1[[#This Row],[SI]]+Table1[[#This Row],[Disc/Prem]]</f>
        <v>174.16666666666669</v>
      </c>
      <c r="AD253" s="3">
        <f ca="1">Table1[[#This Row],[Net Gain]]/Table1[[#This Row],[Ask Rate]]</f>
        <v>0.17416666666666669</v>
      </c>
      <c r="AE253" s="3">
        <f ca="1">IF(Table1[[#This Row],[Ask Qty]]=0,0,Table1[[#This Row],[Gross Yield]]*365/Table1[[#This Row],[Days Left]])</f>
        <v>9.5883609854198096E-2</v>
      </c>
      <c r="AF253" s="9">
        <f ca="1">+Table1[[#This Row],[Net Gain]]*Table1[[#This Row],[Ask Qty]]</f>
        <v>8708.3333333333339</v>
      </c>
      <c r="AG253" t="str">
        <f ca="1">IF(Table1[[#This Row],[YTM]]&gt;0.12,IF(Table1[[#This Row],[Gross Profit]]&gt;10000,"Invest","Review"),"Low YTM")</f>
        <v>Low YTM</v>
      </c>
    </row>
    <row r="254" spans="1:33" x14ac:dyDescent="0.3">
      <c r="A254" t="str">
        <f>RTD("nest.scriprtd",,"nse_cm|965AEL27-N4","Symbol")</f>
        <v>965AEL27</v>
      </c>
      <c r="B254" t="str">
        <f>RTD("nest.scriprtd",,"nse_cm|965AEL27-N4","Trading Symbol")</f>
        <v>965AEL27-N4</v>
      </c>
      <c r="C254" t="str">
        <f>RTD("nest.scriprtd",,"nse_cm|965AEL27-N4","Exchange")</f>
        <v>NSE</v>
      </c>
      <c r="D254">
        <f>RTD("nest.scriprtd",,"nse_cm|965AEL27-N4","Bid Qty")</f>
        <v>50</v>
      </c>
      <c r="E254">
        <f>RTD("nest.scriprtd",,"nse_cm|965AEL27-N4","Bid Rate")</f>
        <v>1005.5</v>
      </c>
      <c r="F254">
        <f>RTD("nest.scriprtd",,"nse_cm|965AEL27-N4","Ask Rate")</f>
        <v>1009.07</v>
      </c>
      <c r="G254">
        <f>RTD("nest.scriprtd",,"nse_cm|965AEL27-N4","Ask Qty")</f>
        <v>1234</v>
      </c>
      <c r="H254">
        <f>RTD("nest.scriprtd",,"nse_cm|965AEL27-N4","LTP")</f>
        <v>1008.73</v>
      </c>
      <c r="I254" t="str">
        <f>RTD("nest.scriprtd",,"nse_cm|965AEL27-N4","LTT")</f>
        <v/>
      </c>
      <c r="J254">
        <f>RTD("nest.scriprtd",,"nse_cm|965AEL27-N4","% Change")</f>
        <v>0</v>
      </c>
      <c r="K254">
        <f>RTD("nest.scriprtd",,"nse_cm|965AEL27-N4","ATP")</f>
        <v>0</v>
      </c>
      <c r="L254">
        <f>RTD("nest.scriprtd",,"nse_cm|965AEL27-N4","Volume Traded Today")</f>
        <v>0</v>
      </c>
      <c r="M254">
        <f>RTD("nest.scriprtd",,"nse_cm|965AEL27-N4","Open")</f>
        <v>0</v>
      </c>
      <c r="N254">
        <f>RTD("nest.scriprtd",,"nse_cm|965AEL27-N4","High")</f>
        <v>1008.73</v>
      </c>
      <c r="O254">
        <f>RTD("nest.scriprtd",,"nse_cm|965AEL27-N4","Low ")</f>
        <v>1008.73</v>
      </c>
      <c r="P254">
        <f>RTD("nest.scriprtd",,"nse_cm|965AEL27-N4","Prev Close")</f>
        <v>1008.73</v>
      </c>
      <c r="Q254">
        <f>RTD("nest.scriprtd",,"nse_cm|965AEL27-N4","Face Value")</f>
        <v>1000</v>
      </c>
      <c r="R254" t="str">
        <f>RTD("nest.scriprtd",,"nse_cm|965AEL27-N4","Isin code")</f>
        <v>INE423A07328</v>
      </c>
      <c r="S254" s="9">
        <f>Table1[[#This Row],[Ask Rate]]*Table1[[#This Row],[Ask Qty]]</f>
        <v>1245192.3800000001</v>
      </c>
      <c r="T254">
        <f>VLOOKUP(Table1[[#This Row],[Isin code]],Table2[#All],7,FALSE)</f>
        <v>9.65</v>
      </c>
      <c r="U254" s="17" t="str">
        <f>VLOOKUP(Table1[[#This Row],[Isin code]],Table2[#All],8,FALSE)</f>
        <v>12-Sep-2027</v>
      </c>
      <c r="V254" s="10">
        <f ca="1">Table1[[#This Row],[Maturity]]-TODAY()</f>
        <v>1061</v>
      </c>
      <c r="W254" t="str">
        <f>VLOOKUP(Table1[[#This Row],[Isin code]],Table2[#All],10,FALSE)</f>
        <v>Yearly</v>
      </c>
      <c r="X254">
        <f ca="1">_xlfn.DAYS(Table1[[#This Row],[Maturity]],TODAY())-15</f>
        <v>1046</v>
      </c>
      <c r="Y2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254">
        <f>IF(Table1[[#This Row],[Ask Rate]]=0,0,Table1[[#This Row],[Face Value]]-Table1[[#This Row],[Ask Rate]])</f>
        <v>-9.07000000000005</v>
      </c>
      <c r="AA254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254">
        <f ca="1">Table1[[#This Row],[Face Value]]*Table1[[#This Row],[Rate]]*Table1[[#This Row],[Time]]</f>
        <v>289.5</v>
      </c>
      <c r="AC254">
        <f ca="1">Table1[[#This Row],[SI]]+Table1[[#This Row],[Disc/Prem]]</f>
        <v>280.42999999999995</v>
      </c>
      <c r="AD254" s="3">
        <f ca="1">Table1[[#This Row],[Net Gain]]/Table1[[#This Row],[Ask Rate]]</f>
        <v>0.27790936208588102</v>
      </c>
      <c r="AE254" s="3">
        <f ca="1">IF(Table1[[#This Row],[Ask Qty]]=0,0,Table1[[#This Row],[Gross Yield]]*365/Table1[[#This Row],[Days Left]])</f>
        <v>9.5605011462155109E-2</v>
      </c>
      <c r="AF254" s="9">
        <f ca="1">+Table1[[#This Row],[Net Gain]]*Table1[[#This Row],[Ask Qty]]</f>
        <v>346050.61999999994</v>
      </c>
      <c r="AG254" t="str">
        <f ca="1">IF(Table1[[#This Row],[YTM]]&gt;0.12,IF(Table1[[#This Row],[Gross Profit]]&gt;10000,"Invest","Review"),"Low YTM")</f>
        <v>Low YTM</v>
      </c>
    </row>
    <row r="255" spans="1:33" x14ac:dyDescent="0.3">
      <c r="A255" t="str">
        <f>RTD("nest.scriprtd",,"nse_cm|957NIDO26-N5","Symbol")</f>
        <v>957NIDO26</v>
      </c>
      <c r="B255" t="str">
        <f>RTD("nest.scriprtd",,"nse_cm|957NIDO26-N5","Trading Symbol")</f>
        <v>957NIDO26-N5</v>
      </c>
      <c r="C255" t="str">
        <f>RTD("nest.scriprtd",,"nse_cm|957NIDO26-N5","Exchange")</f>
        <v>NSE</v>
      </c>
      <c r="D255">
        <f>RTD("nest.scriprtd",,"nse_cm|957NIDO26-N5","Bid Qty")</f>
        <v>15</v>
      </c>
      <c r="E255">
        <f>RTD("nest.scriprtd",,"nse_cm|957NIDO26-N5","Bid Rate")</f>
        <v>942.1</v>
      </c>
      <c r="F255">
        <f>RTD("nest.scriprtd",,"nse_cm|957NIDO26-N5","Ask Rate")</f>
        <v>999.6</v>
      </c>
      <c r="G255">
        <f>RTD("nest.scriprtd",,"nse_cm|957NIDO26-N5","Ask Qty")</f>
        <v>20</v>
      </c>
      <c r="H255">
        <f>RTD("nest.scriprtd",,"nse_cm|957NIDO26-N5","LTP")</f>
        <v>971</v>
      </c>
      <c r="I255" t="str">
        <f>RTD("nest.scriprtd",,"nse_cm|957NIDO26-N5","LTT")</f>
        <v/>
      </c>
      <c r="J255">
        <f>RTD("nest.scriprtd",,"nse_cm|957NIDO26-N5","% Change")</f>
        <v>0</v>
      </c>
      <c r="K255">
        <f>RTD("nest.scriprtd",,"nse_cm|957NIDO26-N5","ATP")</f>
        <v>0</v>
      </c>
      <c r="L255">
        <f>RTD("nest.scriprtd",,"nse_cm|957NIDO26-N5","Volume Traded Today")</f>
        <v>0</v>
      </c>
      <c r="M255">
        <f>RTD("nest.scriprtd",,"nse_cm|957NIDO26-N5","Open")</f>
        <v>0</v>
      </c>
      <c r="N255">
        <f>RTD("nest.scriprtd",,"nse_cm|957NIDO26-N5","High")</f>
        <v>971</v>
      </c>
      <c r="O255">
        <f>RTD("nest.scriprtd",,"nse_cm|957NIDO26-N5","Low ")</f>
        <v>971</v>
      </c>
      <c r="P255">
        <f>RTD("nest.scriprtd",,"nse_cm|957NIDO26-N5","Prev Close")</f>
        <v>971</v>
      </c>
      <c r="Q255">
        <f>RTD("nest.scriprtd",,"nse_cm|957NIDO26-N5","Face Value")</f>
        <v>1000</v>
      </c>
      <c r="R255" t="str">
        <f>RTD("nest.scriprtd",,"nse_cm|957NIDO26-N5","Isin code")</f>
        <v>INE530L07210</v>
      </c>
      <c r="S255" s="9">
        <f>Table1[[#This Row],[Ask Rate]]*Table1[[#This Row],[Ask Qty]]</f>
        <v>19992</v>
      </c>
      <c r="T255">
        <f>VLOOKUP(Table1[[#This Row],[Isin code]],Table2[#All],7,FALSE)</f>
        <v>9.57</v>
      </c>
      <c r="U255" s="17">
        <f>VLOOKUP(Table1[[#This Row],[Isin code]],Table2[#All],8,FALSE)</f>
        <v>46222</v>
      </c>
      <c r="V255" s="10">
        <f ca="1">Table1[[#This Row],[Maturity]]-TODAY()</f>
        <v>641</v>
      </c>
      <c r="W255" t="str">
        <f>VLOOKUP(Table1[[#This Row],[Isin code]],Table2[#All],10,FALSE)</f>
        <v>Monthly</v>
      </c>
      <c r="X255">
        <f ca="1">_xlfn.DAYS(Table1[[#This Row],[Maturity]],TODAY())-15</f>
        <v>626</v>
      </c>
      <c r="Y2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21</v>
      </c>
      <c r="Z255">
        <f>IF(Table1[[#This Row],[Ask Rate]]=0,0,Table1[[#This Row],[Face Value]]-Table1[[#This Row],[Ask Rate]])</f>
        <v>0.39999999999997726</v>
      </c>
      <c r="AA255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255">
        <f ca="1">Table1[[#This Row],[Face Value]]*Table1[[#This Row],[Rate]]*Table1[[#This Row],[Time]]</f>
        <v>167.47499999999999</v>
      </c>
      <c r="AC255">
        <f ca="1">Table1[[#This Row],[SI]]+Table1[[#This Row],[Disc/Prem]]</f>
        <v>167.87499999999997</v>
      </c>
      <c r="AD255" s="3">
        <f ca="1">Table1[[#This Row],[Net Gain]]/Table1[[#This Row],[Ask Rate]]</f>
        <v>0.16794217687074828</v>
      </c>
      <c r="AE255" s="3">
        <f ca="1">IF(Table1[[#This Row],[Ask Qty]]=0,0,Table1[[#This Row],[Gross Yield]]*365/Table1[[#This Row],[Days Left]])</f>
        <v>9.5630100714232627E-2</v>
      </c>
      <c r="AF255" s="9">
        <f ca="1">+Table1[[#This Row],[Net Gain]]*Table1[[#This Row],[Ask Qty]]</f>
        <v>3357.4999999999995</v>
      </c>
      <c r="AG255" t="str">
        <f ca="1">IF(Table1[[#This Row],[YTM]]&gt;0.12,IF(Table1[[#This Row],[Gross Profit]]&gt;10000,"Invest","Review"),"Low YTM")</f>
        <v>Low YTM</v>
      </c>
    </row>
    <row r="256" spans="1:33" hidden="1" x14ac:dyDescent="0.3">
      <c r="A256" t="str">
        <f>RTD("nest.scriprtd",,"nse_cm|975NFL25-N0","Symbol")</f>
        <v>975NFL25</v>
      </c>
      <c r="B256" t="str">
        <f>RTD("nest.scriprtd",,"nse_cm|975NFL25-N0","Trading Symbol")</f>
        <v>975NFL25-N0</v>
      </c>
      <c r="C256" t="str">
        <f>RTD("nest.scriprtd",,"nse_cm|975NFL25-N0","Exchange")</f>
        <v>NSE</v>
      </c>
      <c r="D256">
        <f>RTD("nest.scriprtd",,"nse_cm|975NFL25-N0","Bid Qty")</f>
        <v>50</v>
      </c>
      <c r="E256">
        <f>RTD("nest.scriprtd",,"nse_cm|975NFL25-N0","Bid Rate")</f>
        <v>990.04</v>
      </c>
      <c r="F256">
        <f>RTD("nest.scriprtd",,"nse_cm|975NFL25-N0","Ask Rate")</f>
        <v>999.98</v>
      </c>
      <c r="G256">
        <f>RTD("nest.scriprtd",,"nse_cm|975NFL25-N0","Ask Qty")</f>
        <v>20</v>
      </c>
      <c r="H256">
        <f>RTD("nest.scriprtd",,"nse_cm|975NFL25-N0","LTP")</f>
        <v>991</v>
      </c>
      <c r="I256" t="str">
        <f>RTD("nest.scriprtd",,"nse_cm|975NFL25-N0","LTT")</f>
        <v/>
      </c>
      <c r="J256">
        <f>RTD("nest.scriprtd",,"nse_cm|975NFL25-N0","% Change")</f>
        <v>0</v>
      </c>
      <c r="K256">
        <f>RTD("nest.scriprtd",,"nse_cm|975NFL25-N0","ATP")</f>
        <v>0</v>
      </c>
      <c r="L256">
        <f>RTD("nest.scriprtd",,"nse_cm|975NFL25-N0","Volume Traded Today")</f>
        <v>0</v>
      </c>
      <c r="M256">
        <f>RTD("nest.scriprtd",,"nse_cm|975NFL25-N0","Open")</f>
        <v>0</v>
      </c>
      <c r="N256">
        <f>RTD("nest.scriprtd",,"nse_cm|975NFL25-N0","High")</f>
        <v>991</v>
      </c>
      <c r="O256">
        <f>RTD("nest.scriprtd",,"nse_cm|975NFL25-N0","Low ")</f>
        <v>987</v>
      </c>
      <c r="P256">
        <f>RTD("nest.scriprtd",,"nse_cm|975NFL25-N0","Prev Close")</f>
        <v>991</v>
      </c>
      <c r="Q256">
        <f>RTD("nest.scriprtd",,"nse_cm|975NFL25-N0","Face Value")</f>
        <v>1000</v>
      </c>
      <c r="R256" t="str">
        <f>RTD("nest.scriprtd",,"nse_cm|975NFL25-N0","Isin code")</f>
        <v>INE342T07411</v>
      </c>
      <c r="S256" s="9">
        <f>Table1[[#This Row],[Ask Rate]]*Table1[[#This Row],[Ask Qty]]</f>
        <v>19999.599999999999</v>
      </c>
      <c r="T256">
        <f>VLOOKUP(Table1[[#This Row],[Isin code]],Table2[#All],7,FALSE)</f>
        <v>9.75</v>
      </c>
      <c r="U256" s="17" t="str">
        <f>VLOOKUP(Table1[[#This Row],[Isin code]],Table2[#All],8,FALSE)</f>
        <v>18-Jan-2025</v>
      </c>
      <c r="V256" s="10">
        <f ca="1">Table1[[#This Row],[Maturity]]-TODAY()</f>
        <v>94</v>
      </c>
      <c r="W256" t="str">
        <f>VLOOKUP(Table1[[#This Row],[Isin code]],Table2[#All],10,FALSE)</f>
        <v>Monthly</v>
      </c>
      <c r="X256">
        <f ca="1">_xlfn.DAYS(Table1[[#This Row],[Maturity]],TODAY())-15</f>
        <v>79</v>
      </c>
      <c r="Y2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256">
        <f>IF(Table1[[#This Row],[Ask Rate]]=0,0,Table1[[#This Row],[Face Value]]-Table1[[#This Row],[Ask Rate]])</f>
        <v>1.999999999998181E-2</v>
      </c>
      <c r="AA256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256">
        <f ca="1">Table1[[#This Row],[Face Value]]*Table1[[#This Row],[Rate]]*Table1[[#This Row],[Time]]</f>
        <v>24.375</v>
      </c>
      <c r="AC256">
        <f ca="1">Table1[[#This Row],[SI]]+Table1[[#This Row],[Disc/Prem]]</f>
        <v>24.394999999999982</v>
      </c>
      <c r="AD256" s="3">
        <f ca="1">Table1[[#This Row],[Net Gain]]/Table1[[#This Row],[Ask Rate]]</f>
        <v>2.4395487909758175E-2</v>
      </c>
      <c r="AE256" s="3">
        <f ca="1">IF(Table1[[#This Row],[Ask Qty]]=0,0,Table1[[#This Row],[Gross Yield]]*365/Table1[[#This Row],[Days Left]])</f>
        <v>9.4727160500656743E-2</v>
      </c>
      <c r="AF256" s="9">
        <f ca="1">+Table1[[#This Row],[Net Gain]]*Table1[[#This Row],[Ask Qty]]</f>
        <v>487.89999999999964</v>
      </c>
      <c r="AG256" t="str">
        <f ca="1">IF(Table1[[#This Row],[YTM]]&gt;0.12,IF(Table1[[#This Row],[Gross Profit]]&gt;10000,"Invest","Review"),"Low YTM")</f>
        <v>Low YTM</v>
      </c>
    </row>
    <row r="257" spans="1:33" x14ac:dyDescent="0.3">
      <c r="A257" t="str">
        <f>RTD("nest.scriprtd",,"bse_cm|9MFL27A","Symbol")</f>
        <v>9MFL27A</v>
      </c>
      <c r="B257" t="str">
        <f>RTD("nest.scriprtd",,"bse_cm|9MFL27A","Trading Symbol")</f>
        <v>9MFL27A</v>
      </c>
      <c r="C257" t="str">
        <f>RTD("nest.scriprtd",,"bse_cm|9MFL27A","Exchange")</f>
        <v>BSE</v>
      </c>
      <c r="D257">
        <f>RTD("nest.scriprtd",,"bse_cm|9MFL27A","Bid Qty")</f>
        <v>50</v>
      </c>
      <c r="E257">
        <f>RTD("nest.scriprtd",,"bse_cm|9MFL27A","Bid Rate")</f>
        <v>960</v>
      </c>
      <c r="F257">
        <f>RTD("nest.scriprtd",,"bse_cm|9MFL27A","Ask Rate")</f>
        <v>989.8</v>
      </c>
      <c r="G257">
        <f>RTD("nest.scriprtd",,"bse_cm|9MFL27A","Ask Qty")</f>
        <v>27</v>
      </c>
      <c r="H257">
        <f>RTD("nest.scriprtd",,"bse_cm|9MFL27A","LTP")</f>
        <v>0</v>
      </c>
      <c r="I257" t="str">
        <f>RTD("nest.scriprtd",,"bse_cm|9MFL27A","LTT")</f>
        <v>00:00:00</v>
      </c>
      <c r="J257">
        <f>RTD("nest.scriprtd",,"bse_cm|9MFL27A","% Change")</f>
        <v>-100</v>
      </c>
      <c r="K257">
        <f>RTD("nest.scriprtd",,"bse_cm|9MFL27A","ATP")</f>
        <v>0</v>
      </c>
      <c r="L257">
        <f>RTD("nest.scriprtd",,"bse_cm|9MFL27A","Volume Traded Today")</f>
        <v>0</v>
      </c>
      <c r="M257">
        <f>RTD("nest.scriprtd",,"bse_cm|9MFL27A","Open")</f>
        <v>0</v>
      </c>
      <c r="N257">
        <f>RTD("nest.scriprtd",,"bse_cm|9MFL27A","High")</f>
        <v>964</v>
      </c>
      <c r="O257">
        <f>RTD("nest.scriprtd",,"bse_cm|9MFL27A","Low ")</f>
        <v>964</v>
      </c>
      <c r="P257">
        <f>RTD("nest.scriprtd",,"bse_cm|9MFL27A","Prev Close")</f>
        <v>964</v>
      </c>
      <c r="Q257">
        <f>RTD("nest.scriprtd",,"bse_cm|9MFL27A","Face Value")</f>
        <v>1000</v>
      </c>
      <c r="R257" t="str">
        <f>RTD("nest.scriprtd",,"bse_cm|9MFL27A","Isin code")</f>
        <v>INE549K08202</v>
      </c>
      <c r="S257" s="9">
        <f>Table1[[#This Row],[Ask Rate]]*Table1[[#This Row],[Ask Qty]]</f>
        <v>26724.6</v>
      </c>
      <c r="T257">
        <f>VLOOKUP(Table1[[#This Row],[Isin code]],Table2[#All],7,FALSE)</f>
        <v>9</v>
      </c>
      <c r="U257" s="17" t="str">
        <f>VLOOKUP(Table1[[#This Row],[Isin code]],Table2[#All],8,FALSE)</f>
        <v>15-Mar-2027</v>
      </c>
      <c r="V257" s="10">
        <f ca="1">Table1[[#This Row],[Maturity]]-TODAY()</f>
        <v>880</v>
      </c>
      <c r="W257" t="str">
        <f>VLOOKUP(Table1[[#This Row],[Isin code]],Table2[#All],10,FALSE)</f>
        <v>Monthly</v>
      </c>
      <c r="X257">
        <f ca="1">_xlfn.DAYS(Table1[[#This Row],[Maturity]],TODAY())-15</f>
        <v>865</v>
      </c>
      <c r="Y2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29</v>
      </c>
      <c r="Z257">
        <f>IF(Table1[[#This Row],[Ask Rate]]=0,0,Table1[[#This Row],[Face Value]]-Table1[[#This Row],[Ask Rate]])</f>
        <v>10.200000000000045</v>
      </c>
      <c r="AA257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257">
        <f ca="1">Table1[[#This Row],[Face Value]]*Table1[[#This Row],[Rate]]*Table1[[#This Row],[Time]]</f>
        <v>217.5</v>
      </c>
      <c r="AC257">
        <f ca="1">Table1[[#This Row],[SI]]+Table1[[#This Row],[Disc/Prem]]</f>
        <v>227.70000000000005</v>
      </c>
      <c r="AD257" s="3">
        <f ca="1">Table1[[#This Row],[Net Gain]]/Table1[[#This Row],[Ask Rate]]</f>
        <v>0.23004647403515868</v>
      </c>
      <c r="AE257" s="3">
        <f ca="1">IF(Table1[[#This Row],[Ask Qty]]=0,0,Table1[[#This Row],[Gross Yield]]*365/Table1[[#This Row],[Days Left]])</f>
        <v>9.5417003435037409E-2</v>
      </c>
      <c r="AF257" s="9">
        <f ca="1">+Table1[[#This Row],[Net Gain]]*Table1[[#This Row],[Ask Qty]]</f>
        <v>6147.9000000000015</v>
      </c>
      <c r="AG257" t="str">
        <f ca="1">IF(Table1[[#This Row],[YTM]]&gt;0.12,IF(Table1[[#This Row],[Gross Profit]]&gt;10000,"Invest","Review"),"Low YTM")</f>
        <v>Low YTM</v>
      </c>
    </row>
    <row r="258" spans="1:33" x14ac:dyDescent="0.3">
      <c r="A258" t="str">
        <f>RTD("nest.scriprtd",,"bse_cm|12IFL27","Symbol")</f>
        <v>12IFL27</v>
      </c>
      <c r="B258" t="str">
        <f>RTD("nest.scriprtd",,"bse_cm|12IFL27","Trading Symbol")</f>
        <v>12IFL27</v>
      </c>
      <c r="C258" t="str">
        <f>RTD("nest.scriprtd",,"bse_cm|12IFL27","Exchange")</f>
        <v>BSE</v>
      </c>
      <c r="D258">
        <f>RTD("nest.scriprtd",,"bse_cm|12IFL27","Bid Qty")</f>
        <v>100</v>
      </c>
      <c r="E258">
        <f>RTD("nest.scriprtd",,"bse_cm|12IFL27","Bid Rate")</f>
        <v>945</v>
      </c>
      <c r="F258">
        <f>RTD("nest.scriprtd",,"bse_cm|12IFL27","Ask Rate")</f>
        <v>1050</v>
      </c>
      <c r="G258">
        <f>RTD("nest.scriprtd",,"bse_cm|12IFL27","Ask Qty")</f>
        <v>490</v>
      </c>
      <c r="H258">
        <f>RTD("nest.scriprtd",,"bse_cm|12IFL27","LTP")</f>
        <v>0</v>
      </c>
      <c r="I258" t="str">
        <f>RTD("nest.scriprtd",,"bse_cm|12IFL27","LTT")</f>
        <v>00:00:00</v>
      </c>
      <c r="J258">
        <f>RTD("nest.scriprtd",,"bse_cm|12IFL27","% Change")</f>
        <v>-100</v>
      </c>
      <c r="K258">
        <f>RTD("nest.scriprtd",,"bse_cm|12IFL27","ATP")</f>
        <v>0</v>
      </c>
      <c r="L258">
        <f>RTD("nest.scriprtd",,"bse_cm|12IFL27","Volume Traded Today")</f>
        <v>0</v>
      </c>
      <c r="M258">
        <f>RTD("nest.scriprtd",,"bse_cm|12IFL27","Open")</f>
        <v>0</v>
      </c>
      <c r="N258">
        <f>RTD("nest.scriprtd",,"bse_cm|12IFL27","High")</f>
        <v>1004</v>
      </c>
      <c r="O258">
        <f>RTD("nest.scriprtd",,"bse_cm|12IFL27","Low ")</f>
        <v>1004</v>
      </c>
      <c r="P258">
        <f>RTD("nest.scriprtd",,"bse_cm|12IFL27","Prev Close")</f>
        <v>1004</v>
      </c>
      <c r="Q258">
        <f>RTD("nest.scriprtd",,"bse_cm|12IFL27","Face Value")</f>
        <v>1000</v>
      </c>
      <c r="R258" t="str">
        <f>RTD("nest.scriprtd",,"bse_cm|12IFL27","Isin code")</f>
        <v>INE01CY077R3</v>
      </c>
      <c r="S258" s="9">
        <f>Table1[[#This Row],[Ask Rate]]*Table1[[#This Row],[Ask Qty]]</f>
        <v>514500</v>
      </c>
      <c r="T258">
        <f>VLOOKUP(Table1[[#This Row],[Isin code]],Table2[#All],7,FALSE)</f>
        <v>12</v>
      </c>
      <c r="U258" s="17" t="str">
        <f>VLOOKUP(Table1[[#This Row],[Isin code]],Table2[#All],8,FALSE)</f>
        <v>19-Apr-2027</v>
      </c>
      <c r="V258" s="10">
        <f ca="1">Table1[[#This Row],[Maturity]]-TODAY()</f>
        <v>915</v>
      </c>
      <c r="W258" t="str">
        <f>VLOOKUP(Table1[[#This Row],[Isin code]],Table2[#All],10,FALSE)</f>
        <v>Monthly</v>
      </c>
      <c r="X258">
        <f ca="1">_xlfn.DAYS(Table1[[#This Row],[Maturity]],TODAY())-15</f>
        <v>900</v>
      </c>
      <c r="Y2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258">
        <f>IF(Table1[[#This Row],[Ask Rate]]=0,0,Table1[[#This Row],[Face Value]]-Table1[[#This Row],[Ask Rate]])</f>
        <v>-50</v>
      </c>
      <c r="AA258">
        <f>IF(Table1[[#This Row],[Freq]]="Yearly",Table1[[#This Row],[Coupon_Rate]]/100,IF(Table1[[#This Row],[Freq]]="Monthly",Table1[[#This Row],[Coupon_Rate]]/1200,IF(Table1[[#This Row],[Freq]]="Quarterly",Table1[[#This Row],[Coupon_Rate]]/400,0)))</f>
        <v>0.01</v>
      </c>
      <c r="AB258">
        <f ca="1">Table1[[#This Row],[Face Value]]*Table1[[#This Row],[Rate]]*Table1[[#This Row],[Time]]</f>
        <v>300</v>
      </c>
      <c r="AC258">
        <f ca="1">Table1[[#This Row],[SI]]+Table1[[#This Row],[Disc/Prem]]</f>
        <v>250</v>
      </c>
      <c r="AD258" s="3">
        <f ca="1">Table1[[#This Row],[Net Gain]]/Table1[[#This Row],[Ask Rate]]</f>
        <v>0.23809523809523808</v>
      </c>
      <c r="AE258" s="3">
        <f ca="1">IF(Table1[[#This Row],[Ask Qty]]=0,0,Table1[[#This Row],[Gross Yield]]*365/Table1[[#This Row],[Days Left]])</f>
        <v>9.4977881863127764E-2</v>
      </c>
      <c r="AF258" s="9">
        <f ca="1">+Table1[[#This Row],[Net Gain]]*Table1[[#This Row],[Ask Qty]]</f>
        <v>122500</v>
      </c>
      <c r="AG258" t="str">
        <f ca="1">IF(Table1[[#This Row],[YTM]]&gt;0.12,IF(Table1[[#This Row],[Gross Profit]]&gt;10000,"Invest","Review"),"Low YTM")</f>
        <v>Low YTM</v>
      </c>
    </row>
    <row r="259" spans="1:33" x14ac:dyDescent="0.3">
      <c r="A259" t="str">
        <f>RTD("nest.scriprtd",,"nse_cm|1050NFL26-N7","Symbol")</f>
        <v>1050NFL26</v>
      </c>
      <c r="B259" t="str">
        <f>RTD("nest.scriprtd",,"nse_cm|1050NFL26-N7","Trading Symbol")</f>
        <v>1050NFL26-N7</v>
      </c>
      <c r="C259" t="str">
        <f>RTD("nest.scriprtd",,"nse_cm|1050NFL26-N7","Exchange")</f>
        <v>NSE</v>
      </c>
      <c r="D259">
        <f>RTD("nest.scriprtd",,"nse_cm|1050NFL26-N7","Bid Qty")</f>
        <v>9</v>
      </c>
      <c r="E259">
        <f>RTD("nest.scriprtd",,"nse_cm|1050NFL26-N7","Bid Rate")</f>
        <v>1001.1</v>
      </c>
      <c r="F259">
        <f>RTD("nest.scriprtd",,"nse_cm|1050NFL26-N7","Ask Rate")</f>
        <v>1015</v>
      </c>
      <c r="G259">
        <f>RTD("nest.scriprtd",,"nse_cm|1050NFL26-N7","Ask Qty")</f>
        <v>12</v>
      </c>
      <c r="H259">
        <f>RTD("nest.scriprtd",,"nse_cm|1050NFL26-N7","LTP")</f>
        <v>1000.2</v>
      </c>
      <c r="I259" t="str">
        <f>RTD("nest.scriprtd",,"nse_cm|1050NFL26-N7","LTT")</f>
        <v/>
      </c>
      <c r="J259">
        <f>RTD("nest.scriprtd",,"nse_cm|1050NFL26-N7","% Change")</f>
        <v>0</v>
      </c>
      <c r="K259">
        <f>RTD("nest.scriprtd",,"nse_cm|1050NFL26-N7","ATP")</f>
        <v>0</v>
      </c>
      <c r="L259">
        <f>RTD("nest.scriprtd",,"nse_cm|1050NFL26-N7","Volume Traded Today")</f>
        <v>0</v>
      </c>
      <c r="M259">
        <f>RTD("nest.scriprtd",,"nse_cm|1050NFL26-N7","Open")</f>
        <v>0</v>
      </c>
      <c r="N259">
        <f>RTD("nest.scriprtd",,"nse_cm|1050NFL26-N7","High")</f>
        <v>1015</v>
      </c>
      <c r="O259">
        <f>RTD("nest.scriprtd",,"nse_cm|1050NFL26-N7","Low ")</f>
        <v>1000.2</v>
      </c>
      <c r="P259">
        <f>RTD("nest.scriprtd",,"nse_cm|1050NFL26-N7","Prev Close")</f>
        <v>1000.2</v>
      </c>
      <c r="Q259">
        <f>RTD("nest.scriprtd",,"nse_cm|1050NFL26-N7","Face Value")</f>
        <v>1000</v>
      </c>
      <c r="R259" t="str">
        <f>RTD("nest.scriprtd",,"nse_cm|1050NFL26-N7","Isin code")</f>
        <v>INE342T07387</v>
      </c>
      <c r="S259" s="9">
        <f>Table1[[#This Row],[Ask Rate]]*Table1[[#This Row],[Ask Qty]]</f>
        <v>12180</v>
      </c>
      <c r="T259">
        <f>VLOOKUP(Table1[[#This Row],[Isin code]],Table2[#All],7,FALSE)</f>
        <v>10.5</v>
      </c>
      <c r="U259" s="17" t="str">
        <f>VLOOKUP(Table1[[#This Row],[Isin code]],Table2[#All],8,FALSE)</f>
        <v>18-Jul-2026</v>
      </c>
      <c r="V259" s="10">
        <f ca="1">Table1[[#This Row],[Maturity]]-TODAY()</f>
        <v>640</v>
      </c>
      <c r="W259" t="str">
        <f>VLOOKUP(Table1[[#This Row],[Isin code]],Table2[#All],10,FALSE)</f>
        <v>Monthly</v>
      </c>
      <c r="X259">
        <f ca="1">_xlfn.DAYS(Table1[[#This Row],[Maturity]],TODAY())-15</f>
        <v>625</v>
      </c>
      <c r="Y2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21</v>
      </c>
      <c r="Z259">
        <f>IF(Table1[[#This Row],[Ask Rate]]=0,0,Table1[[#This Row],[Face Value]]-Table1[[#This Row],[Ask Rate]])</f>
        <v>-15</v>
      </c>
      <c r="AA259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259">
        <f ca="1">Table1[[#This Row],[Face Value]]*Table1[[#This Row],[Rate]]*Table1[[#This Row],[Time]]</f>
        <v>183.75</v>
      </c>
      <c r="AC259">
        <f ca="1">Table1[[#This Row],[SI]]+Table1[[#This Row],[Disc/Prem]]</f>
        <v>168.75</v>
      </c>
      <c r="AD259" s="3">
        <f ca="1">Table1[[#This Row],[Net Gain]]/Table1[[#This Row],[Ask Rate]]</f>
        <v>0.16625615763546797</v>
      </c>
      <c r="AE259" s="3">
        <f ca="1">IF(Table1[[#This Row],[Ask Qty]]=0,0,Table1[[#This Row],[Gross Yield]]*365/Table1[[#This Row],[Days Left]])</f>
        <v>9.4817964901477828E-2</v>
      </c>
      <c r="AF259" s="9">
        <f ca="1">+Table1[[#This Row],[Net Gain]]*Table1[[#This Row],[Ask Qty]]</f>
        <v>2025</v>
      </c>
      <c r="AG259" t="str">
        <f ca="1">IF(Table1[[#This Row],[YTM]]&gt;0.12,IF(Table1[[#This Row],[Gross Profit]]&gt;10000,"Invest","Review"),"Low YTM")</f>
        <v>Low YTM</v>
      </c>
    </row>
    <row r="260" spans="1:33" x14ac:dyDescent="0.3">
      <c r="A260" t="str">
        <f>RTD("nest.scriprtd",,"bse_cm|1050NFL26","Symbol")</f>
        <v>1050NFL26</v>
      </c>
      <c r="B260" t="str">
        <f>RTD("nest.scriprtd",,"bse_cm|1050NFL26","Trading Symbol")</f>
        <v>1050NFL26</v>
      </c>
      <c r="C260" t="str">
        <f>RTD("nest.scriprtd",,"bse_cm|1050NFL26","Exchange")</f>
        <v>BSE</v>
      </c>
      <c r="D260">
        <f>RTD("nest.scriprtd",,"bse_cm|1050NFL26","Bid Qty")</f>
        <v>9</v>
      </c>
      <c r="E260">
        <f>RTD("nest.scriprtd",,"bse_cm|1050NFL26","Bid Rate")</f>
        <v>1000.4</v>
      </c>
      <c r="F260">
        <f>RTD("nest.scriprtd",,"bse_cm|1050NFL26","Ask Rate")</f>
        <v>1015</v>
      </c>
      <c r="G260">
        <f>RTD("nest.scriprtd",,"bse_cm|1050NFL26","Ask Qty")</f>
        <v>25</v>
      </c>
      <c r="H260">
        <f>RTD("nest.scriprtd",,"bse_cm|1050NFL26","LTP")</f>
        <v>0</v>
      </c>
      <c r="I260" t="str">
        <f>RTD("nest.scriprtd",,"bse_cm|1050NFL26","LTT")</f>
        <v>00:00:00</v>
      </c>
      <c r="J260">
        <f>RTD("nest.scriprtd",,"bse_cm|1050NFL26","% Change")</f>
        <v>-100</v>
      </c>
      <c r="K260">
        <f>RTD("nest.scriprtd",,"bse_cm|1050NFL26","ATP")</f>
        <v>0</v>
      </c>
      <c r="L260">
        <f>RTD("nest.scriprtd",,"bse_cm|1050NFL26","Volume Traded Today")</f>
        <v>0</v>
      </c>
      <c r="M260">
        <f>RTD("nest.scriprtd",,"bse_cm|1050NFL26","Open")</f>
        <v>0</v>
      </c>
      <c r="N260">
        <f>RTD("nest.scriprtd",,"bse_cm|1050NFL26","High")</f>
        <v>1015</v>
      </c>
      <c r="O260">
        <f>RTD("nest.scriprtd",,"bse_cm|1050NFL26","Low ")</f>
        <v>1015</v>
      </c>
      <c r="P260">
        <f>RTD("nest.scriprtd",,"bse_cm|1050NFL26","Prev Close")</f>
        <v>1015</v>
      </c>
      <c r="Q260">
        <f>RTD("nest.scriprtd",,"bse_cm|1050NFL26","Face Value")</f>
        <v>1000</v>
      </c>
      <c r="R260" t="str">
        <f>RTD("nest.scriprtd",,"bse_cm|1050NFL26","Isin code")</f>
        <v>INE342T07387</v>
      </c>
      <c r="S260" s="9">
        <f>Table1[[#This Row],[Ask Rate]]*Table1[[#This Row],[Ask Qty]]</f>
        <v>25375</v>
      </c>
      <c r="T260">
        <f>VLOOKUP(Table1[[#This Row],[Isin code]],Table2[#All],7,FALSE)</f>
        <v>10.5</v>
      </c>
      <c r="U260" s="17" t="str">
        <f>VLOOKUP(Table1[[#This Row],[Isin code]],Table2[#All],8,FALSE)</f>
        <v>18-Jul-2026</v>
      </c>
      <c r="V260" s="10">
        <f ca="1">Table1[[#This Row],[Maturity]]-TODAY()</f>
        <v>640</v>
      </c>
      <c r="W260" t="str">
        <f>VLOOKUP(Table1[[#This Row],[Isin code]],Table2[#All],10,FALSE)</f>
        <v>Monthly</v>
      </c>
      <c r="X260">
        <f ca="1">_xlfn.DAYS(Table1[[#This Row],[Maturity]],TODAY())-15</f>
        <v>625</v>
      </c>
      <c r="Y2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21</v>
      </c>
      <c r="Z260">
        <f>IF(Table1[[#This Row],[Ask Rate]]=0,0,Table1[[#This Row],[Face Value]]-Table1[[#This Row],[Ask Rate]])</f>
        <v>-15</v>
      </c>
      <c r="AA260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260">
        <f ca="1">Table1[[#This Row],[Face Value]]*Table1[[#This Row],[Rate]]*Table1[[#This Row],[Time]]</f>
        <v>183.75</v>
      </c>
      <c r="AC260">
        <f ca="1">Table1[[#This Row],[SI]]+Table1[[#This Row],[Disc/Prem]]</f>
        <v>168.75</v>
      </c>
      <c r="AD260" s="3">
        <f ca="1">Table1[[#This Row],[Net Gain]]/Table1[[#This Row],[Ask Rate]]</f>
        <v>0.16625615763546797</v>
      </c>
      <c r="AE260" s="3">
        <f ca="1">IF(Table1[[#This Row],[Ask Qty]]=0,0,Table1[[#This Row],[Gross Yield]]*365/Table1[[#This Row],[Days Left]])</f>
        <v>9.4817964901477828E-2</v>
      </c>
      <c r="AF260" s="9">
        <f ca="1">+Table1[[#This Row],[Net Gain]]*Table1[[#This Row],[Ask Qty]]</f>
        <v>4218.75</v>
      </c>
      <c r="AG260" t="str">
        <f ca="1">IF(Table1[[#This Row],[YTM]]&gt;0.12,IF(Table1[[#This Row],[Gross Profit]]&gt;10000,"Invest","Review"),"Low YTM")</f>
        <v>Low YTM</v>
      </c>
    </row>
    <row r="261" spans="1:33" x14ac:dyDescent="0.3">
      <c r="A261" t="str">
        <f>RTD("nest.scriprtd",,"bse_cm|940CAGL27","Symbol")</f>
        <v>940CAGL27</v>
      </c>
      <c r="B261" t="str">
        <f>RTD("nest.scriprtd",,"bse_cm|940CAGL27","Trading Symbol")</f>
        <v>940CAGL27</v>
      </c>
      <c r="C261" t="str">
        <f>RTD("nest.scriprtd",,"bse_cm|940CAGL27","Exchange")</f>
        <v>BSE</v>
      </c>
      <c r="D261">
        <f>RTD("nest.scriprtd",,"bse_cm|940CAGL27","Bid Qty")</f>
        <v>1000</v>
      </c>
      <c r="E261">
        <f>RTD("nest.scriprtd",,"bse_cm|940CAGL27","Bid Rate")</f>
        <v>992.57</v>
      </c>
      <c r="F261">
        <f>RTD("nest.scriprtd",,"bse_cm|940CAGL27","Ask Rate")</f>
        <v>1000</v>
      </c>
      <c r="G261">
        <f>RTD("nest.scriprtd",,"bse_cm|940CAGL27","Ask Qty")</f>
        <v>20</v>
      </c>
      <c r="H261">
        <f>RTD("nest.scriprtd",,"bse_cm|940CAGL27","LTP")</f>
        <v>0</v>
      </c>
      <c r="I261" t="str">
        <f>RTD("nest.scriprtd",,"bse_cm|940CAGL27","LTT")</f>
        <v>00:00:00</v>
      </c>
      <c r="J261">
        <f>RTD("nest.scriprtd",,"bse_cm|940CAGL27","% Change")</f>
        <v>-100</v>
      </c>
      <c r="K261">
        <f>RTD("nest.scriprtd",,"bse_cm|940CAGL27","ATP")</f>
        <v>0</v>
      </c>
      <c r="L261">
        <f>RTD("nest.scriprtd",,"bse_cm|940CAGL27","Volume Traded Today")</f>
        <v>0</v>
      </c>
      <c r="M261">
        <f>RTD("nest.scriprtd",,"bse_cm|940CAGL27","Open")</f>
        <v>0</v>
      </c>
      <c r="N261">
        <f>RTD("nest.scriprtd",,"bse_cm|940CAGL27","High")</f>
        <v>993</v>
      </c>
      <c r="O261">
        <f>RTD("nest.scriprtd",,"bse_cm|940CAGL27","Low ")</f>
        <v>990.8</v>
      </c>
      <c r="P261">
        <f>RTD("nest.scriprtd",,"bse_cm|940CAGL27","Prev Close")</f>
        <v>993</v>
      </c>
      <c r="Q261">
        <f>RTD("nest.scriprtd",,"bse_cm|940CAGL27","Face Value")</f>
        <v>1000</v>
      </c>
      <c r="R261" t="str">
        <f>RTD("nest.scriprtd",,"bse_cm|940CAGL27","Isin code")</f>
        <v>INE741K07587</v>
      </c>
      <c r="S261" s="9">
        <f>Table1[[#This Row],[Ask Rate]]*Table1[[#This Row],[Ask Qty]]</f>
        <v>20000</v>
      </c>
      <c r="T261">
        <f>VLOOKUP(Table1[[#This Row],[Isin code]],Table2[#All],7,FALSE)</f>
        <v>9.4</v>
      </c>
      <c r="U261" s="17" t="str">
        <f>VLOOKUP(Table1[[#This Row],[Isin code]],Table2[#All],8,FALSE)</f>
        <v>07-Nov-2027</v>
      </c>
      <c r="V261" s="10">
        <f ca="1">Table1[[#This Row],[Maturity]]-TODAY()</f>
        <v>1117</v>
      </c>
      <c r="W261" t="str">
        <f>VLOOKUP(Table1[[#This Row],[Isin code]],Table2[#All],10,FALSE)</f>
        <v>MONTHLY</v>
      </c>
      <c r="X261">
        <f ca="1">_xlfn.DAYS(Table1[[#This Row],[Maturity]],TODAY())-15</f>
        <v>1102</v>
      </c>
      <c r="Y2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37</v>
      </c>
      <c r="Z261">
        <f>IF(Table1[[#This Row],[Ask Rate]]=0,0,Table1[[#This Row],[Face Value]]-Table1[[#This Row],[Ask Rate]])</f>
        <v>0</v>
      </c>
      <c r="AA261">
        <f>IF(Table1[[#This Row],[Freq]]="Yearly",Table1[[#This Row],[Coupon_Rate]]/100,IF(Table1[[#This Row],[Freq]]="Monthly",Table1[[#This Row],[Coupon_Rate]]/1200,IF(Table1[[#This Row],[Freq]]="Quarterly",Table1[[#This Row],[Coupon_Rate]]/400,0)))</f>
        <v>7.8333333333333328E-3</v>
      </c>
      <c r="AB261">
        <f ca="1">Table1[[#This Row],[Face Value]]*Table1[[#This Row],[Rate]]*Table1[[#This Row],[Time]]</f>
        <v>289.83333333333331</v>
      </c>
      <c r="AC261">
        <f ca="1">Table1[[#This Row],[SI]]+Table1[[#This Row],[Disc/Prem]]</f>
        <v>289.83333333333331</v>
      </c>
      <c r="AD261" s="3">
        <f ca="1">Table1[[#This Row],[Net Gain]]/Table1[[#This Row],[Ask Rate]]</f>
        <v>0.28983333333333333</v>
      </c>
      <c r="AE261" s="3">
        <f ca="1">IF(Table1[[#This Row],[Ask Qty]]=0,0,Table1[[#This Row],[Gross Yield]]*365/Table1[[#This Row],[Days Left]])</f>
        <v>9.4708296031035505E-2</v>
      </c>
      <c r="AF261" s="9">
        <f ca="1">+Table1[[#This Row],[Net Gain]]*Table1[[#This Row],[Ask Qty]]</f>
        <v>5796.6666666666661</v>
      </c>
      <c r="AG261" t="str">
        <f ca="1">IF(Table1[[#This Row],[YTM]]&gt;0.12,IF(Table1[[#This Row],[Gross Profit]]&gt;10000,"Invest","Review"),"Low YTM")</f>
        <v>Low YTM</v>
      </c>
    </row>
    <row r="262" spans="1:33" x14ac:dyDescent="0.3">
      <c r="A262" t="str">
        <f>RTD("nest.scriprtd",,"bse_cm|925MFCL27","Symbol")</f>
        <v>925MFCL27</v>
      </c>
      <c r="B262" t="str">
        <f>RTD("nest.scriprtd",,"bse_cm|925MFCL27","Trading Symbol")</f>
        <v>925MFCL27</v>
      </c>
      <c r="C262" t="str">
        <f>RTD("nest.scriprtd",,"bse_cm|925MFCL27","Exchange")</f>
        <v>BSE</v>
      </c>
      <c r="D262">
        <f>RTD("nest.scriprtd",,"bse_cm|925MFCL27","Bid Qty")</f>
        <v>3</v>
      </c>
      <c r="E262">
        <f>RTD("nest.scriprtd",,"bse_cm|925MFCL27","Bid Rate")</f>
        <v>962.5</v>
      </c>
      <c r="F262">
        <f>RTD("nest.scriprtd",,"bse_cm|925MFCL27","Ask Rate")</f>
        <v>995</v>
      </c>
      <c r="G262">
        <f>RTD("nest.scriprtd",,"bse_cm|925MFCL27","Ask Qty")</f>
        <v>50</v>
      </c>
      <c r="H262">
        <f>RTD("nest.scriprtd",,"bse_cm|925MFCL27","LTP")</f>
        <v>0</v>
      </c>
      <c r="I262" t="str">
        <f>RTD("nest.scriprtd",,"bse_cm|925MFCL27","LTT")</f>
        <v>00:00:00</v>
      </c>
      <c r="J262">
        <f>RTD("nest.scriprtd",,"bse_cm|925MFCL27","% Change")</f>
        <v>-100</v>
      </c>
      <c r="K262">
        <f>RTD("nest.scriprtd",,"bse_cm|925MFCL27","ATP")</f>
        <v>0</v>
      </c>
      <c r="L262">
        <f>RTD("nest.scriprtd",,"bse_cm|925MFCL27","Volume Traded Today")</f>
        <v>0</v>
      </c>
      <c r="M262">
        <f>RTD("nest.scriprtd",,"bse_cm|925MFCL27","Open")</f>
        <v>0</v>
      </c>
      <c r="N262">
        <f>RTD("nest.scriprtd",,"bse_cm|925MFCL27","High")</f>
        <v>979.9</v>
      </c>
      <c r="O262">
        <f>RTD("nest.scriprtd",,"bse_cm|925MFCL27","Low ")</f>
        <v>979.9</v>
      </c>
      <c r="P262">
        <f>RTD("nest.scriprtd",,"bse_cm|925MFCL27","Prev Close")</f>
        <v>979.9</v>
      </c>
      <c r="Q262">
        <f>RTD("nest.scriprtd",,"bse_cm|925MFCL27","Face Value")</f>
        <v>1000</v>
      </c>
      <c r="R262" t="str">
        <f>RTD("nest.scriprtd",,"bse_cm|925MFCL27","Isin code")</f>
        <v>INE549K07EC2</v>
      </c>
      <c r="S262" s="9">
        <f>Table1[[#This Row],[Ask Rate]]*Table1[[#This Row],[Ask Qty]]</f>
        <v>49750</v>
      </c>
      <c r="T262">
        <f>VLOOKUP(Table1[[#This Row],[Isin code]],Table2[#All],7,FALSE)</f>
        <v>9.25</v>
      </c>
      <c r="U262" s="17" t="str">
        <f>VLOOKUP(Table1[[#This Row],[Isin code]],Table2[#All],8,FALSE)</f>
        <v>16-Sep-2027</v>
      </c>
      <c r="V262" s="10">
        <f ca="1">Table1[[#This Row],[Maturity]]-TODAY()</f>
        <v>1065</v>
      </c>
      <c r="W262" t="str">
        <f>VLOOKUP(Table1[[#This Row],[Isin code]],Table2[#All],10,FALSE)</f>
        <v>Monthly</v>
      </c>
      <c r="X262">
        <f ca="1">_xlfn.DAYS(Table1[[#This Row],[Maturity]],TODAY())-15</f>
        <v>1050</v>
      </c>
      <c r="Y2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35</v>
      </c>
      <c r="Z262">
        <f>IF(Table1[[#This Row],[Ask Rate]]=0,0,Table1[[#This Row],[Face Value]]-Table1[[#This Row],[Ask Rate]])</f>
        <v>5</v>
      </c>
      <c r="AA262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262">
        <f ca="1">Table1[[#This Row],[Face Value]]*Table1[[#This Row],[Rate]]*Table1[[#This Row],[Time]]</f>
        <v>269.79166666666669</v>
      </c>
      <c r="AC262">
        <f ca="1">Table1[[#This Row],[SI]]+Table1[[#This Row],[Disc/Prem]]</f>
        <v>274.79166666666669</v>
      </c>
      <c r="AD262" s="3">
        <f ca="1">Table1[[#This Row],[Net Gain]]/Table1[[#This Row],[Ask Rate]]</f>
        <v>0.27617252931323283</v>
      </c>
      <c r="AE262" s="3">
        <f ca="1">IF(Table1[[#This Row],[Ask Qty]]=0,0,Table1[[#This Row],[Gross Yield]]*365/Table1[[#This Row],[Days Left]])</f>
        <v>9.4650679060403739E-2</v>
      </c>
      <c r="AF262" s="9">
        <f ca="1">+Table1[[#This Row],[Net Gain]]*Table1[[#This Row],[Ask Qty]]</f>
        <v>13739.583333333334</v>
      </c>
      <c r="AG262" t="str">
        <f ca="1">IF(Table1[[#This Row],[YTM]]&gt;0.12,IF(Table1[[#This Row],[Gross Profit]]&gt;10000,"Invest","Review"),"Low YTM")</f>
        <v>Low YTM</v>
      </c>
    </row>
    <row r="263" spans="1:33" x14ac:dyDescent="0.3">
      <c r="A263" t="str">
        <f>RTD("nest.scriprtd",,"bse_cm|941ONE26","Symbol")</f>
        <v>941ONE26</v>
      </c>
      <c r="B263" t="str">
        <f>RTD("nest.scriprtd",,"bse_cm|941ONE26","Trading Symbol")</f>
        <v>941ONE26</v>
      </c>
      <c r="C263" t="str">
        <f>RTD("nest.scriprtd",,"bse_cm|941ONE26","Exchange")</f>
        <v>BSE</v>
      </c>
      <c r="D263">
        <f>RTD("nest.scriprtd",,"bse_cm|941ONE26","Bid Qty")</f>
        <v>600</v>
      </c>
      <c r="E263">
        <f>RTD("nest.scriprtd",,"bse_cm|941ONE26","Bid Rate")</f>
        <v>861.9</v>
      </c>
      <c r="F263">
        <f>RTD("nest.scriprtd",,"bse_cm|941ONE26","Ask Rate")</f>
        <v>1062</v>
      </c>
      <c r="G263">
        <f>RTD("nest.scriprtd",,"bse_cm|941ONE26","Ask Qty")</f>
        <v>585</v>
      </c>
      <c r="H263">
        <f>RTD("nest.scriprtd",,"bse_cm|941ONE26","LTP")</f>
        <v>0</v>
      </c>
      <c r="I263" t="str">
        <f>RTD("nest.scriprtd",,"bse_cm|941ONE26","LTT")</f>
        <v>00:00:00</v>
      </c>
      <c r="J263">
        <f>RTD("nest.scriprtd",,"bse_cm|941ONE26","% Change")</f>
        <v>-100</v>
      </c>
      <c r="K263">
        <f>RTD("nest.scriprtd",,"bse_cm|941ONE26","ATP")</f>
        <v>0</v>
      </c>
      <c r="L263">
        <f>RTD("nest.scriprtd",,"bse_cm|941ONE26","Volume Traded Today")</f>
        <v>0</v>
      </c>
      <c r="M263">
        <f>RTD("nest.scriprtd",,"bse_cm|941ONE26","Open")</f>
        <v>0</v>
      </c>
      <c r="N263">
        <f>RTD("nest.scriprtd",,"bse_cm|941ONE26","High")</f>
        <v>1050.25</v>
      </c>
      <c r="O263">
        <f>RTD("nest.scriprtd",,"bse_cm|941ONE26","Low ")</f>
        <v>850.2</v>
      </c>
      <c r="P263">
        <f>RTD("nest.scriprtd",,"bse_cm|941ONE26","Prev Close")</f>
        <v>1050.25</v>
      </c>
      <c r="Q263">
        <f>RTD("nest.scriprtd",,"bse_cm|941ONE26","Face Value")</f>
        <v>1000</v>
      </c>
      <c r="R263" t="str">
        <f>RTD("nest.scriprtd",,"bse_cm|941ONE26","Isin code")</f>
        <v>INE248U07EQ0</v>
      </c>
      <c r="S263" s="9">
        <f>Table1[[#This Row],[Ask Rate]]*Table1[[#This Row],[Ask Qty]]</f>
        <v>621270</v>
      </c>
      <c r="T263">
        <f>VLOOKUP(Table1[[#This Row],[Isin code]],Table2[#All],7,FALSE)</f>
        <v>9.41</v>
      </c>
      <c r="U263" s="17" t="str">
        <f>VLOOKUP(Table1[[#This Row],[Isin code]],Table2[#All],8,FALSE)</f>
        <v>18-Jan-2026</v>
      </c>
      <c r="V263" s="10">
        <f ca="1">Table1[[#This Row],[Maturity]]-TODAY()</f>
        <v>459</v>
      </c>
      <c r="W263" t="str">
        <f>VLOOKUP(Table1[[#This Row],[Isin code]],Table2[#All],10,FALSE)</f>
        <v>Yearly</v>
      </c>
      <c r="X263">
        <f ca="1">_xlfn.DAYS(Table1[[#This Row],[Maturity]],TODAY())-15</f>
        <v>444</v>
      </c>
      <c r="Y2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63">
        <f>IF(Table1[[#This Row],[Ask Rate]]=0,0,Table1[[#This Row],[Face Value]]-Table1[[#This Row],[Ask Rate]])</f>
        <v>-62</v>
      </c>
      <c r="AA263">
        <f>IF(Table1[[#This Row],[Freq]]="Yearly",Table1[[#This Row],[Coupon_Rate]]/100,IF(Table1[[#This Row],[Freq]]="Monthly",Table1[[#This Row],[Coupon_Rate]]/1200,IF(Table1[[#This Row],[Freq]]="Quarterly",Table1[[#This Row],[Coupon_Rate]]/400,0)))</f>
        <v>9.4100000000000003E-2</v>
      </c>
      <c r="AB263">
        <f ca="1">Table1[[#This Row],[Face Value]]*Table1[[#This Row],[Rate]]*Table1[[#This Row],[Time]]</f>
        <v>188.20000000000002</v>
      </c>
      <c r="AC263">
        <f ca="1">Table1[[#This Row],[SI]]+Table1[[#This Row],[Disc/Prem]]</f>
        <v>126.20000000000002</v>
      </c>
      <c r="AD263" s="3">
        <f ca="1">Table1[[#This Row],[Net Gain]]/Table1[[#This Row],[Ask Rate]]</f>
        <v>0.11883239171374767</v>
      </c>
      <c r="AE263" s="3">
        <f ca="1">IF(Table1[[#This Row],[Ask Qty]]=0,0,Table1[[#This Row],[Gross Yield]]*365/Table1[[#This Row],[Days Left]])</f>
        <v>9.4496346351890845E-2</v>
      </c>
      <c r="AF263" s="9">
        <f ca="1">+Table1[[#This Row],[Net Gain]]*Table1[[#This Row],[Ask Qty]]</f>
        <v>73827.000000000015</v>
      </c>
      <c r="AG263" t="str">
        <f ca="1">IF(Table1[[#This Row],[YTM]]&gt;0.12,IF(Table1[[#This Row],[Gross Profit]]&gt;10000,"Invest","Review"),"Low YTM")</f>
        <v>Low YTM</v>
      </c>
    </row>
    <row r="264" spans="1:33" x14ac:dyDescent="0.3">
      <c r="A264" t="str">
        <f>RTD("nest.scriprtd",,"bse_cm|125ICLFL28","Symbol")</f>
        <v>125ICLFL28</v>
      </c>
      <c r="B264" t="str">
        <f>RTD("nest.scriprtd",,"bse_cm|125ICLFL28","Trading Symbol")</f>
        <v>125ICLFL28</v>
      </c>
      <c r="C264" t="str">
        <f>RTD("nest.scriprtd",,"bse_cm|125ICLFL28","Exchange")</f>
        <v>BSE</v>
      </c>
      <c r="D264">
        <f>RTD("nest.scriprtd",,"bse_cm|125ICLFL28","Bid Qty")</f>
        <v>55</v>
      </c>
      <c r="E264">
        <f>RTD("nest.scriprtd",,"bse_cm|125ICLFL28","Bid Rate")</f>
        <v>945</v>
      </c>
      <c r="F264">
        <f>RTD("nest.scriprtd",,"bse_cm|125ICLFL28","Ask Rate")</f>
        <v>1099</v>
      </c>
      <c r="G264">
        <f>RTD("nest.scriprtd",,"bse_cm|125ICLFL28","Ask Qty")</f>
        <v>50</v>
      </c>
      <c r="H264">
        <f>RTD("nest.scriprtd",,"bse_cm|125ICLFL28","LTP")</f>
        <v>0</v>
      </c>
      <c r="I264" t="str">
        <f>RTD("nest.scriprtd",,"bse_cm|125ICLFL28","LTT")</f>
        <v>00:00:00</v>
      </c>
      <c r="J264">
        <f>RTD("nest.scriprtd",,"bse_cm|125ICLFL28","% Change")</f>
        <v>-100</v>
      </c>
      <c r="K264">
        <f>RTD("nest.scriprtd",,"bse_cm|125ICLFL28","ATP")</f>
        <v>0</v>
      </c>
      <c r="L264">
        <f>RTD("nest.scriprtd",,"bse_cm|125ICLFL28","Volume Traded Today")</f>
        <v>0</v>
      </c>
      <c r="M264">
        <f>RTD("nest.scriprtd",,"bse_cm|125ICLFL28","Open")</f>
        <v>0</v>
      </c>
      <c r="N264">
        <f>RTD("nest.scriprtd",,"bse_cm|125ICLFL28","High")</f>
        <v>1049</v>
      </c>
      <c r="O264">
        <f>RTD("nest.scriprtd",,"bse_cm|125ICLFL28","Low ")</f>
        <v>1049</v>
      </c>
      <c r="P264">
        <f>RTD("nest.scriprtd",,"bse_cm|125ICLFL28","Prev Close")</f>
        <v>1049</v>
      </c>
      <c r="Q264">
        <f>RTD("nest.scriprtd",,"bse_cm|125ICLFL28","Face Value")</f>
        <v>1000</v>
      </c>
      <c r="R264" t="str">
        <f>RTD("nest.scriprtd",,"bse_cm|125ICLFL28","Isin code")</f>
        <v>INE01CY077E1</v>
      </c>
      <c r="S264" s="9">
        <f>Table1[[#This Row],[Ask Rate]]*Table1[[#This Row],[Ask Qty]]</f>
        <v>54950</v>
      </c>
      <c r="T264">
        <f>VLOOKUP(Table1[[#This Row],[Isin code]],Table2[#All],7,FALSE)</f>
        <v>12.5</v>
      </c>
      <c r="U264" s="17" t="str">
        <f>VLOOKUP(Table1[[#This Row],[Isin code]],Table2[#All],8,FALSE)</f>
        <v>14-Dec-2028</v>
      </c>
      <c r="V264" s="10">
        <f ca="1">Table1[[#This Row],[Maturity]]-TODAY()</f>
        <v>1520</v>
      </c>
      <c r="W264" t="str">
        <f>VLOOKUP(Table1[[#This Row],[Isin code]],Table2[#All],10,FALSE)</f>
        <v>MONTHLY</v>
      </c>
      <c r="X264">
        <f ca="1">_xlfn.DAYS(Table1[[#This Row],[Maturity]],TODAY())-15</f>
        <v>1505</v>
      </c>
      <c r="Y2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264">
        <f>IF(Table1[[#This Row],[Ask Rate]]=0,0,Table1[[#This Row],[Face Value]]-Table1[[#This Row],[Ask Rate]])</f>
        <v>-99</v>
      </c>
      <c r="AA264">
        <f>IF(Table1[[#This Row],[Freq]]="Yearly",Table1[[#This Row],[Coupon_Rate]]/100,IF(Table1[[#This Row],[Freq]]="Monthly",Table1[[#This Row],[Coupon_Rate]]/1200,IF(Table1[[#This Row],[Freq]]="Quarterly",Table1[[#This Row],[Coupon_Rate]]/400,0)))</f>
        <v>1.0416666666666666E-2</v>
      </c>
      <c r="AB264">
        <f ca="1">Table1[[#This Row],[Face Value]]*Table1[[#This Row],[Rate]]*Table1[[#This Row],[Time]]</f>
        <v>531.25</v>
      </c>
      <c r="AC264">
        <f ca="1">Table1[[#This Row],[SI]]+Table1[[#This Row],[Disc/Prem]]</f>
        <v>432.25</v>
      </c>
      <c r="AD264" s="3">
        <f ca="1">Table1[[#This Row],[Net Gain]]/Table1[[#This Row],[Ask Rate]]</f>
        <v>0.39331210191082805</v>
      </c>
      <c r="AE264" s="3">
        <f ca="1">IF(Table1[[#This Row],[Ask Qty]]=0,0,Table1[[#This Row],[Gross Yield]]*365/Table1[[#This Row],[Days Left]])</f>
        <v>9.4446656050955424E-2</v>
      </c>
      <c r="AF264" s="9">
        <f ca="1">+Table1[[#This Row],[Net Gain]]*Table1[[#This Row],[Ask Qty]]</f>
        <v>21612.5</v>
      </c>
      <c r="AG264" t="str">
        <f ca="1">IF(Table1[[#This Row],[YTM]]&gt;0.12,IF(Table1[[#This Row],[Gross Profit]]&gt;10000,"Invest","Review"),"Low YTM")</f>
        <v>Low YTM</v>
      </c>
    </row>
    <row r="265" spans="1:33" x14ac:dyDescent="0.3">
      <c r="A265" t="str">
        <f>RTD("nest.scriprtd",,"bse_cm|850MFL27","Symbol")</f>
        <v>850MFL27</v>
      </c>
      <c r="B265" t="str">
        <f>RTD("nest.scriprtd",,"bse_cm|850MFL27","Trading Symbol")</f>
        <v>850MFL27</v>
      </c>
      <c r="C265" t="str">
        <f>RTD("nest.scriprtd",,"bse_cm|850MFL27","Exchange")</f>
        <v>BSE</v>
      </c>
      <c r="D265">
        <f>RTD("nest.scriprtd",,"bse_cm|850MFL27","Bid Qty")</f>
        <v>170</v>
      </c>
      <c r="E265">
        <f>RTD("nest.scriprtd",,"bse_cm|850MFL27","Bid Rate")</f>
        <v>921.2</v>
      </c>
      <c r="F265">
        <f>RTD("nest.scriprtd",,"bse_cm|850MFL27","Ask Rate")</f>
        <v>984.8</v>
      </c>
      <c r="G265">
        <f>RTD("nest.scriprtd",,"bse_cm|850MFL27","Ask Qty")</f>
        <v>54</v>
      </c>
      <c r="H265">
        <f>RTD("nest.scriprtd",,"bse_cm|850MFL27","LTP")</f>
        <v>0</v>
      </c>
      <c r="I265" t="str">
        <f>RTD("nest.scriprtd",,"bse_cm|850MFL27","LTT")</f>
        <v>00:00:00</v>
      </c>
      <c r="J265">
        <f>RTD("nest.scriprtd",,"bse_cm|850MFL27","% Change")</f>
        <v>-100</v>
      </c>
      <c r="K265">
        <f>RTD("nest.scriprtd",,"bse_cm|850MFL27","ATP")</f>
        <v>0</v>
      </c>
      <c r="L265">
        <f>RTD("nest.scriprtd",,"bse_cm|850MFL27","Volume Traded Today")</f>
        <v>0</v>
      </c>
      <c r="M265">
        <f>RTD("nest.scriprtd",,"bse_cm|850MFL27","Open")</f>
        <v>0</v>
      </c>
      <c r="N265">
        <f>RTD("nest.scriprtd",,"bse_cm|850MFL27","High")</f>
        <v>838.25</v>
      </c>
      <c r="O265">
        <f>RTD("nest.scriprtd",,"bse_cm|850MFL27","Low ")</f>
        <v>838.25</v>
      </c>
      <c r="P265">
        <f>RTD("nest.scriprtd",,"bse_cm|850MFL27","Prev Close")</f>
        <v>838.25</v>
      </c>
      <c r="Q265">
        <f>RTD("nest.scriprtd",,"bse_cm|850MFL27","Face Value")</f>
        <v>1000</v>
      </c>
      <c r="R265" t="str">
        <f>RTD("nest.scriprtd",,"bse_cm|850MFL27","Isin code")</f>
        <v>INE549K07BB0</v>
      </c>
      <c r="S265" s="9">
        <f>Table1[[#This Row],[Ask Rate]]*Table1[[#This Row],[Ask Qty]]</f>
        <v>53179.199999999997</v>
      </c>
      <c r="T265">
        <f>VLOOKUP(Table1[[#This Row],[Isin code]],Table2[#All],7,FALSE)</f>
        <v>8.5</v>
      </c>
      <c r="U265" s="17" t="str">
        <f>VLOOKUP(Table1[[#This Row],[Isin code]],Table2[#All],8,FALSE)</f>
        <v>02-Feb-2027</v>
      </c>
      <c r="V265" s="10">
        <f ca="1">Table1[[#This Row],[Maturity]]-TODAY()</f>
        <v>839</v>
      </c>
      <c r="W265" t="str">
        <f>VLOOKUP(Table1[[#This Row],[Isin code]],Table2[#All],10,FALSE)</f>
        <v>Monthly</v>
      </c>
      <c r="X265">
        <f ca="1">_xlfn.DAYS(Table1[[#This Row],[Maturity]],TODAY())-15</f>
        <v>824</v>
      </c>
      <c r="Y2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28</v>
      </c>
      <c r="Z265">
        <f>IF(Table1[[#This Row],[Ask Rate]]=0,0,Table1[[#This Row],[Face Value]]-Table1[[#This Row],[Ask Rate]])</f>
        <v>15.200000000000045</v>
      </c>
      <c r="AA265">
        <f>IF(Table1[[#This Row],[Freq]]="Yearly",Table1[[#This Row],[Coupon_Rate]]/100,IF(Table1[[#This Row],[Freq]]="Monthly",Table1[[#This Row],[Coupon_Rate]]/1200,IF(Table1[[#This Row],[Freq]]="Quarterly",Table1[[#This Row],[Coupon_Rate]]/400,0)))</f>
        <v>7.083333333333333E-3</v>
      </c>
      <c r="AB265">
        <f ca="1">Table1[[#This Row],[Face Value]]*Table1[[#This Row],[Rate]]*Table1[[#This Row],[Time]]</f>
        <v>198.33333333333331</v>
      </c>
      <c r="AC265">
        <f ca="1">Table1[[#This Row],[SI]]+Table1[[#This Row],[Disc/Prem]]</f>
        <v>213.53333333333336</v>
      </c>
      <c r="AD265" s="3">
        <f ca="1">Table1[[#This Row],[Net Gain]]/Table1[[#This Row],[Ask Rate]]</f>
        <v>0.21682913620362854</v>
      </c>
      <c r="AE265" s="3">
        <f ca="1">IF(Table1[[#This Row],[Ask Qty]]=0,0,Table1[[#This Row],[Gross Yield]]*365/Table1[[#This Row],[Days Left]])</f>
        <v>9.4329719564153064E-2</v>
      </c>
      <c r="AF265" s="9">
        <f ca="1">+Table1[[#This Row],[Net Gain]]*Table1[[#This Row],[Ask Qty]]</f>
        <v>11530.800000000001</v>
      </c>
      <c r="AG265" t="str">
        <f ca="1">IF(Table1[[#This Row],[YTM]]&gt;0.12,IF(Table1[[#This Row],[Gross Profit]]&gt;10000,"Invest","Review"),"Low YTM")</f>
        <v>Low YTM</v>
      </c>
    </row>
    <row r="266" spans="1:33" x14ac:dyDescent="0.3">
      <c r="A266" t="str">
        <f>RTD("nest.scriprtd",,"nse_cm|820IIFL27-N9","Symbol")</f>
        <v>820IIFL27</v>
      </c>
      <c r="B266" t="str">
        <f>RTD("nest.scriprtd",,"nse_cm|820IIFL27-N9","Trading Symbol")</f>
        <v>820IIFL27-N9</v>
      </c>
      <c r="C266" t="str">
        <f>RTD("nest.scriprtd",,"nse_cm|820IIFL27-N9","Exchange")</f>
        <v>NSE</v>
      </c>
      <c r="D266">
        <f>RTD("nest.scriprtd",,"nse_cm|820IIFL27-N9","Bid Qty")</f>
        <v>50</v>
      </c>
      <c r="E266">
        <f>RTD("nest.scriprtd",,"nse_cm|820IIFL27-N9","Bid Rate")</f>
        <v>921</v>
      </c>
      <c r="F266">
        <f>RTD("nest.scriprtd",,"nse_cm|820IIFL27-N9","Ask Rate")</f>
        <v>980</v>
      </c>
      <c r="G266">
        <f>RTD("nest.scriprtd",,"nse_cm|820IIFL27-N9","Ask Qty")</f>
        <v>97</v>
      </c>
      <c r="H266">
        <f>RTD("nest.scriprtd",,"nse_cm|820IIFL27-N9","LTP")</f>
        <v>930</v>
      </c>
      <c r="I266" t="str">
        <f>RTD("nest.scriprtd",,"nse_cm|820IIFL27-N9","LTT")</f>
        <v/>
      </c>
      <c r="J266">
        <f>RTD("nest.scriprtd",,"nse_cm|820IIFL27-N9","% Change")</f>
        <v>0</v>
      </c>
      <c r="K266">
        <f>RTD("nest.scriprtd",,"nse_cm|820IIFL27-N9","ATP")</f>
        <v>0</v>
      </c>
      <c r="L266">
        <f>RTD("nest.scriprtd",,"nse_cm|820IIFL27-N9","Volume Traded Today")</f>
        <v>0</v>
      </c>
      <c r="M266">
        <f>RTD("nest.scriprtd",,"nse_cm|820IIFL27-N9","Open")</f>
        <v>0</v>
      </c>
      <c r="N266">
        <f>RTD("nest.scriprtd",,"nse_cm|820IIFL27-N9","High")</f>
        <v>930</v>
      </c>
      <c r="O266">
        <f>RTD("nest.scriprtd",,"nse_cm|820IIFL27-N9","Low ")</f>
        <v>930</v>
      </c>
      <c r="P266">
        <f>RTD("nest.scriprtd",,"nse_cm|820IIFL27-N9","Prev Close")</f>
        <v>930</v>
      </c>
      <c r="Q266">
        <f>RTD("nest.scriprtd",,"nse_cm|820IIFL27-N9","Face Value")</f>
        <v>1000</v>
      </c>
      <c r="R266" t="str">
        <f>RTD("nest.scriprtd",,"nse_cm|820IIFL27-N9","Isin code")</f>
        <v>INE477L07AN9</v>
      </c>
      <c r="S266" s="9">
        <f>Table1[[#This Row],[Ask Rate]]*Table1[[#This Row],[Ask Qty]]</f>
        <v>95060</v>
      </c>
      <c r="T266">
        <f>VLOOKUP(Table1[[#This Row],[Isin code]],Table2[#All],7,FALSE)</f>
        <v>8.1999999999999993</v>
      </c>
      <c r="U266" s="17" t="str">
        <f>VLOOKUP(Table1[[#This Row],[Isin code]],Table2[#All],8,FALSE)</f>
        <v>03-Jan-2027</v>
      </c>
      <c r="V266" s="10">
        <f ca="1">Table1[[#This Row],[Maturity]]-TODAY()</f>
        <v>809</v>
      </c>
      <c r="W266" t="str">
        <f>VLOOKUP(Table1[[#This Row],[Isin code]],Table2[#All],10,FALSE)</f>
        <v>Monthly</v>
      </c>
      <c r="X266">
        <f ca="1">_xlfn.DAYS(Table1[[#This Row],[Maturity]],TODAY())-15</f>
        <v>794</v>
      </c>
      <c r="Y2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266">
        <f>IF(Table1[[#This Row],[Ask Rate]]=0,0,Table1[[#This Row],[Face Value]]-Table1[[#This Row],[Ask Rate]])</f>
        <v>20</v>
      </c>
      <c r="AA266">
        <f>IF(Table1[[#This Row],[Freq]]="Yearly",Table1[[#This Row],[Coupon_Rate]]/100,IF(Table1[[#This Row],[Freq]]="Monthly",Table1[[#This Row],[Coupon_Rate]]/1200,IF(Table1[[#This Row],[Freq]]="Quarterly",Table1[[#This Row],[Coupon_Rate]]/400,0)))</f>
        <v>6.8333333333333328E-3</v>
      </c>
      <c r="AB266">
        <f ca="1">Table1[[#This Row],[Face Value]]*Table1[[#This Row],[Rate]]*Table1[[#This Row],[Time]]</f>
        <v>184.5</v>
      </c>
      <c r="AC266">
        <f ca="1">Table1[[#This Row],[SI]]+Table1[[#This Row],[Disc/Prem]]</f>
        <v>204.5</v>
      </c>
      <c r="AD266" s="3">
        <f ca="1">Table1[[#This Row],[Net Gain]]/Table1[[#This Row],[Ask Rate]]</f>
        <v>0.20867346938775511</v>
      </c>
      <c r="AE266" s="3">
        <f ca="1">IF(Table1[[#This Row],[Ask Qty]]=0,0,Table1[[#This Row],[Gross Yield]]*365/Table1[[#This Row],[Days Left]])</f>
        <v>9.4148104235513744E-2</v>
      </c>
      <c r="AF266" s="9">
        <f ca="1">+Table1[[#This Row],[Net Gain]]*Table1[[#This Row],[Ask Qty]]</f>
        <v>19836.5</v>
      </c>
      <c r="AG266" t="str">
        <f ca="1">IF(Table1[[#This Row],[YTM]]&gt;0.12,IF(Table1[[#This Row],[Gross Profit]]&gt;10000,"Invest","Review"),"Low YTM")</f>
        <v>Low YTM</v>
      </c>
    </row>
    <row r="267" spans="1:33" x14ac:dyDescent="0.3">
      <c r="A267" t="str">
        <f>RTD("nest.scriprtd",,"bse_cm|916ONE27","Symbol")</f>
        <v>916ONE27</v>
      </c>
      <c r="B267" t="str">
        <f>RTD("nest.scriprtd",,"bse_cm|916ONE27","Trading Symbol")</f>
        <v>916ONE27</v>
      </c>
      <c r="C267" t="str">
        <f>RTD("nest.scriprtd",,"bse_cm|916ONE27","Exchange")</f>
        <v>BSE</v>
      </c>
      <c r="D267">
        <f>RTD("nest.scriprtd",,"bse_cm|916ONE27","Bid Qty")</f>
        <v>50</v>
      </c>
      <c r="E267">
        <f>RTD("nest.scriprtd",,"bse_cm|916ONE27","Bid Rate")</f>
        <v>850.01</v>
      </c>
      <c r="F267">
        <f>RTD("nest.scriprtd",,"bse_cm|916ONE27","Ask Rate")</f>
        <v>997</v>
      </c>
      <c r="G267">
        <f>RTD("nest.scriprtd",,"bse_cm|916ONE27","Ask Qty")</f>
        <v>25</v>
      </c>
      <c r="H267">
        <f>RTD("nest.scriprtd",,"bse_cm|916ONE27","LTP")</f>
        <v>0</v>
      </c>
      <c r="I267" t="str">
        <f>RTD("nest.scriprtd",,"bse_cm|916ONE27","LTT")</f>
        <v>00:00:00</v>
      </c>
      <c r="J267">
        <f>RTD("nest.scriprtd",,"bse_cm|916ONE27","% Change")</f>
        <v>-100</v>
      </c>
      <c r="K267">
        <f>RTD("nest.scriprtd",,"bse_cm|916ONE27","ATP")</f>
        <v>0</v>
      </c>
      <c r="L267">
        <f>RTD("nest.scriprtd",,"bse_cm|916ONE27","Volume Traded Today")</f>
        <v>0</v>
      </c>
      <c r="M267">
        <f>RTD("nest.scriprtd",,"bse_cm|916ONE27","Open")</f>
        <v>0</v>
      </c>
      <c r="N267">
        <f>RTD("nest.scriprtd",,"bse_cm|916ONE27","High")</f>
        <v>985</v>
      </c>
      <c r="O267">
        <f>RTD("nest.scriprtd",,"bse_cm|916ONE27","Low ")</f>
        <v>985</v>
      </c>
      <c r="P267">
        <f>RTD("nest.scriprtd",,"bse_cm|916ONE27","Prev Close")</f>
        <v>985</v>
      </c>
      <c r="Q267">
        <f>RTD("nest.scriprtd",,"bse_cm|916ONE27","Face Value")</f>
        <v>1000</v>
      </c>
      <c r="R267" t="str">
        <f>RTD("nest.scriprtd",,"bse_cm|916ONE27","Isin code")</f>
        <v>INE248U07FH6</v>
      </c>
      <c r="S267" s="9">
        <f>Table1[[#This Row],[Ask Rate]]*Table1[[#This Row],[Ask Qty]]</f>
        <v>24925</v>
      </c>
      <c r="T267">
        <f>VLOOKUP(Table1[[#This Row],[Isin code]],Table2[#All],7,FALSE)</f>
        <v>9.16</v>
      </c>
      <c r="U267" s="17" t="str">
        <f>VLOOKUP(Table1[[#This Row],[Isin code]],Table2[#All],8,FALSE)</f>
        <v>12-Jun-2027</v>
      </c>
      <c r="V267" s="10">
        <f ca="1">Table1[[#This Row],[Maturity]]-TODAY()</f>
        <v>969</v>
      </c>
      <c r="W267" t="str">
        <f>VLOOKUP(Table1[[#This Row],[Isin code]],Table2[#All],10,FALSE)</f>
        <v>Monthly</v>
      </c>
      <c r="X267">
        <f ca="1">_xlfn.DAYS(Table1[[#This Row],[Maturity]],TODAY())-15</f>
        <v>954</v>
      </c>
      <c r="Y2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32</v>
      </c>
      <c r="Z267">
        <f>IF(Table1[[#This Row],[Ask Rate]]=0,0,Table1[[#This Row],[Face Value]]-Table1[[#This Row],[Ask Rate]])</f>
        <v>3</v>
      </c>
      <c r="AA267">
        <f>IF(Table1[[#This Row],[Freq]]="Yearly",Table1[[#This Row],[Coupon_Rate]]/100,IF(Table1[[#This Row],[Freq]]="Monthly",Table1[[#This Row],[Coupon_Rate]]/1200,IF(Table1[[#This Row],[Freq]]="Quarterly",Table1[[#This Row],[Coupon_Rate]]/400,0)))</f>
        <v>7.6333333333333331E-3</v>
      </c>
      <c r="AB267">
        <f ca="1">Table1[[#This Row],[Face Value]]*Table1[[#This Row],[Rate]]*Table1[[#This Row],[Time]]</f>
        <v>244.26666666666665</v>
      </c>
      <c r="AC267">
        <f ca="1">Table1[[#This Row],[SI]]+Table1[[#This Row],[Disc/Prem]]</f>
        <v>247.26666666666665</v>
      </c>
      <c r="AD267" s="3">
        <f ca="1">Table1[[#This Row],[Net Gain]]/Table1[[#This Row],[Ask Rate]]</f>
        <v>0.24801069876295551</v>
      </c>
      <c r="AE267" s="3">
        <f ca="1">IF(Table1[[#This Row],[Ask Qty]]=0,0,Table1[[#This Row],[Gross Yield]]*365/Table1[[#This Row],[Days Left]])</f>
        <v>9.3419922650648871E-2</v>
      </c>
      <c r="AF267" s="9">
        <f ca="1">+Table1[[#This Row],[Net Gain]]*Table1[[#This Row],[Ask Qty]]</f>
        <v>6181.6666666666661</v>
      </c>
      <c r="AG267" t="str">
        <f ca="1">IF(Table1[[#This Row],[YTM]]&gt;0.12,IF(Table1[[#This Row],[Gross Profit]]&gt;10000,"Invest","Review"),"Low YTM")</f>
        <v>Low YTM</v>
      </c>
    </row>
    <row r="268" spans="1:33" x14ac:dyDescent="0.3">
      <c r="A268" t="str">
        <f>RTD("nest.scriprtd",,"bse_cm|925SCL29A","Symbol")</f>
        <v>925SCL29A</v>
      </c>
      <c r="B268" t="str">
        <f>RTD("nest.scriprtd",,"bse_cm|925SCL29A","Trading Symbol")</f>
        <v>925SCL29A</v>
      </c>
      <c r="C268" t="str">
        <f>RTD("nest.scriprtd",,"bse_cm|925SCL29A","Exchange")</f>
        <v>BSE</v>
      </c>
      <c r="D268">
        <f>RTD("nest.scriprtd",,"bse_cm|925SCL29A","Bid Qty")</f>
        <v>250</v>
      </c>
      <c r="E268">
        <f>RTD("nest.scriprtd",,"bse_cm|925SCL29A","Bid Rate")</f>
        <v>765</v>
      </c>
      <c r="F268">
        <f>RTD("nest.scriprtd",,"bse_cm|925SCL29A","Ask Rate")</f>
        <v>999.99</v>
      </c>
      <c r="G268">
        <f>RTD("nest.scriprtd",,"bse_cm|925SCL29A","Ask Qty")</f>
        <v>141</v>
      </c>
      <c r="H268">
        <f>RTD("nest.scriprtd",,"bse_cm|925SCL29A","LTP")</f>
        <v>0</v>
      </c>
      <c r="I268" t="str">
        <f>RTD("nest.scriprtd",,"bse_cm|925SCL29A","LTT")</f>
        <v>00:00:00</v>
      </c>
      <c r="J268">
        <f>RTD("nest.scriprtd",,"bse_cm|925SCL29A","% Change")</f>
        <v>-100</v>
      </c>
      <c r="K268">
        <f>RTD("nest.scriprtd",,"bse_cm|925SCL29A","ATP")</f>
        <v>0</v>
      </c>
      <c r="L268">
        <f>RTD("nest.scriprtd",,"bse_cm|925SCL29A","Volume Traded Today")</f>
        <v>0</v>
      </c>
      <c r="M268">
        <f>RTD("nest.scriprtd",,"bse_cm|925SCL29A","Open")</f>
        <v>0</v>
      </c>
      <c r="N268">
        <f>RTD("nest.scriprtd",,"bse_cm|925SCL29A","High")</f>
        <v>948</v>
      </c>
      <c r="O268">
        <f>RTD("nest.scriprtd",,"bse_cm|925SCL29A","Low ")</f>
        <v>948</v>
      </c>
      <c r="P268">
        <f>RTD("nest.scriprtd",,"bse_cm|925SCL29A","Prev Close")</f>
        <v>948</v>
      </c>
      <c r="Q268">
        <f>RTD("nest.scriprtd",,"bse_cm|925SCL29A","Face Value")</f>
        <v>1000</v>
      </c>
      <c r="R268" t="str">
        <f>RTD("nest.scriprtd",,"bse_cm|925SCL29A","Isin code")</f>
        <v>INE148I07TQ5</v>
      </c>
      <c r="S268" s="9">
        <f>Table1[[#This Row],[Ask Rate]]*Table1[[#This Row],[Ask Qty]]</f>
        <v>140998.59</v>
      </c>
      <c r="T268">
        <f>VLOOKUP(Table1[[#This Row],[Isin code]],Table2[#All],7,FALSE)</f>
        <v>9.25</v>
      </c>
      <c r="U268" s="17" t="str">
        <f>VLOOKUP(Table1[[#This Row],[Isin code]],Table2[#All],8,FALSE)</f>
        <v>31-May-2029</v>
      </c>
      <c r="V268" s="10">
        <f ca="1">Table1[[#This Row],[Maturity]]-TODAY()</f>
        <v>1688</v>
      </c>
      <c r="W268" t="str">
        <f>VLOOKUP(Table1[[#This Row],[Isin code]],Table2[#All],10,FALSE)</f>
        <v>Monthly</v>
      </c>
      <c r="X268">
        <f ca="1">_xlfn.DAYS(Table1[[#This Row],[Maturity]],TODAY())-15</f>
        <v>1673</v>
      </c>
      <c r="Y2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56</v>
      </c>
      <c r="Z268">
        <f>IF(Table1[[#This Row],[Ask Rate]]=0,0,Table1[[#This Row],[Face Value]]-Table1[[#This Row],[Ask Rate]])</f>
        <v>9.9999999999909051E-3</v>
      </c>
      <c r="AA268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268">
        <f ca="1">Table1[[#This Row],[Face Value]]*Table1[[#This Row],[Rate]]*Table1[[#This Row],[Time]]</f>
        <v>431.66666666666669</v>
      </c>
      <c r="AC268">
        <f ca="1">Table1[[#This Row],[SI]]+Table1[[#This Row],[Disc/Prem]]</f>
        <v>431.67666666666668</v>
      </c>
      <c r="AD268" s="3">
        <f ca="1">Table1[[#This Row],[Net Gain]]/Table1[[#This Row],[Ask Rate]]</f>
        <v>0.43168098347650141</v>
      </c>
      <c r="AE268" s="3">
        <f ca="1">IF(Table1[[#This Row],[Ask Qty]]=0,0,Table1[[#This Row],[Gross Yield]]*365/Table1[[#This Row],[Days Left]])</f>
        <v>9.3343340621399887E-2</v>
      </c>
      <c r="AF268" s="9">
        <f ca="1">+Table1[[#This Row],[Net Gain]]*Table1[[#This Row],[Ask Qty]]</f>
        <v>60866.41</v>
      </c>
      <c r="AG268" t="str">
        <f ca="1">IF(Table1[[#This Row],[YTM]]&gt;0.12,IF(Table1[[#This Row],[Gross Profit]]&gt;10000,"Invest","Review"),"Low YTM")</f>
        <v>Low YTM</v>
      </c>
    </row>
    <row r="269" spans="1:33" x14ac:dyDescent="0.3">
      <c r="A269" t="str">
        <f>RTD("nest.scriprtd",,"bse_cm|944ONE34","Symbol")</f>
        <v>944ONE34</v>
      </c>
      <c r="B269" t="str">
        <f>RTD("nest.scriprtd",,"bse_cm|944ONE34","Trading Symbol")</f>
        <v>944ONE34</v>
      </c>
      <c r="C269" t="str">
        <f>RTD("nest.scriprtd",,"bse_cm|944ONE34","Exchange")</f>
        <v>BSE</v>
      </c>
      <c r="D269">
        <f>RTD("nest.scriprtd",,"bse_cm|944ONE34","Bid Qty")</f>
        <v>50</v>
      </c>
      <c r="E269">
        <f>RTD("nest.scriprtd",,"bse_cm|944ONE34","Bid Rate")</f>
        <v>835</v>
      </c>
      <c r="F269">
        <f>RTD("nest.scriprtd",,"bse_cm|944ONE34","Ask Rate")</f>
        <v>1015</v>
      </c>
      <c r="G269">
        <f>RTD("nest.scriprtd",,"bse_cm|944ONE34","Ask Qty")</f>
        <v>300</v>
      </c>
      <c r="H269">
        <f>RTD("nest.scriprtd",,"bse_cm|944ONE34","LTP")</f>
        <v>0</v>
      </c>
      <c r="I269" t="str">
        <f>RTD("nest.scriprtd",,"bse_cm|944ONE34","LTT")</f>
        <v>00:00:00</v>
      </c>
      <c r="J269">
        <f>RTD("nest.scriprtd",,"bse_cm|944ONE34","% Change")</f>
        <v>-100</v>
      </c>
      <c r="K269">
        <f>RTD("nest.scriprtd",,"bse_cm|944ONE34","ATP")</f>
        <v>0</v>
      </c>
      <c r="L269">
        <f>RTD("nest.scriprtd",,"bse_cm|944ONE34","Volume Traded Today")</f>
        <v>0</v>
      </c>
      <c r="M269">
        <f>RTD("nest.scriprtd",,"bse_cm|944ONE34","Open")</f>
        <v>0</v>
      </c>
      <c r="N269">
        <f>RTD("nest.scriprtd",,"bse_cm|944ONE34","High")</f>
        <v>990</v>
      </c>
      <c r="O269">
        <f>RTD("nest.scriprtd",,"bse_cm|944ONE34","Low ")</f>
        <v>988</v>
      </c>
      <c r="P269">
        <f>RTD("nest.scriprtd",,"bse_cm|944ONE34","Prev Close")</f>
        <v>988</v>
      </c>
      <c r="Q269">
        <f>RTD("nest.scriprtd",,"bse_cm|944ONE34","Face Value")</f>
        <v>1000</v>
      </c>
      <c r="R269" t="str">
        <f>RTD("nest.scriprtd",,"bse_cm|944ONE34","Isin code")</f>
        <v>INE248U07FI4</v>
      </c>
      <c r="S269" s="9">
        <f>Table1[[#This Row],[Ask Rate]]*Table1[[#This Row],[Ask Qty]]</f>
        <v>304500</v>
      </c>
      <c r="T269">
        <f>VLOOKUP(Table1[[#This Row],[Isin code]],Table2[#All],7,FALSE)</f>
        <v>9.44</v>
      </c>
      <c r="U269" s="17" t="str">
        <f>VLOOKUP(Table1[[#This Row],[Isin code]],Table2[#All],8,FALSE)</f>
        <v>12-Jun-2034</v>
      </c>
      <c r="V269" s="10">
        <f ca="1">Table1[[#This Row],[Maturity]]-TODAY()</f>
        <v>3526</v>
      </c>
      <c r="W269" t="str">
        <f>VLOOKUP(Table1[[#This Row],[Isin code]],Table2[#All],10,FALSE)</f>
        <v>Monthly</v>
      </c>
      <c r="X269">
        <f ca="1">_xlfn.DAYS(Table1[[#This Row],[Maturity]],TODAY())-15</f>
        <v>3511</v>
      </c>
      <c r="Y2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118</v>
      </c>
      <c r="Z269">
        <f>IF(Table1[[#This Row],[Ask Rate]]=0,0,Table1[[#This Row],[Face Value]]-Table1[[#This Row],[Ask Rate]])</f>
        <v>-15</v>
      </c>
      <c r="AA269">
        <f>IF(Table1[[#This Row],[Freq]]="Yearly",Table1[[#This Row],[Coupon_Rate]]/100,IF(Table1[[#This Row],[Freq]]="Monthly",Table1[[#This Row],[Coupon_Rate]]/1200,IF(Table1[[#This Row],[Freq]]="Quarterly",Table1[[#This Row],[Coupon_Rate]]/400,0)))</f>
        <v>7.8666666666666659E-3</v>
      </c>
      <c r="AB269">
        <f ca="1">Table1[[#This Row],[Face Value]]*Table1[[#This Row],[Rate]]*Table1[[#This Row],[Time]]</f>
        <v>928.26666666666665</v>
      </c>
      <c r="AC269">
        <f ca="1">Table1[[#This Row],[SI]]+Table1[[#This Row],[Disc/Prem]]</f>
        <v>913.26666666666665</v>
      </c>
      <c r="AD269" s="3">
        <f ca="1">Table1[[#This Row],[Net Gain]]/Table1[[#This Row],[Ask Rate]]</f>
        <v>0.89977011494252868</v>
      </c>
      <c r="AE269" s="3">
        <f ca="1">IF(Table1[[#This Row],[Ask Qty]]=0,0,Table1[[#This Row],[Gross Yield]]*365/Table1[[#This Row],[Days Left]])</f>
        <v>9.3141262607493752E-2</v>
      </c>
      <c r="AF269" s="9">
        <f ca="1">+Table1[[#This Row],[Net Gain]]*Table1[[#This Row],[Ask Qty]]</f>
        <v>273980</v>
      </c>
      <c r="AG269" t="str">
        <f ca="1">IF(Table1[[#This Row],[YTM]]&gt;0.12,IF(Table1[[#This Row],[Gross Profit]]&gt;10000,"Invest","Review"),"Low YTM")</f>
        <v>Low YTM</v>
      </c>
    </row>
    <row r="270" spans="1:33" x14ac:dyDescent="0.3">
      <c r="A270" t="str">
        <f>RTD("nest.scriprtd",,"nse_cm|105IIFL29-N7","Symbol")</f>
        <v>105IIFL29</v>
      </c>
      <c r="B270" t="str">
        <f>RTD("nest.scriprtd",,"nse_cm|105IIFL29-N7","Trading Symbol")</f>
        <v>105IIFL29-N7</v>
      </c>
      <c r="C270" t="str">
        <f>RTD("nest.scriprtd",,"nse_cm|105IIFL29-N7","Exchange")</f>
        <v>NSE</v>
      </c>
      <c r="D270">
        <f>RTD("nest.scriprtd",,"nse_cm|105IIFL29-N7","Bid Qty")</f>
        <v>100</v>
      </c>
      <c r="E270">
        <f>RTD("nest.scriprtd",,"nse_cm|105IIFL29-N7","Bid Rate")</f>
        <v>982</v>
      </c>
      <c r="F270">
        <f>RTD("nest.scriprtd",,"nse_cm|105IIFL29-N7","Ask Rate")</f>
        <v>1087.9000000000001</v>
      </c>
      <c r="G270">
        <f>RTD("nest.scriprtd",,"nse_cm|105IIFL29-N7","Ask Qty")</f>
        <v>50</v>
      </c>
      <c r="H270">
        <f>RTD("nest.scriprtd",,"nse_cm|105IIFL29-N7","LTP")</f>
        <v>1085</v>
      </c>
      <c r="I270" t="str">
        <f>RTD("nest.scriprtd",,"nse_cm|105IIFL29-N7","LTT")</f>
        <v>10:06:25</v>
      </c>
      <c r="J270">
        <f>RTD("nest.scriprtd",,"nse_cm|105IIFL29-N7","% Change")</f>
        <v>10.49</v>
      </c>
      <c r="K270">
        <f>RTD("nest.scriprtd",,"nse_cm|105IIFL29-N7","ATP")</f>
        <v>1085</v>
      </c>
      <c r="L270">
        <f>RTD("nest.scriprtd",,"nse_cm|105IIFL29-N7","Volume Traded Today")</f>
        <v>75</v>
      </c>
      <c r="M270">
        <f>RTD("nest.scriprtd",,"nse_cm|105IIFL29-N7","Open")</f>
        <v>1085</v>
      </c>
      <c r="N270">
        <f>RTD("nest.scriprtd",,"nse_cm|105IIFL29-N7","High")</f>
        <v>1085</v>
      </c>
      <c r="O270">
        <f>RTD("nest.scriprtd",,"nse_cm|105IIFL29-N7","Low ")</f>
        <v>1085</v>
      </c>
      <c r="P270">
        <f>RTD("nest.scriprtd",,"nse_cm|105IIFL29-N7","Prev Close")</f>
        <v>982</v>
      </c>
      <c r="Q270">
        <f>RTD("nest.scriprtd",,"nse_cm|105IIFL29-N7","Face Value")</f>
        <v>1000</v>
      </c>
      <c r="R270" t="str">
        <f>RTD("nest.scriprtd",,"nse_cm|105IIFL29-N7","Isin code")</f>
        <v>INE866I08295</v>
      </c>
      <c r="S270" s="9">
        <f>Table1[[#This Row],[Ask Rate]]*Table1[[#This Row],[Ask Qty]]</f>
        <v>54395.000000000007</v>
      </c>
      <c r="T270">
        <f>VLOOKUP(Table1[[#This Row],[Isin code]],Table2[#All],7,FALSE)</f>
        <v>10.5</v>
      </c>
      <c r="U270" s="17" t="str">
        <f>VLOOKUP(Table1[[#This Row],[Isin code]],Table2[#All],8,FALSE)</f>
        <v>07-Feb-2029</v>
      </c>
      <c r="V270" s="10">
        <f ca="1">Table1[[#This Row],[Maturity]]-TODAY()</f>
        <v>1575</v>
      </c>
      <c r="W270" t="str">
        <f>VLOOKUP(Table1[[#This Row],[Isin code]],Table2[#All],10,FALSE)</f>
        <v>Yearly</v>
      </c>
      <c r="X270">
        <f ca="1">_xlfn.DAYS(Table1[[#This Row],[Maturity]],TODAY())-15</f>
        <v>1560</v>
      </c>
      <c r="Y2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270">
        <f>IF(Table1[[#This Row],[Ask Rate]]=0,0,Table1[[#This Row],[Face Value]]-Table1[[#This Row],[Ask Rate]])</f>
        <v>-87.900000000000091</v>
      </c>
      <c r="AA270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270">
        <f ca="1">Table1[[#This Row],[Face Value]]*Table1[[#This Row],[Rate]]*Table1[[#This Row],[Time]]</f>
        <v>525</v>
      </c>
      <c r="AC270">
        <f ca="1">Table1[[#This Row],[SI]]+Table1[[#This Row],[Disc/Prem]]</f>
        <v>437.09999999999991</v>
      </c>
      <c r="AD270" s="3">
        <f ca="1">Table1[[#This Row],[Net Gain]]/Table1[[#This Row],[Ask Rate]]</f>
        <v>0.40178325213714483</v>
      </c>
      <c r="AE270" s="3">
        <f ca="1">IF(Table1[[#This Row],[Ask Qty]]=0,0,Table1[[#This Row],[Gross Yield]]*365/Table1[[#This Row],[Days Left]])</f>
        <v>9.311167430479865E-2</v>
      </c>
      <c r="AF270" s="9">
        <f ca="1">+Table1[[#This Row],[Net Gain]]*Table1[[#This Row],[Ask Qty]]</f>
        <v>21854.999999999996</v>
      </c>
      <c r="AG270" t="str">
        <f ca="1">IF(Table1[[#This Row],[YTM]]&gt;0.12,IF(Table1[[#This Row],[Gross Profit]]&gt;10000,"Invest","Review"),"Low YTM")</f>
        <v>Low YTM</v>
      </c>
    </row>
    <row r="271" spans="1:33" x14ac:dyDescent="0.3">
      <c r="A271" t="str">
        <f>RTD("nest.scriprtd",,"nse_cm|875PCHFL26-N8","Symbol")</f>
        <v>875PCHFL26</v>
      </c>
      <c r="B271" t="str">
        <f>RTD("nest.scriprtd",,"nse_cm|875PCHFL26-N8","Trading Symbol")</f>
        <v>875PCHFL26-N8</v>
      </c>
      <c r="C271" t="str">
        <f>RTD("nest.scriprtd",,"nse_cm|875PCHFL26-N8","Exchange")</f>
        <v>NSE</v>
      </c>
      <c r="D271">
        <f>RTD("nest.scriprtd",,"nse_cm|875PCHFL26-N8","Bid Qty")</f>
        <v>20</v>
      </c>
      <c r="E271">
        <f>RTD("nest.scriprtd",,"nse_cm|875PCHFL26-N8","Bid Rate")</f>
        <v>990.05</v>
      </c>
      <c r="F271">
        <f>RTD("nest.scriprtd",,"nse_cm|875PCHFL26-N8","Ask Rate")</f>
        <v>1009</v>
      </c>
      <c r="G271">
        <f>RTD("nest.scriprtd",,"nse_cm|875PCHFL26-N8","Ask Qty")</f>
        <v>10</v>
      </c>
      <c r="H271">
        <f>RTD("nest.scriprtd",,"nse_cm|875PCHFL26-N8","LTP")</f>
        <v>1001</v>
      </c>
      <c r="I271" t="str">
        <f>RTD("nest.scriprtd",,"nse_cm|875PCHFL26-N8","LTT")</f>
        <v/>
      </c>
      <c r="J271">
        <f>RTD("nest.scriprtd",,"nse_cm|875PCHFL26-N8","% Change")</f>
        <v>0</v>
      </c>
      <c r="K271">
        <f>RTD("nest.scriprtd",,"nse_cm|875PCHFL26-N8","ATP")</f>
        <v>0</v>
      </c>
      <c r="L271">
        <f>RTD("nest.scriprtd",,"nse_cm|875PCHFL26-N8","Volume Traded Today")</f>
        <v>0</v>
      </c>
      <c r="M271">
        <f>RTD("nest.scriprtd",,"nse_cm|875PCHFL26-N8","Open")</f>
        <v>0</v>
      </c>
      <c r="N271">
        <f>RTD("nest.scriprtd",,"nse_cm|875PCHFL26-N8","High")</f>
        <v>1001.1</v>
      </c>
      <c r="O271">
        <f>RTD("nest.scriprtd",,"nse_cm|875PCHFL26-N8","Low ")</f>
        <v>1001</v>
      </c>
      <c r="P271">
        <f>RTD("nest.scriprtd",,"nse_cm|875PCHFL26-N8","Prev Close")</f>
        <v>1001</v>
      </c>
      <c r="Q271">
        <f>RTD("nest.scriprtd",,"nse_cm|875PCHFL26-N8","Face Value")</f>
        <v>1000</v>
      </c>
      <c r="R271" t="str">
        <f>RTD("nest.scriprtd",,"nse_cm|875PCHFL26-N8","Isin code")</f>
        <v>INE516Y07410</v>
      </c>
      <c r="S271" s="9">
        <f>Table1[[#This Row],[Ask Rate]]*Table1[[#This Row],[Ask Qty]]</f>
        <v>10090</v>
      </c>
      <c r="T271">
        <f>VLOOKUP(Table1[[#This Row],[Isin code]],Table2[#All],7,FALSE)</f>
        <v>8.75</v>
      </c>
      <c r="U271" s="17" t="str">
        <f>VLOOKUP(Table1[[#This Row],[Isin code]],Table2[#All],8,FALSE)</f>
        <v>23-Jul-2026</v>
      </c>
      <c r="V271" s="10">
        <f ca="1">Table1[[#This Row],[Maturity]]-TODAY()</f>
        <v>645</v>
      </c>
      <c r="W271" t="str">
        <f>VLOOKUP(Table1[[#This Row],[Isin code]],Table2[#All],10,FALSE)</f>
        <v>Yearly</v>
      </c>
      <c r="X271">
        <f ca="1">_xlfn.DAYS(Table1[[#This Row],[Maturity]],TODAY())-15</f>
        <v>630</v>
      </c>
      <c r="Y2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71">
        <f>IF(Table1[[#This Row],[Ask Rate]]=0,0,Table1[[#This Row],[Face Value]]-Table1[[#This Row],[Ask Rate]])</f>
        <v>-9</v>
      </c>
      <c r="AA271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271">
        <f ca="1">Table1[[#This Row],[Face Value]]*Table1[[#This Row],[Rate]]*Table1[[#This Row],[Time]]</f>
        <v>175</v>
      </c>
      <c r="AC271">
        <f ca="1">Table1[[#This Row],[SI]]+Table1[[#This Row],[Disc/Prem]]</f>
        <v>166</v>
      </c>
      <c r="AD271" s="3">
        <f ca="1">Table1[[#This Row],[Net Gain]]/Table1[[#This Row],[Ask Rate]]</f>
        <v>0.16451932606541131</v>
      </c>
      <c r="AE271" s="3">
        <f ca="1">IF(Table1[[#This Row],[Ask Qty]]=0,0,Table1[[#This Row],[Gross Yield]]*365/Table1[[#This Row],[Days Left]])</f>
        <v>9.3100083742442066E-2</v>
      </c>
      <c r="AF271" s="9">
        <f ca="1">+Table1[[#This Row],[Net Gain]]*Table1[[#This Row],[Ask Qty]]</f>
        <v>1660</v>
      </c>
      <c r="AG271" t="str">
        <f ca="1">IF(Table1[[#This Row],[YTM]]&gt;0.12,IF(Table1[[#This Row],[Gross Profit]]&gt;10000,"Invest","Review"),"Low YTM")</f>
        <v>Low YTM</v>
      </c>
    </row>
    <row r="272" spans="1:33" x14ac:dyDescent="0.3">
      <c r="A272" t="str">
        <f>RTD("nest.scriprtd",,"bse_cm|1060ECL29","Symbol")</f>
        <v>1060ECL29</v>
      </c>
      <c r="B272" t="str">
        <f>RTD("nest.scriprtd",,"bse_cm|1060ECL29","Trading Symbol")</f>
        <v>1060ECL29</v>
      </c>
      <c r="C272" t="str">
        <f>RTD("nest.scriprtd",,"bse_cm|1060ECL29","Exchange")</f>
        <v>BSE</v>
      </c>
      <c r="D272">
        <f>RTD("nest.scriprtd",,"bse_cm|1060ECL29","Bid Qty")</f>
        <v>1</v>
      </c>
      <c r="E272">
        <f>RTD("nest.scriprtd",,"bse_cm|1060ECL29","Bid Rate")</f>
        <v>1020</v>
      </c>
      <c r="F272">
        <f>RTD("nest.scriprtd",,"bse_cm|1060ECL29","Ask Rate")</f>
        <v>1099</v>
      </c>
      <c r="G272">
        <f>RTD("nest.scriprtd",,"bse_cm|1060ECL29","Ask Qty")</f>
        <v>50</v>
      </c>
      <c r="H272">
        <f>RTD("nest.scriprtd",,"bse_cm|1060ECL29","LTP")</f>
        <v>1011</v>
      </c>
      <c r="I272" t="str">
        <f>RTD("nest.scriprtd",,"bse_cm|1060ECL29","LTT")</f>
        <v>09:37:51</v>
      </c>
      <c r="J272">
        <f>RTD("nest.scriprtd",,"bse_cm|1060ECL29","% Change")</f>
        <v>-15.61</v>
      </c>
      <c r="K272">
        <f>RTD("nest.scriprtd",,"bse_cm|1060ECL29","ATP")</f>
        <v>1346.2</v>
      </c>
      <c r="L272">
        <f>RTD("nest.scriprtd",,"bse_cm|1060ECL29","Volume Traded Today")</f>
        <v>125</v>
      </c>
      <c r="M272">
        <f>RTD("nest.scriprtd",,"bse_cm|1060ECL29","Open")</f>
        <v>1430</v>
      </c>
      <c r="N272">
        <f>RTD("nest.scriprtd",,"bse_cm|1060ECL29","High")</f>
        <v>1430</v>
      </c>
      <c r="O272">
        <f>RTD("nest.scriprtd",,"bse_cm|1060ECL29","Low ")</f>
        <v>1011</v>
      </c>
      <c r="P272">
        <f>RTD("nest.scriprtd",,"bse_cm|1060ECL29","Prev Close")</f>
        <v>1198</v>
      </c>
      <c r="Q272">
        <f>RTD("nest.scriprtd",,"bse_cm|1060ECL29","Face Value")</f>
        <v>1000</v>
      </c>
      <c r="R272" t="str">
        <f>RTD("nest.scriprtd",,"bse_cm|1060ECL29","Isin code")</f>
        <v>INE804IA7022</v>
      </c>
      <c r="S272" s="9">
        <f>Table1[[#This Row],[Ask Rate]]*Table1[[#This Row],[Ask Qty]]</f>
        <v>54950</v>
      </c>
      <c r="T272">
        <f>VLOOKUP(Table1[[#This Row],[Isin code]],Table2[#All],7,FALSE)</f>
        <v>10.6</v>
      </c>
      <c r="U272" s="17" t="str">
        <f>VLOOKUP(Table1[[#This Row],[Isin code]],Table2[#All],8,FALSE)</f>
        <v>04-Jan-2029</v>
      </c>
      <c r="V272" s="10">
        <f ca="1">Table1[[#This Row],[Maturity]]-TODAY()</f>
        <v>1541</v>
      </c>
      <c r="W272" t="str">
        <f>VLOOKUP(Table1[[#This Row],[Isin code]],Table2[#All],10,FALSE)</f>
        <v>Yearly</v>
      </c>
      <c r="X272">
        <f ca="1">_xlfn.DAYS(Table1[[#This Row],[Maturity]],TODAY())-15</f>
        <v>1526</v>
      </c>
      <c r="Y2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272">
        <f>IF(Table1[[#This Row],[Ask Rate]]=0,0,Table1[[#This Row],[Face Value]]-Table1[[#This Row],[Ask Rate]])</f>
        <v>-99</v>
      </c>
      <c r="AA272">
        <f>IF(Table1[[#This Row],[Freq]]="Yearly",Table1[[#This Row],[Coupon_Rate]]/100,IF(Table1[[#This Row],[Freq]]="Monthly",Table1[[#This Row],[Coupon_Rate]]/1200,IF(Table1[[#This Row],[Freq]]="Quarterly",Table1[[#This Row],[Coupon_Rate]]/400,0)))</f>
        <v>0.106</v>
      </c>
      <c r="AB272">
        <f ca="1">Table1[[#This Row],[Face Value]]*Table1[[#This Row],[Rate]]*Table1[[#This Row],[Time]]</f>
        <v>530</v>
      </c>
      <c r="AC272">
        <f ca="1">Table1[[#This Row],[SI]]+Table1[[#This Row],[Disc/Prem]]</f>
        <v>431</v>
      </c>
      <c r="AD272" s="3">
        <f ca="1">Table1[[#This Row],[Net Gain]]/Table1[[#This Row],[Ask Rate]]</f>
        <v>0.3921747042766151</v>
      </c>
      <c r="AE272" s="3">
        <f ca="1">IF(Table1[[#This Row],[Ask Qty]]=0,0,Table1[[#This Row],[Gross Yield]]*365/Table1[[#This Row],[Days Left]])</f>
        <v>9.2890179792968527E-2</v>
      </c>
      <c r="AF272" s="9">
        <f ca="1">+Table1[[#This Row],[Net Gain]]*Table1[[#This Row],[Ask Qty]]</f>
        <v>21550</v>
      </c>
      <c r="AG272" t="str">
        <f ca="1">IF(Table1[[#This Row],[YTM]]&gt;0.12,IF(Table1[[#This Row],[Gross Profit]]&gt;10000,"Invest","Review"),"Low YTM")</f>
        <v>Low YTM</v>
      </c>
    </row>
    <row r="273" spans="1:33" x14ac:dyDescent="0.3">
      <c r="A273" t="str">
        <f>RTD("nest.scriprtd",,"nse_cm|10CAGL27-N5","Symbol")</f>
        <v>10CAGL27</v>
      </c>
      <c r="B273" t="str">
        <f>RTD("nest.scriprtd",,"nse_cm|10CAGL27-N5","Trading Symbol")</f>
        <v>10CAGL27-N5</v>
      </c>
      <c r="C273" t="str">
        <f>RTD("nest.scriprtd",,"nse_cm|10CAGL27-N5","Exchange")</f>
        <v>NSE</v>
      </c>
      <c r="D273">
        <f>RTD("nest.scriprtd",,"nse_cm|10CAGL27-N5","Bid Qty")</f>
        <v>3</v>
      </c>
      <c r="E273">
        <f>RTD("nest.scriprtd",,"nse_cm|10CAGL27-N5","Bid Rate")</f>
        <v>1010</v>
      </c>
      <c r="F273">
        <f>RTD("nest.scriprtd",,"nse_cm|10CAGL27-N5","Ask Rate")</f>
        <v>1020</v>
      </c>
      <c r="G273">
        <f>RTD("nest.scriprtd",,"nse_cm|10CAGL27-N5","Ask Qty")</f>
        <v>50</v>
      </c>
      <c r="H273">
        <f>RTD("nest.scriprtd",,"nse_cm|10CAGL27-N5","LTP")</f>
        <v>1006.15</v>
      </c>
      <c r="I273" t="str">
        <f>RTD("nest.scriprtd",,"nse_cm|10CAGL27-N5","LTT")</f>
        <v>10:24:51</v>
      </c>
      <c r="J273">
        <f>RTD("nest.scriprtd",,"nse_cm|10CAGL27-N5","% Change")</f>
        <v>-0.38</v>
      </c>
      <c r="K273">
        <f>RTD("nest.scriprtd",,"nse_cm|10CAGL27-N5","ATP")</f>
        <v>1006.19</v>
      </c>
      <c r="L273">
        <f>RTD("nest.scriprtd",,"nse_cm|10CAGL27-N5","Volume Traded Today")</f>
        <v>200</v>
      </c>
      <c r="M273">
        <f>RTD("nest.scriprtd",,"nse_cm|10CAGL27-N5","Open")</f>
        <v>1007</v>
      </c>
      <c r="N273">
        <f>RTD("nest.scriprtd",,"nse_cm|10CAGL27-N5","High")</f>
        <v>1007</v>
      </c>
      <c r="O273">
        <f>RTD("nest.scriprtd",,"nse_cm|10CAGL27-N5","Low ")</f>
        <v>1006.15</v>
      </c>
      <c r="P273">
        <f>RTD("nest.scriprtd",,"nse_cm|10CAGL27-N5","Prev Close")</f>
        <v>1010</v>
      </c>
      <c r="Q273">
        <f>RTD("nest.scriprtd",,"nse_cm|10CAGL27-N5","Face Value")</f>
        <v>1000</v>
      </c>
      <c r="R273" t="str">
        <f>RTD("nest.scriprtd",,"nse_cm|10CAGL27-N5","Isin code")</f>
        <v>INE741K07496</v>
      </c>
      <c r="S273" s="9">
        <f>Table1[[#This Row],[Ask Rate]]*Table1[[#This Row],[Ask Qty]]</f>
        <v>51000</v>
      </c>
      <c r="T273">
        <f>VLOOKUP(Table1[[#This Row],[Isin code]],Table2[#All],7,FALSE)</f>
        <v>10</v>
      </c>
      <c r="U273" s="17" t="str">
        <f>VLOOKUP(Table1[[#This Row],[Isin code]],Table2[#All],8,FALSE)</f>
        <v>23-Nov-2027</v>
      </c>
      <c r="V273" s="10">
        <f ca="1">Table1[[#This Row],[Maturity]]-TODAY()</f>
        <v>1133</v>
      </c>
      <c r="W273" t="str">
        <f>VLOOKUP(Table1[[#This Row],[Isin code]],Table2[#All],10,FALSE)</f>
        <v>Monthly</v>
      </c>
      <c r="X273">
        <f ca="1">_xlfn.DAYS(Table1[[#This Row],[Maturity]],TODAY())-15</f>
        <v>1118</v>
      </c>
      <c r="Y2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38</v>
      </c>
      <c r="Z273">
        <f>IF(Table1[[#This Row],[Ask Rate]]=0,0,Table1[[#This Row],[Face Value]]-Table1[[#This Row],[Ask Rate]])</f>
        <v>-20</v>
      </c>
      <c r="AA273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273">
        <f ca="1">Table1[[#This Row],[Face Value]]*Table1[[#This Row],[Rate]]*Table1[[#This Row],[Time]]</f>
        <v>316.66666666666669</v>
      </c>
      <c r="AC273">
        <f ca="1">Table1[[#This Row],[SI]]+Table1[[#This Row],[Disc/Prem]]</f>
        <v>296.66666666666669</v>
      </c>
      <c r="AD273" s="3">
        <f ca="1">Table1[[#This Row],[Net Gain]]/Table1[[#This Row],[Ask Rate]]</f>
        <v>0.2908496732026144</v>
      </c>
      <c r="AE273" s="3">
        <f ca="1">IF(Table1[[#This Row],[Ask Qty]]=0,0,Table1[[#This Row],[Gross Yield]]*365/Table1[[#This Row],[Days Left]])</f>
        <v>9.3698261887867826E-2</v>
      </c>
      <c r="AF273" s="9">
        <f ca="1">+Table1[[#This Row],[Net Gain]]*Table1[[#This Row],[Ask Qty]]</f>
        <v>14833.333333333334</v>
      </c>
      <c r="AG273" t="str">
        <f ca="1">IF(Table1[[#This Row],[YTM]]&gt;0.12,IF(Table1[[#This Row],[Gross Profit]]&gt;10000,"Invest","Review"),"Low YTM")</f>
        <v>Low YTM</v>
      </c>
    </row>
    <row r="274" spans="1:33" x14ac:dyDescent="0.3">
      <c r="A274" t="str">
        <f>RTD("nest.scriprtd",,"bse_cm|750MFL27","Symbol")</f>
        <v>750MFL27</v>
      </c>
      <c r="B274" t="str">
        <f>RTD("nest.scriprtd",,"bse_cm|750MFL27","Trading Symbol")</f>
        <v>750MFL27</v>
      </c>
      <c r="C274" t="str">
        <f>RTD("nest.scriprtd",,"bse_cm|750MFL27","Exchange")</f>
        <v>BSE</v>
      </c>
      <c r="D274">
        <f>RTD("nest.scriprtd",,"bse_cm|750MFL27","Bid Qty")</f>
        <v>190</v>
      </c>
      <c r="E274">
        <f>RTD("nest.scriprtd",,"bse_cm|750MFL27","Bid Rate")</f>
        <v>941.2</v>
      </c>
      <c r="F274">
        <f>RTD("nest.scriprtd",,"bse_cm|750MFL27","Ask Rate")</f>
        <v>959.8</v>
      </c>
      <c r="G274">
        <f>RTD("nest.scriprtd",,"bse_cm|750MFL27","Ask Qty")</f>
        <v>66</v>
      </c>
      <c r="H274">
        <f>RTD("nest.scriprtd",,"bse_cm|750MFL27","LTP")</f>
        <v>0</v>
      </c>
      <c r="I274" t="str">
        <f>RTD("nest.scriprtd",,"bse_cm|750MFL27","LTT")</f>
        <v>00:00:00</v>
      </c>
      <c r="J274">
        <f>RTD("nest.scriprtd",,"bse_cm|750MFL27","% Change")</f>
        <v>-100</v>
      </c>
      <c r="K274">
        <f>RTD("nest.scriprtd",,"bse_cm|750MFL27","ATP")</f>
        <v>0</v>
      </c>
      <c r="L274">
        <f>RTD("nest.scriprtd",,"bse_cm|750MFL27","Volume Traded Today")</f>
        <v>0</v>
      </c>
      <c r="M274">
        <f>RTD("nest.scriprtd",,"bse_cm|750MFL27","Open")</f>
        <v>0</v>
      </c>
      <c r="N274">
        <f>RTD("nest.scriprtd",,"bse_cm|750MFL27","High")</f>
        <v>959.8</v>
      </c>
      <c r="O274">
        <f>RTD("nest.scriprtd",,"bse_cm|750MFL27","Low ")</f>
        <v>959.8</v>
      </c>
      <c r="P274">
        <f>RTD("nest.scriprtd",,"bse_cm|750MFL27","Prev Close")</f>
        <v>959.8</v>
      </c>
      <c r="Q274">
        <f>RTD("nest.scriprtd",,"bse_cm|750MFL27","Face Value")</f>
        <v>1000</v>
      </c>
      <c r="R274" t="str">
        <f>RTD("nest.scriprtd",,"bse_cm|750MFL27","Isin code")</f>
        <v>INE414G07HH9</v>
      </c>
      <c r="S274" s="9">
        <f>Table1[[#This Row],[Ask Rate]]*Table1[[#This Row],[Ask Qty]]</f>
        <v>63346.799999999996</v>
      </c>
      <c r="T274">
        <f>VLOOKUP(Table1[[#This Row],[Isin code]],Table2[#All],7,FALSE)</f>
        <v>7.5</v>
      </c>
      <c r="U274" s="17" t="str">
        <f>VLOOKUP(Table1[[#This Row],[Isin code]],Table2[#All],8,FALSE)</f>
        <v>23-Dec-2027</v>
      </c>
      <c r="V274" s="10">
        <f ca="1">Table1[[#This Row],[Maturity]]-TODAY()</f>
        <v>1163</v>
      </c>
      <c r="W274" t="str">
        <f>VLOOKUP(Table1[[#This Row],[Isin code]],Table2[#All],10,FALSE)</f>
        <v>Monthly</v>
      </c>
      <c r="X274">
        <f ca="1">_xlfn.DAYS(Table1[[#This Row],[Maturity]],TODAY())-15</f>
        <v>1148</v>
      </c>
      <c r="Y2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274">
        <f>IF(Table1[[#This Row],[Ask Rate]]=0,0,Table1[[#This Row],[Face Value]]-Table1[[#This Row],[Ask Rate]])</f>
        <v>40.200000000000045</v>
      </c>
      <c r="AA274">
        <f>IF(Table1[[#This Row],[Freq]]="Yearly",Table1[[#This Row],[Coupon_Rate]]/100,IF(Table1[[#This Row],[Freq]]="Monthly",Table1[[#This Row],[Coupon_Rate]]/1200,IF(Table1[[#This Row],[Freq]]="Quarterly",Table1[[#This Row],[Coupon_Rate]]/400,0)))</f>
        <v>6.2500000000000003E-3</v>
      </c>
      <c r="AB274">
        <f ca="1">Table1[[#This Row],[Face Value]]*Table1[[#This Row],[Rate]]*Table1[[#This Row],[Time]]</f>
        <v>243.75</v>
      </c>
      <c r="AC274">
        <f ca="1">Table1[[#This Row],[SI]]+Table1[[#This Row],[Disc/Prem]]</f>
        <v>283.95000000000005</v>
      </c>
      <c r="AD274" s="3">
        <f ca="1">Table1[[#This Row],[Net Gain]]/Table1[[#This Row],[Ask Rate]]</f>
        <v>0.29584288393415303</v>
      </c>
      <c r="AE274" s="3">
        <f ca="1">IF(Table1[[#This Row],[Ask Qty]]=0,0,Table1[[#This Row],[Gross Yield]]*365/Table1[[#This Row],[Days Left]])</f>
        <v>9.2848368560589742E-2</v>
      </c>
      <c r="AF274" s="9">
        <f ca="1">+Table1[[#This Row],[Net Gain]]*Table1[[#This Row],[Ask Qty]]</f>
        <v>18740.700000000004</v>
      </c>
      <c r="AG274" t="str">
        <f ca="1">IF(Table1[[#This Row],[YTM]]&gt;0.12,IF(Table1[[#This Row],[Gross Profit]]&gt;10000,"Invest","Review"),"Low YTM")</f>
        <v>Low YTM</v>
      </c>
    </row>
    <row r="275" spans="1:33" x14ac:dyDescent="0.3">
      <c r="A275" t="str">
        <f>RTD("nest.scriprtd",,"bse_cm|975JMFCS28","Symbol")</f>
        <v>975JMFCS28</v>
      </c>
      <c r="B275" t="str">
        <f>RTD("nest.scriprtd",,"bse_cm|975JMFCS28","Trading Symbol")</f>
        <v>975JMFCS28</v>
      </c>
      <c r="C275" t="str">
        <f>RTD("nest.scriprtd",,"bse_cm|975JMFCS28","Exchange")</f>
        <v>BSE</v>
      </c>
      <c r="D275">
        <f>RTD("nest.scriprtd",,"bse_cm|975JMFCS28","Bid Qty")</f>
        <v>100</v>
      </c>
      <c r="E275">
        <f>RTD("nest.scriprtd",,"bse_cm|975JMFCS28","Bid Rate")</f>
        <v>1025</v>
      </c>
      <c r="F275">
        <f>RTD("nest.scriprtd",,"bse_cm|975JMFCS28","Ask Rate")</f>
        <v>1038.9000000000001</v>
      </c>
      <c r="G275">
        <f>RTD("nest.scriprtd",,"bse_cm|975JMFCS28","Ask Qty")</f>
        <v>192</v>
      </c>
      <c r="H275">
        <f>RTD("nest.scriprtd",,"bse_cm|975JMFCS28","LTP")</f>
        <v>0</v>
      </c>
      <c r="I275" t="str">
        <f>RTD("nest.scriprtd",,"bse_cm|975JMFCS28","LTT")</f>
        <v>00:00:00</v>
      </c>
      <c r="J275">
        <f>RTD("nest.scriprtd",,"bse_cm|975JMFCS28","% Change")</f>
        <v>-100</v>
      </c>
      <c r="K275">
        <f>RTD("nest.scriprtd",,"bse_cm|975JMFCS28","ATP")</f>
        <v>0</v>
      </c>
      <c r="L275">
        <f>RTD("nest.scriprtd",,"bse_cm|975JMFCS28","Volume Traded Today")</f>
        <v>0</v>
      </c>
      <c r="M275">
        <f>RTD("nest.scriprtd",,"bse_cm|975JMFCS28","Open")</f>
        <v>0</v>
      </c>
      <c r="N275">
        <f>RTD("nest.scriprtd",,"bse_cm|975JMFCS28","High")</f>
        <v>1030</v>
      </c>
      <c r="O275">
        <f>RTD("nest.scriprtd",,"bse_cm|975JMFCS28","Low ")</f>
        <v>1020.5</v>
      </c>
      <c r="P275">
        <f>RTD("nest.scriprtd",,"bse_cm|975JMFCS28","Prev Close")</f>
        <v>1030</v>
      </c>
      <c r="Q275">
        <f>RTD("nest.scriprtd",,"bse_cm|975JMFCS28","Face Value")</f>
        <v>1000</v>
      </c>
      <c r="R275" t="str">
        <f>RTD("nest.scriprtd",,"bse_cm|975JMFCS28","Isin code")</f>
        <v>INE651J07622</v>
      </c>
      <c r="S275" s="9">
        <f>Table1[[#This Row],[Ask Rate]]*Table1[[#This Row],[Ask Qty]]</f>
        <v>199468.80000000002</v>
      </c>
      <c r="T275">
        <f>VLOOKUP(Table1[[#This Row],[Isin code]],Table2[#All],7,FALSE)</f>
        <v>9.75</v>
      </c>
      <c r="U275" s="17" t="str">
        <f>VLOOKUP(Table1[[#This Row],[Isin code]],Table2[#All],8,FALSE)</f>
        <v>07-Jun-2028</v>
      </c>
      <c r="V275" s="10">
        <f ca="1">Table1[[#This Row],[Maturity]]-TODAY()</f>
        <v>1330</v>
      </c>
      <c r="W275" t="str">
        <f>VLOOKUP(Table1[[#This Row],[Isin code]],Table2[#All],10,FALSE)</f>
        <v>Yearly</v>
      </c>
      <c r="X275">
        <f ca="1">_xlfn.DAYS(Table1[[#This Row],[Maturity]],TODAY())-15</f>
        <v>1315</v>
      </c>
      <c r="Y2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275">
        <f>IF(Table1[[#This Row],[Ask Rate]]=0,0,Table1[[#This Row],[Face Value]]-Table1[[#This Row],[Ask Rate]])</f>
        <v>-38.900000000000091</v>
      </c>
      <c r="AA275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275">
        <f ca="1">Table1[[#This Row],[Face Value]]*Table1[[#This Row],[Rate]]*Table1[[#This Row],[Time]]</f>
        <v>390</v>
      </c>
      <c r="AC275">
        <f ca="1">Table1[[#This Row],[SI]]+Table1[[#This Row],[Disc/Prem]]</f>
        <v>351.09999999999991</v>
      </c>
      <c r="AD275" s="3">
        <f ca="1">Table1[[#This Row],[Net Gain]]/Table1[[#This Row],[Ask Rate]]</f>
        <v>0.33795360477428038</v>
      </c>
      <c r="AE275" s="3">
        <f ca="1">IF(Table1[[#This Row],[Ask Qty]]=0,0,Table1[[#This Row],[Gross Yield]]*365/Table1[[#This Row],[Days Left]])</f>
        <v>9.2746665971888978E-2</v>
      </c>
      <c r="AF275" s="9">
        <f ca="1">+Table1[[#This Row],[Net Gain]]*Table1[[#This Row],[Ask Qty]]</f>
        <v>67411.199999999983</v>
      </c>
      <c r="AG275" t="str">
        <f ca="1">IF(Table1[[#This Row],[YTM]]&gt;0.12,IF(Table1[[#This Row],[Gross Profit]]&gt;10000,"Invest","Review"),"Low YTM")</f>
        <v>Low YTM</v>
      </c>
    </row>
    <row r="276" spans="1:33" x14ac:dyDescent="0.3">
      <c r="A276" t="str">
        <f>RTD("nest.scriprtd",,"bse_cm|791JMFPL26","Symbol")</f>
        <v>791JMFPL26</v>
      </c>
      <c r="B276" t="str">
        <f>RTD("nest.scriprtd",,"bse_cm|791JMFPL26","Trading Symbol")</f>
        <v>791JMFPL26</v>
      </c>
      <c r="C276" t="str">
        <f>RTD("nest.scriprtd",,"bse_cm|791JMFPL26","Exchange")</f>
        <v>BSE</v>
      </c>
      <c r="D276">
        <f>RTD("nest.scriprtd",,"bse_cm|791JMFPL26","Bid Qty")</f>
        <v>5</v>
      </c>
      <c r="E276">
        <f>RTD("nest.scriprtd",,"bse_cm|791JMFPL26","Bid Rate")</f>
        <v>950.2</v>
      </c>
      <c r="F276">
        <f>RTD("nest.scriprtd",,"bse_cm|791JMFPL26","Ask Rate")</f>
        <v>979</v>
      </c>
      <c r="G276">
        <f>RTD("nest.scriprtd",,"bse_cm|791JMFPL26","Ask Qty")</f>
        <v>15</v>
      </c>
      <c r="H276">
        <f>RTD("nest.scriprtd",,"bse_cm|791JMFPL26","LTP")</f>
        <v>0</v>
      </c>
      <c r="I276" t="str">
        <f>RTD("nest.scriprtd",,"bse_cm|791JMFPL26","LTT")</f>
        <v>00:00:00</v>
      </c>
      <c r="J276">
        <f>RTD("nest.scriprtd",,"bse_cm|791JMFPL26","% Change")</f>
        <v>-100</v>
      </c>
      <c r="K276">
        <f>RTD("nest.scriprtd",,"bse_cm|791JMFPL26","ATP")</f>
        <v>0</v>
      </c>
      <c r="L276">
        <f>RTD("nest.scriprtd",,"bse_cm|791JMFPL26","Volume Traded Today")</f>
        <v>0</v>
      </c>
      <c r="M276">
        <f>RTD("nest.scriprtd",,"bse_cm|791JMFPL26","Open")</f>
        <v>0</v>
      </c>
      <c r="N276">
        <f>RTD("nest.scriprtd",,"bse_cm|791JMFPL26","High")</f>
        <v>970</v>
      </c>
      <c r="O276">
        <f>RTD("nest.scriprtd",,"bse_cm|791JMFPL26","Low ")</f>
        <v>970</v>
      </c>
      <c r="P276">
        <f>RTD("nest.scriprtd",,"bse_cm|791JMFPL26","Prev Close")</f>
        <v>970</v>
      </c>
      <c r="Q276">
        <f>RTD("nest.scriprtd",,"bse_cm|791JMFPL26","Face Value")</f>
        <v>1000</v>
      </c>
      <c r="R276" t="str">
        <f>RTD("nest.scriprtd",,"bse_cm|791JMFPL26","Isin code")</f>
        <v>INE523H07BP1</v>
      </c>
      <c r="S276" s="9">
        <f>Table1[[#This Row],[Ask Rate]]*Table1[[#This Row],[Ask Qty]]</f>
        <v>14685</v>
      </c>
      <c r="T276">
        <f>VLOOKUP(Table1[[#This Row],[Isin code]],Table2[#All],7,FALSE)</f>
        <v>7.91</v>
      </c>
      <c r="U276" s="17" t="str">
        <f>VLOOKUP(Table1[[#This Row],[Isin code]],Table2[#All],8,FALSE)</f>
        <v>07-Oct-2026</v>
      </c>
      <c r="V276" s="10">
        <f ca="1">Table1[[#This Row],[Maturity]]-TODAY()</f>
        <v>721</v>
      </c>
      <c r="W276" t="str">
        <f>VLOOKUP(Table1[[#This Row],[Isin code]],Table2[#All],10,FALSE)</f>
        <v>Monthly</v>
      </c>
      <c r="X276">
        <f ca="1">_xlfn.DAYS(Table1[[#This Row],[Maturity]],TODAY())-15</f>
        <v>706</v>
      </c>
      <c r="Y2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276">
        <f>IF(Table1[[#This Row],[Ask Rate]]=0,0,Table1[[#This Row],[Face Value]]-Table1[[#This Row],[Ask Rate]])</f>
        <v>21</v>
      </c>
      <c r="AA276">
        <f>IF(Table1[[#This Row],[Freq]]="Yearly",Table1[[#This Row],[Coupon_Rate]]/100,IF(Table1[[#This Row],[Freq]]="Monthly",Table1[[#This Row],[Coupon_Rate]]/1200,IF(Table1[[#This Row],[Freq]]="Quarterly",Table1[[#This Row],[Coupon_Rate]]/400,0)))</f>
        <v>6.5916666666666667E-3</v>
      </c>
      <c r="AB276">
        <f ca="1">Table1[[#This Row],[Face Value]]*Table1[[#This Row],[Rate]]*Table1[[#This Row],[Time]]</f>
        <v>158.19999999999999</v>
      </c>
      <c r="AC276">
        <f ca="1">Table1[[#This Row],[SI]]+Table1[[#This Row],[Disc/Prem]]</f>
        <v>179.2</v>
      </c>
      <c r="AD276" s="3">
        <f ca="1">Table1[[#This Row],[Net Gain]]/Table1[[#This Row],[Ask Rate]]</f>
        <v>0.18304392236976505</v>
      </c>
      <c r="AE276" s="3">
        <f ca="1">IF(Table1[[#This Row],[Ask Qty]]=0,0,Table1[[#This Row],[Gross Yield]]*365/Table1[[#This Row],[Days Left]])</f>
        <v>9.2664398980532942E-2</v>
      </c>
      <c r="AF276" s="9">
        <f ca="1">+Table1[[#This Row],[Net Gain]]*Table1[[#This Row],[Ask Qty]]</f>
        <v>2688</v>
      </c>
      <c r="AG276" t="str">
        <f ca="1">IF(Table1[[#This Row],[YTM]]&gt;0.12,IF(Table1[[#This Row],[Gross Profit]]&gt;10000,"Invest","Review"),"Low YTM")</f>
        <v>Low YTM</v>
      </c>
    </row>
    <row r="277" spans="1:33" x14ac:dyDescent="0.3">
      <c r="A277" t="str">
        <f>RTD("nest.scriprtd",,"bse_cm|910MFL26","Symbol")</f>
        <v>910MFL26</v>
      </c>
      <c r="B277" t="str">
        <f>RTD("nest.scriprtd",,"bse_cm|910MFL26","Trading Symbol")</f>
        <v>910MFL26</v>
      </c>
      <c r="C277" t="str">
        <f>RTD("nest.scriprtd",,"bse_cm|910MFL26","Exchange")</f>
        <v>BSE</v>
      </c>
      <c r="D277">
        <f>RTD("nest.scriprtd",,"bse_cm|910MFL26","Bid Qty")</f>
        <v>3</v>
      </c>
      <c r="E277">
        <f>RTD("nest.scriprtd",,"bse_cm|910MFL26","Bid Rate")</f>
        <v>942</v>
      </c>
      <c r="F277">
        <f>RTD("nest.scriprtd",,"bse_cm|910MFL26","Ask Rate")</f>
        <v>994.7</v>
      </c>
      <c r="G277">
        <f>RTD("nest.scriprtd",,"bse_cm|910MFL26","Ask Qty")</f>
        <v>551</v>
      </c>
      <c r="H277">
        <f>RTD("nest.scriprtd",,"bse_cm|910MFL26","LTP")</f>
        <v>0</v>
      </c>
      <c r="I277" t="str">
        <f>RTD("nest.scriprtd",,"bse_cm|910MFL26","LTT")</f>
        <v>00:00:00</v>
      </c>
      <c r="J277">
        <f>RTD("nest.scriprtd",,"bse_cm|910MFL26","% Change")</f>
        <v>-100</v>
      </c>
      <c r="K277">
        <f>RTD("nest.scriprtd",,"bse_cm|910MFL26","ATP")</f>
        <v>0</v>
      </c>
      <c r="L277">
        <f>RTD("nest.scriprtd",,"bse_cm|910MFL26","Volume Traded Today")</f>
        <v>0</v>
      </c>
      <c r="M277">
        <f>RTD("nest.scriprtd",,"bse_cm|910MFL26","Open")</f>
        <v>0</v>
      </c>
      <c r="N277">
        <f>RTD("nest.scriprtd",,"bse_cm|910MFL26","High")</f>
        <v>965.57</v>
      </c>
      <c r="O277">
        <f>RTD("nest.scriprtd",,"bse_cm|910MFL26","Low ")</f>
        <v>965.57</v>
      </c>
      <c r="P277">
        <f>RTD("nest.scriprtd",,"bse_cm|910MFL26","Prev Close")</f>
        <v>965.57</v>
      </c>
      <c r="Q277">
        <f>RTD("nest.scriprtd",,"bse_cm|910MFL26","Face Value")</f>
        <v>1000</v>
      </c>
      <c r="R277" t="str">
        <f>RTD("nest.scriprtd",,"bse_cm|910MFL26","Isin code")</f>
        <v>INE549K07AU2</v>
      </c>
      <c r="S277" s="9">
        <f>Table1[[#This Row],[Ask Rate]]*Table1[[#This Row],[Ask Qty]]</f>
        <v>548079.70000000007</v>
      </c>
      <c r="T277">
        <f>VLOOKUP(Table1[[#This Row],[Isin code]],Table2[#All],7,FALSE)</f>
        <v>8.75</v>
      </c>
      <c r="U277" s="17" t="str">
        <f>VLOOKUP(Table1[[#This Row],[Isin code]],Table2[#All],8,FALSE)</f>
        <v>29-Oct-2026</v>
      </c>
      <c r="V277" s="10">
        <f ca="1">Table1[[#This Row],[Maturity]]-TODAY()</f>
        <v>743</v>
      </c>
      <c r="W277" t="str">
        <f>VLOOKUP(Table1[[#This Row],[Isin code]],Table2[#All],10,FALSE)</f>
        <v>Monthly</v>
      </c>
      <c r="X277">
        <f ca="1">_xlfn.DAYS(Table1[[#This Row],[Maturity]],TODAY())-15</f>
        <v>728</v>
      </c>
      <c r="Y2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277">
        <f>IF(Table1[[#This Row],[Ask Rate]]=0,0,Table1[[#This Row],[Face Value]]-Table1[[#This Row],[Ask Rate]])</f>
        <v>5.2999999999999545</v>
      </c>
      <c r="AA277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277">
        <f ca="1">Table1[[#This Row],[Face Value]]*Table1[[#This Row],[Rate]]*Table1[[#This Row],[Time]]</f>
        <v>182.29166666666669</v>
      </c>
      <c r="AC277">
        <f ca="1">Table1[[#This Row],[SI]]+Table1[[#This Row],[Disc/Prem]]</f>
        <v>187.59166666666664</v>
      </c>
      <c r="AD277" s="3">
        <f ca="1">Table1[[#This Row],[Net Gain]]/Table1[[#This Row],[Ask Rate]]</f>
        <v>0.18859120002680871</v>
      </c>
      <c r="AE277" s="3">
        <f ca="1">IF(Table1[[#This Row],[Ask Qty]]=0,0,Table1[[#This Row],[Gross Yield]]*365/Table1[[#This Row],[Days Left]])</f>
        <v>9.2645744293115978E-2</v>
      </c>
      <c r="AF277" s="9">
        <f ca="1">+Table1[[#This Row],[Net Gain]]*Table1[[#This Row],[Ask Qty]]</f>
        <v>103363.00833333332</v>
      </c>
      <c r="AG277" t="str">
        <f ca="1">IF(Table1[[#This Row],[YTM]]&gt;0.12,IF(Table1[[#This Row],[Gross Profit]]&gt;10000,"Invest","Review"),"Low YTM")</f>
        <v>Low YTM</v>
      </c>
    </row>
    <row r="278" spans="1:33" x14ac:dyDescent="0.3">
      <c r="A278" t="str">
        <f>RTD("nest.scriprtd",,"bse_cm|950KLMF26","Symbol")</f>
        <v>950KLMF26</v>
      </c>
      <c r="B278" t="str">
        <f>RTD("nest.scriprtd",,"bse_cm|950KLMF26","Trading Symbol")</f>
        <v>950KLMF26</v>
      </c>
      <c r="C278" t="str">
        <f>RTD("nest.scriprtd",,"bse_cm|950KLMF26","Exchange")</f>
        <v>BSE</v>
      </c>
      <c r="D278">
        <f>RTD("nest.scriprtd",,"bse_cm|950KLMF26","Bid Qty")</f>
        <v>13</v>
      </c>
      <c r="E278">
        <f>RTD("nest.scriprtd",,"bse_cm|950KLMF26","Bid Rate")</f>
        <v>816.2</v>
      </c>
      <c r="F278">
        <f>RTD("nest.scriprtd",,"bse_cm|950KLMF26","Ask Rate")</f>
        <v>1005</v>
      </c>
      <c r="G278">
        <f>RTD("nest.scriprtd",,"bse_cm|950KLMF26","Ask Qty")</f>
        <v>30</v>
      </c>
      <c r="H278">
        <f>RTD("nest.scriprtd",,"bse_cm|950KLMF26","LTP")</f>
        <v>0</v>
      </c>
      <c r="I278" t="str">
        <f>RTD("nest.scriprtd",,"bse_cm|950KLMF26","LTT")</f>
        <v>00:00:00</v>
      </c>
      <c r="J278">
        <f>RTD("nest.scriprtd",,"bse_cm|950KLMF26","% Change")</f>
        <v>-100</v>
      </c>
      <c r="K278">
        <f>RTD("nest.scriprtd",,"bse_cm|950KLMF26","ATP")</f>
        <v>0</v>
      </c>
      <c r="L278">
        <f>RTD("nest.scriprtd",,"bse_cm|950KLMF26","Volume Traded Today")</f>
        <v>0</v>
      </c>
      <c r="M278">
        <f>RTD("nest.scriprtd",,"bse_cm|950KLMF26","Open")</f>
        <v>0</v>
      </c>
      <c r="N278">
        <f>RTD("nest.scriprtd",,"bse_cm|950KLMF26","High")</f>
        <v>965.25</v>
      </c>
      <c r="O278">
        <f>RTD("nest.scriprtd",,"bse_cm|950KLMF26","Low ")</f>
        <v>965.25</v>
      </c>
      <c r="P278">
        <f>RTD("nest.scriprtd",,"bse_cm|950KLMF26","Prev Close")</f>
        <v>965.25</v>
      </c>
      <c r="Q278">
        <f>RTD("nest.scriprtd",,"bse_cm|950KLMF26","Face Value")</f>
        <v>1000</v>
      </c>
      <c r="R278" t="str">
        <f>RTD("nest.scriprtd",,"bse_cm|950KLMF26","Isin code")</f>
        <v>INE01I507794</v>
      </c>
      <c r="S278" s="9">
        <f>Table1[[#This Row],[Ask Rate]]*Table1[[#This Row],[Ask Qty]]</f>
        <v>30150</v>
      </c>
      <c r="T278">
        <f>VLOOKUP(Table1[[#This Row],[Isin code]],Table2[#All],7,FALSE)</f>
        <v>9.5</v>
      </c>
      <c r="U278" s="17" t="str">
        <f>VLOOKUP(Table1[[#This Row],[Isin code]],Table2[#All],8,FALSE)</f>
        <v>09-Mar-2026</v>
      </c>
      <c r="V278" s="10">
        <f ca="1">Table1[[#This Row],[Maturity]]-TODAY()</f>
        <v>509</v>
      </c>
      <c r="W278" t="str">
        <f>VLOOKUP(Table1[[#This Row],[Isin code]],Table2[#All],10,FALSE)</f>
        <v>Monthly</v>
      </c>
      <c r="X278">
        <f ca="1">_xlfn.DAYS(Table1[[#This Row],[Maturity]],TODAY())-15</f>
        <v>494</v>
      </c>
      <c r="Y2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17</v>
      </c>
      <c r="Z278">
        <f>IF(Table1[[#This Row],[Ask Rate]]=0,0,Table1[[#This Row],[Face Value]]-Table1[[#This Row],[Ask Rate]])</f>
        <v>-5</v>
      </c>
      <c r="AA278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278">
        <f ca="1">Table1[[#This Row],[Face Value]]*Table1[[#This Row],[Rate]]*Table1[[#This Row],[Time]]</f>
        <v>134.58333333333334</v>
      </c>
      <c r="AC278">
        <f ca="1">Table1[[#This Row],[SI]]+Table1[[#This Row],[Disc/Prem]]</f>
        <v>129.58333333333334</v>
      </c>
      <c r="AD278" s="3">
        <f ca="1">Table1[[#This Row],[Net Gain]]/Table1[[#This Row],[Ask Rate]]</f>
        <v>0.12893864013266998</v>
      </c>
      <c r="AE278" s="3">
        <f ca="1">IF(Table1[[#This Row],[Ask Qty]]=0,0,Table1[[#This Row],[Gross Yield]]*365/Table1[[#This Row],[Days Left]])</f>
        <v>9.2460910900637613E-2</v>
      </c>
      <c r="AF278" s="9">
        <f ca="1">+Table1[[#This Row],[Net Gain]]*Table1[[#This Row],[Ask Qty]]</f>
        <v>3887.5000000000005</v>
      </c>
      <c r="AG278" t="str">
        <f ca="1">IF(Table1[[#This Row],[YTM]]&gt;0.12,IF(Table1[[#This Row],[Gross Profit]]&gt;10000,"Invest","Review"),"Low YTM")</f>
        <v>Low YTM</v>
      </c>
    </row>
    <row r="279" spans="1:33" x14ac:dyDescent="0.3">
      <c r="A279" t="str">
        <f>RTD("nest.scriprtd",,"bse_cm|890MFCL26","Symbol")</f>
        <v>890MFCL26</v>
      </c>
      <c r="B279" t="str">
        <f>RTD("nest.scriprtd",,"bse_cm|890MFCL26","Trading Symbol")</f>
        <v>890MFCL26</v>
      </c>
      <c r="C279" t="str">
        <f>RTD("nest.scriprtd",,"bse_cm|890MFCL26","Exchange")</f>
        <v>BSE</v>
      </c>
      <c r="D279">
        <f>RTD("nest.scriprtd",,"bse_cm|890MFCL26","Bid Qty")</f>
        <v>50</v>
      </c>
      <c r="E279">
        <f>RTD("nest.scriprtd",,"bse_cm|890MFCL26","Bid Rate")</f>
        <v>963</v>
      </c>
      <c r="F279">
        <f>RTD("nest.scriprtd",,"bse_cm|890MFCL26","Ask Rate")</f>
        <v>998.5</v>
      </c>
      <c r="G279">
        <f>RTD("nest.scriprtd",,"bse_cm|890MFCL26","Ask Qty")</f>
        <v>5</v>
      </c>
      <c r="H279">
        <f>RTD("nest.scriprtd",,"bse_cm|890MFCL26","LTP")</f>
        <v>0</v>
      </c>
      <c r="I279" t="str">
        <f>RTD("nest.scriprtd",,"bse_cm|890MFCL26","LTT")</f>
        <v>00:00:00</v>
      </c>
      <c r="J279">
        <f>RTD("nest.scriprtd",,"bse_cm|890MFCL26","% Change")</f>
        <v>-100</v>
      </c>
      <c r="K279">
        <f>RTD("nest.scriprtd",,"bse_cm|890MFCL26","ATP")</f>
        <v>0</v>
      </c>
      <c r="L279">
        <f>RTD("nest.scriprtd",,"bse_cm|890MFCL26","Volume Traded Today")</f>
        <v>0</v>
      </c>
      <c r="M279">
        <f>RTD("nest.scriprtd",,"bse_cm|890MFCL26","Open")</f>
        <v>0</v>
      </c>
      <c r="N279">
        <f>RTD("nest.scriprtd",,"bse_cm|890MFCL26","High")</f>
        <v>967</v>
      </c>
      <c r="O279">
        <f>RTD("nest.scriprtd",,"bse_cm|890MFCL26","Low ")</f>
        <v>967</v>
      </c>
      <c r="P279">
        <f>RTD("nest.scriprtd",,"bse_cm|890MFCL26","Prev Close")</f>
        <v>967</v>
      </c>
      <c r="Q279">
        <f>RTD("nest.scriprtd",,"bse_cm|890MFCL26","Face Value")</f>
        <v>1000</v>
      </c>
      <c r="R279" t="str">
        <f>RTD("nest.scriprtd",,"bse_cm|890MFCL26","Isin code")</f>
        <v>INE549K07DW2</v>
      </c>
      <c r="S279" s="9">
        <f>Table1[[#This Row],[Ask Rate]]*Table1[[#This Row],[Ask Qty]]</f>
        <v>4992.5</v>
      </c>
      <c r="T279">
        <f>VLOOKUP(Table1[[#This Row],[Isin code]],Table2[#All],7,FALSE)</f>
        <v>8.9</v>
      </c>
      <c r="U279" s="17" t="str">
        <f>VLOOKUP(Table1[[#This Row],[Isin code]],Table2[#All],8,FALSE)</f>
        <v>30-Jun-2026</v>
      </c>
      <c r="V279" s="10">
        <f ca="1">Table1[[#This Row],[Maturity]]-TODAY()</f>
        <v>622</v>
      </c>
      <c r="W279" t="str">
        <f>VLOOKUP(Table1[[#This Row],[Isin code]],Table2[#All],10,FALSE)</f>
        <v>Monthly</v>
      </c>
      <c r="X279">
        <f ca="1">_xlfn.DAYS(Table1[[#This Row],[Maturity]],TODAY())-15</f>
        <v>607</v>
      </c>
      <c r="Y2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21</v>
      </c>
      <c r="Z279">
        <f>IF(Table1[[#This Row],[Ask Rate]]=0,0,Table1[[#This Row],[Face Value]]-Table1[[#This Row],[Ask Rate]])</f>
        <v>1.5</v>
      </c>
      <c r="AA279">
        <f>IF(Table1[[#This Row],[Freq]]="Yearly",Table1[[#This Row],[Coupon_Rate]]/100,IF(Table1[[#This Row],[Freq]]="Monthly",Table1[[#This Row],[Coupon_Rate]]/1200,IF(Table1[[#This Row],[Freq]]="Quarterly",Table1[[#This Row],[Coupon_Rate]]/400,0)))</f>
        <v>7.4166666666666669E-3</v>
      </c>
      <c r="AB279">
        <f ca="1">Table1[[#This Row],[Face Value]]*Table1[[#This Row],[Rate]]*Table1[[#This Row],[Time]]</f>
        <v>155.75</v>
      </c>
      <c r="AC279">
        <f ca="1">Table1[[#This Row],[SI]]+Table1[[#This Row],[Disc/Prem]]</f>
        <v>157.25</v>
      </c>
      <c r="AD279" s="3">
        <f ca="1">Table1[[#This Row],[Net Gain]]/Table1[[#This Row],[Ask Rate]]</f>
        <v>0.15748622934401602</v>
      </c>
      <c r="AE279" s="3">
        <f ca="1">IF(Table1[[#This Row],[Ask Qty]]=0,0,Table1[[#This Row],[Gross Yield]]*365/Table1[[#This Row],[Days Left]])</f>
        <v>9.2415552589334163E-2</v>
      </c>
      <c r="AF279" s="9">
        <f ca="1">+Table1[[#This Row],[Net Gain]]*Table1[[#This Row],[Ask Qty]]</f>
        <v>786.25</v>
      </c>
      <c r="AG279" t="str">
        <f ca="1">IF(Table1[[#This Row],[YTM]]&gt;0.12,IF(Table1[[#This Row],[Gross Profit]]&gt;10000,"Invest","Review"),"Low YTM")</f>
        <v>Low YTM</v>
      </c>
    </row>
    <row r="280" spans="1:33" x14ac:dyDescent="0.3">
      <c r="A280" t="str">
        <f>RTD("nest.scriprtd",,"bse_cm|MFLIV25","Symbol")</f>
        <v>MFLIV25</v>
      </c>
      <c r="B280" t="str">
        <f>RTD("nest.scriprtd",,"bse_cm|MFLIV25","Trading Symbol")</f>
        <v>MFLIV25</v>
      </c>
      <c r="C280" t="str">
        <f>RTD("nest.scriprtd",,"bse_cm|MFLIV25","Exchange")</f>
        <v>BSE</v>
      </c>
      <c r="D280">
        <f>RTD("nest.scriprtd",,"bse_cm|MFLIV25","Bid Qty")</f>
        <v>100</v>
      </c>
      <c r="E280">
        <f>RTD("nest.scriprtd",,"bse_cm|MFLIV25","Bid Rate")</f>
        <v>1041</v>
      </c>
      <c r="F280">
        <f>RTD("nest.scriprtd",,"bse_cm|MFLIV25","Ask Rate")</f>
        <v>1043.8</v>
      </c>
      <c r="G280">
        <f>RTD("nest.scriprtd",,"bse_cm|MFLIV25","Ask Qty")</f>
        <v>80</v>
      </c>
      <c r="H280">
        <f>RTD("nest.scriprtd",,"bse_cm|MFLIV25","LTP")</f>
        <v>1043.8</v>
      </c>
      <c r="I280" t="str">
        <f>RTD("nest.scriprtd",,"bse_cm|MFLIV25","LTT")</f>
        <v>10:18:06</v>
      </c>
      <c r="J280">
        <f>RTD("nest.scriprtd",,"bse_cm|MFLIV25","% Change")</f>
        <v>3.59</v>
      </c>
      <c r="K280">
        <f>RTD("nest.scriprtd",,"bse_cm|MFLIV25","ATP")</f>
        <v>1043.8</v>
      </c>
      <c r="L280">
        <f>RTD("nest.scriprtd",,"bse_cm|MFLIV25","Volume Traded Today")</f>
        <v>100</v>
      </c>
      <c r="M280">
        <f>RTD("nest.scriprtd",,"bse_cm|MFLIV25","Open")</f>
        <v>1043.8</v>
      </c>
      <c r="N280">
        <f>RTD("nest.scriprtd",,"bse_cm|MFLIV25","High")</f>
        <v>1043.8</v>
      </c>
      <c r="O280">
        <f>RTD("nest.scriprtd",,"bse_cm|MFLIV25","Low ")</f>
        <v>1043.8</v>
      </c>
      <c r="P280">
        <f>RTD("nest.scriprtd",,"bse_cm|MFLIV25","Prev Close")</f>
        <v>1007.63</v>
      </c>
      <c r="Q280">
        <f>RTD("nest.scriprtd",,"bse_cm|MFLIV25","Face Value")</f>
        <v>1000</v>
      </c>
      <c r="R280" t="str">
        <f>RTD("nest.scriprtd",,"bse_cm|MFLIV25","Isin code")</f>
        <v>INE414G07GX8</v>
      </c>
      <c r="S280" s="9">
        <f>Table1[[#This Row],[Ask Rate]]*Table1[[#This Row],[Ask Qty]]</f>
        <v>83504</v>
      </c>
      <c r="T280">
        <f>VLOOKUP(Table1[[#This Row],[Isin code]],Table2[#All],7,FALSE)</f>
        <v>7.2499999999999991</v>
      </c>
      <c r="U280" s="17" t="str">
        <f>VLOOKUP(Table1[[#This Row],[Isin code]],Table2[#All],8,FALSE)</f>
        <v>03-Nov-2025</v>
      </c>
      <c r="V280" s="10">
        <f ca="1">Table1[[#This Row],[Maturity]]-TODAY()</f>
        <v>383</v>
      </c>
      <c r="W280" t="str">
        <f>VLOOKUP(Table1[[#This Row],[Isin code]],Table2[#All],10,FALSE)</f>
        <v>Yearly</v>
      </c>
      <c r="X280">
        <f ca="1">_xlfn.DAYS(Table1[[#This Row],[Maturity]],TODAY())-15</f>
        <v>368</v>
      </c>
      <c r="Y2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80">
        <f>IF(Table1[[#This Row],[Ask Rate]]=0,0,Table1[[#This Row],[Face Value]]-Table1[[#This Row],[Ask Rate]])</f>
        <v>-43.799999999999955</v>
      </c>
      <c r="AA280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7.2499999999999995E-2</v>
      </c>
      <c r="AB280">
        <f ca="1">Table1[[#This Row],[Face Value]]*Table1[[#This Row],[Rate]]*Table1[[#This Row],[Time]]</f>
        <v>145</v>
      </c>
      <c r="AC280">
        <f ca="1">Table1[[#This Row],[SI]]+Table1[[#This Row],[Disc/Prem]]</f>
        <v>101.20000000000005</v>
      </c>
      <c r="AD280" s="3">
        <f ca="1">Table1[[#This Row],[Net Gain]]/Table1[[#This Row],[Ask Rate]]</f>
        <v>9.6953439356198559E-2</v>
      </c>
      <c r="AE280" s="3">
        <f ca="1">IF(Table1[[#This Row],[Ask Qty]]=0,0,Table1[[#This Row],[Gross Yield]]*365/Table1[[#This Row],[Days Left]])</f>
        <v>9.2396880848596541E-2</v>
      </c>
      <c r="AF280" s="9">
        <f ca="1">+Table1[[#This Row],[Net Gain]]*Table1[[#This Row],[Ask Qty]]</f>
        <v>8096.0000000000036</v>
      </c>
      <c r="AG280" t="str">
        <f ca="1">IF(Table1[[#This Row],[YTM]]&gt;0.12,IF(Table1[[#This Row],[Gross Profit]]&gt;10000,"Invest","Review"),"Low YTM")</f>
        <v>Low YTM</v>
      </c>
    </row>
    <row r="281" spans="1:33" x14ac:dyDescent="0.3">
      <c r="A281" t="str">
        <f>RTD("nest.scriprtd",,"bse_cm|966ONE29","Symbol")</f>
        <v>966ONE29</v>
      </c>
      <c r="B281" t="str">
        <f>RTD("nest.scriprtd",,"bse_cm|966ONE29","Trading Symbol")</f>
        <v>966ONE29</v>
      </c>
      <c r="C281" t="str">
        <f>RTD("nest.scriprtd",,"bse_cm|966ONE29","Exchange")</f>
        <v>BSE</v>
      </c>
      <c r="D281">
        <f>RTD("nest.scriprtd",,"bse_cm|966ONE29","Bid Qty")</f>
        <v>150</v>
      </c>
      <c r="E281">
        <f>RTD("nest.scriprtd",,"bse_cm|966ONE29","Bid Rate")</f>
        <v>1055</v>
      </c>
      <c r="F281">
        <f>RTD("nest.scriprtd",,"bse_cm|966ONE29","Ask Rate")</f>
        <v>1065</v>
      </c>
      <c r="G281">
        <f>RTD("nest.scriprtd",,"bse_cm|966ONE29","Ask Qty")</f>
        <v>1500</v>
      </c>
      <c r="H281">
        <f>RTD("nest.scriprtd",,"bse_cm|966ONE29","LTP")</f>
        <v>0</v>
      </c>
      <c r="I281" t="str">
        <f>RTD("nest.scriprtd",,"bse_cm|966ONE29","LTT")</f>
        <v>00:00:00</v>
      </c>
      <c r="J281">
        <f>RTD("nest.scriprtd",,"bse_cm|966ONE29","% Change")</f>
        <v>-100</v>
      </c>
      <c r="K281">
        <f>RTD("nest.scriprtd",,"bse_cm|966ONE29","ATP")</f>
        <v>0</v>
      </c>
      <c r="L281">
        <f>RTD("nest.scriprtd",,"bse_cm|966ONE29","Volume Traded Today")</f>
        <v>0</v>
      </c>
      <c r="M281">
        <f>RTD("nest.scriprtd",,"bse_cm|966ONE29","Open")</f>
        <v>0</v>
      </c>
      <c r="N281">
        <f>RTD("nest.scriprtd",,"bse_cm|966ONE29","High")</f>
        <v>1056</v>
      </c>
      <c r="O281">
        <f>RTD("nest.scriprtd",,"bse_cm|966ONE29","Low ")</f>
        <v>1053</v>
      </c>
      <c r="P281">
        <f>RTD("nest.scriprtd",,"bse_cm|966ONE29","Prev Close")</f>
        <v>1056</v>
      </c>
      <c r="Q281">
        <f>RTD("nest.scriprtd",,"bse_cm|966ONE29","Face Value")</f>
        <v>1000</v>
      </c>
      <c r="R281" t="str">
        <f>RTD("nest.scriprtd",,"bse_cm|966ONE29","Isin code")</f>
        <v>INE248U07ER8</v>
      </c>
      <c r="S281" s="9">
        <f>Table1[[#This Row],[Ask Rate]]*Table1[[#This Row],[Ask Qty]]</f>
        <v>1597500</v>
      </c>
      <c r="T281">
        <f>VLOOKUP(Table1[[#This Row],[Isin code]],Table2[#All],7,FALSE)</f>
        <v>9.66</v>
      </c>
      <c r="U281" s="17" t="str">
        <f>VLOOKUP(Table1[[#This Row],[Isin code]],Table2[#All],8,FALSE)</f>
        <v>18-Jan-2029</v>
      </c>
      <c r="V281" s="10">
        <f ca="1">Table1[[#This Row],[Maturity]]-TODAY()</f>
        <v>1555</v>
      </c>
      <c r="W281" t="str">
        <f>VLOOKUP(Table1[[#This Row],[Isin code]],Table2[#All],10,FALSE)</f>
        <v>Yearly</v>
      </c>
      <c r="X281">
        <f ca="1">_xlfn.DAYS(Table1[[#This Row],[Maturity]],TODAY())-15</f>
        <v>1540</v>
      </c>
      <c r="Y2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281">
        <f>IF(Table1[[#This Row],[Ask Rate]]=0,0,Table1[[#This Row],[Face Value]]-Table1[[#This Row],[Ask Rate]])</f>
        <v>-65</v>
      </c>
      <c r="AA281">
        <f>IF(Table1[[#This Row],[Freq]]="Yearly",Table1[[#This Row],[Coupon_Rate]]/100,IF(Table1[[#This Row],[Freq]]="Monthly",Table1[[#This Row],[Coupon_Rate]]/1200,IF(Table1[[#This Row],[Freq]]="Quarterly",Table1[[#This Row],[Coupon_Rate]]/400,0)))</f>
        <v>9.6600000000000005E-2</v>
      </c>
      <c r="AB281">
        <f ca="1">Table1[[#This Row],[Face Value]]*Table1[[#This Row],[Rate]]*Table1[[#This Row],[Time]]</f>
        <v>483.00000000000006</v>
      </c>
      <c r="AC281">
        <f ca="1">Table1[[#This Row],[SI]]+Table1[[#This Row],[Disc/Prem]]</f>
        <v>418.00000000000006</v>
      </c>
      <c r="AD281" s="3">
        <f ca="1">Table1[[#This Row],[Net Gain]]/Table1[[#This Row],[Ask Rate]]</f>
        <v>0.39248826291079819</v>
      </c>
      <c r="AE281" s="3">
        <f ca="1">IF(Table1[[#This Row],[Ask Qty]]=0,0,Table1[[#This Row],[Gross Yield]]*365/Table1[[#This Row],[Days Left]])</f>
        <v>9.212747007230955E-2</v>
      </c>
      <c r="AF281" s="9">
        <f ca="1">+Table1[[#This Row],[Net Gain]]*Table1[[#This Row],[Ask Qty]]</f>
        <v>627000.00000000012</v>
      </c>
      <c r="AG281" t="str">
        <f ca="1">IF(Table1[[#This Row],[YTM]]&gt;0.12,IF(Table1[[#This Row],[Gross Profit]]&gt;10000,"Invest","Review"),"Low YTM")</f>
        <v>Low YTM</v>
      </c>
    </row>
    <row r="282" spans="1:33" x14ac:dyDescent="0.3">
      <c r="A282" t="str">
        <f>RTD("nest.scriprtd",,"bse_cm|10CAGL27","Symbol")</f>
        <v>10CAGL27</v>
      </c>
      <c r="B282" t="str">
        <f>RTD("nest.scriprtd",,"bse_cm|10CAGL27","Trading Symbol")</f>
        <v>10CAGL27</v>
      </c>
      <c r="C282" t="str">
        <f>RTD("nest.scriprtd",,"bse_cm|10CAGL27","Exchange")</f>
        <v>BSE</v>
      </c>
      <c r="D282">
        <f>RTD("nest.scriprtd",,"bse_cm|10CAGL27","Bid Qty")</f>
        <v>5</v>
      </c>
      <c r="E282">
        <f>RTD("nest.scriprtd",,"bse_cm|10CAGL27","Bid Rate")</f>
        <v>1006.2</v>
      </c>
      <c r="F282">
        <f>RTD("nest.scriprtd",,"bse_cm|10CAGL27","Ask Rate")</f>
        <v>1024</v>
      </c>
      <c r="G282">
        <f>RTD("nest.scriprtd",,"bse_cm|10CAGL27","Ask Qty")</f>
        <v>25</v>
      </c>
      <c r="H282">
        <f>RTD("nest.scriprtd",,"bse_cm|10CAGL27","LTP")</f>
        <v>1008</v>
      </c>
      <c r="I282" t="str">
        <f>RTD("nest.scriprtd",,"bse_cm|10CAGL27","LTT")</f>
        <v>09:57:45</v>
      </c>
      <c r="J282">
        <f>RTD("nest.scriprtd",,"bse_cm|10CAGL27","% Change")</f>
        <v>-1.56</v>
      </c>
      <c r="K282">
        <f>RTD("nest.scriprtd",,"bse_cm|10CAGL27","ATP")</f>
        <v>1009</v>
      </c>
      <c r="L282">
        <f>RTD("nest.scriprtd",,"bse_cm|10CAGL27","Volume Traded Today")</f>
        <v>100</v>
      </c>
      <c r="M282">
        <f>RTD("nest.scriprtd",,"bse_cm|10CAGL27","Open")</f>
        <v>1010</v>
      </c>
      <c r="N282">
        <f>RTD("nest.scriprtd",,"bse_cm|10CAGL27","High")</f>
        <v>1010</v>
      </c>
      <c r="O282">
        <f>RTD("nest.scriprtd",,"bse_cm|10CAGL27","Low ")</f>
        <v>1008</v>
      </c>
      <c r="P282">
        <f>RTD("nest.scriprtd",,"bse_cm|10CAGL27","Prev Close")</f>
        <v>1024</v>
      </c>
      <c r="Q282">
        <f>RTD("nest.scriprtd",,"bse_cm|10CAGL27","Face Value")</f>
        <v>1000</v>
      </c>
      <c r="R282" t="str">
        <f>RTD("nest.scriprtd",,"bse_cm|10CAGL27","Isin code")</f>
        <v>INE741K07496</v>
      </c>
      <c r="S282" s="9">
        <f>Table1[[#This Row],[Ask Rate]]*Table1[[#This Row],[Ask Qty]]</f>
        <v>25600</v>
      </c>
      <c r="T282">
        <f>VLOOKUP(Table1[[#This Row],[Isin code]],Table2[#All],7,FALSE)</f>
        <v>10</v>
      </c>
      <c r="U282" s="17" t="str">
        <f>VLOOKUP(Table1[[#This Row],[Isin code]],Table2[#All],8,FALSE)</f>
        <v>23-Nov-2027</v>
      </c>
      <c r="V282" s="10">
        <f ca="1">Table1[[#This Row],[Maturity]]-TODAY()</f>
        <v>1133</v>
      </c>
      <c r="W282" t="str">
        <f>VLOOKUP(Table1[[#This Row],[Isin code]],Table2[#All],10,FALSE)</f>
        <v>Monthly</v>
      </c>
      <c r="X282">
        <f ca="1">_xlfn.DAYS(Table1[[#This Row],[Maturity]],TODAY())-15</f>
        <v>1118</v>
      </c>
      <c r="Y2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38</v>
      </c>
      <c r="Z282">
        <f>IF(Table1[[#This Row],[Ask Rate]]=0,0,Table1[[#This Row],[Face Value]]-Table1[[#This Row],[Ask Rate]])</f>
        <v>-24</v>
      </c>
      <c r="AA282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282">
        <f ca="1">Table1[[#This Row],[Face Value]]*Table1[[#This Row],[Rate]]*Table1[[#This Row],[Time]]</f>
        <v>316.66666666666669</v>
      </c>
      <c r="AC282">
        <f ca="1">Table1[[#This Row],[SI]]+Table1[[#This Row],[Disc/Prem]]</f>
        <v>292.66666666666669</v>
      </c>
      <c r="AD282" s="3">
        <f ca="1">Table1[[#This Row],[Net Gain]]/Table1[[#This Row],[Ask Rate]]</f>
        <v>0.28580729166666669</v>
      </c>
      <c r="AE282" s="3">
        <f ca="1">IF(Table1[[#This Row],[Ask Qty]]=0,0,Table1[[#This Row],[Gross Yield]]*365/Table1[[#This Row],[Days Left]])</f>
        <v>9.2073840651662256E-2</v>
      </c>
      <c r="AF282" s="9">
        <f ca="1">+Table1[[#This Row],[Net Gain]]*Table1[[#This Row],[Ask Qty]]</f>
        <v>7316.666666666667</v>
      </c>
      <c r="AG282" t="str">
        <f ca="1">IF(Table1[[#This Row],[YTM]]&gt;0.12,IF(Table1[[#This Row],[Gross Profit]]&gt;10000,"Invest","Review"),"Low YTM")</f>
        <v>Low YTM</v>
      </c>
    </row>
    <row r="283" spans="1:33" x14ac:dyDescent="0.3">
      <c r="A283" t="str">
        <f>RTD("nest.scriprtd",,"bse_cm|915MFL28","Symbol")</f>
        <v>915MFL28</v>
      </c>
      <c r="B283" t="str">
        <f>RTD("nest.scriprtd",,"bse_cm|915MFL28","Trading Symbol")</f>
        <v>915MFL28</v>
      </c>
      <c r="C283" t="str">
        <f>RTD("nest.scriprtd",,"bse_cm|915MFL28","Exchange")</f>
        <v>BSE</v>
      </c>
      <c r="D283">
        <f>RTD("nest.scriprtd",,"bse_cm|915MFL28","Bid Qty")</f>
        <v>5</v>
      </c>
      <c r="E283">
        <f>RTD("nest.scriprtd",,"bse_cm|915MFL28","Bid Rate")</f>
        <v>950.2</v>
      </c>
      <c r="F283">
        <f>RTD("nest.scriprtd",,"bse_cm|915MFL28","Ask Rate")</f>
        <v>1030</v>
      </c>
      <c r="G283">
        <f>RTD("nest.scriprtd",,"bse_cm|915MFL28","Ask Qty")</f>
        <v>20</v>
      </c>
      <c r="H283">
        <f>RTD("nest.scriprtd",,"bse_cm|915MFL28","LTP")</f>
        <v>0</v>
      </c>
      <c r="I283" t="str">
        <f>RTD("nest.scriprtd",,"bse_cm|915MFL28","LTT")</f>
        <v>00:00:00</v>
      </c>
      <c r="J283">
        <f>RTD("nest.scriprtd",,"bse_cm|915MFL28","% Change")</f>
        <v>-100</v>
      </c>
      <c r="K283">
        <f>RTD("nest.scriprtd",,"bse_cm|915MFL28","ATP")</f>
        <v>0</v>
      </c>
      <c r="L283">
        <f>RTD("nest.scriprtd",,"bse_cm|915MFL28","Volume Traded Today")</f>
        <v>0</v>
      </c>
      <c r="M283">
        <f>RTD("nest.scriprtd",,"bse_cm|915MFL28","Open")</f>
        <v>0</v>
      </c>
      <c r="N283">
        <f>RTD("nest.scriprtd",,"bse_cm|915MFL28","High")</f>
        <v>911.1</v>
      </c>
      <c r="O283">
        <f>RTD("nest.scriprtd",,"bse_cm|915MFL28","Low ")</f>
        <v>911.1</v>
      </c>
      <c r="P283">
        <f>RTD("nest.scriprtd",,"bse_cm|915MFL28","Prev Close")</f>
        <v>911.1</v>
      </c>
      <c r="Q283">
        <f>RTD("nest.scriprtd",,"bse_cm|915MFL28","Face Value")</f>
        <v>1000</v>
      </c>
      <c r="R283" t="str">
        <f>RTD("nest.scriprtd",,"bse_cm|915MFL28","Isin code")</f>
        <v>INE549K07CB8</v>
      </c>
      <c r="S283" s="9">
        <f>Table1[[#This Row],[Ask Rate]]*Table1[[#This Row],[Ask Qty]]</f>
        <v>20600</v>
      </c>
      <c r="T283">
        <f>VLOOKUP(Table1[[#This Row],[Isin code]],Table2[#All],7,FALSE)</f>
        <v>9.15</v>
      </c>
      <c r="U283" s="17" t="str">
        <f>VLOOKUP(Table1[[#This Row],[Isin code]],Table2[#All],8,FALSE)</f>
        <v>02-May-2028</v>
      </c>
      <c r="V283" s="10">
        <f ca="1">Table1[[#This Row],[Maturity]]-TODAY()</f>
        <v>1294</v>
      </c>
      <c r="W283" t="str">
        <f>VLOOKUP(Table1[[#This Row],[Isin code]],Table2[#All],10,FALSE)</f>
        <v>Yearly</v>
      </c>
      <c r="X283">
        <f ca="1">_xlfn.DAYS(Table1[[#This Row],[Maturity]],TODAY())-15</f>
        <v>1279</v>
      </c>
      <c r="Y2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283">
        <f>IF(Table1[[#This Row],[Ask Rate]]=0,0,Table1[[#This Row],[Face Value]]-Table1[[#This Row],[Ask Rate]])</f>
        <v>-30</v>
      </c>
      <c r="AA283">
        <f>IF(Table1[[#This Row],[Freq]]="Yearly",Table1[[#This Row],[Coupon_Rate]]/100,IF(Table1[[#This Row],[Freq]]="Monthly",Table1[[#This Row],[Coupon_Rate]]/1200,IF(Table1[[#This Row],[Freq]]="Quarterly",Table1[[#This Row],[Coupon_Rate]]/400,0)))</f>
        <v>9.1499999999999998E-2</v>
      </c>
      <c r="AB283">
        <f ca="1">Table1[[#This Row],[Face Value]]*Table1[[#This Row],[Rate]]*Table1[[#This Row],[Time]]</f>
        <v>366</v>
      </c>
      <c r="AC283">
        <f ca="1">Table1[[#This Row],[SI]]+Table1[[#This Row],[Disc/Prem]]</f>
        <v>336</v>
      </c>
      <c r="AD283" s="3">
        <f ca="1">Table1[[#This Row],[Net Gain]]/Table1[[#This Row],[Ask Rate]]</f>
        <v>0.32621359223300972</v>
      </c>
      <c r="AE283" s="3">
        <f ca="1">IF(Table1[[#This Row],[Ask Qty]]=0,0,Table1[[#This Row],[Gross Yield]]*365/Table1[[#This Row],[Days Left]])</f>
        <v>9.2015425938986511E-2</v>
      </c>
      <c r="AF283" s="9">
        <f ca="1">+Table1[[#This Row],[Net Gain]]*Table1[[#This Row],[Ask Qty]]</f>
        <v>6720</v>
      </c>
      <c r="AG283" t="str">
        <f ca="1">IF(Table1[[#This Row],[YTM]]&gt;0.12,IF(Table1[[#This Row],[Gross Profit]]&gt;10000,"Invest","Review"),"Low YTM")</f>
        <v>Low YTM</v>
      </c>
    </row>
    <row r="284" spans="1:33" x14ac:dyDescent="0.3">
      <c r="A284" t="str">
        <f>RTD("nest.scriprtd",,"bse_cm|935SCL28","Symbol")</f>
        <v>935SCL28</v>
      </c>
      <c r="B284" t="str">
        <f>RTD("nest.scriprtd",,"bse_cm|935SCL28","Trading Symbol")</f>
        <v>935SCL28</v>
      </c>
      <c r="C284" t="str">
        <f>RTD("nest.scriprtd",,"bse_cm|935SCL28","Exchange")</f>
        <v>BSE</v>
      </c>
      <c r="D284">
        <f>RTD("nest.scriprtd",,"bse_cm|935SCL28","Bid Qty")</f>
        <v>20</v>
      </c>
      <c r="E284">
        <f>RTD("nest.scriprtd",,"bse_cm|935SCL28","Bid Rate")</f>
        <v>812.4</v>
      </c>
      <c r="F284">
        <f>RTD("nest.scriprtd",,"bse_cm|935SCL28","Ask Rate")</f>
        <v>994.8</v>
      </c>
      <c r="G284">
        <f>RTD("nest.scriprtd",,"bse_cm|935SCL28","Ask Qty")</f>
        <v>3</v>
      </c>
      <c r="H284">
        <f>RTD("nest.scriprtd",,"bse_cm|935SCL28","LTP")</f>
        <v>0</v>
      </c>
      <c r="I284" t="str">
        <f>RTD("nest.scriprtd",,"bse_cm|935SCL28","LTT")</f>
        <v>00:00:00</v>
      </c>
      <c r="J284">
        <f>RTD("nest.scriprtd",,"bse_cm|935SCL28","% Change")</f>
        <v>-100</v>
      </c>
      <c r="K284">
        <f>RTD("nest.scriprtd",,"bse_cm|935SCL28","ATP")</f>
        <v>0</v>
      </c>
      <c r="L284">
        <f>RTD("nest.scriprtd",,"bse_cm|935SCL28","Volume Traded Today")</f>
        <v>0</v>
      </c>
      <c r="M284">
        <f>RTD("nest.scriprtd",,"bse_cm|935SCL28","Open")</f>
        <v>0</v>
      </c>
      <c r="N284">
        <f>RTD("nest.scriprtd",,"bse_cm|935SCL28","High")</f>
        <v>994.8</v>
      </c>
      <c r="O284">
        <f>RTD("nest.scriprtd",,"bse_cm|935SCL28","Low ")</f>
        <v>994.8</v>
      </c>
      <c r="P284">
        <f>RTD("nest.scriprtd",,"bse_cm|935SCL28","Prev Close")</f>
        <v>994.8</v>
      </c>
      <c r="Q284">
        <f>RTD("nest.scriprtd",,"bse_cm|935SCL28","Face Value")</f>
        <v>1000</v>
      </c>
      <c r="R284" t="str">
        <f>RTD("nest.scriprtd",,"bse_cm|935SCL28","Isin code")</f>
        <v>INE148I08330</v>
      </c>
      <c r="S284" s="9">
        <f>Table1[[#This Row],[Ask Rate]]*Table1[[#This Row],[Ask Qty]]</f>
        <v>2984.3999999999996</v>
      </c>
      <c r="T284">
        <f>VLOOKUP(Table1[[#This Row],[Isin code]],Table2[#All],7,FALSE)</f>
        <v>8.89</v>
      </c>
      <c r="U284" s="17" t="str">
        <f>VLOOKUP(Table1[[#This Row],[Isin code]],Table2[#All],8,FALSE)</f>
        <v>22-Dec-2028</v>
      </c>
      <c r="V284" s="10">
        <f ca="1">Table1[[#This Row],[Maturity]]-TODAY()</f>
        <v>1528</v>
      </c>
      <c r="W284" t="str">
        <f>VLOOKUP(Table1[[#This Row],[Isin code]],Table2[#All],10,FALSE)</f>
        <v>Monthly</v>
      </c>
      <c r="X284">
        <f ca="1">_xlfn.DAYS(Table1[[#This Row],[Maturity]],TODAY())-15</f>
        <v>1513</v>
      </c>
      <c r="Y2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284">
        <f>IF(Table1[[#This Row],[Ask Rate]]=0,0,Table1[[#This Row],[Face Value]]-Table1[[#This Row],[Ask Rate]])</f>
        <v>5.2000000000000455</v>
      </c>
      <c r="AA284">
        <f>IF(Table1[[#This Row],[Freq]]="Yearly",Table1[[#This Row],[Coupon_Rate]]/100,IF(Table1[[#This Row],[Freq]]="Monthly",Table1[[#This Row],[Coupon_Rate]]/1200,IF(Table1[[#This Row],[Freq]]="Quarterly",Table1[[#This Row],[Coupon_Rate]]/400,0)))</f>
        <v>7.4083333333333336E-3</v>
      </c>
      <c r="AB284">
        <f ca="1">Table1[[#This Row],[Face Value]]*Table1[[#This Row],[Rate]]*Table1[[#This Row],[Time]]</f>
        <v>377.82499999999999</v>
      </c>
      <c r="AC284">
        <f ca="1">Table1[[#This Row],[SI]]+Table1[[#This Row],[Disc/Prem]]</f>
        <v>383.02500000000003</v>
      </c>
      <c r="AD284" s="3">
        <f ca="1">Table1[[#This Row],[Net Gain]]/Table1[[#This Row],[Ask Rate]]</f>
        <v>0.3850271411338963</v>
      </c>
      <c r="AE284" s="3">
        <f ca="1">IF(Table1[[#This Row],[Ask Qty]]=0,0,Table1[[#This Row],[Gross Yield]]*365/Table1[[#This Row],[Days Left]])</f>
        <v>9.1973106357246176E-2</v>
      </c>
      <c r="AF284" s="9">
        <f ca="1">+Table1[[#This Row],[Net Gain]]*Table1[[#This Row],[Ask Qty]]</f>
        <v>1149.075</v>
      </c>
      <c r="AG284" t="str">
        <f ca="1">IF(Table1[[#This Row],[YTM]]&gt;0.12,IF(Table1[[#This Row],[Gross Profit]]&gt;10000,"Invest","Review"),"Low YTM")</f>
        <v>Low YTM</v>
      </c>
    </row>
    <row r="285" spans="1:33" x14ac:dyDescent="0.3">
      <c r="A285" t="str">
        <f>RTD("nest.scriprtd",,"bse_cm|1010MFCL30","Symbol")</f>
        <v>1010MFCL30</v>
      </c>
      <c r="B285" t="str">
        <f>RTD("nest.scriprtd",,"bse_cm|1010MFCL30","Trading Symbol")</f>
        <v>1010MFCL30</v>
      </c>
      <c r="C285" t="str">
        <f>RTD("nest.scriprtd",,"bse_cm|1010MFCL30","Exchange")</f>
        <v>BSE</v>
      </c>
      <c r="D285">
        <f>RTD("nest.scriprtd",,"bse_cm|1010MFCL30","Bid Qty")</f>
        <v>4</v>
      </c>
      <c r="E285">
        <f>RTD("nest.scriprtd",,"bse_cm|1010MFCL30","Bid Rate")</f>
        <v>1000</v>
      </c>
      <c r="F285">
        <f>RTD("nest.scriprtd",,"bse_cm|1010MFCL30","Ask Rate")</f>
        <v>1040</v>
      </c>
      <c r="G285">
        <f>RTD("nest.scriprtd",,"bse_cm|1010MFCL30","Ask Qty")</f>
        <v>100</v>
      </c>
      <c r="H285">
        <f>RTD("nest.scriprtd",,"bse_cm|1010MFCL30","LTP")</f>
        <v>0</v>
      </c>
      <c r="I285" t="str">
        <f>RTD("nest.scriprtd",,"bse_cm|1010MFCL30","LTT")</f>
        <v>00:00:00</v>
      </c>
      <c r="J285">
        <f>RTD("nest.scriprtd",,"bse_cm|1010MFCL30","% Change")</f>
        <v>-100</v>
      </c>
      <c r="K285">
        <f>RTD("nest.scriprtd",,"bse_cm|1010MFCL30","ATP")</f>
        <v>0</v>
      </c>
      <c r="L285">
        <f>RTD("nest.scriprtd",,"bse_cm|1010MFCL30","Volume Traded Today")</f>
        <v>0</v>
      </c>
      <c r="M285">
        <f>RTD("nest.scriprtd",,"bse_cm|1010MFCL30","Open")</f>
        <v>0</v>
      </c>
      <c r="N285">
        <f>RTD("nest.scriprtd",,"bse_cm|1010MFCL30","High")</f>
        <v>1000</v>
      </c>
      <c r="O285">
        <f>RTD("nest.scriprtd",,"bse_cm|1010MFCL30","Low ")</f>
        <v>1000</v>
      </c>
      <c r="P285">
        <f>RTD("nest.scriprtd",,"bse_cm|1010MFCL30","Prev Close")</f>
        <v>1000</v>
      </c>
      <c r="Q285">
        <f>RTD("nest.scriprtd",,"bse_cm|1010MFCL30","Face Value")</f>
        <v>1000</v>
      </c>
      <c r="R285" t="str">
        <f>RTD("nest.scriprtd",,"bse_cm|1010MFCL30","Isin code")</f>
        <v>INE549K07EB4</v>
      </c>
      <c r="S285" s="9">
        <f>Table1[[#This Row],[Ask Rate]]*Table1[[#This Row],[Ask Qty]]</f>
        <v>104000</v>
      </c>
      <c r="T285">
        <f>VLOOKUP(Table1[[#This Row],[Isin code]],Table2[#All],7,FALSE)</f>
        <v>10.100000000000001</v>
      </c>
      <c r="U285" s="17" t="str">
        <f>VLOOKUP(Table1[[#This Row],[Isin code]],Table2[#All],8,FALSE)</f>
        <v>16-Sep-2030</v>
      </c>
      <c r="V285" s="10">
        <f ca="1">Table1[[#This Row],[Maturity]]-TODAY()</f>
        <v>2161</v>
      </c>
      <c r="W285" t="str">
        <f>VLOOKUP(Table1[[#This Row],[Isin code]],Table2[#All],10,FALSE)</f>
        <v>Yearly</v>
      </c>
      <c r="X285">
        <f ca="1">_xlfn.DAYS(Table1[[#This Row],[Maturity]],TODAY())-15</f>
        <v>2146</v>
      </c>
      <c r="Y2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285">
        <f>IF(Table1[[#This Row],[Ask Rate]]=0,0,Table1[[#This Row],[Face Value]]-Table1[[#This Row],[Ask Rate]])</f>
        <v>-40</v>
      </c>
      <c r="AA285">
        <f>IF(Table1[[#This Row],[Freq]]="Yearly",Table1[[#This Row],[Coupon_Rate]]/100,IF(Table1[[#This Row],[Freq]]="Monthly",Table1[[#This Row],[Coupon_Rate]]/1200,IF(Table1[[#This Row],[Freq]]="Quarterly",Table1[[#This Row],[Coupon_Rate]]/400,0)))</f>
        <v>0.10100000000000002</v>
      </c>
      <c r="AB285">
        <f ca="1">Table1[[#This Row],[Face Value]]*Table1[[#This Row],[Rate]]*Table1[[#This Row],[Time]]</f>
        <v>606.00000000000011</v>
      </c>
      <c r="AC285">
        <f ca="1">Table1[[#This Row],[SI]]+Table1[[#This Row],[Disc/Prem]]</f>
        <v>566.00000000000011</v>
      </c>
      <c r="AD285" s="3">
        <f ca="1">Table1[[#This Row],[Net Gain]]/Table1[[#This Row],[Ask Rate]]</f>
        <v>0.5442307692307693</v>
      </c>
      <c r="AE285" s="3">
        <f ca="1">IF(Table1[[#This Row],[Ask Qty]]=0,0,Table1[[#This Row],[Gross Yield]]*365/Table1[[#This Row],[Days Left]])</f>
        <v>9.1922365001957801E-2</v>
      </c>
      <c r="AF285" s="9">
        <f ca="1">+Table1[[#This Row],[Net Gain]]*Table1[[#This Row],[Ask Qty]]</f>
        <v>56600.000000000015</v>
      </c>
      <c r="AG285" t="str">
        <f ca="1">IF(Table1[[#This Row],[YTM]]&gt;0.12,IF(Table1[[#This Row],[Gross Profit]]&gt;10000,"Invest","Review"),"Low YTM")</f>
        <v>Low YTM</v>
      </c>
    </row>
    <row r="286" spans="1:33" x14ac:dyDescent="0.3">
      <c r="A286" t="str">
        <f>RTD("nest.scriprtd",,"bse_cm|875MFL26A","Symbol")</f>
        <v>875MFL26A</v>
      </c>
      <c r="B286" t="str">
        <f>RTD("nest.scriprtd",,"bse_cm|875MFL26A","Trading Symbol")</f>
        <v>875MFL26A</v>
      </c>
      <c r="C286" t="str">
        <f>RTD("nest.scriprtd",,"bse_cm|875MFL26A","Exchange")</f>
        <v>BSE</v>
      </c>
      <c r="D286">
        <f>RTD("nest.scriprtd",,"bse_cm|875MFL26A","Bid Qty")</f>
        <v>339</v>
      </c>
      <c r="E286">
        <f>RTD("nest.scriprtd",,"bse_cm|875MFL26A","Bid Rate")</f>
        <v>962</v>
      </c>
      <c r="F286">
        <f>RTD("nest.scriprtd",,"bse_cm|875MFL26A","Ask Rate")</f>
        <v>995</v>
      </c>
      <c r="G286">
        <f>RTD("nest.scriprtd",,"bse_cm|875MFL26A","Ask Qty")</f>
        <v>300</v>
      </c>
      <c r="H286">
        <f>RTD("nest.scriprtd",,"bse_cm|875MFL26A","LTP")</f>
        <v>0</v>
      </c>
      <c r="I286" t="str">
        <f>RTD("nest.scriprtd",,"bse_cm|875MFL26A","LTT")</f>
        <v>00:00:00</v>
      </c>
      <c r="J286">
        <f>RTD("nest.scriprtd",,"bse_cm|875MFL26A","% Change")</f>
        <v>-100</v>
      </c>
      <c r="K286">
        <f>RTD("nest.scriprtd",,"bse_cm|875MFL26A","ATP")</f>
        <v>0</v>
      </c>
      <c r="L286">
        <f>RTD("nest.scriprtd",,"bse_cm|875MFL26A","Volume Traded Today")</f>
        <v>0</v>
      </c>
      <c r="M286">
        <f>RTD("nest.scriprtd",,"bse_cm|875MFL26A","Open")</f>
        <v>0</v>
      </c>
      <c r="N286">
        <f>RTD("nest.scriprtd",,"bse_cm|875MFL26A","High")</f>
        <v>954</v>
      </c>
      <c r="O286">
        <f>RTD("nest.scriprtd",,"bse_cm|875MFL26A","Low ")</f>
        <v>954</v>
      </c>
      <c r="P286">
        <f>RTD("nest.scriprtd",,"bse_cm|875MFL26A","Prev Close")</f>
        <v>954</v>
      </c>
      <c r="Q286">
        <f>RTD("nest.scriprtd",,"bse_cm|875MFL26A","Face Value")</f>
        <v>1000</v>
      </c>
      <c r="R286" t="str">
        <f>RTD("nest.scriprtd",,"bse_cm|875MFL26A","Isin code")</f>
        <v>INE549K07AB2</v>
      </c>
      <c r="S286" s="9">
        <f>Table1[[#This Row],[Ask Rate]]*Table1[[#This Row],[Ask Qty]]</f>
        <v>298500</v>
      </c>
      <c r="T286">
        <f>VLOOKUP(Table1[[#This Row],[Isin code]],Table2[#All],7,FALSE)</f>
        <v>8.75</v>
      </c>
      <c r="U286" s="17" t="str">
        <f>VLOOKUP(Table1[[#This Row],[Isin code]],Table2[#All],8,FALSE)</f>
        <v>15-Mar-2026</v>
      </c>
      <c r="V286" s="10">
        <f ca="1">Table1[[#This Row],[Maturity]]-TODAY()</f>
        <v>515</v>
      </c>
      <c r="W286" t="str">
        <f>VLOOKUP(Table1[[#This Row],[Isin code]],Table2[#All],10,FALSE)</f>
        <v>Monthly</v>
      </c>
      <c r="X286">
        <f ca="1">_xlfn.DAYS(Table1[[#This Row],[Maturity]],TODAY())-15</f>
        <v>500</v>
      </c>
      <c r="Y2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17</v>
      </c>
      <c r="Z286">
        <f>IF(Table1[[#This Row],[Ask Rate]]=0,0,Table1[[#This Row],[Face Value]]-Table1[[#This Row],[Ask Rate]])</f>
        <v>5</v>
      </c>
      <c r="AA286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286">
        <f ca="1">Table1[[#This Row],[Face Value]]*Table1[[#This Row],[Rate]]*Table1[[#This Row],[Time]]</f>
        <v>123.95833333333334</v>
      </c>
      <c r="AC286">
        <f ca="1">Table1[[#This Row],[SI]]+Table1[[#This Row],[Disc/Prem]]</f>
        <v>128.95833333333334</v>
      </c>
      <c r="AD286" s="3">
        <f ca="1">Table1[[#This Row],[Net Gain]]/Table1[[#This Row],[Ask Rate]]</f>
        <v>0.12960636515912899</v>
      </c>
      <c r="AE286" s="3">
        <f ca="1">IF(Table1[[#This Row],[Ask Qty]]=0,0,Table1[[#This Row],[Gross Yield]]*365/Table1[[#This Row],[Days Left]])</f>
        <v>9.1856938413751615E-2</v>
      </c>
      <c r="AF286" s="9">
        <f ca="1">+Table1[[#This Row],[Net Gain]]*Table1[[#This Row],[Ask Qty]]</f>
        <v>38687.5</v>
      </c>
      <c r="AG286" t="str">
        <f ca="1">IF(Table1[[#This Row],[YTM]]&gt;0.12,IF(Table1[[#This Row],[Gross Profit]]&gt;10000,"Invest","Review"),"Low YTM")</f>
        <v>Low YTM</v>
      </c>
    </row>
    <row r="287" spans="1:33" x14ac:dyDescent="0.3">
      <c r="A287" t="str">
        <f>RTD("nest.scriprtd",,"nse_cm|921ISFL25-N0","Symbol")</f>
        <v>921ISFL25</v>
      </c>
      <c r="B287" t="str">
        <f>RTD("nest.scriprtd",,"nse_cm|921ISFL25-N0","Trading Symbol")</f>
        <v>921ISFL25-N0</v>
      </c>
      <c r="C287" t="str">
        <f>RTD("nest.scriprtd",,"nse_cm|921ISFL25-N0","Exchange")</f>
        <v>NSE</v>
      </c>
      <c r="D287">
        <f>RTD("nest.scriprtd",,"nse_cm|921ISFL25-N0","Bid Qty")</f>
        <v>50</v>
      </c>
      <c r="E287">
        <f>RTD("nest.scriprtd",,"nse_cm|921ISFL25-N0","Bid Rate")</f>
        <v>970</v>
      </c>
      <c r="F287">
        <f>RTD("nest.scriprtd",,"nse_cm|921ISFL25-N0","Ask Rate")</f>
        <v>1000</v>
      </c>
      <c r="G287">
        <f>RTD("nest.scriprtd",,"nse_cm|921ISFL25-N0","Ask Qty")</f>
        <v>100</v>
      </c>
      <c r="H287">
        <f>RTD("nest.scriprtd",,"nse_cm|921ISFL25-N0","LTP")</f>
        <v>968.36</v>
      </c>
      <c r="I287" t="str">
        <f>RTD("nest.scriprtd",,"nse_cm|921ISFL25-N0","LTT")</f>
        <v/>
      </c>
      <c r="J287">
        <f>RTD("nest.scriprtd",,"nse_cm|921ISFL25-N0","% Change")</f>
        <v>0</v>
      </c>
      <c r="K287">
        <f>RTD("nest.scriprtd",,"nse_cm|921ISFL25-N0","ATP")</f>
        <v>0</v>
      </c>
      <c r="L287">
        <f>RTD("nest.scriprtd",,"nse_cm|921ISFL25-N0","Volume Traded Today")</f>
        <v>0</v>
      </c>
      <c r="M287">
        <f>RTD("nest.scriprtd",,"nse_cm|921ISFL25-N0","Open")</f>
        <v>0</v>
      </c>
      <c r="N287">
        <f>RTD("nest.scriprtd",,"nse_cm|921ISFL25-N0","High")</f>
        <v>980</v>
      </c>
      <c r="O287">
        <f>RTD("nest.scriprtd",,"nse_cm|921ISFL25-N0","Low ")</f>
        <v>964</v>
      </c>
      <c r="P287">
        <f>RTD("nest.scriprtd",,"nse_cm|921ISFL25-N0","Prev Close")</f>
        <v>968.36</v>
      </c>
      <c r="Q287">
        <f>RTD("nest.scriprtd",,"nse_cm|921ISFL25-N0","Face Value")</f>
        <v>1000</v>
      </c>
      <c r="R287" t="str">
        <f>RTD("nest.scriprtd",,"nse_cm|921ISFL25-N0","Isin code")</f>
        <v>INE413U07244</v>
      </c>
      <c r="S287" s="9">
        <f>Table1[[#This Row],[Ask Rate]]*Table1[[#This Row],[Ask Qty]]</f>
        <v>100000</v>
      </c>
      <c r="T287">
        <f>VLOOKUP(Table1[[#This Row],[Isin code]],Table2[#All],7,FALSE)</f>
        <v>9.2100000000000009</v>
      </c>
      <c r="U287" s="17" t="str">
        <f>VLOOKUP(Table1[[#This Row],[Isin code]],Table2[#All],8,FALSE)</f>
        <v>21-Dec-2025</v>
      </c>
      <c r="V287" s="10">
        <f ca="1">Table1[[#This Row],[Maturity]]-TODAY()</f>
        <v>431</v>
      </c>
      <c r="W287" t="str">
        <f>VLOOKUP(Table1[[#This Row],[Isin code]],Table2[#All],10,FALSE)</f>
        <v>Monthly</v>
      </c>
      <c r="X287">
        <f ca="1">_xlfn.DAYS(Table1[[#This Row],[Maturity]],TODAY())-15</f>
        <v>416</v>
      </c>
      <c r="Y2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287">
        <f>IF(Table1[[#This Row],[Ask Rate]]=0,0,Table1[[#This Row],[Face Value]]-Table1[[#This Row],[Ask Rate]])</f>
        <v>0</v>
      </c>
      <c r="AA287">
        <f>IF(Table1[[#This Row],[Freq]]="Yearly",Table1[[#This Row],[Coupon_Rate]]/100,IF(Table1[[#This Row],[Freq]]="Monthly",Table1[[#This Row],[Coupon_Rate]]/1200,IF(Table1[[#This Row],[Freq]]="Quarterly",Table1[[#This Row],[Coupon_Rate]]/400,0)))</f>
        <v>7.6750000000000004E-3</v>
      </c>
      <c r="AB287">
        <f ca="1">Table1[[#This Row],[Face Value]]*Table1[[#This Row],[Rate]]*Table1[[#This Row],[Time]]</f>
        <v>107.45000000000002</v>
      </c>
      <c r="AC287">
        <f ca="1">Table1[[#This Row],[SI]]+Table1[[#This Row],[Disc/Prem]]</f>
        <v>107.45000000000002</v>
      </c>
      <c r="AD287" s="3">
        <f ca="1">Table1[[#This Row],[Net Gain]]/Table1[[#This Row],[Ask Rate]]</f>
        <v>0.10745000000000002</v>
      </c>
      <c r="AE287" s="3">
        <f ca="1">IF(Table1[[#This Row],[Ask Qty]]=0,0,Table1[[#This Row],[Gross Yield]]*365/Table1[[#This Row],[Days Left]])</f>
        <v>9.099593967517404E-2</v>
      </c>
      <c r="AF287" s="9">
        <f ca="1">+Table1[[#This Row],[Net Gain]]*Table1[[#This Row],[Ask Qty]]</f>
        <v>10745.000000000002</v>
      </c>
      <c r="AG287" t="str">
        <f ca="1">IF(Table1[[#This Row],[YTM]]&gt;0.12,IF(Table1[[#This Row],[Gross Profit]]&gt;10000,"Invest","Review"),"Low YTM")</f>
        <v>Low YTM</v>
      </c>
    </row>
    <row r="288" spans="1:33" x14ac:dyDescent="0.3">
      <c r="A288" t="str">
        <f>RTD("nest.scriprtd",,"nse_cm|1015SCL28-NR","Symbol")</f>
        <v>1015SCL28</v>
      </c>
      <c r="B288" t="str">
        <f>RTD("nest.scriprtd",,"nse_cm|1015SCL28-NR","Trading Symbol")</f>
        <v>1015SCL28-NR</v>
      </c>
      <c r="C288" t="str">
        <f>RTD("nest.scriprtd",,"nse_cm|1015SCL28-NR","Exchange")</f>
        <v>NSE</v>
      </c>
      <c r="D288">
        <f>RTD("nest.scriprtd",,"nse_cm|1015SCL28-NR","Bid Qty")</f>
        <v>3</v>
      </c>
      <c r="E288">
        <f>RTD("nest.scriprtd",,"nse_cm|1015SCL28-NR","Bid Rate")</f>
        <v>1050.0999999999999</v>
      </c>
      <c r="F288">
        <f>RTD("nest.scriprtd",,"nse_cm|1015SCL28-NR","Ask Rate")</f>
        <v>1100.3</v>
      </c>
      <c r="G288">
        <f>RTD("nest.scriprtd",,"nse_cm|1015SCL28-NR","Ask Qty")</f>
        <v>45</v>
      </c>
      <c r="H288">
        <f>RTD("nest.scriprtd",,"nse_cm|1015SCL28-NR","LTP")</f>
        <v>1015</v>
      </c>
      <c r="I288" t="str">
        <f>RTD("nest.scriprtd",,"nse_cm|1015SCL28-NR","LTT")</f>
        <v/>
      </c>
      <c r="J288">
        <f>RTD("nest.scriprtd",,"nse_cm|1015SCL28-NR","% Change")</f>
        <v>0</v>
      </c>
      <c r="K288">
        <f>RTD("nest.scriprtd",,"nse_cm|1015SCL28-NR","ATP")</f>
        <v>0</v>
      </c>
      <c r="L288">
        <f>RTD("nest.scriprtd",,"nse_cm|1015SCL28-NR","Volume Traded Today")</f>
        <v>0</v>
      </c>
      <c r="M288">
        <f>RTD("nest.scriprtd",,"nse_cm|1015SCL28-NR","Open")</f>
        <v>0</v>
      </c>
      <c r="N288">
        <f>RTD("nest.scriprtd",,"nse_cm|1015SCL28-NR","High")</f>
        <v>1015</v>
      </c>
      <c r="O288">
        <f>RTD("nest.scriprtd",,"nse_cm|1015SCL28-NR","Low ")</f>
        <v>1015</v>
      </c>
      <c r="P288">
        <f>RTD("nest.scriprtd",,"nse_cm|1015SCL28-NR","Prev Close")</f>
        <v>1015</v>
      </c>
      <c r="Q288">
        <f>RTD("nest.scriprtd",,"nse_cm|1015SCL28-NR","Face Value")</f>
        <v>1000</v>
      </c>
      <c r="R288" t="str">
        <f>RTD("nest.scriprtd",,"nse_cm|1015SCL28-NR","Isin code")</f>
        <v>INE148I07QR9</v>
      </c>
      <c r="S288" s="9">
        <f>Table1[[#This Row],[Ask Rate]]*Table1[[#This Row],[Ask Qty]]</f>
        <v>49513.5</v>
      </c>
      <c r="T288">
        <f>VLOOKUP(Table1[[#This Row],[Isin code]],Table2[#All],7,FALSE)</f>
        <v>10.15</v>
      </c>
      <c r="U288" s="17" t="str">
        <f>VLOOKUP(Table1[[#This Row],[Isin code]],Table2[#All],8,FALSE)</f>
        <v>09-Nov-2028</v>
      </c>
      <c r="V288" s="10">
        <f ca="1">Table1[[#This Row],[Maturity]]-TODAY()</f>
        <v>1485</v>
      </c>
      <c r="W288" t="str">
        <f>VLOOKUP(Table1[[#This Row],[Isin code]],Table2[#All],10,FALSE)</f>
        <v>Yearly</v>
      </c>
      <c r="X288">
        <f ca="1">_xlfn.DAYS(Table1[[#This Row],[Maturity]],TODAY())-15</f>
        <v>1470</v>
      </c>
      <c r="Y2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288">
        <f>IF(Table1[[#This Row],[Ask Rate]]=0,0,Table1[[#This Row],[Face Value]]-Table1[[#This Row],[Ask Rate]])</f>
        <v>-100.29999999999995</v>
      </c>
      <c r="AA288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288">
        <f ca="1">Table1[[#This Row],[Face Value]]*Table1[[#This Row],[Rate]]*Table1[[#This Row],[Time]]</f>
        <v>507.5</v>
      </c>
      <c r="AC288">
        <f ca="1">Table1[[#This Row],[SI]]+Table1[[#This Row],[Disc/Prem]]</f>
        <v>407.20000000000005</v>
      </c>
      <c r="AD288" s="3">
        <f ca="1">Table1[[#This Row],[Net Gain]]/Table1[[#This Row],[Ask Rate]]</f>
        <v>0.37008088703080982</v>
      </c>
      <c r="AE288" s="3">
        <f ca="1">IF(Table1[[#This Row],[Ask Qty]]=0,0,Table1[[#This Row],[Gross Yield]]*365/Table1[[#This Row],[Days Left]])</f>
        <v>9.0962642266832039E-2</v>
      </c>
      <c r="AF288" s="9">
        <f ca="1">+Table1[[#This Row],[Net Gain]]*Table1[[#This Row],[Ask Qty]]</f>
        <v>18324.000000000004</v>
      </c>
      <c r="AG288" t="str">
        <f ca="1">IF(Table1[[#This Row],[YTM]]&gt;0.12,IF(Table1[[#This Row],[Gross Profit]]&gt;10000,"Invest","Review"),"Low YTM")</f>
        <v>Low YTM</v>
      </c>
    </row>
    <row r="289" spans="1:33" x14ac:dyDescent="0.3">
      <c r="A289" t="str">
        <f>RTD("nest.scriprtd",,"bse_cm|9MFL30A","Symbol")</f>
        <v>9MFL30A</v>
      </c>
      <c r="B289" t="str">
        <f>RTD("nest.scriprtd",,"bse_cm|9MFL30A","Trading Symbol")</f>
        <v>9MFL30A</v>
      </c>
      <c r="C289" t="str">
        <f>RTD("nest.scriprtd",,"bse_cm|9MFL30A","Exchange")</f>
        <v>BSE</v>
      </c>
      <c r="D289">
        <f>RTD("nest.scriprtd",,"bse_cm|9MFL30A","Bid Qty")</f>
        <v>50</v>
      </c>
      <c r="E289">
        <f>RTD("nest.scriprtd",,"bse_cm|9MFL30A","Bid Rate")</f>
        <v>952</v>
      </c>
      <c r="F289">
        <f>RTD("nest.scriprtd",,"bse_cm|9MFL30A","Ask Rate")</f>
        <v>999</v>
      </c>
      <c r="G289">
        <f>RTD("nest.scriprtd",,"bse_cm|9MFL30A","Ask Qty")</f>
        <v>225</v>
      </c>
      <c r="H289">
        <f>RTD("nest.scriprtd",,"bse_cm|9MFL30A","LTP")</f>
        <v>0</v>
      </c>
      <c r="I289" t="str">
        <f>RTD("nest.scriprtd",,"bse_cm|9MFL30A","LTT")</f>
        <v>00:00:00</v>
      </c>
      <c r="J289">
        <f>RTD("nest.scriprtd",,"bse_cm|9MFL30A","% Change")</f>
        <v>-100</v>
      </c>
      <c r="K289">
        <f>RTD("nest.scriprtd",,"bse_cm|9MFL30A","ATP")</f>
        <v>0</v>
      </c>
      <c r="L289">
        <f>RTD("nest.scriprtd",,"bse_cm|9MFL30A","Volume Traded Today")</f>
        <v>0</v>
      </c>
      <c r="M289">
        <f>RTD("nest.scriprtd",,"bse_cm|9MFL30A","Open")</f>
        <v>0</v>
      </c>
      <c r="N289">
        <f>RTD("nest.scriprtd",,"bse_cm|9MFL30A","High")</f>
        <v>980</v>
      </c>
      <c r="O289">
        <f>RTD("nest.scriprtd",,"bse_cm|9MFL30A","Low ")</f>
        <v>980</v>
      </c>
      <c r="P289">
        <f>RTD("nest.scriprtd",,"bse_cm|9MFL30A","Prev Close")</f>
        <v>980</v>
      </c>
      <c r="Q289">
        <f>RTD("nest.scriprtd",,"bse_cm|9MFL30A","Face Value")</f>
        <v>1000</v>
      </c>
      <c r="R289" t="str">
        <f>RTD("nest.scriprtd",,"bse_cm|9MFL30A","Isin code")</f>
        <v>INE549K07CC6</v>
      </c>
      <c r="S289" s="9">
        <f>Table1[[#This Row],[Ask Rate]]*Table1[[#This Row],[Ask Qty]]</f>
        <v>224775</v>
      </c>
      <c r="T289">
        <f>VLOOKUP(Table1[[#This Row],[Isin code]],Table2[#All],7,FALSE)</f>
        <v>9</v>
      </c>
      <c r="U289" s="17" t="str">
        <f>VLOOKUP(Table1[[#This Row],[Isin code]],Table2[#All],8,FALSE)</f>
        <v>02-May-2030</v>
      </c>
      <c r="V289" s="10">
        <f ca="1">Table1[[#This Row],[Maturity]]-TODAY()</f>
        <v>2024</v>
      </c>
      <c r="W289" t="str">
        <f>VLOOKUP(Table1[[#This Row],[Isin code]],Table2[#All],10,FALSE)</f>
        <v>Monthly</v>
      </c>
      <c r="X289">
        <f ca="1">_xlfn.DAYS(Table1[[#This Row],[Maturity]],TODAY())-15</f>
        <v>2009</v>
      </c>
      <c r="Y2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67</v>
      </c>
      <c r="Z289">
        <f>IF(Table1[[#This Row],[Ask Rate]]=0,0,Table1[[#This Row],[Face Value]]-Table1[[#This Row],[Ask Rate]])</f>
        <v>1</v>
      </c>
      <c r="AA289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289">
        <f ca="1">Table1[[#This Row],[Face Value]]*Table1[[#This Row],[Rate]]*Table1[[#This Row],[Time]]</f>
        <v>502.5</v>
      </c>
      <c r="AC289">
        <f ca="1">Table1[[#This Row],[SI]]+Table1[[#This Row],[Disc/Prem]]</f>
        <v>503.5</v>
      </c>
      <c r="AD289" s="3">
        <f ca="1">Table1[[#This Row],[Net Gain]]/Table1[[#This Row],[Ask Rate]]</f>
        <v>0.50400400400400402</v>
      </c>
      <c r="AE289" s="3">
        <f ca="1">IF(Table1[[#This Row],[Ask Qty]]=0,0,Table1[[#This Row],[Gross Yield]]*365/Table1[[#This Row],[Days Left]])</f>
        <v>9.0890050129180569E-2</v>
      </c>
      <c r="AF289" s="9">
        <f ca="1">+Table1[[#This Row],[Net Gain]]*Table1[[#This Row],[Ask Qty]]</f>
        <v>113287.5</v>
      </c>
      <c r="AG289" t="str">
        <f ca="1">IF(Table1[[#This Row],[YTM]]&gt;0.12,IF(Table1[[#This Row],[Gross Profit]]&gt;10000,"Invest","Review"),"Low YTM")</f>
        <v>Low YTM</v>
      </c>
    </row>
    <row r="290" spans="1:33" x14ac:dyDescent="0.3">
      <c r="A290" t="str">
        <f>RTD("nest.scriprtd",,"bse_cm|1025MMF26A","Symbol")</f>
        <v>1025MMF26A</v>
      </c>
      <c r="B290" t="str">
        <f>RTD("nest.scriprtd",,"bse_cm|1025MMF26A","Trading Symbol")</f>
        <v>1025MMF26A</v>
      </c>
      <c r="C290" t="str">
        <f>RTD("nest.scriprtd",,"bse_cm|1025MMF26A","Exchange")</f>
        <v>BSE</v>
      </c>
      <c r="D290">
        <f>RTD("nest.scriprtd",,"bse_cm|1025MMF26A","Bid Qty")</f>
        <v>23</v>
      </c>
      <c r="E290">
        <f>RTD("nest.scriprtd",,"bse_cm|1025MMF26A","Bid Rate")</f>
        <v>862.4</v>
      </c>
      <c r="F290">
        <f>RTD("nest.scriprtd",,"bse_cm|1025MMF26A","Ask Rate")</f>
        <v>1020</v>
      </c>
      <c r="G290">
        <f>RTD("nest.scriprtd",,"bse_cm|1025MMF26A","Ask Qty")</f>
        <v>84</v>
      </c>
      <c r="H290">
        <f>RTD("nest.scriprtd",,"bse_cm|1025MMF26A","LTP")</f>
        <v>0</v>
      </c>
      <c r="I290" t="str">
        <f>RTD("nest.scriprtd",,"bse_cm|1025MMF26A","LTT")</f>
        <v>00:00:00</v>
      </c>
      <c r="J290">
        <f>RTD("nest.scriprtd",,"bse_cm|1025MMF26A","% Change")</f>
        <v>-100</v>
      </c>
      <c r="K290">
        <f>RTD("nest.scriprtd",,"bse_cm|1025MMF26A","ATP")</f>
        <v>0</v>
      </c>
      <c r="L290">
        <f>RTD("nest.scriprtd",,"bse_cm|1025MMF26A","Volume Traded Today")</f>
        <v>0</v>
      </c>
      <c r="M290">
        <f>RTD("nest.scriprtd",,"bse_cm|1025MMF26A","Open")</f>
        <v>0</v>
      </c>
      <c r="N290">
        <f>RTD("nest.scriprtd",,"bse_cm|1025MMF26A","High")</f>
        <v>1020</v>
      </c>
      <c r="O290">
        <f>RTD("nest.scriprtd",,"bse_cm|1025MMF26A","Low ")</f>
        <v>1020</v>
      </c>
      <c r="P290">
        <f>RTD("nest.scriprtd",,"bse_cm|1025MMF26A","Prev Close")</f>
        <v>1020</v>
      </c>
      <c r="Q290">
        <f>RTD("nest.scriprtd",,"bse_cm|1025MMF26A","Face Value")</f>
        <v>1000</v>
      </c>
      <c r="R290" t="str">
        <f>RTD("nest.scriprtd",,"bse_cm|1025MMF26A","Isin code")</f>
        <v>INE101Q08134</v>
      </c>
      <c r="S290" s="9">
        <f>Table1[[#This Row],[Ask Rate]]*Table1[[#This Row],[Ask Qty]]</f>
        <v>85680</v>
      </c>
      <c r="T290">
        <f>VLOOKUP(Table1[[#This Row],[Isin code]],Table2[#All],7,FALSE)</f>
        <v>10.25</v>
      </c>
      <c r="U290" s="17" t="str">
        <f>VLOOKUP(Table1[[#This Row],[Isin code]],Table2[#All],8,FALSE)</f>
        <v>02-Jun-2026</v>
      </c>
      <c r="V290" s="10">
        <f ca="1">Table1[[#This Row],[Maturity]]-TODAY()</f>
        <v>594</v>
      </c>
      <c r="W290" t="str">
        <f>VLOOKUP(Table1[[#This Row],[Isin code]],Table2[#All],10,FALSE)</f>
        <v>Monthly</v>
      </c>
      <c r="X290">
        <f ca="1">_xlfn.DAYS(Table1[[#This Row],[Maturity]],TODAY())-15</f>
        <v>579</v>
      </c>
      <c r="Y2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290">
        <f>IF(Table1[[#This Row],[Ask Rate]]=0,0,Table1[[#This Row],[Face Value]]-Table1[[#This Row],[Ask Rate]])</f>
        <v>-20</v>
      </c>
      <c r="AA290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290">
        <f ca="1">Table1[[#This Row],[Face Value]]*Table1[[#This Row],[Rate]]*Table1[[#This Row],[Time]]</f>
        <v>170.83333333333331</v>
      </c>
      <c r="AC290">
        <f ca="1">Table1[[#This Row],[SI]]+Table1[[#This Row],[Disc/Prem]]</f>
        <v>150.83333333333331</v>
      </c>
      <c r="AD290" s="3">
        <f ca="1">Table1[[#This Row],[Net Gain]]/Table1[[#This Row],[Ask Rate]]</f>
        <v>0.14787581699346403</v>
      </c>
      <c r="AE290" s="3">
        <f ca="1">IF(Table1[[#This Row],[Ask Qty]]=0,0,Table1[[#This Row],[Gross Yield]]*365/Table1[[#This Row],[Days Left]])</f>
        <v>9.086645320305449E-2</v>
      </c>
      <c r="AF290" s="9">
        <f ca="1">+Table1[[#This Row],[Net Gain]]*Table1[[#This Row],[Ask Qty]]</f>
        <v>12669.999999999998</v>
      </c>
      <c r="AG290" t="str">
        <f ca="1">IF(Table1[[#This Row],[YTM]]&gt;0.12,IF(Table1[[#This Row],[Gross Profit]]&gt;10000,"Invest","Review"),"Low YTM")</f>
        <v>Low YTM</v>
      </c>
    </row>
    <row r="291" spans="1:33" x14ac:dyDescent="0.3">
      <c r="A291" t="str">
        <f>RTD("nest.scriprtd",,"bse_cm|950MMFL26","Symbol")</f>
        <v>950MMFL26</v>
      </c>
      <c r="B291" t="str">
        <f>RTD("nest.scriprtd",,"bse_cm|950MMFL26","Trading Symbol")</f>
        <v>950MMFL26</v>
      </c>
      <c r="C291" t="str">
        <f>RTD("nest.scriprtd",,"bse_cm|950MMFL26","Exchange")</f>
        <v>BSE</v>
      </c>
      <c r="D291">
        <f>RTD("nest.scriprtd",,"bse_cm|950MMFL26","Bid Qty")</f>
        <v>10</v>
      </c>
      <c r="E291">
        <f>RTD("nest.scriprtd",,"bse_cm|950MMFL26","Bid Rate")</f>
        <v>910.7</v>
      </c>
      <c r="F291">
        <f>RTD("nest.scriprtd",,"bse_cm|950MMFL26","Ask Rate")</f>
        <v>1005</v>
      </c>
      <c r="G291">
        <f>RTD("nest.scriprtd",,"bse_cm|950MMFL26","Ask Qty")</f>
        <v>50</v>
      </c>
      <c r="H291">
        <f>RTD("nest.scriprtd",,"bse_cm|950MMFL26","LTP")</f>
        <v>0</v>
      </c>
      <c r="I291" t="str">
        <f>RTD("nest.scriprtd",,"bse_cm|950MMFL26","LTT")</f>
        <v>00:00:00</v>
      </c>
      <c r="J291">
        <f>RTD("nest.scriprtd",,"bse_cm|950MMFL26","% Change")</f>
        <v>-100</v>
      </c>
      <c r="K291">
        <f>RTD("nest.scriprtd",,"bse_cm|950MMFL26","ATP")</f>
        <v>0</v>
      </c>
      <c r="L291">
        <f>RTD("nest.scriprtd",,"bse_cm|950MMFL26","Volume Traded Today")</f>
        <v>0</v>
      </c>
      <c r="M291">
        <f>RTD("nest.scriprtd",,"bse_cm|950MMFL26","Open")</f>
        <v>0</v>
      </c>
      <c r="N291">
        <f>RTD("nest.scriprtd",,"bse_cm|950MMFL26","High")</f>
        <v>1005</v>
      </c>
      <c r="O291">
        <f>RTD("nest.scriprtd",,"bse_cm|950MMFL26","Low ")</f>
        <v>1005</v>
      </c>
      <c r="P291">
        <f>RTD("nest.scriprtd",,"bse_cm|950MMFL26","Prev Close")</f>
        <v>1005</v>
      </c>
      <c r="Q291">
        <f>RTD("nest.scriprtd",,"bse_cm|950MMFL26","Face Value")</f>
        <v>1000</v>
      </c>
      <c r="R291" t="str">
        <f>RTD("nest.scriprtd",,"bse_cm|950MMFL26","Isin code")</f>
        <v>INE101Q07AL8</v>
      </c>
      <c r="S291" s="9">
        <f>Table1[[#This Row],[Ask Rate]]*Table1[[#This Row],[Ask Qty]]</f>
        <v>50250</v>
      </c>
      <c r="T291">
        <f>VLOOKUP(Table1[[#This Row],[Isin code]],Table2[#All],7,FALSE)</f>
        <v>9.5</v>
      </c>
      <c r="U291" s="17" t="str">
        <f>VLOOKUP(Table1[[#This Row],[Isin code]],Table2[#All],8,FALSE)</f>
        <v>22-May-2026</v>
      </c>
      <c r="V291" s="10">
        <f ca="1">Table1[[#This Row],[Maturity]]-TODAY()</f>
        <v>583</v>
      </c>
      <c r="W291" t="str">
        <f>VLOOKUP(Table1[[#This Row],[Isin code]],Table2[#All],10,FALSE)</f>
        <v>Monthly</v>
      </c>
      <c r="X291">
        <f ca="1">_xlfn.DAYS(Table1[[#This Row],[Maturity]],TODAY())-15</f>
        <v>568</v>
      </c>
      <c r="Y2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291">
        <f>IF(Table1[[#This Row],[Ask Rate]]=0,0,Table1[[#This Row],[Face Value]]-Table1[[#This Row],[Ask Rate]])</f>
        <v>-5</v>
      </c>
      <c r="AA291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291">
        <f ca="1">Table1[[#This Row],[Face Value]]*Table1[[#This Row],[Rate]]*Table1[[#This Row],[Time]]</f>
        <v>150.41666666666669</v>
      </c>
      <c r="AC291">
        <f ca="1">Table1[[#This Row],[SI]]+Table1[[#This Row],[Disc/Prem]]</f>
        <v>145.41666666666669</v>
      </c>
      <c r="AD291" s="3">
        <f ca="1">Table1[[#This Row],[Net Gain]]/Table1[[#This Row],[Ask Rate]]</f>
        <v>0.14469320066334992</v>
      </c>
      <c r="AE291" s="3">
        <f ca="1">IF(Table1[[#This Row],[Ask Qty]]=0,0,Table1[[#This Row],[Gross Yield]]*365/Table1[[#This Row],[Days Left]])</f>
        <v>9.0588367482200213E-2</v>
      </c>
      <c r="AF291" s="9">
        <f ca="1">+Table1[[#This Row],[Net Gain]]*Table1[[#This Row],[Ask Qty]]</f>
        <v>7270.8333333333339</v>
      </c>
      <c r="AG291" t="str">
        <f ca="1">IF(Table1[[#This Row],[YTM]]&gt;0.12,IF(Table1[[#This Row],[Gross Profit]]&gt;10000,"Invest","Review"),"Low YTM")</f>
        <v>Low YTM</v>
      </c>
    </row>
    <row r="292" spans="1:33" x14ac:dyDescent="0.3">
      <c r="A292" t="str">
        <f>RTD("nest.scriprtd",,"bse_cm|970CAGL28","Symbol")</f>
        <v>970CAGL28</v>
      </c>
      <c r="B292" t="str">
        <f>RTD("nest.scriprtd",,"bse_cm|970CAGL28","Trading Symbol")</f>
        <v>970CAGL28</v>
      </c>
      <c r="C292" t="str">
        <f>RTD("nest.scriprtd",,"bse_cm|970CAGL28","Exchange")</f>
        <v>BSE</v>
      </c>
      <c r="D292">
        <f>RTD("nest.scriprtd",,"bse_cm|970CAGL28","Bid Qty")</f>
        <v>240</v>
      </c>
      <c r="E292">
        <f>RTD("nest.scriprtd",,"bse_cm|970CAGL28","Bid Rate")</f>
        <v>1015</v>
      </c>
      <c r="F292">
        <f>RTD("nest.scriprtd",,"bse_cm|970CAGL28","Ask Rate")</f>
        <v>1020</v>
      </c>
      <c r="G292">
        <f>RTD("nest.scriprtd",,"bse_cm|970CAGL28","Ask Qty")</f>
        <v>111</v>
      </c>
      <c r="H292">
        <f>RTD("nest.scriprtd",,"bse_cm|970CAGL28","LTP")</f>
        <v>0</v>
      </c>
      <c r="I292" t="str">
        <f>RTD("nest.scriprtd",,"bse_cm|970CAGL28","LTT")</f>
        <v>00:00:00</v>
      </c>
      <c r="J292">
        <f>RTD("nest.scriprtd",,"bse_cm|970CAGL28","% Change")</f>
        <v>-100</v>
      </c>
      <c r="K292">
        <f>RTD("nest.scriprtd",,"bse_cm|970CAGL28","ATP")</f>
        <v>0</v>
      </c>
      <c r="L292">
        <f>RTD("nest.scriprtd",,"bse_cm|970CAGL28","Volume Traded Today")</f>
        <v>0</v>
      </c>
      <c r="M292">
        <f>RTD("nest.scriprtd",,"bse_cm|970CAGL28","Open")</f>
        <v>0</v>
      </c>
      <c r="N292">
        <f>RTD("nest.scriprtd",,"bse_cm|970CAGL28","High")</f>
        <v>1015</v>
      </c>
      <c r="O292">
        <f>RTD("nest.scriprtd",,"bse_cm|970CAGL28","Low ")</f>
        <v>1015</v>
      </c>
      <c r="P292">
        <f>RTD("nest.scriprtd",,"bse_cm|970CAGL28","Prev Close")</f>
        <v>1015</v>
      </c>
      <c r="Q292">
        <f>RTD("nest.scriprtd",,"bse_cm|970CAGL28","Face Value")</f>
        <v>1000</v>
      </c>
      <c r="R292" t="str">
        <f>RTD("nest.scriprtd",,"bse_cm|970CAGL28","Isin code")</f>
        <v>INE741K07579</v>
      </c>
      <c r="S292" s="9">
        <f>Table1[[#This Row],[Ask Rate]]*Table1[[#This Row],[Ask Qty]]</f>
        <v>113220</v>
      </c>
      <c r="T292">
        <f>VLOOKUP(Table1[[#This Row],[Isin code]],Table2[#All],7,FALSE)</f>
        <v>9.6999999999999993</v>
      </c>
      <c r="U292" s="17" t="str">
        <f>VLOOKUP(Table1[[#This Row],[Isin code]],Table2[#All],8,FALSE)</f>
        <v>07-Sep-2028</v>
      </c>
      <c r="V292" s="10">
        <f ca="1">Table1[[#This Row],[Maturity]]-TODAY()</f>
        <v>1422</v>
      </c>
      <c r="W292" t="str">
        <f>VLOOKUP(Table1[[#This Row],[Isin code]],Table2[#All],10,FALSE)</f>
        <v>MONTHLY</v>
      </c>
      <c r="X292">
        <f ca="1">_xlfn.DAYS(Table1[[#This Row],[Maturity]],TODAY())-15</f>
        <v>1407</v>
      </c>
      <c r="Y2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47</v>
      </c>
      <c r="Z292">
        <f>IF(Table1[[#This Row],[Ask Rate]]=0,0,Table1[[#This Row],[Face Value]]-Table1[[#This Row],[Ask Rate]])</f>
        <v>-20</v>
      </c>
      <c r="AA292">
        <f>IF(Table1[[#This Row],[Freq]]="Yearly",Table1[[#This Row],[Coupon_Rate]]/100,IF(Table1[[#This Row],[Freq]]="Monthly",Table1[[#This Row],[Coupon_Rate]]/1200,IF(Table1[[#This Row],[Freq]]="Quarterly",Table1[[#This Row],[Coupon_Rate]]/400,0)))</f>
        <v>8.083333333333333E-3</v>
      </c>
      <c r="AB292">
        <f ca="1">Table1[[#This Row],[Face Value]]*Table1[[#This Row],[Rate]]*Table1[[#This Row],[Time]]</f>
        <v>379.91666666666663</v>
      </c>
      <c r="AC292">
        <f ca="1">Table1[[#This Row],[SI]]+Table1[[#This Row],[Disc/Prem]]</f>
        <v>359.91666666666663</v>
      </c>
      <c r="AD292" s="3">
        <f ca="1">Table1[[#This Row],[Net Gain]]/Table1[[#This Row],[Ask Rate]]</f>
        <v>0.35285947712418297</v>
      </c>
      <c r="AE292" s="3">
        <f ca="1">IF(Table1[[#This Row],[Ask Qty]]=0,0,Table1[[#This Row],[Gross Yield]]*365/Table1[[#This Row],[Days Left]])</f>
        <v>9.0572228657051182E-2</v>
      </c>
      <c r="AF292" s="9">
        <f ca="1">+Table1[[#This Row],[Net Gain]]*Table1[[#This Row],[Ask Qty]]</f>
        <v>39950.749999999993</v>
      </c>
      <c r="AG292" t="str">
        <f ca="1">IF(Table1[[#This Row],[YTM]]&gt;0.12,IF(Table1[[#This Row],[Gross Profit]]&gt;10000,"Invest","Review"),"Low YTM")</f>
        <v>Low YTM</v>
      </c>
    </row>
    <row r="293" spans="1:33" x14ac:dyDescent="0.3">
      <c r="A293" t="str">
        <f>RTD("nest.scriprtd",,"nse_cm|10IFSL26-N7","Symbol")</f>
        <v>10IFSL26</v>
      </c>
      <c r="B293" t="str">
        <f>RTD("nest.scriprtd",,"nse_cm|10IFSL26-N7","Trading Symbol")</f>
        <v>10IFSL26-N7</v>
      </c>
      <c r="C293" t="str">
        <f>RTD("nest.scriprtd",,"nse_cm|10IFSL26-N7","Exchange")</f>
        <v>NSE</v>
      </c>
      <c r="D293">
        <f>RTD("nest.scriprtd",,"nse_cm|10IFSL26-N7","Bid Qty")</f>
        <v>1</v>
      </c>
      <c r="E293">
        <f>RTD("nest.scriprtd",,"nse_cm|10IFSL26-N7","Bid Rate")</f>
        <v>1018.5</v>
      </c>
      <c r="F293">
        <f>RTD("nest.scriprtd",,"nse_cm|10IFSL26-N7","Ask Rate")</f>
        <v>1053</v>
      </c>
      <c r="G293">
        <f>RTD("nest.scriprtd",,"nse_cm|10IFSL26-N7","Ask Qty")</f>
        <v>16</v>
      </c>
      <c r="H293">
        <f>RTD("nest.scriprtd",,"nse_cm|10IFSL26-N7","LTP")</f>
        <v>1040</v>
      </c>
      <c r="I293" t="str">
        <f>RTD("nest.scriprtd",,"nse_cm|10IFSL26-N7","LTT")</f>
        <v/>
      </c>
      <c r="J293">
        <f>RTD("nest.scriprtd",,"nse_cm|10IFSL26-N7","% Change")</f>
        <v>0</v>
      </c>
      <c r="K293">
        <f>RTD("nest.scriprtd",,"nse_cm|10IFSL26-N7","ATP")</f>
        <v>0</v>
      </c>
      <c r="L293">
        <f>RTD("nest.scriprtd",,"nse_cm|10IFSL26-N7","Volume Traded Today")</f>
        <v>0</v>
      </c>
      <c r="M293">
        <f>RTD("nest.scriprtd",,"nse_cm|10IFSL26-N7","Open")</f>
        <v>0</v>
      </c>
      <c r="N293">
        <f>RTD("nest.scriprtd",,"nse_cm|10IFSL26-N7","High")</f>
        <v>1040</v>
      </c>
      <c r="O293">
        <f>RTD("nest.scriprtd",,"nse_cm|10IFSL26-N7","Low ")</f>
        <v>1040</v>
      </c>
      <c r="P293">
        <f>RTD("nest.scriprtd",,"nse_cm|10IFSL26-N7","Prev Close")</f>
        <v>1040</v>
      </c>
      <c r="Q293">
        <f>RTD("nest.scriprtd",,"nse_cm|10IFSL26-N7","Face Value")</f>
        <v>1000</v>
      </c>
      <c r="R293" t="str">
        <f>RTD("nest.scriprtd",,"nse_cm|10IFSL26-N7","Isin code")</f>
        <v>INE321N07293</v>
      </c>
      <c r="S293" s="9">
        <f>Table1[[#This Row],[Ask Rate]]*Table1[[#This Row],[Ask Qty]]</f>
        <v>16848</v>
      </c>
      <c r="T293">
        <f>VLOOKUP(Table1[[#This Row],[Isin code]],Table2[#All],7,FALSE)</f>
        <v>10</v>
      </c>
      <c r="U293" s="17" t="str">
        <f>VLOOKUP(Table1[[#This Row],[Isin code]],Table2[#All],8,FALSE)</f>
        <v>02-May-2026</v>
      </c>
      <c r="V293" s="10">
        <f ca="1">Table1[[#This Row],[Maturity]]-TODAY()</f>
        <v>563</v>
      </c>
      <c r="W293" t="str">
        <f>VLOOKUP(Table1[[#This Row],[Isin code]],Table2[#All],10,FALSE)</f>
        <v>Yearly</v>
      </c>
      <c r="X293">
        <f ca="1">_xlfn.DAYS(Table1[[#This Row],[Maturity]],TODAY())-15</f>
        <v>548</v>
      </c>
      <c r="Y2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293">
        <f>IF(Table1[[#This Row],[Ask Rate]]=0,0,Table1[[#This Row],[Face Value]]-Table1[[#This Row],[Ask Rate]])</f>
        <v>-53</v>
      </c>
      <c r="AA293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293">
        <f ca="1">Table1[[#This Row],[Face Value]]*Table1[[#This Row],[Rate]]*Table1[[#This Row],[Time]]</f>
        <v>200</v>
      </c>
      <c r="AC293">
        <f ca="1">Table1[[#This Row],[SI]]+Table1[[#This Row],[Disc/Prem]]</f>
        <v>147</v>
      </c>
      <c r="AD293" s="3">
        <f ca="1">Table1[[#This Row],[Net Gain]]/Table1[[#This Row],[Ask Rate]]</f>
        <v>0.1396011396011396</v>
      </c>
      <c r="AE293" s="3">
        <f ca="1">IF(Table1[[#This Row],[Ask Qty]]=0,0,Table1[[#This Row],[Gross Yield]]*365/Table1[[#This Row],[Days Left]])</f>
        <v>9.0505179315126028E-2</v>
      </c>
      <c r="AF293" s="9">
        <f ca="1">+Table1[[#This Row],[Net Gain]]*Table1[[#This Row],[Ask Qty]]</f>
        <v>2352</v>
      </c>
      <c r="AG293" t="str">
        <f ca="1">IF(Table1[[#This Row],[YTM]]&gt;0.12,IF(Table1[[#This Row],[Gross Profit]]&gt;10000,"Invest","Review"),"Low YTM")</f>
        <v>Low YTM</v>
      </c>
    </row>
    <row r="294" spans="1:33" x14ac:dyDescent="0.3">
      <c r="A294" t="str">
        <f>RTD("nest.scriprtd",,"bse_cm|925CAGL26","Symbol")</f>
        <v>925CAGL26</v>
      </c>
      <c r="B294" t="str">
        <f>RTD("nest.scriprtd",,"bse_cm|925CAGL26","Trading Symbol")</f>
        <v>925CAGL26</v>
      </c>
      <c r="C294" t="str">
        <f>RTD("nest.scriprtd",,"bse_cm|925CAGL26","Exchange")</f>
        <v>BSE</v>
      </c>
      <c r="D294">
        <f>RTD("nest.scriprtd",,"bse_cm|925CAGL26","Bid Qty")</f>
        <v>1</v>
      </c>
      <c r="E294">
        <f>RTD("nest.scriprtd",,"bse_cm|925CAGL26","Bid Rate")</f>
        <v>993</v>
      </c>
      <c r="F294">
        <f>RTD("nest.scriprtd",,"bse_cm|925CAGL26","Ask Rate")</f>
        <v>1005.2</v>
      </c>
      <c r="G294">
        <f>RTD("nest.scriprtd",,"bse_cm|925CAGL26","Ask Qty")</f>
        <v>20</v>
      </c>
      <c r="H294">
        <f>RTD("nest.scriprtd",,"bse_cm|925CAGL26","LTP")</f>
        <v>0</v>
      </c>
      <c r="I294" t="str">
        <f>RTD("nest.scriprtd",,"bse_cm|925CAGL26","LTT")</f>
        <v>00:00:00</v>
      </c>
      <c r="J294">
        <f>RTD("nest.scriprtd",,"bse_cm|925CAGL26","% Change")</f>
        <v>-100</v>
      </c>
      <c r="K294">
        <f>RTD("nest.scriprtd",,"bse_cm|925CAGL26","ATP")</f>
        <v>0</v>
      </c>
      <c r="L294">
        <f>RTD("nest.scriprtd",,"bse_cm|925CAGL26","Volume Traded Today")</f>
        <v>0</v>
      </c>
      <c r="M294">
        <f>RTD("nest.scriprtd",,"bse_cm|925CAGL26","Open")</f>
        <v>0</v>
      </c>
      <c r="N294">
        <f>RTD("nest.scriprtd",,"bse_cm|925CAGL26","High")</f>
        <v>1005.2</v>
      </c>
      <c r="O294">
        <f>RTD("nest.scriprtd",,"bse_cm|925CAGL26","Low ")</f>
        <v>1005.2</v>
      </c>
      <c r="P294">
        <f>RTD("nest.scriprtd",,"bse_cm|925CAGL26","Prev Close")</f>
        <v>1005.2</v>
      </c>
      <c r="Q294">
        <f>RTD("nest.scriprtd",,"bse_cm|925CAGL26","Face Value")</f>
        <v>1000</v>
      </c>
      <c r="R294" t="str">
        <f>RTD("nest.scriprtd",,"bse_cm|925CAGL26","Isin code")</f>
        <v>INE741K07595</v>
      </c>
      <c r="S294" s="9">
        <f>Table1[[#This Row],[Ask Rate]]*Table1[[#This Row],[Ask Qty]]</f>
        <v>20104</v>
      </c>
      <c r="T294">
        <f>VLOOKUP(Table1[[#This Row],[Isin code]],Table2[#All],7,FALSE)</f>
        <v>9.25</v>
      </c>
      <c r="U294" s="17" t="str">
        <f>VLOOKUP(Table1[[#This Row],[Isin code]],Table2[#All],8,FALSE)</f>
        <v>07-Jun-2026</v>
      </c>
      <c r="V294" s="10">
        <f ca="1">Table1[[#This Row],[Maturity]]-TODAY()</f>
        <v>599</v>
      </c>
      <c r="W294" t="str">
        <f>VLOOKUP(Table1[[#This Row],[Isin code]],Table2[#All],10,FALSE)</f>
        <v>MONTHLY</v>
      </c>
      <c r="X294">
        <f ca="1">_xlfn.DAYS(Table1[[#This Row],[Maturity]],TODAY())-15</f>
        <v>584</v>
      </c>
      <c r="Y2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294">
        <f>IF(Table1[[#This Row],[Ask Rate]]=0,0,Table1[[#This Row],[Face Value]]-Table1[[#This Row],[Ask Rate]])</f>
        <v>-5.2000000000000455</v>
      </c>
      <c r="AA294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294">
        <f ca="1">Table1[[#This Row],[Face Value]]*Table1[[#This Row],[Rate]]*Table1[[#This Row],[Time]]</f>
        <v>154.16666666666669</v>
      </c>
      <c r="AC294">
        <f ca="1">Table1[[#This Row],[SI]]+Table1[[#This Row],[Disc/Prem]]</f>
        <v>148.96666666666664</v>
      </c>
      <c r="AD294" s="3">
        <f ca="1">Table1[[#This Row],[Net Gain]]/Table1[[#This Row],[Ask Rate]]</f>
        <v>0.14819604722111682</v>
      </c>
      <c r="AE294" s="3">
        <f ca="1">IF(Table1[[#This Row],[Ask Qty]]=0,0,Table1[[#This Row],[Gross Yield]]*365/Table1[[#This Row],[Days Left]])</f>
        <v>9.0303100560446811E-2</v>
      </c>
      <c r="AF294" s="9">
        <f ca="1">+Table1[[#This Row],[Net Gain]]*Table1[[#This Row],[Ask Qty]]</f>
        <v>2979.333333333333</v>
      </c>
      <c r="AG294" t="str">
        <f ca="1">IF(Table1[[#This Row],[YTM]]&gt;0.12,IF(Table1[[#This Row],[Gross Profit]]&gt;10000,"Invest","Review"),"Low YTM")</f>
        <v>Low YTM</v>
      </c>
    </row>
    <row r="295" spans="1:33" x14ac:dyDescent="0.3">
      <c r="A295" t="str">
        <f>RTD("nest.scriprtd",,"bse_cm|981JMFCS28","Symbol")</f>
        <v>981JMFCS28</v>
      </c>
      <c r="B295" t="str">
        <f>RTD("nest.scriprtd",,"bse_cm|981JMFCS28","Trading Symbol")</f>
        <v>981JMFCS28</v>
      </c>
      <c r="C295" t="str">
        <f>RTD("nest.scriprtd",,"bse_cm|981JMFCS28","Exchange")</f>
        <v>BSE</v>
      </c>
      <c r="D295">
        <f>RTD("nest.scriprtd",,"bse_cm|981JMFCS28","Bid Qty")</f>
        <v>79</v>
      </c>
      <c r="E295">
        <f>RTD("nest.scriprtd",,"bse_cm|981JMFCS28","Bid Rate")</f>
        <v>1005</v>
      </c>
      <c r="F295">
        <f>RTD("nest.scriprtd",,"bse_cm|981JMFCS28","Ask Rate")</f>
        <v>1030</v>
      </c>
      <c r="G295">
        <f>RTD("nest.scriprtd",,"bse_cm|981JMFCS28","Ask Qty")</f>
        <v>50</v>
      </c>
      <c r="H295">
        <f>RTD("nest.scriprtd",,"bse_cm|981JMFCS28","LTP")</f>
        <v>0</v>
      </c>
      <c r="I295" t="str">
        <f>RTD("nest.scriprtd",,"bse_cm|981JMFCS28","LTT")</f>
        <v>00:00:00</v>
      </c>
      <c r="J295">
        <f>RTD("nest.scriprtd",,"bse_cm|981JMFCS28","% Change")</f>
        <v>-100</v>
      </c>
      <c r="K295">
        <f>RTD("nest.scriprtd",,"bse_cm|981JMFCS28","ATP")</f>
        <v>0</v>
      </c>
      <c r="L295">
        <f>RTD("nest.scriprtd",,"bse_cm|981JMFCS28","Volume Traded Today")</f>
        <v>0</v>
      </c>
      <c r="M295">
        <f>RTD("nest.scriprtd",,"bse_cm|981JMFCS28","Open")</f>
        <v>0</v>
      </c>
      <c r="N295">
        <f>RTD("nest.scriprtd",,"bse_cm|981JMFCS28","High")</f>
        <v>1025</v>
      </c>
      <c r="O295">
        <f>RTD("nest.scriprtd",,"bse_cm|981JMFCS28","Low ")</f>
        <v>1025</v>
      </c>
      <c r="P295">
        <f>RTD("nest.scriprtd",,"bse_cm|981JMFCS28","Prev Close")</f>
        <v>1025</v>
      </c>
      <c r="Q295">
        <f>RTD("nest.scriprtd",,"bse_cm|981JMFCS28","Face Value")</f>
        <v>1000</v>
      </c>
      <c r="R295" t="str">
        <f>RTD("nest.scriprtd",,"bse_cm|981JMFCS28","Isin code")</f>
        <v>INE651J07697</v>
      </c>
      <c r="S295" s="9">
        <f>Table1[[#This Row],[Ask Rate]]*Table1[[#This Row],[Ask Qty]]</f>
        <v>51500</v>
      </c>
      <c r="T295">
        <f>VLOOKUP(Table1[[#This Row],[Isin code]],Table2[#All],7,FALSE)</f>
        <v>9.81</v>
      </c>
      <c r="U295" s="17" t="str">
        <f>VLOOKUP(Table1[[#This Row],[Isin code]],Table2[#All],8,FALSE)</f>
        <v>13-Dec-2028</v>
      </c>
      <c r="V295" s="10">
        <f ca="1">Table1[[#This Row],[Maturity]]-TODAY()</f>
        <v>1519</v>
      </c>
      <c r="W295" t="str">
        <f>VLOOKUP(Table1[[#This Row],[Isin code]],Table2[#All],10,FALSE)</f>
        <v>Monthly</v>
      </c>
      <c r="X295">
        <f ca="1">_xlfn.DAYS(Table1[[#This Row],[Maturity]],TODAY())-15</f>
        <v>1504</v>
      </c>
      <c r="Y2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295">
        <f>IF(Table1[[#This Row],[Ask Rate]]=0,0,Table1[[#This Row],[Face Value]]-Table1[[#This Row],[Ask Rate]])</f>
        <v>-30</v>
      </c>
      <c r="AA295">
        <f>IF(Table1[[#This Row],[Freq]]="Yearly",Table1[[#This Row],[Coupon_Rate]]/100,IF(Table1[[#This Row],[Freq]]="Monthly",Table1[[#This Row],[Coupon_Rate]]/1200,IF(Table1[[#This Row],[Freq]]="Quarterly",Table1[[#This Row],[Coupon_Rate]]/400,0)))</f>
        <v>8.175E-3</v>
      </c>
      <c r="AB295">
        <f ca="1">Table1[[#This Row],[Face Value]]*Table1[[#This Row],[Rate]]*Table1[[#This Row],[Time]]</f>
        <v>416.92500000000001</v>
      </c>
      <c r="AC295">
        <f ca="1">Table1[[#This Row],[SI]]+Table1[[#This Row],[Disc/Prem]]</f>
        <v>386.92500000000001</v>
      </c>
      <c r="AD295" s="3">
        <f ca="1">Table1[[#This Row],[Net Gain]]/Table1[[#This Row],[Ask Rate]]</f>
        <v>0.37565533980582527</v>
      </c>
      <c r="AE295" s="3">
        <f ca="1">IF(Table1[[#This Row],[Ask Qty]]=0,0,Table1[[#This Row],[Gross Yield]]*365/Table1[[#This Row],[Days Left]])</f>
        <v>9.0266095476712452E-2</v>
      </c>
      <c r="AF295" s="9">
        <f ca="1">+Table1[[#This Row],[Net Gain]]*Table1[[#This Row],[Ask Qty]]</f>
        <v>19346.25</v>
      </c>
      <c r="AG295" t="str">
        <f ca="1">IF(Table1[[#This Row],[YTM]]&gt;0.12,IF(Table1[[#This Row],[Gross Profit]]&gt;10000,"Invest","Review"),"Low YTM")</f>
        <v>Low YTM</v>
      </c>
    </row>
    <row r="296" spans="1:33" x14ac:dyDescent="0.3">
      <c r="A296" t="str">
        <f>RTD("nest.scriprtd",,"nse_cm|897MOFSL29-N4","Symbol")</f>
        <v>897MOFSL29</v>
      </c>
      <c r="B296" t="str">
        <f>RTD("nest.scriprtd",,"nse_cm|897MOFSL29-N4","Trading Symbol")</f>
        <v>897MOFSL29-N4</v>
      </c>
      <c r="C296" t="str">
        <f>RTD("nest.scriprtd",,"nse_cm|897MOFSL29-N4","Exchange")</f>
        <v>NSE</v>
      </c>
      <c r="D296">
        <f>RTD("nest.scriprtd",,"nse_cm|897MOFSL29-N4","Bid Qty")</f>
        <v>15</v>
      </c>
      <c r="E296">
        <f>RTD("nest.scriprtd",,"nse_cm|897MOFSL29-N4","Bid Rate")</f>
        <v>1001.01</v>
      </c>
      <c r="F296">
        <f>RTD("nest.scriprtd",,"nse_cm|897MOFSL29-N4","Ask Rate")</f>
        <v>1005</v>
      </c>
      <c r="G296">
        <f>RTD("nest.scriprtd",,"nse_cm|897MOFSL29-N4","Ask Qty")</f>
        <v>200</v>
      </c>
      <c r="H296">
        <f>RTD("nest.scriprtd",,"nse_cm|897MOFSL29-N4","LTP")</f>
        <v>1001</v>
      </c>
      <c r="I296" t="str">
        <f>RTD("nest.scriprtd",,"nse_cm|897MOFSL29-N4","LTT")</f>
        <v>10:32:51</v>
      </c>
      <c r="J296">
        <f>RTD("nest.scriprtd",,"nse_cm|897MOFSL29-N4","% Change")</f>
        <v>-0.4</v>
      </c>
      <c r="K296">
        <f>RTD("nest.scriprtd",,"nse_cm|897MOFSL29-N4","ATP")</f>
        <v>1001</v>
      </c>
      <c r="L296">
        <f>RTD("nest.scriprtd",,"nse_cm|897MOFSL29-N4","Volume Traded Today")</f>
        <v>500</v>
      </c>
      <c r="M296">
        <f>RTD("nest.scriprtd",,"nse_cm|897MOFSL29-N4","Open")</f>
        <v>1001.02</v>
      </c>
      <c r="N296">
        <f>RTD("nest.scriprtd",,"nse_cm|897MOFSL29-N4","High")</f>
        <v>1001.02</v>
      </c>
      <c r="O296">
        <f>RTD("nest.scriprtd",,"nse_cm|897MOFSL29-N4","Low ")</f>
        <v>1001</v>
      </c>
      <c r="P296">
        <f>RTD("nest.scriprtd",,"nse_cm|897MOFSL29-N4","Prev Close")</f>
        <v>1005</v>
      </c>
      <c r="Q296">
        <f>RTD("nest.scriprtd",,"nse_cm|897MOFSL29-N4","Face Value")</f>
        <v>1000</v>
      </c>
      <c r="R296" t="str">
        <f>RTD("nest.scriprtd",,"nse_cm|897MOFSL29-N4","Isin code")</f>
        <v>INE338I07164</v>
      </c>
      <c r="S296" s="9">
        <f>Table1[[#This Row],[Ask Rate]]*Table1[[#This Row],[Ask Qty]]</f>
        <v>201000</v>
      </c>
      <c r="T296">
        <f>VLOOKUP(Table1[[#This Row],[Isin code]],Table2[#All],7,FALSE)</f>
        <v>8.9700000000000006</v>
      </c>
      <c r="U296" s="17" t="str">
        <f>VLOOKUP(Table1[[#This Row],[Isin code]],Table2[#All],8,FALSE)</f>
        <v>09-May-2029</v>
      </c>
      <c r="V296" s="10">
        <f ca="1">Table1[[#This Row],[Maturity]]-TODAY()</f>
        <v>1666</v>
      </c>
      <c r="W296" t="str">
        <f>VLOOKUP(Table1[[#This Row],[Isin code]],Table2[#All],10,FALSE)</f>
        <v>Monthly</v>
      </c>
      <c r="X296">
        <f ca="1">_xlfn.DAYS(Table1[[#This Row],[Maturity]],TODAY())-15</f>
        <v>1651</v>
      </c>
      <c r="Y2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56</v>
      </c>
      <c r="Z296">
        <f>IF(Table1[[#This Row],[Ask Rate]]=0,0,Table1[[#This Row],[Face Value]]-Table1[[#This Row],[Ask Rate]])</f>
        <v>-5</v>
      </c>
      <c r="AA296">
        <f>IF(Table1[[#This Row],[Freq]]="Yearly",Table1[[#This Row],[Coupon_Rate]]/100,IF(Table1[[#This Row],[Freq]]="Monthly",Table1[[#This Row],[Coupon_Rate]]/1200,IF(Table1[[#This Row],[Freq]]="Quarterly",Table1[[#This Row],[Coupon_Rate]]/400,0)))</f>
        <v>7.4750000000000007E-3</v>
      </c>
      <c r="AB296">
        <f ca="1">Table1[[#This Row],[Face Value]]*Table1[[#This Row],[Rate]]*Table1[[#This Row],[Time]]</f>
        <v>418.6</v>
      </c>
      <c r="AC296">
        <f ca="1">Table1[[#This Row],[SI]]+Table1[[#This Row],[Disc/Prem]]</f>
        <v>413.6</v>
      </c>
      <c r="AD296" s="3">
        <f ca="1">Table1[[#This Row],[Net Gain]]/Table1[[#This Row],[Ask Rate]]</f>
        <v>0.41154228855721398</v>
      </c>
      <c r="AE296" s="3">
        <f ca="1">IF(Table1[[#This Row],[Ask Qty]]=0,0,Table1[[#This Row],[Gross Yield]]*365/Table1[[#This Row],[Days Left]])</f>
        <v>9.0163826724719759E-2</v>
      </c>
      <c r="AF296" s="9">
        <f ca="1">+Table1[[#This Row],[Net Gain]]*Table1[[#This Row],[Ask Qty]]</f>
        <v>82720</v>
      </c>
      <c r="AG296" t="str">
        <f ca="1">IF(Table1[[#This Row],[YTM]]&gt;0.12,IF(Table1[[#This Row],[Gross Profit]]&gt;10000,"Invest","Review"),"Low YTM")</f>
        <v>Low YTM</v>
      </c>
    </row>
    <row r="297" spans="1:33" x14ac:dyDescent="0.3">
      <c r="A297" t="str">
        <f>RTD("nest.scriprtd",,"bse_cm|MFLTDII27","Symbol")</f>
        <v>MFLTDII27</v>
      </c>
      <c r="B297" t="str">
        <f>RTD("nest.scriprtd",,"bse_cm|MFLTDII27","Trading Symbol")</f>
        <v>MFLTDII27</v>
      </c>
      <c r="C297" t="str">
        <f>RTD("nest.scriprtd",,"bse_cm|MFLTDII27","Exchange")</f>
        <v>BSE</v>
      </c>
      <c r="D297">
        <f>RTD("nest.scriprtd",,"bse_cm|MFLTDII27","Bid Qty")</f>
        <v>170</v>
      </c>
      <c r="E297">
        <f>RTD("nest.scriprtd",,"bse_cm|MFLTDII27","Bid Rate")</f>
        <v>930.2</v>
      </c>
      <c r="F297">
        <f>RTD("nest.scriprtd",,"bse_cm|MFLTDII27","Ask Rate")</f>
        <v>959.8</v>
      </c>
      <c r="G297">
        <f>RTD("nest.scriprtd",,"bse_cm|MFLTDII27","Ask Qty")</f>
        <v>44</v>
      </c>
      <c r="H297">
        <f>RTD("nest.scriprtd",,"bse_cm|MFLTDII27","LTP")</f>
        <v>0</v>
      </c>
      <c r="I297" t="str">
        <f>RTD("nest.scriprtd",,"bse_cm|MFLTDII27","LTT")</f>
        <v>00:00:00</v>
      </c>
      <c r="J297">
        <f>RTD("nest.scriprtd",,"bse_cm|MFLTDII27","% Change")</f>
        <v>-100</v>
      </c>
      <c r="K297">
        <f>RTD("nest.scriprtd",,"bse_cm|MFLTDII27","ATP")</f>
        <v>0</v>
      </c>
      <c r="L297">
        <f>RTD("nest.scriprtd",,"bse_cm|MFLTDII27","Volume Traded Today")</f>
        <v>0</v>
      </c>
      <c r="M297">
        <f>RTD("nest.scriprtd",,"bse_cm|MFLTDII27","Open")</f>
        <v>0</v>
      </c>
      <c r="N297">
        <f>RTD("nest.scriprtd",,"bse_cm|MFLTDII27","High")</f>
        <v>930.2</v>
      </c>
      <c r="O297">
        <f>RTD("nest.scriprtd",,"bse_cm|MFLTDII27","Low ")</f>
        <v>930.2</v>
      </c>
      <c r="P297">
        <f>RTD("nest.scriprtd",,"bse_cm|MFLTDII27","Prev Close")</f>
        <v>930.2</v>
      </c>
      <c r="Q297">
        <f>RTD("nest.scriprtd",,"bse_cm|MFLTDII27","Face Value")</f>
        <v>1000</v>
      </c>
      <c r="R297" t="str">
        <f>RTD("nest.scriprtd",,"bse_cm|MFLTDII27","Isin code")</f>
        <v>INE414G07GV2</v>
      </c>
      <c r="S297" s="9">
        <f>Table1[[#This Row],[Ask Rate]]*Table1[[#This Row],[Ask Qty]]</f>
        <v>42231.199999999997</v>
      </c>
      <c r="T297">
        <f>VLOOKUP(Table1[[#This Row],[Isin code]],Table2[#All],7,FALSE)</f>
        <v>7.2499999999999991</v>
      </c>
      <c r="U297" s="17" t="str">
        <f>VLOOKUP(Table1[[#This Row],[Isin code]],Table2[#All],8,FALSE)</f>
        <v>03-Nov-2027</v>
      </c>
      <c r="V297" s="10">
        <f ca="1">Table1[[#This Row],[Maturity]]-TODAY()</f>
        <v>1113</v>
      </c>
      <c r="W297" t="str">
        <f>VLOOKUP(Table1[[#This Row],[Isin code]],Table2[#All],10,FALSE)</f>
        <v>Monthly</v>
      </c>
      <c r="X297">
        <f ca="1">_xlfn.DAYS(Table1[[#This Row],[Maturity]],TODAY())-15</f>
        <v>1098</v>
      </c>
      <c r="Y2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37</v>
      </c>
      <c r="Z297">
        <f>IF(Table1[[#This Row],[Ask Rate]]=0,0,Table1[[#This Row],[Face Value]]-Table1[[#This Row],[Ask Rate]])</f>
        <v>40.200000000000045</v>
      </c>
      <c r="AA297">
        <f>IF(Table1[[#This Row],[Freq]]="Yearly",Table1[[#This Row],[Coupon_Rate]]/100,IF(Table1[[#This Row],[Freq]]="Monthly",Table1[[#This Row],[Coupon_Rate]]/1200,IF(Table1[[#This Row],[Freq]]="Quarterly",Table1[[#This Row],[Coupon_Rate]]/400,0)))</f>
        <v>6.0416666666666657E-3</v>
      </c>
      <c r="AB297">
        <f ca="1">Table1[[#This Row],[Face Value]]*Table1[[#This Row],[Rate]]*Table1[[#This Row],[Time]]</f>
        <v>223.54166666666666</v>
      </c>
      <c r="AC297">
        <f ca="1">Table1[[#This Row],[SI]]+Table1[[#This Row],[Disc/Prem]]</f>
        <v>263.74166666666667</v>
      </c>
      <c r="AD297" s="3">
        <f ca="1">Table1[[#This Row],[Net Gain]]/Table1[[#This Row],[Ask Rate]]</f>
        <v>0.27478815030909221</v>
      </c>
      <c r="AE297" s="3">
        <f ca="1">IF(Table1[[#This Row],[Ask Qty]]=0,0,Table1[[#This Row],[Gross Yield]]*365/Table1[[#This Row],[Days Left]])</f>
        <v>9.0114712365515409E-2</v>
      </c>
      <c r="AF297" s="9">
        <f ca="1">+Table1[[#This Row],[Net Gain]]*Table1[[#This Row],[Ask Qty]]</f>
        <v>11604.633333333333</v>
      </c>
      <c r="AG297" t="str">
        <f ca="1">IF(Table1[[#This Row],[YTM]]&gt;0.12,IF(Table1[[#This Row],[Gross Profit]]&gt;10000,"Invest","Review"),"Low YTM")</f>
        <v>Low YTM</v>
      </c>
    </row>
    <row r="298" spans="1:33" x14ac:dyDescent="0.3">
      <c r="A298" t="str">
        <f>RTD("nest.scriprtd",,"nse_cm|956AEL29-N6","Symbol")</f>
        <v>956AEL29</v>
      </c>
      <c r="B298" t="str">
        <f>RTD("nest.scriprtd",,"nse_cm|956AEL29-N6","Trading Symbol")</f>
        <v>956AEL29-N6</v>
      </c>
      <c r="C298" t="str">
        <f>RTD("nest.scriprtd",,"nse_cm|956AEL29-N6","Exchange")</f>
        <v>NSE</v>
      </c>
      <c r="D298">
        <f>RTD("nest.scriprtd",,"nse_cm|956AEL29-N6","Bid Qty")</f>
        <v>100</v>
      </c>
      <c r="E298">
        <f>RTD("nest.scriprtd",,"nse_cm|956AEL29-N6","Bid Rate")</f>
        <v>1012</v>
      </c>
      <c r="F298">
        <f>RTD("nest.scriprtd",,"nse_cm|956AEL29-N6","Ask Rate")</f>
        <v>1025</v>
      </c>
      <c r="G298">
        <f>RTD("nest.scriprtd",,"nse_cm|956AEL29-N6","Ask Qty")</f>
        <v>9</v>
      </c>
      <c r="H298">
        <f>RTD("nest.scriprtd",,"nse_cm|956AEL29-N6","LTP")</f>
        <v>1020</v>
      </c>
      <c r="I298" t="str">
        <f>RTD("nest.scriprtd",,"nse_cm|956AEL29-N6","LTT")</f>
        <v>11:08:13</v>
      </c>
      <c r="J298">
        <f>RTD("nest.scriprtd",,"nse_cm|956AEL29-N6","% Change")</f>
        <v>0.79</v>
      </c>
      <c r="K298">
        <f>RTD("nest.scriprtd",,"nse_cm|956AEL29-N6","ATP")</f>
        <v>1020</v>
      </c>
      <c r="L298">
        <f>RTD("nest.scriprtd",,"nse_cm|956AEL29-N6","Volume Traded Today")</f>
        <v>25</v>
      </c>
      <c r="M298">
        <f>RTD("nest.scriprtd",,"nse_cm|956AEL29-N6","Open")</f>
        <v>1020</v>
      </c>
      <c r="N298">
        <f>RTD("nest.scriprtd",,"nse_cm|956AEL29-N6","High")</f>
        <v>1020</v>
      </c>
      <c r="O298">
        <f>RTD("nest.scriprtd",,"nse_cm|956AEL29-N6","Low ")</f>
        <v>1020</v>
      </c>
      <c r="P298">
        <f>RTD("nest.scriprtd",,"nse_cm|956AEL29-N6","Prev Close")</f>
        <v>1012</v>
      </c>
      <c r="Q298">
        <f>RTD("nest.scriprtd",,"nse_cm|956AEL29-N6","Face Value")</f>
        <v>1000</v>
      </c>
      <c r="R298" t="str">
        <f>RTD("nest.scriprtd",,"nse_cm|956AEL29-N6","Isin code")</f>
        <v>INE423A07336</v>
      </c>
      <c r="S298" s="9">
        <f>Table1[[#This Row],[Ask Rate]]*Table1[[#This Row],[Ask Qty]]</f>
        <v>9225</v>
      </c>
      <c r="T298">
        <f>VLOOKUP(Table1[[#This Row],[Isin code]],Table2[#All],7,FALSE)</f>
        <v>9.56</v>
      </c>
      <c r="U298" s="17" t="str">
        <f>VLOOKUP(Table1[[#This Row],[Isin code]],Table2[#All],8,FALSE)</f>
        <v>12-Sep-2029</v>
      </c>
      <c r="V298" s="10">
        <f ca="1">Table1[[#This Row],[Maturity]]-TODAY()</f>
        <v>1792</v>
      </c>
      <c r="W298" t="str">
        <f>VLOOKUP(Table1[[#This Row],[Isin code]],Table2[#All],10,FALSE)</f>
        <v>Quarterly</v>
      </c>
      <c r="X298">
        <f ca="1">_xlfn.DAYS(Table1[[#This Row],[Maturity]],TODAY())-15</f>
        <v>1777</v>
      </c>
      <c r="Y2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298">
        <f>IF(Table1[[#This Row],[Ask Rate]]=0,0,Table1[[#This Row],[Face Value]]-Table1[[#This Row],[Ask Rate]])</f>
        <v>-25</v>
      </c>
      <c r="AA298">
        <f>IF(Table1[[#This Row],[Freq]]="Yearly",Table1[[#This Row],[Coupon_Rate]]/100,IF(Table1[[#This Row],[Freq]]="Monthly",Table1[[#This Row],[Coupon_Rate]]/1200,IF(Table1[[#This Row],[Freq]]="Quarterly",Table1[[#This Row],[Coupon_Rate]]/400,0)))</f>
        <v>2.3900000000000001E-2</v>
      </c>
      <c r="AB298">
        <f ca="1">Table1[[#This Row],[Face Value]]*Table1[[#This Row],[Rate]]*Table1[[#This Row],[Time]]</f>
        <v>478.00000000000006</v>
      </c>
      <c r="AC298">
        <f ca="1">Table1[[#This Row],[SI]]+Table1[[#This Row],[Disc/Prem]]</f>
        <v>453.00000000000006</v>
      </c>
      <c r="AD298" s="3">
        <f ca="1">Table1[[#This Row],[Net Gain]]/Table1[[#This Row],[Ask Rate]]</f>
        <v>0.44195121951219518</v>
      </c>
      <c r="AE298" s="3">
        <f ca="1">IF(Table1[[#This Row],[Ask Qty]]=0,0,Table1[[#This Row],[Gross Yield]]*365/Table1[[#This Row],[Days Left]])</f>
        <v>9.0017966027874582E-2</v>
      </c>
      <c r="AF298" s="9">
        <f ca="1">+Table1[[#This Row],[Net Gain]]*Table1[[#This Row],[Ask Qty]]</f>
        <v>4077.0000000000005</v>
      </c>
      <c r="AG298" t="str">
        <f ca="1">IF(Table1[[#This Row],[YTM]]&gt;0.12,IF(Table1[[#This Row],[Gross Profit]]&gt;10000,"Invest","Review"),"Low YTM")</f>
        <v>Low YTM</v>
      </c>
    </row>
    <row r="299" spans="1:33" x14ac:dyDescent="0.3">
      <c r="A299" t="str">
        <f>RTD("nest.scriprtd",,"nse_cm|93MOFSL34-N6","Symbol")</f>
        <v>93MOFSL34</v>
      </c>
      <c r="B299" t="str">
        <f>RTD("nest.scriprtd",,"nse_cm|93MOFSL34-N6","Trading Symbol")</f>
        <v>93MOFSL34-N6</v>
      </c>
      <c r="C299" t="str">
        <f>RTD("nest.scriprtd",,"nse_cm|93MOFSL34-N6","Exchange")</f>
        <v>NSE</v>
      </c>
      <c r="D299">
        <f>RTD("nest.scriprtd",,"nse_cm|93MOFSL34-N6","Bid Qty")</f>
        <v>28</v>
      </c>
      <c r="E299">
        <f>RTD("nest.scriprtd",,"nse_cm|93MOFSL34-N6","Bid Rate")</f>
        <v>1012.8</v>
      </c>
      <c r="F299">
        <f>RTD("nest.scriprtd",,"nse_cm|93MOFSL34-N6","Ask Rate")</f>
        <v>1021</v>
      </c>
      <c r="G299">
        <f>RTD("nest.scriprtd",,"nse_cm|93MOFSL34-N6","Ask Qty")</f>
        <v>249</v>
      </c>
      <c r="H299">
        <f>RTD("nest.scriprtd",,"nse_cm|93MOFSL34-N6","LTP")</f>
        <v>1026</v>
      </c>
      <c r="I299" t="str">
        <f>RTD("nest.scriprtd",,"nse_cm|93MOFSL34-N6","LTT")</f>
        <v>09:36:46</v>
      </c>
      <c r="J299">
        <f>RTD("nest.scriprtd",,"nse_cm|93MOFSL34-N6","% Change")</f>
        <v>-0.1</v>
      </c>
      <c r="K299">
        <f>RTD("nest.scriprtd",,"nse_cm|93MOFSL34-N6","ATP")</f>
        <v>1026</v>
      </c>
      <c r="L299">
        <f>RTD("nest.scriprtd",,"nse_cm|93MOFSL34-N6","Volume Traded Today")</f>
        <v>1</v>
      </c>
      <c r="M299">
        <f>RTD("nest.scriprtd",,"nse_cm|93MOFSL34-N6","Open")</f>
        <v>1026</v>
      </c>
      <c r="N299">
        <f>RTD("nest.scriprtd",,"nse_cm|93MOFSL34-N6","High")</f>
        <v>1026</v>
      </c>
      <c r="O299">
        <f>RTD("nest.scriprtd",,"nse_cm|93MOFSL34-N6","Low ")</f>
        <v>1026</v>
      </c>
      <c r="P299">
        <f>RTD("nest.scriprtd",,"nse_cm|93MOFSL34-N6","Prev Close")</f>
        <v>1027</v>
      </c>
      <c r="Q299">
        <f>RTD("nest.scriprtd",,"nse_cm|93MOFSL34-N6","Face Value")</f>
        <v>1000</v>
      </c>
      <c r="R299" t="str">
        <f>RTD("nest.scriprtd",,"nse_cm|93MOFSL34-N6","Isin code")</f>
        <v>INE338I07115</v>
      </c>
      <c r="S299" s="9">
        <f>Table1[[#This Row],[Ask Rate]]*Table1[[#This Row],[Ask Qty]]</f>
        <v>254229</v>
      </c>
      <c r="T299">
        <f>VLOOKUP(Table1[[#This Row],[Isin code]],Table2[#All],7,FALSE)</f>
        <v>9.3000000000000007</v>
      </c>
      <c r="U299" s="17" t="str">
        <f>VLOOKUP(Table1[[#This Row],[Isin code]],Table2[#All],8,FALSE)</f>
        <v>09-May-2034</v>
      </c>
      <c r="V299" s="10">
        <f ca="1">Table1[[#This Row],[Maturity]]-TODAY()</f>
        <v>3492</v>
      </c>
      <c r="W299" t="str">
        <f>VLOOKUP(Table1[[#This Row],[Isin code]],Table2[#All],10,FALSE)</f>
        <v>Monthly</v>
      </c>
      <c r="X299">
        <f ca="1">_xlfn.DAYS(Table1[[#This Row],[Maturity]],TODAY())-15</f>
        <v>3477</v>
      </c>
      <c r="Y2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116</v>
      </c>
      <c r="Z299">
        <f>IF(Table1[[#This Row],[Ask Rate]]=0,0,Table1[[#This Row],[Face Value]]-Table1[[#This Row],[Ask Rate]])</f>
        <v>-21</v>
      </c>
      <c r="AA299">
        <f>IF(Table1[[#This Row],[Freq]]="Yearly",Table1[[#This Row],[Coupon_Rate]]/100,IF(Table1[[#This Row],[Freq]]="Monthly",Table1[[#This Row],[Coupon_Rate]]/1200,IF(Table1[[#This Row],[Freq]]="Quarterly",Table1[[#This Row],[Coupon_Rate]]/400,0)))</f>
        <v>7.7500000000000008E-3</v>
      </c>
      <c r="AB299">
        <f ca="1">Table1[[#This Row],[Face Value]]*Table1[[#This Row],[Rate]]*Table1[[#This Row],[Time]]</f>
        <v>899.00000000000011</v>
      </c>
      <c r="AC299">
        <f ca="1">Table1[[#This Row],[SI]]+Table1[[#This Row],[Disc/Prem]]</f>
        <v>878.00000000000011</v>
      </c>
      <c r="AD299" s="3">
        <f ca="1">Table1[[#This Row],[Net Gain]]/Table1[[#This Row],[Ask Rate]]</f>
        <v>0.85994123408423129</v>
      </c>
      <c r="AE299" s="3">
        <f ca="1">IF(Table1[[#This Row],[Ask Qty]]=0,0,Table1[[#This Row],[Gross Yield]]*365/Table1[[#This Row],[Days Left]])</f>
        <v>8.9885037354165073E-2</v>
      </c>
      <c r="AF299" s="9">
        <f ca="1">+Table1[[#This Row],[Net Gain]]*Table1[[#This Row],[Ask Qty]]</f>
        <v>218622.00000000003</v>
      </c>
      <c r="AG299" t="str">
        <f ca="1">IF(Table1[[#This Row],[YTM]]&gt;0.12,IF(Table1[[#This Row],[Gross Profit]]&gt;10000,"Invest","Review"),"Low YTM")</f>
        <v>Low YTM</v>
      </c>
    </row>
    <row r="300" spans="1:33" x14ac:dyDescent="0.3">
      <c r="A300" t="str">
        <f>RTD("nest.scriprtd",,"bse_cm|11DLSL25A","Symbol")</f>
        <v>11DLSL25A</v>
      </c>
      <c r="B300" t="str">
        <f>RTD("nest.scriprtd",,"bse_cm|11DLSL25A","Trading Symbol")</f>
        <v>11DLSL25A</v>
      </c>
      <c r="C300" t="str">
        <f>RTD("nest.scriprtd",,"bse_cm|11DLSL25A","Exchange")</f>
        <v>BSE</v>
      </c>
      <c r="D300">
        <f>RTD("nest.scriprtd",,"bse_cm|11DLSL25A","Bid Qty")</f>
        <v>45</v>
      </c>
      <c r="E300">
        <f>RTD("nest.scriprtd",,"bse_cm|11DLSL25A","Bid Rate")</f>
        <v>950</v>
      </c>
      <c r="F300">
        <f>RTD("nest.scriprtd",,"bse_cm|11DLSL25A","Ask Rate")</f>
        <v>1050</v>
      </c>
      <c r="G300">
        <f>RTD("nest.scriprtd",,"bse_cm|11DLSL25A","Ask Qty")</f>
        <v>44</v>
      </c>
      <c r="H300">
        <f>RTD("nest.scriprtd",,"bse_cm|11DLSL25A","LTP")</f>
        <v>0</v>
      </c>
      <c r="I300" t="str">
        <f>RTD("nest.scriprtd",,"bse_cm|11DLSL25A","LTT")</f>
        <v>00:00:00</v>
      </c>
      <c r="J300">
        <f>RTD("nest.scriprtd",,"bse_cm|11DLSL25A","% Change")</f>
        <v>-100</v>
      </c>
      <c r="K300">
        <f>RTD("nest.scriprtd",,"bse_cm|11DLSL25A","ATP")</f>
        <v>0</v>
      </c>
      <c r="L300">
        <f>RTD("nest.scriprtd",,"bse_cm|11DLSL25A","Volume Traded Today")</f>
        <v>0</v>
      </c>
      <c r="M300">
        <f>RTD("nest.scriprtd",,"bse_cm|11DLSL25A","Open")</f>
        <v>0</v>
      </c>
      <c r="N300">
        <f>RTD("nest.scriprtd",,"bse_cm|11DLSL25A","High")</f>
        <v>1015</v>
      </c>
      <c r="O300">
        <f>RTD("nest.scriprtd",,"bse_cm|11DLSL25A","Low ")</f>
        <v>1014</v>
      </c>
      <c r="P300">
        <f>RTD("nest.scriprtd",,"bse_cm|11DLSL25A","Prev Close")</f>
        <v>1015</v>
      </c>
      <c r="Q300">
        <f>RTD("nest.scriprtd",,"bse_cm|11DLSL25A","Face Value")</f>
        <v>1000</v>
      </c>
      <c r="R300" t="str">
        <f>RTD("nest.scriprtd",,"bse_cm|11DLSL25A","Isin code")</f>
        <v>INE614X07449</v>
      </c>
      <c r="S300" s="9">
        <f>Table1[[#This Row],[Ask Rate]]*Table1[[#This Row],[Ask Qty]]</f>
        <v>46200</v>
      </c>
      <c r="T300">
        <f>VLOOKUP(Table1[[#This Row],[Isin code]],Table2[#All],7,FALSE)</f>
        <v>11</v>
      </c>
      <c r="U300" s="17" t="str">
        <f>VLOOKUP(Table1[[#This Row],[Isin code]],Table2[#All],8,FALSE)</f>
        <v>16-May-2025</v>
      </c>
      <c r="V300" s="10">
        <f ca="1">Table1[[#This Row],[Maturity]]-TODAY()</f>
        <v>212</v>
      </c>
      <c r="W300" t="str">
        <f>VLOOKUP(Table1[[#This Row],[Isin code]],Table2[#All],10,FALSE)</f>
        <v>Yearly</v>
      </c>
      <c r="X300">
        <f ca="1">_xlfn.DAYS(Table1[[#This Row],[Maturity]],TODAY())-15</f>
        <v>197</v>
      </c>
      <c r="Y3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300">
        <f>IF(Table1[[#This Row],[Ask Rate]]=0,0,Table1[[#This Row],[Face Value]]-Table1[[#This Row],[Ask Rate]])</f>
        <v>-50</v>
      </c>
      <c r="AA300">
        <f>IF(Table1[[#This Row],[Freq]]="Yearly",Table1[[#This Row],[Coupon_Rate]]/100,IF(Table1[[#This Row],[Freq]]="Monthly",Table1[[#This Row],[Coupon_Rate]]/1200,IF(Table1[[#This Row],[Freq]]="Quarterly",Table1[[#This Row],[Coupon_Rate]]/400,0)))</f>
        <v>0.11</v>
      </c>
      <c r="AB300">
        <f ca="1">Table1[[#This Row],[Face Value]]*Table1[[#This Row],[Rate]]*Table1[[#This Row],[Time]]</f>
        <v>110</v>
      </c>
      <c r="AC300">
        <f ca="1">Table1[[#This Row],[SI]]+Table1[[#This Row],[Disc/Prem]]</f>
        <v>60</v>
      </c>
      <c r="AD300" s="3">
        <f ca="1">Table1[[#This Row],[Net Gain]]/Table1[[#This Row],[Ask Rate]]</f>
        <v>5.7142857142857141E-2</v>
      </c>
      <c r="AE300" s="3">
        <f ca="1">IF(Table1[[#This Row],[Ask Qty]]=0,0,Table1[[#This Row],[Gross Yield]]*365/Table1[[#This Row],[Days Left]])</f>
        <v>9.838274932614556E-2</v>
      </c>
      <c r="AF300" s="9">
        <f ca="1">+Table1[[#This Row],[Net Gain]]*Table1[[#This Row],[Ask Qty]]</f>
        <v>2640</v>
      </c>
      <c r="AG300" t="str">
        <f ca="1">IF(Table1[[#This Row],[YTM]]&gt;0.12,IF(Table1[[#This Row],[Gross Profit]]&gt;10000,"Invest","Review"),"Low YTM")</f>
        <v>Low YTM</v>
      </c>
    </row>
    <row r="301" spans="1:33" x14ac:dyDescent="0.3">
      <c r="A301" t="str">
        <f>RTD("nest.scriprtd",,"bse_cm|9PCHFL31A","Symbol")</f>
        <v>9PCHFL31A</v>
      </c>
      <c r="B301" t="str">
        <f>RTD("nest.scriprtd",,"bse_cm|9PCHFL31A","Trading Symbol")</f>
        <v>9PCHFL31A</v>
      </c>
      <c r="C301" t="str">
        <f>RTD("nest.scriprtd",,"bse_cm|9PCHFL31A","Exchange")</f>
        <v>BSE</v>
      </c>
      <c r="D301">
        <f>RTD("nest.scriprtd",,"bse_cm|9PCHFL31A","Bid Qty")</f>
        <v>10</v>
      </c>
      <c r="E301">
        <f>RTD("nest.scriprtd",,"bse_cm|9PCHFL31A","Bid Rate")</f>
        <v>1009</v>
      </c>
      <c r="F301">
        <f>RTD("nest.scriprtd",,"bse_cm|9PCHFL31A","Ask Rate")</f>
        <v>1014.9</v>
      </c>
      <c r="G301">
        <f>RTD("nest.scriprtd",,"bse_cm|9PCHFL31A","Ask Qty")</f>
        <v>50</v>
      </c>
      <c r="H301">
        <f>RTD("nest.scriprtd",,"bse_cm|9PCHFL31A","LTP")</f>
        <v>1008.8</v>
      </c>
      <c r="I301" t="str">
        <f>RTD("nest.scriprtd",,"bse_cm|9PCHFL31A","LTT")</f>
        <v>10:16:42</v>
      </c>
      <c r="J301">
        <f>RTD("nest.scriprtd",,"bse_cm|9PCHFL31A","% Change")</f>
        <v>0.88</v>
      </c>
      <c r="K301">
        <f>RTD("nest.scriprtd",,"bse_cm|9PCHFL31A","ATP")</f>
        <v>1009</v>
      </c>
      <c r="L301">
        <f>RTD("nest.scriprtd",,"bse_cm|9PCHFL31A","Volume Traded Today")</f>
        <v>110</v>
      </c>
      <c r="M301">
        <f>RTD("nest.scriprtd",,"bse_cm|9PCHFL31A","Open")</f>
        <v>1009</v>
      </c>
      <c r="N301">
        <f>RTD("nest.scriprtd",,"bse_cm|9PCHFL31A","High")</f>
        <v>1009</v>
      </c>
      <c r="O301">
        <f>RTD("nest.scriprtd",,"bse_cm|9PCHFL31A","Low ")</f>
        <v>1008.75</v>
      </c>
      <c r="P301">
        <f>RTD("nest.scriprtd",,"bse_cm|9PCHFL31A","Prev Close")</f>
        <v>1000</v>
      </c>
      <c r="Q301">
        <f>RTD("nest.scriprtd",,"bse_cm|9PCHFL31A","Face Value")</f>
        <v>1000</v>
      </c>
      <c r="R301" t="str">
        <f>RTD("nest.scriprtd",,"bse_cm|9PCHFL31A","Isin code")</f>
        <v>INE516Y07428</v>
      </c>
      <c r="S301" s="9">
        <f>Table1[[#This Row],[Ask Rate]]*Table1[[#This Row],[Ask Qty]]</f>
        <v>50745</v>
      </c>
      <c r="T301">
        <f>VLOOKUP(Table1[[#This Row],[Isin code]],Table2[#All],7,FALSE)</f>
        <v>9</v>
      </c>
      <c r="U301" s="17" t="str">
        <f>VLOOKUP(Table1[[#This Row],[Isin code]],Table2[#All],8,FALSE)</f>
        <v>23-Jul-2031</v>
      </c>
      <c r="V301" s="10">
        <f ca="1">Table1[[#This Row],[Maturity]]-TODAY()</f>
        <v>2471</v>
      </c>
      <c r="W301" t="str">
        <f>VLOOKUP(Table1[[#This Row],[Isin code]],Table2[#All],10,FALSE)</f>
        <v>Yearly</v>
      </c>
      <c r="X301">
        <f ca="1">_xlfn.DAYS(Table1[[#This Row],[Maturity]],TODAY())-15</f>
        <v>2456</v>
      </c>
      <c r="Y30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301">
        <f>IF(Table1[[#This Row],[Ask Rate]]=0,0,Table1[[#This Row],[Face Value]]-Table1[[#This Row],[Ask Rate]])</f>
        <v>-14.899999999999977</v>
      </c>
      <c r="AA301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301">
        <f ca="1">Table1[[#This Row],[Face Value]]*Table1[[#This Row],[Rate]]*Table1[[#This Row],[Time]]</f>
        <v>630</v>
      </c>
      <c r="AC301">
        <f ca="1">Table1[[#This Row],[SI]]+Table1[[#This Row],[Disc/Prem]]</f>
        <v>615.1</v>
      </c>
      <c r="AD301" s="3">
        <f ca="1">Table1[[#This Row],[Net Gain]]/Table1[[#This Row],[Ask Rate]]</f>
        <v>0.60606956350379348</v>
      </c>
      <c r="AE301" s="3">
        <f ca="1">IF(Table1[[#This Row],[Ask Qty]]=0,0,Table1[[#This Row],[Gross Yield]]*365/Table1[[#This Row],[Days Left]])</f>
        <v>8.952464212014756E-2</v>
      </c>
      <c r="AF301" s="9">
        <f ca="1">+Table1[[#This Row],[Net Gain]]*Table1[[#This Row],[Ask Qty]]</f>
        <v>30755</v>
      </c>
      <c r="AG301" t="str">
        <f ca="1">IF(Table1[[#This Row],[YTM]]&gt;0.12,IF(Table1[[#This Row],[Gross Profit]]&gt;10000,"Invest","Review"),"Low YTM")</f>
        <v>Low YTM</v>
      </c>
    </row>
    <row r="302" spans="1:33" x14ac:dyDescent="0.3">
      <c r="A302" t="str">
        <f>RTD("nest.scriprtd",,"nse_cm|849NTPC25-N7","Symbol")</f>
        <v>849NTPC25</v>
      </c>
      <c r="B302" t="str">
        <f>RTD("nest.scriprtd",,"nse_cm|849NTPC25-N7","Trading Symbol")</f>
        <v>849NTPC25-N7</v>
      </c>
      <c r="C302" t="str">
        <f>RTD("nest.scriprtd",,"nse_cm|849NTPC25-N7","Exchange")</f>
        <v>NSE</v>
      </c>
      <c r="D302">
        <f>RTD("nest.scriprtd",,"nse_cm|849NTPC25-N7","Bid Qty")</f>
        <v>1132</v>
      </c>
      <c r="E302">
        <f>RTD("nest.scriprtd",,"nse_cm|849NTPC25-N7","Bid Rate")</f>
        <v>5.21</v>
      </c>
      <c r="F302">
        <f>RTD("nest.scriprtd",,"nse_cm|849NTPC25-N7","Ask Rate")</f>
        <v>5.22</v>
      </c>
      <c r="G302">
        <f>RTD("nest.scriprtd",,"nse_cm|849NTPC25-N7","Ask Qty")</f>
        <v>164</v>
      </c>
      <c r="H302">
        <f>RTD("nest.scriprtd",,"nse_cm|849NTPC25-N7","LTP")</f>
        <v>5.21</v>
      </c>
      <c r="I302" t="str">
        <f>RTD("nest.scriprtd",,"nse_cm|849NTPC25-N7","LTT")</f>
        <v>15:13:03</v>
      </c>
      <c r="J302">
        <f>RTD("nest.scriprtd",,"nse_cm|849NTPC25-N7","% Change")</f>
        <v>-0.56999999999999995</v>
      </c>
      <c r="K302">
        <f>RTD("nest.scriprtd",,"nse_cm|849NTPC25-N7","ATP")</f>
        <v>5.21</v>
      </c>
      <c r="L302">
        <f>RTD("nest.scriprtd",,"nse_cm|849NTPC25-N7","Volume Traded Today")</f>
        <v>32123</v>
      </c>
      <c r="M302">
        <f>RTD("nest.scriprtd",,"nse_cm|849NTPC25-N7","Open")</f>
        <v>5.24</v>
      </c>
      <c r="N302">
        <f>RTD("nest.scriprtd",,"nse_cm|849NTPC25-N7","High")</f>
        <v>5.25</v>
      </c>
      <c r="O302">
        <f>RTD("nest.scriprtd",,"nse_cm|849NTPC25-N7","Low ")</f>
        <v>5.2</v>
      </c>
      <c r="P302">
        <f>RTD("nest.scriprtd",,"nse_cm|849NTPC25-N7","Prev Close")</f>
        <v>5.24</v>
      </c>
      <c r="Q302">
        <f>RTD("nest.scriprtd",,"nse_cm|849NTPC25-N7","Face Value")</f>
        <v>5</v>
      </c>
      <c r="R302" t="str">
        <f>RTD("nest.scriprtd",,"nse_cm|849NTPC25-N7","Isin code")</f>
        <v>INE733E07JP6</v>
      </c>
      <c r="S302" s="9">
        <f>Table1[[#This Row],[Ask Rate]]*Table1[[#This Row],[Ask Qty]]</f>
        <v>856.07999999999993</v>
      </c>
      <c r="T302">
        <f>VLOOKUP(Table1[[#This Row],[Isin code]],Table2[#All],7,FALSE)</f>
        <v>8.49</v>
      </c>
      <c r="U302" s="17" t="str">
        <f>VLOOKUP(Table1[[#This Row],[Isin code]],Table2[#All],8,FALSE)</f>
        <v>25-Mar-2025</v>
      </c>
      <c r="V302" s="10">
        <f ca="1">Table1[[#This Row],[Maturity]]-TODAY()</f>
        <v>160</v>
      </c>
      <c r="W302" t="str">
        <f>VLOOKUP(Table1[[#This Row],[Isin code]],Table2[#All],10,FALSE)</f>
        <v>Yearly</v>
      </c>
      <c r="X302">
        <f ca="1">_xlfn.DAYS(Table1[[#This Row],[Maturity]],TODAY())-15</f>
        <v>145</v>
      </c>
      <c r="Y3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302">
        <f>IF(Table1[[#This Row],[Ask Rate]]=0,0,Table1[[#This Row],[Face Value]]-Table1[[#This Row],[Ask Rate]])</f>
        <v>-0.21999999999999975</v>
      </c>
      <c r="AA302">
        <f>IF(Table1[[#This Row],[Freq]]="Yearly",Table1[[#This Row],[Coupon_Rate]]/100,IF(Table1[[#This Row],[Freq]]="Monthly",Table1[[#This Row],[Coupon_Rate]]/1200,IF(Table1[[#This Row],[Freq]]="Quarterly",Table1[[#This Row],[Coupon_Rate]]/400,0)))</f>
        <v>8.4900000000000003E-2</v>
      </c>
      <c r="AB302">
        <f ca="1">Table1[[#This Row],[Face Value]]*Table1[[#This Row],[Rate]]*Table1[[#This Row],[Time]]</f>
        <v>0.42449999999999999</v>
      </c>
      <c r="AC302">
        <f ca="1">Table1[[#This Row],[SI]]+Table1[[#This Row],[Disc/Prem]]</f>
        <v>0.20450000000000024</v>
      </c>
      <c r="AD302" s="3">
        <f ca="1">Table1[[#This Row],[Net Gain]]/Table1[[#This Row],[Ask Rate]]</f>
        <v>3.9176245210728017E-2</v>
      </c>
      <c r="AE302" s="3">
        <f ca="1">IF(Table1[[#This Row],[Ask Qty]]=0,0,Table1[[#This Row],[Gross Yield]]*365/Table1[[#This Row],[Days Left]])</f>
        <v>8.9370809386973296E-2</v>
      </c>
      <c r="AF302" s="9">
        <f ca="1">+Table1[[#This Row],[Net Gain]]*Table1[[#This Row],[Ask Qty]]</f>
        <v>33.538000000000039</v>
      </c>
      <c r="AG302" t="str">
        <f ca="1">IF(Table1[[#This Row],[YTM]]&gt;0.12,IF(Table1[[#This Row],[Gross Profit]]&gt;10000,"Invest","Review"),"Low YTM")</f>
        <v>Low YTM</v>
      </c>
    </row>
    <row r="303" spans="1:33" x14ac:dyDescent="0.3">
      <c r="A303" t="str">
        <f>RTD("nest.scriprtd",,"bse_cm|975MFCL28E","Symbol")</f>
        <v>975MFCL28E</v>
      </c>
      <c r="B303" t="str">
        <f>RTD("nest.scriprtd",,"bse_cm|975MFCL28E","Trading Symbol")</f>
        <v>975MFCL28E</v>
      </c>
      <c r="C303" t="str">
        <f>RTD("nest.scriprtd",,"bse_cm|975MFCL28E","Exchange")</f>
        <v>BSE</v>
      </c>
      <c r="D303">
        <f>RTD("nest.scriprtd",,"bse_cm|975MFCL28E","Bid Qty")</f>
        <v>100</v>
      </c>
      <c r="E303">
        <f>RTD("nest.scriprtd",,"bse_cm|975MFCL28E","Bid Rate")</f>
        <v>950</v>
      </c>
      <c r="F303">
        <f>RTD("nest.scriprtd",,"bse_cm|975MFCL28E","Ask Rate")</f>
        <v>1025</v>
      </c>
      <c r="G303">
        <f>RTD("nest.scriprtd",,"bse_cm|975MFCL28E","Ask Qty")</f>
        <v>99</v>
      </c>
      <c r="H303">
        <f>RTD("nest.scriprtd",,"bse_cm|975MFCL28E","LTP")</f>
        <v>0</v>
      </c>
      <c r="I303" t="str">
        <f>RTD("nest.scriprtd",,"bse_cm|975MFCL28E","LTT")</f>
        <v>00:00:00</v>
      </c>
      <c r="J303">
        <f>RTD("nest.scriprtd",,"bse_cm|975MFCL28E","% Change")</f>
        <v>-100</v>
      </c>
      <c r="K303">
        <f>RTD("nest.scriprtd",,"bse_cm|975MFCL28E","ATP")</f>
        <v>0</v>
      </c>
      <c r="L303">
        <f>RTD("nest.scriprtd",,"bse_cm|975MFCL28E","Volume Traded Today")</f>
        <v>0</v>
      </c>
      <c r="M303">
        <f>RTD("nest.scriprtd",,"bse_cm|975MFCL28E","Open")</f>
        <v>0</v>
      </c>
      <c r="N303">
        <f>RTD("nest.scriprtd",,"bse_cm|975MFCL28E","High")</f>
        <v>990</v>
      </c>
      <c r="O303">
        <f>RTD("nest.scriprtd",,"bse_cm|975MFCL28E","Low ")</f>
        <v>990</v>
      </c>
      <c r="P303">
        <f>RTD("nest.scriprtd",,"bse_cm|975MFCL28E","Prev Close")</f>
        <v>990</v>
      </c>
      <c r="Q303">
        <f>RTD("nest.scriprtd",,"bse_cm|975MFCL28E","Face Value")</f>
        <v>1000</v>
      </c>
      <c r="R303" t="str">
        <f>RTD("nest.scriprtd",,"bse_cm|975MFCL28E","Isin code")</f>
        <v>INE549K08244</v>
      </c>
      <c r="S303" s="9">
        <f>Table1[[#This Row],[Ask Rate]]*Table1[[#This Row],[Ask Qty]]</f>
        <v>101475</v>
      </c>
      <c r="T303">
        <f>VLOOKUP(Table1[[#This Row],[Isin code]],Table2[#All],7,FALSE)</f>
        <v>9.75</v>
      </c>
      <c r="U303" s="17" t="str">
        <f>VLOOKUP(Table1[[#This Row],[Isin code]],Table2[#All],8,FALSE)</f>
        <v>07-Aug-2028</v>
      </c>
      <c r="V303" s="10">
        <f ca="1">Table1[[#This Row],[Maturity]]-TODAY()</f>
        <v>1391</v>
      </c>
      <c r="W303" t="str">
        <f>VLOOKUP(Table1[[#This Row],[Isin code]],Table2[#All],10,FALSE)</f>
        <v>Monthly</v>
      </c>
      <c r="X303">
        <f ca="1">_xlfn.DAYS(Table1[[#This Row],[Maturity]],TODAY())-15</f>
        <v>1376</v>
      </c>
      <c r="Y3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303">
        <f>IF(Table1[[#This Row],[Ask Rate]]=0,0,Table1[[#This Row],[Face Value]]-Table1[[#This Row],[Ask Rate]])</f>
        <v>-25</v>
      </c>
      <c r="AA303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303">
        <f ca="1">Table1[[#This Row],[Face Value]]*Table1[[#This Row],[Rate]]*Table1[[#This Row],[Time]]</f>
        <v>373.75</v>
      </c>
      <c r="AC303">
        <f ca="1">Table1[[#This Row],[SI]]+Table1[[#This Row],[Disc/Prem]]</f>
        <v>348.75</v>
      </c>
      <c r="AD303" s="3">
        <f ca="1">Table1[[#This Row],[Net Gain]]/Table1[[#This Row],[Ask Rate]]</f>
        <v>0.34024390243902441</v>
      </c>
      <c r="AE303" s="3">
        <f ca="1">IF(Table1[[#This Row],[Ask Qty]]=0,0,Table1[[#This Row],[Gross Yield]]*365/Table1[[#This Row],[Days Left]])</f>
        <v>8.9280391366099152E-2</v>
      </c>
      <c r="AF303" s="9">
        <f ca="1">+Table1[[#This Row],[Net Gain]]*Table1[[#This Row],[Ask Qty]]</f>
        <v>34526.25</v>
      </c>
      <c r="AG303" t="str">
        <f ca="1">IF(Table1[[#This Row],[YTM]]&gt;0.12,IF(Table1[[#This Row],[Gross Profit]]&gt;10000,"Invest","Review"),"Low YTM")</f>
        <v>Low YTM</v>
      </c>
    </row>
    <row r="304" spans="1:33" hidden="1" x14ac:dyDescent="0.3">
      <c r="A304" t="str">
        <f>RTD("nest.scriprtd",,"bse_cm|950MML24","Symbol")</f>
        <v>950MML24</v>
      </c>
      <c r="B304" t="str">
        <f>RTD("nest.scriprtd",,"bse_cm|950MML24","Trading Symbol")</f>
        <v>950MML24</v>
      </c>
      <c r="C304" t="str">
        <f>RTD("nest.scriprtd",,"bse_cm|950MML24","Exchange")</f>
        <v>BSE</v>
      </c>
      <c r="D304">
        <f>RTD("nest.scriprtd",,"bse_cm|950MML24","Bid Qty")</f>
        <v>15</v>
      </c>
      <c r="E304">
        <f>RTD("nest.scriprtd",,"bse_cm|950MML24","Bid Rate")</f>
        <v>973.95</v>
      </c>
      <c r="F304">
        <f>RTD("nest.scriprtd",,"bse_cm|950MML24","Ask Rate")</f>
        <v>999.99</v>
      </c>
      <c r="G304">
        <f>RTD("nest.scriprtd",,"bse_cm|950MML24","Ask Qty")</f>
        <v>10</v>
      </c>
      <c r="H304">
        <f>RTD("nest.scriprtd",,"bse_cm|950MML24","LTP")</f>
        <v>0</v>
      </c>
      <c r="I304" t="str">
        <f>RTD("nest.scriprtd",,"bse_cm|950MML24","LTT")</f>
        <v>00:00:00</v>
      </c>
      <c r="J304">
        <f>RTD("nest.scriprtd",,"bse_cm|950MML24","% Change")</f>
        <v>-100</v>
      </c>
      <c r="K304">
        <f>RTD("nest.scriprtd",,"bse_cm|950MML24","ATP")</f>
        <v>0</v>
      </c>
      <c r="L304">
        <f>RTD("nest.scriprtd",,"bse_cm|950MML24","Volume Traded Today")</f>
        <v>0</v>
      </c>
      <c r="M304">
        <f>RTD("nest.scriprtd",,"bse_cm|950MML24","Open")</f>
        <v>0</v>
      </c>
      <c r="N304">
        <f>RTD("nest.scriprtd",,"bse_cm|950MML24","High")</f>
        <v>990</v>
      </c>
      <c r="O304">
        <f>RTD("nest.scriprtd",,"bse_cm|950MML24","Low ")</f>
        <v>975</v>
      </c>
      <c r="P304">
        <f>RTD("nest.scriprtd",,"bse_cm|950MML24","Prev Close")</f>
        <v>990</v>
      </c>
      <c r="Q304">
        <f>RTD("nest.scriprtd",,"bse_cm|950MML24","Face Value")</f>
        <v>1000</v>
      </c>
      <c r="R304" t="str">
        <f>RTD("nest.scriprtd",,"bse_cm|950MML24","Isin code")</f>
        <v>INE05F407BD2</v>
      </c>
      <c r="S304" s="9">
        <f>Table1[[#This Row],[Ask Rate]]*Table1[[#This Row],[Ask Qty]]</f>
        <v>9999.9</v>
      </c>
      <c r="T304">
        <f>VLOOKUP(Table1[[#This Row],[Isin code]],Table2[#All],7,FALSE)</f>
        <v>9.5</v>
      </c>
      <c r="U304" s="17" t="str">
        <f>VLOOKUP(Table1[[#This Row],[Isin code]],Table2[#All],8,FALSE)</f>
        <v>20-Dec-2024</v>
      </c>
      <c r="V304" s="10">
        <f ca="1">Table1[[#This Row],[Maturity]]-TODAY()</f>
        <v>65</v>
      </c>
      <c r="W304" t="str">
        <f>VLOOKUP(Table1[[#This Row],[Isin code]],Table2[#All],10,FALSE)</f>
        <v>Monthly</v>
      </c>
      <c r="X304">
        <f ca="1">_xlfn.DAYS(Table1[[#This Row],[Maturity]],TODAY())-15</f>
        <v>50</v>
      </c>
      <c r="Y3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04">
        <f>IF(Table1[[#This Row],[Ask Rate]]=0,0,Table1[[#This Row],[Face Value]]-Table1[[#This Row],[Ask Rate]])</f>
        <v>9.9999999999909051E-3</v>
      </c>
      <c r="AA304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304">
        <f ca="1">Table1[[#This Row],[Face Value]]*Table1[[#This Row],[Rate]]*Table1[[#This Row],[Time]]</f>
        <v>15.833333333333334</v>
      </c>
      <c r="AC304">
        <f ca="1">Table1[[#This Row],[SI]]+Table1[[#This Row],[Disc/Prem]]</f>
        <v>15.843333333333325</v>
      </c>
      <c r="AD304" s="3">
        <f ca="1">Table1[[#This Row],[Net Gain]]/Table1[[#This Row],[Ask Rate]]</f>
        <v>1.5843491768251006E-2</v>
      </c>
      <c r="AE304" s="3">
        <f ca="1">IF(Table1[[#This Row],[Ask Qty]]=0,0,Table1[[#This Row],[Gross Yield]]*365/Table1[[#This Row],[Days Left]])</f>
        <v>8.8967299929409493E-2</v>
      </c>
      <c r="AF304" s="9">
        <f ca="1">+Table1[[#This Row],[Net Gain]]*Table1[[#This Row],[Ask Qty]]</f>
        <v>158.43333333333325</v>
      </c>
      <c r="AG304" t="str">
        <f ca="1">IF(Table1[[#This Row],[YTM]]&gt;0.12,IF(Table1[[#This Row],[Gross Profit]]&gt;10000,"Invest","Review"),"Low YTM")</f>
        <v>Low YTM</v>
      </c>
    </row>
    <row r="305" spans="1:33" x14ac:dyDescent="0.3">
      <c r="A305" t="str">
        <f>RTD("nest.scriprtd",,"nse_cm|960CAGL25-N3","Symbol")</f>
        <v>960CAGL25</v>
      </c>
      <c r="B305" t="str">
        <f>RTD("nest.scriprtd",,"nse_cm|960CAGL25-N3","Trading Symbol")</f>
        <v>960CAGL25-N3</v>
      </c>
      <c r="C305" t="str">
        <f>RTD("nest.scriprtd",,"nse_cm|960CAGL25-N3","Exchange")</f>
        <v>NSE</v>
      </c>
      <c r="D305">
        <f>RTD("nest.scriprtd",,"nse_cm|960CAGL25-N3","Bid Qty")</f>
        <v>350</v>
      </c>
      <c r="E305">
        <f>RTD("nest.scriprtd",,"nse_cm|960CAGL25-N3","Bid Rate")</f>
        <v>966</v>
      </c>
      <c r="F305">
        <f>RTD("nest.scriprtd",,"nse_cm|960CAGL25-N3","Ask Rate")</f>
        <v>1005</v>
      </c>
      <c r="G305">
        <f>RTD("nest.scriprtd",,"nse_cm|960CAGL25-N3","Ask Qty")</f>
        <v>150</v>
      </c>
      <c r="H305">
        <f>RTD("nest.scriprtd",,"nse_cm|960CAGL25-N3","LTP")</f>
        <v>1003</v>
      </c>
      <c r="I305" t="str">
        <f>RTD("nest.scriprtd",,"nse_cm|960CAGL25-N3","LTT")</f>
        <v/>
      </c>
      <c r="J305">
        <f>RTD("nest.scriprtd",,"nse_cm|960CAGL25-N3","% Change")</f>
        <v>0</v>
      </c>
      <c r="K305">
        <f>RTD("nest.scriprtd",,"nse_cm|960CAGL25-N3","ATP")</f>
        <v>0</v>
      </c>
      <c r="L305">
        <f>RTD("nest.scriprtd",,"nse_cm|960CAGL25-N3","Volume Traded Today")</f>
        <v>0</v>
      </c>
      <c r="M305">
        <f>RTD("nest.scriprtd",,"nse_cm|960CAGL25-N3","Open")</f>
        <v>0</v>
      </c>
      <c r="N305">
        <f>RTD("nest.scriprtd",,"nse_cm|960CAGL25-N3","High")</f>
        <v>1003</v>
      </c>
      <c r="O305">
        <f>RTD("nest.scriprtd",,"nse_cm|960CAGL25-N3","Low ")</f>
        <v>999</v>
      </c>
      <c r="P305">
        <f>RTD("nest.scriprtd",,"nse_cm|960CAGL25-N3","Prev Close")</f>
        <v>1003</v>
      </c>
      <c r="Q305">
        <f>RTD("nest.scriprtd",,"nse_cm|960CAGL25-N3","Face Value")</f>
        <v>1000</v>
      </c>
      <c r="R305" t="str">
        <f>RTD("nest.scriprtd",,"nse_cm|960CAGL25-N3","Isin code")</f>
        <v>INE741K07470</v>
      </c>
      <c r="S305" s="9">
        <f>Table1[[#This Row],[Ask Rate]]*Table1[[#This Row],[Ask Qty]]</f>
        <v>150750</v>
      </c>
      <c r="T305">
        <f>VLOOKUP(Table1[[#This Row],[Isin code]],Table2[#All],7,FALSE)</f>
        <v>9.6</v>
      </c>
      <c r="U305" s="17" t="str">
        <f>VLOOKUP(Table1[[#This Row],[Isin code]],Table2[#All],8,FALSE)</f>
        <v>23-Nov-2025</v>
      </c>
      <c r="V305" s="10">
        <f ca="1">Table1[[#This Row],[Maturity]]-TODAY()</f>
        <v>403</v>
      </c>
      <c r="W305" t="str">
        <f>VLOOKUP(Table1[[#This Row],[Isin code]],Table2[#All],10,FALSE)</f>
        <v>Monthly</v>
      </c>
      <c r="X305">
        <f ca="1">_xlfn.DAYS(Table1[[#This Row],[Maturity]],TODAY())-15</f>
        <v>388</v>
      </c>
      <c r="Y3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305">
        <f>IF(Table1[[#This Row],[Ask Rate]]=0,0,Table1[[#This Row],[Face Value]]-Table1[[#This Row],[Ask Rate]])</f>
        <v>-5</v>
      </c>
      <c r="AA305">
        <f>IF(Table1[[#This Row],[Freq]]="Yearly",Table1[[#This Row],[Coupon_Rate]]/100,IF(Table1[[#This Row],[Freq]]="Monthly",Table1[[#This Row],[Coupon_Rate]]/1200,IF(Table1[[#This Row],[Freq]]="Quarterly",Table1[[#This Row],[Coupon_Rate]]/400,0)))</f>
        <v>8.0000000000000002E-3</v>
      </c>
      <c r="AB305">
        <f ca="1">Table1[[#This Row],[Face Value]]*Table1[[#This Row],[Rate]]*Table1[[#This Row],[Time]]</f>
        <v>104</v>
      </c>
      <c r="AC305">
        <f ca="1">Table1[[#This Row],[SI]]+Table1[[#This Row],[Disc/Prem]]</f>
        <v>99</v>
      </c>
      <c r="AD305" s="3">
        <f ca="1">Table1[[#This Row],[Net Gain]]/Table1[[#This Row],[Ask Rate]]</f>
        <v>9.8507462686567168E-2</v>
      </c>
      <c r="AE305" s="3">
        <f ca="1">IF(Table1[[#This Row],[Ask Qty]]=0,0,Table1[[#This Row],[Gross Yield]]*365/Table1[[#This Row],[Days Left]])</f>
        <v>8.9218917817858609E-2</v>
      </c>
      <c r="AF305" s="9">
        <f ca="1">+Table1[[#This Row],[Net Gain]]*Table1[[#This Row],[Ask Qty]]</f>
        <v>14850</v>
      </c>
      <c r="AG305" t="str">
        <f ca="1">IF(Table1[[#This Row],[YTM]]&gt;0.12,IF(Table1[[#This Row],[Gross Profit]]&gt;10000,"Invest","Review"),"Low YTM")</f>
        <v>Low YTM</v>
      </c>
    </row>
    <row r="306" spans="1:33" x14ac:dyDescent="0.3">
      <c r="A306" t="str">
        <f>RTD("nest.scriprtd",,"nse_cm|970CAGL28-ND","Symbol")</f>
        <v>970CAGL28</v>
      </c>
      <c r="B306" t="str">
        <f>RTD("nest.scriprtd",,"nse_cm|970CAGL28-ND","Trading Symbol")</f>
        <v>970CAGL28-ND</v>
      </c>
      <c r="C306" t="str">
        <f>RTD("nest.scriprtd",,"nse_cm|970CAGL28-ND","Exchange")</f>
        <v>NSE</v>
      </c>
      <c r="D306">
        <f>RTD("nest.scriprtd",,"nse_cm|970CAGL28-ND","Bid Qty")</f>
        <v>1000</v>
      </c>
      <c r="E306">
        <f>RTD("nest.scriprtd",,"nse_cm|970CAGL28-ND","Bid Rate")</f>
        <v>1011.45</v>
      </c>
      <c r="F306">
        <f>RTD("nest.scriprtd",,"nse_cm|970CAGL28-ND","Ask Rate")</f>
        <v>1024</v>
      </c>
      <c r="G306">
        <f>RTD("nest.scriprtd",,"nse_cm|970CAGL28-ND","Ask Qty")</f>
        <v>258</v>
      </c>
      <c r="H306">
        <f>RTD("nest.scriprtd",,"nse_cm|970CAGL28-ND","LTP")</f>
        <v>1024</v>
      </c>
      <c r="I306" t="str">
        <f>RTD("nest.scriprtd",,"nse_cm|970CAGL28-ND","LTT")</f>
        <v>10:11:59</v>
      </c>
      <c r="J306">
        <f>RTD("nest.scriprtd",,"nse_cm|970CAGL28-ND","% Change")</f>
        <v>0.39</v>
      </c>
      <c r="K306">
        <f>RTD("nest.scriprtd",,"nse_cm|970CAGL28-ND","ATP")</f>
        <v>1024</v>
      </c>
      <c r="L306">
        <f>RTD("nest.scriprtd",,"nse_cm|970CAGL28-ND","Volume Traded Today")</f>
        <v>50</v>
      </c>
      <c r="M306">
        <f>RTD("nest.scriprtd",,"nse_cm|970CAGL28-ND","Open")</f>
        <v>1024</v>
      </c>
      <c r="N306">
        <f>RTD("nest.scriprtd",,"nse_cm|970CAGL28-ND","High")</f>
        <v>1024</v>
      </c>
      <c r="O306">
        <f>RTD("nest.scriprtd",,"nse_cm|970CAGL28-ND","Low ")</f>
        <v>1024</v>
      </c>
      <c r="P306">
        <f>RTD("nest.scriprtd",,"nse_cm|970CAGL28-ND","Prev Close")</f>
        <v>1020</v>
      </c>
      <c r="Q306">
        <f>RTD("nest.scriprtd",,"nse_cm|970CAGL28-ND","Face Value")</f>
        <v>1000</v>
      </c>
      <c r="R306" t="str">
        <f>RTD("nest.scriprtd",,"nse_cm|970CAGL28-ND","Isin code")</f>
        <v>INE741K07579</v>
      </c>
      <c r="S306" s="9">
        <f>Table1[[#This Row],[Ask Rate]]*Table1[[#This Row],[Ask Qty]]</f>
        <v>264192</v>
      </c>
      <c r="T306">
        <f>VLOOKUP(Table1[[#This Row],[Isin code]],Table2[#All],7,FALSE)</f>
        <v>9.6999999999999993</v>
      </c>
      <c r="U306" s="17" t="str">
        <f>VLOOKUP(Table1[[#This Row],[Isin code]],Table2[#All],8,FALSE)</f>
        <v>07-Sep-2028</v>
      </c>
      <c r="V306" s="10">
        <f ca="1">Table1[[#This Row],[Maturity]]-TODAY()</f>
        <v>1422</v>
      </c>
      <c r="W306" t="str">
        <f>VLOOKUP(Table1[[#This Row],[Isin code]],Table2[#All],10,FALSE)</f>
        <v>MONTHLY</v>
      </c>
      <c r="X306">
        <f ca="1">_xlfn.DAYS(Table1[[#This Row],[Maturity]],TODAY())-15</f>
        <v>1407</v>
      </c>
      <c r="Y3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47</v>
      </c>
      <c r="Z306">
        <f>IF(Table1[[#This Row],[Ask Rate]]=0,0,Table1[[#This Row],[Face Value]]-Table1[[#This Row],[Ask Rate]])</f>
        <v>-24</v>
      </c>
      <c r="AA306">
        <f>IF(Table1[[#This Row],[Freq]]="Yearly",Table1[[#This Row],[Coupon_Rate]]/100,IF(Table1[[#This Row],[Freq]]="Monthly",Table1[[#This Row],[Coupon_Rate]]/1200,IF(Table1[[#This Row],[Freq]]="Quarterly",Table1[[#This Row],[Coupon_Rate]]/400,0)))</f>
        <v>8.083333333333333E-3</v>
      </c>
      <c r="AB306">
        <f ca="1">Table1[[#This Row],[Face Value]]*Table1[[#This Row],[Rate]]*Table1[[#This Row],[Time]]</f>
        <v>379.91666666666663</v>
      </c>
      <c r="AC306">
        <f ca="1">Table1[[#This Row],[SI]]+Table1[[#This Row],[Disc/Prem]]</f>
        <v>355.91666666666663</v>
      </c>
      <c r="AD306" s="3">
        <f ca="1">Table1[[#This Row],[Net Gain]]/Table1[[#This Row],[Ask Rate]]</f>
        <v>0.34757486979166663</v>
      </c>
      <c r="AE306" s="3">
        <f ca="1">IF(Table1[[#This Row],[Ask Qty]]=0,0,Table1[[#This Row],[Gross Yield]]*365/Table1[[#This Row],[Days Left]])</f>
        <v>8.9215771781967879E-2</v>
      </c>
      <c r="AF306" s="9">
        <f ca="1">+Table1[[#This Row],[Net Gain]]*Table1[[#This Row],[Ask Qty]]</f>
        <v>91826.499999999985</v>
      </c>
      <c r="AG306" t="str">
        <f ca="1">IF(Table1[[#This Row],[YTM]]&gt;0.12,IF(Table1[[#This Row],[Gross Profit]]&gt;10000,"Invest","Review"),"Low YTM")</f>
        <v>Low YTM</v>
      </c>
    </row>
    <row r="307" spans="1:33" x14ac:dyDescent="0.3">
      <c r="A307" t="str">
        <f>RTD("nest.scriprtd",,"bse_cm|10IIFL29","Symbol")</f>
        <v>10IIFL29</v>
      </c>
      <c r="B307" t="str">
        <f>RTD("nest.scriprtd",,"bse_cm|10IIFL29","Trading Symbol")</f>
        <v>10IIFL29</v>
      </c>
      <c r="C307" t="str">
        <f>RTD("nest.scriprtd",,"bse_cm|10IIFL29","Exchange")</f>
        <v>BSE</v>
      </c>
      <c r="D307">
        <f>RTD("nest.scriprtd",,"bse_cm|10IIFL29","Bid Qty")</f>
        <v>1</v>
      </c>
      <c r="E307">
        <f>RTD("nest.scriprtd",,"bse_cm|10IIFL29","Bid Rate")</f>
        <v>953</v>
      </c>
      <c r="F307">
        <f>RTD("nest.scriprtd",,"bse_cm|10IIFL29","Ask Rate")</f>
        <v>1035</v>
      </c>
      <c r="G307">
        <f>RTD("nest.scriprtd",,"bse_cm|10IIFL29","Ask Qty")</f>
        <v>50</v>
      </c>
      <c r="H307">
        <f>RTD("nest.scriprtd",,"bse_cm|10IIFL29","LTP")</f>
        <v>0</v>
      </c>
      <c r="I307" t="str">
        <f>RTD("nest.scriprtd",,"bse_cm|10IIFL29","LTT")</f>
        <v>00:00:00</v>
      </c>
      <c r="J307">
        <f>RTD("nest.scriprtd",,"bse_cm|10IIFL29","% Change")</f>
        <v>-100</v>
      </c>
      <c r="K307">
        <f>RTD("nest.scriprtd",,"bse_cm|10IIFL29","ATP")</f>
        <v>0</v>
      </c>
      <c r="L307">
        <f>RTD("nest.scriprtd",,"bse_cm|10IIFL29","Volume Traded Today")</f>
        <v>0</v>
      </c>
      <c r="M307">
        <f>RTD("nest.scriprtd",,"bse_cm|10IIFL29","Open")</f>
        <v>0</v>
      </c>
      <c r="N307">
        <f>RTD("nest.scriprtd",,"bse_cm|10IIFL29","High")</f>
        <v>1000</v>
      </c>
      <c r="O307">
        <f>RTD("nest.scriprtd",,"bse_cm|10IIFL29","Low ")</f>
        <v>1000</v>
      </c>
      <c r="P307">
        <f>RTD("nest.scriprtd",,"bse_cm|10IIFL29","Prev Close")</f>
        <v>1000</v>
      </c>
      <c r="Q307">
        <f>RTD("nest.scriprtd",,"bse_cm|10IIFL29","Face Value")</f>
        <v>1000</v>
      </c>
      <c r="R307" t="str">
        <f>RTD("nest.scriprtd",,"bse_cm|10IIFL29","Isin code")</f>
        <v>INE866I08279</v>
      </c>
      <c r="S307" s="9">
        <f>Table1[[#This Row],[Ask Rate]]*Table1[[#This Row],[Ask Qty]]</f>
        <v>51750</v>
      </c>
      <c r="T307">
        <f>VLOOKUP(Table1[[#This Row],[Isin code]],Table2[#All],7,FALSE)</f>
        <v>10</v>
      </c>
      <c r="U307" s="17" t="str">
        <f>VLOOKUP(Table1[[#This Row],[Isin code]],Table2[#All],8,FALSE)</f>
        <v>07-Feb-2029</v>
      </c>
      <c r="V307" s="10">
        <f ca="1">Table1[[#This Row],[Maturity]]-TODAY()</f>
        <v>1575</v>
      </c>
      <c r="W307" t="str">
        <f>VLOOKUP(Table1[[#This Row],[Isin code]],Table2[#All],10,FALSE)</f>
        <v>Monthly</v>
      </c>
      <c r="X307">
        <f ca="1">_xlfn.DAYS(Table1[[#This Row],[Maturity]],TODAY())-15</f>
        <v>1560</v>
      </c>
      <c r="Y3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52</v>
      </c>
      <c r="Z307">
        <f>IF(Table1[[#This Row],[Ask Rate]]=0,0,Table1[[#This Row],[Face Value]]-Table1[[#This Row],[Ask Rate]])</f>
        <v>-35</v>
      </c>
      <c r="AA307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307">
        <f ca="1">Table1[[#This Row],[Face Value]]*Table1[[#This Row],[Rate]]*Table1[[#This Row],[Time]]</f>
        <v>433.33333333333337</v>
      </c>
      <c r="AC307">
        <f ca="1">Table1[[#This Row],[SI]]+Table1[[#This Row],[Disc/Prem]]</f>
        <v>398.33333333333337</v>
      </c>
      <c r="AD307" s="3">
        <f ca="1">Table1[[#This Row],[Net Gain]]/Table1[[#This Row],[Ask Rate]]</f>
        <v>0.38486312399355882</v>
      </c>
      <c r="AE307" s="3">
        <f ca="1">IF(Table1[[#This Row],[Ask Qty]]=0,0,Table1[[#This Row],[Gross Yield]]*365/Table1[[#This Row],[Days Left]])</f>
        <v>8.9190501750888232E-2</v>
      </c>
      <c r="AF307" s="9">
        <f ca="1">+Table1[[#This Row],[Net Gain]]*Table1[[#This Row],[Ask Qty]]</f>
        <v>19916.666666666668</v>
      </c>
      <c r="AG307" t="str">
        <f ca="1">IF(Table1[[#This Row],[YTM]]&gt;0.12,IF(Table1[[#This Row],[Gross Profit]]&gt;10000,"Invest","Review"),"Low YTM")</f>
        <v>Low YTM</v>
      </c>
    </row>
    <row r="308" spans="1:33" x14ac:dyDescent="0.3">
      <c r="A308" t="str">
        <f>RTD("nest.scriprtd",,"bse_cm|735MFL25","Symbol")</f>
        <v>735MFL25</v>
      </c>
      <c r="B308" t="str">
        <f>RTD("nest.scriprtd",,"bse_cm|735MFL25","Trading Symbol")</f>
        <v>735MFL25</v>
      </c>
      <c r="C308" t="str">
        <f>RTD("nest.scriprtd",,"bse_cm|735MFL25","Exchange")</f>
        <v>BSE</v>
      </c>
      <c r="D308">
        <f>RTD("nest.scriprtd",,"bse_cm|735MFL25","Bid Qty")</f>
        <v>180</v>
      </c>
      <c r="E308">
        <f>RTD("nest.scriprtd",,"bse_cm|735MFL25","Bid Rate")</f>
        <v>964.2</v>
      </c>
      <c r="F308">
        <f>RTD("nest.scriprtd",,"bse_cm|735MFL25","Ask Rate")</f>
        <v>982</v>
      </c>
      <c r="G308">
        <f>RTD("nest.scriprtd",,"bse_cm|735MFL25","Ask Qty")</f>
        <v>98</v>
      </c>
      <c r="H308">
        <f>RTD("nest.scriprtd",,"bse_cm|735MFL25","LTP")</f>
        <v>0</v>
      </c>
      <c r="I308" t="str">
        <f>RTD("nest.scriprtd",,"bse_cm|735MFL25","LTT")</f>
        <v>00:00:00</v>
      </c>
      <c r="J308">
        <f>RTD("nest.scriprtd",,"bse_cm|735MFL25","% Change")</f>
        <v>-100</v>
      </c>
      <c r="K308">
        <f>RTD("nest.scriprtd",,"bse_cm|735MFL25","ATP")</f>
        <v>0</v>
      </c>
      <c r="L308">
        <f>RTD("nest.scriprtd",,"bse_cm|735MFL25","Volume Traded Today")</f>
        <v>0</v>
      </c>
      <c r="M308">
        <f>RTD("nest.scriprtd",,"bse_cm|735MFL25","Open")</f>
        <v>0</v>
      </c>
      <c r="N308">
        <f>RTD("nest.scriprtd",,"bse_cm|735MFL25","High")</f>
        <v>982</v>
      </c>
      <c r="O308">
        <f>RTD("nest.scriprtd",,"bse_cm|735MFL25","Low ")</f>
        <v>982</v>
      </c>
      <c r="P308">
        <f>RTD("nest.scriprtd",,"bse_cm|735MFL25","Prev Close")</f>
        <v>982</v>
      </c>
      <c r="Q308">
        <f>RTD("nest.scriprtd",,"bse_cm|735MFL25","Face Value")</f>
        <v>1000</v>
      </c>
      <c r="R308" t="str">
        <f>RTD("nest.scriprtd",,"bse_cm|735MFL25","Isin code")</f>
        <v>INE414G07HB2</v>
      </c>
      <c r="S308" s="9">
        <f>Table1[[#This Row],[Ask Rate]]*Table1[[#This Row],[Ask Qty]]</f>
        <v>96236</v>
      </c>
      <c r="T308">
        <f>VLOOKUP(Table1[[#This Row],[Isin code]],Table2[#All],7,FALSE)</f>
        <v>7.35</v>
      </c>
      <c r="U308" s="17" t="str">
        <f>VLOOKUP(Table1[[#This Row],[Isin code]],Table2[#All],8,FALSE)</f>
        <v>23-Dec-2025</v>
      </c>
      <c r="V308" s="10">
        <f ca="1">Table1[[#This Row],[Maturity]]-TODAY()</f>
        <v>433</v>
      </c>
      <c r="W308" t="str">
        <f>VLOOKUP(Table1[[#This Row],[Isin code]],Table2[#All],10,FALSE)</f>
        <v>Monthly</v>
      </c>
      <c r="X308">
        <f ca="1">_xlfn.DAYS(Table1[[#This Row],[Maturity]],TODAY())-15</f>
        <v>418</v>
      </c>
      <c r="Y3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308">
        <f>IF(Table1[[#This Row],[Ask Rate]]=0,0,Table1[[#This Row],[Face Value]]-Table1[[#This Row],[Ask Rate]])</f>
        <v>18</v>
      </c>
      <c r="AA308">
        <f>IF(Table1[[#This Row],[Freq]]="Yearly",Table1[[#This Row],[Coupon_Rate]]/100,IF(Table1[[#This Row],[Freq]]="Monthly",Table1[[#This Row],[Coupon_Rate]]/1200,IF(Table1[[#This Row],[Freq]]="Quarterly",Table1[[#This Row],[Coupon_Rate]]/400,0)))</f>
        <v>6.1249999999999994E-3</v>
      </c>
      <c r="AB308">
        <f ca="1">Table1[[#This Row],[Face Value]]*Table1[[#This Row],[Rate]]*Table1[[#This Row],[Time]]</f>
        <v>85.749999999999986</v>
      </c>
      <c r="AC308">
        <f ca="1">Table1[[#This Row],[SI]]+Table1[[#This Row],[Disc/Prem]]</f>
        <v>103.74999999999999</v>
      </c>
      <c r="AD308" s="3">
        <f ca="1">Table1[[#This Row],[Net Gain]]/Table1[[#This Row],[Ask Rate]]</f>
        <v>0.10565173116089611</v>
      </c>
      <c r="AE308" s="3">
        <f ca="1">IF(Table1[[#This Row],[Ask Qty]]=0,0,Table1[[#This Row],[Gross Yield]]*365/Table1[[#This Row],[Days Left]])</f>
        <v>8.9059773380432056E-2</v>
      </c>
      <c r="AF308" s="9">
        <f ca="1">+Table1[[#This Row],[Net Gain]]*Table1[[#This Row],[Ask Qty]]</f>
        <v>10167.499999999998</v>
      </c>
      <c r="AG308" t="str">
        <f ca="1">IF(Table1[[#This Row],[YTM]]&gt;0.12,IF(Table1[[#This Row],[Gross Profit]]&gt;10000,"Invest","Review"),"Low YTM")</f>
        <v>Low YTM</v>
      </c>
    </row>
    <row r="309" spans="1:33" x14ac:dyDescent="0.3">
      <c r="A309" t="str">
        <f>RTD("nest.scriprtd",,"bse_cm|875MFCL26C","Symbol")</f>
        <v>875MFCL26C</v>
      </c>
      <c r="B309" t="str">
        <f>RTD("nest.scriprtd",,"bse_cm|875MFCL26C","Trading Symbol")</f>
        <v>875MFCL26C</v>
      </c>
      <c r="C309" t="str">
        <f>RTD("nest.scriprtd",,"bse_cm|875MFCL26C","Exchange")</f>
        <v>BSE</v>
      </c>
      <c r="D309">
        <f>RTD("nest.scriprtd",,"bse_cm|875MFCL26C","Bid Qty")</f>
        <v>100</v>
      </c>
      <c r="E309">
        <f>RTD("nest.scriprtd",,"bse_cm|875MFCL26C","Bid Rate")</f>
        <v>835.27</v>
      </c>
      <c r="F309">
        <f>RTD("nest.scriprtd",,"bse_cm|875MFCL26C","Ask Rate")</f>
        <v>1000</v>
      </c>
      <c r="G309">
        <f>RTD("nest.scriprtd",,"bse_cm|875MFCL26C","Ask Qty")</f>
        <v>174</v>
      </c>
      <c r="H309">
        <f>RTD("nest.scriprtd",,"bse_cm|875MFCL26C","LTP")</f>
        <v>0</v>
      </c>
      <c r="I309" t="str">
        <f>RTD("nest.scriprtd",,"bse_cm|875MFCL26C","LTT")</f>
        <v>00:00:00</v>
      </c>
      <c r="J309">
        <f>RTD("nest.scriprtd",,"bse_cm|875MFCL26C","% Change")</f>
        <v>-100</v>
      </c>
      <c r="K309">
        <f>RTD("nest.scriprtd",,"bse_cm|875MFCL26C","ATP")</f>
        <v>0</v>
      </c>
      <c r="L309">
        <f>RTD("nest.scriprtd",,"bse_cm|875MFCL26C","Volume Traded Today")</f>
        <v>0</v>
      </c>
      <c r="M309">
        <f>RTD("nest.scriprtd",,"bse_cm|875MFCL26C","Open")</f>
        <v>0</v>
      </c>
      <c r="N309">
        <f>RTD("nest.scriprtd",,"bse_cm|875MFCL26C","High")</f>
        <v>969</v>
      </c>
      <c r="O309">
        <f>RTD("nest.scriprtd",,"bse_cm|875MFCL26C","Low ")</f>
        <v>925</v>
      </c>
      <c r="P309">
        <f>RTD("nest.scriprtd",,"bse_cm|875MFCL26C","Prev Close")</f>
        <v>969</v>
      </c>
      <c r="Q309">
        <f>RTD("nest.scriprtd",,"bse_cm|875MFCL26C","Face Value")</f>
        <v>1000</v>
      </c>
      <c r="R309" t="str">
        <f>RTD("nest.scriprtd",,"bse_cm|875MFCL26C","Isin code")</f>
        <v>INE549K07AJ5</v>
      </c>
      <c r="S309" s="9">
        <f>Table1[[#This Row],[Ask Rate]]*Table1[[#This Row],[Ask Qty]]</f>
        <v>174000</v>
      </c>
      <c r="T309">
        <f>VLOOKUP(Table1[[#This Row],[Isin code]],Table2[#All],7,FALSE)</f>
        <v>8.75</v>
      </c>
      <c r="U309" s="17" t="str">
        <f>VLOOKUP(Table1[[#This Row],[Isin code]],Table2[#All],8,FALSE)</f>
        <v>07-May-2026</v>
      </c>
      <c r="V309" s="10">
        <f ca="1">Table1[[#This Row],[Maturity]]-TODAY()</f>
        <v>568</v>
      </c>
      <c r="W309" t="str">
        <f>VLOOKUP(Table1[[#This Row],[Isin code]],Table2[#All],10,FALSE)</f>
        <v>Monthly</v>
      </c>
      <c r="X309">
        <f ca="1">_xlfn.DAYS(Table1[[#This Row],[Maturity]],TODAY())-15</f>
        <v>553</v>
      </c>
      <c r="Y3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309">
        <f>IF(Table1[[#This Row],[Ask Rate]]=0,0,Table1[[#This Row],[Face Value]]-Table1[[#This Row],[Ask Rate]])</f>
        <v>0</v>
      </c>
      <c r="AA309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309">
        <f ca="1">Table1[[#This Row],[Face Value]]*Table1[[#This Row],[Rate]]*Table1[[#This Row],[Time]]</f>
        <v>138.54166666666669</v>
      </c>
      <c r="AC309">
        <f ca="1">Table1[[#This Row],[SI]]+Table1[[#This Row],[Disc/Prem]]</f>
        <v>138.54166666666669</v>
      </c>
      <c r="AD309" s="3">
        <f ca="1">Table1[[#This Row],[Net Gain]]/Table1[[#This Row],[Ask Rate]]</f>
        <v>0.13854166666666667</v>
      </c>
      <c r="AE309" s="3">
        <f ca="1">IF(Table1[[#This Row],[Ask Qty]]=0,0,Table1[[#This Row],[Gross Yield]]*365/Table1[[#This Row],[Days Left]])</f>
        <v>8.9027655516431922E-2</v>
      </c>
      <c r="AF309" s="9">
        <f ca="1">+Table1[[#This Row],[Net Gain]]*Table1[[#This Row],[Ask Qty]]</f>
        <v>24106.250000000004</v>
      </c>
      <c r="AG309" t="str">
        <f ca="1">IF(Table1[[#This Row],[YTM]]&gt;0.12,IF(Table1[[#This Row],[Gross Profit]]&gt;10000,"Invest","Review"),"Low YTM")</f>
        <v>Low YTM</v>
      </c>
    </row>
    <row r="310" spans="1:33" x14ac:dyDescent="0.3">
      <c r="A310" t="str">
        <f>RTD("nest.scriprtd",,"nse_cm|865SCL26-N8","Symbol")</f>
        <v>865SCL26</v>
      </c>
      <c r="B310" t="str">
        <f>RTD("nest.scriprtd",,"nse_cm|865SCL26-N8","Trading Symbol")</f>
        <v>865SCL26-N8</v>
      </c>
      <c r="C310" t="str">
        <f>RTD("nest.scriprtd",,"nse_cm|865SCL26-N8","Exchange")</f>
        <v>NSE</v>
      </c>
      <c r="D310">
        <f>RTD("nest.scriprtd",,"nse_cm|865SCL26-N8","Bid Qty")</f>
        <v>10</v>
      </c>
      <c r="E310">
        <f>RTD("nest.scriprtd",,"nse_cm|865SCL26-N8","Bid Rate")</f>
        <v>936.76</v>
      </c>
      <c r="F310">
        <f>RTD("nest.scriprtd",,"nse_cm|865SCL26-N8","Ask Rate")</f>
        <v>1000</v>
      </c>
      <c r="G310">
        <f>RTD("nest.scriprtd",,"nse_cm|865SCL26-N8","Ask Qty")</f>
        <v>100</v>
      </c>
      <c r="H310">
        <f>RTD("nest.scriprtd",,"nse_cm|865SCL26-N8","LTP")</f>
        <v>950</v>
      </c>
      <c r="I310" t="str">
        <f>RTD("nest.scriprtd",,"nse_cm|865SCL26-N8","LTT")</f>
        <v/>
      </c>
      <c r="J310">
        <f>RTD("nest.scriprtd",,"nse_cm|865SCL26-N8","% Change")</f>
        <v>0</v>
      </c>
      <c r="K310">
        <f>RTD("nest.scriprtd",,"nse_cm|865SCL26-N8","ATP")</f>
        <v>0</v>
      </c>
      <c r="L310">
        <f>RTD("nest.scriprtd",,"nse_cm|865SCL26-N8","Volume Traded Today")</f>
        <v>0</v>
      </c>
      <c r="M310">
        <f>RTD("nest.scriprtd",,"nse_cm|865SCL26-N8","Open")</f>
        <v>0</v>
      </c>
      <c r="N310">
        <f>RTD("nest.scriprtd",,"nse_cm|865SCL26-N8","High")</f>
        <v>950</v>
      </c>
      <c r="O310">
        <f>RTD("nest.scriprtd",,"nse_cm|865SCL26-N8","Low ")</f>
        <v>950</v>
      </c>
      <c r="P310">
        <f>RTD("nest.scriprtd",,"nse_cm|865SCL26-N8","Prev Close")</f>
        <v>950</v>
      </c>
      <c r="Q310">
        <f>RTD("nest.scriprtd",,"nse_cm|865SCL26-N8","Face Value")</f>
        <v>1000</v>
      </c>
      <c r="R310" t="str">
        <f>RTD("nest.scriprtd",,"nse_cm|865SCL26-N8","Isin code")</f>
        <v>INE148I07GJ7</v>
      </c>
      <c r="S310" s="9">
        <f>Table1[[#This Row],[Ask Rate]]*Table1[[#This Row],[Ask Qty]]</f>
        <v>100000</v>
      </c>
      <c r="T310">
        <f>VLOOKUP(Table1[[#This Row],[Isin code]],Table2[#All],7,FALSE)</f>
        <v>8.65</v>
      </c>
      <c r="U310" s="17" t="str">
        <f>VLOOKUP(Table1[[#This Row],[Isin code]],Table2[#All],8,FALSE)</f>
        <v>26-Sep-2026</v>
      </c>
      <c r="V310" s="10">
        <f ca="1">Table1[[#This Row],[Maturity]]-TODAY()</f>
        <v>710</v>
      </c>
      <c r="W310" t="str">
        <f>VLOOKUP(Table1[[#This Row],[Isin code]],Table2[#All],10,FALSE)</f>
        <v>Monthly</v>
      </c>
      <c r="X310">
        <f ca="1">_xlfn.DAYS(Table1[[#This Row],[Maturity]],TODAY())-15</f>
        <v>695</v>
      </c>
      <c r="Y3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310">
        <f>IF(Table1[[#This Row],[Ask Rate]]=0,0,Table1[[#This Row],[Face Value]]-Table1[[#This Row],[Ask Rate]])</f>
        <v>0</v>
      </c>
      <c r="AA310">
        <f>IF(Table1[[#This Row],[Freq]]="Yearly",Table1[[#This Row],[Coupon_Rate]]/100,IF(Table1[[#This Row],[Freq]]="Monthly",Table1[[#This Row],[Coupon_Rate]]/1200,IF(Table1[[#This Row],[Freq]]="Quarterly",Table1[[#This Row],[Coupon_Rate]]/400,0)))</f>
        <v>7.208333333333334E-3</v>
      </c>
      <c r="AB310">
        <f ca="1">Table1[[#This Row],[Face Value]]*Table1[[#This Row],[Rate]]*Table1[[#This Row],[Time]]</f>
        <v>173</v>
      </c>
      <c r="AC310">
        <f ca="1">Table1[[#This Row],[SI]]+Table1[[#This Row],[Disc/Prem]]</f>
        <v>173</v>
      </c>
      <c r="AD310" s="3">
        <f ca="1">Table1[[#This Row],[Net Gain]]/Table1[[#This Row],[Ask Rate]]</f>
        <v>0.17299999999999999</v>
      </c>
      <c r="AE310" s="3">
        <f ca="1">IF(Table1[[#This Row],[Ask Qty]]=0,0,Table1[[#This Row],[Gross Yield]]*365/Table1[[#This Row],[Days Left]])</f>
        <v>8.8936619718309851E-2</v>
      </c>
      <c r="AF310" s="9">
        <f ca="1">+Table1[[#This Row],[Net Gain]]*Table1[[#This Row],[Ask Qty]]</f>
        <v>17300</v>
      </c>
      <c r="AG310" t="str">
        <f ca="1">IF(Table1[[#This Row],[YTM]]&gt;0.12,IF(Table1[[#This Row],[Gross Profit]]&gt;10000,"Invest","Review"),"Low YTM")</f>
        <v>Low YTM</v>
      </c>
    </row>
    <row r="311" spans="1:33" x14ac:dyDescent="0.3">
      <c r="A311" t="str">
        <f>RTD("nest.scriprtd",,"bse_cm|956AEL29","Symbol")</f>
        <v>956AEL29</v>
      </c>
      <c r="B311" t="str">
        <f>RTD("nest.scriprtd",,"bse_cm|956AEL29","Trading Symbol")</f>
        <v>956AEL29</v>
      </c>
      <c r="C311" t="str">
        <f>RTD("nest.scriprtd",,"bse_cm|956AEL29","Exchange")</f>
        <v>BSE</v>
      </c>
      <c r="D311">
        <f>RTD("nest.scriprtd",,"bse_cm|956AEL29","Bid Qty")</f>
        <v>119</v>
      </c>
      <c r="E311">
        <f>RTD("nest.scriprtd",,"bse_cm|956AEL29","Bid Rate")</f>
        <v>1015</v>
      </c>
      <c r="F311">
        <f>RTD("nest.scriprtd",,"bse_cm|956AEL29","Ask Rate")</f>
        <v>1029</v>
      </c>
      <c r="G311">
        <f>RTD("nest.scriprtd",,"bse_cm|956AEL29","Ask Qty")</f>
        <v>3</v>
      </c>
      <c r="H311">
        <f>RTD("nest.scriprtd",,"bse_cm|956AEL29","LTP")</f>
        <v>1020</v>
      </c>
      <c r="I311" t="str">
        <f>RTD("nest.scriprtd",,"bse_cm|956AEL29","LTT")</f>
        <v>11:08:22</v>
      </c>
      <c r="J311">
        <f>RTD("nest.scriprtd",,"bse_cm|956AEL29","% Change")</f>
        <v>0.49</v>
      </c>
      <c r="K311">
        <f>RTD("nest.scriprtd",,"bse_cm|956AEL29","ATP")</f>
        <v>0</v>
      </c>
      <c r="L311">
        <f>RTD("nest.scriprtd",,"bse_cm|956AEL29","Volume Traded Today")</f>
        <v>30</v>
      </c>
      <c r="M311">
        <f>RTD("nest.scriprtd",,"bse_cm|956AEL29","Open")</f>
        <v>0</v>
      </c>
      <c r="N311">
        <f>RTD("nest.scriprtd",,"bse_cm|956AEL29","High")</f>
        <v>1020</v>
      </c>
      <c r="O311">
        <f>RTD("nest.scriprtd",,"bse_cm|956AEL29","Low ")</f>
        <v>1020</v>
      </c>
      <c r="P311">
        <f>RTD("nest.scriprtd",,"bse_cm|956AEL29","Prev Close")</f>
        <v>1015</v>
      </c>
      <c r="Q311">
        <f>RTD("nest.scriprtd",,"bse_cm|956AEL29","Face Value")</f>
        <v>1000</v>
      </c>
      <c r="R311" t="str">
        <f>RTD("nest.scriprtd",,"bse_cm|956AEL29","Isin code")</f>
        <v>INE423A07336</v>
      </c>
      <c r="S311" s="9">
        <f>Table1[[#This Row],[Ask Rate]]*Table1[[#This Row],[Ask Qty]]</f>
        <v>3087</v>
      </c>
      <c r="T311">
        <f>VLOOKUP(Table1[[#This Row],[Isin code]],Table2[#All],7,FALSE)</f>
        <v>9.56</v>
      </c>
      <c r="U311" s="17" t="str">
        <f>VLOOKUP(Table1[[#This Row],[Isin code]],Table2[#All],8,FALSE)</f>
        <v>12-Sep-2029</v>
      </c>
      <c r="V311" s="10">
        <f ca="1">Table1[[#This Row],[Maturity]]-TODAY()</f>
        <v>1792</v>
      </c>
      <c r="W311" t="str">
        <f>VLOOKUP(Table1[[#This Row],[Isin code]],Table2[#All],10,FALSE)</f>
        <v>Quarterly</v>
      </c>
      <c r="X311">
        <f ca="1">_xlfn.DAYS(Table1[[#This Row],[Maturity]],TODAY())-15</f>
        <v>1777</v>
      </c>
      <c r="Y3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311">
        <f>IF(Table1[[#This Row],[Ask Rate]]=0,0,Table1[[#This Row],[Face Value]]-Table1[[#This Row],[Ask Rate]])</f>
        <v>-29</v>
      </c>
      <c r="AA311">
        <f>IF(Table1[[#This Row],[Freq]]="Yearly",Table1[[#This Row],[Coupon_Rate]]/100,IF(Table1[[#This Row],[Freq]]="Monthly",Table1[[#This Row],[Coupon_Rate]]/1200,IF(Table1[[#This Row],[Freq]]="Quarterly",Table1[[#This Row],[Coupon_Rate]]/400,0)))</f>
        <v>2.3900000000000001E-2</v>
      </c>
      <c r="AB311">
        <f ca="1">Table1[[#This Row],[Face Value]]*Table1[[#This Row],[Rate]]*Table1[[#This Row],[Time]]</f>
        <v>478.00000000000006</v>
      </c>
      <c r="AC311">
        <f ca="1">Table1[[#This Row],[SI]]+Table1[[#This Row],[Disc/Prem]]</f>
        <v>449.00000000000006</v>
      </c>
      <c r="AD311" s="3">
        <f ca="1">Table1[[#This Row],[Net Gain]]/Table1[[#This Row],[Ask Rate]]</f>
        <v>0.43634596695821193</v>
      </c>
      <c r="AE311" s="3">
        <f ca="1">IF(Table1[[#This Row],[Ask Qty]]=0,0,Table1[[#This Row],[Gross Yield]]*365/Table1[[#This Row],[Days Left]])</f>
        <v>8.8876271171734009E-2</v>
      </c>
      <c r="AF311" s="9">
        <f ca="1">+Table1[[#This Row],[Net Gain]]*Table1[[#This Row],[Ask Qty]]</f>
        <v>1347.0000000000002</v>
      </c>
      <c r="AG311" t="str">
        <f ca="1">IF(Table1[[#This Row],[YTM]]&gt;0.12,IF(Table1[[#This Row],[Gross Profit]]&gt;10000,"Invest","Review"),"Low YTM")</f>
        <v>Low YTM</v>
      </c>
    </row>
    <row r="312" spans="1:33" x14ac:dyDescent="0.3">
      <c r="A312" t="str">
        <f>RTD("nest.scriprtd",,"bse_cm|93MOFSL34","Symbol")</f>
        <v>93MOFSL34</v>
      </c>
      <c r="B312" t="str">
        <f>RTD("nest.scriprtd",,"bse_cm|93MOFSL34","Trading Symbol")</f>
        <v>93MOFSL34</v>
      </c>
      <c r="C312" t="str">
        <f>RTD("nest.scriprtd",,"bse_cm|93MOFSL34","Exchange")</f>
        <v>BSE</v>
      </c>
      <c r="D312">
        <f>RTD("nest.scriprtd",,"bse_cm|93MOFSL34","Bid Qty")</f>
        <v>39</v>
      </c>
      <c r="E312">
        <f>RTD("nest.scriprtd",,"bse_cm|93MOFSL34","Bid Rate")</f>
        <v>1015.1</v>
      </c>
      <c r="F312">
        <f>RTD("nest.scriprtd",,"bse_cm|93MOFSL34","Ask Rate")</f>
        <v>1026.98</v>
      </c>
      <c r="G312">
        <f>RTD("nest.scriprtd",,"bse_cm|93MOFSL34","Ask Qty")</f>
        <v>19</v>
      </c>
      <c r="H312">
        <f>RTD("nest.scriprtd",,"bse_cm|93MOFSL34","LTP")</f>
        <v>0</v>
      </c>
      <c r="I312" t="str">
        <f>RTD("nest.scriprtd",,"bse_cm|93MOFSL34","LTT")</f>
        <v>00:00:00</v>
      </c>
      <c r="J312">
        <f>RTD("nest.scriprtd",,"bse_cm|93MOFSL34","% Change")</f>
        <v>-100</v>
      </c>
      <c r="K312">
        <f>RTD("nest.scriprtd",,"bse_cm|93MOFSL34","ATP")</f>
        <v>0</v>
      </c>
      <c r="L312">
        <f>RTD("nest.scriprtd",,"bse_cm|93MOFSL34","Volume Traded Today")</f>
        <v>0</v>
      </c>
      <c r="M312">
        <f>RTD("nest.scriprtd",,"bse_cm|93MOFSL34","Open")</f>
        <v>0</v>
      </c>
      <c r="N312">
        <f>RTD("nest.scriprtd",,"bse_cm|93MOFSL34","High")</f>
        <v>1025.78</v>
      </c>
      <c r="O312">
        <f>RTD("nest.scriprtd",,"bse_cm|93MOFSL34","Low ")</f>
        <v>1025.78</v>
      </c>
      <c r="P312">
        <f>RTD("nest.scriprtd",,"bse_cm|93MOFSL34","Prev Close")</f>
        <v>1025.78</v>
      </c>
      <c r="Q312">
        <f>RTD("nest.scriprtd",,"bse_cm|93MOFSL34","Face Value")</f>
        <v>1000</v>
      </c>
      <c r="R312" t="str">
        <f>RTD("nest.scriprtd",,"bse_cm|93MOFSL34","Isin code")</f>
        <v>INE338I07115</v>
      </c>
      <c r="S312" s="9">
        <f>Table1[[#This Row],[Ask Rate]]*Table1[[#This Row],[Ask Qty]]</f>
        <v>19512.62</v>
      </c>
      <c r="T312">
        <f>VLOOKUP(Table1[[#This Row],[Isin code]],Table2[#All],7,FALSE)</f>
        <v>9.3000000000000007</v>
      </c>
      <c r="U312" s="17" t="str">
        <f>VLOOKUP(Table1[[#This Row],[Isin code]],Table2[#All],8,FALSE)</f>
        <v>09-May-2034</v>
      </c>
      <c r="V312" s="10">
        <f ca="1">Table1[[#This Row],[Maturity]]-TODAY()</f>
        <v>3492</v>
      </c>
      <c r="W312" t="str">
        <f>VLOOKUP(Table1[[#This Row],[Isin code]],Table2[#All],10,FALSE)</f>
        <v>Monthly</v>
      </c>
      <c r="X312">
        <f ca="1">_xlfn.DAYS(Table1[[#This Row],[Maturity]],TODAY())-15</f>
        <v>3477</v>
      </c>
      <c r="Y3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116</v>
      </c>
      <c r="Z312">
        <f>IF(Table1[[#This Row],[Ask Rate]]=0,0,Table1[[#This Row],[Face Value]]-Table1[[#This Row],[Ask Rate]])</f>
        <v>-26.980000000000018</v>
      </c>
      <c r="AA312">
        <f>IF(Table1[[#This Row],[Freq]]="Yearly",Table1[[#This Row],[Coupon_Rate]]/100,IF(Table1[[#This Row],[Freq]]="Monthly",Table1[[#This Row],[Coupon_Rate]]/1200,IF(Table1[[#This Row],[Freq]]="Quarterly",Table1[[#This Row],[Coupon_Rate]]/400,0)))</f>
        <v>7.7500000000000008E-3</v>
      </c>
      <c r="AB312">
        <f ca="1">Table1[[#This Row],[Face Value]]*Table1[[#This Row],[Rate]]*Table1[[#This Row],[Time]]</f>
        <v>899.00000000000011</v>
      </c>
      <c r="AC312">
        <f ca="1">Table1[[#This Row],[SI]]+Table1[[#This Row],[Disc/Prem]]</f>
        <v>872.0200000000001</v>
      </c>
      <c r="AD312" s="3">
        <f ca="1">Table1[[#This Row],[Net Gain]]/Table1[[#This Row],[Ask Rate]]</f>
        <v>0.84911098560828846</v>
      </c>
      <c r="AE312" s="3">
        <f ca="1">IF(Table1[[#This Row],[Ask Qty]]=0,0,Table1[[#This Row],[Gross Yield]]*365/Table1[[#This Row],[Days Left]])</f>
        <v>8.8753009664096591E-2</v>
      </c>
      <c r="AF312" s="9">
        <f ca="1">+Table1[[#This Row],[Net Gain]]*Table1[[#This Row],[Ask Qty]]</f>
        <v>16568.38</v>
      </c>
      <c r="AG312" t="str">
        <f ca="1">IF(Table1[[#This Row],[YTM]]&gt;0.12,IF(Table1[[#This Row],[Gross Profit]]&gt;10000,"Invest","Review"),"Low YTM")</f>
        <v>Low YTM</v>
      </c>
    </row>
    <row r="313" spans="1:33" x14ac:dyDescent="0.3">
      <c r="A313" t="str">
        <f>RTD("nest.scriprtd",,"bse_cm|925KFL27","Symbol")</f>
        <v>925KFL27</v>
      </c>
      <c r="B313" t="str">
        <f>RTD("nest.scriprtd",,"bse_cm|925KFL27","Trading Symbol")</f>
        <v>925KFL27</v>
      </c>
      <c r="C313" t="str">
        <f>RTD("nest.scriprtd",,"bse_cm|925KFL27","Exchange")</f>
        <v>BSE</v>
      </c>
      <c r="D313">
        <f>RTD("nest.scriprtd",,"bse_cm|925KFL27","Bid Qty")</f>
        <v>40</v>
      </c>
      <c r="E313">
        <f>RTD("nest.scriprtd",,"bse_cm|925KFL27","Bid Rate")</f>
        <v>821.7</v>
      </c>
      <c r="F313">
        <f>RTD("nest.scriprtd",,"bse_cm|925KFL27","Ask Rate")</f>
        <v>1010</v>
      </c>
      <c r="G313">
        <f>RTD("nest.scriprtd",,"bse_cm|925KFL27","Ask Qty")</f>
        <v>20</v>
      </c>
      <c r="H313">
        <f>RTD("nest.scriprtd",,"bse_cm|925KFL27","LTP")</f>
        <v>0</v>
      </c>
      <c r="I313" t="str">
        <f>RTD("nest.scriprtd",,"bse_cm|925KFL27","LTT")</f>
        <v>00:00:00</v>
      </c>
      <c r="J313">
        <f>RTD("nest.scriprtd",,"bse_cm|925KFL27","% Change")</f>
        <v>-100</v>
      </c>
      <c r="K313">
        <f>RTD("nest.scriprtd",,"bse_cm|925KFL27","ATP")</f>
        <v>0</v>
      </c>
      <c r="L313">
        <f>RTD("nest.scriprtd",,"bse_cm|925KFL27","Volume Traded Today")</f>
        <v>0</v>
      </c>
      <c r="M313">
        <f>RTD("nest.scriprtd",,"bse_cm|925KFL27","Open")</f>
        <v>0</v>
      </c>
      <c r="N313">
        <f>RTD("nest.scriprtd",,"bse_cm|925KFL27","High")</f>
        <v>0</v>
      </c>
      <c r="O313">
        <f>RTD("nest.scriprtd",,"bse_cm|925KFL27","Low ")</f>
        <v>0</v>
      </c>
      <c r="P313">
        <f>RTD("nest.scriprtd",,"bse_cm|925KFL27","Prev Close")</f>
        <v>1000</v>
      </c>
      <c r="Q313">
        <f>RTD("nest.scriprtd",,"bse_cm|925KFL27","Face Value")</f>
        <v>1000</v>
      </c>
      <c r="R313" t="str">
        <f>RTD("nest.scriprtd",,"bse_cm|925KFL27","Isin code")</f>
        <v>INE403Q07CW1</v>
      </c>
      <c r="S313" s="9">
        <f>Table1[[#This Row],[Ask Rate]]*Table1[[#This Row],[Ask Qty]]</f>
        <v>20200</v>
      </c>
      <c r="T313">
        <f>VLOOKUP(Table1[[#This Row],[Isin code]],Table2[#All],7,FALSE)</f>
        <v>9.25</v>
      </c>
      <c r="U313" s="17" t="str">
        <f>VLOOKUP(Table1[[#This Row],[Isin code]],Table2[#All],8,FALSE)</f>
        <v>10-Aug-2027</v>
      </c>
      <c r="V313" s="10">
        <f ca="1">Table1[[#This Row],[Maturity]]-TODAY()</f>
        <v>1028</v>
      </c>
      <c r="W313" t="str">
        <f>VLOOKUP(Table1[[#This Row],[Isin code]],Table2[#All],10,FALSE)</f>
        <v>Monthly</v>
      </c>
      <c r="X313">
        <f ca="1">_xlfn.DAYS(Table1[[#This Row],[Maturity]],TODAY())-15</f>
        <v>1013</v>
      </c>
      <c r="Y3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34</v>
      </c>
      <c r="Z313">
        <f>IF(Table1[[#This Row],[Ask Rate]]=0,0,Table1[[#This Row],[Face Value]]-Table1[[#This Row],[Ask Rate]])</f>
        <v>-10</v>
      </c>
      <c r="AA313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313">
        <f ca="1">Table1[[#This Row],[Face Value]]*Table1[[#This Row],[Rate]]*Table1[[#This Row],[Time]]</f>
        <v>262.08333333333337</v>
      </c>
      <c r="AC313">
        <f ca="1">Table1[[#This Row],[SI]]+Table1[[#This Row],[Disc/Prem]]</f>
        <v>252.08333333333337</v>
      </c>
      <c r="AD313" s="3">
        <f ca="1">Table1[[#This Row],[Net Gain]]/Table1[[#This Row],[Ask Rate]]</f>
        <v>0.24958745874587462</v>
      </c>
      <c r="AE313" s="3">
        <f ca="1">IF(Table1[[#This Row],[Ask Qty]]=0,0,Table1[[#This Row],[Gross Yield]]*365/Table1[[#This Row],[Days Left]])</f>
        <v>8.8618115216190882E-2</v>
      </c>
      <c r="AF313" s="9">
        <f ca="1">+Table1[[#This Row],[Net Gain]]*Table1[[#This Row],[Ask Qty]]</f>
        <v>5041.6666666666679</v>
      </c>
      <c r="AG313" t="str">
        <f ca="1">IF(Table1[[#This Row],[YTM]]&gt;0.12,IF(Table1[[#This Row],[Gross Profit]]&gt;10000,"Invest","Review"),"Low YTM")</f>
        <v>Low YTM</v>
      </c>
    </row>
    <row r="314" spans="1:33" x14ac:dyDescent="0.3">
      <c r="A314" t="str">
        <f>RTD("nest.scriprtd",,"bse_cm|81MFL28","Symbol")</f>
        <v>81MFL28</v>
      </c>
      <c r="B314" t="str">
        <f>RTD("nest.scriprtd",,"bse_cm|81MFL28","Trading Symbol")</f>
        <v>81MFL28</v>
      </c>
      <c r="C314" t="str">
        <f>RTD("nest.scriprtd",,"bse_cm|81MFL28","Exchange")</f>
        <v>BSE</v>
      </c>
      <c r="D314">
        <f>RTD("nest.scriprtd",,"bse_cm|81MFL28","Bid Qty")</f>
        <v>400</v>
      </c>
      <c r="E314">
        <f>RTD("nest.scriprtd",,"bse_cm|81MFL28","Bid Rate")</f>
        <v>970</v>
      </c>
      <c r="F314">
        <f>RTD("nest.scriprtd",,"bse_cm|81MFL28","Ask Rate")</f>
        <v>1012.3</v>
      </c>
      <c r="G314">
        <f>RTD("nest.scriprtd",,"bse_cm|81MFL28","Ask Qty")</f>
        <v>15</v>
      </c>
      <c r="H314">
        <f>RTD("nest.scriprtd",,"bse_cm|81MFL28","LTP")</f>
        <v>0</v>
      </c>
      <c r="I314" t="str">
        <f>RTD("nest.scriprtd",,"bse_cm|81MFL28","LTT")</f>
        <v>00:00:00</v>
      </c>
      <c r="J314">
        <f>RTD("nest.scriprtd",,"bse_cm|81MFL28","% Change")</f>
        <v>-100</v>
      </c>
      <c r="K314">
        <f>RTD("nest.scriprtd",,"bse_cm|81MFL28","ATP")</f>
        <v>0</v>
      </c>
      <c r="L314">
        <f>RTD("nest.scriprtd",,"bse_cm|81MFL28","Volume Traded Today")</f>
        <v>0</v>
      </c>
      <c r="M314">
        <f>RTD("nest.scriprtd",,"bse_cm|81MFL28","Open")</f>
        <v>0</v>
      </c>
      <c r="N314">
        <f>RTD("nest.scriprtd",,"bse_cm|81MFL28","High")</f>
        <v>985</v>
      </c>
      <c r="O314">
        <f>RTD("nest.scriprtd",,"bse_cm|81MFL28","Low ")</f>
        <v>985</v>
      </c>
      <c r="P314">
        <f>RTD("nest.scriprtd",,"bse_cm|81MFL28","Prev Close")</f>
        <v>985</v>
      </c>
      <c r="Q314">
        <f>RTD("nest.scriprtd",,"bse_cm|81MFL28","Face Value")</f>
        <v>1000</v>
      </c>
      <c r="R314" t="str">
        <f>RTD("nest.scriprtd",,"bse_cm|81MFL28","Isin code")</f>
        <v>INE414G07HQ0</v>
      </c>
      <c r="S314" s="9">
        <f>Table1[[#This Row],[Ask Rate]]*Table1[[#This Row],[Ask Qty]]</f>
        <v>15184.5</v>
      </c>
      <c r="T314">
        <f>VLOOKUP(Table1[[#This Row],[Isin code]],Table2[#All],7,FALSE)</f>
        <v>8.1</v>
      </c>
      <c r="U314" s="17" t="str">
        <f>VLOOKUP(Table1[[#This Row],[Isin code]],Table2[#All],8,FALSE)</f>
        <v>10-Apr-2028</v>
      </c>
      <c r="V314" s="10">
        <f ca="1">Table1[[#This Row],[Maturity]]-TODAY()</f>
        <v>1272</v>
      </c>
      <c r="W314" t="str">
        <f>VLOOKUP(Table1[[#This Row],[Isin code]],Table2[#All],10,FALSE)</f>
        <v>Yearly</v>
      </c>
      <c r="X314">
        <f ca="1">_xlfn.DAYS(Table1[[#This Row],[Maturity]],TODAY())-15</f>
        <v>1257</v>
      </c>
      <c r="Y3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314">
        <f>IF(Table1[[#This Row],[Ask Rate]]=0,0,Table1[[#This Row],[Face Value]]-Table1[[#This Row],[Ask Rate]])</f>
        <v>-12.299999999999955</v>
      </c>
      <c r="AA314">
        <f>IF(Table1[[#This Row],[Freq]]="Yearly",Table1[[#This Row],[Coupon_Rate]]/100,IF(Table1[[#This Row],[Freq]]="Monthly",Table1[[#This Row],[Coupon_Rate]]/1200,IF(Table1[[#This Row],[Freq]]="Quarterly",Table1[[#This Row],[Coupon_Rate]]/400,0)))</f>
        <v>8.1000000000000003E-2</v>
      </c>
      <c r="AB314">
        <f ca="1">Table1[[#This Row],[Face Value]]*Table1[[#This Row],[Rate]]*Table1[[#This Row],[Time]]</f>
        <v>324</v>
      </c>
      <c r="AC314">
        <f ca="1">Table1[[#This Row],[SI]]+Table1[[#This Row],[Disc/Prem]]</f>
        <v>311.70000000000005</v>
      </c>
      <c r="AD314" s="3">
        <f ca="1">Table1[[#This Row],[Net Gain]]/Table1[[#This Row],[Ask Rate]]</f>
        <v>0.30791267410846596</v>
      </c>
      <c r="AE314" s="3">
        <f ca="1">IF(Table1[[#This Row],[Ask Qty]]=0,0,Table1[[#This Row],[Gross Yield]]*365/Table1[[#This Row],[Days Left]])</f>
        <v>8.8355445007539363E-2</v>
      </c>
      <c r="AF314" s="9">
        <f ca="1">+Table1[[#This Row],[Net Gain]]*Table1[[#This Row],[Ask Qty]]</f>
        <v>4675.5000000000009</v>
      </c>
      <c r="AG314" t="str">
        <f ca="1">IF(Table1[[#This Row],[YTM]]&gt;0.12,IF(Table1[[#This Row],[Gross Profit]]&gt;10000,"Invest","Review"),"Low YTM")</f>
        <v>Low YTM</v>
      </c>
    </row>
    <row r="315" spans="1:33" x14ac:dyDescent="0.3">
      <c r="A315" t="str">
        <f>RTD("nest.scriprtd",,"bse_cm|9PEL25","Symbol")</f>
        <v>9PEL25</v>
      </c>
      <c r="B315" t="str">
        <f>RTD("nest.scriprtd",,"bse_cm|9PEL25","Trading Symbol")</f>
        <v>9PEL25</v>
      </c>
      <c r="C315" t="str">
        <f>RTD("nest.scriprtd",,"bse_cm|9PEL25","Exchange")</f>
        <v>BSE</v>
      </c>
      <c r="D315">
        <f>RTD("nest.scriprtd",,"bse_cm|9PEL25","Bid Qty")</f>
        <v>23</v>
      </c>
      <c r="E315">
        <f>RTD("nest.scriprtd",,"bse_cm|9PEL25","Bid Rate")</f>
        <v>971</v>
      </c>
      <c r="F315">
        <f>RTD("nest.scriprtd",,"bse_cm|9PEL25","Ask Rate")</f>
        <v>1080</v>
      </c>
      <c r="G315">
        <f>RTD("nest.scriprtd",,"bse_cm|9PEL25","Ask Qty")</f>
        <v>1</v>
      </c>
      <c r="H315">
        <f>RTD("nest.scriprtd",,"bse_cm|9PEL25","LTP")</f>
        <v>0</v>
      </c>
      <c r="I315" t="str">
        <f>RTD("nest.scriprtd",,"bse_cm|9PEL25","LTT")</f>
        <v>00:00:00</v>
      </c>
      <c r="J315">
        <f>RTD("nest.scriprtd",,"bse_cm|9PEL25","% Change")</f>
        <v>-100</v>
      </c>
      <c r="K315">
        <f>RTD("nest.scriprtd",,"bse_cm|9PEL25","ATP")</f>
        <v>0</v>
      </c>
      <c r="L315">
        <f>RTD("nest.scriprtd",,"bse_cm|9PEL25","Volume Traded Today")</f>
        <v>0</v>
      </c>
      <c r="M315">
        <f>RTD("nest.scriprtd",,"bse_cm|9PEL25","Open")</f>
        <v>0</v>
      </c>
      <c r="N315">
        <f>RTD("nest.scriprtd",,"bse_cm|9PEL25","High")</f>
        <v>1071.8</v>
      </c>
      <c r="O315">
        <f>RTD("nest.scriprtd",,"bse_cm|9PEL25","Low ")</f>
        <v>1071.5</v>
      </c>
      <c r="P315">
        <f>RTD("nest.scriprtd",,"bse_cm|9PEL25","Prev Close")</f>
        <v>1071.8</v>
      </c>
      <c r="Q315">
        <f>RTD("nest.scriprtd",,"bse_cm|9PEL25","Face Value")</f>
        <v>1000</v>
      </c>
      <c r="R315" t="str">
        <f>RTD("nest.scriprtd",,"bse_cm|9PEL25","Isin code")</f>
        <v>INE140A07757</v>
      </c>
      <c r="S315" s="9">
        <f>Table1[[#This Row],[Ask Rate]]*Table1[[#This Row],[Ask Qty]]</f>
        <v>1080</v>
      </c>
      <c r="T315">
        <f>VLOOKUP(Table1[[#This Row],[Isin code]],Table2[#All],7,FALSE)</f>
        <v>9</v>
      </c>
      <c r="U315" s="17" t="str">
        <f>VLOOKUP(Table1[[#This Row],[Isin code]],Table2[#All],8,FALSE)</f>
        <v>03-Nov-2025</v>
      </c>
      <c r="V315" s="10">
        <f ca="1">Table1[[#This Row],[Maturity]]-TODAY()</f>
        <v>383</v>
      </c>
      <c r="W315" t="str">
        <f>VLOOKUP(Table1[[#This Row],[Isin code]],Table2[#All],10,FALSE)</f>
        <v>Yearly</v>
      </c>
      <c r="X315">
        <f ca="1">_xlfn.DAYS(Table1[[#This Row],[Maturity]],TODAY())-15</f>
        <v>368</v>
      </c>
      <c r="Y3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15">
        <f>IF(Table1[[#This Row],[Ask Rate]]=0,0,Table1[[#This Row],[Face Value]]-Table1[[#This Row],[Ask Rate]])</f>
        <v>-80</v>
      </c>
      <c r="AA315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315">
        <f ca="1">Table1[[#This Row],[Face Value]]*Table1[[#This Row],[Rate]]*Table1[[#This Row],[Time]]</f>
        <v>180</v>
      </c>
      <c r="AC315">
        <f ca="1">Table1[[#This Row],[SI]]+Table1[[#This Row],[Disc/Prem]]</f>
        <v>100</v>
      </c>
      <c r="AD315" s="3">
        <f ca="1">Table1[[#This Row],[Net Gain]]/Table1[[#This Row],[Ask Rate]]</f>
        <v>9.2592592592592587E-2</v>
      </c>
      <c r="AE315" s="3">
        <f ca="1">IF(Table1[[#This Row],[Ask Qty]]=0,0,Table1[[#This Row],[Gross Yield]]*365/Table1[[#This Row],[Days Left]])</f>
        <v>8.8240982496857176E-2</v>
      </c>
      <c r="AF315" s="9">
        <f ca="1">+Table1[[#This Row],[Net Gain]]*Table1[[#This Row],[Ask Qty]]</f>
        <v>100</v>
      </c>
      <c r="AG315" t="str">
        <f ca="1">IF(Table1[[#This Row],[YTM]]&gt;0.12,IF(Table1[[#This Row],[Gross Profit]]&gt;10000,"Invest","Review"),"Low YTM")</f>
        <v>Low YTM</v>
      </c>
    </row>
    <row r="316" spans="1:33" x14ac:dyDescent="0.3">
      <c r="A316" t="str">
        <f>RTD("nest.scriprtd",,"bse_cm|84MFL25","Symbol")</f>
        <v>84MFL25</v>
      </c>
      <c r="B316" t="str">
        <f>RTD("nest.scriprtd",,"bse_cm|84MFL25","Trading Symbol")</f>
        <v>84MFL25</v>
      </c>
      <c r="C316" t="str">
        <f>RTD("nest.scriprtd",,"bse_cm|84MFL25","Exchange")</f>
        <v>BSE</v>
      </c>
      <c r="D316">
        <f>RTD("nest.scriprtd",,"bse_cm|84MFL25","Bid Qty")</f>
        <v>180</v>
      </c>
      <c r="E316">
        <f>RTD("nest.scriprtd",,"bse_cm|84MFL25","Bid Rate")</f>
        <v>964.2</v>
      </c>
      <c r="F316">
        <f>RTD("nest.scriprtd",,"bse_cm|84MFL25","Ask Rate")</f>
        <v>1000</v>
      </c>
      <c r="G316">
        <f>RTD("nest.scriprtd",,"bse_cm|84MFL25","Ask Qty")</f>
        <v>206</v>
      </c>
      <c r="H316">
        <f>RTD("nest.scriprtd",,"bse_cm|84MFL25","LTP")</f>
        <v>0</v>
      </c>
      <c r="I316" t="str">
        <f>RTD("nest.scriprtd",,"bse_cm|84MFL25","LTT")</f>
        <v>00:00:00</v>
      </c>
      <c r="J316">
        <f>RTD("nest.scriprtd",,"bse_cm|84MFL25","% Change")</f>
        <v>-100</v>
      </c>
      <c r="K316">
        <f>RTD("nest.scriprtd",,"bse_cm|84MFL25","ATP")</f>
        <v>0</v>
      </c>
      <c r="L316">
        <f>RTD("nest.scriprtd",,"bse_cm|84MFL25","Volume Traded Today")</f>
        <v>0</v>
      </c>
      <c r="M316">
        <f>RTD("nest.scriprtd",,"bse_cm|84MFL25","Open")</f>
        <v>0</v>
      </c>
      <c r="N316">
        <f>RTD("nest.scriprtd",,"bse_cm|84MFL25","High")</f>
        <v>980.5</v>
      </c>
      <c r="O316">
        <f>RTD("nest.scriprtd",,"bse_cm|84MFL25","Low ")</f>
        <v>980.5</v>
      </c>
      <c r="P316">
        <f>RTD("nest.scriprtd",,"bse_cm|84MFL25","Prev Close")</f>
        <v>980.5</v>
      </c>
      <c r="Q316">
        <f>RTD("nest.scriprtd",,"bse_cm|84MFL25","Face Value")</f>
        <v>1000</v>
      </c>
      <c r="R316" t="str">
        <f>RTD("nest.scriprtd",,"bse_cm|84MFL25","Isin code")</f>
        <v>INE549K07CF9</v>
      </c>
      <c r="S316" s="9">
        <f>Table1[[#This Row],[Ask Rate]]*Table1[[#This Row],[Ask Qty]]</f>
        <v>206000</v>
      </c>
      <c r="T316">
        <f>VLOOKUP(Table1[[#This Row],[Isin code]],Table2[#All],7,FALSE)</f>
        <v>8.4</v>
      </c>
      <c r="U316" s="17" t="str">
        <f>VLOOKUP(Table1[[#This Row],[Isin code]],Table2[#All],8,FALSE)</f>
        <v>02-Aug-2025</v>
      </c>
      <c r="V316" s="10">
        <f ca="1">Table1[[#This Row],[Maturity]]-TODAY()</f>
        <v>290</v>
      </c>
      <c r="W316" t="str">
        <f>VLOOKUP(Table1[[#This Row],[Isin code]],Table2[#All],10,FALSE)</f>
        <v>Monthly</v>
      </c>
      <c r="X316">
        <f ca="1">_xlfn.DAYS(Table1[[#This Row],[Maturity]],TODAY())-15</f>
        <v>275</v>
      </c>
      <c r="Y3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316">
        <f>IF(Table1[[#This Row],[Ask Rate]]=0,0,Table1[[#This Row],[Face Value]]-Table1[[#This Row],[Ask Rate]])</f>
        <v>0</v>
      </c>
      <c r="AA316">
        <f>IF(Table1[[#This Row],[Freq]]="Yearly",Table1[[#This Row],[Coupon_Rate]]/100,IF(Table1[[#This Row],[Freq]]="Monthly",Table1[[#This Row],[Coupon_Rate]]/1200,IF(Table1[[#This Row],[Freq]]="Quarterly",Table1[[#This Row],[Coupon_Rate]]/400,0)))</f>
        <v>7.0000000000000001E-3</v>
      </c>
      <c r="AB316">
        <f ca="1">Table1[[#This Row],[Face Value]]*Table1[[#This Row],[Rate]]*Table1[[#This Row],[Time]]</f>
        <v>70</v>
      </c>
      <c r="AC316">
        <f ca="1">Table1[[#This Row],[SI]]+Table1[[#This Row],[Disc/Prem]]</f>
        <v>70</v>
      </c>
      <c r="AD316" s="3">
        <f ca="1">Table1[[#This Row],[Net Gain]]/Table1[[#This Row],[Ask Rate]]</f>
        <v>7.0000000000000007E-2</v>
      </c>
      <c r="AE316" s="3">
        <f ca="1">IF(Table1[[#This Row],[Ask Qty]]=0,0,Table1[[#This Row],[Gross Yield]]*365/Table1[[#This Row],[Days Left]])</f>
        <v>8.810344827586207E-2</v>
      </c>
      <c r="AF316" s="9">
        <f ca="1">+Table1[[#This Row],[Net Gain]]*Table1[[#This Row],[Ask Qty]]</f>
        <v>14420</v>
      </c>
      <c r="AG316" t="str">
        <f ca="1">IF(Table1[[#This Row],[YTM]]&gt;0.12,IF(Table1[[#This Row],[Gross Profit]]&gt;10000,"Invest","Review"),"Low YTM")</f>
        <v>Low YTM</v>
      </c>
    </row>
    <row r="317" spans="1:33" x14ac:dyDescent="0.3">
      <c r="A317" t="str">
        <f>RTD("nest.scriprtd",,"bse_cm|932AEL27","Symbol")</f>
        <v>932AEL27</v>
      </c>
      <c r="B317" t="str">
        <f>RTD("nest.scriprtd",,"bse_cm|932AEL27","Trading Symbol")</f>
        <v>932AEL27</v>
      </c>
      <c r="C317" t="str">
        <f>RTD("nest.scriprtd",,"bse_cm|932AEL27","Exchange")</f>
        <v>BSE</v>
      </c>
      <c r="D317">
        <f>RTD("nest.scriprtd",,"bse_cm|932AEL27","Bid Qty")</f>
        <v>100</v>
      </c>
      <c r="E317">
        <f>RTD("nest.scriprtd",,"bse_cm|932AEL27","Bid Rate")</f>
        <v>999</v>
      </c>
      <c r="F317">
        <f>RTD("nest.scriprtd",,"bse_cm|932AEL27","Ask Rate")</f>
        <v>1020</v>
      </c>
      <c r="G317">
        <f>RTD("nest.scriprtd",,"bse_cm|932AEL27","Ask Qty")</f>
        <v>25</v>
      </c>
      <c r="H317">
        <f>RTD("nest.scriprtd",,"bse_cm|932AEL27","LTP")</f>
        <v>0</v>
      </c>
      <c r="I317" t="str">
        <f>RTD("nest.scriprtd",,"bse_cm|932AEL27","LTT")</f>
        <v>00:00:00</v>
      </c>
      <c r="J317">
        <f>RTD("nest.scriprtd",,"bse_cm|932AEL27","% Change")</f>
        <v>-100</v>
      </c>
      <c r="K317">
        <f>RTD("nest.scriprtd",,"bse_cm|932AEL27","ATP")</f>
        <v>0</v>
      </c>
      <c r="L317">
        <f>RTD("nest.scriprtd",,"bse_cm|932AEL27","Volume Traded Today")</f>
        <v>0</v>
      </c>
      <c r="M317">
        <f>RTD("nest.scriprtd",,"bse_cm|932AEL27","Open")</f>
        <v>0</v>
      </c>
      <c r="N317">
        <f>RTD("nest.scriprtd",,"bse_cm|932AEL27","High")</f>
        <v>1001</v>
      </c>
      <c r="O317">
        <f>RTD("nest.scriprtd",,"bse_cm|932AEL27","Low ")</f>
        <v>1001</v>
      </c>
      <c r="P317">
        <f>RTD("nest.scriprtd",,"bse_cm|932AEL27","Prev Close")</f>
        <v>1001</v>
      </c>
      <c r="Q317">
        <f>RTD("nest.scriprtd",,"bse_cm|932AEL27","Face Value")</f>
        <v>1000</v>
      </c>
      <c r="R317" t="str">
        <f>RTD("nest.scriprtd",,"bse_cm|932AEL27","Isin code")</f>
        <v>INE423A07310</v>
      </c>
      <c r="S317" s="9">
        <f>Table1[[#This Row],[Ask Rate]]*Table1[[#This Row],[Ask Qty]]</f>
        <v>25500</v>
      </c>
      <c r="T317">
        <f>VLOOKUP(Table1[[#This Row],[Isin code]],Table2[#All],7,FALSE)</f>
        <v>9.32</v>
      </c>
      <c r="U317" s="17" t="str">
        <f>VLOOKUP(Table1[[#This Row],[Isin code]],Table2[#All],8,FALSE)</f>
        <v>12-Sep-2027</v>
      </c>
      <c r="V317" s="10">
        <f ca="1">Table1[[#This Row],[Maturity]]-TODAY()</f>
        <v>1061</v>
      </c>
      <c r="W317" t="str">
        <f>VLOOKUP(Table1[[#This Row],[Isin code]],Table2[#All],10,FALSE)</f>
        <v>Quarterly</v>
      </c>
      <c r="X317">
        <f ca="1">_xlfn.DAYS(Table1[[#This Row],[Maturity]],TODAY())-15</f>
        <v>1046</v>
      </c>
      <c r="Y3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317">
        <f>IF(Table1[[#This Row],[Ask Rate]]=0,0,Table1[[#This Row],[Face Value]]-Table1[[#This Row],[Ask Rate]])</f>
        <v>-20</v>
      </c>
      <c r="AA317">
        <f>IF(Table1[[#This Row],[Freq]]="Yearly",Table1[[#This Row],[Coupon_Rate]]/100,IF(Table1[[#This Row],[Freq]]="Monthly",Table1[[#This Row],[Coupon_Rate]]/1200,IF(Table1[[#This Row],[Freq]]="Quarterly",Table1[[#This Row],[Coupon_Rate]]/400,0)))</f>
        <v>2.3300000000000001E-2</v>
      </c>
      <c r="AB317">
        <f ca="1">Table1[[#This Row],[Face Value]]*Table1[[#This Row],[Rate]]*Table1[[#This Row],[Time]]</f>
        <v>279.60000000000002</v>
      </c>
      <c r="AC317">
        <f ca="1">Table1[[#This Row],[SI]]+Table1[[#This Row],[Disc/Prem]]</f>
        <v>259.60000000000002</v>
      </c>
      <c r="AD317" s="3">
        <f ca="1">Table1[[#This Row],[Net Gain]]/Table1[[#This Row],[Ask Rate]]</f>
        <v>0.25450980392156863</v>
      </c>
      <c r="AE317" s="3">
        <f ca="1">IF(Table1[[#This Row],[Ask Qty]]=0,0,Table1[[#This Row],[Gross Yield]]*365/Table1[[#This Row],[Days Left]])</f>
        <v>8.7555210585648025E-2</v>
      </c>
      <c r="AF317" s="9">
        <f ca="1">+Table1[[#This Row],[Net Gain]]*Table1[[#This Row],[Ask Qty]]</f>
        <v>6490.0000000000009</v>
      </c>
      <c r="AG317" t="str">
        <f ca="1">IF(Table1[[#This Row],[YTM]]&gt;0.12,IF(Table1[[#This Row],[Gross Profit]]&gt;10000,"Invest","Review"),"Low YTM")</f>
        <v>Low YTM</v>
      </c>
    </row>
    <row r="318" spans="1:33" x14ac:dyDescent="0.3">
      <c r="A318" t="str">
        <f>RTD("nest.scriprtd",,"bse_cm|825MFL2026","Symbol")</f>
        <v>825MFL2026</v>
      </c>
      <c r="B318" t="str">
        <f>RTD("nest.scriprtd",,"bse_cm|825MFL2026","Trading Symbol")</f>
        <v>825MFL2026</v>
      </c>
      <c r="C318" t="str">
        <f>RTD("nest.scriprtd",,"bse_cm|825MFL2026","Exchange")</f>
        <v>BSE</v>
      </c>
      <c r="D318">
        <f>RTD("nest.scriprtd",,"bse_cm|825MFL2026","Bid Qty")</f>
        <v>189</v>
      </c>
      <c r="E318">
        <f>RTD("nest.scriprtd",,"bse_cm|825MFL2026","Bid Rate")</f>
        <v>1027</v>
      </c>
      <c r="F318">
        <f>RTD("nest.scriprtd",,"bse_cm|825MFL2026","Ask Rate")</f>
        <v>1048</v>
      </c>
      <c r="G318">
        <f>RTD("nest.scriprtd",,"bse_cm|825MFL2026","Ask Qty")</f>
        <v>9</v>
      </c>
      <c r="H318">
        <f>RTD("nest.scriprtd",,"bse_cm|825MFL2026","LTP")</f>
        <v>0</v>
      </c>
      <c r="I318" t="str">
        <f>RTD("nest.scriprtd",,"bse_cm|825MFL2026","LTT")</f>
        <v>00:00:00</v>
      </c>
      <c r="J318">
        <f>RTD("nest.scriprtd",,"bse_cm|825MFL2026","% Change")</f>
        <v>-100</v>
      </c>
      <c r="K318">
        <f>RTD("nest.scriprtd",,"bse_cm|825MFL2026","ATP")</f>
        <v>0</v>
      </c>
      <c r="L318">
        <f>RTD("nest.scriprtd",,"bse_cm|825MFL2026","Volume Traded Today")</f>
        <v>0</v>
      </c>
      <c r="M318">
        <f>RTD("nest.scriprtd",,"bse_cm|825MFL2026","Open")</f>
        <v>0</v>
      </c>
      <c r="N318">
        <f>RTD("nest.scriprtd",,"bse_cm|825MFL2026","High")</f>
        <v>1047.58</v>
      </c>
      <c r="O318">
        <f>RTD("nest.scriprtd",,"bse_cm|825MFL2026","Low ")</f>
        <v>1047.58</v>
      </c>
      <c r="P318">
        <f>RTD("nest.scriprtd",,"bse_cm|825MFL2026","Prev Close")</f>
        <v>1047.58</v>
      </c>
      <c r="Q318">
        <f>RTD("nest.scriprtd",,"bse_cm|825MFL2026","Face Value")</f>
        <v>1000</v>
      </c>
      <c r="R318" t="str">
        <f>RTD("nest.scriprtd",,"bse_cm|825MFL2026","Isin code")</f>
        <v>INE414G07IU0</v>
      </c>
      <c r="S318" s="9">
        <f>Table1[[#This Row],[Ask Rate]]*Table1[[#This Row],[Ask Qty]]</f>
        <v>9432</v>
      </c>
      <c r="T318">
        <f>VLOOKUP(Table1[[#This Row],[Isin code]],Table2[#All],7,FALSE)</f>
        <v>8.25</v>
      </c>
      <c r="U318" s="17" t="str">
        <f>VLOOKUP(Table1[[#This Row],[Isin code]],Table2[#All],8,FALSE)</f>
        <v>25-Jan-2026</v>
      </c>
      <c r="V318" s="10">
        <f ca="1">Table1[[#This Row],[Maturity]]-TODAY()</f>
        <v>466</v>
      </c>
      <c r="W318" t="str">
        <f>VLOOKUP(Table1[[#This Row],[Isin code]],Table2[#All],10,FALSE)</f>
        <v>Yearly</v>
      </c>
      <c r="X318">
        <f ca="1">_xlfn.DAYS(Table1[[#This Row],[Maturity]],TODAY())-15</f>
        <v>451</v>
      </c>
      <c r="Y3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18">
        <f>IF(Table1[[#This Row],[Ask Rate]]=0,0,Table1[[#This Row],[Face Value]]-Table1[[#This Row],[Ask Rate]])</f>
        <v>-48</v>
      </c>
      <c r="AA318">
        <f>IF(Table1[[#This Row],[Freq]]="Yearly",Table1[[#This Row],[Coupon_Rate]]/100,IF(Table1[[#This Row],[Freq]]="Monthly",Table1[[#This Row],[Coupon_Rate]]/1200,IF(Table1[[#This Row],[Freq]]="Quarterly",Table1[[#This Row],[Coupon_Rate]]/400,0)))</f>
        <v>8.2500000000000004E-2</v>
      </c>
      <c r="AB318">
        <f ca="1">Table1[[#This Row],[Face Value]]*Table1[[#This Row],[Rate]]*Table1[[#This Row],[Time]]</f>
        <v>165</v>
      </c>
      <c r="AC318">
        <f ca="1">Table1[[#This Row],[SI]]+Table1[[#This Row],[Disc/Prem]]</f>
        <v>117</v>
      </c>
      <c r="AD318" s="3">
        <f ca="1">Table1[[#This Row],[Net Gain]]/Table1[[#This Row],[Ask Rate]]</f>
        <v>0.11164122137404581</v>
      </c>
      <c r="AE318" s="3">
        <f ca="1">IF(Table1[[#This Row],[Ask Qty]]=0,0,Table1[[#This Row],[Gross Yield]]*365/Table1[[#This Row],[Days Left]])</f>
        <v>8.7444304295121719E-2</v>
      </c>
      <c r="AF318" s="9">
        <f ca="1">+Table1[[#This Row],[Net Gain]]*Table1[[#This Row],[Ask Qty]]</f>
        <v>1053</v>
      </c>
      <c r="AG318" t="str">
        <f ca="1">IF(Table1[[#This Row],[YTM]]&gt;0.12,IF(Table1[[#This Row],[Gross Profit]]&gt;10000,"Invest","Review"),"Low YTM")</f>
        <v>Low YTM</v>
      </c>
    </row>
    <row r="319" spans="1:33" x14ac:dyDescent="0.3">
      <c r="A319" t="str">
        <f>RTD("nest.scriprtd",,"bse_cm|105UCL2026","Symbol")</f>
        <v>105UCL2026</v>
      </c>
      <c r="B319" t="str">
        <f>RTD("nest.scriprtd",,"bse_cm|105UCL2026","Trading Symbol")</f>
        <v>105UCL2026</v>
      </c>
      <c r="C319" t="str">
        <f>RTD("nest.scriprtd",,"bse_cm|105UCL2026","Exchange")</f>
        <v>BSE</v>
      </c>
      <c r="D319">
        <f>RTD("nest.scriprtd",,"bse_cm|105UCL2026","Bid Qty")</f>
        <v>20</v>
      </c>
      <c r="E319">
        <f>RTD("nest.scriprtd",,"bse_cm|105UCL2026","Bid Rate")</f>
        <v>985</v>
      </c>
      <c r="F319">
        <f>RTD("nest.scriprtd",,"bse_cm|105UCL2026","Ask Rate")</f>
        <v>1030</v>
      </c>
      <c r="G319">
        <f>RTD("nest.scriprtd",,"bse_cm|105UCL2026","Ask Qty")</f>
        <v>25</v>
      </c>
      <c r="H319">
        <f>RTD("nest.scriprtd",,"bse_cm|105UCL2026","LTP")</f>
        <v>0</v>
      </c>
      <c r="I319" t="str">
        <f>RTD("nest.scriprtd",,"bse_cm|105UCL2026","LTT")</f>
        <v>00:00:00</v>
      </c>
      <c r="J319">
        <f>RTD("nest.scriprtd",,"bse_cm|105UCL2026","% Change")</f>
        <v>-100</v>
      </c>
      <c r="K319">
        <f>RTD("nest.scriprtd",,"bse_cm|105UCL2026","ATP")</f>
        <v>0</v>
      </c>
      <c r="L319">
        <f>RTD("nest.scriprtd",,"bse_cm|105UCL2026","Volume Traded Today")</f>
        <v>0</v>
      </c>
      <c r="M319">
        <f>RTD("nest.scriprtd",,"bse_cm|105UCL2026","Open")</f>
        <v>0</v>
      </c>
      <c r="N319">
        <f>RTD("nest.scriprtd",,"bse_cm|105UCL2026","High")</f>
        <v>995</v>
      </c>
      <c r="O319">
        <f>RTD("nest.scriprtd",,"bse_cm|105UCL2026","Low ")</f>
        <v>995</v>
      </c>
      <c r="P319">
        <f>RTD("nest.scriprtd",,"bse_cm|105UCL2026","Prev Close")</f>
        <v>995</v>
      </c>
      <c r="Q319">
        <f>RTD("nest.scriprtd",,"bse_cm|105UCL2026","Face Value")</f>
        <v>1000</v>
      </c>
      <c r="R319" t="str">
        <f>RTD("nest.scriprtd",,"bse_cm|105UCL2026","Isin code")</f>
        <v>INE583D07463</v>
      </c>
      <c r="S319" s="9">
        <f>Table1[[#This Row],[Ask Rate]]*Table1[[#This Row],[Ask Qty]]</f>
        <v>25750</v>
      </c>
      <c r="T319">
        <f>VLOOKUP(Table1[[#This Row],[Isin code]],Table2[#All],7,FALSE)</f>
        <v>10.5</v>
      </c>
      <c r="U319" s="17" t="str">
        <f>VLOOKUP(Table1[[#This Row],[Isin code]],Table2[#All],8,FALSE)</f>
        <v>27-May-2026</v>
      </c>
      <c r="V319" s="10">
        <f ca="1">Table1[[#This Row],[Maturity]]-TODAY()</f>
        <v>588</v>
      </c>
      <c r="W319" t="str">
        <f>VLOOKUP(Table1[[#This Row],[Isin code]],Table2[#All],10,FALSE)</f>
        <v>Monthly</v>
      </c>
      <c r="X319">
        <f ca="1">_xlfn.DAYS(Table1[[#This Row],[Maturity]],TODAY())-15</f>
        <v>573</v>
      </c>
      <c r="Y3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319">
        <f>IF(Table1[[#This Row],[Ask Rate]]=0,0,Table1[[#This Row],[Face Value]]-Table1[[#This Row],[Ask Rate]])</f>
        <v>-30</v>
      </c>
      <c r="AA319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319">
        <f ca="1">Table1[[#This Row],[Face Value]]*Table1[[#This Row],[Rate]]*Table1[[#This Row],[Time]]</f>
        <v>175</v>
      </c>
      <c r="AC319">
        <f ca="1">Table1[[#This Row],[SI]]+Table1[[#This Row],[Disc/Prem]]</f>
        <v>145</v>
      </c>
      <c r="AD319" s="3">
        <f ca="1">Table1[[#This Row],[Net Gain]]/Table1[[#This Row],[Ask Rate]]</f>
        <v>0.14077669902912621</v>
      </c>
      <c r="AE319" s="3">
        <f ca="1">IF(Table1[[#This Row],[Ask Qty]]=0,0,Table1[[#This Row],[Gross Yield]]*365/Table1[[#This Row],[Days Left]])</f>
        <v>8.7386896506175288E-2</v>
      </c>
      <c r="AF319" s="9">
        <f ca="1">+Table1[[#This Row],[Net Gain]]*Table1[[#This Row],[Ask Qty]]</f>
        <v>3625</v>
      </c>
      <c r="AG319" t="str">
        <f ca="1">IF(Table1[[#This Row],[YTM]]&gt;0.12,IF(Table1[[#This Row],[Gross Profit]]&gt;10000,"Invest","Review"),"Low YTM")</f>
        <v>Low YTM</v>
      </c>
    </row>
    <row r="320" spans="1:33" x14ac:dyDescent="0.3">
      <c r="A320" t="str">
        <f>RTD("nest.scriprtd",,"bse_cm|1025MMFL26","Symbol")</f>
        <v>1025MMFL26</v>
      </c>
      <c r="B320" t="str">
        <f>RTD("nest.scriprtd",,"bse_cm|1025MMFL26","Trading Symbol")</f>
        <v>1025MMFL26</v>
      </c>
      <c r="C320" t="str">
        <f>RTD("nest.scriprtd",,"bse_cm|1025MMFL26","Exchange")</f>
        <v>BSE</v>
      </c>
      <c r="D320">
        <f>RTD("nest.scriprtd",,"bse_cm|1025MMFL26","Bid Qty")</f>
        <v>20</v>
      </c>
      <c r="E320">
        <f>RTD("nest.scriprtd",,"bse_cm|1025MMFL26","Bid Rate")</f>
        <v>836.8</v>
      </c>
      <c r="F320">
        <f>RTD("nest.scriprtd",,"bse_cm|1025MMFL26","Ask Rate")</f>
        <v>1020</v>
      </c>
      <c r="G320">
        <f>RTD("nest.scriprtd",,"bse_cm|1025MMFL26","Ask Qty")</f>
        <v>260</v>
      </c>
      <c r="H320">
        <f>RTD("nest.scriprtd",,"bse_cm|1025MMFL26","LTP")</f>
        <v>0</v>
      </c>
      <c r="I320" t="str">
        <f>RTD("nest.scriprtd",,"bse_cm|1025MMFL26","LTT")</f>
        <v>00:00:00</v>
      </c>
      <c r="J320">
        <f>RTD("nest.scriprtd",,"bse_cm|1025MMFL26","% Change")</f>
        <v>-100</v>
      </c>
      <c r="K320">
        <f>RTD("nest.scriprtd",,"bse_cm|1025MMFL26","ATP")</f>
        <v>0</v>
      </c>
      <c r="L320">
        <f>RTD("nest.scriprtd",,"bse_cm|1025MMFL26","Volume Traded Today")</f>
        <v>0</v>
      </c>
      <c r="M320">
        <f>RTD("nest.scriprtd",,"bse_cm|1025MMFL26","Open")</f>
        <v>0</v>
      </c>
      <c r="N320">
        <f>RTD("nest.scriprtd",,"bse_cm|1025MMFL26","High")</f>
        <v>1000</v>
      </c>
      <c r="O320">
        <f>RTD("nest.scriprtd",,"bse_cm|1025MMFL26","Low ")</f>
        <v>1000</v>
      </c>
      <c r="P320">
        <f>RTD("nest.scriprtd",,"bse_cm|1025MMFL26","Prev Close")</f>
        <v>1000</v>
      </c>
      <c r="Q320">
        <f>RTD("nest.scriprtd",,"bse_cm|1025MMFL26","Face Value")</f>
        <v>1000</v>
      </c>
      <c r="R320" t="str">
        <f>RTD("nest.scriprtd",,"bse_cm|1025MMFL26","Isin code")</f>
        <v>INE101Q08118</v>
      </c>
      <c r="S320" s="9">
        <f>Table1[[#This Row],[Ask Rate]]*Table1[[#This Row],[Ask Qty]]</f>
        <v>265200</v>
      </c>
      <c r="T320">
        <f>VLOOKUP(Table1[[#This Row],[Isin code]],Table2[#All],7,FALSE)</f>
        <v>10.25</v>
      </c>
      <c r="U320" s="17" t="str">
        <f>VLOOKUP(Table1[[#This Row],[Isin code]],Table2[#All],8,FALSE)</f>
        <v>13-Mar-2026</v>
      </c>
      <c r="V320" s="10">
        <f ca="1">Table1[[#This Row],[Maturity]]-TODAY()</f>
        <v>513</v>
      </c>
      <c r="W320" t="str">
        <f>VLOOKUP(Table1[[#This Row],[Isin code]],Table2[#All],10,FALSE)</f>
        <v>Monthly</v>
      </c>
      <c r="X320">
        <f ca="1">_xlfn.DAYS(Table1[[#This Row],[Maturity]],TODAY())-15</f>
        <v>498</v>
      </c>
      <c r="Y3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17</v>
      </c>
      <c r="Z320">
        <f>IF(Table1[[#This Row],[Ask Rate]]=0,0,Table1[[#This Row],[Face Value]]-Table1[[#This Row],[Ask Rate]])</f>
        <v>-20</v>
      </c>
      <c r="AA320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320">
        <f ca="1">Table1[[#This Row],[Face Value]]*Table1[[#This Row],[Rate]]*Table1[[#This Row],[Time]]</f>
        <v>145.20833333333331</v>
      </c>
      <c r="AC320">
        <f ca="1">Table1[[#This Row],[SI]]+Table1[[#This Row],[Disc/Prem]]</f>
        <v>125.20833333333331</v>
      </c>
      <c r="AD320" s="3">
        <f ca="1">Table1[[#This Row],[Net Gain]]/Table1[[#This Row],[Ask Rate]]</f>
        <v>0.12275326797385619</v>
      </c>
      <c r="AE320" s="3">
        <f ca="1">IF(Table1[[#This Row],[Ask Qty]]=0,0,Table1[[#This Row],[Gross Yield]]*365/Table1[[#This Row],[Days Left]])</f>
        <v>8.7339069805960068E-2</v>
      </c>
      <c r="AF320" s="9">
        <f ca="1">+Table1[[#This Row],[Net Gain]]*Table1[[#This Row],[Ask Qty]]</f>
        <v>32554.166666666661</v>
      </c>
      <c r="AG320" t="str">
        <f ca="1">IF(Table1[[#This Row],[YTM]]&gt;0.12,IF(Table1[[#This Row],[Gross Profit]]&gt;10000,"Invest","Review"),"Low YTM")</f>
        <v>Low YTM</v>
      </c>
    </row>
    <row r="321" spans="1:33" x14ac:dyDescent="0.3">
      <c r="A321" t="str">
        <f>RTD("nest.scriprtd",,"bse_cm|8MFLTD26","Symbol")</f>
        <v>8MFLTD26</v>
      </c>
      <c r="B321" t="str">
        <f>RTD("nest.scriprtd",,"bse_cm|8MFLTD26","Trading Symbol")</f>
        <v>8MFLTD26</v>
      </c>
      <c r="C321" t="str">
        <f>RTD("nest.scriprtd",,"bse_cm|8MFLTD26","Exchange")</f>
        <v>BSE</v>
      </c>
      <c r="D321">
        <f>RTD("nest.scriprtd",,"bse_cm|8MFLTD26","Bid Qty")</f>
        <v>25</v>
      </c>
      <c r="E321">
        <f>RTD("nest.scriprtd",,"bse_cm|8MFLTD26","Bid Rate")</f>
        <v>941</v>
      </c>
      <c r="F321">
        <f>RTD("nest.scriprtd",,"bse_cm|8MFLTD26","Ask Rate")</f>
        <v>990</v>
      </c>
      <c r="G321">
        <f>RTD("nest.scriprtd",,"bse_cm|8MFLTD26","Ask Qty")</f>
        <v>1726</v>
      </c>
      <c r="H321">
        <f>RTD("nest.scriprtd",,"bse_cm|8MFLTD26","LTP")</f>
        <v>0</v>
      </c>
      <c r="I321" t="str">
        <f>RTD("nest.scriprtd",,"bse_cm|8MFLTD26","LTT")</f>
        <v>00:00:00</v>
      </c>
      <c r="J321">
        <f>RTD("nest.scriprtd",,"bse_cm|8MFLTD26","% Change")</f>
        <v>-100</v>
      </c>
      <c r="K321">
        <f>RTD("nest.scriprtd",,"bse_cm|8MFLTD26","ATP")</f>
        <v>0</v>
      </c>
      <c r="L321">
        <f>RTD("nest.scriprtd",,"bse_cm|8MFLTD26","Volume Traded Today")</f>
        <v>0</v>
      </c>
      <c r="M321">
        <f>RTD("nest.scriprtd",,"bse_cm|8MFLTD26","Open")</f>
        <v>0</v>
      </c>
      <c r="N321">
        <f>RTD("nest.scriprtd",,"bse_cm|8MFLTD26","High")</f>
        <v>990</v>
      </c>
      <c r="O321">
        <f>RTD("nest.scriprtd",,"bse_cm|8MFLTD26","Low ")</f>
        <v>990</v>
      </c>
      <c r="P321">
        <f>RTD("nest.scriprtd",,"bse_cm|8MFLTD26","Prev Close")</f>
        <v>990</v>
      </c>
      <c r="Q321">
        <f>RTD("nest.scriprtd",,"bse_cm|8MFLTD26","Face Value")</f>
        <v>1000</v>
      </c>
      <c r="R321" t="str">
        <f>RTD("nest.scriprtd",,"bse_cm|8MFLTD26","Isin code")</f>
        <v>INE414G07IN5</v>
      </c>
      <c r="S321" s="9">
        <f>Table1[[#This Row],[Ask Rate]]*Table1[[#This Row],[Ask Qty]]</f>
        <v>1708740</v>
      </c>
      <c r="T321">
        <f>VLOOKUP(Table1[[#This Row],[Isin code]],Table2[#All],7,FALSE)</f>
        <v>8</v>
      </c>
      <c r="U321" s="17" t="str">
        <f>VLOOKUP(Table1[[#This Row],[Isin code]],Table2[#All],8,FALSE)</f>
        <v>04-Oct-2026</v>
      </c>
      <c r="V321" s="10">
        <f ca="1">Table1[[#This Row],[Maturity]]-TODAY()</f>
        <v>718</v>
      </c>
      <c r="W321" t="str">
        <f>VLOOKUP(Table1[[#This Row],[Isin code]],Table2[#All],10,FALSE)</f>
        <v>Yearly</v>
      </c>
      <c r="X321">
        <f ca="1">_xlfn.DAYS(Table1[[#This Row],[Maturity]],TODAY())-15</f>
        <v>703</v>
      </c>
      <c r="Y3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21">
        <f>IF(Table1[[#This Row],[Ask Rate]]=0,0,Table1[[#This Row],[Face Value]]-Table1[[#This Row],[Ask Rate]])</f>
        <v>10</v>
      </c>
      <c r="AA321">
        <f>IF(Table1[[#This Row],[Freq]]="Yearly",Table1[[#This Row],[Coupon_Rate]]/100,IF(Table1[[#This Row],[Freq]]="Monthly",Table1[[#This Row],[Coupon_Rate]]/1200,IF(Table1[[#This Row],[Freq]]="Quarterly",Table1[[#This Row],[Coupon_Rate]]/400,0)))</f>
        <v>0.08</v>
      </c>
      <c r="AB321">
        <f ca="1">Table1[[#This Row],[Face Value]]*Table1[[#This Row],[Rate]]*Table1[[#This Row],[Time]]</f>
        <v>160</v>
      </c>
      <c r="AC321">
        <f ca="1">Table1[[#This Row],[SI]]+Table1[[#This Row],[Disc/Prem]]</f>
        <v>170</v>
      </c>
      <c r="AD321" s="3">
        <f ca="1">Table1[[#This Row],[Net Gain]]/Table1[[#This Row],[Ask Rate]]</f>
        <v>0.17171717171717171</v>
      </c>
      <c r="AE321" s="3">
        <f ca="1">IF(Table1[[#This Row],[Ask Qty]]=0,0,Table1[[#This Row],[Gross Yield]]*365/Table1[[#This Row],[Days Left]])</f>
        <v>8.7293548296333803E-2</v>
      </c>
      <c r="AF321" s="9">
        <f ca="1">+Table1[[#This Row],[Net Gain]]*Table1[[#This Row],[Ask Qty]]</f>
        <v>293420</v>
      </c>
      <c r="AG321" t="str">
        <f ca="1">IF(Table1[[#This Row],[YTM]]&gt;0.12,IF(Table1[[#This Row],[Gross Profit]]&gt;10000,"Invest","Review"),"Low YTM")</f>
        <v>Low YTM</v>
      </c>
    </row>
    <row r="322" spans="1:33" x14ac:dyDescent="0.3">
      <c r="A322" t="str">
        <f>RTD("nest.scriprtd",,"nse_cm|11UCL26-NC","Symbol")</f>
        <v>11UCL26</v>
      </c>
      <c r="B322" t="str">
        <f>RTD("nest.scriprtd",,"nse_cm|11UCL26-NC","Trading Symbol")</f>
        <v>11UCL26-NC</v>
      </c>
      <c r="C322" t="str">
        <f>RTD("nest.scriprtd",,"nse_cm|11UCL26-NC","Exchange")</f>
        <v>NSE</v>
      </c>
      <c r="D322">
        <f>RTD("nest.scriprtd",,"nse_cm|11UCL26-NC","Bid Qty")</f>
        <v>25</v>
      </c>
      <c r="E322">
        <f>RTD("nest.scriprtd",,"nse_cm|11UCL26-NC","Bid Rate")</f>
        <v>1045</v>
      </c>
      <c r="F322">
        <f>RTD("nest.scriprtd",,"nse_cm|11UCL26-NC","Ask Rate")</f>
        <v>1069.9000000000001</v>
      </c>
      <c r="G322">
        <f>RTD("nest.scriprtd",,"nse_cm|11UCL26-NC","Ask Qty")</f>
        <v>50</v>
      </c>
      <c r="H322">
        <f>RTD("nest.scriprtd",,"nse_cm|11UCL26-NC","LTP")</f>
        <v>1061</v>
      </c>
      <c r="I322" t="str">
        <f>RTD("nest.scriprtd",,"nse_cm|11UCL26-NC","LTT")</f>
        <v/>
      </c>
      <c r="J322">
        <f>RTD("nest.scriprtd",,"nse_cm|11UCL26-NC","% Change")</f>
        <v>0</v>
      </c>
      <c r="K322">
        <f>RTD("nest.scriprtd",,"nse_cm|11UCL26-NC","ATP")</f>
        <v>0</v>
      </c>
      <c r="L322">
        <f>RTD("nest.scriprtd",,"nse_cm|11UCL26-NC","Volume Traded Today")</f>
        <v>0</v>
      </c>
      <c r="M322">
        <f>RTD("nest.scriprtd",,"nse_cm|11UCL26-NC","Open")</f>
        <v>0</v>
      </c>
      <c r="N322">
        <f>RTD("nest.scriprtd",,"nse_cm|11UCL26-NC","High")</f>
        <v>1061</v>
      </c>
      <c r="O322">
        <f>RTD("nest.scriprtd",,"nse_cm|11UCL26-NC","Low ")</f>
        <v>1043.1600000000001</v>
      </c>
      <c r="P322">
        <f>RTD("nest.scriprtd",,"nse_cm|11UCL26-NC","Prev Close")</f>
        <v>1061</v>
      </c>
      <c r="Q322">
        <f>RTD("nest.scriprtd",,"nse_cm|11UCL26-NC","Face Value")</f>
        <v>1000</v>
      </c>
      <c r="R322" t="str">
        <f>RTD("nest.scriprtd",,"nse_cm|11UCL26-NC","Isin code")</f>
        <v>INE583D07455</v>
      </c>
      <c r="S322" s="9">
        <f>Table1[[#This Row],[Ask Rate]]*Table1[[#This Row],[Ask Qty]]</f>
        <v>53495.000000000007</v>
      </c>
      <c r="T322">
        <f>VLOOKUP(Table1[[#This Row],[Isin code]],Table2[#All],7,FALSE)</f>
        <v>11</v>
      </c>
      <c r="U322" s="17" t="str">
        <f>VLOOKUP(Table1[[#This Row],[Isin code]],Table2[#All],8,FALSE)</f>
        <v>27-May-2026</v>
      </c>
      <c r="V322" s="10">
        <f ca="1">Table1[[#This Row],[Maturity]]-TODAY()</f>
        <v>588</v>
      </c>
      <c r="W322" t="str">
        <f>VLOOKUP(Table1[[#This Row],[Isin code]],Table2[#All],10,FALSE)</f>
        <v>Yearly</v>
      </c>
      <c r="X322">
        <f ca="1">_xlfn.DAYS(Table1[[#This Row],[Maturity]],TODAY())-15</f>
        <v>573</v>
      </c>
      <c r="Y3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22">
        <f>IF(Table1[[#This Row],[Ask Rate]]=0,0,Table1[[#This Row],[Face Value]]-Table1[[#This Row],[Ask Rate]])</f>
        <v>-69.900000000000091</v>
      </c>
      <c r="AA322">
        <f>IF(Table1[[#This Row],[Freq]]="Yearly",Table1[[#This Row],[Coupon_Rate]]/100,IF(Table1[[#This Row],[Freq]]="Monthly",Table1[[#This Row],[Coupon_Rate]]/1200,IF(Table1[[#This Row],[Freq]]="Quarterly",Table1[[#This Row],[Coupon_Rate]]/400,0)))</f>
        <v>0.11</v>
      </c>
      <c r="AB322">
        <f ca="1">Table1[[#This Row],[Face Value]]*Table1[[#This Row],[Rate]]*Table1[[#This Row],[Time]]</f>
        <v>220</v>
      </c>
      <c r="AC322">
        <f ca="1">Table1[[#This Row],[SI]]+Table1[[#This Row],[Disc/Prem]]</f>
        <v>150.09999999999991</v>
      </c>
      <c r="AD322" s="3">
        <f ca="1">Table1[[#This Row],[Net Gain]]/Table1[[#This Row],[Ask Rate]]</f>
        <v>0.14029348537246461</v>
      </c>
      <c r="AE322" s="3">
        <f ca="1">IF(Table1[[#This Row],[Ask Qty]]=0,0,Table1[[#This Row],[Gross Yield]]*365/Table1[[#This Row],[Days Left]])</f>
        <v>8.7086942450594521E-2</v>
      </c>
      <c r="AF322" s="9">
        <f ca="1">+Table1[[#This Row],[Net Gain]]*Table1[[#This Row],[Ask Qty]]</f>
        <v>7504.9999999999955</v>
      </c>
      <c r="AG322" t="str">
        <f ca="1">IF(Table1[[#This Row],[YTM]]&gt;0.12,IF(Table1[[#This Row],[Gross Profit]]&gt;10000,"Invest","Review"),"Low YTM")</f>
        <v>Low YTM</v>
      </c>
    </row>
    <row r="323" spans="1:33" x14ac:dyDescent="0.3">
      <c r="A323" t="str">
        <f>RTD("nest.scriprtd",,"bse_cm|11UCL26","Symbol")</f>
        <v>11UCL26</v>
      </c>
      <c r="B323" t="str">
        <f>RTD("nest.scriprtd",,"bse_cm|11UCL26","Trading Symbol")</f>
        <v>11UCL26</v>
      </c>
      <c r="C323" t="str">
        <f>RTD("nest.scriprtd",,"bse_cm|11UCL26","Exchange")</f>
        <v>BSE</v>
      </c>
      <c r="D323">
        <f>RTD("nest.scriprtd",,"bse_cm|11UCL26","Bid Qty")</f>
        <v>9</v>
      </c>
      <c r="E323">
        <f>RTD("nest.scriprtd",,"bse_cm|11UCL26","Bid Rate")</f>
        <v>1021.5</v>
      </c>
      <c r="F323">
        <f>RTD("nest.scriprtd",,"bse_cm|11UCL26","Ask Rate")</f>
        <v>1069.9000000000001</v>
      </c>
      <c r="G323">
        <f>RTD("nest.scriprtd",,"bse_cm|11UCL26","Ask Qty")</f>
        <v>30</v>
      </c>
      <c r="H323">
        <f>RTD("nest.scriprtd",,"bse_cm|11UCL26","LTP")</f>
        <v>0</v>
      </c>
      <c r="I323" t="str">
        <f>RTD("nest.scriprtd",,"bse_cm|11UCL26","LTT")</f>
        <v>00:00:00</v>
      </c>
      <c r="J323">
        <f>RTD("nest.scriprtd",,"bse_cm|11UCL26","% Change")</f>
        <v>-100</v>
      </c>
      <c r="K323">
        <f>RTD("nest.scriprtd",,"bse_cm|11UCL26","ATP")</f>
        <v>0</v>
      </c>
      <c r="L323">
        <f>RTD("nest.scriprtd",,"bse_cm|11UCL26","Volume Traded Today")</f>
        <v>0</v>
      </c>
      <c r="M323">
        <f>RTD("nest.scriprtd",,"bse_cm|11UCL26","Open")</f>
        <v>0</v>
      </c>
      <c r="N323">
        <f>RTD("nest.scriprtd",,"bse_cm|11UCL26","High")</f>
        <v>1069.9000000000001</v>
      </c>
      <c r="O323">
        <f>RTD("nest.scriprtd",,"bse_cm|11UCL26","Low ")</f>
        <v>1069.9000000000001</v>
      </c>
      <c r="P323">
        <f>RTD("nest.scriprtd",,"bse_cm|11UCL26","Prev Close")</f>
        <v>1069.9000000000001</v>
      </c>
      <c r="Q323">
        <f>RTD("nest.scriprtd",,"bse_cm|11UCL26","Face Value")</f>
        <v>1000</v>
      </c>
      <c r="R323" t="str">
        <f>RTD("nest.scriprtd",,"bse_cm|11UCL26","Isin code")</f>
        <v>INE583D07455</v>
      </c>
      <c r="S323" s="9">
        <f>Table1[[#This Row],[Ask Rate]]*Table1[[#This Row],[Ask Qty]]</f>
        <v>32097.000000000004</v>
      </c>
      <c r="T323">
        <f>VLOOKUP(Table1[[#This Row],[Isin code]],Table2[#All],7,FALSE)</f>
        <v>11</v>
      </c>
      <c r="U323" s="17" t="str">
        <f>VLOOKUP(Table1[[#This Row],[Isin code]],Table2[#All],8,FALSE)</f>
        <v>27-May-2026</v>
      </c>
      <c r="V323" s="10">
        <f ca="1">Table1[[#This Row],[Maturity]]-TODAY()</f>
        <v>588</v>
      </c>
      <c r="W323" t="str">
        <f>VLOOKUP(Table1[[#This Row],[Isin code]],Table2[#All],10,FALSE)</f>
        <v>Yearly</v>
      </c>
      <c r="X323">
        <f ca="1">_xlfn.DAYS(Table1[[#This Row],[Maturity]],TODAY())-15</f>
        <v>573</v>
      </c>
      <c r="Y3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23">
        <f>IF(Table1[[#This Row],[Ask Rate]]=0,0,Table1[[#This Row],[Face Value]]-Table1[[#This Row],[Ask Rate]])</f>
        <v>-69.900000000000091</v>
      </c>
      <c r="AA323">
        <f>IF(Table1[[#This Row],[Freq]]="Yearly",Table1[[#This Row],[Coupon_Rate]]/100,IF(Table1[[#This Row],[Freq]]="Monthly",Table1[[#This Row],[Coupon_Rate]]/1200,IF(Table1[[#This Row],[Freq]]="Quarterly",Table1[[#This Row],[Coupon_Rate]]/400,0)))</f>
        <v>0.11</v>
      </c>
      <c r="AB323">
        <f ca="1">Table1[[#This Row],[Face Value]]*Table1[[#This Row],[Rate]]*Table1[[#This Row],[Time]]</f>
        <v>220</v>
      </c>
      <c r="AC323">
        <f ca="1">Table1[[#This Row],[SI]]+Table1[[#This Row],[Disc/Prem]]</f>
        <v>150.09999999999991</v>
      </c>
      <c r="AD323" s="3">
        <f ca="1">Table1[[#This Row],[Net Gain]]/Table1[[#This Row],[Ask Rate]]</f>
        <v>0.14029348537246461</v>
      </c>
      <c r="AE323" s="3">
        <f ca="1">IF(Table1[[#This Row],[Ask Qty]]=0,0,Table1[[#This Row],[Gross Yield]]*365/Table1[[#This Row],[Days Left]])</f>
        <v>8.7086942450594521E-2</v>
      </c>
      <c r="AF323" s="9">
        <f ca="1">+Table1[[#This Row],[Net Gain]]*Table1[[#This Row],[Ask Qty]]</f>
        <v>4502.9999999999973</v>
      </c>
      <c r="AG323" t="str">
        <f ca="1">IF(Table1[[#This Row],[YTM]]&gt;0.12,IF(Table1[[#This Row],[Gross Profit]]&gt;10000,"Invest","Review"),"Low YTM")</f>
        <v>Low YTM</v>
      </c>
    </row>
    <row r="324" spans="1:33" x14ac:dyDescent="0.3">
      <c r="A324" t="str">
        <f>RTD("nest.scriprtd",,"bse_cm|975AHFL28","Symbol")</f>
        <v>975AHFL28</v>
      </c>
      <c r="B324" t="str">
        <f>RTD("nest.scriprtd",,"bse_cm|975AHFL28","Trading Symbol")</f>
        <v>975AHFL28</v>
      </c>
      <c r="C324" t="str">
        <f>RTD("nest.scriprtd",,"bse_cm|975AHFL28","Exchange")</f>
        <v>BSE</v>
      </c>
      <c r="D324">
        <f>RTD("nest.scriprtd",,"bse_cm|975AHFL28","Bid Qty")</f>
        <v>1</v>
      </c>
      <c r="E324">
        <f>RTD("nest.scriprtd",,"bse_cm|975AHFL28","Bid Rate")</f>
        <v>1010.3</v>
      </c>
      <c r="F324">
        <f>RTD("nest.scriprtd",,"bse_cm|975AHFL28","Ask Rate")</f>
        <v>1034</v>
      </c>
      <c r="G324">
        <f>RTD("nest.scriprtd",,"bse_cm|975AHFL28","Ask Qty")</f>
        <v>10</v>
      </c>
      <c r="H324">
        <f>RTD("nest.scriprtd",,"bse_cm|975AHFL28","LTP")</f>
        <v>1034</v>
      </c>
      <c r="I324" t="str">
        <f>RTD("nest.scriprtd",,"bse_cm|975AHFL28","LTT")</f>
        <v>15:07:12</v>
      </c>
      <c r="J324">
        <f>RTD("nest.scriprtd",,"bse_cm|975AHFL28","% Change")</f>
        <v>-13.11</v>
      </c>
      <c r="K324">
        <f>RTD("nest.scriprtd",,"bse_cm|975AHFL28","ATP")</f>
        <v>1034</v>
      </c>
      <c r="L324">
        <f>RTD("nest.scriprtd",,"bse_cm|975AHFL28","Volume Traded Today")</f>
        <v>10</v>
      </c>
      <c r="M324">
        <f>RTD("nest.scriprtd",,"bse_cm|975AHFL28","Open")</f>
        <v>1034</v>
      </c>
      <c r="N324">
        <f>RTD("nest.scriprtd",,"bse_cm|975AHFL28","High")</f>
        <v>1034</v>
      </c>
      <c r="O324">
        <f>RTD("nest.scriprtd",,"bse_cm|975AHFL28","Low ")</f>
        <v>1034</v>
      </c>
      <c r="P324">
        <f>RTD("nest.scriprtd",,"bse_cm|975AHFL28","Prev Close")</f>
        <v>1190</v>
      </c>
      <c r="Q324">
        <f>RTD("nest.scriprtd",,"bse_cm|975AHFL28","Face Value")</f>
        <v>1000</v>
      </c>
      <c r="R324" t="str">
        <f>RTD("nest.scriprtd",,"bse_cm|975AHFL28","Isin code")</f>
        <v>INE538L07536</v>
      </c>
      <c r="S324" s="9">
        <f>Table1[[#This Row],[Ask Rate]]*Table1[[#This Row],[Ask Qty]]</f>
        <v>10340</v>
      </c>
      <c r="T324">
        <f>VLOOKUP(Table1[[#This Row],[Isin code]],Table2[#All],7,FALSE)</f>
        <v>9.75</v>
      </c>
      <c r="U324" s="17" t="str">
        <f>VLOOKUP(Table1[[#This Row],[Isin code]],Table2[#All],8,FALSE)</f>
        <v>29-Sep-2028</v>
      </c>
      <c r="V324" s="10">
        <f ca="1">Table1[[#This Row],[Maturity]]-TODAY()</f>
        <v>1444</v>
      </c>
      <c r="W324" t="str">
        <f>VLOOKUP(Table1[[#This Row],[Isin code]],Table2[#All],10,FALSE)</f>
        <v>Yearly</v>
      </c>
      <c r="X324">
        <f ca="1">_xlfn.DAYS(Table1[[#This Row],[Maturity]],TODAY())-15</f>
        <v>1429</v>
      </c>
      <c r="Y3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324">
        <f>IF(Table1[[#This Row],[Ask Rate]]=0,0,Table1[[#This Row],[Face Value]]-Table1[[#This Row],[Ask Rate]])</f>
        <v>-34</v>
      </c>
      <c r="AA324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324">
        <f ca="1">Table1[[#This Row],[Face Value]]*Table1[[#This Row],[Rate]]*Table1[[#This Row],[Time]]</f>
        <v>390</v>
      </c>
      <c r="AC324">
        <f ca="1">Table1[[#This Row],[SI]]+Table1[[#This Row],[Disc/Prem]]</f>
        <v>356</v>
      </c>
      <c r="AD324" s="3">
        <f ca="1">Table1[[#This Row],[Net Gain]]/Table1[[#This Row],[Ask Rate]]</f>
        <v>0.34429400386847198</v>
      </c>
      <c r="AE324" s="3">
        <f ca="1">IF(Table1[[#This Row],[Ask Qty]]=0,0,Table1[[#This Row],[Gross Yield]]*365/Table1[[#This Row],[Days Left]])</f>
        <v>8.702722396952374E-2</v>
      </c>
      <c r="AF324" s="9">
        <f ca="1">+Table1[[#This Row],[Net Gain]]*Table1[[#This Row],[Ask Qty]]</f>
        <v>3560</v>
      </c>
      <c r="AG324" t="str">
        <f ca="1">IF(Table1[[#This Row],[YTM]]&gt;0.12,IF(Table1[[#This Row],[Gross Profit]]&gt;10000,"Invest","Review"),"Low YTM")</f>
        <v>Low YTM</v>
      </c>
    </row>
    <row r="325" spans="1:33" x14ac:dyDescent="0.3">
      <c r="A325" t="str">
        <f>RTD("nest.scriprtd",,"bse_cm|934JMFCS28","Symbol")</f>
        <v>934JMFCS28</v>
      </c>
      <c r="B325" t="str">
        <f>RTD("nest.scriprtd",,"bse_cm|934JMFCS28","Trading Symbol")</f>
        <v>934JMFCS28</v>
      </c>
      <c r="C325" t="str">
        <f>RTD("nest.scriprtd",,"bse_cm|934JMFCS28","Exchange")</f>
        <v>BSE</v>
      </c>
      <c r="D325">
        <f>RTD("nest.scriprtd",,"bse_cm|934JMFCS28","Bid Qty")</f>
        <v>154</v>
      </c>
      <c r="E325">
        <f>RTD("nest.scriprtd",,"bse_cm|934JMFCS28","Bid Rate")</f>
        <v>986.4</v>
      </c>
      <c r="F325">
        <f>RTD("nest.scriprtd",,"bse_cm|934JMFCS28","Ask Rate")</f>
        <v>1019.75</v>
      </c>
      <c r="G325">
        <f>RTD("nest.scriprtd",,"bse_cm|934JMFCS28","Ask Qty")</f>
        <v>200</v>
      </c>
      <c r="H325">
        <f>RTD("nest.scriprtd",,"bse_cm|934JMFCS28","LTP")</f>
        <v>0</v>
      </c>
      <c r="I325" t="str">
        <f>RTD("nest.scriprtd",,"bse_cm|934JMFCS28","LTT")</f>
        <v>00:00:00</v>
      </c>
      <c r="J325">
        <f>RTD("nest.scriprtd",,"bse_cm|934JMFCS28","% Change")</f>
        <v>-100</v>
      </c>
      <c r="K325">
        <f>RTD("nest.scriprtd",,"bse_cm|934JMFCS28","ATP")</f>
        <v>0</v>
      </c>
      <c r="L325">
        <f>RTD("nest.scriprtd",,"bse_cm|934JMFCS28","Volume Traded Today")</f>
        <v>0</v>
      </c>
      <c r="M325">
        <f>RTD("nest.scriprtd",,"bse_cm|934JMFCS28","Open")</f>
        <v>0</v>
      </c>
      <c r="N325">
        <f>RTD("nest.scriprtd",,"bse_cm|934JMFCS28","High")</f>
        <v>1005.6</v>
      </c>
      <c r="O325">
        <f>RTD("nest.scriprtd",,"bse_cm|934JMFCS28","Low ")</f>
        <v>1005.6</v>
      </c>
      <c r="P325">
        <f>RTD("nest.scriprtd",,"bse_cm|934JMFCS28","Prev Close")</f>
        <v>1005.6</v>
      </c>
      <c r="Q325">
        <f>RTD("nest.scriprtd",,"bse_cm|934JMFCS28","Face Value")</f>
        <v>1000</v>
      </c>
      <c r="R325" t="str">
        <f>RTD("nest.scriprtd",,"bse_cm|934JMFCS28","Isin code")</f>
        <v>INE651J07630</v>
      </c>
      <c r="S325" s="9">
        <f>Table1[[#This Row],[Ask Rate]]*Table1[[#This Row],[Ask Qty]]</f>
        <v>203950</v>
      </c>
      <c r="T325">
        <f>VLOOKUP(Table1[[#This Row],[Isin code]],Table2[#All],7,FALSE)</f>
        <v>9.34</v>
      </c>
      <c r="U325" s="17" t="str">
        <f>VLOOKUP(Table1[[#This Row],[Isin code]],Table2[#All],8,FALSE)</f>
        <v>07-Jun-2028</v>
      </c>
      <c r="V325" s="10">
        <f ca="1">Table1[[#This Row],[Maturity]]-TODAY()</f>
        <v>1330</v>
      </c>
      <c r="W325" t="str">
        <f>VLOOKUP(Table1[[#This Row],[Isin code]],Table2[#All],10,FALSE)</f>
        <v>Monthly</v>
      </c>
      <c r="X325">
        <f ca="1">_xlfn.DAYS(Table1[[#This Row],[Maturity]],TODAY())-15</f>
        <v>1315</v>
      </c>
      <c r="Y3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44</v>
      </c>
      <c r="Z325">
        <f>IF(Table1[[#This Row],[Ask Rate]]=0,0,Table1[[#This Row],[Face Value]]-Table1[[#This Row],[Ask Rate]])</f>
        <v>-19.75</v>
      </c>
      <c r="AA325">
        <f>IF(Table1[[#This Row],[Freq]]="Yearly",Table1[[#This Row],[Coupon_Rate]]/100,IF(Table1[[#This Row],[Freq]]="Monthly",Table1[[#This Row],[Coupon_Rate]]/1200,IF(Table1[[#This Row],[Freq]]="Quarterly",Table1[[#This Row],[Coupon_Rate]]/400,0)))</f>
        <v>7.7833333333333331E-3</v>
      </c>
      <c r="AB325">
        <f ca="1">Table1[[#This Row],[Face Value]]*Table1[[#This Row],[Rate]]*Table1[[#This Row],[Time]]</f>
        <v>342.46666666666664</v>
      </c>
      <c r="AC325">
        <f ca="1">Table1[[#This Row],[SI]]+Table1[[#This Row],[Disc/Prem]]</f>
        <v>322.71666666666664</v>
      </c>
      <c r="AD325" s="3">
        <f ca="1">Table1[[#This Row],[Net Gain]]/Table1[[#This Row],[Ask Rate]]</f>
        <v>0.31646645419628994</v>
      </c>
      <c r="AE325" s="3">
        <f ca="1">IF(Table1[[#This Row],[Ask Qty]]=0,0,Table1[[#This Row],[Gross Yield]]*365/Table1[[#This Row],[Days Left]])</f>
        <v>8.6849816377177314E-2</v>
      </c>
      <c r="AF325" s="9">
        <f ca="1">+Table1[[#This Row],[Net Gain]]*Table1[[#This Row],[Ask Qty]]</f>
        <v>64543.333333333328</v>
      </c>
      <c r="AG325" t="str">
        <f ca="1">IF(Table1[[#This Row],[YTM]]&gt;0.12,IF(Table1[[#This Row],[Gross Profit]]&gt;10000,"Invest","Review"),"Low YTM")</f>
        <v>Low YTM</v>
      </c>
    </row>
    <row r="326" spans="1:33" x14ac:dyDescent="0.3">
      <c r="A326" t="str">
        <f>RTD("nest.scriprtd",,"bse_cm|1025UCL25","Symbol")</f>
        <v>1025UCL25</v>
      </c>
      <c r="B326" t="str">
        <f>RTD("nest.scriprtd",,"bse_cm|1025UCL25","Trading Symbol")</f>
        <v>1025UCL25</v>
      </c>
      <c r="C326" t="str">
        <f>RTD("nest.scriprtd",,"bse_cm|1025UCL25","Exchange")</f>
        <v>BSE</v>
      </c>
      <c r="D326">
        <f>RTD("nest.scriprtd",,"bse_cm|1025UCL25","Bid Qty")</f>
        <v>12</v>
      </c>
      <c r="E326">
        <f>RTD("nest.scriprtd",,"bse_cm|1025UCL25","Bid Rate")</f>
        <v>970.2</v>
      </c>
      <c r="F326">
        <f>RTD("nest.scriprtd",,"bse_cm|1025UCL25","Ask Rate")</f>
        <v>1009.8</v>
      </c>
      <c r="G326">
        <f>RTD("nest.scriprtd",,"bse_cm|1025UCL25","Ask Qty")</f>
        <v>31</v>
      </c>
      <c r="H326">
        <f>RTD("nest.scriprtd",,"bse_cm|1025UCL25","LTP")</f>
        <v>0</v>
      </c>
      <c r="I326" t="str">
        <f>RTD("nest.scriprtd",,"bse_cm|1025UCL25","LTT")</f>
        <v>00:00:00</v>
      </c>
      <c r="J326">
        <f>RTD("nest.scriprtd",,"bse_cm|1025UCL25","% Change")</f>
        <v>-100</v>
      </c>
      <c r="K326">
        <f>RTD("nest.scriprtd",,"bse_cm|1025UCL25","ATP")</f>
        <v>0</v>
      </c>
      <c r="L326">
        <f>RTD("nest.scriprtd",,"bse_cm|1025UCL25","Volume Traded Today")</f>
        <v>0</v>
      </c>
      <c r="M326">
        <f>RTD("nest.scriprtd",,"bse_cm|1025UCL25","Open")</f>
        <v>0</v>
      </c>
      <c r="N326">
        <f>RTD("nest.scriprtd",,"bse_cm|1025UCL25","High")</f>
        <v>970.01</v>
      </c>
      <c r="O326">
        <f>RTD("nest.scriprtd",,"bse_cm|1025UCL25","Low ")</f>
        <v>969</v>
      </c>
      <c r="P326">
        <f>RTD("nest.scriprtd",,"bse_cm|1025UCL25","Prev Close")</f>
        <v>970.01</v>
      </c>
      <c r="Q326">
        <f>RTD("nest.scriprtd",,"bse_cm|1025UCL25","Face Value")</f>
        <v>1000</v>
      </c>
      <c r="R326" t="str">
        <f>RTD("nest.scriprtd",,"bse_cm|1025UCL25","Isin code")</f>
        <v>INE583D07414</v>
      </c>
      <c r="S326" s="9">
        <f>Table1[[#This Row],[Ask Rate]]*Table1[[#This Row],[Ask Qty]]</f>
        <v>31303.8</v>
      </c>
      <c r="T326">
        <f>VLOOKUP(Table1[[#This Row],[Isin code]],Table2[#All],7,FALSE)</f>
        <v>10.25</v>
      </c>
      <c r="U326" s="17" t="str">
        <f>VLOOKUP(Table1[[#This Row],[Isin code]],Table2[#All],8,FALSE)</f>
        <v>27-Aug-2025</v>
      </c>
      <c r="V326" s="10">
        <f ca="1">Table1[[#This Row],[Maturity]]-TODAY()</f>
        <v>315</v>
      </c>
      <c r="W326" t="str">
        <f>VLOOKUP(Table1[[#This Row],[Isin code]],Table2[#All],10,FALSE)</f>
        <v>Monthly</v>
      </c>
      <c r="X326">
        <f ca="1">_xlfn.DAYS(Table1[[#This Row],[Maturity]],TODAY())-15</f>
        <v>300</v>
      </c>
      <c r="Y3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326">
        <f>IF(Table1[[#This Row],[Ask Rate]]=0,0,Table1[[#This Row],[Face Value]]-Table1[[#This Row],[Ask Rate]])</f>
        <v>-9.7999999999999545</v>
      </c>
      <c r="AA326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326">
        <f ca="1">Table1[[#This Row],[Face Value]]*Table1[[#This Row],[Rate]]*Table1[[#This Row],[Time]]</f>
        <v>85.416666666666657</v>
      </c>
      <c r="AC326">
        <f ca="1">Table1[[#This Row],[SI]]+Table1[[#This Row],[Disc/Prem]]</f>
        <v>75.616666666666703</v>
      </c>
      <c r="AD326" s="3">
        <f ca="1">Table1[[#This Row],[Net Gain]]/Table1[[#This Row],[Ask Rate]]</f>
        <v>7.488281507889355E-2</v>
      </c>
      <c r="AE326" s="3">
        <f ca="1">IF(Table1[[#This Row],[Ask Qty]]=0,0,Table1[[#This Row],[Gross Yield]]*365/Table1[[#This Row],[Days Left]])</f>
        <v>8.6768976202527437E-2</v>
      </c>
      <c r="AF326" s="9">
        <f ca="1">+Table1[[#This Row],[Net Gain]]*Table1[[#This Row],[Ask Qty]]</f>
        <v>2344.1166666666677</v>
      </c>
      <c r="AG326" t="str">
        <f ca="1">IF(Table1[[#This Row],[YTM]]&gt;0.12,IF(Table1[[#This Row],[Gross Profit]]&gt;10000,"Invest","Review"),"Low YTM")</f>
        <v>Low YTM</v>
      </c>
    </row>
    <row r="327" spans="1:33" x14ac:dyDescent="0.3">
      <c r="A327" t="str">
        <f>RTD("nest.scriprtd",,"bse_cm|1015SCL28","Symbol")</f>
        <v>1015SCL28</v>
      </c>
      <c r="B327" t="str">
        <f>RTD("nest.scriprtd",,"bse_cm|1015SCL28","Trading Symbol")</f>
        <v>1015SCL28</v>
      </c>
      <c r="C327" t="str">
        <f>RTD("nest.scriprtd",,"bse_cm|1015SCL28","Exchange")</f>
        <v>BSE</v>
      </c>
      <c r="D327">
        <f>RTD("nest.scriprtd",,"bse_cm|1015SCL28","Bid Qty")</f>
        <v>10</v>
      </c>
      <c r="E327">
        <f>RTD("nest.scriprtd",,"bse_cm|1015SCL28","Bid Rate")</f>
        <v>1015</v>
      </c>
      <c r="F327">
        <f>RTD("nest.scriprtd",,"bse_cm|1015SCL28","Ask Rate")</f>
        <v>1115.0999999999999</v>
      </c>
      <c r="G327">
        <f>RTD("nest.scriprtd",,"bse_cm|1015SCL28","Ask Qty")</f>
        <v>45</v>
      </c>
      <c r="H327">
        <f>RTD("nest.scriprtd",,"bse_cm|1015SCL28","LTP")</f>
        <v>0</v>
      </c>
      <c r="I327" t="str">
        <f>RTD("nest.scriprtd",,"bse_cm|1015SCL28","LTT")</f>
        <v>00:00:00</v>
      </c>
      <c r="J327">
        <f>RTD("nest.scriprtd",,"bse_cm|1015SCL28","% Change")</f>
        <v>-100</v>
      </c>
      <c r="K327">
        <f>RTD("nest.scriprtd",,"bse_cm|1015SCL28","ATP")</f>
        <v>0</v>
      </c>
      <c r="L327">
        <f>RTD("nest.scriprtd",,"bse_cm|1015SCL28","Volume Traded Today")</f>
        <v>0</v>
      </c>
      <c r="M327">
        <f>RTD("nest.scriprtd",,"bse_cm|1015SCL28","Open")</f>
        <v>0</v>
      </c>
      <c r="N327">
        <f>RTD("nest.scriprtd",,"bse_cm|1015SCL28","High")</f>
        <v>1015</v>
      </c>
      <c r="O327">
        <f>RTD("nest.scriprtd",,"bse_cm|1015SCL28","Low ")</f>
        <v>1015</v>
      </c>
      <c r="P327">
        <f>RTD("nest.scriprtd",,"bse_cm|1015SCL28","Prev Close")</f>
        <v>1015</v>
      </c>
      <c r="Q327">
        <f>RTD("nest.scriprtd",,"bse_cm|1015SCL28","Face Value")</f>
        <v>1000</v>
      </c>
      <c r="R327" t="str">
        <f>RTD("nest.scriprtd",,"bse_cm|1015SCL28","Isin code")</f>
        <v>INE148I07QR9</v>
      </c>
      <c r="S327" s="9">
        <f>Table1[[#This Row],[Ask Rate]]*Table1[[#This Row],[Ask Qty]]</f>
        <v>50179.499999999993</v>
      </c>
      <c r="T327">
        <f>VLOOKUP(Table1[[#This Row],[Isin code]],Table2[#All],7,FALSE)</f>
        <v>10.15</v>
      </c>
      <c r="U327" s="17" t="str">
        <f>VLOOKUP(Table1[[#This Row],[Isin code]],Table2[#All],8,FALSE)</f>
        <v>09-Nov-2028</v>
      </c>
      <c r="V327" s="10">
        <f ca="1">Table1[[#This Row],[Maturity]]-TODAY()</f>
        <v>1485</v>
      </c>
      <c r="W327" t="str">
        <f>VLOOKUP(Table1[[#This Row],[Isin code]],Table2[#All],10,FALSE)</f>
        <v>Yearly</v>
      </c>
      <c r="X327">
        <f ca="1">_xlfn.DAYS(Table1[[#This Row],[Maturity]],TODAY())-15</f>
        <v>1470</v>
      </c>
      <c r="Y3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27">
        <f>IF(Table1[[#This Row],[Ask Rate]]=0,0,Table1[[#This Row],[Face Value]]-Table1[[#This Row],[Ask Rate]])</f>
        <v>-115.09999999999991</v>
      </c>
      <c r="AA327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327">
        <f ca="1">Table1[[#This Row],[Face Value]]*Table1[[#This Row],[Rate]]*Table1[[#This Row],[Time]]</f>
        <v>507.5</v>
      </c>
      <c r="AC327">
        <f ca="1">Table1[[#This Row],[SI]]+Table1[[#This Row],[Disc/Prem]]</f>
        <v>392.40000000000009</v>
      </c>
      <c r="AD327" s="3">
        <f ca="1">Table1[[#This Row],[Net Gain]]/Table1[[#This Row],[Ask Rate]]</f>
        <v>0.35189669087974185</v>
      </c>
      <c r="AE327" s="3">
        <f ca="1">IF(Table1[[#This Row],[Ask Qty]]=0,0,Table1[[#This Row],[Gross Yield]]*365/Table1[[#This Row],[Days Left]])</f>
        <v>8.6493126041148671E-2</v>
      </c>
      <c r="AF327" s="9">
        <f ca="1">+Table1[[#This Row],[Net Gain]]*Table1[[#This Row],[Ask Qty]]</f>
        <v>17658.000000000004</v>
      </c>
      <c r="AG327" t="str">
        <f ca="1">IF(Table1[[#This Row],[YTM]]&gt;0.12,IF(Table1[[#This Row],[Gross Profit]]&gt;10000,"Invest","Review"),"Low YTM")</f>
        <v>Low YTM</v>
      </c>
    </row>
    <row r="328" spans="1:33" x14ac:dyDescent="0.3">
      <c r="A328" t="str">
        <f>RTD("nest.scriprtd",,"bse_cm|775MFL26","Symbol")</f>
        <v>775MFL26</v>
      </c>
      <c r="B328" t="str">
        <f>RTD("nest.scriprtd",,"bse_cm|775MFL26","Trading Symbol")</f>
        <v>775MFL26</v>
      </c>
      <c r="C328" t="str">
        <f>RTD("nest.scriprtd",,"bse_cm|775MFL26","Exchange")</f>
        <v>BSE</v>
      </c>
      <c r="D328">
        <f>RTD("nest.scriprtd",,"bse_cm|775MFL26","Bid Qty")</f>
        <v>10</v>
      </c>
      <c r="E328">
        <f>RTD("nest.scriprtd",,"bse_cm|775MFL26","Bid Rate")</f>
        <v>980</v>
      </c>
      <c r="F328">
        <f>RTD("nest.scriprtd",,"bse_cm|775MFL26","Ask Rate")</f>
        <v>989.8</v>
      </c>
      <c r="G328">
        <f>RTD("nest.scriprtd",,"bse_cm|775MFL26","Ask Qty")</f>
        <v>190</v>
      </c>
      <c r="H328">
        <f>RTD("nest.scriprtd",,"bse_cm|775MFL26","LTP")</f>
        <v>975</v>
      </c>
      <c r="I328" t="str">
        <f>RTD("nest.scriprtd",,"bse_cm|775MFL26","LTT")</f>
        <v>09:21:01</v>
      </c>
      <c r="J328">
        <f>RTD("nest.scriprtd",,"bse_cm|775MFL26","% Change")</f>
        <v>-0.63</v>
      </c>
      <c r="K328">
        <f>RTD("nest.scriprtd",,"bse_cm|775MFL26","ATP")</f>
        <v>975.07</v>
      </c>
      <c r="L328">
        <f>RTD("nest.scriprtd",,"bse_cm|775MFL26","Volume Traded Today")</f>
        <v>500</v>
      </c>
      <c r="M328">
        <f>RTD("nest.scriprtd",,"bse_cm|775MFL26","Open")</f>
        <v>975.2</v>
      </c>
      <c r="N328">
        <f>RTD("nest.scriprtd",,"bse_cm|775MFL26","High")</f>
        <v>975.2</v>
      </c>
      <c r="O328">
        <f>RTD("nest.scriprtd",,"bse_cm|775MFL26","Low ")</f>
        <v>975</v>
      </c>
      <c r="P328">
        <f>RTD("nest.scriprtd",,"bse_cm|775MFL26","Prev Close")</f>
        <v>981.2</v>
      </c>
      <c r="Q328">
        <f>RTD("nest.scriprtd",,"bse_cm|775MFL26","Face Value")</f>
        <v>1000</v>
      </c>
      <c r="R328" t="str">
        <f>RTD("nest.scriprtd",,"bse_cm|775MFL26","Isin code")</f>
        <v>INE414G07HL1</v>
      </c>
      <c r="S328" s="9">
        <f>Table1[[#This Row],[Ask Rate]]*Table1[[#This Row],[Ask Qty]]</f>
        <v>188062</v>
      </c>
      <c r="T328">
        <f>VLOOKUP(Table1[[#This Row],[Isin code]],Table2[#All],7,FALSE)</f>
        <v>7.75</v>
      </c>
      <c r="U328" s="17" t="str">
        <f>VLOOKUP(Table1[[#This Row],[Isin code]],Table2[#All],8,FALSE)</f>
        <v>10-Apr-2026</v>
      </c>
      <c r="V328" s="10">
        <f ca="1">Table1[[#This Row],[Maturity]]-TODAY()</f>
        <v>541</v>
      </c>
      <c r="W328" t="str">
        <f>VLOOKUP(Table1[[#This Row],[Isin code]],Table2[#All],10,FALSE)</f>
        <v>Monthly</v>
      </c>
      <c r="X328">
        <f ca="1">_xlfn.DAYS(Table1[[#This Row],[Maturity]],TODAY())-15</f>
        <v>526</v>
      </c>
      <c r="Y3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328">
        <f>IF(Table1[[#This Row],[Ask Rate]]=0,0,Table1[[#This Row],[Face Value]]-Table1[[#This Row],[Ask Rate]])</f>
        <v>10.200000000000045</v>
      </c>
      <c r="AA328">
        <f>IF(Table1[[#This Row],[Freq]]="Yearly",Table1[[#This Row],[Coupon_Rate]]/100,IF(Table1[[#This Row],[Freq]]="Monthly",Table1[[#This Row],[Coupon_Rate]]/1200,IF(Table1[[#This Row],[Freq]]="Quarterly",Table1[[#This Row],[Coupon_Rate]]/400,0)))</f>
        <v>6.4583333333333333E-3</v>
      </c>
      <c r="AB328">
        <f ca="1">Table1[[#This Row],[Face Value]]*Table1[[#This Row],[Rate]]*Table1[[#This Row],[Time]]</f>
        <v>116.25</v>
      </c>
      <c r="AC328">
        <f ca="1">Table1[[#This Row],[SI]]+Table1[[#This Row],[Disc/Prem]]</f>
        <v>126.45000000000005</v>
      </c>
      <c r="AD328" s="3">
        <f ca="1">Table1[[#This Row],[Net Gain]]/Table1[[#This Row],[Ask Rate]]</f>
        <v>0.12775308143059208</v>
      </c>
      <c r="AE328" s="3">
        <f ca="1">IF(Table1[[#This Row],[Ask Qty]]=0,0,Table1[[#This Row],[Gross Yield]]*365/Table1[[#This Row],[Days Left]])</f>
        <v>8.6192005031730329E-2</v>
      </c>
      <c r="AF328" s="9">
        <f ca="1">+Table1[[#This Row],[Net Gain]]*Table1[[#This Row],[Ask Qty]]</f>
        <v>24025.500000000007</v>
      </c>
      <c r="AG328" t="str">
        <f ca="1">IF(Table1[[#This Row],[YTM]]&gt;0.12,IF(Table1[[#This Row],[Gross Profit]]&gt;10000,"Invest","Review"),"Low YTM")</f>
        <v>Low YTM</v>
      </c>
    </row>
    <row r="329" spans="1:33" x14ac:dyDescent="0.3">
      <c r="A329" t="str">
        <f>RTD("nest.scriprtd",,"bse_cm|957NIDO26","Symbol")</f>
        <v>957NIDO26</v>
      </c>
      <c r="B329" t="str">
        <f>RTD("nest.scriprtd",,"bse_cm|957NIDO26","Trading Symbol")</f>
        <v>957NIDO26</v>
      </c>
      <c r="C329" t="str">
        <f>RTD("nest.scriprtd",,"bse_cm|957NIDO26","Exchange")</f>
        <v>BSE</v>
      </c>
      <c r="D329">
        <f>RTD("nest.scriprtd",,"bse_cm|957NIDO26","Bid Qty")</f>
        <v>65</v>
      </c>
      <c r="E329">
        <f>RTD("nest.scriprtd",,"bse_cm|957NIDO26","Bid Rate")</f>
        <v>942</v>
      </c>
      <c r="F329">
        <f>RTD("nest.scriprtd",,"bse_cm|957NIDO26","Ask Rate")</f>
        <v>1014</v>
      </c>
      <c r="G329">
        <f>RTD("nest.scriprtd",,"bse_cm|957NIDO26","Ask Qty")</f>
        <v>70</v>
      </c>
      <c r="H329">
        <f>RTD("nest.scriprtd",,"bse_cm|957NIDO26","LTP")</f>
        <v>0</v>
      </c>
      <c r="I329" t="str">
        <f>RTD("nest.scriprtd",,"bse_cm|957NIDO26","LTT")</f>
        <v>00:00:00</v>
      </c>
      <c r="J329">
        <f>RTD("nest.scriprtd",,"bse_cm|957NIDO26","% Change")</f>
        <v>-100</v>
      </c>
      <c r="K329">
        <f>RTD("nest.scriprtd",,"bse_cm|957NIDO26","ATP")</f>
        <v>0</v>
      </c>
      <c r="L329">
        <f>RTD("nest.scriprtd",,"bse_cm|957NIDO26","Volume Traded Today")</f>
        <v>0</v>
      </c>
      <c r="M329">
        <f>RTD("nest.scriprtd",,"bse_cm|957NIDO26","Open")</f>
        <v>0</v>
      </c>
      <c r="N329">
        <f>RTD("nest.scriprtd",,"bse_cm|957NIDO26","High")</f>
        <v>936.85</v>
      </c>
      <c r="O329">
        <f>RTD("nest.scriprtd",,"bse_cm|957NIDO26","Low ")</f>
        <v>936.85</v>
      </c>
      <c r="P329">
        <f>RTD("nest.scriprtd",,"bse_cm|957NIDO26","Prev Close")</f>
        <v>936.85</v>
      </c>
      <c r="Q329">
        <f>RTD("nest.scriprtd",,"bse_cm|957NIDO26","Face Value")</f>
        <v>1000</v>
      </c>
      <c r="R329" t="str">
        <f>RTD("nest.scriprtd",,"bse_cm|957NIDO26","Isin code")</f>
        <v>INE530L07210</v>
      </c>
      <c r="S329" s="9">
        <f>Table1[[#This Row],[Ask Rate]]*Table1[[#This Row],[Ask Qty]]</f>
        <v>70980</v>
      </c>
      <c r="T329">
        <f>VLOOKUP(Table1[[#This Row],[Isin code]],Table2[#All],7,FALSE)</f>
        <v>9.57</v>
      </c>
      <c r="U329" s="17">
        <f>VLOOKUP(Table1[[#This Row],[Isin code]],Table2[#All],8,FALSE)</f>
        <v>46222</v>
      </c>
      <c r="V329" s="10">
        <f ca="1">Table1[[#This Row],[Maturity]]-TODAY()</f>
        <v>641</v>
      </c>
      <c r="W329" t="str">
        <f>VLOOKUP(Table1[[#This Row],[Isin code]],Table2[#All],10,FALSE)</f>
        <v>Monthly</v>
      </c>
      <c r="X329">
        <f ca="1">_xlfn.DAYS(Table1[[#This Row],[Maturity]],TODAY())-15</f>
        <v>626</v>
      </c>
      <c r="Y3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21</v>
      </c>
      <c r="Z329">
        <f>IF(Table1[[#This Row],[Ask Rate]]=0,0,Table1[[#This Row],[Face Value]]-Table1[[#This Row],[Ask Rate]])</f>
        <v>-14</v>
      </c>
      <c r="AA329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329">
        <f ca="1">Table1[[#This Row],[Face Value]]*Table1[[#This Row],[Rate]]*Table1[[#This Row],[Time]]</f>
        <v>167.47499999999999</v>
      </c>
      <c r="AC329">
        <f ca="1">Table1[[#This Row],[SI]]+Table1[[#This Row],[Disc/Prem]]</f>
        <v>153.47499999999999</v>
      </c>
      <c r="AD329" s="3">
        <f ca="1">Table1[[#This Row],[Net Gain]]/Table1[[#This Row],[Ask Rate]]</f>
        <v>0.15135601577909269</v>
      </c>
      <c r="AE329" s="3">
        <f ca="1">IF(Table1[[#This Row],[Ask Qty]]=0,0,Table1[[#This Row],[Gross Yield]]*365/Table1[[#This Row],[Days Left]])</f>
        <v>8.6185562807127664E-2</v>
      </c>
      <c r="AF329" s="9">
        <f ca="1">+Table1[[#This Row],[Net Gain]]*Table1[[#This Row],[Ask Qty]]</f>
        <v>10743.25</v>
      </c>
      <c r="AG329" t="str">
        <f ca="1">IF(Table1[[#This Row],[YTM]]&gt;0.12,IF(Table1[[#This Row],[Gross Profit]]&gt;10000,"Invest","Review"),"Low YTM")</f>
        <v>Low YTM</v>
      </c>
    </row>
    <row r="330" spans="1:33" x14ac:dyDescent="0.3">
      <c r="A330" t="str">
        <f>RTD("nest.scriprtd",,"nse_cm|925AEL26-N1","Symbol")</f>
        <v>925AEL26</v>
      </c>
      <c r="B330" t="str">
        <f>RTD("nest.scriprtd",,"nse_cm|925AEL26-N1","Trading Symbol")</f>
        <v>925AEL26-N1</v>
      </c>
      <c r="C330" t="str">
        <f>RTD("nest.scriprtd",,"nse_cm|925AEL26-N1","Exchange")</f>
        <v>NSE</v>
      </c>
      <c r="D330">
        <f>RTD("nest.scriprtd",,"nse_cm|925AEL26-N1","Bid Qty")</f>
        <v>100</v>
      </c>
      <c r="E330">
        <f>RTD("nest.scriprtd",,"nse_cm|925AEL26-N1","Bid Rate")</f>
        <v>995.1</v>
      </c>
      <c r="F330">
        <f>RTD("nest.scriprtd",,"nse_cm|925AEL26-N1","Ask Rate")</f>
        <v>1018</v>
      </c>
      <c r="G330">
        <f>RTD("nest.scriprtd",,"nse_cm|925AEL26-N1","Ask Qty")</f>
        <v>17</v>
      </c>
      <c r="H330">
        <f>RTD("nest.scriprtd",,"nse_cm|925AEL26-N1","LTP")</f>
        <v>1001</v>
      </c>
      <c r="I330" t="str">
        <f>RTD("nest.scriprtd",,"nse_cm|925AEL26-N1","LTT")</f>
        <v>09:45:33</v>
      </c>
      <c r="J330">
        <f>RTD("nest.scriprtd",,"nse_cm|925AEL26-N1","% Change")</f>
        <v>-0.02</v>
      </c>
      <c r="K330">
        <f>RTD("nest.scriprtd",,"nse_cm|925AEL26-N1","ATP")</f>
        <v>1001</v>
      </c>
      <c r="L330">
        <f>RTD("nest.scriprtd",,"nse_cm|925AEL26-N1","Volume Traded Today")</f>
        <v>7</v>
      </c>
      <c r="M330">
        <f>RTD("nest.scriprtd",,"nse_cm|925AEL26-N1","Open")</f>
        <v>1001</v>
      </c>
      <c r="N330">
        <f>RTD("nest.scriprtd",,"nse_cm|925AEL26-N1","High")</f>
        <v>1001</v>
      </c>
      <c r="O330">
        <f>RTD("nest.scriprtd",,"nse_cm|925AEL26-N1","Low ")</f>
        <v>1001</v>
      </c>
      <c r="P330">
        <f>RTD("nest.scriprtd",,"nse_cm|925AEL26-N1","Prev Close")</f>
        <v>1001.24</v>
      </c>
      <c r="Q330">
        <f>RTD("nest.scriprtd",,"nse_cm|925AEL26-N1","Face Value")</f>
        <v>1000</v>
      </c>
      <c r="R330" t="str">
        <f>RTD("nest.scriprtd",,"nse_cm|925AEL26-N1","Isin code")</f>
        <v>INE423A07351</v>
      </c>
      <c r="S330" s="9">
        <f>Table1[[#This Row],[Ask Rate]]*Table1[[#This Row],[Ask Qty]]</f>
        <v>17306</v>
      </c>
      <c r="T330">
        <f>VLOOKUP(Table1[[#This Row],[Isin code]],Table2[#All],7,FALSE)</f>
        <v>9.25</v>
      </c>
      <c r="U330" s="17" t="str">
        <f>VLOOKUP(Table1[[#This Row],[Isin code]],Table2[#All],8,FALSE)</f>
        <v>12-Sep-2026</v>
      </c>
      <c r="V330" s="10">
        <f ca="1">Table1[[#This Row],[Maturity]]-TODAY()</f>
        <v>696</v>
      </c>
      <c r="W330" t="str">
        <f>VLOOKUP(Table1[[#This Row],[Isin code]],Table2[#All],10,FALSE)</f>
        <v>Yearly</v>
      </c>
      <c r="X330">
        <f ca="1">_xlfn.DAYS(Table1[[#This Row],[Maturity]],TODAY())-15</f>
        <v>681</v>
      </c>
      <c r="Y3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30">
        <f>IF(Table1[[#This Row],[Ask Rate]]=0,0,Table1[[#This Row],[Face Value]]-Table1[[#This Row],[Ask Rate]])</f>
        <v>-18</v>
      </c>
      <c r="AA330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330">
        <f ca="1">Table1[[#This Row],[Face Value]]*Table1[[#This Row],[Rate]]*Table1[[#This Row],[Time]]</f>
        <v>185</v>
      </c>
      <c r="AC330">
        <f ca="1">Table1[[#This Row],[SI]]+Table1[[#This Row],[Disc/Prem]]</f>
        <v>167</v>
      </c>
      <c r="AD330" s="3">
        <f ca="1">Table1[[#This Row],[Net Gain]]/Table1[[#This Row],[Ask Rate]]</f>
        <v>0.16404715127701375</v>
      </c>
      <c r="AE330" s="3">
        <f ca="1">IF(Table1[[#This Row],[Ask Qty]]=0,0,Table1[[#This Row],[Gross Yield]]*365/Table1[[#This Row],[Days Left]])</f>
        <v>8.6030474448433925E-2</v>
      </c>
      <c r="AF330" s="9">
        <f ca="1">+Table1[[#This Row],[Net Gain]]*Table1[[#This Row],[Ask Qty]]</f>
        <v>2839</v>
      </c>
      <c r="AG330" t="str">
        <f ca="1">IF(Table1[[#This Row],[YTM]]&gt;0.12,IF(Table1[[#This Row],[Gross Profit]]&gt;10000,"Invest","Review"),"Low YTM")</f>
        <v>Low YTM</v>
      </c>
    </row>
    <row r="331" spans="1:33" x14ac:dyDescent="0.3">
      <c r="A331" t="str">
        <f>RTD("nest.scriprtd",,"bse_cm|875PCHFL26","Symbol")</f>
        <v>875PCHFL26</v>
      </c>
      <c r="B331" t="str">
        <f>RTD("nest.scriprtd",,"bse_cm|875PCHFL26","Trading Symbol")</f>
        <v>875PCHFL26</v>
      </c>
      <c r="C331" t="str">
        <f>RTD("nest.scriprtd",,"bse_cm|875PCHFL26","Exchange")</f>
        <v>BSE</v>
      </c>
      <c r="D331">
        <f>RTD("nest.scriprtd",,"bse_cm|875PCHFL26","Bid Qty")</f>
        <v>20</v>
      </c>
      <c r="E331">
        <f>RTD("nest.scriprtd",,"bse_cm|875PCHFL26","Bid Rate")</f>
        <v>975</v>
      </c>
      <c r="F331">
        <f>RTD("nest.scriprtd",,"bse_cm|875PCHFL26","Ask Rate")</f>
        <v>1020</v>
      </c>
      <c r="G331">
        <f>RTD("nest.scriprtd",,"bse_cm|875PCHFL26","Ask Qty")</f>
        <v>20</v>
      </c>
      <c r="H331">
        <f>RTD("nest.scriprtd",,"bse_cm|875PCHFL26","LTP")</f>
        <v>0</v>
      </c>
      <c r="I331" t="str">
        <f>RTD("nest.scriprtd",,"bse_cm|875PCHFL26","LTT")</f>
        <v>00:00:00</v>
      </c>
      <c r="J331">
        <f>RTD("nest.scriprtd",,"bse_cm|875PCHFL26","% Change")</f>
        <v>-100</v>
      </c>
      <c r="K331">
        <f>RTD("nest.scriprtd",,"bse_cm|875PCHFL26","ATP")</f>
        <v>0</v>
      </c>
      <c r="L331">
        <f>RTD("nest.scriprtd",,"bse_cm|875PCHFL26","Volume Traded Today")</f>
        <v>0</v>
      </c>
      <c r="M331">
        <f>RTD("nest.scriprtd",,"bse_cm|875PCHFL26","Open")</f>
        <v>0</v>
      </c>
      <c r="N331">
        <f>RTD("nest.scriprtd",,"bse_cm|875PCHFL26","High")</f>
        <v>1000</v>
      </c>
      <c r="O331">
        <f>RTD("nest.scriprtd",,"bse_cm|875PCHFL26","Low ")</f>
        <v>1000</v>
      </c>
      <c r="P331">
        <f>RTD("nest.scriprtd",,"bse_cm|875PCHFL26","Prev Close")</f>
        <v>1000</v>
      </c>
      <c r="Q331">
        <f>RTD("nest.scriprtd",,"bse_cm|875PCHFL26","Face Value")</f>
        <v>1000</v>
      </c>
      <c r="R331" t="str">
        <f>RTD("nest.scriprtd",,"bse_cm|875PCHFL26","Isin code")</f>
        <v>INE516Y07410</v>
      </c>
      <c r="S331" s="9">
        <f>Table1[[#This Row],[Ask Rate]]*Table1[[#This Row],[Ask Qty]]</f>
        <v>20400</v>
      </c>
      <c r="T331">
        <f>VLOOKUP(Table1[[#This Row],[Isin code]],Table2[#All],7,FALSE)</f>
        <v>8.75</v>
      </c>
      <c r="U331" s="17" t="str">
        <f>VLOOKUP(Table1[[#This Row],[Isin code]],Table2[#All],8,FALSE)</f>
        <v>23-Jul-2026</v>
      </c>
      <c r="V331" s="10">
        <f ca="1">Table1[[#This Row],[Maturity]]-TODAY()</f>
        <v>645</v>
      </c>
      <c r="W331" t="str">
        <f>VLOOKUP(Table1[[#This Row],[Isin code]],Table2[#All],10,FALSE)</f>
        <v>Yearly</v>
      </c>
      <c r="X331">
        <f ca="1">_xlfn.DAYS(Table1[[#This Row],[Maturity]],TODAY())-15</f>
        <v>630</v>
      </c>
      <c r="Y3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31">
        <f>IF(Table1[[#This Row],[Ask Rate]]=0,0,Table1[[#This Row],[Face Value]]-Table1[[#This Row],[Ask Rate]])</f>
        <v>-20</v>
      </c>
      <c r="AA331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331">
        <f ca="1">Table1[[#This Row],[Face Value]]*Table1[[#This Row],[Rate]]*Table1[[#This Row],[Time]]</f>
        <v>175</v>
      </c>
      <c r="AC331">
        <f ca="1">Table1[[#This Row],[SI]]+Table1[[#This Row],[Disc/Prem]]</f>
        <v>155</v>
      </c>
      <c r="AD331" s="3">
        <f ca="1">Table1[[#This Row],[Net Gain]]/Table1[[#This Row],[Ask Rate]]</f>
        <v>0.15196078431372548</v>
      </c>
      <c r="AE331" s="3">
        <f ca="1">IF(Table1[[#This Row],[Ask Qty]]=0,0,Table1[[#This Row],[Gross Yield]]*365/Table1[[#This Row],[Days Left]])</f>
        <v>8.5993312053503565E-2</v>
      </c>
      <c r="AF331" s="9">
        <f ca="1">+Table1[[#This Row],[Net Gain]]*Table1[[#This Row],[Ask Qty]]</f>
        <v>3100</v>
      </c>
      <c r="AG331" t="str">
        <f ca="1">IF(Table1[[#This Row],[YTM]]&gt;0.12,IF(Table1[[#This Row],[Gross Profit]]&gt;10000,"Invest","Review"),"Low YTM")</f>
        <v>Low YTM</v>
      </c>
    </row>
    <row r="332" spans="1:33" x14ac:dyDescent="0.3">
      <c r="A332" t="str">
        <f>RTD("nest.scriprtd",,"bse_cm|897MOFSL29","Symbol")</f>
        <v>897MOFSL29</v>
      </c>
      <c r="B332" t="str">
        <f>RTD("nest.scriprtd",,"bse_cm|897MOFSL29","Trading Symbol")</f>
        <v>897MOFSL29</v>
      </c>
      <c r="C332" t="str">
        <f>RTD("nest.scriprtd",,"bse_cm|897MOFSL29","Exchange")</f>
        <v>BSE</v>
      </c>
      <c r="D332">
        <f>RTD("nest.scriprtd",,"bse_cm|897MOFSL29","Bid Qty")</f>
        <v>13</v>
      </c>
      <c r="E332">
        <f>RTD("nest.scriprtd",,"bse_cm|897MOFSL29","Bid Rate")</f>
        <v>1000.01</v>
      </c>
      <c r="F332">
        <f>RTD("nest.scriprtd",,"bse_cm|897MOFSL29","Ask Rate")</f>
        <v>1020</v>
      </c>
      <c r="G332">
        <f>RTD("nest.scriprtd",,"bse_cm|897MOFSL29","Ask Qty")</f>
        <v>156</v>
      </c>
      <c r="H332">
        <f>RTD("nest.scriprtd",,"bse_cm|897MOFSL29","LTP")</f>
        <v>0</v>
      </c>
      <c r="I332" t="str">
        <f>RTD("nest.scriprtd",,"bse_cm|897MOFSL29","LTT")</f>
        <v>00:00:00</v>
      </c>
      <c r="J332">
        <f>RTD("nest.scriprtd",,"bse_cm|897MOFSL29","% Change")</f>
        <v>-100</v>
      </c>
      <c r="K332">
        <f>RTD("nest.scriprtd",,"bse_cm|897MOFSL29","ATP")</f>
        <v>0</v>
      </c>
      <c r="L332">
        <f>RTD("nest.scriprtd",,"bse_cm|897MOFSL29","Volume Traded Today")</f>
        <v>0</v>
      </c>
      <c r="M332">
        <f>RTD("nest.scriprtd",,"bse_cm|897MOFSL29","Open")</f>
        <v>0</v>
      </c>
      <c r="N332">
        <f>RTD("nest.scriprtd",,"bse_cm|897MOFSL29","High")</f>
        <v>1000</v>
      </c>
      <c r="O332">
        <f>RTD("nest.scriprtd",,"bse_cm|897MOFSL29","Low ")</f>
        <v>1000</v>
      </c>
      <c r="P332">
        <f>RTD("nest.scriprtd",,"bse_cm|897MOFSL29","Prev Close")</f>
        <v>1000</v>
      </c>
      <c r="Q332">
        <f>RTD("nest.scriprtd",,"bse_cm|897MOFSL29","Face Value")</f>
        <v>1000</v>
      </c>
      <c r="R332" t="str">
        <f>RTD("nest.scriprtd",,"bse_cm|897MOFSL29","Isin code")</f>
        <v>INE338I07164</v>
      </c>
      <c r="S332" s="9">
        <f>Table1[[#This Row],[Ask Rate]]*Table1[[#This Row],[Ask Qty]]</f>
        <v>159120</v>
      </c>
      <c r="T332">
        <f>VLOOKUP(Table1[[#This Row],[Isin code]],Table2[#All],7,FALSE)</f>
        <v>8.9700000000000006</v>
      </c>
      <c r="U332" s="17" t="str">
        <f>VLOOKUP(Table1[[#This Row],[Isin code]],Table2[#All],8,FALSE)</f>
        <v>09-May-2029</v>
      </c>
      <c r="V332" s="10">
        <f ca="1">Table1[[#This Row],[Maturity]]-TODAY()</f>
        <v>1666</v>
      </c>
      <c r="W332" t="str">
        <f>VLOOKUP(Table1[[#This Row],[Isin code]],Table2[#All],10,FALSE)</f>
        <v>Monthly</v>
      </c>
      <c r="X332">
        <f ca="1">_xlfn.DAYS(Table1[[#This Row],[Maturity]],TODAY())-15</f>
        <v>1651</v>
      </c>
      <c r="Y3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56</v>
      </c>
      <c r="Z332">
        <f>IF(Table1[[#This Row],[Ask Rate]]=0,0,Table1[[#This Row],[Face Value]]-Table1[[#This Row],[Ask Rate]])</f>
        <v>-20</v>
      </c>
      <c r="AA332">
        <f>IF(Table1[[#This Row],[Freq]]="Yearly",Table1[[#This Row],[Coupon_Rate]]/100,IF(Table1[[#This Row],[Freq]]="Monthly",Table1[[#This Row],[Coupon_Rate]]/1200,IF(Table1[[#This Row],[Freq]]="Quarterly",Table1[[#This Row],[Coupon_Rate]]/400,0)))</f>
        <v>7.4750000000000007E-3</v>
      </c>
      <c r="AB332">
        <f ca="1">Table1[[#This Row],[Face Value]]*Table1[[#This Row],[Rate]]*Table1[[#This Row],[Time]]</f>
        <v>418.6</v>
      </c>
      <c r="AC332">
        <f ca="1">Table1[[#This Row],[SI]]+Table1[[#This Row],[Disc/Prem]]</f>
        <v>398.6</v>
      </c>
      <c r="AD332" s="3">
        <f ca="1">Table1[[#This Row],[Net Gain]]/Table1[[#This Row],[Ask Rate]]</f>
        <v>0.39078431372549022</v>
      </c>
      <c r="AE332" s="3">
        <f ca="1">IF(Table1[[#This Row],[Ask Qty]]=0,0,Table1[[#This Row],[Gross Yield]]*365/Table1[[#This Row],[Days Left]])</f>
        <v>8.561601111032649E-2</v>
      </c>
      <c r="AF332" s="9">
        <f ca="1">+Table1[[#This Row],[Net Gain]]*Table1[[#This Row],[Ask Qty]]</f>
        <v>62181.600000000006</v>
      </c>
      <c r="AG332" t="str">
        <f ca="1">IF(Table1[[#This Row],[YTM]]&gt;0.12,IF(Table1[[#This Row],[Gross Profit]]&gt;10000,"Invest","Review"),"Low YTM")</f>
        <v>Low YTM</v>
      </c>
    </row>
    <row r="333" spans="1:33" x14ac:dyDescent="0.3">
      <c r="A333" t="str">
        <f>RTD("nest.scriprtd",,"bse_cm|93MMFSL27","Symbol")</f>
        <v>93MMFSL27</v>
      </c>
      <c r="B333" t="str">
        <f>RTD("nest.scriprtd",,"bse_cm|93MMFSL27","Trading Symbol")</f>
        <v>93MMFSL27</v>
      </c>
      <c r="C333" t="str">
        <f>RTD("nest.scriprtd",,"bse_cm|93MMFSL27","Exchange")</f>
        <v>BSE</v>
      </c>
      <c r="D333">
        <f>RTD("nest.scriprtd",,"bse_cm|93MMFSL27","Bid Qty")</f>
        <v>1</v>
      </c>
      <c r="E333">
        <f>RTD("nest.scriprtd",,"bse_cm|93MMFSL27","Bid Rate")</f>
        <v>1070.25</v>
      </c>
      <c r="F333">
        <f>RTD("nest.scriprtd",,"bse_cm|93MMFSL27","Ask Rate")</f>
        <v>1071.99</v>
      </c>
      <c r="G333">
        <f>RTD("nest.scriprtd",,"bse_cm|93MMFSL27","Ask Qty")</f>
        <v>1</v>
      </c>
      <c r="H333">
        <f>RTD("nest.scriprtd",,"bse_cm|93MMFSL27","LTP")</f>
        <v>1070.01</v>
      </c>
      <c r="I333" t="str">
        <f>RTD("nest.scriprtd",,"bse_cm|93MMFSL27","LTT")</f>
        <v>00:00:00</v>
      </c>
      <c r="J333">
        <f>RTD("nest.scriprtd",,"bse_cm|93MMFSL27","% Change")</f>
        <v>0.09</v>
      </c>
      <c r="K333">
        <f>RTD("nest.scriprtd",,"bse_cm|93MMFSL27","ATP")</f>
        <v>0</v>
      </c>
      <c r="L333">
        <f>RTD("nest.scriprtd",,"bse_cm|93MMFSL27","Volume Traded Today")</f>
        <v>0</v>
      </c>
      <c r="M333">
        <f>RTD("nest.scriprtd",,"bse_cm|93MMFSL27","Open")</f>
        <v>0</v>
      </c>
      <c r="N333">
        <f>RTD("nest.scriprtd",,"bse_cm|93MMFSL27","High")</f>
        <v>1071</v>
      </c>
      <c r="O333">
        <f>RTD("nest.scriprtd",,"bse_cm|93MMFSL27","Low ")</f>
        <v>1070.01</v>
      </c>
      <c r="P333">
        <f>RTD("nest.scriprtd",,"bse_cm|93MMFSL27","Prev Close")</f>
        <v>1069.01</v>
      </c>
      <c r="Q333">
        <f>RTD("nest.scriprtd",,"bse_cm|93MMFSL27","Face Value")</f>
        <v>1000</v>
      </c>
      <c r="R333" t="str">
        <f>RTD("nest.scriprtd",,"bse_cm|93MMFSL27","Isin code")</f>
        <v>INE774D07SW9</v>
      </c>
      <c r="S333" s="9">
        <f>Table1[[#This Row],[Ask Rate]]*Table1[[#This Row],[Ask Qty]]</f>
        <v>1071.99</v>
      </c>
      <c r="T333">
        <f>VLOOKUP(Table1[[#This Row],[Isin code]],Table2[#All],7,FALSE)</f>
        <v>9.3000000000000007</v>
      </c>
      <c r="U333" s="17" t="str">
        <f>VLOOKUP(Table1[[#This Row],[Isin code]],Table2[#All],8,FALSE)</f>
        <v>18-Jan-2027</v>
      </c>
      <c r="V333" s="10">
        <f ca="1">Table1[[#This Row],[Maturity]]-TODAY()</f>
        <v>824</v>
      </c>
      <c r="W333" t="str">
        <f>VLOOKUP(Table1[[#This Row],[Isin code]],Table2[#All],10,FALSE)</f>
        <v>Yearly</v>
      </c>
      <c r="X333">
        <f ca="1">_xlfn.DAYS(Table1[[#This Row],[Maturity]],TODAY())-15</f>
        <v>809</v>
      </c>
      <c r="Y33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33">
        <f>IF(Table1[[#This Row],[Ask Rate]]=0,0,Table1[[#This Row],[Face Value]]-Table1[[#This Row],[Ask Rate]])</f>
        <v>-71.990000000000009</v>
      </c>
      <c r="AA333">
        <f>IF(Table1[[#This Row],[Freq]]="Yearly",Table1[[#This Row],[Coupon_Rate]]/100,IF(Table1[[#This Row],[Freq]]="Monthly",Table1[[#This Row],[Coupon_Rate]]/1200,IF(Table1[[#This Row],[Freq]]="Quarterly",Table1[[#This Row],[Coupon_Rate]]/400,0)))</f>
        <v>9.3000000000000013E-2</v>
      </c>
      <c r="AB333">
        <f ca="1">Table1[[#This Row],[Face Value]]*Table1[[#This Row],[Rate]]*Table1[[#This Row],[Time]]</f>
        <v>279.00000000000006</v>
      </c>
      <c r="AC333">
        <f ca="1">Table1[[#This Row],[SI]]+Table1[[#This Row],[Disc/Prem]]</f>
        <v>207.01000000000005</v>
      </c>
      <c r="AD333" s="3">
        <f ca="1">Table1[[#This Row],[Net Gain]]/Table1[[#This Row],[Ask Rate]]</f>
        <v>0.19310814466552864</v>
      </c>
      <c r="AE333" s="3">
        <f ca="1">IF(Table1[[#This Row],[Ask Qty]]=0,0,Table1[[#This Row],[Gross Yield]]*365/Table1[[#This Row],[Days Left]])</f>
        <v>8.5539408741405282E-2</v>
      </c>
      <c r="AF333" s="9">
        <f ca="1">+Table1[[#This Row],[Net Gain]]*Table1[[#This Row],[Ask Qty]]</f>
        <v>207.01000000000005</v>
      </c>
      <c r="AG333" t="str">
        <f ca="1">IF(Table1[[#This Row],[YTM]]&gt;0.12,IF(Table1[[#This Row],[Gross Profit]]&gt;10000,"Invest","Review"),"Low YTM")</f>
        <v>Low YTM</v>
      </c>
    </row>
    <row r="334" spans="1:33" x14ac:dyDescent="0.3">
      <c r="A334" t="str">
        <f>RTD("nest.scriprtd",,"bse_cm|9MMFSL26","Symbol")</f>
        <v>9MMFSL26</v>
      </c>
      <c r="B334" t="str">
        <f>RTD("nest.scriprtd",,"bse_cm|9MMFSL26","Trading Symbol")</f>
        <v>9MMFSL26</v>
      </c>
      <c r="C334" t="str">
        <f>RTD("nest.scriprtd",,"bse_cm|9MMFSL26","Exchange")</f>
        <v>BSE</v>
      </c>
      <c r="D334">
        <f>RTD("nest.scriprtd",,"bse_cm|9MMFSL26","Bid Qty")</f>
        <v>10</v>
      </c>
      <c r="E334">
        <f>RTD("nest.scriprtd",,"bse_cm|9MMFSL26","Bid Rate")</f>
        <v>1034.55</v>
      </c>
      <c r="F334">
        <f>RTD("nest.scriprtd",,"bse_cm|9MMFSL26","Ask Rate")</f>
        <v>1035</v>
      </c>
      <c r="G334">
        <f>RTD("nest.scriprtd",,"bse_cm|9MMFSL26","Ask Qty")</f>
        <v>10</v>
      </c>
      <c r="H334">
        <f>RTD("nest.scriprtd",,"bse_cm|9MMFSL26","LTP")</f>
        <v>1034</v>
      </c>
      <c r="I334" t="str">
        <f>RTD("nest.scriprtd",,"bse_cm|9MMFSL26","LTT")</f>
        <v>00:00:00</v>
      </c>
      <c r="J334">
        <f>RTD("nest.scriprtd",,"bse_cm|9MMFSL26","% Change")</f>
        <v>-0.19</v>
      </c>
      <c r="K334">
        <f>RTD("nest.scriprtd",,"bse_cm|9MMFSL26","ATP")</f>
        <v>0</v>
      </c>
      <c r="L334">
        <f>RTD("nest.scriprtd",,"bse_cm|9MMFSL26","Volume Traded Today")</f>
        <v>0</v>
      </c>
      <c r="M334">
        <f>RTD("nest.scriprtd",,"bse_cm|9MMFSL26","Open")</f>
        <v>0</v>
      </c>
      <c r="N334">
        <f>RTD("nest.scriprtd",,"bse_cm|9MMFSL26","High")</f>
        <v>1034.5</v>
      </c>
      <c r="O334">
        <f>RTD("nest.scriprtd",,"bse_cm|9MMFSL26","Low ")</f>
        <v>1034</v>
      </c>
      <c r="P334">
        <f>RTD("nest.scriprtd",,"bse_cm|9MMFSL26","Prev Close")</f>
        <v>1036</v>
      </c>
      <c r="Q334">
        <f>RTD("nest.scriprtd",,"bse_cm|9MMFSL26","Face Value")</f>
        <v>1000</v>
      </c>
      <c r="R334" t="str">
        <f>RTD("nest.scriprtd",,"bse_cm|9MMFSL26","Isin code")</f>
        <v>INE774D08MA6</v>
      </c>
      <c r="S334" s="9">
        <f>Table1[[#This Row],[Ask Rate]]*Table1[[#This Row],[Ask Qty]]</f>
        <v>10350</v>
      </c>
      <c r="T334">
        <f>VLOOKUP(Table1[[#This Row],[Isin code]],Table2[#All],7,FALSE)</f>
        <v>9</v>
      </c>
      <c r="U334" s="17" t="str">
        <f>VLOOKUP(Table1[[#This Row],[Isin code]],Table2[#All],8,FALSE)</f>
        <v>06-Jun-2026</v>
      </c>
      <c r="V334" s="10">
        <f ca="1">Table1[[#This Row],[Maturity]]-TODAY()</f>
        <v>598</v>
      </c>
      <c r="W334" t="str">
        <f>VLOOKUP(Table1[[#This Row],[Isin code]],Table2[#All],10,FALSE)</f>
        <v>Yearly</v>
      </c>
      <c r="X334">
        <f ca="1">_xlfn.DAYS(Table1[[#This Row],[Maturity]],TODAY())-15</f>
        <v>583</v>
      </c>
      <c r="Y3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34">
        <f>IF(Table1[[#This Row],[Ask Rate]]=0,0,Table1[[#This Row],[Face Value]]-Table1[[#This Row],[Ask Rate]])</f>
        <v>-35</v>
      </c>
      <c r="AA334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334">
        <f ca="1">Table1[[#This Row],[Face Value]]*Table1[[#This Row],[Rate]]*Table1[[#This Row],[Time]]</f>
        <v>180</v>
      </c>
      <c r="AC334">
        <f ca="1">Table1[[#This Row],[SI]]+Table1[[#This Row],[Disc/Prem]]</f>
        <v>145</v>
      </c>
      <c r="AD334" s="3">
        <f ca="1">Table1[[#This Row],[Net Gain]]/Table1[[#This Row],[Ask Rate]]</f>
        <v>0.14009661835748793</v>
      </c>
      <c r="AE334" s="3">
        <f ca="1">IF(Table1[[#This Row],[Ask Qty]]=0,0,Table1[[#This Row],[Gross Yield]]*365/Table1[[#This Row],[Days Left]])</f>
        <v>8.5510477760005171E-2</v>
      </c>
      <c r="AF334" s="9">
        <f ca="1">+Table1[[#This Row],[Net Gain]]*Table1[[#This Row],[Ask Qty]]</f>
        <v>1450</v>
      </c>
      <c r="AG334" t="str">
        <f ca="1">IF(Table1[[#This Row],[YTM]]&gt;0.12,IF(Table1[[#This Row],[Gross Profit]]&gt;10000,"Invest","Review"),"Low YTM")</f>
        <v>Low YTM</v>
      </c>
    </row>
    <row r="335" spans="1:33" x14ac:dyDescent="0.3">
      <c r="A335" t="str">
        <f>RTD("nest.scriprtd",,"bse_cm|925AEL26","Symbol")</f>
        <v>925AEL26</v>
      </c>
      <c r="B335" t="str">
        <f>RTD("nest.scriprtd",,"bse_cm|925AEL26","Trading Symbol")</f>
        <v>925AEL26</v>
      </c>
      <c r="C335" t="str">
        <f>RTD("nest.scriprtd",,"bse_cm|925AEL26","Exchange")</f>
        <v>BSE</v>
      </c>
      <c r="D335">
        <f>RTD("nest.scriprtd",,"bse_cm|925AEL26","Bid Qty")</f>
        <v>1</v>
      </c>
      <c r="E335">
        <f>RTD("nest.scriprtd",,"bse_cm|925AEL26","Bid Rate")</f>
        <v>1000.2</v>
      </c>
      <c r="F335">
        <f>RTD("nest.scriprtd",,"bse_cm|925AEL26","Ask Rate")</f>
        <v>1020</v>
      </c>
      <c r="G335">
        <f>RTD("nest.scriprtd",,"bse_cm|925AEL26","Ask Qty")</f>
        <v>100</v>
      </c>
      <c r="H335">
        <f>RTD("nest.scriprtd",,"bse_cm|925AEL26","LTP")</f>
        <v>1000</v>
      </c>
      <c r="I335" t="str">
        <f>RTD("nest.scriprtd",,"bse_cm|925AEL26","LTT")</f>
        <v>09:30:50</v>
      </c>
      <c r="J335">
        <f>RTD("nest.scriprtd",,"bse_cm|925AEL26","% Change")</f>
        <v>-0.09</v>
      </c>
      <c r="K335">
        <f>RTD("nest.scriprtd",,"bse_cm|925AEL26","ATP")</f>
        <v>1000.5</v>
      </c>
      <c r="L335">
        <f>RTD("nest.scriprtd",,"bse_cm|925AEL26","Volume Traded Today")</f>
        <v>100</v>
      </c>
      <c r="M335">
        <f>RTD("nest.scriprtd",,"bse_cm|925AEL26","Open")</f>
        <v>1000.5</v>
      </c>
      <c r="N335">
        <f>RTD("nest.scriprtd",,"bse_cm|925AEL26","High")</f>
        <v>1000.5</v>
      </c>
      <c r="O335">
        <f>RTD("nest.scriprtd",,"bse_cm|925AEL26","Low ")</f>
        <v>1000</v>
      </c>
      <c r="P335">
        <f>RTD("nest.scriprtd",,"bse_cm|925AEL26","Prev Close")</f>
        <v>1000.86</v>
      </c>
      <c r="Q335">
        <f>RTD("nest.scriprtd",,"bse_cm|925AEL26","Face Value")</f>
        <v>1000</v>
      </c>
      <c r="R335" t="str">
        <f>RTD("nest.scriprtd",,"bse_cm|925AEL26","Isin code")</f>
        <v>INE423A07351</v>
      </c>
      <c r="S335" s="9">
        <f>Table1[[#This Row],[Ask Rate]]*Table1[[#This Row],[Ask Qty]]</f>
        <v>102000</v>
      </c>
      <c r="T335">
        <f>VLOOKUP(Table1[[#This Row],[Isin code]],Table2[#All],7,FALSE)</f>
        <v>9.25</v>
      </c>
      <c r="U335" s="17" t="str">
        <f>VLOOKUP(Table1[[#This Row],[Isin code]],Table2[#All],8,FALSE)</f>
        <v>12-Sep-2026</v>
      </c>
      <c r="V335" s="10">
        <f ca="1">Table1[[#This Row],[Maturity]]-TODAY()</f>
        <v>696</v>
      </c>
      <c r="W335" t="str">
        <f>VLOOKUP(Table1[[#This Row],[Isin code]],Table2[#All],10,FALSE)</f>
        <v>Yearly</v>
      </c>
      <c r="X335">
        <f ca="1">_xlfn.DAYS(Table1[[#This Row],[Maturity]],TODAY())-15</f>
        <v>681</v>
      </c>
      <c r="Y33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35">
        <f>IF(Table1[[#This Row],[Ask Rate]]=0,0,Table1[[#This Row],[Face Value]]-Table1[[#This Row],[Ask Rate]])</f>
        <v>-20</v>
      </c>
      <c r="AA335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335">
        <f ca="1">Table1[[#This Row],[Face Value]]*Table1[[#This Row],[Rate]]*Table1[[#This Row],[Time]]</f>
        <v>185</v>
      </c>
      <c r="AC335">
        <f ca="1">Table1[[#This Row],[SI]]+Table1[[#This Row],[Disc/Prem]]</f>
        <v>165</v>
      </c>
      <c r="AD335" s="3">
        <f ca="1">Table1[[#This Row],[Net Gain]]/Table1[[#This Row],[Ask Rate]]</f>
        <v>0.16176470588235295</v>
      </c>
      <c r="AE335" s="3">
        <f ca="1">IF(Table1[[#This Row],[Ask Qty]]=0,0,Table1[[#This Row],[Gross Yield]]*365/Table1[[#This Row],[Days Left]])</f>
        <v>8.4833502366463837E-2</v>
      </c>
      <c r="AF335" s="9">
        <f ca="1">+Table1[[#This Row],[Net Gain]]*Table1[[#This Row],[Ask Qty]]</f>
        <v>16500</v>
      </c>
      <c r="AG335" t="str">
        <f ca="1">IF(Table1[[#This Row],[YTM]]&gt;0.12,IF(Table1[[#This Row],[Gross Profit]]&gt;10000,"Invest","Review"),"Low YTM")</f>
        <v>Low YTM</v>
      </c>
    </row>
    <row r="336" spans="1:33" x14ac:dyDescent="0.3">
      <c r="A336" t="str">
        <f>RTD("nest.scriprtd",,"bse_cm|775MFL2025","Symbol")</f>
        <v>775MFL2025</v>
      </c>
      <c r="B336" t="str">
        <f>RTD("nest.scriprtd",,"bse_cm|775MFL2025","Trading Symbol")</f>
        <v>775MFL2025</v>
      </c>
      <c r="C336" t="str">
        <f>RTD("nest.scriprtd",,"bse_cm|775MFL2025","Exchange")</f>
        <v>BSE</v>
      </c>
      <c r="D336">
        <f>RTD("nest.scriprtd",,"bse_cm|775MFL2025","Bid Qty")</f>
        <v>100</v>
      </c>
      <c r="E336">
        <f>RTD("nest.scriprtd",,"bse_cm|775MFL2025","Bid Rate")</f>
        <v>1011.12</v>
      </c>
      <c r="F336">
        <f>RTD("nest.scriprtd",,"bse_cm|775MFL2025","Ask Rate")</f>
        <v>1023</v>
      </c>
      <c r="G336">
        <f>RTD("nest.scriprtd",,"bse_cm|775MFL2025","Ask Qty")</f>
        <v>1</v>
      </c>
      <c r="H336">
        <f>RTD("nest.scriprtd",,"bse_cm|775MFL2025","LTP")</f>
        <v>0</v>
      </c>
      <c r="I336" t="str">
        <f>RTD("nest.scriprtd",,"bse_cm|775MFL2025","LTT")</f>
        <v>00:00:00</v>
      </c>
      <c r="J336">
        <f>RTD("nest.scriprtd",,"bse_cm|775MFL2025","% Change")</f>
        <v>-100</v>
      </c>
      <c r="K336">
        <f>RTD("nest.scriprtd",,"bse_cm|775MFL2025","ATP")</f>
        <v>0</v>
      </c>
      <c r="L336">
        <f>RTD("nest.scriprtd",,"bse_cm|775MFL2025","Volume Traded Today")</f>
        <v>0</v>
      </c>
      <c r="M336">
        <f>RTD("nest.scriprtd",,"bse_cm|775MFL2025","Open")</f>
        <v>0</v>
      </c>
      <c r="N336">
        <f>RTD("nest.scriprtd",,"bse_cm|775MFL2025","High")</f>
        <v>1010.22</v>
      </c>
      <c r="O336">
        <f>RTD("nest.scriprtd",,"bse_cm|775MFL2025","Low ")</f>
        <v>1009.8</v>
      </c>
      <c r="P336">
        <f>RTD("nest.scriprtd",,"bse_cm|775MFL2025","Prev Close")</f>
        <v>1009.8</v>
      </c>
      <c r="Q336">
        <f>RTD("nest.scriprtd",,"bse_cm|775MFL2025","Face Value")</f>
        <v>1000</v>
      </c>
      <c r="R336" t="str">
        <f>RTD("nest.scriprtd",,"bse_cm|775MFL2025","Isin code")</f>
        <v>INE414G07IA2</v>
      </c>
      <c r="S336" s="9">
        <f>Table1[[#This Row],[Ask Rate]]*Table1[[#This Row],[Ask Qty]]</f>
        <v>1023</v>
      </c>
      <c r="T336">
        <f>VLOOKUP(Table1[[#This Row],[Isin code]],Table2[#All],7,FALSE)</f>
        <v>7.75</v>
      </c>
      <c r="U336" s="17" t="str">
        <f>VLOOKUP(Table1[[#This Row],[Isin code]],Table2[#All],8,FALSE)</f>
        <v>03-Jun-2025</v>
      </c>
      <c r="V336" s="10">
        <f ca="1">Table1[[#This Row],[Maturity]]-TODAY()</f>
        <v>230</v>
      </c>
      <c r="W336" t="str">
        <f>VLOOKUP(Table1[[#This Row],[Isin code]],Table2[#All],10,FALSE)</f>
        <v>Yearly</v>
      </c>
      <c r="X336">
        <f ca="1">_xlfn.DAYS(Table1[[#This Row],[Maturity]],TODAY())-15</f>
        <v>215</v>
      </c>
      <c r="Y3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336">
        <f>IF(Table1[[#This Row],[Ask Rate]]=0,0,Table1[[#This Row],[Face Value]]-Table1[[#This Row],[Ask Rate]])</f>
        <v>-23</v>
      </c>
      <c r="AA336">
        <f>IF(Table1[[#This Row],[Freq]]="Yearly",Table1[[#This Row],[Coupon_Rate]]/100,IF(Table1[[#This Row],[Freq]]="Monthly",Table1[[#This Row],[Coupon_Rate]]/1200,IF(Table1[[#This Row],[Freq]]="Quarterly",Table1[[#This Row],[Coupon_Rate]]/400,0)))</f>
        <v>7.7499999999999999E-2</v>
      </c>
      <c r="AB336">
        <f ca="1">Table1[[#This Row],[Face Value]]*Table1[[#This Row],[Rate]]*Table1[[#This Row],[Time]]</f>
        <v>77.5</v>
      </c>
      <c r="AC336">
        <f ca="1">Table1[[#This Row],[SI]]+Table1[[#This Row],[Disc/Prem]]</f>
        <v>54.5</v>
      </c>
      <c r="AD336" s="3">
        <f ca="1">Table1[[#This Row],[Net Gain]]/Table1[[#This Row],[Ask Rate]]</f>
        <v>5.3274682306940373E-2</v>
      </c>
      <c r="AE336" s="3">
        <f ca="1">IF(Table1[[#This Row],[Ask Qty]]=0,0,Table1[[#This Row],[Gross Yield]]*365/Table1[[#This Row],[Days Left]])</f>
        <v>8.4544604530579284E-2</v>
      </c>
      <c r="AF336" s="9">
        <f ca="1">+Table1[[#This Row],[Net Gain]]*Table1[[#This Row],[Ask Qty]]</f>
        <v>54.5</v>
      </c>
      <c r="AG336" t="str">
        <f ca="1">IF(Table1[[#This Row],[YTM]]&gt;0.12,IF(Table1[[#This Row],[Gross Profit]]&gt;10000,"Invest","Review"),"Low YTM")</f>
        <v>Low YTM</v>
      </c>
    </row>
    <row r="337" spans="1:33" x14ac:dyDescent="0.3">
      <c r="A337" t="str">
        <f>RTD("nest.scriprtd",,"nse_cm|1119NFL27-ND","Symbol")</f>
        <v>1119NFL27</v>
      </c>
      <c r="B337" t="str">
        <f>RTD("nest.scriprtd",,"nse_cm|1119NFL27-ND","Trading Symbol")</f>
        <v>1119NFL27-ND</v>
      </c>
      <c r="C337" t="str">
        <f>RTD("nest.scriprtd",,"nse_cm|1119NFL27-ND","Exchange")</f>
        <v>NSE</v>
      </c>
      <c r="D337">
        <f>RTD("nest.scriprtd",,"nse_cm|1119NFL27-ND","Bid Qty")</f>
        <v>3</v>
      </c>
      <c r="E337">
        <f>RTD("nest.scriprtd",,"nse_cm|1119NFL27-ND","Bid Rate")</f>
        <v>1038.74</v>
      </c>
      <c r="F337">
        <f>RTD("nest.scriprtd",,"nse_cm|1119NFL27-ND","Ask Rate")</f>
        <v>1110</v>
      </c>
      <c r="G337">
        <f>RTD("nest.scriprtd",,"nse_cm|1119NFL27-ND","Ask Qty")</f>
        <v>80</v>
      </c>
      <c r="H337">
        <f>RTD("nest.scriprtd",,"nse_cm|1119NFL27-ND","LTP")</f>
        <v>1044</v>
      </c>
      <c r="I337" t="str">
        <f>RTD("nest.scriprtd",,"nse_cm|1119NFL27-ND","LTT")</f>
        <v/>
      </c>
      <c r="J337">
        <f>RTD("nest.scriprtd",,"nse_cm|1119NFL27-ND","% Change")</f>
        <v>0</v>
      </c>
      <c r="K337">
        <f>RTD("nest.scriprtd",,"nse_cm|1119NFL27-ND","ATP")</f>
        <v>0</v>
      </c>
      <c r="L337">
        <f>RTD("nest.scriprtd",,"nse_cm|1119NFL27-ND","Volume Traded Today")</f>
        <v>0</v>
      </c>
      <c r="M337">
        <f>RTD("nest.scriprtd",,"nse_cm|1119NFL27-ND","Open")</f>
        <v>0</v>
      </c>
      <c r="N337">
        <f>RTD("nest.scriprtd",,"nse_cm|1119NFL27-ND","High")</f>
        <v>1044</v>
      </c>
      <c r="O337">
        <f>RTD("nest.scriprtd",,"nse_cm|1119NFL27-ND","Low ")</f>
        <v>1010</v>
      </c>
      <c r="P337">
        <f>RTD("nest.scriprtd",,"nse_cm|1119NFL27-ND","Prev Close")</f>
        <v>1044</v>
      </c>
      <c r="Q337">
        <f>RTD("nest.scriprtd",,"nse_cm|1119NFL27-ND","Face Value")</f>
        <v>1000</v>
      </c>
      <c r="R337" t="str">
        <f>RTD("nest.scriprtd",,"nse_cm|1119NFL27-ND","Isin code")</f>
        <v>INE342T07445</v>
      </c>
      <c r="S337" s="9">
        <f>Table1[[#This Row],[Ask Rate]]*Table1[[#This Row],[Ask Qty]]</f>
        <v>88800</v>
      </c>
      <c r="T337">
        <f>VLOOKUP(Table1[[#This Row],[Isin code]],Table2[#All],7,FALSE)</f>
        <v>11.19</v>
      </c>
      <c r="U337" s="17" t="str">
        <f>VLOOKUP(Table1[[#This Row],[Isin code]],Table2[#All],8,FALSE)</f>
        <v>13-Mar-2027</v>
      </c>
      <c r="V337" s="10">
        <f ca="1">Table1[[#This Row],[Maturity]]-TODAY()</f>
        <v>878</v>
      </c>
      <c r="W337" t="str">
        <f>VLOOKUP(Table1[[#This Row],[Isin code]],Table2[#All],10,FALSE)</f>
        <v>Yearly</v>
      </c>
      <c r="X337">
        <f ca="1">_xlfn.DAYS(Table1[[#This Row],[Maturity]],TODAY())-15</f>
        <v>863</v>
      </c>
      <c r="Y3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37">
        <f>IF(Table1[[#This Row],[Ask Rate]]=0,0,Table1[[#This Row],[Face Value]]-Table1[[#This Row],[Ask Rate]])</f>
        <v>-110</v>
      </c>
      <c r="AA337">
        <f>IF(Table1[[#This Row],[Freq]]="Yearly",Table1[[#This Row],[Coupon_Rate]]/100,IF(Table1[[#This Row],[Freq]]="Monthly",Table1[[#This Row],[Coupon_Rate]]/1200,IF(Table1[[#This Row],[Freq]]="Quarterly",Table1[[#This Row],[Coupon_Rate]]/400,0)))</f>
        <v>0.1119</v>
      </c>
      <c r="AB337">
        <f ca="1">Table1[[#This Row],[Face Value]]*Table1[[#This Row],[Rate]]*Table1[[#This Row],[Time]]</f>
        <v>335.70000000000005</v>
      </c>
      <c r="AC337">
        <f ca="1">Table1[[#This Row],[SI]]+Table1[[#This Row],[Disc/Prem]]</f>
        <v>225.70000000000005</v>
      </c>
      <c r="AD337" s="3">
        <f ca="1">Table1[[#This Row],[Net Gain]]/Table1[[#This Row],[Ask Rate]]</f>
        <v>0.20333333333333337</v>
      </c>
      <c r="AE337" s="3">
        <f ca="1">IF(Table1[[#This Row],[Ask Qty]]=0,0,Table1[[#This Row],[Gross Yield]]*365/Table1[[#This Row],[Days Left]])</f>
        <v>8.4529233105542917E-2</v>
      </c>
      <c r="AF337" s="9">
        <f ca="1">+Table1[[#This Row],[Net Gain]]*Table1[[#This Row],[Ask Qty]]</f>
        <v>18056.000000000004</v>
      </c>
      <c r="AG337" t="str">
        <f ca="1">IF(Table1[[#This Row],[YTM]]&gt;0.12,IF(Table1[[#This Row],[Gross Profit]]&gt;10000,"Invest","Review"),"Low YTM")</f>
        <v>Low YTM</v>
      </c>
    </row>
    <row r="338" spans="1:33" x14ac:dyDescent="0.3">
      <c r="A338" t="str">
        <f>RTD("nest.scriprtd",,"bse_cm|105IIFL29","Symbol")</f>
        <v>105IIFL29</v>
      </c>
      <c r="B338" t="str">
        <f>RTD("nest.scriprtd",,"bse_cm|105IIFL29","Trading Symbol")</f>
        <v>105IIFL29</v>
      </c>
      <c r="C338" t="str">
        <f>RTD("nest.scriprtd",,"bse_cm|105IIFL29","Exchange")</f>
        <v>BSE</v>
      </c>
      <c r="D338">
        <f>RTD("nest.scriprtd",,"bse_cm|105IIFL29","Bid Qty")</f>
        <v>0</v>
      </c>
      <c r="E338">
        <f>RTD("nest.scriprtd",,"bse_cm|105IIFL29","Bid Rate")</f>
        <v>0</v>
      </c>
      <c r="F338">
        <f>RTD("nest.scriprtd",,"bse_cm|105IIFL29","Ask Rate")</f>
        <v>1118.4000000000001</v>
      </c>
      <c r="G338">
        <f>RTD("nest.scriprtd",,"bse_cm|105IIFL29","Ask Qty")</f>
        <v>260</v>
      </c>
      <c r="H338">
        <f>RTD("nest.scriprtd",,"bse_cm|105IIFL29","LTP")</f>
        <v>0</v>
      </c>
      <c r="I338" t="str">
        <f>RTD("nest.scriprtd",,"bse_cm|105IIFL29","LTT")</f>
        <v>00:00:00</v>
      </c>
      <c r="J338">
        <f>RTD("nest.scriprtd",,"bse_cm|105IIFL29","% Change")</f>
        <v>-100</v>
      </c>
      <c r="K338">
        <f>RTD("nest.scriprtd",,"bse_cm|105IIFL29","ATP")</f>
        <v>0</v>
      </c>
      <c r="L338">
        <f>RTD("nest.scriprtd",,"bse_cm|105IIFL29","Volume Traded Today")</f>
        <v>0</v>
      </c>
      <c r="M338">
        <f>RTD("nest.scriprtd",,"bse_cm|105IIFL29","Open")</f>
        <v>0</v>
      </c>
      <c r="N338">
        <f>RTD("nest.scriprtd",,"bse_cm|105IIFL29","High")</f>
        <v>1398</v>
      </c>
      <c r="O338">
        <f>RTD("nest.scriprtd",,"bse_cm|105IIFL29","Low ")</f>
        <v>1398</v>
      </c>
      <c r="P338">
        <f>RTD("nest.scriprtd",,"bse_cm|105IIFL29","Prev Close")</f>
        <v>1398</v>
      </c>
      <c r="Q338">
        <f>RTD("nest.scriprtd",,"bse_cm|105IIFL29","Face Value")</f>
        <v>1000</v>
      </c>
      <c r="R338" t="str">
        <f>RTD("nest.scriprtd",,"bse_cm|105IIFL29","Isin code")</f>
        <v>INE866I08295</v>
      </c>
      <c r="S338" s="9">
        <f>Table1[[#This Row],[Ask Rate]]*Table1[[#This Row],[Ask Qty]]</f>
        <v>290784</v>
      </c>
      <c r="T338">
        <f>VLOOKUP(Table1[[#This Row],[Isin code]],Table2[#All],7,FALSE)</f>
        <v>10.5</v>
      </c>
      <c r="U338" s="17" t="str">
        <f>VLOOKUP(Table1[[#This Row],[Isin code]],Table2[#All],8,FALSE)</f>
        <v>07-Feb-2029</v>
      </c>
      <c r="V338" s="10">
        <f ca="1">Table1[[#This Row],[Maturity]]-TODAY()</f>
        <v>1575</v>
      </c>
      <c r="W338" t="str">
        <f>VLOOKUP(Table1[[#This Row],[Isin code]],Table2[#All],10,FALSE)</f>
        <v>Yearly</v>
      </c>
      <c r="X338">
        <f ca="1">_xlfn.DAYS(Table1[[#This Row],[Maturity]],TODAY())-15</f>
        <v>1560</v>
      </c>
      <c r="Y3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38">
        <f>IF(Table1[[#This Row],[Ask Rate]]=0,0,Table1[[#This Row],[Face Value]]-Table1[[#This Row],[Ask Rate]])</f>
        <v>-118.40000000000009</v>
      </c>
      <c r="AA338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338">
        <f ca="1">Table1[[#This Row],[Face Value]]*Table1[[#This Row],[Rate]]*Table1[[#This Row],[Time]]</f>
        <v>525</v>
      </c>
      <c r="AC338">
        <f ca="1">Table1[[#This Row],[SI]]+Table1[[#This Row],[Disc/Prem]]</f>
        <v>406.59999999999991</v>
      </c>
      <c r="AD338" s="3">
        <f ca="1">Table1[[#This Row],[Net Gain]]/Table1[[#This Row],[Ask Rate]]</f>
        <v>0.36355507868383397</v>
      </c>
      <c r="AE338" s="3">
        <f ca="1">IF(Table1[[#This Row],[Ask Qty]]=0,0,Table1[[#This Row],[Gross Yield]]*365/Table1[[#This Row],[Days Left]])</f>
        <v>8.4252446806094852E-2</v>
      </c>
      <c r="AF338" s="9">
        <f ca="1">+Table1[[#This Row],[Net Gain]]*Table1[[#This Row],[Ask Qty]]</f>
        <v>105715.99999999997</v>
      </c>
      <c r="AG338" t="str">
        <f ca="1">IF(Table1[[#This Row],[YTM]]&gt;0.12,IF(Table1[[#This Row],[Gross Profit]]&gt;10000,"Invest","Review"),"Low YTM")</f>
        <v>Low YTM</v>
      </c>
    </row>
    <row r="339" spans="1:33" x14ac:dyDescent="0.3">
      <c r="A339" t="str">
        <f>RTD("nest.scriprtd",,"nse_cm|9MMFSML-N2","Symbol")</f>
        <v>9MMFSML</v>
      </c>
      <c r="B339" t="str">
        <f>RTD("nest.scriprtd",,"nse_cm|9MMFSML-N2","Trading Symbol")</f>
        <v>9MMFSML-N2</v>
      </c>
      <c r="C339" t="str">
        <f>RTD("nest.scriprtd",,"nse_cm|9MMFSML-N2","Exchange")</f>
        <v>NSE</v>
      </c>
      <c r="D339">
        <f>RTD("nest.scriprtd",,"nse_cm|9MMFSML-N2","Bid Qty")</f>
        <v>10</v>
      </c>
      <c r="E339">
        <f>RTD("nest.scriprtd",,"nse_cm|9MMFSML-N2","Bid Rate")</f>
        <v>1034.1500000000001</v>
      </c>
      <c r="F339">
        <f>RTD("nest.scriprtd",,"nse_cm|9MMFSML-N2","Ask Rate")</f>
        <v>1036.9000000000001</v>
      </c>
      <c r="G339">
        <f>RTD("nest.scriprtd",,"nse_cm|9MMFSML-N2","Ask Qty")</f>
        <v>50</v>
      </c>
      <c r="H339">
        <f>RTD("nest.scriprtd",,"nse_cm|9MMFSML-N2","LTP")</f>
        <v>1035.9000000000001</v>
      </c>
      <c r="I339" t="str">
        <f>RTD("nest.scriprtd",,"nse_cm|9MMFSML-N2","LTT")</f>
        <v/>
      </c>
      <c r="J339">
        <f>RTD("nest.scriprtd",,"nse_cm|9MMFSML-N2","% Change")</f>
        <v>0.14000000000000001</v>
      </c>
      <c r="K339">
        <f>RTD("nest.scriprtd",,"nse_cm|9MMFSML-N2","ATP")</f>
        <v>0</v>
      </c>
      <c r="L339">
        <f>RTD("nest.scriprtd",,"nse_cm|9MMFSML-N2","Volume Traded Today")</f>
        <v>0</v>
      </c>
      <c r="M339">
        <f>RTD("nest.scriprtd",,"nse_cm|9MMFSML-N2","Open")</f>
        <v>0</v>
      </c>
      <c r="N339">
        <f>RTD("nest.scriprtd",,"nse_cm|9MMFSML-N2","High")</f>
        <v>1035.9000000000001</v>
      </c>
      <c r="O339">
        <f>RTD("nest.scriprtd",,"nse_cm|9MMFSML-N2","Low ")</f>
        <v>1035.9000000000001</v>
      </c>
      <c r="P339">
        <f>RTD("nest.scriprtd",,"nse_cm|9MMFSML-N2","Prev Close")</f>
        <v>1034.5</v>
      </c>
      <c r="Q339">
        <f>RTD("nest.scriprtd",,"nse_cm|9MMFSML-N2","Face Value")</f>
        <v>1000</v>
      </c>
      <c r="R339" t="str">
        <f>RTD("nest.scriprtd",,"nse_cm|9MMFSML-N2","Isin code")</f>
        <v>INE774D08MA6</v>
      </c>
      <c r="S339" s="9">
        <f>Table1[[#This Row],[Ask Rate]]*Table1[[#This Row],[Ask Qty]]</f>
        <v>51845.000000000007</v>
      </c>
      <c r="T339">
        <f>VLOOKUP(Table1[[#This Row],[Isin code]],Table2[#All],7,FALSE)</f>
        <v>9</v>
      </c>
      <c r="U339" s="17" t="str">
        <f>VLOOKUP(Table1[[#This Row],[Isin code]],Table2[#All],8,FALSE)</f>
        <v>06-Jun-2026</v>
      </c>
      <c r="V339" s="10">
        <f ca="1">Table1[[#This Row],[Maturity]]-TODAY()</f>
        <v>598</v>
      </c>
      <c r="W339" t="str">
        <f>VLOOKUP(Table1[[#This Row],[Isin code]],Table2[#All],10,FALSE)</f>
        <v>Yearly</v>
      </c>
      <c r="X339">
        <f ca="1">_xlfn.DAYS(Table1[[#This Row],[Maturity]],TODAY())-15</f>
        <v>583</v>
      </c>
      <c r="Y3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39">
        <f>IF(Table1[[#This Row],[Ask Rate]]=0,0,Table1[[#This Row],[Face Value]]-Table1[[#This Row],[Ask Rate]])</f>
        <v>-36.900000000000091</v>
      </c>
      <c r="AA339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339">
        <f ca="1">Table1[[#This Row],[Face Value]]*Table1[[#This Row],[Rate]]*Table1[[#This Row],[Time]]</f>
        <v>180</v>
      </c>
      <c r="AC339">
        <f ca="1">Table1[[#This Row],[SI]]+Table1[[#This Row],[Disc/Prem]]</f>
        <v>143.09999999999991</v>
      </c>
      <c r="AD339" s="3">
        <f ca="1">Table1[[#This Row],[Net Gain]]/Table1[[#This Row],[Ask Rate]]</f>
        <v>0.13800752242260575</v>
      </c>
      <c r="AE339" s="3">
        <f ca="1">IF(Table1[[#This Row],[Ask Qty]]=0,0,Table1[[#This Row],[Gross Yield]]*365/Table1[[#This Row],[Days Left]])</f>
        <v>8.4235360676005178E-2</v>
      </c>
      <c r="AF339" s="9">
        <f ca="1">+Table1[[#This Row],[Net Gain]]*Table1[[#This Row],[Ask Qty]]</f>
        <v>7154.9999999999955</v>
      </c>
      <c r="AG339" t="str">
        <f ca="1">IF(Table1[[#This Row],[YTM]]&gt;0.12,IF(Table1[[#This Row],[Gross Profit]]&gt;10000,"Invest","Review"),"Low YTM")</f>
        <v>Low YTM</v>
      </c>
    </row>
    <row r="340" spans="1:33" x14ac:dyDescent="0.3">
      <c r="A340" t="str">
        <f>RTD("nest.scriprtd",,"bse_cm|9SFL25","Symbol")</f>
        <v>9SFL25</v>
      </c>
      <c r="B340" t="str">
        <f>RTD("nest.scriprtd",,"bse_cm|9SFL25","Trading Symbol")</f>
        <v>9SFL25</v>
      </c>
      <c r="C340" t="str">
        <f>RTD("nest.scriprtd",,"bse_cm|9SFL25","Exchange")</f>
        <v>BSE</v>
      </c>
      <c r="D340">
        <f>RTD("nest.scriprtd",,"bse_cm|9SFL25","Bid Qty")</f>
        <v>54</v>
      </c>
      <c r="E340">
        <f>RTD("nest.scriprtd",,"bse_cm|9SFL25","Bid Rate")</f>
        <v>905.1</v>
      </c>
      <c r="F340">
        <f>RTD("nest.scriprtd",,"bse_cm|9SFL25","Ask Rate")</f>
        <v>1005.2</v>
      </c>
      <c r="G340">
        <f>RTD("nest.scriprtd",,"bse_cm|9SFL25","Ask Qty")</f>
        <v>45</v>
      </c>
      <c r="H340">
        <f>RTD("nest.scriprtd",,"bse_cm|9SFL25","LTP")</f>
        <v>0</v>
      </c>
      <c r="I340" t="str">
        <f>RTD("nest.scriprtd",,"bse_cm|9SFL25","LTT")</f>
        <v>00:00:00</v>
      </c>
      <c r="J340">
        <f>RTD("nest.scriprtd",,"bse_cm|9SFL25","% Change")</f>
        <v>-100</v>
      </c>
      <c r="K340">
        <f>RTD("nest.scriprtd",,"bse_cm|9SFL25","ATP")</f>
        <v>0</v>
      </c>
      <c r="L340">
        <f>RTD("nest.scriprtd",,"bse_cm|9SFL25","Volume Traded Today")</f>
        <v>0</v>
      </c>
      <c r="M340">
        <f>RTD("nest.scriprtd",,"bse_cm|9SFL25","Open")</f>
        <v>0</v>
      </c>
      <c r="N340">
        <f>RTD("nest.scriprtd",,"bse_cm|9SFL25","High")</f>
        <v>980</v>
      </c>
      <c r="O340">
        <f>RTD("nest.scriprtd",,"bse_cm|9SFL25","Low ")</f>
        <v>905</v>
      </c>
      <c r="P340">
        <f>RTD("nest.scriprtd",,"bse_cm|9SFL25","Prev Close")</f>
        <v>924.74</v>
      </c>
      <c r="Q340">
        <f>RTD("nest.scriprtd",,"bse_cm|9SFL25","Face Value")</f>
        <v>1000</v>
      </c>
      <c r="R340" t="str">
        <f>RTD("nest.scriprtd",,"bse_cm|9SFL25","Isin code")</f>
        <v>INE302E07573</v>
      </c>
      <c r="S340" s="9">
        <f>Table1[[#This Row],[Ask Rate]]*Table1[[#This Row],[Ask Qty]]</f>
        <v>45234</v>
      </c>
      <c r="T340">
        <f>VLOOKUP(Table1[[#This Row],[Isin code]],Table2[#All],7,FALSE)</f>
        <v>9</v>
      </c>
      <c r="U340" s="17" t="str">
        <f>VLOOKUP(Table1[[#This Row],[Isin code]],Table2[#All],8,FALSE)</f>
        <v>08-May-2025</v>
      </c>
      <c r="V340" s="10">
        <f ca="1">Table1[[#This Row],[Maturity]]-TODAY()</f>
        <v>204</v>
      </c>
      <c r="W340" t="str">
        <f>VLOOKUP(Table1[[#This Row],[Isin code]],Table2[#All],10,FALSE)</f>
        <v>Monthly</v>
      </c>
      <c r="X340">
        <f ca="1">_xlfn.DAYS(Table1[[#This Row],[Maturity]],TODAY())-15</f>
        <v>189</v>
      </c>
      <c r="Y3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340">
        <f>IF(Table1[[#This Row],[Ask Rate]]=0,0,Table1[[#This Row],[Face Value]]-Table1[[#This Row],[Ask Rate]])</f>
        <v>-5.2000000000000455</v>
      </c>
      <c r="AA340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340">
        <f ca="1">Table1[[#This Row],[Face Value]]*Table1[[#This Row],[Rate]]*Table1[[#This Row],[Time]]</f>
        <v>52.5</v>
      </c>
      <c r="AC340">
        <f ca="1">Table1[[#This Row],[SI]]+Table1[[#This Row],[Disc/Prem]]</f>
        <v>47.299999999999955</v>
      </c>
      <c r="AD340" s="3">
        <f ca="1">Table1[[#This Row],[Net Gain]]/Table1[[#This Row],[Ask Rate]]</f>
        <v>4.7055312375646592E-2</v>
      </c>
      <c r="AE340" s="3">
        <f ca="1">IF(Table1[[#This Row],[Ask Qty]]=0,0,Table1[[#This Row],[Gross Yield]]*365/Table1[[#This Row],[Days Left]])</f>
        <v>8.4192103025053949E-2</v>
      </c>
      <c r="AF340" s="9">
        <f ca="1">+Table1[[#This Row],[Net Gain]]*Table1[[#This Row],[Ask Qty]]</f>
        <v>2128.4999999999982</v>
      </c>
      <c r="AG340" t="str">
        <f ca="1">IF(Table1[[#This Row],[YTM]]&gt;0.12,IF(Table1[[#This Row],[Gross Profit]]&gt;10000,"Invest","Review"),"Low YTM")</f>
        <v>Low YTM</v>
      </c>
    </row>
    <row r="341" spans="1:33" x14ac:dyDescent="0.3">
      <c r="A341" t="str">
        <f>RTD("nest.scriprtd",,"nse_cm|9PEL25-N0","Symbol")</f>
        <v>9PEL25</v>
      </c>
      <c r="B341" t="str">
        <f>RTD("nest.scriprtd",,"nse_cm|9PEL25-N0","Trading Symbol")</f>
        <v>9PEL25-N0</v>
      </c>
      <c r="C341" t="str">
        <f>RTD("nest.scriprtd",,"nse_cm|9PEL25-N0","Exchange")</f>
        <v>NSE</v>
      </c>
      <c r="D341">
        <f>RTD("nest.scriprtd",,"nse_cm|9PEL25-N0","Bid Qty")</f>
        <v>50</v>
      </c>
      <c r="E341">
        <f>RTD("nest.scriprtd",,"nse_cm|9PEL25-N0","Bid Rate")</f>
        <v>1066</v>
      </c>
      <c r="F341">
        <f>RTD("nest.scriprtd",,"nse_cm|9PEL25-N0","Ask Rate")</f>
        <v>1084.5</v>
      </c>
      <c r="G341">
        <f>RTD("nest.scriprtd",,"nse_cm|9PEL25-N0","Ask Qty")</f>
        <v>50</v>
      </c>
      <c r="H341">
        <f>RTD("nest.scriprtd",,"nse_cm|9PEL25-N0","LTP")</f>
        <v>1071</v>
      </c>
      <c r="I341" t="str">
        <f>RTD("nest.scriprtd",,"nse_cm|9PEL25-N0","LTT")</f>
        <v/>
      </c>
      <c r="J341">
        <f>RTD("nest.scriprtd",,"nse_cm|9PEL25-N0","% Change")</f>
        <v>0</v>
      </c>
      <c r="K341">
        <f>RTD("nest.scriprtd",,"nse_cm|9PEL25-N0","ATP")</f>
        <v>0</v>
      </c>
      <c r="L341">
        <f>RTD("nest.scriprtd",,"nse_cm|9PEL25-N0","Volume Traded Today")</f>
        <v>0</v>
      </c>
      <c r="M341">
        <f>RTD("nest.scriprtd",,"nse_cm|9PEL25-N0","Open")</f>
        <v>0</v>
      </c>
      <c r="N341">
        <f>RTD("nest.scriprtd",,"nse_cm|9PEL25-N0","High")</f>
        <v>1071</v>
      </c>
      <c r="O341">
        <f>RTD("nest.scriprtd",,"nse_cm|9PEL25-N0","Low ")</f>
        <v>1065.02</v>
      </c>
      <c r="P341">
        <f>RTD("nest.scriprtd",,"nse_cm|9PEL25-N0","Prev Close")</f>
        <v>1071</v>
      </c>
      <c r="Q341">
        <f>RTD("nest.scriprtd",,"nse_cm|9PEL25-N0","Face Value")</f>
        <v>1000</v>
      </c>
      <c r="R341" t="str">
        <f>RTD("nest.scriprtd",,"nse_cm|9PEL25-N0","Isin code")</f>
        <v>INE140A07757</v>
      </c>
      <c r="S341" s="9">
        <f>Table1[[#This Row],[Ask Rate]]*Table1[[#This Row],[Ask Qty]]</f>
        <v>54225</v>
      </c>
      <c r="T341">
        <f>VLOOKUP(Table1[[#This Row],[Isin code]],Table2[#All],7,FALSE)</f>
        <v>9</v>
      </c>
      <c r="U341" s="17" t="str">
        <f>VLOOKUP(Table1[[#This Row],[Isin code]],Table2[#All],8,FALSE)</f>
        <v>03-Nov-2025</v>
      </c>
      <c r="V341" s="10">
        <f ca="1">Table1[[#This Row],[Maturity]]-TODAY()</f>
        <v>383</v>
      </c>
      <c r="W341" t="str">
        <f>VLOOKUP(Table1[[#This Row],[Isin code]],Table2[#All],10,FALSE)</f>
        <v>Yearly</v>
      </c>
      <c r="X341">
        <f ca="1">_xlfn.DAYS(Table1[[#This Row],[Maturity]],TODAY())-15</f>
        <v>368</v>
      </c>
      <c r="Y3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41">
        <f>IF(Table1[[#This Row],[Ask Rate]]=0,0,Table1[[#This Row],[Face Value]]-Table1[[#This Row],[Ask Rate]])</f>
        <v>-84.5</v>
      </c>
      <c r="AA341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341">
        <f ca="1">Table1[[#This Row],[Face Value]]*Table1[[#This Row],[Rate]]*Table1[[#This Row],[Time]]</f>
        <v>180</v>
      </c>
      <c r="AC341">
        <f ca="1">Table1[[#This Row],[SI]]+Table1[[#This Row],[Disc/Prem]]</f>
        <v>95.5</v>
      </c>
      <c r="AD341" s="3">
        <f ca="1">Table1[[#This Row],[Net Gain]]/Table1[[#This Row],[Ask Rate]]</f>
        <v>8.8059013370216696E-2</v>
      </c>
      <c r="AE341" s="3">
        <f ca="1">IF(Table1[[#This Row],[Ask Qty]]=0,0,Table1[[#This Row],[Gross Yield]]*365/Table1[[#This Row],[Days Left]])</f>
        <v>8.3920469660911476E-2</v>
      </c>
      <c r="AF341" s="9">
        <f ca="1">+Table1[[#This Row],[Net Gain]]*Table1[[#This Row],[Ask Qty]]</f>
        <v>4775</v>
      </c>
      <c r="AG341" t="str">
        <f ca="1">IF(Table1[[#This Row],[YTM]]&gt;0.12,IF(Table1[[#This Row],[Gross Profit]]&gt;10000,"Invest","Review"),"Low YTM")</f>
        <v>Low YTM</v>
      </c>
    </row>
    <row r="342" spans="1:33" hidden="1" x14ac:dyDescent="0.3">
      <c r="A342" t="str">
        <f>RTD("nest.scriprtd",,"bse_cm|866SCFL25","Symbol")</f>
        <v>866SCFL25</v>
      </c>
      <c r="B342" t="str">
        <f>RTD("nest.scriprtd",,"bse_cm|866SCFL25","Trading Symbol")</f>
        <v>866SCFL25</v>
      </c>
      <c r="C342" t="str">
        <f>RTD("nest.scriprtd",,"bse_cm|866SCFL25","Exchange")</f>
        <v>BSE</v>
      </c>
      <c r="D342">
        <f>RTD("nest.scriprtd",,"bse_cm|866SCFL25","Bid Qty")</f>
        <v>12</v>
      </c>
      <c r="E342">
        <f>RTD("nest.scriprtd",,"bse_cm|866SCFL25","Bid Rate")</f>
        <v>950.2</v>
      </c>
      <c r="F342">
        <f>RTD("nest.scriprtd",,"bse_cm|866SCFL25","Ask Rate")</f>
        <v>1003</v>
      </c>
      <c r="G342">
        <f>RTD("nest.scriprtd",,"bse_cm|866SCFL25","Ask Qty")</f>
        <v>200</v>
      </c>
      <c r="H342">
        <f>RTD("nest.scriprtd",,"bse_cm|866SCFL25","LTP")</f>
        <v>0</v>
      </c>
      <c r="I342" t="str">
        <f>RTD("nest.scriprtd",,"bse_cm|866SCFL25","LTT")</f>
        <v>00:00:00</v>
      </c>
      <c r="J342">
        <f>RTD("nest.scriprtd",,"bse_cm|866SCFL25","% Change")</f>
        <v>-100</v>
      </c>
      <c r="K342">
        <f>RTD("nest.scriprtd",,"bse_cm|866SCFL25","ATP")</f>
        <v>0</v>
      </c>
      <c r="L342">
        <f>RTD("nest.scriprtd",,"bse_cm|866SCFL25","Volume Traded Today")</f>
        <v>0</v>
      </c>
      <c r="M342">
        <f>RTD("nest.scriprtd",,"bse_cm|866SCFL25","Open")</f>
        <v>0</v>
      </c>
      <c r="N342">
        <f>RTD("nest.scriprtd",,"bse_cm|866SCFL25","High")</f>
        <v>981.45</v>
      </c>
      <c r="O342">
        <f>RTD("nest.scriprtd",,"bse_cm|866SCFL25","Low ")</f>
        <v>981.45</v>
      </c>
      <c r="P342">
        <f>RTD("nest.scriprtd",,"bse_cm|866SCFL25","Prev Close")</f>
        <v>981.45</v>
      </c>
      <c r="Q342">
        <f>RTD("nest.scriprtd",,"bse_cm|866SCFL25","Face Value")</f>
        <v>1000</v>
      </c>
      <c r="R342" t="str">
        <f>RTD("nest.scriprtd",,"bse_cm|866SCFL25","Isin code")</f>
        <v>INE148I07LA6</v>
      </c>
      <c r="S342" s="9">
        <f>Table1[[#This Row],[Ask Rate]]*Table1[[#This Row],[Ask Qty]]</f>
        <v>200600</v>
      </c>
      <c r="T342">
        <f>VLOOKUP(Table1[[#This Row],[Isin code]],Table2[#All],7,FALSE)</f>
        <v>8.66</v>
      </c>
      <c r="U342" s="17" t="str">
        <f>VLOOKUP(Table1[[#This Row],[Isin code]],Table2[#All],8,FALSE)</f>
        <v>06-Jan-2025</v>
      </c>
      <c r="V342" s="10">
        <f ca="1">Table1[[#This Row],[Maturity]]-TODAY()</f>
        <v>82</v>
      </c>
      <c r="W342" t="str">
        <f>VLOOKUP(Table1[[#This Row],[Isin code]],Table2[#All],10,FALSE)</f>
        <v>Monthly</v>
      </c>
      <c r="X342">
        <f ca="1">_xlfn.DAYS(Table1[[#This Row],[Maturity]],TODAY())-15</f>
        <v>67</v>
      </c>
      <c r="Y3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42">
        <f>IF(Table1[[#This Row],[Ask Rate]]=0,0,Table1[[#This Row],[Face Value]]-Table1[[#This Row],[Ask Rate]])</f>
        <v>-3</v>
      </c>
      <c r="AA342">
        <f>IF(Table1[[#This Row],[Freq]]="Yearly",Table1[[#This Row],[Coupon_Rate]]/100,IF(Table1[[#This Row],[Freq]]="Monthly",Table1[[#This Row],[Coupon_Rate]]/1200,IF(Table1[[#This Row],[Freq]]="Quarterly",Table1[[#This Row],[Coupon_Rate]]/400,0)))</f>
        <v>7.2166666666666664E-3</v>
      </c>
      <c r="AB342">
        <f ca="1">Table1[[#This Row],[Face Value]]*Table1[[#This Row],[Rate]]*Table1[[#This Row],[Time]]</f>
        <v>21.65</v>
      </c>
      <c r="AC342">
        <f ca="1">Table1[[#This Row],[SI]]+Table1[[#This Row],[Disc/Prem]]</f>
        <v>18.649999999999999</v>
      </c>
      <c r="AD342" s="3">
        <f ca="1">Table1[[#This Row],[Net Gain]]/Table1[[#This Row],[Ask Rate]]</f>
        <v>1.8594217347956129E-2</v>
      </c>
      <c r="AE342" s="3">
        <f ca="1">IF(Table1[[#This Row],[Ask Qty]]=0,0,Table1[[#This Row],[Gross Yield]]*365/Table1[[#This Row],[Days Left]])</f>
        <v>8.2766943073219357E-2</v>
      </c>
      <c r="AF342" s="9">
        <f ca="1">+Table1[[#This Row],[Net Gain]]*Table1[[#This Row],[Ask Qty]]</f>
        <v>3729.9999999999995</v>
      </c>
      <c r="AG342" t="str">
        <f ca="1">IF(Table1[[#This Row],[YTM]]&gt;0.12,IF(Table1[[#This Row],[Gross Profit]]&gt;10000,"Invest","Review"),"Low YTM")</f>
        <v>Low YTM</v>
      </c>
    </row>
    <row r="343" spans="1:33" x14ac:dyDescent="0.3">
      <c r="A343" t="str">
        <f>RTD("nest.scriprtd",,"nse_cm|888IHFL25F-NC","Symbol")</f>
        <v>888IHFL25F</v>
      </c>
      <c r="B343" t="str">
        <f>RTD("nest.scriprtd",,"nse_cm|888IHFL25F-NC","Trading Symbol")</f>
        <v>888IHFL25F-NC</v>
      </c>
      <c r="C343" t="str">
        <f>RTD("nest.scriprtd",,"nse_cm|888IHFL25F-NC","Exchange")</f>
        <v>NSE</v>
      </c>
      <c r="D343">
        <f>RTD("nest.scriprtd",,"nse_cm|888IHFL25F-NC","Bid Qty")</f>
        <v>500</v>
      </c>
      <c r="E343">
        <f>RTD("nest.scriprtd",,"nse_cm|888IHFL25F-NC","Bid Rate")</f>
        <v>1050</v>
      </c>
      <c r="F343">
        <f>RTD("nest.scriprtd",,"nse_cm|888IHFL25F-NC","Ask Rate")</f>
        <v>1066</v>
      </c>
      <c r="G343">
        <f>RTD("nest.scriprtd",,"nse_cm|888IHFL25F-NC","Ask Qty")</f>
        <v>470</v>
      </c>
      <c r="H343">
        <f>RTD("nest.scriprtd",,"nse_cm|888IHFL25F-NC","LTP")</f>
        <v>1040</v>
      </c>
      <c r="I343" t="str">
        <f>RTD("nest.scriprtd",,"nse_cm|888IHFL25F-NC","LTT")</f>
        <v/>
      </c>
      <c r="J343">
        <f>RTD("nest.scriprtd",,"nse_cm|888IHFL25F-NC","% Change")</f>
        <v>0</v>
      </c>
      <c r="K343">
        <f>RTD("nest.scriprtd",,"nse_cm|888IHFL25F-NC","ATP")</f>
        <v>0</v>
      </c>
      <c r="L343">
        <f>RTD("nest.scriprtd",,"nse_cm|888IHFL25F-NC","Volume Traded Today")</f>
        <v>0</v>
      </c>
      <c r="M343">
        <f>RTD("nest.scriprtd",,"nse_cm|888IHFL25F-NC","Open")</f>
        <v>0</v>
      </c>
      <c r="N343">
        <f>RTD("nest.scriprtd",,"nse_cm|888IHFL25F-NC","High")</f>
        <v>1040</v>
      </c>
      <c r="O343">
        <f>RTD("nest.scriprtd",,"nse_cm|888IHFL25F-NC","Low ")</f>
        <v>1040</v>
      </c>
      <c r="P343">
        <f>RTD("nest.scriprtd",,"nse_cm|888IHFL25F-NC","Prev Close")</f>
        <v>1040</v>
      </c>
      <c r="Q343">
        <f>RTD("nest.scriprtd",,"nse_cm|888IHFL25F-NC","Face Value")</f>
        <v>1000</v>
      </c>
      <c r="R343" t="str">
        <f>RTD("nest.scriprtd",,"nse_cm|888IHFL25F-NC","Isin code")</f>
        <v>INE121A07RJ8</v>
      </c>
      <c r="S343" s="9">
        <f>Table1[[#This Row],[Ask Rate]]*Table1[[#This Row],[Ask Qty]]</f>
        <v>501020</v>
      </c>
      <c r="T343">
        <f>VLOOKUP(Table1[[#This Row],[Isin code]],Table2[#All],7,FALSE)</f>
        <v>8.4</v>
      </c>
      <c r="U343" s="17" t="str">
        <f>VLOOKUP(Table1[[#This Row],[Isin code]],Table2[#All],8,FALSE)</f>
        <v>07-Dec-2025</v>
      </c>
      <c r="V343" s="10">
        <f ca="1">Table1[[#This Row],[Maturity]]-TODAY()</f>
        <v>417</v>
      </c>
      <c r="W343" t="str">
        <f>VLOOKUP(Table1[[#This Row],[Isin code]],Table2[#All],10,FALSE)</f>
        <v>Yearly</v>
      </c>
      <c r="X343">
        <f ca="1">_xlfn.DAYS(Table1[[#This Row],[Maturity]],TODAY())-15</f>
        <v>402</v>
      </c>
      <c r="Y3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43">
        <f>IF(Table1[[#This Row],[Ask Rate]]=0,0,Table1[[#This Row],[Face Value]]-Table1[[#This Row],[Ask Rate]])</f>
        <v>-66</v>
      </c>
      <c r="AA343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343">
        <f ca="1">Table1[[#This Row],[Face Value]]*Table1[[#This Row],[Rate]]*Table1[[#This Row],[Time]]</f>
        <v>168</v>
      </c>
      <c r="AC343">
        <f ca="1">Table1[[#This Row],[SI]]+Table1[[#This Row],[Disc/Prem]]</f>
        <v>102</v>
      </c>
      <c r="AD343" s="3">
        <f ca="1">Table1[[#This Row],[Net Gain]]/Table1[[#This Row],[Ask Rate]]</f>
        <v>9.5684803001876179E-2</v>
      </c>
      <c r="AE343" s="3">
        <f ca="1">IF(Table1[[#This Row],[Ask Qty]]=0,0,Table1[[#This Row],[Gross Yield]]*365/Table1[[#This Row],[Days Left]])</f>
        <v>8.37528851215463E-2</v>
      </c>
      <c r="AF343" s="9">
        <f ca="1">+Table1[[#This Row],[Net Gain]]*Table1[[#This Row],[Ask Qty]]</f>
        <v>47940</v>
      </c>
      <c r="AG343" t="str">
        <f ca="1">IF(Table1[[#This Row],[YTM]]&gt;0.12,IF(Table1[[#This Row],[Gross Profit]]&gt;10000,"Invest","Review"),"Low YTM")</f>
        <v>Low YTM</v>
      </c>
    </row>
    <row r="344" spans="1:33" x14ac:dyDescent="0.3">
      <c r="A344" t="str">
        <f>RTD("nest.scriprtd",,"bse_cm|825MFL27","Symbol")</f>
        <v>825MFL27</v>
      </c>
      <c r="B344" t="str">
        <f>RTD("nest.scriprtd",,"bse_cm|825MFL27","Trading Symbol")</f>
        <v>825MFL27</v>
      </c>
      <c r="C344" t="str">
        <f>RTD("nest.scriprtd",,"bse_cm|825MFL27","Exchange")</f>
        <v>BSE</v>
      </c>
      <c r="D344">
        <f>RTD("nest.scriprtd",,"bse_cm|825MFL27","Bid Qty")</f>
        <v>30</v>
      </c>
      <c r="E344">
        <f>RTD("nest.scriprtd",,"bse_cm|825MFL27","Bid Rate")</f>
        <v>970</v>
      </c>
      <c r="F344">
        <f>RTD("nest.scriprtd",,"bse_cm|825MFL27","Ask Rate")</f>
        <v>1002</v>
      </c>
      <c r="G344">
        <f>RTD("nest.scriprtd",,"bse_cm|825MFL27","Ask Qty")</f>
        <v>10</v>
      </c>
      <c r="H344">
        <f>RTD("nest.scriprtd",,"bse_cm|825MFL27","LTP")</f>
        <v>0</v>
      </c>
      <c r="I344" t="str">
        <f>RTD("nest.scriprtd",,"bse_cm|825MFL27","LTT")</f>
        <v>00:00:00</v>
      </c>
      <c r="J344">
        <f>RTD("nest.scriprtd",,"bse_cm|825MFL27","% Change")</f>
        <v>-100</v>
      </c>
      <c r="K344">
        <f>RTD("nest.scriprtd",,"bse_cm|825MFL27","ATP")</f>
        <v>0</v>
      </c>
      <c r="L344">
        <f>RTD("nest.scriprtd",,"bse_cm|825MFL27","Volume Traded Today")</f>
        <v>0</v>
      </c>
      <c r="M344">
        <f>RTD("nest.scriprtd",,"bse_cm|825MFL27","Open")</f>
        <v>0</v>
      </c>
      <c r="N344">
        <f>RTD("nest.scriprtd",,"bse_cm|825MFL27","High")</f>
        <v>1002</v>
      </c>
      <c r="O344">
        <f>RTD("nest.scriprtd",,"bse_cm|825MFL27","Low ")</f>
        <v>1002</v>
      </c>
      <c r="P344">
        <f>RTD("nest.scriprtd",,"bse_cm|825MFL27","Prev Close")</f>
        <v>1002</v>
      </c>
      <c r="Q344">
        <f>RTD("nest.scriprtd",,"bse_cm|825MFL27","Face Value")</f>
        <v>1000</v>
      </c>
      <c r="R344" t="str">
        <f>RTD("nest.scriprtd",,"bse_cm|825MFL27","Isin code")</f>
        <v>INE414G07IW6</v>
      </c>
      <c r="S344" s="9">
        <f>Table1[[#This Row],[Ask Rate]]*Table1[[#This Row],[Ask Qty]]</f>
        <v>10020</v>
      </c>
      <c r="T344">
        <f>VLOOKUP(Table1[[#This Row],[Isin code]],Table2[#All],7,FALSE)</f>
        <v>8.25</v>
      </c>
      <c r="U344" s="17" t="str">
        <f>VLOOKUP(Table1[[#This Row],[Isin code]],Table2[#All],8,FALSE)</f>
        <v>25-Jan-2027</v>
      </c>
      <c r="V344" s="10">
        <f ca="1">Table1[[#This Row],[Maturity]]-TODAY()</f>
        <v>831</v>
      </c>
      <c r="W344" t="str">
        <f>VLOOKUP(Table1[[#This Row],[Isin code]],Table2[#All],10,FALSE)</f>
        <v>Monthly</v>
      </c>
      <c r="X344">
        <f ca="1">_xlfn.DAYS(Table1[[#This Row],[Maturity]],TODAY())-15</f>
        <v>816</v>
      </c>
      <c r="Y3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28</v>
      </c>
      <c r="Z344">
        <f>IF(Table1[[#This Row],[Ask Rate]]=0,0,Table1[[#This Row],[Face Value]]-Table1[[#This Row],[Ask Rate]])</f>
        <v>-2</v>
      </c>
      <c r="AA344">
        <f>IF(Table1[[#This Row],[Freq]]="Yearly",Table1[[#This Row],[Coupon_Rate]]/100,IF(Table1[[#This Row],[Freq]]="Monthly",Table1[[#This Row],[Coupon_Rate]]/1200,IF(Table1[[#This Row],[Freq]]="Quarterly",Table1[[#This Row],[Coupon_Rate]]/400,0)))</f>
        <v>6.875E-3</v>
      </c>
      <c r="AB344">
        <f ca="1">Table1[[#This Row],[Face Value]]*Table1[[#This Row],[Rate]]*Table1[[#This Row],[Time]]</f>
        <v>192.5</v>
      </c>
      <c r="AC344">
        <f ca="1">Table1[[#This Row],[SI]]+Table1[[#This Row],[Disc/Prem]]</f>
        <v>190.5</v>
      </c>
      <c r="AD344" s="3">
        <f ca="1">Table1[[#This Row],[Net Gain]]/Table1[[#This Row],[Ask Rate]]</f>
        <v>0.19011976047904192</v>
      </c>
      <c r="AE344" s="3">
        <f ca="1">IF(Table1[[#This Row],[Ask Qty]]=0,0,Table1[[#This Row],[Gross Yield]]*365/Table1[[#This Row],[Days Left]])</f>
        <v>8.3506272653249461E-2</v>
      </c>
      <c r="AF344" s="9">
        <f ca="1">+Table1[[#This Row],[Net Gain]]*Table1[[#This Row],[Ask Qty]]</f>
        <v>1905</v>
      </c>
      <c r="AG344" t="str">
        <f ca="1">IF(Table1[[#This Row],[YTM]]&gt;0.12,IF(Table1[[#This Row],[Gross Profit]]&gt;10000,"Invest","Review"),"Low YTM")</f>
        <v>Low YTM</v>
      </c>
    </row>
    <row r="345" spans="1:33" x14ac:dyDescent="0.3">
      <c r="A345" t="str">
        <f>RTD("nest.scriprtd",,"nse_cm|10NFL25-N9","Symbol")</f>
        <v>10NFL25</v>
      </c>
      <c r="B345" t="str">
        <f>RTD("nest.scriprtd",,"nse_cm|10NFL25-N9","Trading Symbol")</f>
        <v>10NFL25-N9</v>
      </c>
      <c r="C345" t="str">
        <f>RTD("nest.scriprtd",,"nse_cm|10NFL25-N9","Exchange")</f>
        <v>NSE</v>
      </c>
      <c r="D345">
        <f>RTD("nest.scriprtd",,"nse_cm|10NFL25-N9","Bid Qty")</f>
        <v>50</v>
      </c>
      <c r="E345">
        <f>RTD("nest.scriprtd",,"nse_cm|10NFL25-N9","Bid Rate")</f>
        <v>985</v>
      </c>
      <c r="F345">
        <f>RTD("nest.scriprtd",,"nse_cm|10NFL25-N9","Ask Rate")</f>
        <v>1015</v>
      </c>
      <c r="G345">
        <f>RTD("nest.scriprtd",,"nse_cm|10NFL25-N9","Ask Qty")</f>
        <v>12</v>
      </c>
      <c r="H345">
        <f>RTD("nest.scriprtd",,"nse_cm|10NFL25-N9","LTP")</f>
        <v>999.52</v>
      </c>
      <c r="I345" t="str">
        <f>RTD("nest.scriprtd",,"nse_cm|10NFL25-N9","LTT")</f>
        <v/>
      </c>
      <c r="J345">
        <f>RTD("nest.scriprtd",,"nse_cm|10NFL25-N9","% Change")</f>
        <v>0</v>
      </c>
      <c r="K345">
        <f>RTD("nest.scriprtd",,"nse_cm|10NFL25-N9","ATP")</f>
        <v>0</v>
      </c>
      <c r="L345">
        <f>RTD("nest.scriprtd",,"nse_cm|10NFL25-N9","Volume Traded Today")</f>
        <v>0</v>
      </c>
      <c r="M345">
        <f>RTD("nest.scriprtd",,"nse_cm|10NFL25-N9","Open")</f>
        <v>0</v>
      </c>
      <c r="N345">
        <f>RTD("nest.scriprtd",,"nse_cm|10NFL25-N9","High")</f>
        <v>1000</v>
      </c>
      <c r="O345">
        <f>RTD("nest.scriprtd",,"nse_cm|10NFL25-N9","Low ")</f>
        <v>999</v>
      </c>
      <c r="P345">
        <f>RTD("nest.scriprtd",,"nse_cm|10NFL25-N9","Prev Close")</f>
        <v>999.52</v>
      </c>
      <c r="Q345">
        <f>RTD("nest.scriprtd",,"nse_cm|10NFL25-N9","Face Value")</f>
        <v>1000</v>
      </c>
      <c r="R345" t="str">
        <f>RTD("nest.scriprtd",,"nse_cm|10NFL25-N9","Isin code")</f>
        <v>INE342T07478</v>
      </c>
      <c r="S345" s="9">
        <f>Table1[[#This Row],[Ask Rate]]*Table1[[#This Row],[Ask Qty]]</f>
        <v>12180</v>
      </c>
      <c r="T345">
        <f>VLOOKUP(Table1[[#This Row],[Isin code]],Table2[#All],7,FALSE)</f>
        <v>10</v>
      </c>
      <c r="U345" s="17" t="str">
        <f>VLOOKUP(Table1[[#This Row],[Isin code]],Table2[#All],8,FALSE)</f>
        <v>13-Sep-2025</v>
      </c>
      <c r="V345" s="10">
        <f ca="1">Table1[[#This Row],[Maturity]]-TODAY()</f>
        <v>332</v>
      </c>
      <c r="W345" t="str">
        <f>VLOOKUP(Table1[[#This Row],[Isin code]],Table2[#All],10,FALSE)</f>
        <v>Monthly</v>
      </c>
      <c r="X345">
        <f ca="1">_xlfn.DAYS(Table1[[#This Row],[Maturity]],TODAY())-15</f>
        <v>317</v>
      </c>
      <c r="Y3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345">
        <f>IF(Table1[[#This Row],[Ask Rate]]=0,0,Table1[[#This Row],[Face Value]]-Table1[[#This Row],[Ask Rate]])</f>
        <v>-15</v>
      </c>
      <c r="AA345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345">
        <f ca="1">Table1[[#This Row],[Face Value]]*Table1[[#This Row],[Rate]]*Table1[[#This Row],[Time]]</f>
        <v>91.666666666666671</v>
      </c>
      <c r="AC345">
        <f ca="1">Table1[[#This Row],[SI]]+Table1[[#This Row],[Disc/Prem]]</f>
        <v>76.666666666666671</v>
      </c>
      <c r="AD345" s="3">
        <f ca="1">Table1[[#This Row],[Net Gain]]/Table1[[#This Row],[Ask Rate]]</f>
        <v>7.5533661740558297E-2</v>
      </c>
      <c r="AE345" s="3">
        <f ca="1">IF(Table1[[#This Row],[Ask Qty]]=0,0,Table1[[#This Row],[Gross Yield]]*365/Table1[[#This Row],[Days Left]])</f>
        <v>8.3041525708746317E-2</v>
      </c>
      <c r="AF345" s="9">
        <f ca="1">+Table1[[#This Row],[Net Gain]]*Table1[[#This Row],[Ask Qty]]</f>
        <v>920</v>
      </c>
      <c r="AG345" t="str">
        <f ca="1">IF(Table1[[#This Row],[YTM]]&gt;0.12,IF(Table1[[#This Row],[Gross Profit]]&gt;10000,"Invest","Review"),"Low YTM")</f>
        <v>Low YTM</v>
      </c>
    </row>
    <row r="346" spans="1:33" x14ac:dyDescent="0.3">
      <c r="A346" t="str">
        <f>RTD("nest.scriprtd",,"nse_cm|875CIFC23B-NJ","Symbol")</f>
        <v>875CIFC23B</v>
      </c>
      <c r="B346" t="str">
        <f>RTD("nest.scriprtd",,"nse_cm|875CIFC23B-NJ","Trading Symbol")</f>
        <v>875CIFC23B-NJ</v>
      </c>
      <c r="C346" t="str">
        <f>RTD("nest.scriprtd",,"nse_cm|875CIFC23B-NJ","Exchange")</f>
        <v>NSE</v>
      </c>
      <c r="D346">
        <f>RTD("nest.scriprtd",,"nse_cm|875CIFC23B-NJ","Bid Qty")</f>
        <v>5</v>
      </c>
      <c r="E346">
        <f>RTD("nest.scriprtd",,"nse_cm|875CIFC23B-NJ","Bid Rate")</f>
        <v>865</v>
      </c>
      <c r="F346">
        <f>RTD("nest.scriprtd",,"nse_cm|875CIFC23B-NJ","Ask Rate")</f>
        <v>1056</v>
      </c>
      <c r="G346">
        <f>RTD("nest.scriprtd",,"nse_cm|875CIFC23B-NJ","Ask Qty")</f>
        <v>45</v>
      </c>
      <c r="H346">
        <f>RTD("nest.scriprtd",,"nse_cm|875CIFC23B-NJ","LTP")</f>
        <v>1055</v>
      </c>
      <c r="I346" t="str">
        <f>RTD("nest.scriprtd",,"nse_cm|875CIFC23B-NJ","LTT")</f>
        <v/>
      </c>
      <c r="J346">
        <f>RTD("nest.scriprtd",,"nse_cm|875CIFC23B-NJ","% Change")</f>
        <v>0</v>
      </c>
      <c r="K346">
        <f>RTD("nest.scriprtd",,"nse_cm|875CIFC23B-NJ","ATP")</f>
        <v>0</v>
      </c>
      <c r="L346">
        <f>RTD("nest.scriprtd",,"nse_cm|875CIFC23B-NJ","Volume Traded Today")</f>
        <v>0</v>
      </c>
      <c r="M346">
        <f>RTD("nest.scriprtd",,"nse_cm|875CIFC23B-NJ","Open")</f>
        <v>0</v>
      </c>
      <c r="N346">
        <f>RTD("nest.scriprtd",,"nse_cm|875CIFC23B-NJ","High")</f>
        <v>1055</v>
      </c>
      <c r="O346">
        <f>RTD("nest.scriprtd",,"nse_cm|875CIFC23B-NJ","Low ")</f>
        <v>1050</v>
      </c>
      <c r="P346">
        <f>RTD("nest.scriprtd",,"nse_cm|875CIFC23B-NJ","Prev Close")</f>
        <v>1055</v>
      </c>
      <c r="Q346">
        <f>RTD("nest.scriprtd",,"nse_cm|875CIFC23B-NJ","Face Value")</f>
        <v>1000</v>
      </c>
      <c r="R346" t="str">
        <f>RTD("nest.scriprtd",,"nse_cm|875CIFC23B-NJ","Isin code")</f>
        <v>INE121A07RQ3</v>
      </c>
      <c r="S346" s="9">
        <f>Table1[[#This Row],[Ask Rate]]*Table1[[#This Row],[Ask Qty]]</f>
        <v>47520</v>
      </c>
      <c r="T346">
        <f>VLOOKUP(Table1[[#This Row],[Isin code]],Table2[#All],7,FALSE)</f>
        <v>8.4499999999999993</v>
      </c>
      <c r="U346" s="17" t="str">
        <f>VLOOKUP(Table1[[#This Row],[Isin code]],Table2[#All],8,FALSE)</f>
        <v>31-Jan-2026</v>
      </c>
      <c r="V346" s="10">
        <f ca="1">Table1[[#This Row],[Maturity]]-TODAY()</f>
        <v>472</v>
      </c>
      <c r="W346" t="str">
        <f>VLOOKUP(Table1[[#This Row],[Isin code]],Table2[#All],10,FALSE)</f>
        <v>Yearly</v>
      </c>
      <c r="X346">
        <f ca="1">_xlfn.DAYS(Table1[[#This Row],[Maturity]],TODAY())-15</f>
        <v>457</v>
      </c>
      <c r="Y3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46">
        <f>IF(Table1[[#This Row],[Ask Rate]]=0,0,Table1[[#This Row],[Face Value]]-Table1[[#This Row],[Ask Rate]])</f>
        <v>-56</v>
      </c>
      <c r="AA346">
        <f>IF(Table1[[#This Row],[Freq]]="Yearly",Table1[[#This Row],[Coupon_Rate]]/100,IF(Table1[[#This Row],[Freq]]="Monthly",Table1[[#This Row],[Coupon_Rate]]/1200,IF(Table1[[#This Row],[Freq]]="Quarterly",Table1[[#This Row],[Coupon_Rate]]/400,0)))</f>
        <v>8.4499999999999992E-2</v>
      </c>
      <c r="AB346">
        <f ca="1">Table1[[#This Row],[Face Value]]*Table1[[#This Row],[Rate]]*Table1[[#This Row],[Time]]</f>
        <v>168.99999999999997</v>
      </c>
      <c r="AC346">
        <f ca="1">Table1[[#This Row],[SI]]+Table1[[#This Row],[Disc/Prem]]</f>
        <v>112.99999999999997</v>
      </c>
      <c r="AD346" s="3">
        <f ca="1">Table1[[#This Row],[Net Gain]]/Table1[[#This Row],[Ask Rate]]</f>
        <v>0.10700757575757573</v>
      </c>
      <c r="AE346" s="3">
        <f ca="1">IF(Table1[[#This Row],[Ask Qty]]=0,0,Table1[[#This Row],[Gross Yield]]*365/Table1[[#This Row],[Days Left]])</f>
        <v>8.2749502439650721E-2</v>
      </c>
      <c r="AF346" s="9">
        <f ca="1">+Table1[[#This Row],[Net Gain]]*Table1[[#This Row],[Ask Qty]]</f>
        <v>5084.9999999999991</v>
      </c>
      <c r="AG346" t="str">
        <f ca="1">IF(Table1[[#This Row],[YTM]]&gt;0.12,IF(Table1[[#This Row],[Gross Profit]]&gt;10000,"Invest","Review"),"Low YTM")</f>
        <v>Low YTM</v>
      </c>
    </row>
    <row r="347" spans="1:33" x14ac:dyDescent="0.3">
      <c r="A347" t="str">
        <f>RTD("nest.scriprtd",,"bse_cm|960CAGL25","Symbol")</f>
        <v>960CAGL25</v>
      </c>
      <c r="B347" t="str">
        <f>RTD("nest.scriprtd",,"bse_cm|960CAGL25","Trading Symbol")</f>
        <v>960CAGL25</v>
      </c>
      <c r="C347" t="str">
        <f>RTD("nest.scriprtd",,"bse_cm|960CAGL25","Exchange")</f>
        <v>BSE</v>
      </c>
      <c r="D347">
        <f>RTD("nest.scriprtd",,"bse_cm|960CAGL25","Bid Qty")</f>
        <v>20</v>
      </c>
      <c r="E347">
        <f>RTD("nest.scriprtd",,"bse_cm|960CAGL25","Bid Rate")</f>
        <v>1000</v>
      </c>
      <c r="F347">
        <f>RTD("nest.scriprtd",,"bse_cm|960CAGL25","Ask Rate")</f>
        <v>1012</v>
      </c>
      <c r="G347">
        <f>RTD("nest.scriprtd",,"bse_cm|960CAGL25","Ask Qty")</f>
        <v>150</v>
      </c>
      <c r="H347">
        <f>RTD("nest.scriprtd",,"bse_cm|960CAGL25","LTP")</f>
        <v>0</v>
      </c>
      <c r="I347" t="str">
        <f>RTD("nest.scriprtd",,"bse_cm|960CAGL25","LTT")</f>
        <v>00:00:00</v>
      </c>
      <c r="J347">
        <f>RTD("nest.scriprtd",,"bse_cm|960CAGL25","% Change")</f>
        <v>-100</v>
      </c>
      <c r="K347">
        <f>RTD("nest.scriprtd",,"bse_cm|960CAGL25","ATP")</f>
        <v>0</v>
      </c>
      <c r="L347">
        <f>RTD("nest.scriprtd",,"bse_cm|960CAGL25","Volume Traded Today")</f>
        <v>0</v>
      </c>
      <c r="M347">
        <f>RTD("nest.scriprtd",,"bse_cm|960CAGL25","Open")</f>
        <v>0</v>
      </c>
      <c r="N347">
        <f>RTD("nest.scriprtd",,"bse_cm|960CAGL25","High")</f>
        <v>999.21</v>
      </c>
      <c r="O347">
        <f>RTD("nest.scriprtd",,"bse_cm|960CAGL25","Low ")</f>
        <v>999.21</v>
      </c>
      <c r="P347">
        <f>RTD("nest.scriprtd",,"bse_cm|960CAGL25","Prev Close")</f>
        <v>999.21</v>
      </c>
      <c r="Q347">
        <f>RTD("nest.scriprtd",,"bse_cm|960CAGL25","Face Value")</f>
        <v>1000</v>
      </c>
      <c r="R347" t="str">
        <f>RTD("nest.scriprtd",,"bse_cm|960CAGL25","Isin code")</f>
        <v>INE741K07470</v>
      </c>
      <c r="S347" s="9">
        <f>Table1[[#This Row],[Ask Rate]]*Table1[[#This Row],[Ask Qty]]</f>
        <v>151800</v>
      </c>
      <c r="T347">
        <f>VLOOKUP(Table1[[#This Row],[Isin code]],Table2[#All],7,FALSE)</f>
        <v>9.6</v>
      </c>
      <c r="U347" s="17" t="str">
        <f>VLOOKUP(Table1[[#This Row],[Isin code]],Table2[#All],8,FALSE)</f>
        <v>23-Nov-2025</v>
      </c>
      <c r="V347" s="10">
        <f ca="1">Table1[[#This Row],[Maturity]]-TODAY()</f>
        <v>403</v>
      </c>
      <c r="W347" t="str">
        <f>VLOOKUP(Table1[[#This Row],[Isin code]],Table2[#All],10,FALSE)</f>
        <v>Monthly</v>
      </c>
      <c r="X347">
        <f ca="1">_xlfn.DAYS(Table1[[#This Row],[Maturity]],TODAY())-15</f>
        <v>388</v>
      </c>
      <c r="Y3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347">
        <f>IF(Table1[[#This Row],[Ask Rate]]=0,0,Table1[[#This Row],[Face Value]]-Table1[[#This Row],[Ask Rate]])</f>
        <v>-12</v>
      </c>
      <c r="AA347">
        <f>IF(Table1[[#This Row],[Freq]]="Yearly",Table1[[#This Row],[Coupon_Rate]]/100,IF(Table1[[#This Row],[Freq]]="Monthly",Table1[[#This Row],[Coupon_Rate]]/1200,IF(Table1[[#This Row],[Freq]]="Quarterly",Table1[[#This Row],[Coupon_Rate]]/400,0)))</f>
        <v>8.0000000000000002E-3</v>
      </c>
      <c r="AB347">
        <f ca="1">Table1[[#This Row],[Face Value]]*Table1[[#This Row],[Rate]]*Table1[[#This Row],[Time]]</f>
        <v>104</v>
      </c>
      <c r="AC347">
        <f ca="1">Table1[[#This Row],[SI]]+Table1[[#This Row],[Disc/Prem]]</f>
        <v>92</v>
      </c>
      <c r="AD347" s="3">
        <f ca="1">Table1[[#This Row],[Net Gain]]/Table1[[#This Row],[Ask Rate]]</f>
        <v>9.0909090909090912E-2</v>
      </c>
      <c r="AE347" s="3">
        <f ca="1">IF(Table1[[#This Row],[Ask Qty]]=0,0,Table1[[#This Row],[Gross Yield]]*365/Table1[[#This Row],[Days Left]])</f>
        <v>8.2337017820888786E-2</v>
      </c>
      <c r="AF347" s="9">
        <f ca="1">+Table1[[#This Row],[Net Gain]]*Table1[[#This Row],[Ask Qty]]</f>
        <v>13800</v>
      </c>
      <c r="AG347" t="str">
        <f ca="1">IF(Table1[[#This Row],[YTM]]&gt;0.12,IF(Table1[[#This Row],[Gross Profit]]&gt;10000,"Invest","Review"),"Low YTM")</f>
        <v>Low YTM</v>
      </c>
    </row>
    <row r="348" spans="1:33" x14ac:dyDescent="0.3">
      <c r="A348" t="str">
        <f>RTD("nest.scriprtd",,"bse_cm|729NHAI26","Symbol")</f>
        <v>729NHAI26</v>
      </c>
      <c r="B348" t="str">
        <f>RTD("nest.scriprtd",,"bse_cm|729NHAI26","Trading Symbol")</f>
        <v>729NHAI26</v>
      </c>
      <c r="C348" t="str">
        <f>RTD("nest.scriprtd",,"bse_cm|729NHAI26","Exchange")</f>
        <v>BSE</v>
      </c>
      <c r="D348">
        <f>RTD("nest.scriprtd",,"bse_cm|729NHAI26","Bid Qty")</f>
        <v>20</v>
      </c>
      <c r="E348">
        <f>RTD("nest.scriprtd",,"bse_cm|729NHAI26","Bid Rate")</f>
        <v>1020</v>
      </c>
      <c r="F348">
        <f>RTD("nest.scriprtd",,"bse_cm|729NHAI26","Ask Rate")</f>
        <v>1027.99</v>
      </c>
      <c r="G348">
        <f>RTD("nest.scriprtd",,"bse_cm|729NHAI26","Ask Qty")</f>
        <v>10</v>
      </c>
      <c r="H348">
        <f>RTD("nest.scriprtd",,"bse_cm|729NHAI26","LTP")</f>
        <v>1027</v>
      </c>
      <c r="I348" t="str">
        <f>RTD("nest.scriprtd",,"bse_cm|729NHAI26","LTT")</f>
        <v>09:24:46</v>
      </c>
      <c r="J348">
        <f>RTD("nest.scriprtd",,"bse_cm|729NHAI26","% Change")</f>
        <v>0.1</v>
      </c>
      <c r="K348">
        <f>RTD("nest.scriprtd",,"bse_cm|729NHAI26","ATP")</f>
        <v>1027</v>
      </c>
      <c r="L348">
        <f>RTD("nest.scriprtd",,"bse_cm|729NHAI26","Volume Traded Today")</f>
        <v>100</v>
      </c>
      <c r="M348">
        <f>RTD("nest.scriprtd",,"bse_cm|729NHAI26","Open")</f>
        <v>1027</v>
      </c>
      <c r="N348">
        <f>RTD("nest.scriprtd",,"bse_cm|729NHAI26","High")</f>
        <v>1027</v>
      </c>
      <c r="O348">
        <f>RTD("nest.scriprtd",,"bse_cm|729NHAI26","Low ")</f>
        <v>1027</v>
      </c>
      <c r="P348">
        <f>RTD("nest.scriprtd",,"bse_cm|729NHAI26","Prev Close")</f>
        <v>1026</v>
      </c>
      <c r="Q348">
        <f>RTD("nest.scriprtd",,"bse_cm|729NHAI26","Face Value")</f>
        <v>1000</v>
      </c>
      <c r="R348" t="str">
        <f>RTD("nest.scriprtd",,"bse_cm|729NHAI26","Isin code")</f>
        <v>INE906B07EN0</v>
      </c>
      <c r="S348" s="9">
        <f>Table1[[#This Row],[Ask Rate]]*Table1[[#This Row],[Ask Qty]]</f>
        <v>10279.9</v>
      </c>
      <c r="T348">
        <f>VLOOKUP(Table1[[#This Row],[Isin code]],Table2[#All],7,FALSE)</f>
        <v>7.29</v>
      </c>
      <c r="U348" s="17" t="str">
        <f>VLOOKUP(Table1[[#This Row],[Isin code]],Table2[#All],8,FALSE)</f>
        <v>09-Mar-2026</v>
      </c>
      <c r="V348" s="10">
        <f ca="1">Table1[[#This Row],[Maturity]]-TODAY()</f>
        <v>509</v>
      </c>
      <c r="W348" t="str">
        <f>VLOOKUP(Table1[[#This Row],[Isin code]],Table2[#All],10,FALSE)</f>
        <v>Yearly</v>
      </c>
      <c r="X348">
        <f ca="1">_xlfn.DAYS(Table1[[#This Row],[Maturity]],TODAY())-15</f>
        <v>494</v>
      </c>
      <c r="Y3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48">
        <f>IF(Table1[[#This Row],[Ask Rate]]=0,0,Table1[[#This Row],[Face Value]]-Table1[[#This Row],[Ask Rate]])</f>
        <v>-27.990000000000009</v>
      </c>
      <c r="AA348">
        <f>IF(Table1[[#This Row],[Freq]]="Yearly",Table1[[#This Row],[Coupon_Rate]]/100,IF(Table1[[#This Row],[Freq]]="Monthly",Table1[[#This Row],[Coupon_Rate]]/1200,IF(Table1[[#This Row],[Freq]]="Quarterly",Table1[[#This Row],[Coupon_Rate]]/400,0)))</f>
        <v>7.2900000000000006E-2</v>
      </c>
      <c r="AB348">
        <f ca="1">Table1[[#This Row],[Face Value]]*Table1[[#This Row],[Rate]]*Table1[[#This Row],[Time]]</f>
        <v>145.80000000000001</v>
      </c>
      <c r="AC348">
        <f ca="1">Table1[[#This Row],[SI]]+Table1[[#This Row],[Disc/Prem]]</f>
        <v>117.81</v>
      </c>
      <c r="AD348" s="3">
        <f ca="1">Table1[[#This Row],[Net Gain]]/Table1[[#This Row],[Ask Rate]]</f>
        <v>0.11460228212336696</v>
      </c>
      <c r="AE348" s="3">
        <f ca="1">IF(Table1[[#This Row],[Ask Qty]]=0,0,Table1[[#This Row],[Gross Yield]]*365/Table1[[#This Row],[Days Left]])</f>
        <v>8.2180418418524429E-2</v>
      </c>
      <c r="AF348" s="9">
        <f ca="1">+Table1[[#This Row],[Net Gain]]*Table1[[#This Row],[Ask Qty]]</f>
        <v>1178.0999999999999</v>
      </c>
      <c r="AG348" t="str">
        <f ca="1">IF(Table1[[#This Row],[YTM]]&gt;0.12,IF(Table1[[#This Row],[Gross Profit]]&gt;10000,"Invest","Review"),"Low YTM")</f>
        <v>Low YTM</v>
      </c>
    </row>
    <row r="349" spans="1:33" x14ac:dyDescent="0.3">
      <c r="A349" t="str">
        <f>RTD("nest.scriprtd",,"bse_cm|820JMFPL26","Symbol")</f>
        <v>820JMFPL26</v>
      </c>
      <c r="B349" t="str">
        <f>RTD("nest.scriprtd",,"bse_cm|820JMFPL26","Trading Symbol")</f>
        <v>820JMFPL26</v>
      </c>
      <c r="C349" t="str">
        <f>RTD("nest.scriprtd",,"bse_cm|820JMFPL26","Exchange")</f>
        <v>BSE</v>
      </c>
      <c r="D349">
        <f>RTD("nest.scriprtd",,"bse_cm|820JMFPL26","Bid Qty")</f>
        <v>2</v>
      </c>
      <c r="E349">
        <f>RTD("nest.scriprtd",,"bse_cm|820JMFPL26","Bid Rate")</f>
        <v>978</v>
      </c>
      <c r="F349">
        <f>RTD("nest.scriprtd",,"bse_cm|820JMFPL26","Ask Rate")</f>
        <v>1002</v>
      </c>
      <c r="G349">
        <f>RTD("nest.scriprtd",,"bse_cm|820JMFPL26","Ask Qty")</f>
        <v>20</v>
      </c>
      <c r="H349">
        <f>RTD("nest.scriprtd",,"bse_cm|820JMFPL26","LTP")</f>
        <v>0</v>
      </c>
      <c r="I349" t="str">
        <f>RTD("nest.scriprtd",,"bse_cm|820JMFPL26","LTT")</f>
        <v>00:00:00</v>
      </c>
      <c r="J349">
        <f>RTD("nest.scriprtd",,"bse_cm|820JMFPL26","% Change")</f>
        <v>-100</v>
      </c>
      <c r="K349">
        <f>RTD("nest.scriprtd",,"bse_cm|820JMFPL26","ATP")</f>
        <v>0</v>
      </c>
      <c r="L349">
        <f>RTD("nest.scriprtd",,"bse_cm|820JMFPL26","Volume Traded Today")</f>
        <v>0</v>
      </c>
      <c r="M349">
        <f>RTD("nest.scriprtd",,"bse_cm|820JMFPL26","Open")</f>
        <v>0</v>
      </c>
      <c r="N349">
        <f>RTD("nest.scriprtd",,"bse_cm|820JMFPL26","High")</f>
        <v>981</v>
      </c>
      <c r="O349">
        <f>RTD("nest.scriprtd",,"bse_cm|820JMFPL26","Low ")</f>
        <v>980</v>
      </c>
      <c r="P349">
        <f>RTD("nest.scriprtd",,"bse_cm|820JMFPL26","Prev Close")</f>
        <v>980</v>
      </c>
      <c r="Q349">
        <f>RTD("nest.scriprtd",,"bse_cm|820JMFPL26","Face Value")</f>
        <v>1000</v>
      </c>
      <c r="R349" t="str">
        <f>RTD("nest.scriprtd",,"bse_cm|820JMFPL26","Isin code")</f>
        <v>INE523H07BO4</v>
      </c>
      <c r="S349" s="9">
        <f>Table1[[#This Row],[Ask Rate]]*Table1[[#This Row],[Ask Qty]]</f>
        <v>20040</v>
      </c>
      <c r="T349">
        <f>VLOOKUP(Table1[[#This Row],[Isin code]],Table2[#All],7,FALSE)</f>
        <v>8.2000000000000011</v>
      </c>
      <c r="U349" s="17" t="str">
        <f>VLOOKUP(Table1[[#This Row],[Isin code]],Table2[#All],8,FALSE)</f>
        <v>07-Oct-2026</v>
      </c>
      <c r="V349" s="10">
        <f ca="1">Table1[[#This Row],[Maturity]]-TODAY()</f>
        <v>721</v>
      </c>
      <c r="W349" t="str">
        <f>VLOOKUP(Table1[[#This Row],[Isin code]],Table2[#All],10,FALSE)</f>
        <v>Yearly</v>
      </c>
      <c r="X349">
        <f ca="1">_xlfn.DAYS(Table1[[#This Row],[Maturity]],TODAY())-15</f>
        <v>706</v>
      </c>
      <c r="Y3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49">
        <f>IF(Table1[[#This Row],[Ask Rate]]=0,0,Table1[[#This Row],[Face Value]]-Table1[[#This Row],[Ask Rate]])</f>
        <v>-2</v>
      </c>
      <c r="AA349">
        <f>IF(Table1[[#This Row],[Freq]]="Yearly",Table1[[#This Row],[Coupon_Rate]]/100,IF(Table1[[#This Row],[Freq]]="Monthly",Table1[[#This Row],[Coupon_Rate]]/1200,IF(Table1[[#This Row],[Freq]]="Quarterly",Table1[[#This Row],[Coupon_Rate]]/400,0)))</f>
        <v>8.2000000000000017E-2</v>
      </c>
      <c r="AB349">
        <f ca="1">Table1[[#This Row],[Face Value]]*Table1[[#This Row],[Rate]]*Table1[[#This Row],[Time]]</f>
        <v>164.00000000000003</v>
      </c>
      <c r="AC349">
        <f ca="1">Table1[[#This Row],[SI]]+Table1[[#This Row],[Disc/Prem]]</f>
        <v>162.00000000000003</v>
      </c>
      <c r="AD349" s="3">
        <f ca="1">Table1[[#This Row],[Net Gain]]/Table1[[#This Row],[Ask Rate]]</f>
        <v>0.16167664670658685</v>
      </c>
      <c r="AE349" s="3">
        <f ca="1">IF(Table1[[#This Row],[Ask Qty]]=0,0,Table1[[#This Row],[Gross Yield]]*365/Table1[[#This Row],[Days Left]])</f>
        <v>8.1847400898618861E-2</v>
      </c>
      <c r="AF349" s="9">
        <f ca="1">+Table1[[#This Row],[Net Gain]]*Table1[[#This Row],[Ask Qty]]</f>
        <v>3240.0000000000005</v>
      </c>
      <c r="AG349" t="str">
        <f ca="1">IF(Table1[[#This Row],[YTM]]&gt;0.12,IF(Table1[[#This Row],[Gross Profit]]&gt;10000,"Invest","Review"),"Low YTM")</f>
        <v>Low YTM</v>
      </c>
    </row>
    <row r="350" spans="1:33" x14ac:dyDescent="0.3">
      <c r="A350" t="str">
        <f>RTD("nest.scriprtd",,"bse_cm|921ISFL25","Symbol")</f>
        <v>921ISFL25</v>
      </c>
      <c r="B350" t="str">
        <f>RTD("nest.scriprtd",,"bse_cm|921ISFL25","Trading Symbol")</f>
        <v>921ISFL25</v>
      </c>
      <c r="C350" t="str">
        <f>RTD("nest.scriprtd",,"bse_cm|921ISFL25","Exchange")</f>
        <v>BSE</v>
      </c>
      <c r="D350">
        <f>RTD("nest.scriprtd",,"bse_cm|921ISFL25","Bid Qty")</f>
        <v>1</v>
      </c>
      <c r="E350">
        <f>RTD("nest.scriprtd",,"bse_cm|921ISFL25","Bid Rate")</f>
        <v>975</v>
      </c>
      <c r="F350">
        <f>RTD("nest.scriprtd",,"bse_cm|921ISFL25","Ask Rate")</f>
        <v>1010</v>
      </c>
      <c r="G350">
        <f>RTD("nest.scriprtd",,"bse_cm|921ISFL25","Ask Qty")</f>
        <v>1</v>
      </c>
      <c r="H350">
        <f>RTD("nest.scriprtd",,"bse_cm|921ISFL25","LTP")</f>
        <v>0</v>
      </c>
      <c r="I350" t="str">
        <f>RTD("nest.scriprtd",,"bse_cm|921ISFL25","LTT")</f>
        <v>00:00:00</v>
      </c>
      <c r="J350">
        <f>RTD("nest.scriprtd",,"bse_cm|921ISFL25","% Change")</f>
        <v>-100</v>
      </c>
      <c r="K350">
        <f>RTD("nest.scriprtd",,"bse_cm|921ISFL25","ATP")</f>
        <v>0</v>
      </c>
      <c r="L350">
        <f>RTD("nest.scriprtd",,"bse_cm|921ISFL25","Volume Traded Today")</f>
        <v>0</v>
      </c>
      <c r="M350">
        <f>RTD("nest.scriprtd",,"bse_cm|921ISFL25","Open")</f>
        <v>0</v>
      </c>
      <c r="N350">
        <f>RTD("nest.scriprtd",,"bse_cm|921ISFL25","High")</f>
        <v>972.82</v>
      </c>
      <c r="O350">
        <f>RTD("nest.scriprtd",,"bse_cm|921ISFL25","Low ")</f>
        <v>960.25</v>
      </c>
      <c r="P350">
        <f>RTD("nest.scriprtd",,"bse_cm|921ISFL25","Prev Close")</f>
        <v>972.82</v>
      </c>
      <c r="Q350">
        <f>RTD("nest.scriprtd",,"bse_cm|921ISFL25","Face Value")</f>
        <v>1000</v>
      </c>
      <c r="R350" t="str">
        <f>RTD("nest.scriprtd",,"bse_cm|921ISFL25","Isin code")</f>
        <v>INE413U07244</v>
      </c>
      <c r="S350" s="9">
        <f>Table1[[#This Row],[Ask Rate]]*Table1[[#This Row],[Ask Qty]]</f>
        <v>1010</v>
      </c>
      <c r="T350">
        <f>VLOOKUP(Table1[[#This Row],[Isin code]],Table2[#All],7,FALSE)</f>
        <v>9.2100000000000009</v>
      </c>
      <c r="U350" s="17" t="str">
        <f>VLOOKUP(Table1[[#This Row],[Isin code]],Table2[#All],8,FALSE)</f>
        <v>21-Dec-2025</v>
      </c>
      <c r="V350" s="10">
        <f ca="1">Table1[[#This Row],[Maturity]]-TODAY()</f>
        <v>431</v>
      </c>
      <c r="W350" t="str">
        <f>VLOOKUP(Table1[[#This Row],[Isin code]],Table2[#All],10,FALSE)</f>
        <v>Monthly</v>
      </c>
      <c r="X350">
        <f ca="1">_xlfn.DAYS(Table1[[#This Row],[Maturity]],TODAY())-15</f>
        <v>416</v>
      </c>
      <c r="Y3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350">
        <f>IF(Table1[[#This Row],[Ask Rate]]=0,0,Table1[[#This Row],[Face Value]]-Table1[[#This Row],[Ask Rate]])</f>
        <v>-10</v>
      </c>
      <c r="AA350">
        <f>IF(Table1[[#This Row],[Freq]]="Yearly",Table1[[#This Row],[Coupon_Rate]]/100,IF(Table1[[#This Row],[Freq]]="Monthly",Table1[[#This Row],[Coupon_Rate]]/1200,IF(Table1[[#This Row],[Freq]]="Quarterly",Table1[[#This Row],[Coupon_Rate]]/400,0)))</f>
        <v>7.6750000000000004E-3</v>
      </c>
      <c r="AB350">
        <f ca="1">Table1[[#This Row],[Face Value]]*Table1[[#This Row],[Rate]]*Table1[[#This Row],[Time]]</f>
        <v>107.45000000000002</v>
      </c>
      <c r="AC350">
        <f ca="1">Table1[[#This Row],[SI]]+Table1[[#This Row],[Disc/Prem]]</f>
        <v>97.450000000000017</v>
      </c>
      <c r="AD350" s="3">
        <f ca="1">Table1[[#This Row],[Net Gain]]/Table1[[#This Row],[Ask Rate]]</f>
        <v>9.6485148514851501E-2</v>
      </c>
      <c r="AE350" s="3">
        <f ca="1">IF(Table1[[#This Row],[Ask Qty]]=0,0,Table1[[#This Row],[Gross Yield]]*365/Table1[[#This Row],[Days Left]])</f>
        <v>8.1710160575222263E-2</v>
      </c>
      <c r="AF350" s="9">
        <f ca="1">+Table1[[#This Row],[Net Gain]]*Table1[[#This Row],[Ask Qty]]</f>
        <v>97.450000000000017</v>
      </c>
      <c r="AG350" t="str">
        <f ca="1">IF(Table1[[#This Row],[YTM]]&gt;0.12,IF(Table1[[#This Row],[Gross Profit]]&gt;10000,"Invest","Review"),"Low YTM")</f>
        <v>Low YTM</v>
      </c>
    </row>
    <row r="351" spans="1:33" x14ac:dyDescent="0.3">
      <c r="A351" t="str">
        <f>RTD("nest.scriprtd",,"bse_cm|910CAGL25","Symbol")</f>
        <v>910CAGL25</v>
      </c>
      <c r="B351" t="str">
        <f>RTD("nest.scriprtd",,"bse_cm|910CAGL25","Trading Symbol")</f>
        <v>910CAGL25</v>
      </c>
      <c r="C351" t="str">
        <f>RTD("nest.scriprtd",,"bse_cm|910CAGL25","Exchange")</f>
        <v>BSE</v>
      </c>
      <c r="D351">
        <f>RTD("nest.scriprtd",,"bse_cm|910CAGL25","Bid Qty")</f>
        <v>180</v>
      </c>
      <c r="E351">
        <f>RTD("nest.scriprtd",,"bse_cm|910CAGL25","Bid Rate")</f>
        <v>976.2</v>
      </c>
      <c r="F351">
        <f>RTD("nest.scriprtd",,"bse_cm|910CAGL25","Ask Rate")</f>
        <v>1009.8</v>
      </c>
      <c r="G351">
        <f>RTD("nest.scriprtd",,"bse_cm|910CAGL25","Ask Qty")</f>
        <v>45</v>
      </c>
      <c r="H351">
        <f>RTD("nest.scriprtd",,"bse_cm|910CAGL25","LTP")</f>
        <v>0</v>
      </c>
      <c r="I351" t="str">
        <f>RTD("nest.scriprtd",,"bse_cm|910CAGL25","LTT")</f>
        <v>00:00:00</v>
      </c>
      <c r="J351">
        <f>RTD("nest.scriprtd",,"bse_cm|910CAGL25","% Change")</f>
        <v>-100</v>
      </c>
      <c r="K351">
        <f>RTD("nest.scriprtd",,"bse_cm|910CAGL25","ATP")</f>
        <v>0</v>
      </c>
      <c r="L351">
        <f>RTD("nest.scriprtd",,"bse_cm|910CAGL25","Volume Traded Today")</f>
        <v>0</v>
      </c>
      <c r="M351">
        <f>RTD("nest.scriprtd",,"bse_cm|910CAGL25","Open")</f>
        <v>0</v>
      </c>
      <c r="N351">
        <f>RTD("nest.scriprtd",,"bse_cm|910CAGL25","High")</f>
        <v>976</v>
      </c>
      <c r="O351">
        <f>RTD("nest.scriprtd",,"bse_cm|910CAGL25","Low ")</f>
        <v>950.6</v>
      </c>
      <c r="P351">
        <f>RTD("nest.scriprtd",,"bse_cm|910CAGL25","Prev Close")</f>
        <v>976</v>
      </c>
      <c r="Q351">
        <f>RTD("nest.scriprtd",,"bse_cm|910CAGL25","Face Value")</f>
        <v>1000</v>
      </c>
      <c r="R351" t="str">
        <f>RTD("nest.scriprtd",,"bse_cm|910CAGL25","Isin code")</f>
        <v>INE741K07520</v>
      </c>
      <c r="S351" s="9">
        <f>Table1[[#This Row],[Ask Rate]]*Table1[[#This Row],[Ask Qty]]</f>
        <v>45441</v>
      </c>
      <c r="T351">
        <f>VLOOKUP(Table1[[#This Row],[Isin code]],Table2[#All],7,FALSE)</f>
        <v>9.1</v>
      </c>
      <c r="U351" s="17" t="str">
        <f>VLOOKUP(Table1[[#This Row],[Isin code]],Table2[#All],8,FALSE)</f>
        <v>07-Sep-2025</v>
      </c>
      <c r="V351" s="10">
        <f ca="1">Table1[[#This Row],[Maturity]]-TODAY()</f>
        <v>326</v>
      </c>
      <c r="W351" t="str">
        <f>VLOOKUP(Table1[[#This Row],[Isin code]],Table2[#All],10,FALSE)</f>
        <v>MONTHLY</v>
      </c>
      <c r="X351">
        <f ca="1">_xlfn.DAYS(Table1[[#This Row],[Maturity]],TODAY())-15</f>
        <v>311</v>
      </c>
      <c r="Y3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351">
        <f>IF(Table1[[#This Row],[Ask Rate]]=0,0,Table1[[#This Row],[Face Value]]-Table1[[#This Row],[Ask Rate]])</f>
        <v>-9.7999999999999545</v>
      </c>
      <c r="AA351">
        <f>IF(Table1[[#This Row],[Freq]]="Yearly",Table1[[#This Row],[Coupon_Rate]]/100,IF(Table1[[#This Row],[Freq]]="Monthly",Table1[[#This Row],[Coupon_Rate]]/1200,IF(Table1[[#This Row],[Freq]]="Quarterly",Table1[[#This Row],[Coupon_Rate]]/400,0)))</f>
        <v>7.5833333333333334E-3</v>
      </c>
      <c r="AB351">
        <f ca="1">Table1[[#This Row],[Face Value]]*Table1[[#This Row],[Rate]]*Table1[[#This Row],[Time]]</f>
        <v>83.416666666666657</v>
      </c>
      <c r="AC351">
        <f ca="1">Table1[[#This Row],[SI]]+Table1[[#This Row],[Disc/Prem]]</f>
        <v>73.616666666666703</v>
      </c>
      <c r="AD351" s="3">
        <f ca="1">Table1[[#This Row],[Net Gain]]/Table1[[#This Row],[Ask Rate]]</f>
        <v>7.2902224863009221E-2</v>
      </c>
      <c r="AE351" s="3">
        <f ca="1">IF(Table1[[#This Row],[Ask Qty]]=0,0,Table1[[#This Row],[Gross Yield]]*365/Table1[[#This Row],[Days Left]])</f>
        <v>8.1623656671774125E-2</v>
      </c>
      <c r="AF351" s="9">
        <f ca="1">+Table1[[#This Row],[Net Gain]]*Table1[[#This Row],[Ask Qty]]</f>
        <v>3312.7500000000018</v>
      </c>
      <c r="AG351" t="str">
        <f ca="1">IF(Table1[[#This Row],[YTM]]&gt;0.12,IF(Table1[[#This Row],[Gross Profit]]&gt;10000,"Invest","Review"),"Low YTM")</f>
        <v>Low YTM</v>
      </c>
    </row>
    <row r="352" spans="1:33" x14ac:dyDescent="0.3">
      <c r="A352" t="str">
        <f>RTD("nest.scriprtd",,"bse_cm|MFLV26E","Symbol")</f>
        <v>MFLV26E</v>
      </c>
      <c r="B352" t="str">
        <f>RTD("nest.scriprtd",,"bse_cm|MFLV26E","Trading Symbol")</f>
        <v>MFLV26E</v>
      </c>
      <c r="C352" t="str">
        <f>RTD("nest.scriprtd",,"bse_cm|MFLV26E","Exchange")</f>
        <v>BSE</v>
      </c>
      <c r="D352">
        <f>RTD("nest.scriprtd",,"bse_cm|MFLV26E","Bid Qty")</f>
        <v>25</v>
      </c>
      <c r="E352">
        <f>RTD("nest.scriprtd",,"bse_cm|MFLV26E","Bid Rate")</f>
        <v>1000.81</v>
      </c>
      <c r="F352">
        <f>RTD("nest.scriprtd",,"bse_cm|MFLV26E","Ask Rate")</f>
        <v>1025.8</v>
      </c>
      <c r="G352">
        <f>RTD("nest.scriprtd",,"bse_cm|MFLV26E","Ask Qty")</f>
        <v>4</v>
      </c>
      <c r="H352">
        <f>RTD("nest.scriprtd",,"bse_cm|MFLV26E","LTP")</f>
        <v>0</v>
      </c>
      <c r="I352" t="str">
        <f>RTD("nest.scriprtd",,"bse_cm|MFLV26E","LTT")</f>
        <v>00:00:00</v>
      </c>
      <c r="J352">
        <f>RTD("nest.scriprtd",,"bse_cm|MFLV26E","% Change")</f>
        <v>-100</v>
      </c>
      <c r="K352">
        <f>RTD("nest.scriprtd",,"bse_cm|MFLV26E","ATP")</f>
        <v>0</v>
      </c>
      <c r="L352">
        <f>RTD("nest.scriprtd",,"bse_cm|MFLV26E","Volume Traded Today")</f>
        <v>0</v>
      </c>
      <c r="M352">
        <f>RTD("nest.scriprtd",,"bse_cm|MFLV26E","Open")</f>
        <v>0</v>
      </c>
      <c r="N352">
        <f>RTD("nest.scriprtd",,"bse_cm|MFLV26E","High")</f>
        <v>1000.8</v>
      </c>
      <c r="O352">
        <f>RTD("nest.scriprtd",,"bse_cm|MFLV26E","Low ")</f>
        <v>1000.8</v>
      </c>
      <c r="P352">
        <f>RTD("nest.scriprtd",,"bse_cm|MFLV26E","Prev Close")</f>
        <v>1000.8</v>
      </c>
      <c r="Q352">
        <f>RTD("nest.scriprtd",,"bse_cm|MFLV26E","Face Value")</f>
        <v>1000</v>
      </c>
      <c r="R352" t="str">
        <f>RTD("nest.scriprtd",,"bse_cm|MFLV26E","Isin code")</f>
        <v>INE414G07FU6</v>
      </c>
      <c r="S352" s="9">
        <f>Table1[[#This Row],[Ask Rate]]*Table1[[#This Row],[Ask Qty]]</f>
        <v>4103.2</v>
      </c>
      <c r="T352">
        <f>VLOOKUP(Table1[[#This Row],[Isin code]],Table2[#All],7,FALSE)</f>
        <v>7.6</v>
      </c>
      <c r="U352" s="17" t="str">
        <f>VLOOKUP(Table1[[#This Row],[Isin code]],Table2[#All],8,FALSE)</f>
        <v>20-Apr-2026</v>
      </c>
      <c r="V352" s="10">
        <f ca="1">Table1[[#This Row],[Maturity]]-TODAY()</f>
        <v>551</v>
      </c>
      <c r="W352" t="str">
        <f>VLOOKUP(Table1[[#This Row],[Isin code]],Table2[#All],10,FALSE)</f>
        <v>Yearly</v>
      </c>
      <c r="X352">
        <f ca="1">_xlfn.DAYS(Table1[[#This Row],[Maturity]],TODAY())-15</f>
        <v>536</v>
      </c>
      <c r="Y3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52">
        <f>IF(Table1[[#This Row],[Ask Rate]]=0,0,Table1[[#This Row],[Face Value]]-Table1[[#This Row],[Ask Rate]])</f>
        <v>-25.799999999999955</v>
      </c>
      <c r="AA352">
        <f>IF(Table1[[#This Row],[Freq]]="Yearly",Table1[[#This Row],[Coupon_Rate]]/100,IF(Table1[[#This Row],[Freq]]="Monthly",Table1[[#This Row],[Coupon_Rate]]/1200,IF(Table1[[#This Row],[Freq]]="Quarterly",Table1[[#This Row],[Coupon_Rate]]/400,0)))</f>
        <v>7.5999999999999998E-2</v>
      </c>
      <c r="AB352">
        <f ca="1">Table1[[#This Row],[Face Value]]*Table1[[#This Row],[Rate]]*Table1[[#This Row],[Time]]</f>
        <v>152</v>
      </c>
      <c r="AC352">
        <f ca="1">Table1[[#This Row],[SI]]+Table1[[#This Row],[Disc/Prem]]</f>
        <v>126.20000000000005</v>
      </c>
      <c r="AD352" s="3">
        <f ca="1">Table1[[#This Row],[Net Gain]]/Table1[[#This Row],[Ask Rate]]</f>
        <v>0.12302593098069804</v>
      </c>
      <c r="AE352" s="3">
        <f ca="1">IF(Table1[[#This Row],[Ask Qty]]=0,0,Table1[[#This Row],[Gross Yield]]*365/Table1[[#This Row],[Days Left]])</f>
        <v>8.1496306366524121E-2</v>
      </c>
      <c r="AF352" s="9">
        <f ca="1">+Table1[[#This Row],[Net Gain]]*Table1[[#This Row],[Ask Qty]]</f>
        <v>504.80000000000018</v>
      </c>
      <c r="AG352" t="str">
        <f ca="1">IF(Table1[[#This Row],[YTM]]&gt;0.12,IF(Table1[[#This Row],[Gross Profit]]&gt;10000,"Invest","Review"),"Low YTM")</f>
        <v>Low YTM</v>
      </c>
    </row>
    <row r="353" spans="1:33" x14ac:dyDescent="0.3">
      <c r="A353" t="str">
        <f>RTD("nest.scriprtd",,"bse_cm|95MMFSL29","Symbol")</f>
        <v>95MMFSL29</v>
      </c>
      <c r="B353" t="str">
        <f>RTD("nest.scriprtd",,"bse_cm|95MMFSL29","Trading Symbol")</f>
        <v>95MMFSL29</v>
      </c>
      <c r="C353" t="str">
        <f>RTD("nest.scriprtd",,"bse_cm|95MMFSL29","Exchange")</f>
        <v>BSE</v>
      </c>
      <c r="D353">
        <f>RTD("nest.scriprtd",,"bse_cm|95MMFSL29","Bid Qty")</f>
        <v>20</v>
      </c>
      <c r="E353">
        <f>RTD("nest.scriprtd",,"bse_cm|95MMFSL29","Bid Rate")</f>
        <v>1085</v>
      </c>
      <c r="F353">
        <f>RTD("nest.scriprtd",,"bse_cm|95MMFSL29","Ask Rate")</f>
        <v>1095</v>
      </c>
      <c r="G353">
        <f>RTD("nest.scriprtd",,"bse_cm|95MMFSL29","Ask Qty")</f>
        <v>10</v>
      </c>
      <c r="H353">
        <f>RTD("nest.scriprtd",,"bse_cm|95MMFSL29","LTP")</f>
        <v>0</v>
      </c>
      <c r="I353" t="str">
        <f>RTD("nest.scriprtd",,"bse_cm|95MMFSL29","LTT")</f>
        <v>00:00:00</v>
      </c>
      <c r="J353">
        <f>RTD("nest.scriprtd",,"bse_cm|95MMFSL29","% Change")</f>
        <v>-100</v>
      </c>
      <c r="K353">
        <f>RTD("nest.scriprtd",,"bse_cm|95MMFSL29","ATP")</f>
        <v>0</v>
      </c>
      <c r="L353">
        <f>RTD("nest.scriprtd",,"bse_cm|95MMFSL29","Volume Traded Today")</f>
        <v>0</v>
      </c>
      <c r="M353">
        <f>RTD("nest.scriprtd",,"bse_cm|95MMFSL29","Open")</f>
        <v>0</v>
      </c>
      <c r="N353">
        <f>RTD("nest.scriprtd",,"bse_cm|95MMFSL29","High")</f>
        <v>1090</v>
      </c>
      <c r="O353">
        <f>RTD("nest.scriprtd",,"bse_cm|95MMFSL29","Low ")</f>
        <v>1082.0999999999999</v>
      </c>
      <c r="P353">
        <f>RTD("nest.scriprtd",,"bse_cm|95MMFSL29","Prev Close")</f>
        <v>1082.0999999999999</v>
      </c>
      <c r="Q353">
        <f>RTD("nest.scriprtd",,"bse_cm|95MMFSL29","Face Value")</f>
        <v>1000</v>
      </c>
      <c r="R353" t="str">
        <f>RTD("nest.scriprtd",,"bse_cm|95MMFSL29","Isin code")</f>
        <v>INE774D08MP4</v>
      </c>
      <c r="S353" s="9">
        <f>Table1[[#This Row],[Ask Rate]]*Table1[[#This Row],[Ask Qty]]</f>
        <v>10950</v>
      </c>
      <c r="T353">
        <f>VLOOKUP(Table1[[#This Row],[Isin code]],Table2[#All],7,FALSE)</f>
        <v>9.5</v>
      </c>
      <c r="U353" s="17" t="str">
        <f>VLOOKUP(Table1[[#This Row],[Isin code]],Table2[#All],8,FALSE)</f>
        <v>18-Jan-2029</v>
      </c>
      <c r="V353" s="10">
        <f ca="1">Table1[[#This Row],[Maturity]]-TODAY()</f>
        <v>1555</v>
      </c>
      <c r="W353" t="str">
        <f>VLOOKUP(Table1[[#This Row],[Isin code]],Table2[#All],10,FALSE)</f>
        <v>Yearly</v>
      </c>
      <c r="X353">
        <f ca="1">_xlfn.DAYS(Table1[[#This Row],[Maturity]],TODAY())-15</f>
        <v>1540</v>
      </c>
      <c r="Y3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53">
        <f>IF(Table1[[#This Row],[Ask Rate]]=0,0,Table1[[#This Row],[Face Value]]-Table1[[#This Row],[Ask Rate]])</f>
        <v>-95</v>
      </c>
      <c r="AA353">
        <f>IF(Table1[[#This Row],[Freq]]="Yearly",Table1[[#This Row],[Coupon_Rate]]/100,IF(Table1[[#This Row],[Freq]]="Monthly",Table1[[#This Row],[Coupon_Rate]]/1200,IF(Table1[[#This Row],[Freq]]="Quarterly",Table1[[#This Row],[Coupon_Rate]]/400,0)))</f>
        <v>9.5000000000000001E-2</v>
      </c>
      <c r="AB353">
        <f ca="1">Table1[[#This Row],[Face Value]]*Table1[[#This Row],[Rate]]*Table1[[#This Row],[Time]]</f>
        <v>475</v>
      </c>
      <c r="AC353">
        <f ca="1">Table1[[#This Row],[SI]]+Table1[[#This Row],[Disc/Prem]]</f>
        <v>380</v>
      </c>
      <c r="AD353" s="3">
        <f ca="1">Table1[[#This Row],[Net Gain]]/Table1[[#This Row],[Ask Rate]]</f>
        <v>0.34703196347031962</v>
      </c>
      <c r="AE353" s="3">
        <f ca="1">IF(Table1[[#This Row],[Ask Qty]]=0,0,Table1[[#This Row],[Gross Yield]]*365/Table1[[#This Row],[Days Left]])</f>
        <v>8.1457663451232579E-2</v>
      </c>
      <c r="AF353" s="9">
        <f ca="1">+Table1[[#This Row],[Net Gain]]*Table1[[#This Row],[Ask Qty]]</f>
        <v>3800</v>
      </c>
      <c r="AG353" t="str">
        <f ca="1">IF(Table1[[#This Row],[YTM]]&gt;0.12,IF(Table1[[#This Row],[Gross Profit]]&gt;10000,"Invest","Review"),"Low YTM")</f>
        <v>Low YTM</v>
      </c>
    </row>
    <row r="354" spans="1:33" x14ac:dyDescent="0.3">
      <c r="A354" t="str">
        <f>RTD("nest.scriprtd",,"bse_cm|MFLVI31F","Symbol")</f>
        <v>MFLVI31F</v>
      </c>
      <c r="B354" t="str">
        <f>RTD("nest.scriprtd",,"bse_cm|MFLVI31F","Trading Symbol")</f>
        <v>MFLVI31F</v>
      </c>
      <c r="C354" t="str">
        <f>RTD("nest.scriprtd",,"bse_cm|MFLVI31F","Exchange")</f>
        <v>BSE</v>
      </c>
      <c r="D354">
        <f>RTD("nest.scriprtd",,"bse_cm|MFLVI31F","Bid Qty")</f>
        <v>180</v>
      </c>
      <c r="E354">
        <f>RTD("nest.scriprtd",,"bse_cm|MFLVI31F","Bid Rate")</f>
        <v>926.2</v>
      </c>
      <c r="F354">
        <f>RTD("nest.scriprtd",,"bse_cm|MFLVI31F","Ask Rate")</f>
        <v>1020</v>
      </c>
      <c r="G354">
        <f>RTD("nest.scriprtd",,"bse_cm|MFLVI31F","Ask Qty")</f>
        <v>2640</v>
      </c>
      <c r="H354">
        <f>RTD("nest.scriprtd",,"bse_cm|MFLVI31F","LTP")</f>
        <v>0</v>
      </c>
      <c r="I354" t="str">
        <f>RTD("nest.scriprtd",,"bse_cm|MFLVI31F","LTT")</f>
        <v>00:00:00</v>
      </c>
      <c r="J354">
        <f>RTD("nest.scriprtd",,"bse_cm|MFLVI31F","% Change")</f>
        <v>-100</v>
      </c>
      <c r="K354">
        <f>RTD("nest.scriprtd",,"bse_cm|MFLVI31F","ATP")</f>
        <v>0</v>
      </c>
      <c r="L354">
        <f>RTD("nest.scriprtd",,"bse_cm|MFLVI31F","Volume Traded Today")</f>
        <v>0</v>
      </c>
      <c r="M354">
        <f>RTD("nest.scriprtd",,"bse_cm|MFLVI31F","Open")</f>
        <v>0</v>
      </c>
      <c r="N354">
        <f>RTD("nest.scriprtd",,"bse_cm|MFLVI31F","High")</f>
        <v>1025</v>
      </c>
      <c r="O354">
        <f>RTD("nest.scriprtd",,"bse_cm|MFLVI31F","Low ")</f>
        <v>1024</v>
      </c>
      <c r="P354">
        <f>RTD("nest.scriprtd",,"bse_cm|MFLVI31F","Prev Close")</f>
        <v>1025</v>
      </c>
      <c r="Q354">
        <f>RTD("nest.scriprtd",,"bse_cm|MFLVI31F","Face Value")</f>
        <v>1000</v>
      </c>
      <c r="R354" t="str">
        <f>RTD("nest.scriprtd",,"bse_cm|MFLVI31F","Isin code")</f>
        <v>INE414G07FV4</v>
      </c>
      <c r="S354" s="9">
        <f>Table1[[#This Row],[Ask Rate]]*Table1[[#This Row],[Ask Qty]]</f>
        <v>2692800</v>
      </c>
      <c r="T354">
        <f>VLOOKUP(Table1[[#This Row],[Isin code]],Table2[#All],7,FALSE)</f>
        <v>8</v>
      </c>
      <c r="U354" s="17" t="str">
        <f>VLOOKUP(Table1[[#This Row],[Isin code]],Table2[#All],8,FALSE)</f>
        <v>20-Apr-2031</v>
      </c>
      <c r="V354" s="10">
        <f ca="1">Table1[[#This Row],[Maturity]]-TODAY()</f>
        <v>2377</v>
      </c>
      <c r="W354" t="str">
        <f>VLOOKUP(Table1[[#This Row],[Isin code]],Table2[#All],10,FALSE)</f>
        <v>Yearly</v>
      </c>
      <c r="X354">
        <f ca="1">_xlfn.DAYS(Table1[[#This Row],[Maturity]],TODAY())-15</f>
        <v>2362</v>
      </c>
      <c r="Y3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354">
        <f>IF(Table1[[#This Row],[Ask Rate]]=0,0,Table1[[#This Row],[Face Value]]-Table1[[#This Row],[Ask Rate]])</f>
        <v>-20</v>
      </c>
      <c r="AA354">
        <f>IF(Table1[[#This Row],[Freq]]="Yearly",Table1[[#This Row],[Coupon_Rate]]/100,IF(Table1[[#This Row],[Freq]]="Monthly",Table1[[#This Row],[Coupon_Rate]]/1200,IF(Table1[[#This Row],[Freq]]="Quarterly",Table1[[#This Row],[Coupon_Rate]]/400,0)))</f>
        <v>0.08</v>
      </c>
      <c r="AB354">
        <f ca="1">Table1[[#This Row],[Face Value]]*Table1[[#This Row],[Rate]]*Table1[[#This Row],[Time]]</f>
        <v>560</v>
      </c>
      <c r="AC354">
        <f ca="1">Table1[[#This Row],[SI]]+Table1[[#This Row],[Disc/Prem]]</f>
        <v>540</v>
      </c>
      <c r="AD354" s="3">
        <f ca="1">Table1[[#This Row],[Net Gain]]/Table1[[#This Row],[Ask Rate]]</f>
        <v>0.52941176470588236</v>
      </c>
      <c r="AE354" s="3">
        <f ca="1">IF(Table1[[#This Row],[Ask Qty]]=0,0,Table1[[#This Row],[Gross Yield]]*365/Table1[[#This Row],[Days Left]])</f>
        <v>8.1293771189586486E-2</v>
      </c>
      <c r="AF354" s="9">
        <f ca="1">+Table1[[#This Row],[Net Gain]]*Table1[[#This Row],[Ask Qty]]</f>
        <v>1425600</v>
      </c>
      <c r="AG354" t="str">
        <f ca="1">IF(Table1[[#This Row],[YTM]]&gt;0.12,IF(Table1[[#This Row],[Gross Profit]]&gt;10000,"Invest","Review"),"Low YTM")</f>
        <v>Low YTM</v>
      </c>
    </row>
    <row r="355" spans="1:33" x14ac:dyDescent="0.3">
      <c r="A355" t="str">
        <f>RTD("nest.scriprtd",,"bse_cm|850MFL27A","Symbol")</f>
        <v>850MFL27A</v>
      </c>
      <c r="B355" t="str">
        <f>RTD("nest.scriprtd",,"bse_cm|850MFL27A","Trading Symbol")</f>
        <v>850MFL27A</v>
      </c>
      <c r="C355" t="str">
        <f>RTD("nest.scriprtd",,"bse_cm|850MFL27A","Exchange")</f>
        <v>BSE</v>
      </c>
      <c r="D355">
        <f>RTD("nest.scriprtd",,"bse_cm|850MFL27A","Bid Qty")</f>
        <v>21</v>
      </c>
      <c r="E355">
        <f>RTD("nest.scriprtd",,"bse_cm|850MFL27A","Bid Rate")</f>
        <v>1022.21</v>
      </c>
      <c r="F355">
        <f>RTD("nest.scriprtd",,"bse_cm|850MFL27A","Ask Rate")</f>
        <v>1060</v>
      </c>
      <c r="G355">
        <f>RTD("nest.scriprtd",,"bse_cm|850MFL27A","Ask Qty")</f>
        <v>49</v>
      </c>
      <c r="H355">
        <f>RTD("nest.scriprtd",,"bse_cm|850MFL27A","LTP")</f>
        <v>0</v>
      </c>
      <c r="I355" t="str">
        <f>RTD("nest.scriprtd",,"bse_cm|850MFL27A","LTT")</f>
        <v>00:00:00</v>
      </c>
      <c r="J355">
        <f>RTD("nest.scriprtd",,"bse_cm|850MFL27A","% Change")</f>
        <v>-100</v>
      </c>
      <c r="K355">
        <f>RTD("nest.scriprtd",,"bse_cm|850MFL27A","ATP")</f>
        <v>0</v>
      </c>
      <c r="L355">
        <f>RTD("nest.scriprtd",,"bse_cm|850MFL27A","Volume Traded Today")</f>
        <v>0</v>
      </c>
      <c r="M355">
        <f>RTD("nest.scriprtd",,"bse_cm|850MFL27A","Open")</f>
        <v>0</v>
      </c>
      <c r="N355">
        <f>RTD("nest.scriprtd",,"bse_cm|850MFL27A","High")</f>
        <v>1061.7</v>
      </c>
      <c r="O355">
        <f>RTD("nest.scriprtd",,"bse_cm|850MFL27A","Low ")</f>
        <v>1061.7</v>
      </c>
      <c r="P355">
        <f>RTD("nest.scriprtd",,"bse_cm|850MFL27A","Prev Close")</f>
        <v>1061.7</v>
      </c>
      <c r="Q355">
        <f>RTD("nest.scriprtd",,"bse_cm|850MFL27A","Face Value")</f>
        <v>1000</v>
      </c>
      <c r="R355" t="str">
        <f>RTD("nest.scriprtd",,"bse_cm|850MFL27A","Isin code")</f>
        <v>INE414G07IV8</v>
      </c>
      <c r="S355" s="9">
        <f>Table1[[#This Row],[Ask Rate]]*Table1[[#This Row],[Ask Qty]]</f>
        <v>51940</v>
      </c>
      <c r="T355">
        <f>VLOOKUP(Table1[[#This Row],[Isin code]],Table2[#All],7,FALSE)</f>
        <v>8.5</v>
      </c>
      <c r="U355" s="17" t="str">
        <f>VLOOKUP(Table1[[#This Row],[Isin code]],Table2[#All],8,FALSE)</f>
        <v>25-Jan-2027</v>
      </c>
      <c r="V355" s="10">
        <f ca="1">Table1[[#This Row],[Maturity]]-TODAY()</f>
        <v>831</v>
      </c>
      <c r="W355" t="str">
        <f>VLOOKUP(Table1[[#This Row],[Isin code]],Table2[#All],10,FALSE)</f>
        <v>Yearly</v>
      </c>
      <c r="X355">
        <f ca="1">_xlfn.DAYS(Table1[[#This Row],[Maturity]],TODAY())-15</f>
        <v>816</v>
      </c>
      <c r="Y3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55">
        <f>IF(Table1[[#This Row],[Ask Rate]]=0,0,Table1[[#This Row],[Face Value]]-Table1[[#This Row],[Ask Rate]])</f>
        <v>-60</v>
      </c>
      <c r="AA355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355">
        <f ca="1">Table1[[#This Row],[Face Value]]*Table1[[#This Row],[Rate]]*Table1[[#This Row],[Time]]</f>
        <v>255</v>
      </c>
      <c r="AC355">
        <f ca="1">Table1[[#This Row],[SI]]+Table1[[#This Row],[Disc/Prem]]</f>
        <v>195</v>
      </c>
      <c r="AD355" s="3">
        <f ca="1">Table1[[#This Row],[Net Gain]]/Table1[[#This Row],[Ask Rate]]</f>
        <v>0.18396226415094338</v>
      </c>
      <c r="AE355" s="3">
        <f ca="1">IF(Table1[[#This Row],[Ask Qty]]=0,0,Table1[[#This Row],[Gross Yield]]*365/Table1[[#This Row],[Days Left]])</f>
        <v>8.0801716504325313E-2</v>
      </c>
      <c r="AF355" s="9">
        <f ca="1">+Table1[[#This Row],[Net Gain]]*Table1[[#This Row],[Ask Qty]]</f>
        <v>9555</v>
      </c>
      <c r="AG355" t="str">
        <f ca="1">IF(Table1[[#This Row],[YTM]]&gt;0.12,IF(Table1[[#This Row],[Gross Profit]]&gt;10000,"Invest","Review"),"Low YTM")</f>
        <v>Low YTM</v>
      </c>
    </row>
    <row r="356" spans="1:33" x14ac:dyDescent="0.3">
      <c r="A356" t="str">
        <f>RTD("nest.scriprtd",,"bse_cm|850MFL29","Symbol")</f>
        <v>850MFL29</v>
      </c>
      <c r="B356" t="str">
        <f>RTD("nest.scriprtd",,"bse_cm|850MFL29","Trading Symbol")</f>
        <v>850MFL29</v>
      </c>
      <c r="C356" t="str">
        <f>RTD("nest.scriprtd",,"bse_cm|850MFL29","Exchange")</f>
        <v>BSE</v>
      </c>
      <c r="D356">
        <f>RTD("nest.scriprtd",,"bse_cm|850MFL29","Bid Qty")</f>
        <v>100</v>
      </c>
      <c r="E356">
        <f>RTD("nest.scriprtd",,"bse_cm|850MFL29","Bid Rate")</f>
        <v>1032</v>
      </c>
      <c r="F356">
        <f>RTD("nest.scriprtd",,"bse_cm|850MFL29","Ask Rate")</f>
        <v>1059</v>
      </c>
      <c r="G356">
        <f>RTD("nest.scriprtd",,"bse_cm|850MFL29","Ask Qty")</f>
        <v>49</v>
      </c>
      <c r="H356">
        <f>RTD("nest.scriprtd",,"bse_cm|850MFL29","LTP")</f>
        <v>0</v>
      </c>
      <c r="I356" t="str">
        <f>RTD("nest.scriprtd",,"bse_cm|850MFL29","LTT")</f>
        <v>00:00:00</v>
      </c>
      <c r="J356">
        <f>RTD("nest.scriprtd",,"bse_cm|850MFL29","% Change")</f>
        <v>-100</v>
      </c>
      <c r="K356">
        <f>RTD("nest.scriprtd",,"bse_cm|850MFL29","ATP")</f>
        <v>0</v>
      </c>
      <c r="L356">
        <f>RTD("nest.scriprtd",,"bse_cm|850MFL29","Volume Traded Today")</f>
        <v>0</v>
      </c>
      <c r="M356">
        <f>RTD("nest.scriprtd",,"bse_cm|850MFL29","Open")</f>
        <v>0</v>
      </c>
      <c r="N356">
        <f>RTD("nest.scriprtd",,"bse_cm|850MFL29","High")</f>
        <v>1033.3499999999999</v>
      </c>
      <c r="O356">
        <f>RTD("nest.scriprtd",,"bse_cm|850MFL29","Low ")</f>
        <v>1030</v>
      </c>
      <c r="P356">
        <f>RTD("nest.scriprtd",,"bse_cm|850MFL29","Prev Close")</f>
        <v>1032.23</v>
      </c>
      <c r="Q356">
        <f>RTD("nest.scriprtd",,"bse_cm|850MFL29","Face Value")</f>
        <v>1000</v>
      </c>
      <c r="R356" t="str">
        <f>RTD("nest.scriprtd",,"bse_cm|850MFL29","Isin code")</f>
        <v>INE414G07IZ9</v>
      </c>
      <c r="S356" s="9">
        <f>Table1[[#This Row],[Ask Rate]]*Table1[[#This Row],[Ask Qty]]</f>
        <v>51891</v>
      </c>
      <c r="T356">
        <f>VLOOKUP(Table1[[#This Row],[Isin code]],Table2[#All],7,FALSE)</f>
        <v>8.5</v>
      </c>
      <c r="U356" s="17" t="str">
        <f>VLOOKUP(Table1[[#This Row],[Isin code]],Table2[#All],8,FALSE)</f>
        <v>25-Jan-2029</v>
      </c>
      <c r="V356" s="10">
        <f ca="1">Table1[[#This Row],[Maturity]]-TODAY()</f>
        <v>1562</v>
      </c>
      <c r="W356" t="str">
        <f>VLOOKUP(Table1[[#This Row],[Isin code]],Table2[#All],10,FALSE)</f>
        <v>Yearly</v>
      </c>
      <c r="X356">
        <f ca="1">_xlfn.DAYS(Table1[[#This Row],[Maturity]],TODAY())-15</f>
        <v>1547</v>
      </c>
      <c r="Y3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56">
        <f>IF(Table1[[#This Row],[Ask Rate]]=0,0,Table1[[#This Row],[Face Value]]-Table1[[#This Row],[Ask Rate]])</f>
        <v>-59</v>
      </c>
      <c r="AA356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356">
        <f ca="1">Table1[[#This Row],[Face Value]]*Table1[[#This Row],[Rate]]*Table1[[#This Row],[Time]]</f>
        <v>425</v>
      </c>
      <c r="AC356">
        <f ca="1">Table1[[#This Row],[SI]]+Table1[[#This Row],[Disc/Prem]]</f>
        <v>366</v>
      </c>
      <c r="AD356" s="3">
        <f ca="1">Table1[[#This Row],[Net Gain]]/Table1[[#This Row],[Ask Rate]]</f>
        <v>0.34560906515580736</v>
      </c>
      <c r="AE356" s="3">
        <f ca="1">IF(Table1[[#This Row],[Ask Qty]]=0,0,Table1[[#This Row],[Gross Yield]]*365/Table1[[#This Row],[Days Left]])</f>
        <v>8.0760120859071499E-2</v>
      </c>
      <c r="AF356" s="9">
        <f ca="1">+Table1[[#This Row],[Net Gain]]*Table1[[#This Row],[Ask Qty]]</f>
        <v>17934</v>
      </c>
      <c r="AG356" t="str">
        <f ca="1">IF(Table1[[#This Row],[YTM]]&gt;0.12,IF(Table1[[#This Row],[Gross Profit]]&gt;10000,"Invest","Review"),"Low YTM")</f>
        <v>Low YTM</v>
      </c>
    </row>
    <row r="357" spans="1:33" x14ac:dyDescent="0.3">
      <c r="A357" t="str">
        <f>RTD("nest.scriprtd",,"bse_cm|785MFL2028","Symbol")</f>
        <v>785MFL2028</v>
      </c>
      <c r="B357" t="str">
        <f>RTD("nest.scriprtd",,"bse_cm|785MFL2028","Trading Symbol")</f>
        <v>785MFL2028</v>
      </c>
      <c r="C357" t="str">
        <f>RTD("nest.scriprtd",,"bse_cm|785MFL2028","Exchange")</f>
        <v>BSE</v>
      </c>
      <c r="D357">
        <f>RTD("nest.scriprtd",,"bse_cm|785MFL2028","Bid Qty")</f>
        <v>20</v>
      </c>
      <c r="E357">
        <f>RTD("nest.scriprtd",,"bse_cm|785MFL2028","Bid Rate")</f>
        <v>925</v>
      </c>
      <c r="F357">
        <f>RTD("nest.scriprtd",,"bse_cm|785MFL2028","Ask Rate")</f>
        <v>997</v>
      </c>
      <c r="G357">
        <f>RTD("nest.scriprtd",,"bse_cm|785MFL2028","Ask Qty")</f>
        <v>10</v>
      </c>
      <c r="H357">
        <f>RTD("nest.scriprtd",,"bse_cm|785MFL2028","LTP")</f>
        <v>0</v>
      </c>
      <c r="I357" t="str">
        <f>RTD("nest.scriprtd",,"bse_cm|785MFL2028","LTT")</f>
        <v>00:00:00</v>
      </c>
      <c r="J357">
        <f>RTD("nest.scriprtd",,"bse_cm|785MFL2028","% Change")</f>
        <v>-100</v>
      </c>
      <c r="K357">
        <f>RTD("nest.scriprtd",,"bse_cm|785MFL2028","ATP")</f>
        <v>0</v>
      </c>
      <c r="L357">
        <f>RTD("nest.scriprtd",,"bse_cm|785MFL2028","Volume Traded Today")</f>
        <v>0</v>
      </c>
      <c r="M357">
        <f>RTD("nest.scriprtd",,"bse_cm|785MFL2028","Open")</f>
        <v>0</v>
      </c>
      <c r="N357">
        <f>RTD("nest.scriprtd",,"bse_cm|785MFL2028","High")</f>
        <v>980</v>
      </c>
      <c r="O357">
        <f>RTD("nest.scriprtd",,"bse_cm|785MFL2028","Low ")</f>
        <v>980</v>
      </c>
      <c r="P357">
        <f>RTD("nest.scriprtd",,"bse_cm|785MFL2028","Prev Close")</f>
        <v>980</v>
      </c>
      <c r="Q357">
        <f>RTD("nest.scriprtd",,"bse_cm|785MFL2028","Face Value")</f>
        <v>1000</v>
      </c>
      <c r="R357" t="str">
        <f>RTD("nest.scriprtd",,"bse_cm|785MFL2028","Isin code")</f>
        <v>INE414G07HZ1</v>
      </c>
      <c r="S357" s="9">
        <f>Table1[[#This Row],[Ask Rate]]*Table1[[#This Row],[Ask Qty]]</f>
        <v>9970</v>
      </c>
      <c r="T357">
        <f>VLOOKUP(Table1[[#This Row],[Isin code]],Table2[#All],7,FALSE)</f>
        <v>7.85</v>
      </c>
      <c r="U357" s="17" t="str">
        <f>VLOOKUP(Table1[[#This Row],[Isin code]],Table2[#All],8,FALSE)</f>
        <v>03-Jun-2028</v>
      </c>
      <c r="V357" s="10">
        <f ca="1">Table1[[#This Row],[Maturity]]-TODAY()</f>
        <v>1326</v>
      </c>
      <c r="W357" t="str">
        <f>VLOOKUP(Table1[[#This Row],[Isin code]],Table2[#All],10,FALSE)</f>
        <v>Monthly</v>
      </c>
      <c r="X357">
        <f ca="1">_xlfn.DAYS(Table1[[#This Row],[Maturity]],TODAY())-15</f>
        <v>1311</v>
      </c>
      <c r="Y3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44</v>
      </c>
      <c r="Z357">
        <f>IF(Table1[[#This Row],[Ask Rate]]=0,0,Table1[[#This Row],[Face Value]]-Table1[[#This Row],[Ask Rate]])</f>
        <v>3</v>
      </c>
      <c r="AA357">
        <f>IF(Table1[[#This Row],[Freq]]="Yearly",Table1[[#This Row],[Coupon_Rate]]/100,IF(Table1[[#This Row],[Freq]]="Monthly",Table1[[#This Row],[Coupon_Rate]]/1200,IF(Table1[[#This Row],[Freq]]="Quarterly",Table1[[#This Row],[Coupon_Rate]]/400,0)))</f>
        <v>6.5416666666666661E-3</v>
      </c>
      <c r="AB357">
        <f ca="1">Table1[[#This Row],[Face Value]]*Table1[[#This Row],[Rate]]*Table1[[#This Row],[Time]]</f>
        <v>287.83333333333331</v>
      </c>
      <c r="AC357">
        <f ca="1">Table1[[#This Row],[SI]]+Table1[[#This Row],[Disc/Prem]]</f>
        <v>290.83333333333331</v>
      </c>
      <c r="AD357" s="3">
        <f ca="1">Table1[[#This Row],[Net Gain]]/Table1[[#This Row],[Ask Rate]]</f>
        <v>0.29170845870946172</v>
      </c>
      <c r="AE357" s="3">
        <f ca="1">IF(Table1[[#This Row],[Ask Qty]]=0,0,Table1[[#This Row],[Gross Yield]]*365/Table1[[#This Row],[Days Left]])</f>
        <v>8.029682309875831E-2</v>
      </c>
      <c r="AF357" s="9">
        <f ca="1">+Table1[[#This Row],[Net Gain]]*Table1[[#This Row],[Ask Qty]]</f>
        <v>2908.333333333333</v>
      </c>
      <c r="AG357" t="str">
        <f ca="1">IF(Table1[[#This Row],[YTM]]&gt;0.12,IF(Table1[[#This Row],[Gross Profit]]&gt;10000,"Invest","Review"),"Low YTM")</f>
        <v>Low YTM</v>
      </c>
    </row>
    <row r="358" spans="1:33" x14ac:dyDescent="0.3">
      <c r="A358" t="str">
        <f>RTD("nest.scriprtd",,"nse_cm|8ABFL26-N0","Symbol")</f>
        <v>8ABFL26</v>
      </c>
      <c r="B358" t="str">
        <f>RTD("nest.scriprtd",,"nse_cm|8ABFL26-N0","Trading Symbol")</f>
        <v>8ABFL26-N0</v>
      </c>
      <c r="C358" t="str">
        <f>RTD("nest.scriprtd",,"nse_cm|8ABFL26-N0","Exchange")</f>
        <v>NSE</v>
      </c>
      <c r="D358">
        <f>RTD("nest.scriprtd",,"nse_cm|8ABFL26-N0","Bid Qty")</f>
        <v>55</v>
      </c>
      <c r="E358">
        <f>RTD("nest.scriprtd",,"nse_cm|8ABFL26-N0","Bid Rate")</f>
        <v>985.1</v>
      </c>
      <c r="F358">
        <f>RTD("nest.scriprtd",,"nse_cm|8ABFL26-N0","Ask Rate")</f>
        <v>1001</v>
      </c>
      <c r="G358">
        <f>RTD("nest.scriprtd",,"nse_cm|8ABFL26-N0","Ask Qty")</f>
        <v>50</v>
      </c>
      <c r="H358">
        <f>RTD("nest.scriprtd",,"nse_cm|8ABFL26-N0","LTP")</f>
        <v>1001</v>
      </c>
      <c r="I358" t="str">
        <f>RTD("nest.scriprtd",,"nse_cm|8ABFL26-N0","LTT")</f>
        <v/>
      </c>
      <c r="J358">
        <f>RTD("nest.scriprtd",,"nse_cm|8ABFL26-N0","% Change")</f>
        <v>0</v>
      </c>
      <c r="K358">
        <f>RTD("nest.scriprtd",,"nse_cm|8ABFL26-N0","ATP")</f>
        <v>0</v>
      </c>
      <c r="L358">
        <f>RTD("nest.scriprtd",,"nse_cm|8ABFL26-N0","Volume Traded Today")</f>
        <v>0</v>
      </c>
      <c r="M358">
        <f>RTD("nest.scriprtd",,"nse_cm|8ABFL26-N0","Open")</f>
        <v>0</v>
      </c>
      <c r="N358">
        <f>RTD("nest.scriprtd",,"nse_cm|8ABFL26-N0","High")</f>
        <v>1001</v>
      </c>
      <c r="O358">
        <f>RTD("nest.scriprtd",,"nse_cm|8ABFL26-N0","Low ")</f>
        <v>1000</v>
      </c>
      <c r="P358">
        <f>RTD("nest.scriprtd",,"nse_cm|8ABFL26-N0","Prev Close")</f>
        <v>1001</v>
      </c>
      <c r="Q358">
        <f>RTD("nest.scriprtd",,"nse_cm|8ABFL26-N0","Face Value")</f>
        <v>1000</v>
      </c>
      <c r="R358" t="str">
        <f>RTD("nest.scriprtd",,"nse_cm|8ABFL26-N0","Isin code")</f>
        <v>INE860H07IQ0</v>
      </c>
      <c r="S358" s="9">
        <f>Table1[[#This Row],[Ask Rate]]*Table1[[#This Row],[Ask Qty]]</f>
        <v>50050</v>
      </c>
      <c r="T358">
        <f>VLOOKUP(Table1[[#This Row],[Isin code]],Table2[#All],7,FALSE)</f>
        <v>8</v>
      </c>
      <c r="U358" s="17" t="str">
        <f>VLOOKUP(Table1[[#This Row],[Isin code]],Table2[#All],8,FALSE)</f>
        <v>09-Oct-2026</v>
      </c>
      <c r="V358" s="10">
        <f ca="1">Table1[[#This Row],[Maturity]]-TODAY()</f>
        <v>723</v>
      </c>
      <c r="W358" t="str">
        <f>VLOOKUP(Table1[[#This Row],[Isin code]],Table2[#All],10,FALSE)</f>
        <v>Yearly</v>
      </c>
      <c r="X358">
        <f ca="1">_xlfn.DAYS(Table1[[#This Row],[Maturity]],TODAY())-15</f>
        <v>708</v>
      </c>
      <c r="Y3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58">
        <f>IF(Table1[[#This Row],[Ask Rate]]=0,0,Table1[[#This Row],[Face Value]]-Table1[[#This Row],[Ask Rate]])</f>
        <v>-1</v>
      </c>
      <c r="AA358">
        <f>IF(Table1[[#This Row],[Freq]]="Yearly",Table1[[#This Row],[Coupon_Rate]]/100,IF(Table1[[#This Row],[Freq]]="Monthly",Table1[[#This Row],[Coupon_Rate]]/1200,IF(Table1[[#This Row],[Freq]]="Quarterly",Table1[[#This Row],[Coupon_Rate]]/400,0)))</f>
        <v>0.08</v>
      </c>
      <c r="AB358">
        <f ca="1">Table1[[#This Row],[Face Value]]*Table1[[#This Row],[Rate]]*Table1[[#This Row],[Time]]</f>
        <v>160</v>
      </c>
      <c r="AC358">
        <f ca="1">Table1[[#This Row],[SI]]+Table1[[#This Row],[Disc/Prem]]</f>
        <v>159</v>
      </c>
      <c r="AD358" s="3">
        <f ca="1">Table1[[#This Row],[Net Gain]]/Table1[[#This Row],[Ask Rate]]</f>
        <v>0.15884115884115885</v>
      </c>
      <c r="AE358" s="3">
        <f ca="1">IF(Table1[[#This Row],[Ask Qty]]=0,0,Table1[[#This Row],[Gross Yield]]*365/Table1[[#This Row],[Days Left]])</f>
        <v>8.0189520023544916E-2</v>
      </c>
      <c r="AF358" s="9">
        <f ca="1">+Table1[[#This Row],[Net Gain]]*Table1[[#This Row],[Ask Qty]]</f>
        <v>7950</v>
      </c>
      <c r="AG358" t="str">
        <f ca="1">IF(Table1[[#This Row],[YTM]]&gt;0.12,IF(Table1[[#This Row],[Gross Profit]]&gt;10000,"Invest","Review"),"Low YTM")</f>
        <v>Low YTM</v>
      </c>
    </row>
    <row r="359" spans="1:33" x14ac:dyDescent="0.3">
      <c r="A359" t="str">
        <f>RTD("nest.scriprtd",,"bse_cm|MFLII27B","Symbol")</f>
        <v>MFLII27B</v>
      </c>
      <c r="B359" t="str">
        <f>RTD("nest.scriprtd",,"bse_cm|MFLII27B","Trading Symbol")</f>
        <v>MFLII27B</v>
      </c>
      <c r="C359" t="str">
        <f>RTD("nest.scriprtd",,"bse_cm|MFLII27B","Exchange")</f>
        <v>BSE</v>
      </c>
      <c r="D359">
        <f>RTD("nest.scriprtd",,"bse_cm|MFLII27B","Bid Qty")</f>
        <v>190</v>
      </c>
      <c r="E359">
        <f>RTD("nest.scriprtd",,"bse_cm|MFLII27B","Bid Rate")</f>
        <v>930.8</v>
      </c>
      <c r="F359">
        <f>RTD("nest.scriprtd",,"bse_cm|MFLII27B","Ask Rate")</f>
        <v>975</v>
      </c>
      <c r="G359">
        <f>RTD("nest.scriprtd",,"bse_cm|MFLII27B","Ask Qty")</f>
        <v>10</v>
      </c>
      <c r="H359">
        <f>RTD("nest.scriprtd",,"bse_cm|MFLII27B","LTP")</f>
        <v>0</v>
      </c>
      <c r="I359" t="str">
        <f>RTD("nest.scriprtd",,"bse_cm|MFLII27B","LTT")</f>
        <v>00:00:00</v>
      </c>
      <c r="J359">
        <f>RTD("nest.scriprtd",,"bse_cm|MFLII27B","% Change")</f>
        <v>-100</v>
      </c>
      <c r="K359">
        <f>RTD("nest.scriprtd",,"bse_cm|MFLII27B","ATP")</f>
        <v>0</v>
      </c>
      <c r="L359">
        <f>RTD("nest.scriprtd",,"bse_cm|MFLII27B","Volume Traded Today")</f>
        <v>0</v>
      </c>
      <c r="M359">
        <f>RTD("nest.scriprtd",,"bse_cm|MFLII27B","Open")</f>
        <v>0</v>
      </c>
      <c r="N359">
        <f>RTD("nest.scriprtd",,"bse_cm|MFLII27B","High")</f>
        <v>975</v>
      </c>
      <c r="O359">
        <f>RTD("nest.scriprtd",,"bse_cm|MFLII27B","Low ")</f>
        <v>954</v>
      </c>
      <c r="P359">
        <f>RTD("nest.scriprtd",,"bse_cm|MFLII27B","Prev Close")</f>
        <v>975</v>
      </c>
      <c r="Q359">
        <f>RTD("nest.scriprtd",,"bse_cm|MFLII27B","Face Value")</f>
        <v>1000</v>
      </c>
      <c r="R359" t="str">
        <f>RTD("nest.scriprtd",,"bse_cm|MFLII27B","Isin code")</f>
        <v>INE414G07GE8</v>
      </c>
      <c r="S359" s="9">
        <f>Table1[[#This Row],[Ask Rate]]*Table1[[#This Row],[Ask Qty]]</f>
        <v>9750</v>
      </c>
      <c r="T359">
        <f>VLOOKUP(Table1[[#This Row],[Isin code]],Table2[#All],7,FALSE)</f>
        <v>6.75</v>
      </c>
      <c r="U359" s="17" t="str">
        <f>VLOOKUP(Table1[[#This Row],[Isin code]],Table2[#All],8,FALSE)</f>
        <v>05-May-2027</v>
      </c>
      <c r="V359" s="10">
        <f ca="1">Table1[[#This Row],[Maturity]]-TODAY()</f>
        <v>931</v>
      </c>
      <c r="W359" t="str">
        <f>VLOOKUP(Table1[[#This Row],[Isin code]],Table2[#All],10,FALSE)</f>
        <v>Monthly</v>
      </c>
      <c r="X359">
        <f ca="1">_xlfn.DAYS(Table1[[#This Row],[Maturity]],TODAY())-15</f>
        <v>916</v>
      </c>
      <c r="Y3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359">
        <f>IF(Table1[[#This Row],[Ask Rate]]=0,0,Table1[[#This Row],[Face Value]]-Table1[[#This Row],[Ask Rate]])</f>
        <v>25</v>
      </c>
      <c r="AA359">
        <f>IF(Table1[[#This Row],[Freq]]="Yearly",Table1[[#This Row],[Coupon_Rate]]/100,IF(Table1[[#This Row],[Freq]]="Monthly",Table1[[#This Row],[Coupon_Rate]]/1200,IF(Table1[[#This Row],[Freq]]="Quarterly",Table1[[#This Row],[Coupon_Rate]]/400,0)))</f>
        <v>5.6249999999999998E-3</v>
      </c>
      <c r="AB359">
        <f ca="1">Table1[[#This Row],[Face Value]]*Table1[[#This Row],[Rate]]*Table1[[#This Row],[Time]]</f>
        <v>174.375</v>
      </c>
      <c r="AC359">
        <f ca="1">Table1[[#This Row],[SI]]+Table1[[#This Row],[Disc/Prem]]</f>
        <v>199.375</v>
      </c>
      <c r="AD359" s="3">
        <f ca="1">Table1[[#This Row],[Net Gain]]/Table1[[#This Row],[Ask Rate]]</f>
        <v>0.20448717948717948</v>
      </c>
      <c r="AE359" s="3">
        <f ca="1">IF(Table1[[#This Row],[Ask Qty]]=0,0,Table1[[#This Row],[Gross Yield]]*365/Table1[[#This Row],[Days Left]])</f>
        <v>8.016951719959238E-2</v>
      </c>
      <c r="AF359" s="9">
        <f ca="1">+Table1[[#This Row],[Net Gain]]*Table1[[#This Row],[Ask Qty]]</f>
        <v>1993.75</v>
      </c>
      <c r="AG359" t="str">
        <f ca="1">IF(Table1[[#This Row],[YTM]]&gt;0.12,IF(Table1[[#This Row],[Gross Profit]]&gt;10000,"Invest","Review"),"Low YTM")</f>
        <v>Low YTM</v>
      </c>
    </row>
    <row r="360" spans="1:33" x14ac:dyDescent="0.3">
      <c r="A360" t="str">
        <f>RTD("nest.scriprtd",,"nse_cm|980SCL33-NX","Symbol")</f>
        <v>980SCL33</v>
      </c>
      <c r="B360" t="str">
        <f>RTD("nest.scriprtd",,"nse_cm|980SCL33-NX","Trading Symbol")</f>
        <v>980SCL33-NX</v>
      </c>
      <c r="C360" t="str">
        <f>RTD("nest.scriprtd",,"nse_cm|980SCL33-NX","Exchange")</f>
        <v>NSE</v>
      </c>
      <c r="D360">
        <f>RTD("nest.scriprtd",,"nse_cm|980SCL33-NX","Bid Qty")</f>
        <v>8</v>
      </c>
      <c r="E360">
        <f>RTD("nest.scriprtd",,"nse_cm|980SCL33-NX","Bid Rate")</f>
        <v>1002</v>
      </c>
      <c r="F360">
        <f>RTD("nest.scriprtd",,"nse_cm|980SCL33-NX","Ask Rate")</f>
        <v>1202.4000000000001</v>
      </c>
      <c r="G360">
        <f>RTD("nest.scriprtd",,"nse_cm|980SCL33-NX","Ask Qty")</f>
        <v>8</v>
      </c>
      <c r="H360">
        <f>RTD("nest.scriprtd",,"nse_cm|980SCL33-NX","LTP")</f>
        <v>1002</v>
      </c>
      <c r="I360" t="str">
        <f>RTD("nest.scriprtd",,"nse_cm|980SCL33-NX","LTT")</f>
        <v/>
      </c>
      <c r="J360">
        <f>RTD("nest.scriprtd",,"nse_cm|980SCL33-NX","% Change")</f>
        <v>0</v>
      </c>
      <c r="K360">
        <f>RTD("nest.scriprtd",,"nse_cm|980SCL33-NX","ATP")</f>
        <v>0</v>
      </c>
      <c r="L360">
        <f>RTD("nest.scriprtd",,"nse_cm|980SCL33-NX","Volume Traded Today")</f>
        <v>0</v>
      </c>
      <c r="M360">
        <f>RTD("nest.scriprtd",,"nse_cm|980SCL33-NX","Open")</f>
        <v>0</v>
      </c>
      <c r="N360">
        <f>RTD("nest.scriprtd",,"nse_cm|980SCL33-NX","High")</f>
        <v>1002</v>
      </c>
      <c r="O360">
        <f>RTD("nest.scriprtd",,"nse_cm|980SCL33-NX","Low ")</f>
        <v>1002</v>
      </c>
      <c r="P360">
        <f>RTD("nest.scriprtd",,"nse_cm|980SCL33-NX","Prev Close")</f>
        <v>1002</v>
      </c>
      <c r="Q360">
        <f>RTD("nest.scriprtd",,"nse_cm|980SCL33-NX","Face Value")</f>
        <v>1000</v>
      </c>
      <c r="R360" t="str">
        <f>RTD("nest.scriprtd",,"nse_cm|980SCL33-NX","Isin code")</f>
        <v>INE148I07QZ2</v>
      </c>
      <c r="S360" s="9">
        <f>Table1[[#This Row],[Ask Rate]]*Table1[[#This Row],[Ask Qty]]</f>
        <v>9619.2000000000007</v>
      </c>
      <c r="T360">
        <f>VLOOKUP(Table1[[#This Row],[Isin code]],Table2[#All],7,FALSE)</f>
        <v>10.75</v>
      </c>
      <c r="U360" s="17" t="str">
        <f>VLOOKUP(Table1[[#This Row],[Isin code]],Table2[#All],8,FALSE)</f>
        <v>09-Nov-2033</v>
      </c>
      <c r="V360" s="10">
        <f ca="1">Table1[[#This Row],[Maturity]]-TODAY()</f>
        <v>3311</v>
      </c>
      <c r="W360" t="str">
        <f>VLOOKUP(Table1[[#This Row],[Isin code]],Table2[#All],10,FALSE)</f>
        <v>Yearly</v>
      </c>
      <c r="X360">
        <f ca="1">_xlfn.DAYS(Table1[[#This Row],[Maturity]],TODAY())-15</f>
        <v>3296</v>
      </c>
      <c r="Y3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360">
        <f>IF(Table1[[#This Row],[Ask Rate]]=0,0,Table1[[#This Row],[Face Value]]-Table1[[#This Row],[Ask Rate]])</f>
        <v>-202.40000000000009</v>
      </c>
      <c r="AA360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360">
        <f ca="1">Table1[[#This Row],[Face Value]]*Table1[[#This Row],[Rate]]*Table1[[#This Row],[Time]]</f>
        <v>1075</v>
      </c>
      <c r="AC360">
        <f ca="1">Table1[[#This Row],[SI]]+Table1[[#This Row],[Disc/Prem]]</f>
        <v>872.59999999999991</v>
      </c>
      <c r="AD360" s="3">
        <f ca="1">Table1[[#This Row],[Net Gain]]/Table1[[#This Row],[Ask Rate]]</f>
        <v>0.72571523619427802</v>
      </c>
      <c r="AE360" s="3">
        <f ca="1">IF(Table1[[#This Row],[Ask Qty]]=0,0,Table1[[#This Row],[Gross Yield]]*365/Table1[[#This Row],[Days Left]])</f>
        <v>8.0001830628484288E-2</v>
      </c>
      <c r="AF360" s="9">
        <f ca="1">+Table1[[#This Row],[Net Gain]]*Table1[[#This Row],[Ask Qty]]</f>
        <v>6980.7999999999993</v>
      </c>
      <c r="AG360" t="str">
        <f ca="1">IF(Table1[[#This Row],[YTM]]&gt;0.12,IF(Table1[[#This Row],[Gross Profit]]&gt;10000,"Invest","Review"),"Low YTM")</f>
        <v>Low YTM</v>
      </c>
    </row>
    <row r="361" spans="1:33" x14ac:dyDescent="0.3">
      <c r="A361" t="str">
        <f>RTD("nest.scriprtd",,"bse_cm|MFLV29","Symbol")</f>
        <v>MFLV29</v>
      </c>
      <c r="B361" t="str">
        <f>RTD("nest.scriprtd",,"bse_cm|MFLV29","Trading Symbol")</f>
        <v>MFLV29</v>
      </c>
      <c r="C361" t="str">
        <f>RTD("nest.scriprtd",,"bse_cm|MFLV29","Exchange")</f>
        <v>BSE</v>
      </c>
      <c r="D361">
        <f>RTD("nest.scriprtd",,"bse_cm|MFLV29","Bid Qty")</f>
        <v>180</v>
      </c>
      <c r="E361">
        <f>RTD("nest.scriprtd",,"bse_cm|MFLV29","Bid Rate")</f>
        <v>925.2</v>
      </c>
      <c r="F361">
        <f>RTD("nest.scriprtd",,"bse_cm|MFLV29","Ask Rate")</f>
        <v>1000</v>
      </c>
      <c r="G361">
        <f>RTD("nest.scriprtd",,"bse_cm|MFLV29","Ask Qty")</f>
        <v>600</v>
      </c>
      <c r="H361">
        <f>RTD("nest.scriprtd",,"bse_cm|MFLV29","LTP")</f>
        <v>0</v>
      </c>
      <c r="I361" t="str">
        <f>RTD("nest.scriprtd",,"bse_cm|MFLV29","LTT")</f>
        <v>00:00:00</v>
      </c>
      <c r="J361">
        <f>RTD("nest.scriprtd",,"bse_cm|MFLV29","% Change")</f>
        <v>-100</v>
      </c>
      <c r="K361">
        <f>RTD("nest.scriprtd",,"bse_cm|MFLV29","ATP")</f>
        <v>0</v>
      </c>
      <c r="L361">
        <f>RTD("nest.scriprtd",,"bse_cm|MFLV29","Volume Traded Today")</f>
        <v>0</v>
      </c>
      <c r="M361">
        <f>RTD("nest.scriprtd",,"bse_cm|MFLV29","Open")</f>
        <v>0</v>
      </c>
      <c r="N361">
        <f>RTD("nest.scriprtd",,"bse_cm|MFLV29","High")</f>
        <v>999.95</v>
      </c>
      <c r="O361">
        <f>RTD("nest.scriprtd",,"bse_cm|MFLV29","Low ")</f>
        <v>999.95</v>
      </c>
      <c r="P361">
        <f>RTD("nest.scriprtd",,"bse_cm|MFLV29","Prev Close")</f>
        <v>999.95</v>
      </c>
      <c r="Q361">
        <f>RTD("nest.scriprtd",,"bse_cm|MFLV29","Face Value")</f>
        <v>1000</v>
      </c>
      <c r="R361" t="str">
        <f>RTD("nest.scriprtd",,"bse_cm|MFLV29","Isin code")</f>
        <v>INE414G07GP4</v>
      </c>
      <c r="S361" s="9">
        <f>Table1[[#This Row],[Ask Rate]]*Table1[[#This Row],[Ask Qty]]</f>
        <v>600000</v>
      </c>
      <c r="T361">
        <f>VLOOKUP(Table1[[#This Row],[Isin code]],Table2[#All],7,FALSE)</f>
        <v>7.5</v>
      </c>
      <c r="U361" s="17" t="str">
        <f>VLOOKUP(Table1[[#This Row],[Isin code]],Table2[#All],8,FALSE)</f>
        <v>23-Jun-2029</v>
      </c>
      <c r="V361" s="10">
        <f ca="1">Table1[[#This Row],[Maturity]]-TODAY()</f>
        <v>1711</v>
      </c>
      <c r="W361" t="str">
        <f>VLOOKUP(Table1[[#This Row],[Isin code]],Table2[#All],10,FALSE)</f>
        <v>Yearly</v>
      </c>
      <c r="X361">
        <f ca="1">_xlfn.DAYS(Table1[[#This Row],[Maturity]],TODAY())-15</f>
        <v>1696</v>
      </c>
      <c r="Y3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61">
        <f>IF(Table1[[#This Row],[Ask Rate]]=0,0,Table1[[#This Row],[Face Value]]-Table1[[#This Row],[Ask Rate]])</f>
        <v>0</v>
      </c>
      <c r="AA361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7.4999999999999997E-2</v>
      </c>
      <c r="AB361">
        <f ca="1">Table1[[#This Row],[Face Value]]*Table1[[#This Row],[Rate]]*Table1[[#This Row],[Time]]</f>
        <v>375</v>
      </c>
      <c r="AC361">
        <f ca="1">Table1[[#This Row],[SI]]+Table1[[#This Row],[Disc/Prem]]</f>
        <v>375</v>
      </c>
      <c r="AD361" s="3">
        <f ca="1">Table1[[#This Row],[Net Gain]]/Table1[[#This Row],[Ask Rate]]</f>
        <v>0.375</v>
      </c>
      <c r="AE361" s="3">
        <f ca="1">IF(Table1[[#This Row],[Ask Qty]]=0,0,Table1[[#This Row],[Gross Yield]]*365/Table1[[#This Row],[Days Left]])</f>
        <v>7.9997077732320274E-2</v>
      </c>
      <c r="AF361" s="9">
        <f ca="1">+Table1[[#This Row],[Net Gain]]*Table1[[#This Row],[Ask Qty]]</f>
        <v>225000</v>
      </c>
      <c r="AG361" t="str">
        <f ca="1">IF(Table1[[#This Row],[YTM]]&gt;0.12,IF(Table1[[#This Row],[Gross Profit]]&gt;10000,"Invest","Review"),"Low YTM")</f>
        <v>Low YTM</v>
      </c>
    </row>
    <row r="362" spans="1:33" x14ac:dyDescent="0.3">
      <c r="A362" t="str">
        <f>RTD("nest.scriprtd",,"bse_cm|MFLI25A","Symbol")</f>
        <v>MFLI25A</v>
      </c>
      <c r="B362" t="str">
        <f>RTD("nest.scriprtd",,"bse_cm|MFLI25A","Trading Symbol")</f>
        <v>MFLI25A</v>
      </c>
      <c r="C362" t="str">
        <f>RTD("nest.scriprtd",,"bse_cm|MFLI25A","Exchange")</f>
        <v>BSE</v>
      </c>
      <c r="D362">
        <f>RTD("nest.scriprtd",,"bse_cm|MFLI25A","Bid Qty")</f>
        <v>160</v>
      </c>
      <c r="E362">
        <f>RTD("nest.scriprtd",,"bse_cm|MFLI25A","Bid Rate")</f>
        <v>970.2</v>
      </c>
      <c r="F362">
        <f>RTD("nest.scriprtd",,"bse_cm|MFLI25A","Ask Rate")</f>
        <v>994.2</v>
      </c>
      <c r="G362">
        <f>RTD("nest.scriprtd",,"bse_cm|MFLI25A","Ask Qty")</f>
        <v>16</v>
      </c>
      <c r="H362">
        <f>RTD("nest.scriprtd",,"bse_cm|MFLI25A","LTP")</f>
        <v>985.2</v>
      </c>
      <c r="I362" t="str">
        <f>RTD("nest.scriprtd",,"bse_cm|MFLI25A","LTT")</f>
        <v>00:00:00</v>
      </c>
      <c r="J362">
        <f>RTD("nest.scriprtd",,"bse_cm|MFLI25A","% Change")</f>
        <v>0.12</v>
      </c>
      <c r="K362">
        <f>RTD("nest.scriprtd",,"bse_cm|MFLI25A","ATP")</f>
        <v>0</v>
      </c>
      <c r="L362">
        <f>RTD("nest.scriprtd",,"bse_cm|MFLI25A","Volume Traded Today")</f>
        <v>0</v>
      </c>
      <c r="M362">
        <f>RTD("nest.scriprtd",,"bse_cm|MFLI25A","Open")</f>
        <v>0</v>
      </c>
      <c r="N362">
        <f>RTD("nest.scriprtd",,"bse_cm|MFLI25A","High")</f>
        <v>985.2</v>
      </c>
      <c r="O362">
        <f>RTD("nest.scriprtd",,"bse_cm|MFLI25A","Low ")</f>
        <v>985.2</v>
      </c>
      <c r="P362">
        <f>RTD("nest.scriprtd",,"bse_cm|MFLI25A","Prev Close")</f>
        <v>984</v>
      </c>
      <c r="Q362">
        <f>RTD("nest.scriprtd",,"bse_cm|MFLI25A","Face Value")</f>
        <v>1000</v>
      </c>
      <c r="R362" t="str">
        <f>RTD("nest.scriprtd",,"bse_cm|MFLI25A","Isin code")</f>
        <v>INE414G07GD0</v>
      </c>
      <c r="S362" s="9">
        <f>Table1[[#This Row],[Ask Rate]]*Table1[[#This Row],[Ask Qty]]</f>
        <v>15907.2</v>
      </c>
      <c r="T362">
        <f>VLOOKUP(Table1[[#This Row],[Isin code]],Table2[#All],7,FALSE)</f>
        <v>6.5</v>
      </c>
      <c r="U362" s="17" t="str">
        <f>VLOOKUP(Table1[[#This Row],[Isin code]],Table2[#All],8,FALSE)</f>
        <v>05-May-2025</v>
      </c>
      <c r="V362" s="10">
        <f ca="1">Table1[[#This Row],[Maturity]]-TODAY()</f>
        <v>201</v>
      </c>
      <c r="W362" t="str">
        <f>VLOOKUP(Table1[[#This Row],[Isin code]],Table2[#All],10,FALSE)</f>
        <v>Monthly</v>
      </c>
      <c r="X362">
        <f ca="1">_xlfn.DAYS(Table1[[#This Row],[Maturity]],TODAY())-15</f>
        <v>186</v>
      </c>
      <c r="Y3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362">
        <f>IF(Table1[[#This Row],[Ask Rate]]=0,0,Table1[[#This Row],[Face Value]]-Table1[[#This Row],[Ask Rate]])</f>
        <v>5.7999999999999545</v>
      </c>
      <c r="AA362">
        <f>IF(Table1[[#This Row],[Freq]]="Yearly",Table1[[#This Row],[Coupon_Rate]]/100,IF(Table1[[#This Row],[Freq]]="Monthly",Table1[[#This Row],[Coupon_Rate]]/1200,IF(Table1[[#This Row],[Freq]]="Quarterly",Table1[[#This Row],[Coupon_Rate]]/400,0)))</f>
        <v>5.4166666666666669E-3</v>
      </c>
      <c r="AB362">
        <f ca="1">Table1[[#This Row],[Face Value]]*Table1[[#This Row],[Rate]]*Table1[[#This Row],[Time]]</f>
        <v>37.916666666666671</v>
      </c>
      <c r="AC362">
        <f ca="1">Table1[[#This Row],[SI]]+Table1[[#This Row],[Disc/Prem]]</f>
        <v>43.716666666666626</v>
      </c>
      <c r="AD362" s="3">
        <f ca="1">Table1[[#This Row],[Net Gain]]/Table1[[#This Row],[Ask Rate]]</f>
        <v>4.3971702541406782E-2</v>
      </c>
      <c r="AE362" s="3">
        <f ca="1">IF(Table1[[#This Row],[Ask Qty]]=0,0,Table1[[#This Row],[Gross Yield]]*365/Table1[[#This Row],[Days Left]])</f>
        <v>7.984911158016654E-2</v>
      </c>
      <c r="AF362" s="9">
        <f ca="1">+Table1[[#This Row],[Net Gain]]*Table1[[#This Row],[Ask Qty]]</f>
        <v>699.46666666666601</v>
      </c>
      <c r="AG362" t="str">
        <f ca="1">IF(Table1[[#This Row],[YTM]]&gt;0.12,IF(Table1[[#This Row],[Gross Profit]]&gt;10000,"Invest","Review"),"Low YTM")</f>
        <v>Low YTM</v>
      </c>
    </row>
    <row r="363" spans="1:33" x14ac:dyDescent="0.3">
      <c r="A363" t="str">
        <f>RTD("nest.scriprtd",,"bse_cm|1025JFCS28","Symbol")</f>
        <v>1025JFCS28</v>
      </c>
      <c r="B363" t="str">
        <f>RTD("nest.scriprtd",,"bse_cm|1025JFCS28","Trading Symbol")</f>
        <v>1025JFCS28</v>
      </c>
      <c r="C363" t="str">
        <f>RTD("nest.scriprtd",,"bse_cm|1025JFCS28","Exchange")</f>
        <v>BSE</v>
      </c>
      <c r="D363">
        <f>RTD("nest.scriprtd",,"bse_cm|1025JFCS28","Bid Qty")</f>
        <v>100</v>
      </c>
      <c r="E363">
        <f>RTD("nest.scriprtd",,"bse_cm|1025JFCS28","Bid Rate")</f>
        <v>1070</v>
      </c>
      <c r="F363">
        <f>RTD("nest.scriprtd",,"bse_cm|1025JFCS28","Ask Rate")</f>
        <v>1136</v>
      </c>
      <c r="G363">
        <f>RTD("nest.scriprtd",,"bse_cm|1025JFCS28","Ask Qty")</f>
        <v>390</v>
      </c>
      <c r="H363">
        <f>RTD("nest.scriprtd",,"bse_cm|1025JFCS28","LTP")</f>
        <v>0</v>
      </c>
      <c r="I363" t="str">
        <f>RTD("nest.scriprtd",,"bse_cm|1025JFCS28","LTT")</f>
        <v>00:00:00</v>
      </c>
      <c r="J363">
        <f>RTD("nest.scriprtd",,"bse_cm|1025JFCS28","% Change")</f>
        <v>-100</v>
      </c>
      <c r="K363">
        <f>RTD("nest.scriprtd",,"bse_cm|1025JFCS28","ATP")</f>
        <v>0</v>
      </c>
      <c r="L363">
        <f>RTD("nest.scriprtd",,"bse_cm|1025JFCS28","Volume Traded Today")</f>
        <v>0</v>
      </c>
      <c r="M363">
        <f>RTD("nest.scriprtd",,"bse_cm|1025JFCS28","Open")</f>
        <v>0</v>
      </c>
      <c r="N363">
        <f>RTD("nest.scriprtd",,"bse_cm|1025JFCS28","High")</f>
        <v>1085</v>
      </c>
      <c r="O363">
        <f>RTD("nest.scriprtd",,"bse_cm|1025JFCS28","Low ")</f>
        <v>1085</v>
      </c>
      <c r="P363">
        <f>RTD("nest.scriprtd",,"bse_cm|1025JFCS28","Prev Close")</f>
        <v>1085</v>
      </c>
      <c r="Q363">
        <f>RTD("nest.scriprtd",,"bse_cm|1025JFCS28","Face Value")</f>
        <v>1000</v>
      </c>
      <c r="R363" t="str">
        <f>RTD("nest.scriprtd",,"bse_cm|1025JFCS28","Isin code")</f>
        <v>INE651J07689</v>
      </c>
      <c r="S363" s="9">
        <f>Table1[[#This Row],[Ask Rate]]*Table1[[#This Row],[Ask Qty]]</f>
        <v>443040</v>
      </c>
      <c r="T363">
        <f>VLOOKUP(Table1[[#This Row],[Isin code]],Table2[#All],7,FALSE)</f>
        <v>10.25</v>
      </c>
      <c r="U363" s="17" t="str">
        <f>VLOOKUP(Table1[[#This Row],[Isin code]],Table2[#All],8,FALSE)</f>
        <v>13-Dec-2028</v>
      </c>
      <c r="V363" s="10">
        <f ca="1">Table1[[#This Row],[Maturity]]-TODAY()</f>
        <v>1519</v>
      </c>
      <c r="W363" t="str">
        <f>VLOOKUP(Table1[[#This Row],[Isin code]],Table2[#All],10,FALSE)</f>
        <v>Yearly</v>
      </c>
      <c r="X363">
        <f ca="1">_xlfn.DAYS(Table1[[#This Row],[Maturity]],TODAY())-15</f>
        <v>1504</v>
      </c>
      <c r="Y3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63">
        <f>IF(Table1[[#This Row],[Ask Rate]]=0,0,Table1[[#This Row],[Face Value]]-Table1[[#This Row],[Ask Rate]])</f>
        <v>-136</v>
      </c>
      <c r="AA363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363">
        <f ca="1">Table1[[#This Row],[Face Value]]*Table1[[#This Row],[Rate]]*Table1[[#This Row],[Time]]</f>
        <v>512.5</v>
      </c>
      <c r="AC363">
        <f ca="1">Table1[[#This Row],[SI]]+Table1[[#This Row],[Disc/Prem]]</f>
        <v>376.5</v>
      </c>
      <c r="AD363" s="3">
        <f ca="1">Table1[[#This Row],[Net Gain]]/Table1[[#This Row],[Ask Rate]]</f>
        <v>0.33142605633802819</v>
      </c>
      <c r="AE363" s="3">
        <f ca="1">IF(Table1[[#This Row],[Ask Qty]]=0,0,Table1[[#This Row],[Gross Yield]]*365/Table1[[#This Row],[Days Left]])</f>
        <v>7.9638255802093674E-2</v>
      </c>
      <c r="AF363" s="9">
        <f ca="1">+Table1[[#This Row],[Net Gain]]*Table1[[#This Row],[Ask Qty]]</f>
        <v>146835</v>
      </c>
      <c r="AG363" t="str">
        <f ca="1">IF(Table1[[#This Row],[YTM]]&gt;0.12,IF(Table1[[#This Row],[Gross Profit]]&gt;10000,"Invest","Review"),"Low YTM")</f>
        <v>Low YTM</v>
      </c>
    </row>
    <row r="364" spans="1:33" x14ac:dyDescent="0.3">
      <c r="A364" t="str">
        <f>RTD("nest.scriprtd",,"bse_cm|1090NFL26","Symbol")</f>
        <v>1090NFL26</v>
      </c>
      <c r="B364" t="str">
        <f>RTD("nest.scriprtd",,"bse_cm|1090NFL26","Trading Symbol")</f>
        <v>1090NFL26</v>
      </c>
      <c r="C364" t="str">
        <f>RTD("nest.scriprtd",,"bse_cm|1090NFL26","Exchange")</f>
        <v>BSE</v>
      </c>
      <c r="D364">
        <f>RTD("nest.scriprtd",,"bse_cm|1090NFL26","Bid Qty")</f>
        <v>300</v>
      </c>
      <c r="E364">
        <f>RTD("nest.scriprtd",,"bse_cm|1090NFL26","Bid Rate")</f>
        <v>1055</v>
      </c>
      <c r="F364">
        <f>RTD("nest.scriprtd",,"bse_cm|1090NFL26","Ask Rate")</f>
        <v>1061.73</v>
      </c>
      <c r="G364">
        <f>RTD("nest.scriprtd",,"bse_cm|1090NFL26","Ask Qty")</f>
        <v>100</v>
      </c>
      <c r="H364">
        <f>RTD("nest.scriprtd",,"bse_cm|1090NFL26","LTP")</f>
        <v>0</v>
      </c>
      <c r="I364" t="str">
        <f>RTD("nest.scriprtd",,"bse_cm|1090NFL26","LTT")</f>
        <v>00:00:00</v>
      </c>
      <c r="J364">
        <f>RTD("nest.scriprtd",,"bse_cm|1090NFL26","% Change")</f>
        <v>-100</v>
      </c>
      <c r="K364">
        <f>RTD("nest.scriprtd",,"bse_cm|1090NFL26","ATP")</f>
        <v>0</v>
      </c>
      <c r="L364">
        <f>RTD("nest.scriprtd",,"bse_cm|1090NFL26","Volume Traded Today")</f>
        <v>0</v>
      </c>
      <c r="M364">
        <f>RTD("nest.scriprtd",,"bse_cm|1090NFL26","Open")</f>
        <v>0</v>
      </c>
      <c r="N364">
        <f>RTD("nest.scriprtd",,"bse_cm|1090NFL26","High")</f>
        <v>1045.8399999999999</v>
      </c>
      <c r="O364">
        <f>RTD("nest.scriprtd",,"bse_cm|1090NFL26","Low ")</f>
        <v>1045.8399999999999</v>
      </c>
      <c r="P364">
        <f>RTD("nest.scriprtd",,"bse_cm|1090NFL26","Prev Close")</f>
        <v>1045.8399999999999</v>
      </c>
      <c r="Q364">
        <f>RTD("nest.scriprtd",,"bse_cm|1090NFL26","Face Value")</f>
        <v>1000</v>
      </c>
      <c r="R364" t="str">
        <f>RTD("nest.scriprtd",,"bse_cm|1090NFL26","Isin code")</f>
        <v>INE342T07452</v>
      </c>
      <c r="S364" s="9">
        <f>Table1[[#This Row],[Ask Rate]]*Table1[[#This Row],[Ask Qty]]</f>
        <v>106173</v>
      </c>
      <c r="T364">
        <f>VLOOKUP(Table1[[#This Row],[Isin code]],Table2[#All],7,FALSE)</f>
        <v>10.9</v>
      </c>
      <c r="U364" s="17" t="str">
        <f>VLOOKUP(Table1[[#This Row],[Isin code]],Table2[#All],8,FALSE)</f>
        <v>13-Jun-2026</v>
      </c>
      <c r="V364" s="10">
        <f ca="1">Table1[[#This Row],[Maturity]]-TODAY()</f>
        <v>605</v>
      </c>
      <c r="W364" t="str">
        <f>VLOOKUP(Table1[[#This Row],[Isin code]],Table2[#All],10,FALSE)</f>
        <v>Yearly</v>
      </c>
      <c r="X364">
        <f ca="1">_xlfn.DAYS(Table1[[#This Row],[Maturity]],TODAY())-15</f>
        <v>590</v>
      </c>
      <c r="Y3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64">
        <f>IF(Table1[[#This Row],[Ask Rate]]=0,0,Table1[[#This Row],[Face Value]]-Table1[[#This Row],[Ask Rate]])</f>
        <v>-61.730000000000018</v>
      </c>
      <c r="AA364">
        <f>IF(Table1[[#This Row],[Freq]]="Yearly",Table1[[#This Row],[Coupon_Rate]]/100,IF(Table1[[#This Row],[Freq]]="Monthly",Table1[[#This Row],[Coupon_Rate]]/1200,IF(Table1[[#This Row],[Freq]]="Quarterly",Table1[[#This Row],[Coupon_Rate]]/400,0)))</f>
        <v>0.109</v>
      </c>
      <c r="AB364">
        <f ca="1">Table1[[#This Row],[Face Value]]*Table1[[#This Row],[Rate]]*Table1[[#This Row],[Time]]</f>
        <v>218</v>
      </c>
      <c r="AC364">
        <f ca="1">Table1[[#This Row],[SI]]+Table1[[#This Row],[Disc/Prem]]</f>
        <v>156.26999999999998</v>
      </c>
      <c r="AD364" s="3">
        <f ca="1">Table1[[#This Row],[Net Gain]]/Table1[[#This Row],[Ask Rate]]</f>
        <v>0.14718431239580682</v>
      </c>
      <c r="AE364" s="3">
        <f ca="1">IF(Table1[[#This Row],[Ask Qty]]=0,0,Table1[[#This Row],[Gross Yield]]*365/Table1[[#This Row],[Days Left]])</f>
        <v>8.8797147147883448E-2</v>
      </c>
      <c r="AF364" s="9">
        <f ca="1">+Table1[[#This Row],[Net Gain]]*Table1[[#This Row],[Ask Qty]]</f>
        <v>15626.999999999998</v>
      </c>
      <c r="AG364" t="str">
        <f ca="1">IF(Table1[[#This Row],[YTM]]&gt;0.12,IF(Table1[[#This Row],[Gross Profit]]&gt;10000,"Invest","Review"),"Low YTM")</f>
        <v>Low YTM</v>
      </c>
    </row>
    <row r="365" spans="1:33" x14ac:dyDescent="0.3">
      <c r="A365" t="str">
        <f>RTD("nest.scriprtd",,"nse_cm|85LTF26-NM","Symbol")</f>
        <v>85LTF26</v>
      </c>
      <c r="B365" t="str">
        <f>RTD("nest.scriprtd",,"nse_cm|85LTF26-NM","Trading Symbol")</f>
        <v>85LTF26-NM</v>
      </c>
      <c r="C365" t="str">
        <f>RTD("nest.scriprtd",,"nse_cm|85LTF26-NM","Exchange")</f>
        <v>NSE</v>
      </c>
      <c r="D365">
        <f>RTD("nest.scriprtd",,"nse_cm|85LTF26-NM","Bid Qty")</f>
        <v>100</v>
      </c>
      <c r="E365">
        <f>RTD("nest.scriprtd",,"nse_cm|85LTF26-NM","Bid Rate")</f>
        <v>1061.02</v>
      </c>
      <c r="F365">
        <f>RTD("nest.scriprtd",,"nse_cm|85LTF26-NM","Ask Rate")</f>
        <v>1069</v>
      </c>
      <c r="G365">
        <f>RTD("nest.scriprtd",,"nse_cm|85LTF26-NM","Ask Qty")</f>
        <v>1</v>
      </c>
      <c r="H365">
        <f>RTD("nest.scriprtd",,"nse_cm|85LTF26-NM","LTP")</f>
        <v>1067.99</v>
      </c>
      <c r="I365" t="str">
        <f>RTD("nest.scriprtd",,"nse_cm|85LTF26-NM","LTT")</f>
        <v/>
      </c>
      <c r="J365">
        <f>RTD("nest.scriprtd",,"nse_cm|85LTF26-NM","% Change")</f>
        <v>0</v>
      </c>
      <c r="K365">
        <f>RTD("nest.scriprtd",,"nse_cm|85LTF26-NM","ATP")</f>
        <v>0</v>
      </c>
      <c r="L365">
        <f>RTD("nest.scriprtd",,"nse_cm|85LTF26-NM","Volume Traded Today")</f>
        <v>0</v>
      </c>
      <c r="M365">
        <f>RTD("nest.scriprtd",,"nse_cm|85LTF26-NM","Open")</f>
        <v>0</v>
      </c>
      <c r="N365">
        <f>RTD("nest.scriprtd",,"nse_cm|85LTF26-NM","High")</f>
        <v>1068</v>
      </c>
      <c r="O365">
        <f>RTD("nest.scriprtd",,"nse_cm|85LTF26-NM","Low ")</f>
        <v>1067.99</v>
      </c>
      <c r="P365">
        <f>RTD("nest.scriprtd",,"nse_cm|85LTF26-NM","Prev Close")</f>
        <v>1067.99</v>
      </c>
      <c r="Q365">
        <f>RTD("nest.scriprtd",,"nse_cm|85LTF26-NM","Face Value")</f>
        <v>1000</v>
      </c>
      <c r="R365" t="str">
        <f>RTD("nest.scriprtd",,"nse_cm|85LTF26-NM","Isin code")</f>
        <v>INE027E07BB0</v>
      </c>
      <c r="S365" s="9">
        <f>Table1[[#This Row],[Ask Rate]]*Table1[[#This Row],[Ask Qty]]</f>
        <v>1069</v>
      </c>
      <c r="T365">
        <f>VLOOKUP(Table1[[#This Row],[Isin code]],Table2[#All],7,FALSE)</f>
        <v>8.5</v>
      </c>
      <c r="U365" s="17" t="str">
        <f>VLOOKUP(Table1[[#This Row],[Isin code]],Table2[#All],8,FALSE)</f>
        <v>23-Dec-2026</v>
      </c>
      <c r="V365" s="10">
        <f ca="1">Table1[[#This Row],[Maturity]]-TODAY()</f>
        <v>798</v>
      </c>
      <c r="W365" t="str">
        <f>VLOOKUP(Table1[[#This Row],[Isin code]],Table2[#All],10,FALSE)</f>
        <v>Yearly</v>
      </c>
      <c r="X365">
        <f ca="1">_xlfn.DAYS(Table1[[#This Row],[Maturity]],TODAY())-15</f>
        <v>783</v>
      </c>
      <c r="Y3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65">
        <f>IF(Table1[[#This Row],[Ask Rate]]=0,0,Table1[[#This Row],[Face Value]]-Table1[[#This Row],[Ask Rate]])</f>
        <v>-69</v>
      </c>
      <c r="AA365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365">
        <f ca="1">Table1[[#This Row],[Face Value]]*Table1[[#This Row],[Rate]]*Table1[[#This Row],[Time]]</f>
        <v>255</v>
      </c>
      <c r="AC365">
        <f ca="1">Table1[[#This Row],[SI]]+Table1[[#This Row],[Disc/Prem]]</f>
        <v>186</v>
      </c>
      <c r="AD365" s="3">
        <f ca="1">Table1[[#This Row],[Net Gain]]/Table1[[#This Row],[Ask Rate]]</f>
        <v>0.17399438727782976</v>
      </c>
      <c r="AE365" s="3">
        <f ca="1">IF(Table1[[#This Row],[Ask Qty]]=0,0,Table1[[#This Row],[Gross Yield]]*365/Table1[[#This Row],[Days Left]])</f>
        <v>7.9583898942866993E-2</v>
      </c>
      <c r="AF365" s="9">
        <f ca="1">+Table1[[#This Row],[Net Gain]]*Table1[[#This Row],[Ask Qty]]</f>
        <v>186</v>
      </c>
      <c r="AG365" t="str">
        <f ca="1">IF(Table1[[#This Row],[YTM]]&gt;0.12,IF(Table1[[#This Row],[Gross Profit]]&gt;10000,"Invest","Review"),"Low YTM")</f>
        <v>Low YTM</v>
      </c>
    </row>
    <row r="366" spans="1:33" x14ac:dyDescent="0.3">
      <c r="A366" t="str">
        <f>RTD("nest.scriprtd",,"bse_cm|8MFLTD28","Symbol")</f>
        <v>8MFLTD28</v>
      </c>
      <c r="B366" t="str">
        <f>RTD("nest.scriprtd",,"bse_cm|8MFLTD28","Trading Symbol")</f>
        <v>8MFLTD28</v>
      </c>
      <c r="C366" t="str">
        <f>RTD("nest.scriprtd",,"bse_cm|8MFLTD28","Exchange")</f>
        <v>BSE</v>
      </c>
      <c r="D366">
        <f>RTD("nest.scriprtd",,"bse_cm|8MFLTD28","Bid Qty")</f>
        <v>400</v>
      </c>
      <c r="E366">
        <f>RTD("nest.scriprtd",,"bse_cm|8MFLTD28","Bid Rate")</f>
        <v>920</v>
      </c>
      <c r="F366">
        <f>RTD("nest.scriprtd",,"bse_cm|8MFLTD28","Ask Rate")</f>
        <v>1005</v>
      </c>
      <c r="G366">
        <f>RTD("nest.scriprtd",,"bse_cm|8MFLTD28","Ask Qty")</f>
        <v>200</v>
      </c>
      <c r="H366">
        <f>RTD("nest.scriprtd",,"bse_cm|8MFLTD28","LTP")</f>
        <v>0</v>
      </c>
      <c r="I366" t="str">
        <f>RTD("nest.scriprtd",,"bse_cm|8MFLTD28","LTT")</f>
        <v>00:00:00</v>
      </c>
      <c r="J366">
        <f>RTD("nest.scriprtd",,"bse_cm|8MFLTD28","% Change")</f>
        <v>-100</v>
      </c>
      <c r="K366">
        <f>RTD("nest.scriprtd",,"bse_cm|8MFLTD28","ATP")</f>
        <v>0</v>
      </c>
      <c r="L366">
        <f>RTD("nest.scriprtd",,"bse_cm|8MFLTD28","Volume Traded Today")</f>
        <v>0</v>
      </c>
      <c r="M366">
        <f>RTD("nest.scriprtd",,"bse_cm|8MFLTD28","Open")</f>
        <v>0</v>
      </c>
      <c r="N366">
        <f>RTD("nest.scriprtd",,"bse_cm|8MFLTD28","High")</f>
        <v>990</v>
      </c>
      <c r="O366">
        <f>RTD("nest.scriprtd",,"bse_cm|8MFLTD28","Low ")</f>
        <v>990</v>
      </c>
      <c r="P366">
        <f>RTD("nest.scriprtd",,"bse_cm|8MFLTD28","Prev Close")</f>
        <v>990</v>
      </c>
      <c r="Q366">
        <f>RTD("nest.scriprtd",,"bse_cm|8MFLTD28","Face Value")</f>
        <v>1000</v>
      </c>
      <c r="R366" t="str">
        <f>RTD("nest.scriprtd",,"bse_cm|8MFLTD28","Isin code")</f>
        <v>INE414G07IO3</v>
      </c>
      <c r="S366" s="9">
        <f>Table1[[#This Row],[Ask Rate]]*Table1[[#This Row],[Ask Qty]]</f>
        <v>201000</v>
      </c>
      <c r="T366">
        <f>VLOOKUP(Table1[[#This Row],[Isin code]],Table2[#All],7,FALSE)</f>
        <v>8</v>
      </c>
      <c r="U366" s="17" t="str">
        <f>VLOOKUP(Table1[[#This Row],[Isin code]],Table2[#All],8,FALSE)</f>
        <v>04-Oct-2028</v>
      </c>
      <c r="V366" s="10">
        <f ca="1">Table1[[#This Row],[Maturity]]-TODAY()</f>
        <v>1449</v>
      </c>
      <c r="W366" t="str">
        <f>VLOOKUP(Table1[[#This Row],[Isin code]],Table2[#All],10,FALSE)</f>
        <v>Yearly</v>
      </c>
      <c r="X366">
        <f ca="1">_xlfn.DAYS(Table1[[#This Row],[Maturity]],TODAY())-15</f>
        <v>1434</v>
      </c>
      <c r="Y3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366">
        <f>IF(Table1[[#This Row],[Ask Rate]]=0,0,Table1[[#This Row],[Face Value]]-Table1[[#This Row],[Ask Rate]])</f>
        <v>-5</v>
      </c>
      <c r="AA366">
        <f>IF(Table1[[#This Row],[Freq]]="Yearly",Table1[[#This Row],[Coupon_Rate]]/100,IF(Table1[[#This Row],[Freq]]="Monthly",Table1[[#This Row],[Coupon_Rate]]/1200,IF(Table1[[#This Row],[Freq]]="Quarterly",Table1[[#This Row],[Coupon_Rate]]/400,0)))</f>
        <v>0.08</v>
      </c>
      <c r="AB366">
        <f ca="1">Table1[[#This Row],[Face Value]]*Table1[[#This Row],[Rate]]*Table1[[#This Row],[Time]]</f>
        <v>320</v>
      </c>
      <c r="AC366">
        <f ca="1">Table1[[#This Row],[SI]]+Table1[[#This Row],[Disc/Prem]]</f>
        <v>315</v>
      </c>
      <c r="AD366" s="3">
        <f ca="1">Table1[[#This Row],[Net Gain]]/Table1[[#This Row],[Ask Rate]]</f>
        <v>0.31343283582089554</v>
      </c>
      <c r="AE366" s="3">
        <f ca="1">IF(Table1[[#This Row],[Ask Qty]]=0,0,Table1[[#This Row],[Gross Yield]]*365/Table1[[#This Row],[Days Left]])</f>
        <v>7.8953060783041318E-2</v>
      </c>
      <c r="AF366" s="9">
        <f ca="1">+Table1[[#This Row],[Net Gain]]*Table1[[#This Row],[Ask Qty]]</f>
        <v>63000</v>
      </c>
      <c r="AG366" t="str">
        <f ca="1">IF(Table1[[#This Row],[YTM]]&gt;0.12,IF(Table1[[#This Row],[Gross Profit]]&gt;10000,"Invest","Review"),"Low YTM")</f>
        <v>Low YTM</v>
      </c>
    </row>
    <row r="367" spans="1:33" x14ac:dyDescent="0.3">
      <c r="A367" t="str">
        <f>RTD("nest.scriprtd",,"bse_cm|729IRFC26","Symbol")</f>
        <v>729IRFC26</v>
      </c>
      <c r="B367" t="str">
        <f>RTD("nest.scriprtd",,"bse_cm|729IRFC26","Trading Symbol")</f>
        <v>729IRFC26</v>
      </c>
      <c r="C367" t="str">
        <f>RTD("nest.scriprtd",,"bse_cm|729IRFC26","Exchange")</f>
        <v>BSE</v>
      </c>
      <c r="D367">
        <f>RTD("nest.scriprtd",,"bse_cm|729IRFC26","Bid Qty")</f>
        <v>8</v>
      </c>
      <c r="E367">
        <f>RTD("nest.scriprtd",,"bse_cm|729IRFC26","Bid Rate")</f>
        <v>1014.5</v>
      </c>
      <c r="F367">
        <f>RTD("nest.scriprtd",,"bse_cm|729IRFC26","Ask Rate")</f>
        <v>1029.78</v>
      </c>
      <c r="G367">
        <f>RTD("nest.scriprtd",,"bse_cm|729IRFC26","Ask Qty")</f>
        <v>200</v>
      </c>
      <c r="H367">
        <f>RTD("nest.scriprtd",,"bse_cm|729IRFC26","LTP")</f>
        <v>0</v>
      </c>
      <c r="I367" t="str">
        <f>RTD("nest.scriprtd",,"bse_cm|729IRFC26","LTT")</f>
        <v>00:00:00</v>
      </c>
      <c r="J367">
        <f>RTD("nest.scriprtd",,"bse_cm|729IRFC26","% Change")</f>
        <v>-100</v>
      </c>
      <c r="K367">
        <f>RTD("nest.scriprtd",,"bse_cm|729IRFC26","ATP")</f>
        <v>0</v>
      </c>
      <c r="L367">
        <f>RTD("nest.scriprtd",,"bse_cm|729IRFC26","Volume Traded Today")</f>
        <v>0</v>
      </c>
      <c r="M367">
        <f>RTD("nest.scriprtd",,"bse_cm|729IRFC26","Open")</f>
        <v>0</v>
      </c>
      <c r="N367">
        <f>RTD("nest.scriprtd",,"bse_cm|729IRFC26","High")</f>
        <v>1014.5</v>
      </c>
      <c r="O367">
        <f>RTD("nest.scriprtd",,"bse_cm|729IRFC26","Low ")</f>
        <v>1014.01</v>
      </c>
      <c r="P367">
        <f>RTD("nest.scriprtd",,"bse_cm|729IRFC26","Prev Close")</f>
        <v>1014.01</v>
      </c>
      <c r="Q367">
        <f>RTD("nest.scriprtd",,"bse_cm|729IRFC26","Face Value")</f>
        <v>1000</v>
      </c>
      <c r="R367" t="str">
        <f>RTD("nest.scriprtd",,"bse_cm|729IRFC26","Isin code")</f>
        <v>INE053F07892</v>
      </c>
      <c r="S367" s="9">
        <f>Table1[[#This Row],[Ask Rate]]*Table1[[#This Row],[Ask Qty]]</f>
        <v>205956</v>
      </c>
      <c r="T367">
        <f>VLOOKUP(Table1[[#This Row],[Isin code]],Table2[#All],7,FALSE)</f>
        <v>7.29</v>
      </c>
      <c r="U367" s="17" t="str">
        <f>VLOOKUP(Table1[[#This Row],[Isin code]],Table2[#All],8,FALSE)</f>
        <v>22-Mar-2026</v>
      </c>
      <c r="V367" s="10">
        <f ca="1">Table1[[#This Row],[Maturity]]-TODAY()</f>
        <v>522</v>
      </c>
      <c r="W367" t="str">
        <f>VLOOKUP(Table1[[#This Row],[Isin code]],Table2[#All],10,FALSE)</f>
        <v>Yearly</v>
      </c>
      <c r="X367">
        <f ca="1">_xlfn.DAYS(Table1[[#This Row],[Maturity]],TODAY())-15</f>
        <v>507</v>
      </c>
      <c r="Y3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67">
        <f>IF(Table1[[#This Row],[Ask Rate]]=0,0,Table1[[#This Row],[Face Value]]-Table1[[#This Row],[Ask Rate]])</f>
        <v>-29.779999999999973</v>
      </c>
      <c r="AA367">
        <f>IF(Table1[[#This Row],[Freq]]="Yearly",Table1[[#This Row],[Coupon_Rate]]/100,IF(Table1[[#This Row],[Freq]]="Monthly",Table1[[#This Row],[Coupon_Rate]]/1200,IF(Table1[[#This Row],[Freq]]="Quarterly",Table1[[#This Row],[Coupon_Rate]]/400,0)))</f>
        <v>7.2900000000000006E-2</v>
      </c>
      <c r="AB367">
        <f ca="1">Table1[[#This Row],[Face Value]]*Table1[[#This Row],[Rate]]*Table1[[#This Row],[Time]]</f>
        <v>145.80000000000001</v>
      </c>
      <c r="AC367">
        <f ca="1">Table1[[#This Row],[SI]]+Table1[[#This Row],[Disc/Prem]]</f>
        <v>116.02000000000004</v>
      </c>
      <c r="AD367" s="3">
        <f ca="1">Table1[[#This Row],[Net Gain]]/Table1[[#This Row],[Ask Rate]]</f>
        <v>0.1126648410340073</v>
      </c>
      <c r="AE367" s="3">
        <f ca="1">IF(Table1[[#This Row],[Ask Qty]]=0,0,Table1[[#This Row],[Gross Yield]]*365/Table1[[#This Row],[Days Left]])</f>
        <v>7.8779055512284799E-2</v>
      </c>
      <c r="AF367" s="9">
        <f ca="1">+Table1[[#This Row],[Net Gain]]*Table1[[#This Row],[Ask Qty]]</f>
        <v>23204.000000000007</v>
      </c>
      <c r="AG367" t="str">
        <f ca="1">IF(Table1[[#This Row],[YTM]]&gt;0.12,IF(Table1[[#This Row],[Gross Profit]]&gt;10000,"Invest","Review"),"Low YTM")</f>
        <v>Low YTM</v>
      </c>
    </row>
    <row r="368" spans="1:33" x14ac:dyDescent="0.3">
      <c r="A368" t="str">
        <f>RTD("nest.scriprtd",,"bse_cm|935PEL33","Symbol")</f>
        <v>935PEL33</v>
      </c>
      <c r="B368" t="str">
        <f>RTD("nest.scriprtd",,"bse_cm|935PEL33","Trading Symbol")</f>
        <v>935PEL33</v>
      </c>
      <c r="C368" t="str">
        <f>RTD("nest.scriprtd",,"bse_cm|935PEL33","Exchange")</f>
        <v>BSE</v>
      </c>
      <c r="D368">
        <f>RTD("nest.scriprtd",,"bse_cm|935PEL33","Bid Qty")</f>
        <v>9</v>
      </c>
      <c r="E368">
        <f>RTD("nest.scriprtd",,"bse_cm|935PEL33","Bid Rate")</f>
        <v>1075</v>
      </c>
      <c r="F368">
        <f>RTD("nest.scriprtd",,"bse_cm|935PEL33","Ask Rate")</f>
        <v>1130</v>
      </c>
      <c r="G368">
        <f>RTD("nest.scriprtd",,"bse_cm|935PEL33","Ask Qty")</f>
        <v>1</v>
      </c>
      <c r="H368">
        <f>RTD("nest.scriprtd",,"bse_cm|935PEL33","LTP")</f>
        <v>0</v>
      </c>
      <c r="I368" t="str">
        <f>RTD("nest.scriprtd",,"bse_cm|935PEL33","LTT")</f>
        <v>00:00:00</v>
      </c>
      <c r="J368">
        <f>RTD("nest.scriprtd",,"bse_cm|935PEL33","% Change")</f>
        <v>-100</v>
      </c>
      <c r="K368">
        <f>RTD("nest.scriprtd",,"bse_cm|935PEL33","ATP")</f>
        <v>0</v>
      </c>
      <c r="L368">
        <f>RTD("nest.scriprtd",,"bse_cm|935PEL33","Volume Traded Today")</f>
        <v>0</v>
      </c>
      <c r="M368">
        <f>RTD("nest.scriprtd",,"bse_cm|935PEL33","Open")</f>
        <v>0</v>
      </c>
      <c r="N368">
        <f>RTD("nest.scriprtd",,"bse_cm|935PEL33","High")</f>
        <v>1128</v>
      </c>
      <c r="O368">
        <f>RTD("nest.scriprtd",,"bse_cm|935PEL33","Low ")</f>
        <v>1128</v>
      </c>
      <c r="P368">
        <f>RTD("nest.scriprtd",,"bse_cm|935PEL33","Prev Close")</f>
        <v>1128</v>
      </c>
      <c r="Q368">
        <f>RTD("nest.scriprtd",,"bse_cm|935PEL33","Face Value")</f>
        <v>1000</v>
      </c>
      <c r="R368" t="str">
        <f>RTD("nest.scriprtd",,"bse_cm|935PEL33","Isin code")</f>
        <v>INE140A07773</v>
      </c>
      <c r="S368" s="9">
        <f>Table1[[#This Row],[Ask Rate]]*Table1[[#This Row],[Ask Qty]]</f>
        <v>1130</v>
      </c>
      <c r="T368">
        <f>VLOOKUP(Table1[[#This Row],[Isin code]],Table2[#All],7,FALSE)</f>
        <v>9.35</v>
      </c>
      <c r="U368" s="17" t="str">
        <f>VLOOKUP(Table1[[#This Row],[Isin code]],Table2[#All],8,FALSE)</f>
        <v>03-Nov-2033</v>
      </c>
      <c r="V368" s="10">
        <f ca="1">Table1[[#This Row],[Maturity]]-TODAY()</f>
        <v>3305</v>
      </c>
      <c r="W368" t="str">
        <f>VLOOKUP(Table1[[#This Row],[Isin code]],Table2[#All],10,FALSE)</f>
        <v>Yearly</v>
      </c>
      <c r="X368">
        <f ca="1">_xlfn.DAYS(Table1[[#This Row],[Maturity]],TODAY())-15</f>
        <v>3290</v>
      </c>
      <c r="Y3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368">
        <f>IF(Table1[[#This Row],[Ask Rate]]=0,0,Table1[[#This Row],[Face Value]]-Table1[[#This Row],[Ask Rate]])</f>
        <v>-130</v>
      </c>
      <c r="AA368">
        <f>IF(Table1[[#This Row],[Freq]]="Yearly",Table1[[#This Row],[Coupon_Rate]]/100,IF(Table1[[#This Row],[Freq]]="Monthly",Table1[[#This Row],[Coupon_Rate]]/1200,IF(Table1[[#This Row],[Freq]]="Quarterly",Table1[[#This Row],[Coupon_Rate]]/400,0)))</f>
        <v>9.35E-2</v>
      </c>
      <c r="AB368">
        <f ca="1">Table1[[#This Row],[Face Value]]*Table1[[#This Row],[Rate]]*Table1[[#This Row],[Time]]</f>
        <v>935</v>
      </c>
      <c r="AC368">
        <f ca="1">Table1[[#This Row],[SI]]+Table1[[#This Row],[Disc/Prem]]</f>
        <v>805</v>
      </c>
      <c r="AD368" s="3">
        <f ca="1">Table1[[#This Row],[Net Gain]]/Table1[[#This Row],[Ask Rate]]</f>
        <v>0.71238938053097345</v>
      </c>
      <c r="AE368" s="3">
        <f ca="1">IF(Table1[[#This Row],[Ask Qty]]=0,0,Table1[[#This Row],[Gross Yield]]*365/Table1[[#This Row],[Days Left]])</f>
        <v>7.8675377880122632E-2</v>
      </c>
      <c r="AF368" s="9">
        <f ca="1">+Table1[[#This Row],[Net Gain]]*Table1[[#This Row],[Ask Qty]]</f>
        <v>805</v>
      </c>
      <c r="AG368" t="str">
        <f ca="1">IF(Table1[[#This Row],[YTM]]&gt;0.12,IF(Table1[[#This Row],[Gross Profit]]&gt;10000,"Invest","Review"),"Low YTM")</f>
        <v>Low YTM</v>
      </c>
    </row>
    <row r="369" spans="1:33" x14ac:dyDescent="0.3">
      <c r="A369" t="str">
        <f>RTD("nest.scriprtd",,"bse_cm|58PFCL26","Symbol")</f>
        <v>58PFCL26</v>
      </c>
      <c r="B369" t="str">
        <f>RTD("nest.scriprtd",,"bse_cm|58PFCL26","Trading Symbol")</f>
        <v>58PFCL26</v>
      </c>
      <c r="C369" t="str">
        <f>RTD("nest.scriprtd",,"bse_cm|58PFCL26","Exchange")</f>
        <v>BSE</v>
      </c>
      <c r="D369">
        <f>RTD("nest.scriprtd",,"bse_cm|58PFCL26","Bid Qty")</f>
        <v>99</v>
      </c>
      <c r="E369">
        <f>RTD("nest.scriprtd",,"bse_cm|58PFCL26","Bid Rate")</f>
        <v>1000.21</v>
      </c>
      <c r="F369">
        <f>RTD("nest.scriprtd",,"bse_cm|58PFCL26","Ask Rate")</f>
        <v>1014.8</v>
      </c>
      <c r="G369">
        <f>RTD("nest.scriprtd",,"bse_cm|58PFCL26","Ask Qty")</f>
        <v>66</v>
      </c>
      <c r="H369">
        <f>RTD("nest.scriprtd",,"bse_cm|58PFCL26","LTP")</f>
        <v>0</v>
      </c>
      <c r="I369" t="str">
        <f>RTD("nest.scriprtd",,"bse_cm|58PFCL26","LTT")</f>
        <v>00:00:00</v>
      </c>
      <c r="J369">
        <f>RTD("nest.scriprtd",,"bse_cm|58PFCL26","% Change")</f>
        <v>-100</v>
      </c>
      <c r="K369">
        <f>RTD("nest.scriprtd",,"bse_cm|58PFCL26","ATP")</f>
        <v>0</v>
      </c>
      <c r="L369">
        <f>RTD("nest.scriprtd",,"bse_cm|58PFCL26","Volume Traded Today")</f>
        <v>0</v>
      </c>
      <c r="M369">
        <f>RTD("nest.scriprtd",,"bse_cm|58PFCL26","Open")</f>
        <v>0</v>
      </c>
      <c r="N369">
        <f>RTD("nest.scriprtd",,"bse_cm|58PFCL26","High")</f>
        <v>1014.8</v>
      </c>
      <c r="O369">
        <f>RTD("nest.scriprtd",,"bse_cm|58PFCL26","Low ")</f>
        <v>995.8</v>
      </c>
      <c r="P369">
        <f>RTD("nest.scriprtd",,"bse_cm|58PFCL26","Prev Close")</f>
        <v>1014.8</v>
      </c>
      <c r="Q369">
        <f>RTD("nest.scriprtd",,"bse_cm|58PFCL26","Face Value")</f>
        <v>1000</v>
      </c>
      <c r="R369" t="str">
        <f>RTD("nest.scriprtd",,"bse_cm|58PFCL26","Isin code")</f>
        <v>INE134E07AJ9</v>
      </c>
      <c r="S369" s="9">
        <f>Table1[[#This Row],[Ask Rate]]*Table1[[#This Row],[Ask Qty]]</f>
        <v>66976.800000000003</v>
      </c>
      <c r="T369">
        <f>VLOOKUP(Table1[[#This Row],[Isin code]],Table2[#All],7,FALSE)</f>
        <v>5.8000000000000007</v>
      </c>
      <c r="U369" s="17">
        <f>VLOOKUP(Table1[[#This Row],[Isin code]],Table2[#All],8,FALSE)</f>
        <v>46044</v>
      </c>
      <c r="V369" s="10">
        <f ca="1">Table1[[#This Row],[Maturity]]-TODAY()</f>
        <v>463</v>
      </c>
      <c r="W369" t="str">
        <f>VLOOKUP(Table1[[#This Row],[Isin code]],Table2[#All],10,FALSE)</f>
        <v>Yearly</v>
      </c>
      <c r="X369">
        <f ca="1">_xlfn.DAYS(Table1[[#This Row],[Maturity]],TODAY())-15</f>
        <v>448</v>
      </c>
      <c r="Y3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69">
        <f>IF(Table1[[#This Row],[Ask Rate]]=0,0,Table1[[#This Row],[Face Value]]-Table1[[#This Row],[Ask Rate]])</f>
        <v>-14.799999999999955</v>
      </c>
      <c r="AA369">
        <f>IF(Table1[[#This Row],[Freq]]="Yearly",Table1[[#This Row],[Coupon_Rate]]/100,IF(Table1[[#This Row],[Freq]]="Monthly",Table1[[#This Row],[Coupon_Rate]]/1200,IF(Table1[[#This Row],[Freq]]="Quarterly",Table1[[#This Row],[Coupon_Rate]]/400,0)))</f>
        <v>5.800000000000001E-2</v>
      </c>
      <c r="AB369">
        <f ca="1">Table1[[#This Row],[Face Value]]*Table1[[#This Row],[Rate]]*Table1[[#This Row],[Time]]</f>
        <v>116.00000000000001</v>
      </c>
      <c r="AC369">
        <f ca="1">Table1[[#This Row],[SI]]+Table1[[#This Row],[Disc/Prem]]</f>
        <v>101.20000000000006</v>
      </c>
      <c r="AD369" s="3">
        <f ca="1">Table1[[#This Row],[Net Gain]]/Table1[[#This Row],[Ask Rate]]</f>
        <v>9.972408356326376E-2</v>
      </c>
      <c r="AE369" s="3">
        <f ca="1">IF(Table1[[#This Row],[Ask Qty]]=0,0,Table1[[#This Row],[Gross Yield]]*365/Table1[[#This Row],[Days Left]])</f>
        <v>7.8616178187022184E-2</v>
      </c>
      <c r="AF369" s="9">
        <f ca="1">+Table1[[#This Row],[Net Gain]]*Table1[[#This Row],[Ask Qty]]</f>
        <v>6679.2000000000044</v>
      </c>
      <c r="AG369" t="str">
        <f ca="1">IF(Table1[[#This Row],[YTM]]&gt;0.12,IF(Table1[[#This Row],[Gross Profit]]&gt;10000,"Invest","Review"),"Low YTM")</f>
        <v>Low YTM</v>
      </c>
    </row>
    <row r="370" spans="1:33" x14ac:dyDescent="0.3">
      <c r="A370" t="str">
        <f>RTD("nest.scriprtd",,"bse_cm|965AEL27","Symbol")</f>
        <v>965AEL27</v>
      </c>
      <c r="B370" t="str">
        <f>RTD("nest.scriprtd",,"bse_cm|965AEL27","Trading Symbol")</f>
        <v>965AEL27</v>
      </c>
      <c r="C370" t="str">
        <f>RTD("nest.scriprtd",,"bse_cm|965AEL27","Exchange")</f>
        <v>BSE</v>
      </c>
      <c r="D370">
        <f>RTD("nest.scriprtd",,"bse_cm|965AEL27","Bid Qty")</f>
        <v>20</v>
      </c>
      <c r="E370">
        <f>RTD("nest.scriprtd",,"bse_cm|965AEL27","Bid Rate")</f>
        <v>1010</v>
      </c>
      <c r="F370">
        <f>RTD("nest.scriprtd",,"bse_cm|965AEL27","Ask Rate")</f>
        <v>1050</v>
      </c>
      <c r="G370">
        <f>RTD("nest.scriprtd",,"bse_cm|965AEL27","Ask Qty")</f>
        <v>100</v>
      </c>
      <c r="H370">
        <f>RTD("nest.scriprtd",,"bse_cm|965AEL27","LTP")</f>
        <v>0</v>
      </c>
      <c r="I370" t="str">
        <f>RTD("nest.scriprtd",,"bse_cm|965AEL27","LTT")</f>
        <v>00:00:00</v>
      </c>
      <c r="J370">
        <f>RTD("nest.scriprtd",,"bse_cm|965AEL27","% Change")</f>
        <v>-100</v>
      </c>
      <c r="K370">
        <f>RTD("nest.scriprtd",,"bse_cm|965AEL27","ATP")</f>
        <v>0</v>
      </c>
      <c r="L370">
        <f>RTD("nest.scriprtd",,"bse_cm|965AEL27","Volume Traded Today")</f>
        <v>0</v>
      </c>
      <c r="M370">
        <f>RTD("nest.scriprtd",,"bse_cm|965AEL27","Open")</f>
        <v>0</v>
      </c>
      <c r="N370">
        <f>RTD("nest.scriprtd",,"bse_cm|965AEL27","High")</f>
        <v>1008.99</v>
      </c>
      <c r="O370">
        <f>RTD("nest.scriprtd",,"bse_cm|965AEL27","Low ")</f>
        <v>1008.99</v>
      </c>
      <c r="P370">
        <f>RTD("nest.scriprtd",,"bse_cm|965AEL27","Prev Close")</f>
        <v>1008.99</v>
      </c>
      <c r="Q370">
        <f>RTD("nest.scriprtd",,"bse_cm|965AEL27","Face Value")</f>
        <v>1000</v>
      </c>
      <c r="R370" t="str">
        <f>RTD("nest.scriprtd",,"bse_cm|965AEL27","Isin code")</f>
        <v>INE423A07328</v>
      </c>
      <c r="S370" s="9">
        <f>Table1[[#This Row],[Ask Rate]]*Table1[[#This Row],[Ask Qty]]</f>
        <v>105000</v>
      </c>
      <c r="T370">
        <f>VLOOKUP(Table1[[#This Row],[Isin code]],Table2[#All],7,FALSE)</f>
        <v>9.65</v>
      </c>
      <c r="U370" s="17" t="str">
        <f>VLOOKUP(Table1[[#This Row],[Isin code]],Table2[#All],8,FALSE)</f>
        <v>12-Sep-2027</v>
      </c>
      <c r="V370" s="10">
        <f ca="1">Table1[[#This Row],[Maturity]]-TODAY()</f>
        <v>1061</v>
      </c>
      <c r="W370" t="str">
        <f>VLOOKUP(Table1[[#This Row],[Isin code]],Table2[#All],10,FALSE)</f>
        <v>Yearly</v>
      </c>
      <c r="X370">
        <f ca="1">_xlfn.DAYS(Table1[[#This Row],[Maturity]],TODAY())-15</f>
        <v>1046</v>
      </c>
      <c r="Y3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70">
        <f>IF(Table1[[#This Row],[Ask Rate]]=0,0,Table1[[#This Row],[Face Value]]-Table1[[#This Row],[Ask Rate]])</f>
        <v>-50</v>
      </c>
      <c r="AA370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370">
        <f ca="1">Table1[[#This Row],[Face Value]]*Table1[[#This Row],[Rate]]*Table1[[#This Row],[Time]]</f>
        <v>289.5</v>
      </c>
      <c r="AC370">
        <f ca="1">Table1[[#This Row],[SI]]+Table1[[#This Row],[Disc/Prem]]</f>
        <v>239.5</v>
      </c>
      <c r="AD370" s="3">
        <f ca="1">Table1[[#This Row],[Net Gain]]/Table1[[#This Row],[Ask Rate]]</f>
        <v>0.2280952380952381</v>
      </c>
      <c r="AE370" s="3">
        <f ca="1">IF(Table1[[#This Row],[Ask Qty]]=0,0,Table1[[#This Row],[Gross Yield]]*365/Table1[[#This Row],[Days Left]])</f>
        <v>7.8468201606750151E-2</v>
      </c>
      <c r="AF370" s="9">
        <f ca="1">+Table1[[#This Row],[Net Gain]]*Table1[[#This Row],[Ask Qty]]</f>
        <v>23950</v>
      </c>
      <c r="AG370" t="str">
        <f ca="1">IF(Table1[[#This Row],[YTM]]&gt;0.12,IF(Table1[[#This Row],[Gross Profit]]&gt;10000,"Invest","Review"),"Low YTM")</f>
        <v>Low YTM</v>
      </c>
    </row>
    <row r="371" spans="1:33" x14ac:dyDescent="0.3">
      <c r="A371" t="str">
        <f>RTD("nest.scriprtd",,"nse_cm|78ABFL33-N4","Symbol")</f>
        <v>78ABFL33</v>
      </c>
      <c r="B371" t="str">
        <f>RTD("nest.scriprtd",,"nse_cm|78ABFL33-N4","Trading Symbol")</f>
        <v>78ABFL33-N4</v>
      </c>
      <c r="C371" t="str">
        <f>RTD("nest.scriprtd",,"nse_cm|78ABFL33-N4","Exchange")</f>
        <v>NSE</v>
      </c>
      <c r="D371">
        <f>RTD("nest.scriprtd",,"nse_cm|78ABFL33-N4","Bid Qty")</f>
        <v>30</v>
      </c>
      <c r="E371">
        <f>RTD("nest.scriprtd",,"nse_cm|78ABFL33-N4","Bid Rate")</f>
        <v>989</v>
      </c>
      <c r="F371">
        <f>RTD("nest.scriprtd",,"nse_cm|78ABFL33-N4","Ask Rate")</f>
        <v>1002</v>
      </c>
      <c r="G371">
        <f>RTD("nest.scriprtd",,"nse_cm|78ABFL33-N4","Ask Qty")</f>
        <v>33</v>
      </c>
      <c r="H371">
        <f>RTD("nest.scriprtd",,"nse_cm|78ABFL33-N4","LTP")</f>
        <v>988.5</v>
      </c>
      <c r="I371" t="str">
        <f>RTD("nest.scriprtd",,"nse_cm|78ABFL33-N4","LTT")</f>
        <v/>
      </c>
      <c r="J371">
        <f>RTD("nest.scriprtd",,"nse_cm|78ABFL33-N4","% Change")</f>
        <v>0</v>
      </c>
      <c r="K371">
        <f>RTD("nest.scriprtd",,"nse_cm|78ABFL33-N4","ATP")</f>
        <v>0</v>
      </c>
      <c r="L371">
        <f>RTD("nest.scriprtd",,"nse_cm|78ABFL33-N4","Volume Traded Today")</f>
        <v>0</v>
      </c>
      <c r="M371">
        <f>RTD("nest.scriprtd",,"nse_cm|78ABFL33-N4","Open")</f>
        <v>0</v>
      </c>
      <c r="N371">
        <f>RTD("nest.scriprtd",,"nse_cm|78ABFL33-N4","High")</f>
        <v>988.5</v>
      </c>
      <c r="O371">
        <f>RTD("nest.scriprtd",,"nse_cm|78ABFL33-N4","Low ")</f>
        <v>988.5</v>
      </c>
      <c r="P371">
        <f>RTD("nest.scriprtd",,"nse_cm|78ABFL33-N4","Prev Close")</f>
        <v>988.5</v>
      </c>
      <c r="Q371">
        <f>RTD("nest.scriprtd",,"nse_cm|78ABFL33-N4","Face Value")</f>
        <v>1000</v>
      </c>
      <c r="R371" t="str">
        <f>RTD("nest.scriprtd",,"nse_cm|78ABFL33-N4","Isin code")</f>
        <v>INE860H07IP2</v>
      </c>
      <c r="S371" s="9">
        <f>Table1[[#This Row],[Ask Rate]]*Table1[[#This Row],[Ask Qty]]</f>
        <v>33066</v>
      </c>
      <c r="T371">
        <f>VLOOKUP(Table1[[#This Row],[Isin code]],Table2[#All],7,FALSE)</f>
        <v>7.8</v>
      </c>
      <c r="U371" s="17" t="str">
        <f>VLOOKUP(Table1[[#This Row],[Isin code]],Table2[#All],8,FALSE)</f>
        <v>09-Oct-2033</v>
      </c>
      <c r="V371" s="10">
        <f ca="1">Table1[[#This Row],[Maturity]]-TODAY()</f>
        <v>3280</v>
      </c>
      <c r="W371" t="str">
        <f>VLOOKUP(Table1[[#This Row],[Isin code]],Table2[#All],10,FALSE)</f>
        <v>Monthly</v>
      </c>
      <c r="X371">
        <f ca="1">_xlfn.DAYS(Table1[[#This Row],[Maturity]],TODAY())-15</f>
        <v>3265</v>
      </c>
      <c r="Y3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109</v>
      </c>
      <c r="Z371">
        <f>IF(Table1[[#This Row],[Ask Rate]]=0,0,Table1[[#This Row],[Face Value]]-Table1[[#This Row],[Ask Rate]])</f>
        <v>-2</v>
      </c>
      <c r="AA371">
        <f>IF(Table1[[#This Row],[Freq]]="Yearly",Table1[[#This Row],[Coupon_Rate]]/100,IF(Table1[[#This Row],[Freq]]="Monthly",Table1[[#This Row],[Coupon_Rate]]/1200,IF(Table1[[#This Row],[Freq]]="Quarterly",Table1[[#This Row],[Coupon_Rate]]/400,0)))</f>
        <v>6.4999999999999997E-3</v>
      </c>
      <c r="AB371">
        <f ca="1">Table1[[#This Row],[Face Value]]*Table1[[#This Row],[Rate]]*Table1[[#This Row],[Time]]</f>
        <v>708.5</v>
      </c>
      <c r="AC371">
        <f ca="1">Table1[[#This Row],[SI]]+Table1[[#This Row],[Disc/Prem]]</f>
        <v>706.5</v>
      </c>
      <c r="AD371" s="3">
        <f ca="1">Table1[[#This Row],[Net Gain]]/Table1[[#This Row],[Ask Rate]]</f>
        <v>0.70508982035928147</v>
      </c>
      <c r="AE371" s="3">
        <f ca="1">IF(Table1[[#This Row],[Ask Qty]]=0,0,Table1[[#This Row],[Gross Yield]]*365/Table1[[#This Row],[Days Left]])</f>
        <v>7.8462739155834682E-2</v>
      </c>
      <c r="AF371" s="9">
        <f ca="1">+Table1[[#This Row],[Net Gain]]*Table1[[#This Row],[Ask Qty]]</f>
        <v>23314.5</v>
      </c>
      <c r="AG371" t="str">
        <f ca="1">IF(Table1[[#This Row],[YTM]]&gt;0.12,IF(Table1[[#This Row],[Gross Profit]]&gt;10000,"Invest","Review"),"Low YTM")</f>
        <v>Low YTM</v>
      </c>
    </row>
    <row r="372" spans="1:33" x14ac:dyDescent="0.3">
      <c r="A372" t="str">
        <f>RTD("nest.scriprtd",,"nse_cm|903SFL28-YI","Symbol")</f>
        <v>903SFL28</v>
      </c>
      <c r="B372" t="str">
        <f>RTD("nest.scriprtd",,"nse_cm|903SFL28-YI","Trading Symbol")</f>
        <v>903SFL28-YI</v>
      </c>
      <c r="C372" t="str">
        <f>RTD("nest.scriprtd",,"nse_cm|903SFL28-YI","Exchange")</f>
        <v>NSE</v>
      </c>
      <c r="D372">
        <f>RTD("nest.scriprtd",,"nse_cm|903SFL28-YI","Bid Qty")</f>
        <v>10</v>
      </c>
      <c r="E372">
        <f>RTD("nest.scriprtd",,"nse_cm|903SFL28-YI","Bid Rate")</f>
        <v>1023</v>
      </c>
      <c r="F372">
        <f>RTD("nest.scriprtd",,"nse_cm|903SFL28-YI","Ask Rate")</f>
        <v>1030</v>
      </c>
      <c r="G372">
        <f>RTD("nest.scriprtd",,"nse_cm|903SFL28-YI","Ask Qty")</f>
        <v>25</v>
      </c>
      <c r="H372">
        <f>RTD("nest.scriprtd",,"nse_cm|903SFL28-YI","LTP")</f>
        <v>1022</v>
      </c>
      <c r="I372" t="str">
        <f>RTD("nest.scriprtd",,"nse_cm|903SFL28-YI","LTT")</f>
        <v>09:38:24</v>
      </c>
      <c r="J372">
        <f>RTD("nest.scriprtd",,"nse_cm|903SFL28-YI","% Change")</f>
        <v>-0.78</v>
      </c>
      <c r="K372">
        <f>RTD("nest.scriprtd",,"nse_cm|903SFL28-YI","ATP")</f>
        <v>1030</v>
      </c>
      <c r="L372">
        <f>RTD("nest.scriprtd",,"nse_cm|903SFL28-YI","Volume Traded Today")</f>
        <v>7</v>
      </c>
      <c r="M372">
        <f>RTD("nest.scriprtd",,"nse_cm|903SFL28-YI","Open")</f>
        <v>1030</v>
      </c>
      <c r="N372">
        <f>RTD("nest.scriprtd",,"nse_cm|903SFL28-YI","High")</f>
        <v>1030</v>
      </c>
      <c r="O372">
        <f>RTD("nest.scriprtd",,"nse_cm|903SFL28-YI","Low ")</f>
        <v>1022</v>
      </c>
      <c r="P372">
        <f>RTD("nest.scriprtd",,"nse_cm|903SFL28-YI","Prev Close")</f>
        <v>1030</v>
      </c>
      <c r="Q372">
        <f>RTD("nest.scriprtd",,"nse_cm|903SFL28-YI","Face Value")</f>
        <v>1000</v>
      </c>
      <c r="R372" t="str">
        <f>RTD("nest.scriprtd",,"nse_cm|903SFL28-YI","Isin code")</f>
        <v>INE721A07NU1</v>
      </c>
      <c r="S372" s="9">
        <f>Table1[[#This Row],[Ask Rate]]*Table1[[#This Row],[Ask Qty]]</f>
        <v>25750</v>
      </c>
      <c r="T372">
        <f>VLOOKUP(Table1[[#This Row],[Isin code]],Table2[#All],7,FALSE)</f>
        <v>9.0299999999999994</v>
      </c>
      <c r="U372" s="17">
        <f>VLOOKUP(Table1[[#This Row],[Isin code]],Table2[#All],8,FALSE)</f>
        <v>46946</v>
      </c>
      <c r="V372" s="10">
        <f ca="1">Table1[[#This Row],[Maturity]]-TODAY()</f>
        <v>1365</v>
      </c>
      <c r="W372" t="str">
        <f>VLOOKUP(Table1[[#This Row],[Isin code]],Table2[#All],10,FALSE)</f>
        <v>Monthly</v>
      </c>
      <c r="X372">
        <f ca="1">_xlfn.DAYS(Table1[[#This Row],[Maturity]],TODAY())-15</f>
        <v>1350</v>
      </c>
      <c r="Y3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45</v>
      </c>
      <c r="Z372">
        <f>IF(Table1[[#This Row],[Ask Rate]]=0,0,Table1[[#This Row],[Face Value]]-Table1[[#This Row],[Ask Rate]])</f>
        <v>-30</v>
      </c>
      <c r="AA372">
        <f>IF(Table1[[#This Row],[Freq]]="Yearly",Table1[[#This Row],[Coupon_Rate]]/100,IF(Table1[[#This Row],[Freq]]="Monthly",Table1[[#This Row],[Coupon_Rate]]/1200,IF(Table1[[#This Row],[Freq]]="Quarterly",Table1[[#This Row],[Coupon_Rate]]/400,0)))</f>
        <v>7.5249999999999996E-3</v>
      </c>
      <c r="AB372">
        <f ca="1">Table1[[#This Row],[Face Value]]*Table1[[#This Row],[Rate]]*Table1[[#This Row],[Time]]</f>
        <v>338.625</v>
      </c>
      <c r="AC372">
        <f ca="1">Table1[[#This Row],[SI]]+Table1[[#This Row],[Disc/Prem]]</f>
        <v>308.625</v>
      </c>
      <c r="AD372" s="3">
        <f ca="1">Table1[[#This Row],[Net Gain]]/Table1[[#This Row],[Ask Rate]]</f>
        <v>0.29963592233009706</v>
      </c>
      <c r="AE372" s="3">
        <f ca="1">IF(Table1[[#This Row],[Ask Qty]]=0,0,Table1[[#This Row],[Gross Yield]]*365/Table1[[#This Row],[Days Left]])</f>
        <v>8.0122426117571741E-2</v>
      </c>
      <c r="AF372" s="9">
        <f ca="1">+Table1[[#This Row],[Net Gain]]*Table1[[#This Row],[Ask Qty]]</f>
        <v>7715.625</v>
      </c>
      <c r="AG372" t="str">
        <f ca="1">IF(Table1[[#This Row],[YTM]]&gt;0.12,IF(Table1[[#This Row],[Gross Profit]]&gt;10000,"Invest","Review"),"Low YTM")</f>
        <v>Low YTM</v>
      </c>
    </row>
    <row r="373" spans="1:33" x14ac:dyDescent="0.3">
      <c r="A373" t="str">
        <f>RTD("nest.scriprtd",,"nse_cm|920PEL28-N2","Symbol")</f>
        <v>920PEL28</v>
      </c>
      <c r="B373" t="str">
        <f>RTD("nest.scriprtd",,"nse_cm|920PEL28-N2","Trading Symbol")</f>
        <v>920PEL28-N2</v>
      </c>
      <c r="C373" t="str">
        <f>RTD("nest.scriprtd",,"nse_cm|920PEL28-N2","Exchange")</f>
        <v>NSE</v>
      </c>
      <c r="D373">
        <f>RTD("nest.scriprtd",,"nse_cm|920PEL28-N2","Bid Qty")</f>
        <v>0</v>
      </c>
      <c r="E373">
        <f>RTD("nest.scriprtd",,"nse_cm|920PEL28-N2","Bid Rate")</f>
        <v>0</v>
      </c>
      <c r="F373">
        <f>RTD("nest.scriprtd",,"nse_cm|920PEL28-N2","Ask Rate")</f>
        <v>1108</v>
      </c>
      <c r="G373">
        <f>RTD("nest.scriprtd",,"nse_cm|920PEL28-N2","Ask Qty")</f>
        <v>250</v>
      </c>
      <c r="H373">
        <f>RTD("nest.scriprtd",,"nse_cm|920PEL28-N2","LTP")</f>
        <v>1075</v>
      </c>
      <c r="I373" t="str">
        <f>RTD("nest.scriprtd",,"nse_cm|920PEL28-N2","LTT")</f>
        <v/>
      </c>
      <c r="J373">
        <f>RTD("nest.scriprtd",,"nse_cm|920PEL28-N2","% Change")</f>
        <v>0</v>
      </c>
      <c r="K373">
        <f>RTD("nest.scriprtd",,"nse_cm|920PEL28-N2","ATP")</f>
        <v>0</v>
      </c>
      <c r="L373">
        <f>RTD("nest.scriprtd",,"nse_cm|920PEL28-N2","Volume Traded Today")</f>
        <v>0</v>
      </c>
      <c r="M373">
        <f>RTD("nest.scriprtd",,"nse_cm|920PEL28-N2","Open")</f>
        <v>0</v>
      </c>
      <c r="N373">
        <f>RTD("nest.scriprtd",,"nse_cm|920PEL28-N2","High")</f>
        <v>1075</v>
      </c>
      <c r="O373">
        <f>RTD("nest.scriprtd",,"nse_cm|920PEL28-N2","Low ")</f>
        <v>1070</v>
      </c>
      <c r="P373">
        <f>RTD("nest.scriprtd",,"nse_cm|920PEL28-N2","Prev Close")</f>
        <v>1075</v>
      </c>
      <c r="Q373">
        <f>RTD("nest.scriprtd",,"nse_cm|920PEL28-N2","Face Value")</f>
        <v>1000</v>
      </c>
      <c r="R373" t="str">
        <f>RTD("nest.scriprtd",,"nse_cm|920PEL28-N2","Isin code")</f>
        <v>INE140A07765</v>
      </c>
      <c r="S373" s="9">
        <f>Table1[[#This Row],[Ask Rate]]*Table1[[#This Row],[Ask Qty]]</f>
        <v>277000</v>
      </c>
      <c r="T373">
        <f>VLOOKUP(Table1[[#This Row],[Isin code]],Table2[#All],7,FALSE)</f>
        <v>9.1999999999999993</v>
      </c>
      <c r="U373" s="17" t="str">
        <f>VLOOKUP(Table1[[#This Row],[Isin code]],Table2[#All],8,FALSE)</f>
        <v>03-Nov-2028</v>
      </c>
      <c r="V373" s="10">
        <f ca="1">Table1[[#This Row],[Maturity]]-TODAY()</f>
        <v>1479</v>
      </c>
      <c r="W373" t="str">
        <f>VLOOKUP(Table1[[#This Row],[Isin code]],Table2[#All],10,FALSE)</f>
        <v>Yearly</v>
      </c>
      <c r="X373">
        <f ca="1">_xlfn.DAYS(Table1[[#This Row],[Maturity]],TODAY())-15</f>
        <v>1464</v>
      </c>
      <c r="Y3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73">
        <f>IF(Table1[[#This Row],[Ask Rate]]=0,0,Table1[[#This Row],[Face Value]]-Table1[[#This Row],[Ask Rate]])</f>
        <v>-108</v>
      </c>
      <c r="AA373">
        <f>IF(Table1[[#This Row],[Freq]]="Yearly",Table1[[#This Row],[Coupon_Rate]]/100,IF(Table1[[#This Row],[Freq]]="Monthly",Table1[[#This Row],[Coupon_Rate]]/1200,IF(Table1[[#This Row],[Freq]]="Quarterly",Table1[[#This Row],[Coupon_Rate]]/400,0)))</f>
        <v>9.1999999999999998E-2</v>
      </c>
      <c r="AB373">
        <f ca="1">Table1[[#This Row],[Face Value]]*Table1[[#This Row],[Rate]]*Table1[[#This Row],[Time]]</f>
        <v>460</v>
      </c>
      <c r="AC373">
        <f ca="1">Table1[[#This Row],[SI]]+Table1[[#This Row],[Disc/Prem]]</f>
        <v>352</v>
      </c>
      <c r="AD373" s="3">
        <f ca="1">Table1[[#This Row],[Net Gain]]/Table1[[#This Row],[Ask Rate]]</f>
        <v>0.3176895306859206</v>
      </c>
      <c r="AE373" s="3">
        <f ca="1">IF(Table1[[#This Row],[Ask Qty]]=0,0,Table1[[#This Row],[Gross Yield]]*365/Table1[[#This Row],[Days Left]])</f>
        <v>7.8402081609439497E-2</v>
      </c>
      <c r="AF373" s="9">
        <f ca="1">+Table1[[#This Row],[Net Gain]]*Table1[[#This Row],[Ask Qty]]</f>
        <v>88000</v>
      </c>
      <c r="AG373" t="str">
        <f ca="1">IF(Table1[[#This Row],[YTM]]&gt;0.12,IF(Table1[[#This Row],[Gross Profit]]&gt;10000,"Invest","Review"),"Low YTM")</f>
        <v>Low YTM</v>
      </c>
    </row>
    <row r="374" spans="1:33" x14ac:dyDescent="0.3">
      <c r="A374" t="str">
        <f>RTD("nest.scriprtd",,"nse_cm|797IGT31-NL","Symbol")</f>
        <v>797IGT31</v>
      </c>
      <c r="B374" t="str">
        <f>RTD("nest.scriprtd",,"nse_cm|797IGT31-NL","Trading Symbol")</f>
        <v>797IGT31-NL</v>
      </c>
      <c r="C374" t="str">
        <f>RTD("nest.scriprtd",,"nse_cm|797IGT31-NL","Exchange")</f>
        <v>NSE</v>
      </c>
      <c r="D374">
        <f>RTD("nest.scriprtd",,"nse_cm|797IGT31-NL","Bid Qty")</f>
        <v>100</v>
      </c>
      <c r="E374">
        <f>RTD("nest.scriprtd",,"nse_cm|797IGT31-NL","Bid Rate")</f>
        <v>1002</v>
      </c>
      <c r="F374">
        <f>RTD("nest.scriprtd",,"nse_cm|797IGT31-NL","Ask Rate")</f>
        <v>1015.99</v>
      </c>
      <c r="G374">
        <f>RTD("nest.scriprtd",,"nse_cm|797IGT31-NL","Ask Qty")</f>
        <v>10</v>
      </c>
      <c r="H374">
        <f>RTD("nest.scriprtd",,"nse_cm|797IGT31-NL","LTP")</f>
        <v>1015.99</v>
      </c>
      <c r="I374" t="str">
        <f>RTD("nest.scriprtd",,"nse_cm|797IGT31-NL","LTT")</f>
        <v/>
      </c>
      <c r="J374">
        <f>RTD("nest.scriprtd",,"nse_cm|797IGT31-NL","% Change")</f>
        <v>0</v>
      </c>
      <c r="K374">
        <f>RTD("nest.scriprtd",,"nse_cm|797IGT31-NL","ATP")</f>
        <v>0</v>
      </c>
      <c r="L374">
        <f>RTD("nest.scriprtd",,"nse_cm|797IGT31-NL","Volume Traded Today")</f>
        <v>0</v>
      </c>
      <c r="M374">
        <f>RTD("nest.scriprtd",,"nse_cm|797IGT31-NL","Open")</f>
        <v>0</v>
      </c>
      <c r="N374">
        <f>RTD("nest.scriprtd",,"nse_cm|797IGT31-NL","High")</f>
        <v>1015.99</v>
      </c>
      <c r="O374">
        <f>RTD("nest.scriprtd",,"nse_cm|797IGT31-NL","Low ")</f>
        <v>1015.99</v>
      </c>
      <c r="P374">
        <f>RTD("nest.scriprtd",,"nse_cm|797IGT31-NL","Prev Close")</f>
        <v>1015.99</v>
      </c>
      <c r="Q374">
        <f>RTD("nest.scriprtd",,"nse_cm|797IGT31-NL","Face Value")</f>
        <v>1000</v>
      </c>
      <c r="R374" t="str">
        <f>RTD("nest.scriprtd",,"nse_cm|797IGT31-NL","Isin code")</f>
        <v>INE219X07280</v>
      </c>
      <c r="S374" s="9">
        <f>Table1[[#This Row],[Ask Rate]]*Table1[[#This Row],[Ask Qty]]</f>
        <v>10159.9</v>
      </c>
      <c r="T374">
        <f>VLOOKUP(Table1[[#This Row],[Isin code]],Table2[#All],7,FALSE)</f>
        <v>7.97</v>
      </c>
      <c r="U374" s="17" t="str">
        <f>VLOOKUP(Table1[[#This Row],[Isin code]],Table2[#All],8,FALSE)</f>
        <v>06-May-2031</v>
      </c>
      <c r="V374" s="10">
        <f ca="1">Table1[[#This Row],[Maturity]]-TODAY()</f>
        <v>2393</v>
      </c>
      <c r="W374" t="str">
        <f>VLOOKUP(Table1[[#This Row],[Isin code]],Table2[#All],10,FALSE)</f>
        <v>Quarterly</v>
      </c>
      <c r="X374">
        <f ca="1">_xlfn.DAYS(Table1[[#This Row],[Maturity]],TODAY())-15</f>
        <v>2378</v>
      </c>
      <c r="Y3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374">
        <f>IF(Table1[[#This Row],[Ask Rate]]=0,0,Table1[[#This Row],[Face Value]]-Table1[[#This Row],[Ask Rate]])</f>
        <v>-15.990000000000009</v>
      </c>
      <c r="AA374">
        <f>IF(Table1[[#This Row],[Freq]]="Yearly",Table1[[#This Row],[Coupon_Rate]]/100,IF(Table1[[#This Row],[Freq]]="Monthly",Table1[[#This Row],[Coupon_Rate]]/1200,IF(Table1[[#This Row],[Freq]]="Quarterly",Table1[[#This Row],[Coupon_Rate]]/400,0)))</f>
        <v>1.9924999999999998E-2</v>
      </c>
      <c r="AB374">
        <f ca="1">Table1[[#This Row],[Face Value]]*Table1[[#This Row],[Rate]]*Table1[[#This Row],[Time]]</f>
        <v>537.97499999999991</v>
      </c>
      <c r="AC374">
        <f ca="1">Table1[[#This Row],[SI]]+Table1[[#This Row],[Disc/Prem]]</f>
        <v>521.9849999999999</v>
      </c>
      <c r="AD374" s="3">
        <f ca="1">Table1[[#This Row],[Net Gain]]/Table1[[#This Row],[Ask Rate]]</f>
        <v>0.51376982056910003</v>
      </c>
      <c r="AE374" s="3">
        <f ca="1">IF(Table1[[#This Row],[Ask Qty]]=0,0,Table1[[#This Row],[Gross Yield]]*365/Table1[[#This Row],[Days Left]])</f>
        <v>7.8364389681454871E-2</v>
      </c>
      <c r="AF374" s="9">
        <f ca="1">+Table1[[#This Row],[Net Gain]]*Table1[[#This Row],[Ask Qty]]</f>
        <v>5219.8499999999985</v>
      </c>
      <c r="AG374" t="str">
        <f ca="1">IF(Table1[[#This Row],[YTM]]&gt;0.12,IF(Table1[[#This Row],[Gross Profit]]&gt;10000,"Invest","Review"),"Low YTM")</f>
        <v>Low YTM</v>
      </c>
    </row>
    <row r="375" spans="1:33" x14ac:dyDescent="0.3">
      <c r="A375" t="str">
        <f>RTD("nest.scriprtd",,"nse_cm|82IGT31-NJ","Symbol")</f>
        <v>82IGT31</v>
      </c>
      <c r="B375" t="str">
        <f>RTD("nest.scriprtd",,"nse_cm|82IGT31-NJ","Trading Symbol")</f>
        <v>82IGT31-NJ</v>
      </c>
      <c r="C375" t="str">
        <f>RTD("nest.scriprtd",,"nse_cm|82IGT31-NJ","Exchange")</f>
        <v>NSE</v>
      </c>
      <c r="D375">
        <f>RTD("nest.scriprtd",,"nse_cm|82IGT31-NJ","Bid Qty")</f>
        <v>420</v>
      </c>
      <c r="E375">
        <f>RTD("nest.scriprtd",,"nse_cm|82IGT31-NJ","Bid Rate")</f>
        <v>1033.25</v>
      </c>
      <c r="F375">
        <f>RTD("nest.scriprtd",,"nse_cm|82IGT31-NJ","Ask Rate")</f>
        <v>1039</v>
      </c>
      <c r="G375">
        <f>RTD("nest.scriprtd",,"nse_cm|82IGT31-NJ","Ask Qty")</f>
        <v>200</v>
      </c>
      <c r="H375">
        <f>RTD("nest.scriprtd",,"nse_cm|82IGT31-NJ","LTP")</f>
        <v>1039.99</v>
      </c>
      <c r="I375" t="str">
        <f>RTD("nest.scriprtd",,"nse_cm|82IGT31-NJ","LTT")</f>
        <v>10:32:38</v>
      </c>
      <c r="J375">
        <f>RTD("nest.scriprtd",,"nse_cm|82IGT31-NJ","% Change")</f>
        <v>0.48</v>
      </c>
      <c r="K375">
        <f>RTD("nest.scriprtd",,"nse_cm|82IGT31-NJ","ATP")</f>
        <v>1035</v>
      </c>
      <c r="L375">
        <f>RTD("nest.scriprtd",,"nse_cm|82IGT31-NJ","Volume Traded Today")</f>
        <v>330</v>
      </c>
      <c r="M375">
        <f>RTD("nest.scriprtd",,"nse_cm|82IGT31-NJ","Open")</f>
        <v>1035</v>
      </c>
      <c r="N375">
        <f>RTD("nest.scriprtd",,"nse_cm|82IGT31-NJ","High")</f>
        <v>1039.99</v>
      </c>
      <c r="O375">
        <f>RTD("nest.scriprtd",,"nse_cm|82IGT31-NJ","Low ")</f>
        <v>1035</v>
      </c>
      <c r="P375">
        <f>RTD("nest.scriprtd",,"nse_cm|82IGT31-NJ","Prev Close")</f>
        <v>1035</v>
      </c>
      <c r="Q375">
        <f>RTD("nest.scriprtd",,"nse_cm|82IGT31-NJ","Face Value")</f>
        <v>1000</v>
      </c>
      <c r="R375" t="str">
        <f>RTD("nest.scriprtd",,"nse_cm|82IGT31-NJ","Isin code")</f>
        <v>INE219X07264</v>
      </c>
      <c r="S375" s="9">
        <f>Table1[[#This Row],[Ask Rate]]*Table1[[#This Row],[Ask Qty]]</f>
        <v>207800</v>
      </c>
      <c r="T375">
        <f>VLOOKUP(Table1[[#This Row],[Isin code]],Table2[#All],7,FALSE)</f>
        <v>8.1999999999999993</v>
      </c>
      <c r="U375" s="17" t="str">
        <f>VLOOKUP(Table1[[#This Row],[Isin code]],Table2[#All],8,FALSE)</f>
        <v>06-May-2031</v>
      </c>
      <c r="V375" s="10">
        <f ca="1">Table1[[#This Row],[Maturity]]-TODAY()</f>
        <v>2393</v>
      </c>
      <c r="W375" t="str">
        <f>VLOOKUP(Table1[[#This Row],[Isin code]],Table2[#All],10,FALSE)</f>
        <v>Yearly</v>
      </c>
      <c r="X375">
        <f ca="1">_xlfn.DAYS(Table1[[#This Row],[Maturity]],TODAY())-15</f>
        <v>2378</v>
      </c>
      <c r="Y3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375">
        <f>IF(Table1[[#This Row],[Ask Rate]]=0,0,Table1[[#This Row],[Face Value]]-Table1[[#This Row],[Ask Rate]])</f>
        <v>-39</v>
      </c>
      <c r="AA375">
        <f>IF(Table1[[#This Row],[Freq]]="Yearly",Table1[[#This Row],[Coupon_Rate]]/100,IF(Table1[[#This Row],[Freq]]="Monthly",Table1[[#This Row],[Coupon_Rate]]/1200,IF(Table1[[#This Row],[Freq]]="Quarterly",Table1[[#This Row],[Coupon_Rate]]/400,0)))</f>
        <v>8.199999999999999E-2</v>
      </c>
      <c r="AB375">
        <f ca="1">Table1[[#This Row],[Face Value]]*Table1[[#This Row],[Rate]]*Table1[[#This Row],[Time]]</f>
        <v>573.99999999999989</v>
      </c>
      <c r="AC375">
        <f ca="1">Table1[[#This Row],[SI]]+Table1[[#This Row],[Disc/Prem]]</f>
        <v>534.99999999999989</v>
      </c>
      <c r="AD375" s="3">
        <f ca="1">Table1[[#This Row],[Net Gain]]/Table1[[#This Row],[Ask Rate]]</f>
        <v>0.5149181905678536</v>
      </c>
      <c r="AE375" s="3">
        <f ca="1">IF(Table1[[#This Row],[Ask Qty]]=0,0,Table1[[#This Row],[Gross Yield]]*365/Table1[[#This Row],[Days Left]])</f>
        <v>7.8539548498648803E-2</v>
      </c>
      <c r="AF375" s="9">
        <f ca="1">+Table1[[#This Row],[Net Gain]]*Table1[[#This Row],[Ask Qty]]</f>
        <v>106999.99999999997</v>
      </c>
      <c r="AG375" t="str">
        <f ca="1">IF(Table1[[#This Row],[YTM]]&gt;0.12,IF(Table1[[#This Row],[Gross Profit]]&gt;10000,"Invest","Review"),"Low YTM")</f>
        <v>Low YTM</v>
      </c>
    </row>
    <row r="376" spans="1:33" x14ac:dyDescent="0.3">
      <c r="A376" t="str">
        <f>RTD("nest.scriprtd",,"nse_cm|865TCAPS27-N8","Symbol")</f>
        <v>865TCAPS27</v>
      </c>
      <c r="B376" t="str">
        <f>RTD("nest.scriprtd",,"nse_cm|865TCAPS27-N8","Trading Symbol")</f>
        <v>865TCAPS27-N8</v>
      </c>
      <c r="C376" t="str">
        <f>RTD("nest.scriprtd",,"nse_cm|865TCAPS27-N8","Exchange")</f>
        <v>NSE</v>
      </c>
      <c r="D376">
        <f>RTD("nest.scriprtd",,"nse_cm|865TCAPS27-N8","Bid Qty")</f>
        <v>10</v>
      </c>
      <c r="E376">
        <f>RTD("nest.scriprtd",,"nse_cm|865TCAPS27-N8","Bid Rate")</f>
        <v>1026.21</v>
      </c>
      <c r="F376">
        <f>RTD("nest.scriprtd",,"nse_cm|865TCAPS27-N8","Ask Rate")</f>
        <v>1029.8699999999999</v>
      </c>
      <c r="G376">
        <f>RTD("nest.scriprtd",,"nse_cm|865TCAPS27-N8","Ask Qty")</f>
        <v>40</v>
      </c>
      <c r="H376">
        <f>RTD("nest.scriprtd",,"nse_cm|865TCAPS27-N8","LTP")</f>
        <v>1028.99</v>
      </c>
      <c r="I376" t="str">
        <f>RTD("nest.scriprtd",,"nse_cm|865TCAPS27-N8","LTT")</f>
        <v/>
      </c>
      <c r="J376">
        <f>RTD("nest.scriprtd",,"nse_cm|865TCAPS27-N8","% Change")</f>
        <v>0</v>
      </c>
      <c r="K376">
        <f>RTD("nest.scriprtd",,"nse_cm|865TCAPS27-N8","ATP")</f>
        <v>0</v>
      </c>
      <c r="L376">
        <f>RTD("nest.scriprtd",,"nse_cm|865TCAPS27-N8","Volume Traded Today")</f>
        <v>0</v>
      </c>
      <c r="M376">
        <f>RTD("nest.scriprtd",,"nse_cm|865TCAPS27-N8","Open")</f>
        <v>0</v>
      </c>
      <c r="N376">
        <f>RTD("nest.scriprtd",,"nse_cm|865TCAPS27-N8","High")</f>
        <v>1029.8699999999999</v>
      </c>
      <c r="O376">
        <f>RTD("nest.scriprtd",,"nse_cm|865TCAPS27-N8","Low ")</f>
        <v>1025.3499999999999</v>
      </c>
      <c r="P376">
        <f>RTD("nest.scriprtd",,"nse_cm|865TCAPS27-N8","Prev Close")</f>
        <v>1028.99</v>
      </c>
      <c r="Q376">
        <f>RTD("nest.scriprtd",,"nse_cm|865TCAPS27-N8","Face Value")</f>
        <v>1000</v>
      </c>
      <c r="R376" t="str">
        <f>RTD("nest.scriprtd",,"nse_cm|865TCAPS27-N8","Isin code")</f>
        <v>INE306N07LM5</v>
      </c>
      <c r="S376" s="9">
        <f>Table1[[#This Row],[Ask Rate]]*Table1[[#This Row],[Ask Qty]]</f>
        <v>41194.799999999996</v>
      </c>
      <c r="T376">
        <f>VLOOKUP(Table1[[#This Row],[Isin code]],Table2[#All],7,FALSE)</f>
        <v>8.65</v>
      </c>
      <c r="U376" s="17">
        <f>VLOOKUP(Table1[[#This Row],[Isin code]],Table2[#All],8,FALSE)</f>
        <v>46625</v>
      </c>
      <c r="V376" s="10">
        <f ca="1">Table1[[#This Row],[Maturity]]-TODAY()</f>
        <v>1044</v>
      </c>
      <c r="W376" t="str">
        <f>VLOOKUP(Table1[[#This Row],[Isin code]],Table2[#All],10,FALSE)</f>
        <v>Yearly</v>
      </c>
      <c r="X376">
        <f ca="1">_xlfn.DAYS(Table1[[#This Row],[Maturity]],TODAY())-15</f>
        <v>1029</v>
      </c>
      <c r="Y3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76">
        <f>IF(Table1[[#This Row],[Ask Rate]]=0,0,Table1[[#This Row],[Face Value]]-Table1[[#This Row],[Ask Rate]])</f>
        <v>-29.869999999999891</v>
      </c>
      <c r="AA376">
        <f>IF(Table1[[#This Row],[Freq]]="Yearly",Table1[[#This Row],[Coupon_Rate]]/100,IF(Table1[[#This Row],[Freq]]="Monthly",Table1[[#This Row],[Coupon_Rate]]/1200,IF(Table1[[#This Row],[Freq]]="Quarterly",Table1[[#This Row],[Coupon_Rate]]/400,0)))</f>
        <v>8.6500000000000007E-2</v>
      </c>
      <c r="AB376">
        <f ca="1">Table1[[#This Row],[Face Value]]*Table1[[#This Row],[Rate]]*Table1[[#This Row],[Time]]</f>
        <v>259.50000000000006</v>
      </c>
      <c r="AC376">
        <f ca="1">Table1[[#This Row],[SI]]+Table1[[#This Row],[Disc/Prem]]</f>
        <v>229.63000000000017</v>
      </c>
      <c r="AD376" s="3">
        <f ca="1">Table1[[#This Row],[Net Gain]]/Table1[[#This Row],[Ask Rate]]</f>
        <v>0.22296988940351714</v>
      </c>
      <c r="AE376" s="3">
        <f ca="1">IF(Table1[[#This Row],[Ask Qty]]=0,0,Table1[[#This Row],[Gross Yield]]*365/Table1[[#This Row],[Days Left]])</f>
        <v>7.7954032214831173E-2</v>
      </c>
      <c r="AF376" s="9">
        <f ca="1">+Table1[[#This Row],[Net Gain]]*Table1[[#This Row],[Ask Qty]]</f>
        <v>9185.2000000000062</v>
      </c>
      <c r="AG376" t="str">
        <f ca="1">IF(Table1[[#This Row],[YTM]]&gt;0.12,IF(Table1[[#This Row],[Gross Profit]]&gt;10000,"Invest","Review"),"Low YTM")</f>
        <v>Low YTM</v>
      </c>
    </row>
    <row r="377" spans="1:33" x14ac:dyDescent="0.3">
      <c r="A377" t="str">
        <f>RTD("nest.scriprtd",,"bse_cm|865TCAPS27","Symbol")</f>
        <v>865TCAPS27</v>
      </c>
      <c r="B377" t="str">
        <f>RTD("nest.scriprtd",,"bse_cm|865TCAPS27","Trading Symbol")</f>
        <v>865TCAPS27</v>
      </c>
      <c r="C377" t="str">
        <f>RTD("nest.scriprtd",,"bse_cm|865TCAPS27","Exchange")</f>
        <v>BSE</v>
      </c>
      <c r="D377">
        <f>RTD("nest.scriprtd",,"bse_cm|865TCAPS27","Bid Qty")</f>
        <v>1</v>
      </c>
      <c r="E377">
        <f>RTD("nest.scriprtd",,"bse_cm|865TCAPS27","Bid Rate")</f>
        <v>1025.0999999999999</v>
      </c>
      <c r="F377">
        <f>RTD("nest.scriprtd",,"bse_cm|865TCAPS27","Ask Rate")</f>
        <v>1030</v>
      </c>
      <c r="G377">
        <f>RTD("nest.scriprtd",,"bse_cm|865TCAPS27","Ask Qty")</f>
        <v>34</v>
      </c>
      <c r="H377">
        <f>RTD("nest.scriprtd",,"bse_cm|865TCAPS27","LTP")</f>
        <v>0</v>
      </c>
      <c r="I377" t="str">
        <f>RTD("nest.scriprtd",,"bse_cm|865TCAPS27","LTT")</f>
        <v>00:00:00</v>
      </c>
      <c r="J377">
        <f>RTD("nest.scriprtd",,"bse_cm|865TCAPS27","% Change")</f>
        <v>-100</v>
      </c>
      <c r="K377">
        <f>RTD("nest.scriprtd",,"bse_cm|865TCAPS27","ATP")</f>
        <v>0</v>
      </c>
      <c r="L377">
        <f>RTD("nest.scriprtd",,"bse_cm|865TCAPS27","Volume Traded Today")</f>
        <v>0</v>
      </c>
      <c r="M377">
        <f>RTD("nest.scriprtd",,"bse_cm|865TCAPS27","Open")</f>
        <v>0</v>
      </c>
      <c r="N377">
        <f>RTD("nest.scriprtd",,"bse_cm|865TCAPS27","High")</f>
        <v>1030</v>
      </c>
      <c r="O377">
        <f>RTD("nest.scriprtd",,"bse_cm|865TCAPS27","Low ")</f>
        <v>1030</v>
      </c>
      <c r="P377">
        <f>RTD("nest.scriprtd",,"bse_cm|865TCAPS27","Prev Close")</f>
        <v>1030</v>
      </c>
      <c r="Q377">
        <f>RTD("nest.scriprtd",,"bse_cm|865TCAPS27","Face Value")</f>
        <v>1000</v>
      </c>
      <c r="R377" t="str">
        <f>RTD("nest.scriprtd",,"bse_cm|865TCAPS27","Isin code")</f>
        <v>INE306N07LM5</v>
      </c>
      <c r="S377" s="9">
        <f>Table1[[#This Row],[Ask Rate]]*Table1[[#This Row],[Ask Qty]]</f>
        <v>35020</v>
      </c>
      <c r="T377">
        <f>VLOOKUP(Table1[[#This Row],[Isin code]],Table2[#All],7,FALSE)</f>
        <v>8.65</v>
      </c>
      <c r="U377" s="17">
        <f>VLOOKUP(Table1[[#This Row],[Isin code]],Table2[#All],8,FALSE)</f>
        <v>46625</v>
      </c>
      <c r="V377" s="10">
        <f ca="1">Table1[[#This Row],[Maturity]]-TODAY()</f>
        <v>1044</v>
      </c>
      <c r="W377" t="str">
        <f>VLOOKUP(Table1[[#This Row],[Isin code]],Table2[#All],10,FALSE)</f>
        <v>Yearly</v>
      </c>
      <c r="X377">
        <f ca="1">_xlfn.DAYS(Table1[[#This Row],[Maturity]],TODAY())-15</f>
        <v>1029</v>
      </c>
      <c r="Y3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77">
        <f>IF(Table1[[#This Row],[Ask Rate]]=0,0,Table1[[#This Row],[Face Value]]-Table1[[#This Row],[Ask Rate]])</f>
        <v>-30</v>
      </c>
      <c r="AA377">
        <f>IF(Table1[[#This Row],[Freq]]="Yearly",Table1[[#This Row],[Coupon_Rate]]/100,IF(Table1[[#This Row],[Freq]]="Monthly",Table1[[#This Row],[Coupon_Rate]]/1200,IF(Table1[[#This Row],[Freq]]="Quarterly",Table1[[#This Row],[Coupon_Rate]]/400,0)))</f>
        <v>8.6500000000000007E-2</v>
      </c>
      <c r="AB377">
        <f ca="1">Table1[[#This Row],[Face Value]]*Table1[[#This Row],[Rate]]*Table1[[#This Row],[Time]]</f>
        <v>259.50000000000006</v>
      </c>
      <c r="AC377">
        <f ca="1">Table1[[#This Row],[SI]]+Table1[[#This Row],[Disc/Prem]]</f>
        <v>229.50000000000006</v>
      </c>
      <c r="AD377" s="3">
        <f ca="1">Table1[[#This Row],[Net Gain]]/Table1[[#This Row],[Ask Rate]]</f>
        <v>0.22281553398058257</v>
      </c>
      <c r="AE377" s="3">
        <f ca="1">IF(Table1[[#This Row],[Ask Qty]]=0,0,Table1[[#This Row],[Gross Yield]]*365/Table1[[#This Row],[Days Left]])</f>
        <v>7.7900066956812869E-2</v>
      </c>
      <c r="AF377" s="9">
        <f ca="1">+Table1[[#This Row],[Net Gain]]*Table1[[#This Row],[Ask Qty]]</f>
        <v>7803.0000000000018</v>
      </c>
      <c r="AG377" t="str">
        <f ca="1">IF(Table1[[#This Row],[YTM]]&gt;0.12,IF(Table1[[#This Row],[Gross Profit]]&gt;10000,"Invest","Review"),"Low YTM")</f>
        <v>Low YTM</v>
      </c>
    </row>
    <row r="378" spans="1:33" x14ac:dyDescent="0.3">
      <c r="A378" t="str">
        <f>RTD("nest.scriprtd",,"bse_cm|78ABFL33","Symbol")</f>
        <v>78ABFL33</v>
      </c>
      <c r="B378" t="str">
        <f>RTD("nest.scriprtd",,"bse_cm|78ABFL33","Trading Symbol")</f>
        <v>78ABFL33</v>
      </c>
      <c r="C378" t="str">
        <f>RTD("nest.scriprtd",,"bse_cm|78ABFL33","Exchange")</f>
        <v>BSE</v>
      </c>
      <c r="D378">
        <f>RTD("nest.scriprtd",,"bse_cm|78ABFL33","Bid Qty")</f>
        <v>10</v>
      </c>
      <c r="E378">
        <f>RTD("nest.scriprtd",,"bse_cm|78ABFL33","Bid Rate")</f>
        <v>989</v>
      </c>
      <c r="F378">
        <f>RTD("nest.scriprtd",,"bse_cm|78ABFL33","Ask Rate")</f>
        <v>1005</v>
      </c>
      <c r="G378">
        <f>RTD("nest.scriprtd",,"bse_cm|78ABFL33","Ask Qty")</f>
        <v>2</v>
      </c>
      <c r="H378">
        <f>RTD("nest.scriprtd",,"bse_cm|78ABFL33","LTP")</f>
        <v>0</v>
      </c>
      <c r="I378" t="str">
        <f>RTD("nest.scriprtd",,"bse_cm|78ABFL33","LTT")</f>
        <v>00:00:00</v>
      </c>
      <c r="J378">
        <f>RTD("nest.scriprtd",,"bse_cm|78ABFL33","% Change")</f>
        <v>-100</v>
      </c>
      <c r="K378">
        <f>RTD("nest.scriprtd",,"bse_cm|78ABFL33","ATP")</f>
        <v>0</v>
      </c>
      <c r="L378">
        <f>RTD("nest.scriprtd",,"bse_cm|78ABFL33","Volume Traded Today")</f>
        <v>0</v>
      </c>
      <c r="M378">
        <f>RTD("nest.scriprtd",,"bse_cm|78ABFL33","Open")</f>
        <v>0</v>
      </c>
      <c r="N378">
        <f>RTD("nest.scriprtd",,"bse_cm|78ABFL33","High")</f>
        <v>990</v>
      </c>
      <c r="O378">
        <f>RTD("nest.scriprtd",,"bse_cm|78ABFL33","Low ")</f>
        <v>990</v>
      </c>
      <c r="P378">
        <f>RTD("nest.scriprtd",,"bse_cm|78ABFL33","Prev Close")</f>
        <v>990</v>
      </c>
      <c r="Q378">
        <f>RTD("nest.scriprtd",,"bse_cm|78ABFL33","Face Value")</f>
        <v>1000</v>
      </c>
      <c r="R378" t="str">
        <f>RTD("nest.scriprtd",,"bse_cm|78ABFL33","Isin code")</f>
        <v>INE860H07IP2</v>
      </c>
      <c r="S378" s="9">
        <f>Table1[[#This Row],[Ask Rate]]*Table1[[#This Row],[Ask Qty]]</f>
        <v>2010</v>
      </c>
      <c r="T378">
        <f>VLOOKUP(Table1[[#This Row],[Isin code]],Table2[#All],7,FALSE)</f>
        <v>7.8</v>
      </c>
      <c r="U378" s="17" t="str">
        <f>VLOOKUP(Table1[[#This Row],[Isin code]],Table2[#All],8,FALSE)</f>
        <v>09-Oct-2033</v>
      </c>
      <c r="V378" s="10">
        <f ca="1">Table1[[#This Row],[Maturity]]-TODAY()</f>
        <v>3280</v>
      </c>
      <c r="W378" t="str">
        <f>VLOOKUP(Table1[[#This Row],[Isin code]],Table2[#All],10,FALSE)</f>
        <v>Monthly</v>
      </c>
      <c r="X378">
        <f ca="1">_xlfn.DAYS(Table1[[#This Row],[Maturity]],TODAY())-15</f>
        <v>3265</v>
      </c>
      <c r="Y3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109</v>
      </c>
      <c r="Z378">
        <f>IF(Table1[[#This Row],[Ask Rate]]=0,0,Table1[[#This Row],[Face Value]]-Table1[[#This Row],[Ask Rate]])</f>
        <v>-5</v>
      </c>
      <c r="AA378">
        <f>IF(Table1[[#This Row],[Freq]]="Yearly",Table1[[#This Row],[Coupon_Rate]]/100,IF(Table1[[#This Row],[Freq]]="Monthly",Table1[[#This Row],[Coupon_Rate]]/1200,IF(Table1[[#This Row],[Freq]]="Quarterly",Table1[[#This Row],[Coupon_Rate]]/400,0)))</f>
        <v>6.4999999999999997E-3</v>
      </c>
      <c r="AB378">
        <f ca="1">Table1[[#This Row],[Face Value]]*Table1[[#This Row],[Rate]]*Table1[[#This Row],[Time]]</f>
        <v>708.5</v>
      </c>
      <c r="AC378">
        <f ca="1">Table1[[#This Row],[SI]]+Table1[[#This Row],[Disc/Prem]]</f>
        <v>703.5</v>
      </c>
      <c r="AD378" s="3">
        <f ca="1">Table1[[#This Row],[Net Gain]]/Table1[[#This Row],[Ask Rate]]</f>
        <v>0.7</v>
      </c>
      <c r="AE378" s="3">
        <f ca="1">IF(Table1[[#This Row],[Ask Qty]]=0,0,Table1[[#This Row],[Gross Yield]]*365/Table1[[#This Row],[Days Left]])</f>
        <v>7.789634146341462E-2</v>
      </c>
      <c r="AF378" s="9">
        <f ca="1">+Table1[[#This Row],[Net Gain]]*Table1[[#This Row],[Ask Qty]]</f>
        <v>1407</v>
      </c>
      <c r="AG378" t="str">
        <f ca="1">IF(Table1[[#This Row],[YTM]]&gt;0.12,IF(Table1[[#This Row],[Gross Profit]]&gt;10000,"Invest","Review"),"Low YTM")</f>
        <v>Low YTM</v>
      </c>
    </row>
    <row r="379" spans="1:33" x14ac:dyDescent="0.3">
      <c r="A379" t="str">
        <f>RTD("nest.scriprtd",,"nse_cm|875SFL27-ZF","Symbol")</f>
        <v>875SFL27</v>
      </c>
      <c r="B379" t="str">
        <f>RTD("nest.scriprtd",,"nse_cm|875SFL27-ZF","Trading Symbol")</f>
        <v>875SFL27-ZF</v>
      </c>
      <c r="C379" t="str">
        <f>RTD("nest.scriprtd",,"nse_cm|875SFL27-ZF","Exchange")</f>
        <v>NSE</v>
      </c>
      <c r="D379">
        <f>RTD("nest.scriprtd",,"nse_cm|875SFL27-ZF","Bid Qty")</f>
        <v>50</v>
      </c>
      <c r="E379">
        <f>RTD("nest.scriprtd",,"nse_cm|875SFL27-ZF","Bid Rate")</f>
        <v>974.01</v>
      </c>
      <c r="F379">
        <f>RTD("nest.scriprtd",,"nse_cm|875SFL27-ZF","Ask Rate")</f>
        <v>1022.5</v>
      </c>
      <c r="G379">
        <f>RTD("nest.scriprtd",,"nse_cm|875SFL27-ZF","Ask Qty")</f>
        <v>50</v>
      </c>
      <c r="H379">
        <f>RTD("nest.scriprtd",,"nse_cm|875SFL27-ZF","LTP")</f>
        <v>1019</v>
      </c>
      <c r="I379" t="str">
        <f>RTD("nest.scriprtd",,"nse_cm|875SFL27-ZF","LTT")</f>
        <v/>
      </c>
      <c r="J379">
        <f>RTD("nest.scriprtd",,"nse_cm|875SFL27-ZF","% Change")</f>
        <v>0</v>
      </c>
      <c r="K379">
        <f>RTD("nest.scriprtd",,"nse_cm|875SFL27-ZF","ATP")</f>
        <v>0</v>
      </c>
      <c r="L379">
        <f>RTD("nest.scriprtd",,"nse_cm|875SFL27-ZF","Volume Traded Today")</f>
        <v>0</v>
      </c>
      <c r="M379">
        <f>RTD("nest.scriprtd",,"nse_cm|875SFL27-ZF","Open")</f>
        <v>0</v>
      </c>
      <c r="N379">
        <f>RTD("nest.scriprtd",,"nse_cm|875SFL27-ZF","High")</f>
        <v>1019</v>
      </c>
      <c r="O379">
        <f>RTD("nest.scriprtd",,"nse_cm|875SFL27-ZF","Low ")</f>
        <v>1019</v>
      </c>
      <c r="P379">
        <f>RTD("nest.scriprtd",,"nse_cm|875SFL27-ZF","Prev Close")</f>
        <v>1019</v>
      </c>
      <c r="Q379">
        <f>RTD("nest.scriprtd",,"nse_cm|875SFL27-ZF","Face Value")</f>
        <v>1000</v>
      </c>
      <c r="R379" t="str">
        <f>RTD("nest.scriprtd",,"nse_cm|875SFL27-ZF","Isin code")</f>
        <v>INE721A07PK7</v>
      </c>
      <c r="S379" s="9">
        <f>Table1[[#This Row],[Ask Rate]]*Table1[[#This Row],[Ask Qty]]</f>
        <v>51125</v>
      </c>
      <c r="T379">
        <f>VLOOKUP(Table1[[#This Row],[Isin code]],Table2[#All],7,FALSE)</f>
        <v>8.75</v>
      </c>
      <c r="U379" s="17" t="str">
        <f>VLOOKUP(Table1[[#This Row],[Isin code]],Table2[#All],8,FALSE)</f>
        <v>28-Jan-2027</v>
      </c>
      <c r="V379" s="10">
        <f ca="1">Table1[[#This Row],[Maturity]]-TODAY()</f>
        <v>834</v>
      </c>
      <c r="W379" t="str">
        <f>VLOOKUP(Table1[[#This Row],[Isin code]],Table2[#All],10,FALSE)</f>
        <v>Monthly</v>
      </c>
      <c r="X379">
        <f ca="1">_xlfn.DAYS(Table1[[#This Row],[Maturity]],TODAY())-15</f>
        <v>819</v>
      </c>
      <c r="Y3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28</v>
      </c>
      <c r="Z379">
        <f>IF(Table1[[#This Row],[Ask Rate]]=0,0,Table1[[#This Row],[Face Value]]-Table1[[#This Row],[Ask Rate]])</f>
        <v>-22.5</v>
      </c>
      <c r="AA379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379">
        <f ca="1">Table1[[#This Row],[Face Value]]*Table1[[#This Row],[Rate]]*Table1[[#This Row],[Time]]</f>
        <v>204.16666666666669</v>
      </c>
      <c r="AC379">
        <f ca="1">Table1[[#This Row],[SI]]+Table1[[#This Row],[Disc/Prem]]</f>
        <v>181.66666666666669</v>
      </c>
      <c r="AD379" s="3">
        <f ca="1">Table1[[#This Row],[Net Gain]]/Table1[[#This Row],[Ask Rate]]</f>
        <v>0.17766911165444174</v>
      </c>
      <c r="AE379" s="3">
        <f ca="1">IF(Table1[[#This Row],[Ask Qty]]=0,0,Table1[[#This Row],[Gross Yield]]*365/Table1[[#This Row],[Days Left]])</f>
        <v>7.7756865412315634E-2</v>
      </c>
      <c r="AF379" s="9">
        <f ca="1">+Table1[[#This Row],[Net Gain]]*Table1[[#This Row],[Ask Qty]]</f>
        <v>9083.3333333333339</v>
      </c>
      <c r="AG379" t="str">
        <f ca="1">IF(Table1[[#This Row],[YTM]]&gt;0.12,IF(Table1[[#This Row],[Gross Profit]]&gt;10000,"Invest","Review"),"Low YTM")</f>
        <v>Low YTM</v>
      </c>
    </row>
    <row r="380" spans="1:33" x14ac:dyDescent="0.3">
      <c r="A380" t="str">
        <f>RTD("nest.scriprtd",,"bse_cm|MFOPTIV24","Symbol")</f>
        <v>MFOPTIV24</v>
      </c>
      <c r="B380" t="str">
        <f>RTD("nest.scriprtd",,"bse_cm|MFOPTIV24","Trading Symbol")</f>
        <v>MFOPTIV24</v>
      </c>
      <c r="C380" t="str">
        <f>RTD("nest.scriprtd",,"bse_cm|MFOPTIV24","Exchange")</f>
        <v>BSE</v>
      </c>
      <c r="D380">
        <f>RTD("nest.scriprtd",,"bse_cm|MFOPTIV24","Bid Qty")</f>
        <v>190</v>
      </c>
      <c r="E380">
        <f>RTD("nest.scriprtd",,"bse_cm|MFOPTIV24","Bid Rate")</f>
        <v>1045</v>
      </c>
      <c r="F380">
        <f>RTD("nest.scriprtd",,"bse_cm|MFOPTIV24","Ask Rate")</f>
        <v>1050</v>
      </c>
      <c r="G380">
        <f>RTD("nest.scriprtd",,"bse_cm|MFOPTIV24","Ask Qty")</f>
        <v>2</v>
      </c>
      <c r="H380">
        <f>RTD("nest.scriprtd",,"bse_cm|MFOPTIV24","LTP")</f>
        <v>1034.8499999999999</v>
      </c>
      <c r="I380" t="str">
        <f>RTD("nest.scriprtd",,"bse_cm|MFOPTIV24","LTT")</f>
        <v>00:00:00</v>
      </c>
      <c r="J380">
        <f>RTD("nest.scriprtd",,"bse_cm|MFOPTIV24","% Change")</f>
        <v>-1.44</v>
      </c>
      <c r="K380">
        <f>RTD("nest.scriprtd",,"bse_cm|MFOPTIV24","ATP")</f>
        <v>0</v>
      </c>
      <c r="L380">
        <f>RTD("nest.scriprtd",,"bse_cm|MFOPTIV24","Volume Traded Today")</f>
        <v>0</v>
      </c>
      <c r="M380">
        <f>RTD("nest.scriprtd",,"bse_cm|MFOPTIV24","Open")</f>
        <v>0</v>
      </c>
      <c r="N380">
        <f>RTD("nest.scriprtd",,"bse_cm|MFOPTIV24","High")</f>
        <v>1034.8499999999999</v>
      </c>
      <c r="O380">
        <f>RTD("nest.scriprtd",,"bse_cm|MFOPTIV24","Low ")</f>
        <v>1034.8499999999999</v>
      </c>
      <c r="P380">
        <f>RTD("nest.scriprtd",,"bse_cm|MFOPTIV24","Prev Close")</f>
        <v>1050</v>
      </c>
      <c r="Q380">
        <f>RTD("nest.scriprtd",,"bse_cm|MFOPTIV24","Face Value")</f>
        <v>1000</v>
      </c>
      <c r="R380" t="str">
        <f>RTD("nest.scriprtd",,"bse_cm|MFOPTIV24","Isin code")</f>
        <v>INE414G07FG5</v>
      </c>
      <c r="S380" s="9">
        <f>Table1[[#This Row],[Ask Rate]]*Table1[[#This Row],[Ask Qty]]</f>
        <v>2100</v>
      </c>
      <c r="T380">
        <f>VLOOKUP(Table1[[#This Row],[Isin code]],Table2[#All],7,FALSE)</f>
        <v>7.75</v>
      </c>
      <c r="U380" s="17" t="str">
        <f>VLOOKUP(Table1[[#This Row],[Isin code]],Table2[#All],8,FALSE)</f>
        <v>05-Nov-2025</v>
      </c>
      <c r="V380" s="10">
        <f ca="1">Table1[[#This Row],[Maturity]]-TODAY()</f>
        <v>385</v>
      </c>
      <c r="W380" t="str">
        <f>VLOOKUP(Table1[[#This Row],[Isin code]],Table2[#All],10,FALSE)</f>
        <v>Yearly</v>
      </c>
      <c r="X380">
        <f ca="1">_xlfn.DAYS(Table1[[#This Row],[Maturity]],TODAY())-15</f>
        <v>370</v>
      </c>
      <c r="Y3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80">
        <f>IF(Table1[[#This Row],[Ask Rate]]=0,0,Table1[[#This Row],[Face Value]]-Table1[[#This Row],[Ask Rate]])</f>
        <v>-50</v>
      </c>
      <c r="AA380">
        <f>IF(Table1[[#This Row],[Freq]]="Yearly",Table1[[#This Row],[Coupon_Rate]]/100,IF(Table1[[#This Row],[Freq]]="Monthly",Table1[[#This Row],[Coupon_Rate]]/1200,IF(Table1[[#This Row],[Freq]]="Quarterly",Table1[[#This Row],[Coupon_Rate]]/400,0)))</f>
        <v>7.7499999999999999E-2</v>
      </c>
      <c r="AB380">
        <f ca="1">Table1[[#This Row],[Face Value]]*Table1[[#This Row],[Rate]]*Table1[[#This Row],[Time]]</f>
        <v>155</v>
      </c>
      <c r="AC380">
        <f ca="1">Table1[[#This Row],[SI]]+Table1[[#This Row],[Disc/Prem]]</f>
        <v>105</v>
      </c>
      <c r="AD380" s="3">
        <f ca="1">Table1[[#This Row],[Net Gain]]/Table1[[#This Row],[Ask Rate]]</f>
        <v>0.1</v>
      </c>
      <c r="AE380" s="3">
        <f ca="1">IF(Table1[[#This Row],[Ask Qty]]=0,0,Table1[[#This Row],[Gross Yield]]*365/Table1[[#This Row],[Days Left]])</f>
        <v>9.4805194805194809E-2</v>
      </c>
      <c r="AF380" s="9">
        <f ca="1">+Table1[[#This Row],[Net Gain]]*Table1[[#This Row],[Ask Qty]]</f>
        <v>210</v>
      </c>
      <c r="AG380" t="str">
        <f ca="1">IF(Table1[[#This Row],[YTM]]&gt;0.12,IF(Table1[[#This Row],[Gross Profit]]&gt;10000,"Invest","Review"),"Low YTM")</f>
        <v>Low YTM</v>
      </c>
    </row>
    <row r="381" spans="1:33" x14ac:dyDescent="0.3">
      <c r="A381" t="str">
        <f>RTD("nest.scriprtd",,"bse_cm|797IGT31","Symbol")</f>
        <v>797IGT31</v>
      </c>
      <c r="B381" t="str">
        <f>RTD("nest.scriprtd",,"bse_cm|797IGT31","Trading Symbol")</f>
        <v>797IGT31</v>
      </c>
      <c r="C381" t="str">
        <f>RTD("nest.scriprtd",,"bse_cm|797IGT31","Exchange")</f>
        <v>BSE</v>
      </c>
      <c r="D381">
        <f>RTD("nest.scriprtd",,"bse_cm|797IGT31","Bid Qty")</f>
        <v>10</v>
      </c>
      <c r="E381">
        <f>RTD("nest.scriprtd",,"bse_cm|797IGT31","Bid Rate")</f>
        <v>1000</v>
      </c>
      <c r="F381">
        <f>RTD("nest.scriprtd",,"bse_cm|797IGT31","Ask Rate")</f>
        <v>1020</v>
      </c>
      <c r="G381">
        <f>RTD("nest.scriprtd",,"bse_cm|797IGT31","Ask Qty")</f>
        <v>10</v>
      </c>
      <c r="H381">
        <f>RTD("nest.scriprtd",,"bse_cm|797IGT31","LTP")</f>
        <v>0</v>
      </c>
      <c r="I381" t="str">
        <f>RTD("nest.scriprtd",,"bse_cm|797IGT31","LTT")</f>
        <v>00:00:00</v>
      </c>
      <c r="J381">
        <f>RTD("nest.scriprtd",,"bse_cm|797IGT31","% Change")</f>
        <v>-100</v>
      </c>
      <c r="K381">
        <f>RTD("nest.scriprtd",,"bse_cm|797IGT31","ATP")</f>
        <v>0</v>
      </c>
      <c r="L381">
        <f>RTD("nest.scriprtd",,"bse_cm|797IGT31","Volume Traded Today")</f>
        <v>0</v>
      </c>
      <c r="M381">
        <f>RTD("nest.scriprtd",,"bse_cm|797IGT31","Open")</f>
        <v>0</v>
      </c>
      <c r="N381">
        <f>RTD("nest.scriprtd",,"bse_cm|797IGT31","High")</f>
        <v>1000</v>
      </c>
      <c r="O381">
        <f>RTD("nest.scriprtd",,"bse_cm|797IGT31","Low ")</f>
        <v>1000</v>
      </c>
      <c r="P381">
        <f>RTD("nest.scriprtd",,"bse_cm|797IGT31","Prev Close")</f>
        <v>1000</v>
      </c>
      <c r="Q381">
        <f>RTD("nest.scriprtd",,"bse_cm|797IGT31","Face Value")</f>
        <v>1000</v>
      </c>
      <c r="R381" t="str">
        <f>RTD("nest.scriprtd",,"bse_cm|797IGT31","Isin code")</f>
        <v>INE219X07280</v>
      </c>
      <c r="S381" s="9">
        <f>Table1[[#This Row],[Ask Rate]]*Table1[[#This Row],[Ask Qty]]</f>
        <v>10200</v>
      </c>
      <c r="T381">
        <f>VLOOKUP(Table1[[#This Row],[Isin code]],Table2[#All],7,FALSE)</f>
        <v>7.97</v>
      </c>
      <c r="U381" s="17" t="str">
        <f>VLOOKUP(Table1[[#This Row],[Isin code]],Table2[#All],8,FALSE)</f>
        <v>06-May-2031</v>
      </c>
      <c r="V381" s="10">
        <f ca="1">Table1[[#This Row],[Maturity]]-TODAY()</f>
        <v>2393</v>
      </c>
      <c r="W381" t="str">
        <f>VLOOKUP(Table1[[#This Row],[Isin code]],Table2[#All],10,FALSE)</f>
        <v>Quarterly</v>
      </c>
      <c r="X381">
        <f ca="1">_xlfn.DAYS(Table1[[#This Row],[Maturity]],TODAY())-15</f>
        <v>2378</v>
      </c>
      <c r="Y3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381">
        <f>IF(Table1[[#This Row],[Ask Rate]]=0,0,Table1[[#This Row],[Face Value]]-Table1[[#This Row],[Ask Rate]])</f>
        <v>-20</v>
      </c>
      <c r="AA381">
        <f>IF(Table1[[#This Row],[Freq]]="Yearly",Table1[[#This Row],[Coupon_Rate]]/100,IF(Table1[[#This Row],[Freq]]="Monthly",Table1[[#This Row],[Coupon_Rate]]/1200,IF(Table1[[#This Row],[Freq]]="Quarterly",Table1[[#This Row],[Coupon_Rate]]/400,0)))</f>
        <v>1.9924999999999998E-2</v>
      </c>
      <c r="AB381">
        <f ca="1">Table1[[#This Row],[Face Value]]*Table1[[#This Row],[Rate]]*Table1[[#This Row],[Time]]</f>
        <v>537.97499999999991</v>
      </c>
      <c r="AC381">
        <f ca="1">Table1[[#This Row],[SI]]+Table1[[#This Row],[Disc/Prem]]</f>
        <v>517.97499999999991</v>
      </c>
      <c r="AD381" s="3">
        <f ca="1">Table1[[#This Row],[Net Gain]]/Table1[[#This Row],[Ask Rate]]</f>
        <v>0.50781862745098028</v>
      </c>
      <c r="AE381" s="3">
        <f ca="1">IF(Table1[[#This Row],[Ask Qty]]=0,0,Table1[[#This Row],[Gross Yield]]*365/Table1[[#This Row],[Days Left]])</f>
        <v>7.745666486402332E-2</v>
      </c>
      <c r="AF381" s="9">
        <f ca="1">+Table1[[#This Row],[Net Gain]]*Table1[[#This Row],[Ask Qty]]</f>
        <v>5179.7499999999991</v>
      </c>
      <c r="AG381" t="str">
        <f ca="1">IF(Table1[[#This Row],[YTM]]&gt;0.12,IF(Table1[[#This Row],[Gross Profit]]&gt;10000,"Invest","Review"),"Low YTM")</f>
        <v>Low YTM</v>
      </c>
    </row>
    <row r="382" spans="1:33" x14ac:dyDescent="0.3">
      <c r="A382" t="str">
        <f>RTD("nest.scriprtd",,"bse_cm|115CCIL28","Symbol")</f>
        <v>115CCIL28</v>
      </c>
      <c r="B382" t="str">
        <f>RTD("nest.scriprtd",,"bse_cm|115CCIL28","Trading Symbol")</f>
        <v>115CCIL28</v>
      </c>
      <c r="C382" t="str">
        <f>RTD("nest.scriprtd",,"bse_cm|115CCIL28","Exchange")</f>
        <v>BSE</v>
      </c>
      <c r="D382">
        <f>RTD("nest.scriprtd",,"bse_cm|115CCIL28","Bid Qty")</f>
        <v>21</v>
      </c>
      <c r="E382">
        <f>RTD("nest.scriprtd",,"bse_cm|115CCIL28","Bid Rate")</f>
        <v>932</v>
      </c>
      <c r="F382">
        <f>RTD("nest.scriprtd",,"bse_cm|115CCIL28","Ask Rate")</f>
        <v>1100</v>
      </c>
      <c r="G382">
        <f>RTD("nest.scriprtd",,"bse_cm|115CCIL28","Ask Qty")</f>
        <v>13</v>
      </c>
      <c r="H382">
        <f>RTD("nest.scriprtd",,"bse_cm|115CCIL28","LTP")</f>
        <v>0</v>
      </c>
      <c r="I382" t="str">
        <f>RTD("nest.scriprtd",,"bse_cm|115CCIL28","LTT")</f>
        <v>00:00:00</v>
      </c>
      <c r="J382">
        <f>RTD("nest.scriprtd",,"bse_cm|115CCIL28","% Change")</f>
        <v>-100</v>
      </c>
      <c r="K382">
        <f>RTD("nest.scriprtd",,"bse_cm|115CCIL28","ATP")</f>
        <v>0</v>
      </c>
      <c r="L382">
        <f>RTD("nest.scriprtd",,"bse_cm|115CCIL28","Volume Traded Today")</f>
        <v>0</v>
      </c>
      <c r="M382">
        <f>RTD("nest.scriprtd",,"bse_cm|115CCIL28","Open")</f>
        <v>0</v>
      </c>
      <c r="N382">
        <f>RTD("nest.scriprtd",,"bse_cm|115CCIL28","High")</f>
        <v>930</v>
      </c>
      <c r="O382">
        <f>RTD("nest.scriprtd",,"bse_cm|115CCIL28","Low ")</f>
        <v>930</v>
      </c>
      <c r="P382">
        <f>RTD("nest.scriprtd",,"bse_cm|115CCIL28","Prev Close")</f>
        <v>930</v>
      </c>
      <c r="Q382">
        <f>RTD("nest.scriprtd",,"bse_cm|115CCIL28","Face Value")</f>
        <v>1000</v>
      </c>
      <c r="R382" t="str">
        <f>RTD("nest.scriprtd",,"bse_cm|115CCIL28","Isin code")</f>
        <v>INE051307AB8</v>
      </c>
      <c r="S382" s="9">
        <f>Table1[[#This Row],[Ask Rate]]*Table1[[#This Row],[Ask Qty]]</f>
        <v>14300</v>
      </c>
      <c r="T382">
        <f>VLOOKUP(Table1[[#This Row],[Isin code]],Table2[#All],7,FALSE)</f>
        <v>11.5</v>
      </c>
      <c r="U382" s="17" t="str">
        <f>VLOOKUP(Table1[[#This Row],[Isin code]],Table2[#All],8,FALSE)</f>
        <v>11-Jan-2028</v>
      </c>
      <c r="V382" s="10">
        <f ca="1">Table1[[#This Row],[Maturity]]-TODAY()</f>
        <v>1182</v>
      </c>
      <c r="W382" t="str">
        <f>VLOOKUP(Table1[[#This Row],[Isin code]],Table2[#All],10,FALSE)</f>
        <v>Monthly</v>
      </c>
      <c r="X382">
        <f ca="1">_xlfn.DAYS(Table1[[#This Row],[Maturity]],TODAY())-15</f>
        <v>1167</v>
      </c>
      <c r="Y3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382">
        <f>IF(Table1[[#This Row],[Ask Rate]]=0,0,Table1[[#This Row],[Face Value]]-Table1[[#This Row],[Ask Rate]])</f>
        <v>-100</v>
      </c>
      <c r="AA382">
        <f>IF(Table1[[#This Row],[Freq]]="Yearly",Table1[[#This Row],[Coupon_Rate]]/100,IF(Table1[[#This Row],[Freq]]="Monthly",Table1[[#This Row],[Coupon_Rate]]/1200,IF(Table1[[#This Row],[Freq]]="Quarterly",Table1[[#This Row],[Coupon_Rate]]/400,0)))</f>
        <v>9.5833333333333326E-3</v>
      </c>
      <c r="AB382">
        <f ca="1">Table1[[#This Row],[Face Value]]*Table1[[#This Row],[Rate]]*Table1[[#This Row],[Time]]</f>
        <v>373.74999999999994</v>
      </c>
      <c r="AC382">
        <f ca="1">Table1[[#This Row],[SI]]+Table1[[#This Row],[Disc/Prem]]</f>
        <v>273.74999999999994</v>
      </c>
      <c r="AD382" s="3">
        <f ca="1">Table1[[#This Row],[Net Gain]]/Table1[[#This Row],[Ask Rate]]</f>
        <v>0.24886363636363631</v>
      </c>
      <c r="AE382" s="3">
        <f ca="1">IF(Table1[[#This Row],[Ask Qty]]=0,0,Table1[[#This Row],[Gross Yield]]*365/Table1[[#This Row],[Days Left]])</f>
        <v>7.6848754037840319E-2</v>
      </c>
      <c r="AF382" s="9">
        <f ca="1">+Table1[[#This Row],[Net Gain]]*Table1[[#This Row],[Ask Qty]]</f>
        <v>3558.7499999999991</v>
      </c>
      <c r="AG382" t="str">
        <f ca="1">IF(Table1[[#This Row],[YTM]]&gt;0.12,IF(Table1[[#This Row],[Gross Profit]]&gt;10000,"Invest","Review"),"Low YTM")</f>
        <v>Low YTM</v>
      </c>
    </row>
    <row r="383" spans="1:33" x14ac:dyDescent="0.3">
      <c r="A383" t="str">
        <f>RTD("nest.scriprtd",,"bse_cm|82IGT31","Symbol")</f>
        <v>82IGT31</v>
      </c>
      <c r="B383" t="str">
        <f>RTD("nest.scriprtd",,"bse_cm|82IGT31","Trading Symbol")</f>
        <v>82IGT31</v>
      </c>
      <c r="C383" t="str">
        <f>RTD("nest.scriprtd",,"bse_cm|82IGT31","Exchange")</f>
        <v>BSE</v>
      </c>
      <c r="D383">
        <f>RTD("nest.scriprtd",,"bse_cm|82IGT31","Bid Qty")</f>
        <v>9</v>
      </c>
      <c r="E383">
        <f>RTD("nest.scriprtd",,"bse_cm|82IGT31","Bid Rate")</f>
        <v>1030.0999999999999</v>
      </c>
      <c r="F383">
        <f>RTD("nest.scriprtd",,"bse_cm|82IGT31","Ask Rate")</f>
        <v>1048</v>
      </c>
      <c r="G383">
        <f>RTD("nest.scriprtd",,"bse_cm|82IGT31","Ask Qty")</f>
        <v>120</v>
      </c>
      <c r="H383">
        <f>RTD("nest.scriprtd",,"bse_cm|82IGT31","LTP")</f>
        <v>0</v>
      </c>
      <c r="I383" t="str">
        <f>RTD("nest.scriprtd",,"bse_cm|82IGT31","LTT")</f>
        <v>00:00:00</v>
      </c>
      <c r="J383">
        <f>RTD("nest.scriprtd",,"bse_cm|82IGT31","% Change")</f>
        <v>-100</v>
      </c>
      <c r="K383">
        <f>RTD("nest.scriprtd",,"bse_cm|82IGT31","ATP")</f>
        <v>0</v>
      </c>
      <c r="L383">
        <f>RTD("nest.scriprtd",,"bse_cm|82IGT31","Volume Traded Today")</f>
        <v>0</v>
      </c>
      <c r="M383">
        <f>RTD("nest.scriprtd",,"bse_cm|82IGT31","Open")</f>
        <v>0</v>
      </c>
      <c r="N383">
        <f>RTD("nest.scriprtd",,"bse_cm|82IGT31","High")</f>
        <v>1027</v>
      </c>
      <c r="O383">
        <f>RTD("nest.scriprtd",,"bse_cm|82IGT31","Low ")</f>
        <v>1027</v>
      </c>
      <c r="P383">
        <f>RTD("nest.scriprtd",,"bse_cm|82IGT31","Prev Close")</f>
        <v>1027</v>
      </c>
      <c r="Q383">
        <f>RTD("nest.scriprtd",,"bse_cm|82IGT31","Face Value")</f>
        <v>1000</v>
      </c>
      <c r="R383" t="str">
        <f>RTD("nest.scriprtd",,"bse_cm|82IGT31","Isin code")</f>
        <v>INE219X07264</v>
      </c>
      <c r="S383" s="9">
        <f>Table1[[#This Row],[Ask Rate]]*Table1[[#This Row],[Ask Qty]]</f>
        <v>125760</v>
      </c>
      <c r="T383">
        <f>VLOOKUP(Table1[[#This Row],[Isin code]],Table2[#All],7,FALSE)</f>
        <v>8.1999999999999993</v>
      </c>
      <c r="U383" s="17" t="str">
        <f>VLOOKUP(Table1[[#This Row],[Isin code]],Table2[#All],8,FALSE)</f>
        <v>06-May-2031</v>
      </c>
      <c r="V383" s="10">
        <f ca="1">Table1[[#This Row],[Maturity]]-TODAY()</f>
        <v>2393</v>
      </c>
      <c r="W383" t="str">
        <f>VLOOKUP(Table1[[#This Row],[Isin code]],Table2[#All],10,FALSE)</f>
        <v>Yearly</v>
      </c>
      <c r="X383">
        <f ca="1">_xlfn.DAYS(Table1[[#This Row],[Maturity]],TODAY())-15</f>
        <v>2378</v>
      </c>
      <c r="Y3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383">
        <f>IF(Table1[[#This Row],[Ask Rate]]=0,0,Table1[[#This Row],[Face Value]]-Table1[[#This Row],[Ask Rate]])</f>
        <v>-48</v>
      </c>
      <c r="AA383">
        <f>IF(Table1[[#This Row],[Freq]]="Yearly",Table1[[#This Row],[Coupon_Rate]]/100,IF(Table1[[#This Row],[Freq]]="Monthly",Table1[[#This Row],[Coupon_Rate]]/1200,IF(Table1[[#This Row],[Freq]]="Quarterly",Table1[[#This Row],[Coupon_Rate]]/400,0)))</f>
        <v>8.199999999999999E-2</v>
      </c>
      <c r="AB383">
        <f ca="1">Table1[[#This Row],[Face Value]]*Table1[[#This Row],[Rate]]*Table1[[#This Row],[Time]]</f>
        <v>573.99999999999989</v>
      </c>
      <c r="AC383">
        <f ca="1">Table1[[#This Row],[SI]]+Table1[[#This Row],[Disc/Prem]]</f>
        <v>525.99999999999989</v>
      </c>
      <c r="AD383" s="3">
        <f ca="1">Table1[[#This Row],[Net Gain]]/Table1[[#This Row],[Ask Rate]]</f>
        <v>0.50190839694656475</v>
      </c>
      <c r="AE383" s="3">
        <f ca="1">IF(Table1[[#This Row],[Ask Qty]]=0,0,Table1[[#This Row],[Gross Yield]]*365/Table1[[#This Row],[Days Left]])</f>
        <v>7.6555188000625218E-2</v>
      </c>
      <c r="AF383" s="9">
        <f ca="1">+Table1[[#This Row],[Net Gain]]*Table1[[#This Row],[Ask Qty]]</f>
        <v>63119.999999999985</v>
      </c>
      <c r="AG383" t="str">
        <f ca="1">IF(Table1[[#This Row],[YTM]]&gt;0.12,IF(Table1[[#This Row],[Gross Profit]]&gt;10000,"Invest","Review"),"Low YTM")</f>
        <v>Low YTM</v>
      </c>
    </row>
    <row r="384" spans="1:33" x14ac:dyDescent="0.3">
      <c r="A384" t="str">
        <f>RTD("nest.scriprtd",,"bse_cm|92MMFSL27","Symbol")</f>
        <v>92MMFSL27</v>
      </c>
      <c r="B384" t="str">
        <f>RTD("nest.scriprtd",,"bse_cm|92MMFSL27","Trading Symbol")</f>
        <v>92MMFSL27</v>
      </c>
      <c r="C384" t="str">
        <f>RTD("nest.scriprtd",,"bse_cm|92MMFSL27","Exchange")</f>
        <v>BSE</v>
      </c>
      <c r="D384">
        <f>RTD("nest.scriprtd",,"bse_cm|92MMFSL27","Bid Qty")</f>
        <v>5</v>
      </c>
      <c r="E384">
        <f>RTD("nest.scriprtd",,"bse_cm|92MMFSL27","Bid Rate")</f>
        <v>1026.3599999999999</v>
      </c>
      <c r="F384">
        <f>RTD("nest.scriprtd",,"bse_cm|92MMFSL27","Ask Rate")</f>
        <v>1087.99</v>
      </c>
      <c r="G384">
        <f>RTD("nest.scriprtd",,"bse_cm|92MMFSL27","Ask Qty")</f>
        <v>9</v>
      </c>
      <c r="H384">
        <f>RTD("nest.scriprtd",,"bse_cm|92MMFSL27","LTP")</f>
        <v>0</v>
      </c>
      <c r="I384" t="str">
        <f>RTD("nest.scriprtd",,"bse_cm|92MMFSL27","LTT")</f>
        <v>00:00:00</v>
      </c>
      <c r="J384">
        <f>RTD("nest.scriprtd",,"bse_cm|92MMFSL27","% Change")</f>
        <v>-100</v>
      </c>
      <c r="K384">
        <f>RTD("nest.scriprtd",,"bse_cm|92MMFSL27","ATP")</f>
        <v>0</v>
      </c>
      <c r="L384">
        <f>RTD("nest.scriprtd",,"bse_cm|92MMFSL27","Volume Traded Today")</f>
        <v>0</v>
      </c>
      <c r="M384">
        <f>RTD("nest.scriprtd",,"bse_cm|92MMFSL27","Open")</f>
        <v>0</v>
      </c>
      <c r="N384">
        <f>RTD("nest.scriprtd",,"bse_cm|92MMFSL27","High")</f>
        <v>1074.5</v>
      </c>
      <c r="O384">
        <f>RTD("nest.scriprtd",,"bse_cm|92MMFSL27","Low ")</f>
        <v>1031.99</v>
      </c>
      <c r="P384">
        <f>RTD("nest.scriprtd",,"bse_cm|92MMFSL27","Prev Close")</f>
        <v>1034.4000000000001</v>
      </c>
      <c r="Q384">
        <f>RTD("nest.scriprtd",,"bse_cm|92MMFSL27","Face Value")</f>
        <v>1000</v>
      </c>
      <c r="R384" t="str">
        <f>RTD("nest.scriprtd",,"bse_cm|92MMFSL27","Isin code")</f>
        <v>INE774D07SV1</v>
      </c>
      <c r="S384" s="9">
        <f>Table1[[#This Row],[Ask Rate]]*Table1[[#This Row],[Ask Qty]]</f>
        <v>9791.91</v>
      </c>
      <c r="T384">
        <f>VLOOKUP(Table1[[#This Row],[Isin code]],Table2[#All],7,FALSE)</f>
        <v>9.1999999999999993</v>
      </c>
      <c r="U384" s="17" t="str">
        <f>VLOOKUP(Table1[[#This Row],[Isin code]],Table2[#All],8,FALSE)</f>
        <v>18-Jan-2027</v>
      </c>
      <c r="V384" s="10">
        <f ca="1">Table1[[#This Row],[Maturity]]-TODAY()</f>
        <v>824</v>
      </c>
      <c r="W384" t="str">
        <f>VLOOKUP(Table1[[#This Row],[Isin code]],Table2[#All],10,FALSE)</f>
        <v>Yearly</v>
      </c>
      <c r="X384">
        <f ca="1">_xlfn.DAYS(Table1[[#This Row],[Maturity]],TODAY())-15</f>
        <v>809</v>
      </c>
      <c r="Y3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84">
        <f>IF(Table1[[#This Row],[Ask Rate]]=0,0,Table1[[#This Row],[Face Value]]-Table1[[#This Row],[Ask Rate]])</f>
        <v>-87.990000000000009</v>
      </c>
      <c r="AA384">
        <f>IF(Table1[[#This Row],[Freq]]="Yearly",Table1[[#This Row],[Coupon_Rate]]/100,IF(Table1[[#This Row],[Freq]]="Monthly",Table1[[#This Row],[Coupon_Rate]]/1200,IF(Table1[[#This Row],[Freq]]="Quarterly",Table1[[#This Row],[Coupon_Rate]]/400,0)))</f>
        <v>9.1999999999999998E-2</v>
      </c>
      <c r="AB384">
        <f ca="1">Table1[[#This Row],[Face Value]]*Table1[[#This Row],[Rate]]*Table1[[#This Row],[Time]]</f>
        <v>276</v>
      </c>
      <c r="AC384">
        <f ca="1">Table1[[#This Row],[SI]]+Table1[[#This Row],[Disc/Prem]]</f>
        <v>188.01</v>
      </c>
      <c r="AD384" s="3">
        <f ca="1">Table1[[#This Row],[Net Gain]]/Table1[[#This Row],[Ask Rate]]</f>
        <v>0.17280489710383368</v>
      </c>
      <c r="AE384" s="3">
        <f ca="1">IF(Table1[[#This Row],[Ask Qty]]=0,0,Table1[[#This Row],[Gross Yield]]*365/Table1[[#This Row],[Days Left]])</f>
        <v>7.6545858547207885E-2</v>
      </c>
      <c r="AF384" s="9">
        <f ca="1">+Table1[[#This Row],[Net Gain]]*Table1[[#This Row],[Ask Qty]]</f>
        <v>1692.09</v>
      </c>
      <c r="AG384" t="str">
        <f ca="1">IF(Table1[[#This Row],[YTM]]&gt;0.12,IF(Table1[[#This Row],[Gross Profit]]&gt;10000,"Invest","Review"),"Low YTM")</f>
        <v>Low YTM</v>
      </c>
    </row>
    <row r="385" spans="1:33" x14ac:dyDescent="0.3">
      <c r="A385" t="str">
        <f>RTD("nest.scriprtd",,"nse_cm|898LTF29-N7","Symbol")</f>
        <v>898LTF29</v>
      </c>
      <c r="B385" t="str">
        <f>RTD("nest.scriprtd",,"nse_cm|898LTF29-N7","Trading Symbol")</f>
        <v>898LTF29-N7</v>
      </c>
      <c r="C385" t="str">
        <f>RTD("nest.scriprtd",,"nse_cm|898LTF29-N7","Exchange")</f>
        <v>NSE</v>
      </c>
      <c r="D385">
        <f>RTD("nest.scriprtd",,"nse_cm|898LTF29-N7","Bid Qty")</f>
        <v>30</v>
      </c>
      <c r="E385">
        <f>RTD("nest.scriprtd",,"nse_cm|898LTF29-N7","Bid Rate")</f>
        <v>1040</v>
      </c>
      <c r="F385">
        <f>RTD("nest.scriprtd",,"nse_cm|898LTF29-N7","Ask Rate")</f>
        <v>1050</v>
      </c>
      <c r="G385">
        <f>RTD("nest.scriprtd",,"nse_cm|898LTF29-N7","Ask Qty")</f>
        <v>10</v>
      </c>
      <c r="H385">
        <f>RTD("nest.scriprtd",,"nse_cm|898LTF29-N7","LTP")</f>
        <v>1050.9000000000001</v>
      </c>
      <c r="I385" t="str">
        <f>RTD("nest.scriprtd",,"nse_cm|898LTF29-N7","LTT")</f>
        <v>09:18:17</v>
      </c>
      <c r="J385">
        <f>RTD("nest.scriprtd",,"nse_cm|898LTF29-N7","% Change")</f>
        <v>0</v>
      </c>
      <c r="K385">
        <f>RTD("nest.scriprtd",,"nse_cm|898LTF29-N7","ATP")</f>
        <v>1050.9000000000001</v>
      </c>
      <c r="L385">
        <f>RTD("nest.scriprtd",,"nse_cm|898LTF29-N7","Volume Traded Today")</f>
        <v>300</v>
      </c>
      <c r="M385">
        <f>RTD("nest.scriprtd",,"nse_cm|898LTF29-N7","Open")</f>
        <v>1050.9000000000001</v>
      </c>
      <c r="N385">
        <f>RTD("nest.scriprtd",,"nse_cm|898LTF29-N7","High")</f>
        <v>1050.9000000000001</v>
      </c>
      <c r="O385">
        <f>RTD("nest.scriprtd",,"nse_cm|898LTF29-N7","Low ")</f>
        <v>1050.9000000000001</v>
      </c>
      <c r="P385">
        <f>RTD("nest.scriprtd",,"nse_cm|898LTF29-N7","Prev Close")</f>
        <v>1050.9000000000001</v>
      </c>
      <c r="Q385">
        <f>RTD("nest.scriprtd",,"nse_cm|898LTF29-N7","Face Value")</f>
        <v>1000</v>
      </c>
      <c r="R385" t="str">
        <f>RTD("nest.scriprtd",,"nse_cm|898LTF29-N7","Isin code")</f>
        <v>INE027E07998</v>
      </c>
      <c r="S385" s="9">
        <f>Table1[[#This Row],[Ask Rate]]*Table1[[#This Row],[Ask Qty]]</f>
        <v>10500</v>
      </c>
      <c r="T385">
        <f>VLOOKUP(Table1[[#This Row],[Isin code]],Table2[#All],7,FALSE)</f>
        <v>8.98</v>
      </c>
      <c r="U385" s="17">
        <f>VLOOKUP(Table1[[#This Row],[Isin code]],Table2[#All],8,FALSE)</f>
        <v>47190</v>
      </c>
      <c r="V385" s="10">
        <f ca="1">Table1[[#This Row],[Maturity]]-TODAY()</f>
        <v>1609</v>
      </c>
      <c r="W385" t="str">
        <f>VLOOKUP(Table1[[#This Row],[Isin code]],Table2[#All],10,FALSE)</f>
        <v>Monthly</v>
      </c>
      <c r="X385">
        <f ca="1">_xlfn.DAYS(Table1[[#This Row],[Maturity]],TODAY())-15</f>
        <v>1594</v>
      </c>
      <c r="Y3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385">
        <f>IF(Table1[[#This Row],[Ask Rate]]=0,0,Table1[[#This Row],[Face Value]]-Table1[[#This Row],[Ask Rate]])</f>
        <v>-50</v>
      </c>
      <c r="AA385">
        <f>IF(Table1[[#This Row],[Freq]]="Yearly",Table1[[#This Row],[Coupon_Rate]]/100,IF(Table1[[#This Row],[Freq]]="Monthly",Table1[[#This Row],[Coupon_Rate]]/1200,IF(Table1[[#This Row],[Freq]]="Quarterly",Table1[[#This Row],[Coupon_Rate]]/400,0)))</f>
        <v>7.483333333333334E-3</v>
      </c>
      <c r="AB385">
        <f ca="1">Table1[[#This Row],[Face Value]]*Table1[[#This Row],[Rate]]*Table1[[#This Row],[Time]]</f>
        <v>404.1</v>
      </c>
      <c r="AC385">
        <f ca="1">Table1[[#This Row],[SI]]+Table1[[#This Row],[Disc/Prem]]</f>
        <v>354.1</v>
      </c>
      <c r="AD385" s="3">
        <f ca="1">Table1[[#This Row],[Net Gain]]/Table1[[#This Row],[Ask Rate]]</f>
        <v>0.33723809523809528</v>
      </c>
      <c r="AE385" s="3">
        <f ca="1">IF(Table1[[#This Row],[Ask Qty]]=0,0,Table1[[#This Row],[Gross Yield]]*365/Table1[[#This Row],[Days Left]])</f>
        <v>7.6502116073278295E-2</v>
      </c>
      <c r="AF385" s="9">
        <f ca="1">+Table1[[#This Row],[Net Gain]]*Table1[[#This Row],[Ask Qty]]</f>
        <v>3541</v>
      </c>
      <c r="AG385" t="str">
        <f ca="1">IF(Table1[[#This Row],[YTM]]&gt;0.12,IF(Table1[[#This Row],[Gross Profit]]&gt;10000,"Invest","Review"),"Low YTM")</f>
        <v>Low YTM</v>
      </c>
    </row>
    <row r="386" spans="1:33" x14ac:dyDescent="0.3">
      <c r="A386" t="str">
        <f>RTD("nest.scriprtd",,"nse_cm|957ICCL25-YW","Symbol")</f>
        <v>957ICCL25</v>
      </c>
      <c r="B386" t="str">
        <f>RTD("nest.scriprtd",,"nse_cm|957ICCL25-YW","Trading Symbol")</f>
        <v>957ICCL25-YW</v>
      </c>
      <c r="C386" t="str">
        <f>RTD("nest.scriprtd",,"nse_cm|957ICCL25-YW","Exchange")</f>
        <v>NSE</v>
      </c>
      <c r="D386">
        <f>RTD("nest.scriprtd",,"nse_cm|957ICCL25-YW","Bid Qty")</f>
        <v>1</v>
      </c>
      <c r="E386">
        <f>RTD("nest.scriprtd",,"nse_cm|957ICCL25-YW","Bid Rate")</f>
        <v>1035</v>
      </c>
      <c r="F386">
        <f>RTD("nest.scriprtd",,"nse_cm|957ICCL25-YW","Ask Rate")</f>
        <v>1055</v>
      </c>
      <c r="G386">
        <f>RTD("nest.scriprtd",,"nse_cm|957ICCL25-YW","Ask Qty")</f>
        <v>120</v>
      </c>
      <c r="H386">
        <f>RTD("nest.scriprtd",,"nse_cm|957ICCL25-YW","LTP")</f>
        <v>1030</v>
      </c>
      <c r="I386" t="str">
        <f>RTD("nest.scriprtd",,"nse_cm|957ICCL25-YW","LTT")</f>
        <v/>
      </c>
      <c r="J386">
        <f>RTD("nest.scriprtd",,"nse_cm|957ICCL25-YW","% Change")</f>
        <v>0</v>
      </c>
      <c r="K386">
        <f>RTD("nest.scriprtd",,"nse_cm|957ICCL25-YW","ATP")</f>
        <v>0</v>
      </c>
      <c r="L386">
        <f>RTD("nest.scriprtd",,"nse_cm|957ICCL25-YW","Volume Traded Today")</f>
        <v>0</v>
      </c>
      <c r="M386">
        <f>RTD("nest.scriprtd",,"nse_cm|957ICCL25-YW","Open")</f>
        <v>0</v>
      </c>
      <c r="N386">
        <f>RTD("nest.scriprtd",,"nse_cm|957ICCL25-YW","High")</f>
        <v>1030</v>
      </c>
      <c r="O386">
        <f>RTD("nest.scriprtd",,"nse_cm|957ICCL25-YW","Low ")</f>
        <v>1030</v>
      </c>
      <c r="P386">
        <f>RTD("nest.scriprtd",,"nse_cm|957ICCL25-YW","Prev Close")</f>
        <v>1030</v>
      </c>
      <c r="Q386">
        <f>RTD("nest.scriprtd",,"nse_cm|957ICCL25-YW","Face Value")</f>
        <v>1000</v>
      </c>
      <c r="R386" t="str">
        <f>RTD("nest.scriprtd",,"nse_cm|957ICCL25-YW","Isin code")</f>
        <v>INE721A07ON4</v>
      </c>
      <c r="S386" s="9">
        <f>Table1[[#This Row],[Ask Rate]]*Table1[[#This Row],[Ask Qty]]</f>
        <v>126600</v>
      </c>
      <c r="T386">
        <f>VLOOKUP(Table1[[#This Row],[Isin code]],Table2[#All],7,FALSE)</f>
        <v>9.3000000000000007</v>
      </c>
      <c r="U386" s="17" t="str">
        <f>VLOOKUP(Table1[[#This Row],[Isin code]],Table2[#All],8,FALSE)</f>
        <v>06-Feb-2029</v>
      </c>
      <c r="V386" s="10">
        <f ca="1">Table1[[#This Row],[Maturity]]-TODAY()</f>
        <v>1574</v>
      </c>
      <c r="W386" t="str">
        <f>VLOOKUP(Table1[[#This Row],[Isin code]],Table2[#All],10,FALSE)</f>
        <v>Monthly</v>
      </c>
      <c r="X386">
        <f ca="1">_xlfn.DAYS(Table1[[#This Row],[Maturity]],TODAY())-15</f>
        <v>1559</v>
      </c>
      <c r="Y3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52</v>
      </c>
      <c r="Z386">
        <f>IF(Table1[[#This Row],[Ask Rate]]=0,0,Table1[[#This Row],[Face Value]]-Table1[[#This Row],[Ask Rate]])</f>
        <v>-55</v>
      </c>
      <c r="AA386">
        <f>IF(Table1[[#This Row],[Freq]]="Yearly",Table1[[#This Row],[Coupon_Rate]]/100,IF(Table1[[#This Row],[Freq]]="Monthly",Table1[[#This Row],[Coupon_Rate]]/1200,IF(Table1[[#This Row],[Freq]]="Quarterly",Table1[[#This Row],[Coupon_Rate]]/400,0)))</f>
        <v>7.7500000000000008E-3</v>
      </c>
      <c r="AB386">
        <f ca="1">Table1[[#This Row],[Face Value]]*Table1[[#This Row],[Rate]]*Table1[[#This Row],[Time]]</f>
        <v>403.00000000000006</v>
      </c>
      <c r="AC386">
        <f ca="1">Table1[[#This Row],[SI]]+Table1[[#This Row],[Disc/Prem]]</f>
        <v>348.00000000000006</v>
      </c>
      <c r="AD386" s="3">
        <f ca="1">Table1[[#This Row],[Net Gain]]/Table1[[#This Row],[Ask Rate]]</f>
        <v>0.32985781990521335</v>
      </c>
      <c r="AE386" s="3">
        <f ca="1">IF(Table1[[#This Row],[Ask Qty]]=0,0,Table1[[#This Row],[Gross Yield]]*365/Table1[[#This Row],[Days Left]])</f>
        <v>7.6491807030116182E-2</v>
      </c>
      <c r="AF386" s="9">
        <f ca="1">+Table1[[#This Row],[Net Gain]]*Table1[[#This Row],[Ask Qty]]</f>
        <v>41760.000000000007</v>
      </c>
      <c r="AG386" t="str">
        <f ca="1">IF(Table1[[#This Row],[YTM]]&gt;0.12,IF(Table1[[#This Row],[Gross Profit]]&gt;10000,"Invest","Review"),"Low YTM")</f>
        <v>Low YTM</v>
      </c>
    </row>
    <row r="387" spans="1:33" x14ac:dyDescent="0.3">
      <c r="A387" t="str">
        <f>RTD("nest.scriprtd",,"bse_cm|84CIFCL28","Symbol")</f>
        <v>84CIFCL28</v>
      </c>
      <c r="B387" t="str">
        <f>RTD("nest.scriprtd",,"bse_cm|84CIFCL28","Trading Symbol")</f>
        <v>84CIFCL28</v>
      </c>
      <c r="C387" t="str">
        <f>RTD("nest.scriprtd",,"bse_cm|84CIFCL28","Exchange")</f>
        <v>BSE</v>
      </c>
      <c r="D387">
        <f>RTD("nest.scriprtd",,"bse_cm|84CIFCL28","Bid Qty")</f>
        <v>25</v>
      </c>
      <c r="E387">
        <f>RTD("nest.scriprtd",,"bse_cm|84CIFCL28","Bid Rate")</f>
        <v>940</v>
      </c>
      <c r="F387">
        <f>RTD("nest.scriprtd",,"bse_cm|84CIFCL28","Ask Rate")</f>
        <v>1035</v>
      </c>
      <c r="G387">
        <f>RTD("nest.scriprtd",,"bse_cm|84CIFCL28","Ask Qty")</f>
        <v>20</v>
      </c>
      <c r="H387">
        <f>RTD("nest.scriprtd",,"bse_cm|84CIFCL28","LTP")</f>
        <v>0</v>
      </c>
      <c r="I387" t="str">
        <f>RTD("nest.scriprtd",,"bse_cm|84CIFCL28","LTT")</f>
        <v>00:00:00</v>
      </c>
      <c r="J387">
        <f>RTD("nest.scriprtd",,"bse_cm|84CIFCL28","% Change")</f>
        <v>-100</v>
      </c>
      <c r="K387">
        <f>RTD("nest.scriprtd",,"bse_cm|84CIFCL28","ATP")</f>
        <v>0</v>
      </c>
      <c r="L387">
        <f>RTD("nest.scriprtd",,"bse_cm|84CIFCL28","Volume Traded Today")</f>
        <v>0</v>
      </c>
      <c r="M387">
        <f>RTD("nest.scriprtd",,"bse_cm|84CIFCL28","Open")</f>
        <v>0</v>
      </c>
      <c r="N387">
        <f>RTD("nest.scriprtd",,"bse_cm|84CIFCL28","High")</f>
        <v>990</v>
      </c>
      <c r="O387">
        <f>RTD("nest.scriprtd",,"bse_cm|84CIFCL28","Low ")</f>
        <v>990</v>
      </c>
      <c r="P387">
        <f>RTD("nest.scriprtd",,"bse_cm|84CIFCL28","Prev Close")</f>
        <v>990</v>
      </c>
      <c r="Q387">
        <f>RTD("nest.scriprtd",,"bse_cm|84CIFCL28","Face Value")</f>
        <v>1000</v>
      </c>
      <c r="R387" t="str">
        <f>RTD("nest.scriprtd",,"bse_cm|84CIFCL28","Isin code")</f>
        <v>INE121A07RE9</v>
      </c>
      <c r="S387" s="9">
        <f>Table1[[#This Row],[Ask Rate]]*Table1[[#This Row],[Ask Qty]]</f>
        <v>20700</v>
      </c>
      <c r="T387">
        <f>VLOOKUP(Table1[[#This Row],[Isin code]],Table2[#All],7,FALSE)</f>
        <v>8.4</v>
      </c>
      <c r="U387" s="17" t="str">
        <f>VLOOKUP(Table1[[#This Row],[Isin code]],Table2[#All],8,FALSE)</f>
        <v>09-Aug-2028</v>
      </c>
      <c r="V387" s="10">
        <f ca="1">Table1[[#This Row],[Maturity]]-TODAY()</f>
        <v>1393</v>
      </c>
      <c r="W387" t="str">
        <f>VLOOKUP(Table1[[#This Row],[Isin code]],Table2[#All],10,FALSE)</f>
        <v>Yearly</v>
      </c>
      <c r="X387">
        <f ca="1">_xlfn.DAYS(Table1[[#This Row],[Maturity]],TODAY())-15</f>
        <v>1378</v>
      </c>
      <c r="Y3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387">
        <f>IF(Table1[[#This Row],[Ask Rate]]=0,0,Table1[[#This Row],[Face Value]]-Table1[[#This Row],[Ask Rate]])</f>
        <v>-35</v>
      </c>
      <c r="AA387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387">
        <f ca="1">Table1[[#This Row],[Face Value]]*Table1[[#This Row],[Rate]]*Table1[[#This Row],[Time]]</f>
        <v>336</v>
      </c>
      <c r="AC387">
        <f ca="1">Table1[[#This Row],[SI]]+Table1[[#This Row],[Disc/Prem]]</f>
        <v>301</v>
      </c>
      <c r="AD387" s="3">
        <f ca="1">Table1[[#This Row],[Net Gain]]/Table1[[#This Row],[Ask Rate]]</f>
        <v>0.29082125603864734</v>
      </c>
      <c r="AE387" s="3">
        <f ca="1">IF(Table1[[#This Row],[Ask Qty]]=0,0,Table1[[#This Row],[Gross Yield]]*365/Table1[[#This Row],[Days Left]])</f>
        <v>7.6202267375524962E-2</v>
      </c>
      <c r="AF387" s="9">
        <f ca="1">+Table1[[#This Row],[Net Gain]]*Table1[[#This Row],[Ask Qty]]</f>
        <v>6020</v>
      </c>
      <c r="AG387" t="str">
        <f ca="1">IF(Table1[[#This Row],[YTM]]&gt;0.12,IF(Table1[[#This Row],[Gross Profit]]&gt;10000,"Invest","Review"),"Low YTM")</f>
        <v>Low YTM</v>
      </c>
    </row>
    <row r="388" spans="1:33" x14ac:dyDescent="0.3">
      <c r="A388" t="str">
        <f>RTD("nest.scriprtd",,"nse_cm|84CIFCL28-NA","Symbol")</f>
        <v>84CIFCL28</v>
      </c>
      <c r="B388" t="str">
        <f>RTD("nest.scriprtd",,"nse_cm|84CIFCL28-NA","Trading Symbol")</f>
        <v>84CIFCL28-NA</v>
      </c>
      <c r="C388" t="str">
        <f>RTD("nest.scriprtd",,"nse_cm|84CIFCL28-NA","Exchange")</f>
        <v>NSE</v>
      </c>
      <c r="D388">
        <f>RTD("nest.scriprtd",,"nse_cm|84CIFCL28-NA","Bid Qty")</f>
        <v>20</v>
      </c>
      <c r="E388">
        <f>RTD("nest.scriprtd",,"nse_cm|84CIFCL28-NA","Bid Rate")</f>
        <v>950</v>
      </c>
      <c r="F388">
        <f>RTD("nest.scriprtd",,"nse_cm|84CIFCL28-NA","Ask Rate")</f>
        <v>1035</v>
      </c>
      <c r="G388">
        <f>RTD("nest.scriprtd",,"nse_cm|84CIFCL28-NA","Ask Qty")</f>
        <v>20</v>
      </c>
      <c r="H388">
        <f>RTD("nest.scriprtd",,"nse_cm|84CIFCL28-NA","LTP")</f>
        <v>992</v>
      </c>
      <c r="I388" t="str">
        <f>RTD("nest.scriprtd",,"nse_cm|84CIFCL28-NA","LTT")</f>
        <v/>
      </c>
      <c r="J388">
        <f>RTD("nest.scriprtd",,"nse_cm|84CIFCL28-NA","% Change")</f>
        <v>0</v>
      </c>
      <c r="K388">
        <f>RTD("nest.scriprtd",,"nse_cm|84CIFCL28-NA","ATP")</f>
        <v>0</v>
      </c>
      <c r="L388">
        <f>RTD("nest.scriprtd",,"nse_cm|84CIFCL28-NA","Volume Traded Today")</f>
        <v>0</v>
      </c>
      <c r="M388">
        <f>RTD("nest.scriprtd",,"nse_cm|84CIFCL28-NA","Open")</f>
        <v>0</v>
      </c>
      <c r="N388">
        <f>RTD("nest.scriprtd",,"nse_cm|84CIFCL28-NA","High")</f>
        <v>992</v>
      </c>
      <c r="O388">
        <f>RTD("nest.scriprtd",,"nse_cm|84CIFCL28-NA","Low ")</f>
        <v>992</v>
      </c>
      <c r="P388">
        <f>RTD("nest.scriprtd",,"nse_cm|84CIFCL28-NA","Prev Close")</f>
        <v>992</v>
      </c>
      <c r="Q388">
        <f>RTD("nest.scriprtd",,"nse_cm|84CIFCL28-NA","Face Value")</f>
        <v>1000</v>
      </c>
      <c r="R388" t="str">
        <f>RTD("nest.scriprtd",,"nse_cm|84CIFCL28-NA","Isin code")</f>
        <v>INE121A07RE9</v>
      </c>
      <c r="S388" s="9">
        <f>Table1[[#This Row],[Ask Rate]]*Table1[[#This Row],[Ask Qty]]</f>
        <v>20700</v>
      </c>
      <c r="T388">
        <f>VLOOKUP(Table1[[#This Row],[Isin code]],Table2[#All],7,FALSE)</f>
        <v>8.4</v>
      </c>
      <c r="U388" s="17" t="str">
        <f>VLOOKUP(Table1[[#This Row],[Isin code]],Table2[#All],8,FALSE)</f>
        <v>09-Aug-2028</v>
      </c>
      <c r="V388" s="10">
        <f ca="1">Table1[[#This Row],[Maturity]]-TODAY()</f>
        <v>1393</v>
      </c>
      <c r="W388" t="str">
        <f>VLOOKUP(Table1[[#This Row],[Isin code]],Table2[#All],10,FALSE)</f>
        <v>Yearly</v>
      </c>
      <c r="X388">
        <f ca="1">_xlfn.DAYS(Table1[[#This Row],[Maturity]],TODAY())-15</f>
        <v>1378</v>
      </c>
      <c r="Y3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388">
        <f>IF(Table1[[#This Row],[Ask Rate]]=0,0,Table1[[#This Row],[Face Value]]-Table1[[#This Row],[Ask Rate]])</f>
        <v>-35</v>
      </c>
      <c r="AA388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388">
        <f ca="1">Table1[[#This Row],[Face Value]]*Table1[[#This Row],[Rate]]*Table1[[#This Row],[Time]]</f>
        <v>336</v>
      </c>
      <c r="AC388">
        <f ca="1">Table1[[#This Row],[SI]]+Table1[[#This Row],[Disc/Prem]]</f>
        <v>301</v>
      </c>
      <c r="AD388" s="3">
        <f ca="1">Table1[[#This Row],[Net Gain]]/Table1[[#This Row],[Ask Rate]]</f>
        <v>0.29082125603864734</v>
      </c>
      <c r="AE388" s="3">
        <f ca="1">IF(Table1[[#This Row],[Ask Qty]]=0,0,Table1[[#This Row],[Gross Yield]]*365/Table1[[#This Row],[Days Left]])</f>
        <v>7.6202267375524962E-2</v>
      </c>
      <c r="AF388" s="9">
        <f ca="1">+Table1[[#This Row],[Net Gain]]*Table1[[#This Row],[Ask Qty]]</f>
        <v>6020</v>
      </c>
      <c r="AG388" t="str">
        <f ca="1">IF(Table1[[#This Row],[YTM]]&gt;0.12,IF(Table1[[#This Row],[Gross Profit]]&gt;10000,"Invest","Review"),"Low YTM")</f>
        <v>Low YTM</v>
      </c>
    </row>
    <row r="389" spans="1:33" hidden="1" x14ac:dyDescent="0.3">
      <c r="A389" t="str">
        <f>RTD("nest.scriprtd",,"nse_cm|9SCFL25-Y5","Symbol")</f>
        <v>9SCFL25</v>
      </c>
      <c r="B389" t="str">
        <f>RTD("nest.scriprtd",,"nse_cm|9SCFL25-Y5","Trading Symbol")</f>
        <v>9SCFL25-Y5</v>
      </c>
      <c r="C389" t="str">
        <f>RTD("nest.scriprtd",,"nse_cm|9SCFL25-Y5","Exchange")</f>
        <v>NSE</v>
      </c>
      <c r="D389">
        <f>RTD("nest.scriprtd",,"nse_cm|9SCFL25-Y5","Bid Qty")</f>
        <v>150</v>
      </c>
      <c r="E389">
        <f>RTD("nest.scriprtd",,"nse_cm|9SCFL25-Y5","Bid Rate")</f>
        <v>1045.2</v>
      </c>
      <c r="F389">
        <f>RTD("nest.scriprtd",,"nse_cm|9SCFL25-Y5","Ask Rate")</f>
        <v>1071.7</v>
      </c>
      <c r="G389">
        <f>RTD("nest.scriprtd",,"nse_cm|9SCFL25-Y5","Ask Qty")</f>
        <v>7</v>
      </c>
      <c r="H389">
        <f>RTD("nest.scriprtd",,"nse_cm|9SCFL25-Y5","LTP")</f>
        <v>1051.5</v>
      </c>
      <c r="I389" t="str">
        <f>RTD("nest.scriprtd",,"nse_cm|9SCFL25-Y5","LTT")</f>
        <v/>
      </c>
      <c r="J389">
        <f>RTD("nest.scriprtd",,"nse_cm|9SCFL25-Y5","% Change")</f>
        <v>0</v>
      </c>
      <c r="K389">
        <f>RTD("nest.scriprtd",,"nse_cm|9SCFL25-Y5","ATP")</f>
        <v>0</v>
      </c>
      <c r="L389">
        <f>RTD("nest.scriprtd",,"nse_cm|9SCFL25-Y5","Volume Traded Today")</f>
        <v>0</v>
      </c>
      <c r="M389">
        <f>RTD("nest.scriprtd",,"nse_cm|9SCFL25-Y5","Open")</f>
        <v>0</v>
      </c>
      <c r="N389">
        <f>RTD("nest.scriprtd",,"nse_cm|9SCFL25-Y5","High")</f>
        <v>1051.5</v>
      </c>
      <c r="O389">
        <f>RTD("nest.scriprtd",,"nse_cm|9SCFL25-Y5","Low ")</f>
        <v>1051.5</v>
      </c>
      <c r="P389">
        <f>RTD("nest.scriprtd",,"nse_cm|9SCFL25-Y5","Prev Close")</f>
        <v>1051.5</v>
      </c>
      <c r="Q389">
        <f>RTD("nest.scriprtd",,"nse_cm|9SCFL25-Y5","Face Value")</f>
        <v>1000</v>
      </c>
      <c r="R389" t="str">
        <f>RTD("nest.scriprtd",,"nse_cm|9SCFL25-Y5","Isin code")</f>
        <v>INE148I07KX0</v>
      </c>
      <c r="S389" s="9">
        <f>Table1[[#This Row],[Ask Rate]]*Table1[[#This Row],[Ask Qty]]</f>
        <v>7501.9000000000005</v>
      </c>
      <c r="T389">
        <f>VLOOKUP(Table1[[#This Row],[Isin code]],Table2[#All],7,FALSE)</f>
        <v>9</v>
      </c>
      <c r="U389" s="17" t="str">
        <f>VLOOKUP(Table1[[#This Row],[Isin code]],Table2[#All],8,FALSE)</f>
        <v>06-Jan-2025</v>
      </c>
      <c r="V389" s="10">
        <f ca="1">Table1[[#This Row],[Maturity]]-TODAY()</f>
        <v>82</v>
      </c>
      <c r="W389" t="str">
        <f>VLOOKUP(Table1[[#This Row],[Isin code]],Table2[#All],10,FALSE)</f>
        <v>Yearly</v>
      </c>
      <c r="X389">
        <f ca="1">_xlfn.DAYS(Table1[[#This Row],[Maturity]],TODAY())-15</f>
        <v>67</v>
      </c>
      <c r="Y3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389">
        <f>IF(Table1[[#This Row],[Ask Rate]]=0,0,Table1[[#This Row],[Face Value]]-Table1[[#This Row],[Ask Rate]])</f>
        <v>-71.700000000000045</v>
      </c>
      <c r="AA389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389">
        <f ca="1">Table1[[#This Row],[Face Value]]*Table1[[#This Row],[Rate]]*Table1[[#This Row],[Time]]</f>
        <v>90</v>
      </c>
      <c r="AC389">
        <f ca="1">Table1[[#This Row],[SI]]+Table1[[#This Row],[Disc/Prem]]</f>
        <v>18.299999999999955</v>
      </c>
      <c r="AD389" s="3">
        <f ca="1">Table1[[#This Row],[Net Gain]]/Table1[[#This Row],[Ask Rate]]</f>
        <v>1.7075674162545445E-2</v>
      </c>
      <c r="AE389" s="3">
        <f ca="1">IF(Table1[[#This Row],[Ask Qty]]=0,0,Table1[[#This Row],[Gross Yield]]*365/Table1[[#This Row],[Days Left]])</f>
        <v>7.6007574016208376E-2</v>
      </c>
      <c r="AF389" s="9">
        <f ca="1">+Table1[[#This Row],[Net Gain]]*Table1[[#This Row],[Ask Qty]]</f>
        <v>128.09999999999968</v>
      </c>
      <c r="AG389" t="str">
        <f ca="1">IF(Table1[[#This Row],[YTM]]&gt;0.12,IF(Table1[[#This Row],[Gross Profit]]&gt;10000,"Invest","Review"),"Low YTM")</f>
        <v>Low YTM</v>
      </c>
    </row>
    <row r="390" spans="1:33" x14ac:dyDescent="0.3">
      <c r="A390" t="str">
        <f>RTD("nest.scriprtd",,"bse_cm|MFLII26","Symbol")</f>
        <v>MFLII26</v>
      </c>
      <c r="B390" t="str">
        <f>RTD("nest.scriprtd",,"bse_cm|MFLII26","Trading Symbol")</f>
        <v>MFLII26</v>
      </c>
      <c r="C390" t="str">
        <f>RTD("nest.scriprtd",,"bse_cm|MFLII26","Exchange")</f>
        <v>BSE</v>
      </c>
      <c r="D390">
        <f>RTD("nest.scriprtd",,"bse_cm|MFLII26","Bid Qty")</f>
        <v>180</v>
      </c>
      <c r="E390">
        <f>RTD("nest.scriprtd",,"bse_cm|MFLII26","Bid Rate")</f>
        <v>963.2</v>
      </c>
      <c r="F390">
        <f>RTD("nest.scriprtd",,"bse_cm|MFLII26","Ask Rate")</f>
        <v>995</v>
      </c>
      <c r="G390">
        <f>RTD("nest.scriprtd",,"bse_cm|MFLII26","Ask Qty")</f>
        <v>70</v>
      </c>
      <c r="H390">
        <f>RTD("nest.scriprtd",,"bse_cm|MFLII26","LTP")</f>
        <v>0</v>
      </c>
      <c r="I390" t="str">
        <f>RTD("nest.scriprtd",,"bse_cm|MFLII26","LTT")</f>
        <v>00:00:00</v>
      </c>
      <c r="J390">
        <f>RTD("nest.scriprtd",,"bse_cm|MFLII26","% Change")</f>
        <v>-100</v>
      </c>
      <c r="K390">
        <f>RTD("nest.scriprtd",,"bse_cm|MFLII26","ATP")</f>
        <v>0</v>
      </c>
      <c r="L390">
        <f>RTD("nest.scriprtd",,"bse_cm|MFLII26","Volume Traded Today")</f>
        <v>0</v>
      </c>
      <c r="M390">
        <f>RTD("nest.scriprtd",,"bse_cm|MFLII26","Open")</f>
        <v>0</v>
      </c>
      <c r="N390">
        <f>RTD("nest.scriprtd",,"bse_cm|MFLII26","High")</f>
        <v>1062.5</v>
      </c>
      <c r="O390">
        <f>RTD("nest.scriprtd",,"bse_cm|MFLII26","Low ")</f>
        <v>1062.5</v>
      </c>
      <c r="P390">
        <f>RTD("nest.scriprtd",,"bse_cm|MFLII26","Prev Close")</f>
        <v>1062.5</v>
      </c>
      <c r="Q390">
        <f>RTD("nest.scriprtd",,"bse_cm|MFLII26","Face Value")</f>
        <v>1000</v>
      </c>
      <c r="R390" t="str">
        <f>RTD("nest.scriprtd",,"bse_cm|MFLII26","Isin code")</f>
        <v>INE414G07FK7</v>
      </c>
      <c r="S390" s="9">
        <f>Table1[[#This Row],[Ask Rate]]*Table1[[#This Row],[Ask Qty]]</f>
        <v>69650</v>
      </c>
      <c r="T390">
        <f>VLOOKUP(Table1[[#This Row],[Isin code]],Table2[#All],7,FALSE)</f>
        <v>7.1</v>
      </c>
      <c r="U390" s="17" t="str">
        <f>VLOOKUP(Table1[[#This Row],[Isin code]],Table2[#All],8,FALSE)</f>
        <v>11-Jan-2026</v>
      </c>
      <c r="V390" s="10">
        <f ca="1">Table1[[#This Row],[Maturity]]-TODAY()</f>
        <v>452</v>
      </c>
      <c r="W390" t="str">
        <f>VLOOKUP(Table1[[#This Row],[Isin code]],Table2[#All],10,FALSE)</f>
        <v>Monthly</v>
      </c>
      <c r="X390">
        <f ca="1">_xlfn.DAYS(Table1[[#This Row],[Maturity]],TODAY())-15</f>
        <v>437</v>
      </c>
      <c r="Y3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390">
        <f>IF(Table1[[#This Row],[Ask Rate]]=0,0,Table1[[#This Row],[Face Value]]-Table1[[#This Row],[Ask Rate]])</f>
        <v>5</v>
      </c>
      <c r="AA390">
        <f>IF(Table1[[#This Row],[Freq]]="Yearly",Table1[[#This Row],[Coupon_Rate]]/100,IF(Table1[[#This Row],[Freq]]="Monthly",Table1[[#This Row],[Coupon_Rate]]/1200,IF(Table1[[#This Row],[Freq]]="Quarterly",Table1[[#This Row],[Coupon_Rate]]/400,0)))</f>
        <v>5.9166666666666664E-3</v>
      </c>
      <c r="AB390">
        <f ca="1">Table1[[#This Row],[Face Value]]*Table1[[#This Row],[Rate]]*Table1[[#This Row],[Time]]</f>
        <v>88.749999999999986</v>
      </c>
      <c r="AC390">
        <f ca="1">Table1[[#This Row],[SI]]+Table1[[#This Row],[Disc/Prem]]</f>
        <v>93.749999999999986</v>
      </c>
      <c r="AD390" s="3">
        <f ca="1">Table1[[#This Row],[Net Gain]]/Table1[[#This Row],[Ask Rate]]</f>
        <v>9.4221105527638183E-2</v>
      </c>
      <c r="AE390" s="3">
        <f ca="1">IF(Table1[[#This Row],[Ask Qty]]=0,0,Table1[[#This Row],[Gross Yield]]*365/Table1[[#This Row],[Days Left]])</f>
        <v>7.6085627251300747E-2</v>
      </c>
      <c r="AF390" s="9">
        <f ca="1">+Table1[[#This Row],[Net Gain]]*Table1[[#This Row],[Ask Qty]]</f>
        <v>6562.4999999999991</v>
      </c>
      <c r="AG390" t="str">
        <f ca="1">IF(Table1[[#This Row],[YTM]]&gt;0.12,IF(Table1[[#This Row],[Gross Profit]]&gt;10000,"Invest","Review"),"Low YTM")</f>
        <v>Low YTM</v>
      </c>
    </row>
    <row r="391" spans="1:33" x14ac:dyDescent="0.3">
      <c r="A391" t="str">
        <f>RTD("nest.scriprtd",,"bse_cm|865LTF26","Symbol")</f>
        <v>865LTF26</v>
      </c>
      <c r="B391" t="str">
        <f>RTD("nest.scriprtd",,"bse_cm|865LTF26","Trading Symbol")</f>
        <v>865LTF26</v>
      </c>
      <c r="C391" t="str">
        <f>RTD("nest.scriprtd",,"bse_cm|865LTF26","Exchange")</f>
        <v>BSE</v>
      </c>
      <c r="D391">
        <f>RTD("nest.scriprtd",,"bse_cm|865LTF26","Bid Qty")</f>
        <v>10</v>
      </c>
      <c r="E391">
        <f>RTD("nest.scriprtd",,"bse_cm|865LTF26","Bid Rate")</f>
        <v>1072</v>
      </c>
      <c r="F391">
        <f>RTD("nest.scriprtd",,"bse_cm|865LTF26","Ask Rate")</f>
        <v>1079.9000000000001</v>
      </c>
      <c r="G391">
        <f>RTD("nest.scriprtd",,"bse_cm|865LTF26","Ask Qty")</f>
        <v>10</v>
      </c>
      <c r="H391">
        <f>RTD("nest.scriprtd",,"bse_cm|865LTF26","LTP")</f>
        <v>0</v>
      </c>
      <c r="I391" t="str">
        <f>RTD("nest.scriprtd",,"bse_cm|865LTF26","LTT")</f>
        <v>00:00:00</v>
      </c>
      <c r="J391">
        <f>RTD("nest.scriprtd",,"bse_cm|865LTF26","% Change")</f>
        <v>-100</v>
      </c>
      <c r="K391">
        <f>RTD("nest.scriprtd",,"bse_cm|865LTF26","ATP")</f>
        <v>0</v>
      </c>
      <c r="L391">
        <f>RTD("nest.scriprtd",,"bse_cm|865LTF26","Volume Traded Today")</f>
        <v>0</v>
      </c>
      <c r="M391">
        <f>RTD("nest.scriprtd",,"bse_cm|865LTF26","Open")</f>
        <v>0</v>
      </c>
      <c r="N391">
        <f>RTD("nest.scriprtd",,"bse_cm|865LTF26","High")</f>
        <v>1070</v>
      </c>
      <c r="O391">
        <f>RTD("nest.scriprtd",,"bse_cm|865LTF26","Low ")</f>
        <v>1061.28</v>
      </c>
      <c r="P391">
        <f>RTD("nest.scriprtd",,"bse_cm|865LTF26","Prev Close")</f>
        <v>1061.28</v>
      </c>
      <c r="Q391">
        <f>RTD("nest.scriprtd",,"bse_cm|865LTF26","Face Value")</f>
        <v>1000</v>
      </c>
      <c r="R391" t="str">
        <f>RTD("nest.scriprtd",,"bse_cm|865LTF26","Isin code")</f>
        <v>INE027E07BC8</v>
      </c>
      <c r="S391" s="9">
        <f>Table1[[#This Row],[Ask Rate]]*Table1[[#This Row],[Ask Qty]]</f>
        <v>10799</v>
      </c>
      <c r="T391">
        <f>VLOOKUP(Table1[[#This Row],[Isin code]],Table2[#All],7,FALSE)</f>
        <v>8.65</v>
      </c>
      <c r="U391" s="17">
        <f>VLOOKUP(Table1[[#This Row],[Isin code]],Table2[#All],8,FALSE)</f>
        <v>46379</v>
      </c>
      <c r="V391" s="10">
        <f ca="1">Table1[[#This Row],[Maturity]]-TODAY()</f>
        <v>798</v>
      </c>
      <c r="W391" t="str">
        <f>VLOOKUP(Table1[[#This Row],[Isin code]],Table2[#All],10,FALSE)</f>
        <v>Yearly</v>
      </c>
      <c r="X391">
        <f ca="1">_xlfn.DAYS(Table1[[#This Row],[Maturity]],TODAY())-15</f>
        <v>783</v>
      </c>
      <c r="Y3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91">
        <f>IF(Table1[[#This Row],[Ask Rate]]=0,0,Table1[[#This Row],[Face Value]]-Table1[[#This Row],[Ask Rate]])</f>
        <v>-79.900000000000091</v>
      </c>
      <c r="AA391">
        <f>IF(Table1[[#This Row],[Freq]]="Yearly",Table1[[#This Row],[Coupon_Rate]]/100,IF(Table1[[#This Row],[Freq]]="Monthly",Table1[[#This Row],[Coupon_Rate]]/1200,IF(Table1[[#This Row],[Freq]]="Quarterly",Table1[[#This Row],[Coupon_Rate]]/400,0)))</f>
        <v>8.6500000000000007E-2</v>
      </c>
      <c r="AB391">
        <f ca="1">Table1[[#This Row],[Face Value]]*Table1[[#This Row],[Rate]]*Table1[[#This Row],[Time]]</f>
        <v>259.50000000000006</v>
      </c>
      <c r="AC391">
        <f ca="1">Table1[[#This Row],[SI]]+Table1[[#This Row],[Disc/Prem]]</f>
        <v>179.59999999999997</v>
      </c>
      <c r="AD391" s="3">
        <f ca="1">Table1[[#This Row],[Net Gain]]/Table1[[#This Row],[Ask Rate]]</f>
        <v>0.16631169552736361</v>
      </c>
      <c r="AE391" s="3">
        <f ca="1">IF(Table1[[#This Row],[Ask Qty]]=0,0,Table1[[#This Row],[Gross Yield]]*365/Table1[[#This Row],[Days Left]])</f>
        <v>7.606988579885679E-2</v>
      </c>
      <c r="AF391" s="9">
        <f ca="1">+Table1[[#This Row],[Net Gain]]*Table1[[#This Row],[Ask Qty]]</f>
        <v>1795.9999999999995</v>
      </c>
      <c r="AG391" t="str">
        <f ca="1">IF(Table1[[#This Row],[YTM]]&gt;0.12,IF(Table1[[#This Row],[Gross Profit]]&gt;10000,"Invest","Review"),"Low YTM")</f>
        <v>Low YTM</v>
      </c>
    </row>
    <row r="392" spans="1:33" x14ac:dyDescent="0.3">
      <c r="A392" t="str">
        <f>RTD("nest.scriprtd",,"nse_cm|865LTF26-NN","Symbol")</f>
        <v>865LTF26</v>
      </c>
      <c r="B392" t="str">
        <f>RTD("nest.scriprtd",,"nse_cm|865LTF26-NN","Trading Symbol")</f>
        <v>865LTF26-NN</v>
      </c>
      <c r="C392" t="str">
        <f>RTD("nest.scriprtd",,"nse_cm|865LTF26-NN","Exchange")</f>
        <v>NSE</v>
      </c>
      <c r="D392">
        <f>RTD("nest.scriprtd",,"nse_cm|865LTF26-NN","Bid Qty")</f>
        <v>10</v>
      </c>
      <c r="E392">
        <f>RTD("nest.scriprtd",,"nse_cm|865LTF26-NN","Bid Rate")</f>
        <v>1074</v>
      </c>
      <c r="F392">
        <f>RTD("nest.scriprtd",,"nse_cm|865LTF26-NN","Ask Rate")</f>
        <v>1078.5</v>
      </c>
      <c r="G392">
        <f>RTD("nest.scriprtd",,"nse_cm|865LTF26-NN","Ask Qty")</f>
        <v>20</v>
      </c>
      <c r="H392">
        <f>RTD("nest.scriprtd",,"nse_cm|865LTF26-NN","LTP")</f>
        <v>1072.8499999999999</v>
      </c>
      <c r="I392" t="str">
        <f>RTD("nest.scriprtd",,"nse_cm|865LTF26-NN","LTT")</f>
        <v/>
      </c>
      <c r="J392">
        <f>RTD("nest.scriprtd",,"nse_cm|865LTF26-NN","% Change")</f>
        <v>0.08</v>
      </c>
      <c r="K392">
        <f>RTD("nest.scriprtd",,"nse_cm|865LTF26-NN","ATP")</f>
        <v>0</v>
      </c>
      <c r="L392">
        <f>RTD("nest.scriprtd",,"nse_cm|865LTF26-NN","Volume Traded Today")</f>
        <v>0</v>
      </c>
      <c r="M392">
        <f>RTD("nest.scriprtd",,"nse_cm|865LTF26-NN","Open")</f>
        <v>0</v>
      </c>
      <c r="N392">
        <f>RTD("nest.scriprtd",,"nse_cm|865LTF26-NN","High")</f>
        <v>1072.8499999999999</v>
      </c>
      <c r="O392">
        <f>RTD("nest.scriprtd",,"nse_cm|865LTF26-NN","Low ")</f>
        <v>1072.5</v>
      </c>
      <c r="P392">
        <f>RTD("nest.scriprtd",,"nse_cm|865LTF26-NN","Prev Close")</f>
        <v>1072</v>
      </c>
      <c r="Q392">
        <f>RTD("nest.scriprtd",,"nse_cm|865LTF26-NN","Face Value")</f>
        <v>1000</v>
      </c>
      <c r="R392" t="str">
        <f>RTD("nest.scriprtd",,"nse_cm|865LTF26-NN","Isin code")</f>
        <v>INE027E07BC8</v>
      </c>
      <c r="S392" s="9">
        <f>Table1[[#This Row],[Ask Rate]]*Table1[[#This Row],[Ask Qty]]</f>
        <v>21570</v>
      </c>
      <c r="T392">
        <f>VLOOKUP(Table1[[#This Row],[Isin code]],Table2[#All],7,FALSE)</f>
        <v>8.65</v>
      </c>
      <c r="U392" s="17">
        <f>VLOOKUP(Table1[[#This Row],[Isin code]],Table2[#All],8,FALSE)</f>
        <v>46379</v>
      </c>
      <c r="V392" s="10">
        <f ca="1">Table1[[#This Row],[Maturity]]-TODAY()</f>
        <v>798</v>
      </c>
      <c r="W392" t="str">
        <f>VLOOKUP(Table1[[#This Row],[Isin code]],Table2[#All],10,FALSE)</f>
        <v>Yearly</v>
      </c>
      <c r="X392">
        <f ca="1">_xlfn.DAYS(Table1[[#This Row],[Maturity]],TODAY())-15</f>
        <v>783</v>
      </c>
      <c r="Y3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92">
        <f>IF(Table1[[#This Row],[Ask Rate]]=0,0,Table1[[#This Row],[Face Value]]-Table1[[#This Row],[Ask Rate]])</f>
        <v>-78.5</v>
      </c>
      <c r="AA392">
        <f>IF(Table1[[#This Row],[Freq]]="Yearly",Table1[[#This Row],[Coupon_Rate]]/100,IF(Table1[[#This Row],[Freq]]="Monthly",Table1[[#This Row],[Coupon_Rate]]/1200,IF(Table1[[#This Row],[Freq]]="Quarterly",Table1[[#This Row],[Coupon_Rate]]/400,0)))</f>
        <v>8.6500000000000007E-2</v>
      </c>
      <c r="AB392">
        <f ca="1">Table1[[#This Row],[Face Value]]*Table1[[#This Row],[Rate]]*Table1[[#This Row],[Time]]</f>
        <v>259.50000000000006</v>
      </c>
      <c r="AC392">
        <f ca="1">Table1[[#This Row],[SI]]+Table1[[#This Row],[Disc/Prem]]</f>
        <v>181.00000000000006</v>
      </c>
      <c r="AD392" s="3">
        <f ca="1">Table1[[#This Row],[Net Gain]]/Table1[[#This Row],[Ask Rate]]</f>
        <v>0.16782568382012059</v>
      </c>
      <c r="AE392" s="3">
        <f ca="1">IF(Table1[[#This Row],[Ask Qty]]=0,0,Table1[[#This Row],[Gross Yield]]*365/Table1[[#This Row],[Days Left]])</f>
        <v>7.6762374178375961E-2</v>
      </c>
      <c r="AF392" s="9">
        <f ca="1">+Table1[[#This Row],[Net Gain]]*Table1[[#This Row],[Ask Qty]]</f>
        <v>3620.0000000000009</v>
      </c>
      <c r="AG392" t="str">
        <f ca="1">IF(Table1[[#This Row],[YTM]]&gt;0.12,IF(Table1[[#This Row],[Gross Profit]]&gt;10000,"Invest","Review"),"Low YTM")</f>
        <v>Low YTM</v>
      </c>
    </row>
    <row r="393" spans="1:33" x14ac:dyDescent="0.3">
      <c r="A393" t="str">
        <f>RTD("nest.scriprtd",,"nse_cm|905LTF27-NF","Symbol")</f>
        <v>905LTF27</v>
      </c>
      <c r="B393" t="str">
        <f>RTD("nest.scriprtd",,"nse_cm|905LTF27-NF","Trading Symbol")</f>
        <v>905LTF27-NF</v>
      </c>
      <c r="C393" t="str">
        <f>RTD("nest.scriprtd",,"nse_cm|905LTF27-NF","Exchange")</f>
        <v>NSE</v>
      </c>
      <c r="D393">
        <f>RTD("nest.scriprtd",,"nse_cm|905LTF27-NF","Bid Qty")</f>
        <v>10</v>
      </c>
      <c r="E393">
        <f>RTD("nest.scriprtd",,"nse_cm|905LTF27-NF","Bid Rate")</f>
        <v>1061.0999999999999</v>
      </c>
      <c r="F393">
        <f>RTD("nest.scriprtd",,"nse_cm|905LTF27-NF","Ask Rate")</f>
        <v>1068.9000000000001</v>
      </c>
      <c r="G393">
        <f>RTD("nest.scriprtd",,"nse_cm|905LTF27-NF","Ask Qty")</f>
        <v>5</v>
      </c>
      <c r="H393">
        <f>RTD("nest.scriprtd",,"nse_cm|905LTF27-NF","LTP")</f>
        <v>1056</v>
      </c>
      <c r="I393" t="str">
        <f>RTD("nest.scriprtd",,"nse_cm|905LTF27-NF","LTT")</f>
        <v>09:33:59</v>
      </c>
      <c r="J393">
        <f>RTD("nest.scriprtd",,"nse_cm|905LTF27-NF","% Change")</f>
        <v>-0.59</v>
      </c>
      <c r="K393">
        <f>RTD("nest.scriprtd",,"nse_cm|905LTF27-NF","ATP")</f>
        <v>1056</v>
      </c>
      <c r="L393">
        <f>RTD("nest.scriprtd",,"nse_cm|905LTF27-NF","Volume Traded Today")</f>
        <v>5</v>
      </c>
      <c r="M393">
        <f>RTD("nest.scriprtd",,"nse_cm|905LTF27-NF","Open")</f>
        <v>1056</v>
      </c>
      <c r="N393">
        <f>RTD("nest.scriprtd",,"nse_cm|905LTF27-NF","High")</f>
        <v>1056</v>
      </c>
      <c r="O393">
        <f>RTD("nest.scriprtd",,"nse_cm|905LTF27-NF","Low ")</f>
        <v>1056</v>
      </c>
      <c r="P393">
        <f>RTD("nest.scriprtd",,"nse_cm|905LTF27-NF","Prev Close")</f>
        <v>1062.31</v>
      </c>
      <c r="Q393">
        <f>RTD("nest.scriprtd",,"nse_cm|905LTF27-NF","Face Value")</f>
        <v>1000</v>
      </c>
      <c r="R393" t="str">
        <f>RTD("nest.scriprtd",,"nse_cm|905LTF27-NF","Isin code")</f>
        <v>INE027E07AL1</v>
      </c>
      <c r="S393" s="9">
        <f>Table1[[#This Row],[Ask Rate]]*Table1[[#This Row],[Ask Qty]]</f>
        <v>5344.5</v>
      </c>
      <c r="T393">
        <f>VLOOKUP(Table1[[#This Row],[Isin code]],Table2[#All],7,FALSE)</f>
        <v>9.0500000000000007</v>
      </c>
      <c r="U393" s="17">
        <f>VLOOKUP(Table1[[#This Row],[Isin code]],Table2[#All],8,FALSE)</f>
        <v>46492</v>
      </c>
      <c r="V393" s="10">
        <f ca="1">Table1[[#This Row],[Maturity]]-TODAY()</f>
        <v>911</v>
      </c>
      <c r="W393" t="str">
        <f>VLOOKUP(Table1[[#This Row],[Isin code]],Table2[#All],10,FALSE)</f>
        <v>Yearly</v>
      </c>
      <c r="X393">
        <f ca="1">_xlfn.DAYS(Table1[[#This Row],[Maturity]],TODAY())-15</f>
        <v>896</v>
      </c>
      <c r="Y3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93">
        <f>IF(Table1[[#This Row],[Ask Rate]]=0,0,Table1[[#This Row],[Face Value]]-Table1[[#This Row],[Ask Rate]])</f>
        <v>-68.900000000000091</v>
      </c>
      <c r="AA393">
        <f>IF(Table1[[#This Row],[Freq]]="Yearly",Table1[[#This Row],[Coupon_Rate]]/100,IF(Table1[[#This Row],[Freq]]="Monthly",Table1[[#This Row],[Coupon_Rate]]/1200,IF(Table1[[#This Row],[Freq]]="Quarterly",Table1[[#This Row],[Coupon_Rate]]/400,0)))</f>
        <v>9.0500000000000011E-2</v>
      </c>
      <c r="AB393">
        <f ca="1">Table1[[#This Row],[Face Value]]*Table1[[#This Row],[Rate]]*Table1[[#This Row],[Time]]</f>
        <v>271.50000000000006</v>
      </c>
      <c r="AC393">
        <f ca="1">Table1[[#This Row],[SI]]+Table1[[#This Row],[Disc/Prem]]</f>
        <v>202.59999999999997</v>
      </c>
      <c r="AD393" s="3">
        <f ca="1">Table1[[#This Row],[Net Gain]]/Table1[[#This Row],[Ask Rate]]</f>
        <v>0.1895406492656001</v>
      </c>
      <c r="AE393" s="3">
        <f ca="1">IF(Table1[[#This Row],[Ask Qty]]=0,0,Table1[[#This Row],[Gross Yield]]*365/Table1[[#This Row],[Days Left]])</f>
        <v>7.5941094381936372E-2</v>
      </c>
      <c r="AF393" s="9">
        <f ca="1">+Table1[[#This Row],[Net Gain]]*Table1[[#This Row],[Ask Qty]]</f>
        <v>1012.9999999999998</v>
      </c>
      <c r="AG393" t="str">
        <f ca="1">IF(Table1[[#This Row],[YTM]]&gt;0.12,IF(Table1[[#This Row],[Gross Profit]]&gt;10000,"Invest","Review"),"Low YTM")</f>
        <v>Low YTM</v>
      </c>
    </row>
    <row r="394" spans="1:33" x14ac:dyDescent="0.3">
      <c r="A394" t="str">
        <f>RTD("nest.scriprtd",,"bse_cm|905LTF27","Symbol")</f>
        <v>905LTF27</v>
      </c>
      <c r="B394" t="str">
        <f>RTD("nest.scriprtd",,"bse_cm|905LTF27","Trading Symbol")</f>
        <v>905LTF27</v>
      </c>
      <c r="C394" t="str">
        <f>RTD("nest.scriprtd",,"bse_cm|905LTF27","Exchange")</f>
        <v>BSE</v>
      </c>
      <c r="D394">
        <f>RTD("nest.scriprtd",,"bse_cm|905LTF27","Bid Qty")</f>
        <v>10</v>
      </c>
      <c r="E394">
        <f>RTD("nest.scriprtd",,"bse_cm|905LTF27","Bid Rate")</f>
        <v>1061.0999999999999</v>
      </c>
      <c r="F394">
        <f>RTD("nest.scriprtd",,"bse_cm|905LTF27","Ask Rate")</f>
        <v>1068.9000000000001</v>
      </c>
      <c r="G394">
        <f>RTD("nest.scriprtd",,"bse_cm|905LTF27","Ask Qty")</f>
        <v>5</v>
      </c>
      <c r="H394">
        <f>RTD("nest.scriprtd",,"bse_cm|905LTF27","LTP")</f>
        <v>0</v>
      </c>
      <c r="I394" t="str">
        <f>RTD("nest.scriprtd",,"bse_cm|905LTF27","LTT")</f>
        <v>00:00:00</v>
      </c>
      <c r="J394">
        <f>RTD("nest.scriprtd",,"bse_cm|905LTF27","% Change")</f>
        <v>-100</v>
      </c>
      <c r="K394">
        <f>RTD("nest.scriprtd",,"bse_cm|905LTF27","ATP")</f>
        <v>0</v>
      </c>
      <c r="L394">
        <f>RTD("nest.scriprtd",,"bse_cm|905LTF27","Volume Traded Today")</f>
        <v>0</v>
      </c>
      <c r="M394">
        <f>RTD("nest.scriprtd",,"bse_cm|905LTF27","Open")</f>
        <v>0</v>
      </c>
      <c r="N394">
        <f>RTD("nest.scriprtd",,"bse_cm|905LTF27","High")</f>
        <v>1064.99</v>
      </c>
      <c r="O394">
        <f>RTD("nest.scriprtd",,"bse_cm|905LTF27","Low ")</f>
        <v>1055</v>
      </c>
      <c r="P394">
        <f>RTD("nest.scriprtd",,"bse_cm|905LTF27","Prev Close")</f>
        <v>1058.1600000000001</v>
      </c>
      <c r="Q394">
        <f>RTD("nest.scriprtd",,"bse_cm|905LTF27","Face Value")</f>
        <v>1000</v>
      </c>
      <c r="R394" t="str">
        <f>RTD("nest.scriprtd",,"bse_cm|905LTF27","Isin code")</f>
        <v>INE027E07AL1</v>
      </c>
      <c r="S394" s="9">
        <f>Table1[[#This Row],[Ask Rate]]*Table1[[#This Row],[Ask Qty]]</f>
        <v>5344.5</v>
      </c>
      <c r="T394">
        <f>VLOOKUP(Table1[[#This Row],[Isin code]],Table2[#All],7,FALSE)</f>
        <v>9.0500000000000007</v>
      </c>
      <c r="U394" s="17">
        <f>VLOOKUP(Table1[[#This Row],[Isin code]],Table2[#All],8,FALSE)</f>
        <v>46492</v>
      </c>
      <c r="V394" s="10">
        <f ca="1">Table1[[#This Row],[Maturity]]-TODAY()</f>
        <v>911</v>
      </c>
      <c r="W394" t="str">
        <f>VLOOKUP(Table1[[#This Row],[Isin code]],Table2[#All],10,FALSE)</f>
        <v>Yearly</v>
      </c>
      <c r="X394">
        <f ca="1">_xlfn.DAYS(Table1[[#This Row],[Maturity]],TODAY())-15</f>
        <v>896</v>
      </c>
      <c r="Y3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94">
        <f>IF(Table1[[#This Row],[Ask Rate]]=0,0,Table1[[#This Row],[Face Value]]-Table1[[#This Row],[Ask Rate]])</f>
        <v>-68.900000000000091</v>
      </c>
      <c r="AA394">
        <f>IF(Table1[[#This Row],[Freq]]="Yearly",Table1[[#This Row],[Coupon_Rate]]/100,IF(Table1[[#This Row],[Freq]]="Monthly",Table1[[#This Row],[Coupon_Rate]]/1200,IF(Table1[[#This Row],[Freq]]="Quarterly",Table1[[#This Row],[Coupon_Rate]]/400,0)))</f>
        <v>9.0500000000000011E-2</v>
      </c>
      <c r="AB394">
        <f ca="1">Table1[[#This Row],[Face Value]]*Table1[[#This Row],[Rate]]*Table1[[#This Row],[Time]]</f>
        <v>271.50000000000006</v>
      </c>
      <c r="AC394">
        <f ca="1">Table1[[#This Row],[SI]]+Table1[[#This Row],[Disc/Prem]]</f>
        <v>202.59999999999997</v>
      </c>
      <c r="AD394" s="3">
        <f ca="1">Table1[[#This Row],[Net Gain]]/Table1[[#This Row],[Ask Rate]]</f>
        <v>0.1895406492656001</v>
      </c>
      <c r="AE394" s="3">
        <f ca="1">IF(Table1[[#This Row],[Ask Qty]]=0,0,Table1[[#This Row],[Gross Yield]]*365/Table1[[#This Row],[Days Left]])</f>
        <v>7.5941094381936372E-2</v>
      </c>
      <c r="AF394" s="9">
        <f ca="1">+Table1[[#This Row],[Net Gain]]*Table1[[#This Row],[Ask Qty]]</f>
        <v>1012.9999999999998</v>
      </c>
      <c r="AG394" t="str">
        <f ca="1">IF(Table1[[#This Row],[YTM]]&gt;0.12,IF(Table1[[#This Row],[Gross Profit]]&gt;10000,"Invest","Review"),"Low YTM")</f>
        <v>Low YTM</v>
      </c>
    </row>
    <row r="395" spans="1:33" x14ac:dyDescent="0.3">
      <c r="A395" t="str">
        <f>RTD("nest.scriprtd",,"nse_cm|935LTF29-N5","Symbol")</f>
        <v>935LTF29</v>
      </c>
      <c r="B395" t="str">
        <f>RTD("nest.scriprtd",,"nse_cm|935LTF29-N5","Trading Symbol")</f>
        <v>935LTF29-N5</v>
      </c>
      <c r="C395" t="str">
        <f>RTD("nest.scriprtd",,"nse_cm|935LTF29-N5","Exchange")</f>
        <v>NSE</v>
      </c>
      <c r="D395">
        <f>RTD("nest.scriprtd",,"nse_cm|935LTF29-N5","Bid Qty")</f>
        <v>4</v>
      </c>
      <c r="E395">
        <f>RTD("nest.scriprtd",,"nse_cm|935LTF29-N5","Bid Rate")</f>
        <v>1091</v>
      </c>
      <c r="F395">
        <f>RTD("nest.scriprtd",,"nse_cm|935LTF29-N5","Ask Rate")</f>
        <v>1100</v>
      </c>
      <c r="G395">
        <f>RTD("nest.scriprtd",,"nse_cm|935LTF29-N5","Ask Qty")</f>
        <v>10</v>
      </c>
      <c r="H395">
        <f>RTD("nest.scriprtd",,"nse_cm|935LTF29-N5","LTP")</f>
        <v>1090.01</v>
      </c>
      <c r="I395" t="str">
        <f>RTD("nest.scriprtd",,"nse_cm|935LTF29-N5","LTT")</f>
        <v/>
      </c>
      <c r="J395">
        <f>RTD("nest.scriprtd",,"nse_cm|935LTF29-N5","% Change")</f>
        <v>0</v>
      </c>
      <c r="K395">
        <f>RTD("nest.scriprtd",,"nse_cm|935LTF29-N5","ATP")</f>
        <v>0</v>
      </c>
      <c r="L395">
        <f>RTD("nest.scriprtd",,"nse_cm|935LTF29-N5","Volume Traded Today")</f>
        <v>0</v>
      </c>
      <c r="M395">
        <f>RTD("nest.scriprtd",,"nse_cm|935LTF29-N5","Open")</f>
        <v>0</v>
      </c>
      <c r="N395">
        <f>RTD("nest.scriprtd",,"nse_cm|935LTF29-N5","High")</f>
        <v>1090.01</v>
      </c>
      <c r="O395">
        <f>RTD("nest.scriprtd",,"nse_cm|935LTF29-N5","Low ")</f>
        <v>1090</v>
      </c>
      <c r="P395">
        <f>RTD("nest.scriprtd",,"nse_cm|935LTF29-N5","Prev Close")</f>
        <v>1090.01</v>
      </c>
      <c r="Q395">
        <f>RTD("nest.scriprtd",,"nse_cm|935LTF29-N5","Face Value")</f>
        <v>1000</v>
      </c>
      <c r="R395" t="str">
        <f>RTD("nest.scriprtd",,"nse_cm|935LTF29-N5","Isin code")</f>
        <v>INE027E07972</v>
      </c>
      <c r="S395" s="9">
        <f>Table1[[#This Row],[Ask Rate]]*Table1[[#This Row],[Ask Qty]]</f>
        <v>11000</v>
      </c>
      <c r="T395">
        <f>VLOOKUP(Table1[[#This Row],[Isin code]],Table2[#All],7,FALSE)</f>
        <v>9.35</v>
      </c>
      <c r="U395" s="17">
        <f>VLOOKUP(Table1[[#This Row],[Isin code]],Table2[#All],8,FALSE)</f>
        <v>47190</v>
      </c>
      <c r="V395" s="10">
        <f ca="1">Table1[[#This Row],[Maturity]]-TODAY()</f>
        <v>1609</v>
      </c>
      <c r="W395" t="str">
        <f>VLOOKUP(Table1[[#This Row],[Isin code]],Table2[#All],10,FALSE)</f>
        <v>Yearly</v>
      </c>
      <c r="X395">
        <f ca="1">_xlfn.DAYS(Table1[[#This Row],[Maturity]],TODAY())-15</f>
        <v>1594</v>
      </c>
      <c r="Y3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95">
        <f>IF(Table1[[#This Row],[Ask Rate]]=0,0,Table1[[#This Row],[Face Value]]-Table1[[#This Row],[Ask Rate]])</f>
        <v>-100</v>
      </c>
      <c r="AA395">
        <f>IF(Table1[[#This Row],[Freq]]="Yearly",Table1[[#This Row],[Coupon_Rate]]/100,IF(Table1[[#This Row],[Freq]]="Monthly",Table1[[#This Row],[Coupon_Rate]]/1200,IF(Table1[[#This Row],[Freq]]="Quarterly",Table1[[#This Row],[Coupon_Rate]]/400,0)))</f>
        <v>9.35E-2</v>
      </c>
      <c r="AB395">
        <f ca="1">Table1[[#This Row],[Face Value]]*Table1[[#This Row],[Rate]]*Table1[[#This Row],[Time]]</f>
        <v>467.5</v>
      </c>
      <c r="AC395">
        <f ca="1">Table1[[#This Row],[SI]]+Table1[[#This Row],[Disc/Prem]]</f>
        <v>367.5</v>
      </c>
      <c r="AD395" s="3">
        <f ca="1">Table1[[#This Row],[Net Gain]]/Table1[[#This Row],[Ask Rate]]</f>
        <v>0.33409090909090911</v>
      </c>
      <c r="AE395" s="3">
        <f ca="1">IF(Table1[[#This Row],[Ask Qty]]=0,0,Table1[[#This Row],[Gross Yield]]*365/Table1[[#This Row],[Days Left]])</f>
        <v>7.5788180123170804E-2</v>
      </c>
      <c r="AF395" s="9">
        <f ca="1">+Table1[[#This Row],[Net Gain]]*Table1[[#This Row],[Ask Qty]]</f>
        <v>3675</v>
      </c>
      <c r="AG395" t="str">
        <f ca="1">IF(Table1[[#This Row],[YTM]]&gt;0.12,IF(Table1[[#This Row],[Gross Profit]]&gt;10000,"Invest","Review"),"Low YTM")</f>
        <v>Low YTM</v>
      </c>
    </row>
    <row r="396" spans="1:33" x14ac:dyDescent="0.3">
      <c r="A396" t="str">
        <f>RTD("nest.scriprtd",,"bse_cm|935LTF29","Symbol")</f>
        <v>935LTF29</v>
      </c>
      <c r="B396" t="str">
        <f>RTD("nest.scriprtd",,"bse_cm|935LTF29","Trading Symbol")</f>
        <v>935LTF29</v>
      </c>
      <c r="C396" t="str">
        <f>RTD("nest.scriprtd",,"bse_cm|935LTF29","Exchange")</f>
        <v>BSE</v>
      </c>
      <c r="D396">
        <f>RTD("nest.scriprtd",,"bse_cm|935LTF29","Bid Qty")</f>
        <v>20</v>
      </c>
      <c r="E396">
        <f>RTD("nest.scriprtd",,"bse_cm|935LTF29","Bid Rate")</f>
        <v>1090.0999999999999</v>
      </c>
      <c r="F396">
        <f>RTD("nest.scriprtd",,"bse_cm|935LTF29","Ask Rate")</f>
        <v>1100</v>
      </c>
      <c r="G396">
        <f>RTD("nest.scriprtd",,"bse_cm|935LTF29","Ask Qty")</f>
        <v>10</v>
      </c>
      <c r="H396">
        <f>RTD("nest.scriprtd",,"bse_cm|935LTF29","LTP")</f>
        <v>0</v>
      </c>
      <c r="I396" t="str">
        <f>RTD("nest.scriprtd",,"bse_cm|935LTF29","LTT")</f>
        <v>00:00:00</v>
      </c>
      <c r="J396">
        <f>RTD("nest.scriprtd",,"bse_cm|935LTF29","% Change")</f>
        <v>-100</v>
      </c>
      <c r="K396">
        <f>RTD("nest.scriprtd",,"bse_cm|935LTF29","ATP")</f>
        <v>0</v>
      </c>
      <c r="L396">
        <f>RTD("nest.scriprtd",,"bse_cm|935LTF29","Volume Traded Today")</f>
        <v>0</v>
      </c>
      <c r="M396">
        <f>RTD("nest.scriprtd",,"bse_cm|935LTF29","Open")</f>
        <v>0</v>
      </c>
      <c r="N396">
        <f>RTD("nest.scriprtd",,"bse_cm|935LTF29","High")</f>
        <v>1082</v>
      </c>
      <c r="O396">
        <f>RTD("nest.scriprtd",,"bse_cm|935LTF29","Low ")</f>
        <v>1082</v>
      </c>
      <c r="P396">
        <f>RTD("nest.scriprtd",,"bse_cm|935LTF29","Prev Close")</f>
        <v>1082</v>
      </c>
      <c r="Q396">
        <f>RTD("nest.scriprtd",,"bse_cm|935LTF29","Face Value")</f>
        <v>1000</v>
      </c>
      <c r="R396" t="str">
        <f>RTD("nest.scriprtd",,"bse_cm|935LTF29","Isin code")</f>
        <v>INE027E07972</v>
      </c>
      <c r="S396" s="9">
        <f>Table1[[#This Row],[Ask Rate]]*Table1[[#This Row],[Ask Qty]]</f>
        <v>11000</v>
      </c>
      <c r="T396">
        <f>VLOOKUP(Table1[[#This Row],[Isin code]],Table2[#All],7,FALSE)</f>
        <v>9.35</v>
      </c>
      <c r="U396" s="17">
        <f>VLOOKUP(Table1[[#This Row],[Isin code]],Table2[#All],8,FALSE)</f>
        <v>47190</v>
      </c>
      <c r="V396" s="10">
        <f ca="1">Table1[[#This Row],[Maturity]]-TODAY()</f>
        <v>1609</v>
      </c>
      <c r="W396" t="str">
        <f>VLOOKUP(Table1[[#This Row],[Isin code]],Table2[#All],10,FALSE)</f>
        <v>Yearly</v>
      </c>
      <c r="X396">
        <f ca="1">_xlfn.DAYS(Table1[[#This Row],[Maturity]],TODAY())-15</f>
        <v>1594</v>
      </c>
      <c r="Y3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396">
        <f>IF(Table1[[#This Row],[Ask Rate]]=0,0,Table1[[#This Row],[Face Value]]-Table1[[#This Row],[Ask Rate]])</f>
        <v>-100</v>
      </c>
      <c r="AA396">
        <f>IF(Table1[[#This Row],[Freq]]="Yearly",Table1[[#This Row],[Coupon_Rate]]/100,IF(Table1[[#This Row],[Freq]]="Monthly",Table1[[#This Row],[Coupon_Rate]]/1200,IF(Table1[[#This Row],[Freq]]="Quarterly",Table1[[#This Row],[Coupon_Rate]]/400,0)))</f>
        <v>9.35E-2</v>
      </c>
      <c r="AB396">
        <f ca="1">Table1[[#This Row],[Face Value]]*Table1[[#This Row],[Rate]]*Table1[[#This Row],[Time]]</f>
        <v>467.5</v>
      </c>
      <c r="AC396">
        <f ca="1">Table1[[#This Row],[SI]]+Table1[[#This Row],[Disc/Prem]]</f>
        <v>367.5</v>
      </c>
      <c r="AD396" s="3">
        <f ca="1">Table1[[#This Row],[Net Gain]]/Table1[[#This Row],[Ask Rate]]</f>
        <v>0.33409090909090911</v>
      </c>
      <c r="AE396" s="3">
        <f ca="1">IF(Table1[[#This Row],[Ask Qty]]=0,0,Table1[[#This Row],[Gross Yield]]*365/Table1[[#This Row],[Days Left]])</f>
        <v>7.5788180123170804E-2</v>
      </c>
      <c r="AF396" s="9">
        <f ca="1">+Table1[[#This Row],[Net Gain]]*Table1[[#This Row],[Ask Qty]]</f>
        <v>3675</v>
      </c>
      <c r="AG396" t="str">
        <f ca="1">IF(Table1[[#This Row],[YTM]]&gt;0.12,IF(Table1[[#This Row],[Gross Profit]]&gt;10000,"Invest","Review"),"Low YTM")</f>
        <v>Low YTM</v>
      </c>
    </row>
    <row r="397" spans="1:33" x14ac:dyDescent="0.3">
      <c r="A397" t="str">
        <f>RTD("nest.scriprtd",,"bse_cm|903SFL28","Symbol")</f>
        <v>903SFL28</v>
      </c>
      <c r="B397" t="str">
        <f>RTD("nest.scriprtd",,"bse_cm|903SFL28","Trading Symbol")</f>
        <v>903SFL28</v>
      </c>
      <c r="C397" t="str">
        <f>RTD("nest.scriprtd",,"bse_cm|903SFL28","Exchange")</f>
        <v>BSE</v>
      </c>
      <c r="D397">
        <f>RTD("nest.scriprtd",,"bse_cm|903SFL28","Bid Qty")</f>
        <v>10</v>
      </c>
      <c r="E397">
        <f>RTD("nest.scriprtd",,"bse_cm|903SFL28","Bid Rate")</f>
        <v>1022</v>
      </c>
      <c r="F397">
        <f>RTD("nest.scriprtd",,"bse_cm|903SFL28","Ask Rate")</f>
        <v>1044</v>
      </c>
      <c r="G397">
        <f>RTD("nest.scriprtd",,"bse_cm|903SFL28","Ask Qty")</f>
        <v>20</v>
      </c>
      <c r="H397">
        <f>RTD("nest.scriprtd",,"bse_cm|903SFL28","LTP")</f>
        <v>0</v>
      </c>
      <c r="I397" t="str">
        <f>RTD("nest.scriprtd",,"bse_cm|903SFL28","LTT")</f>
        <v>00:00:00</v>
      </c>
      <c r="J397">
        <f>RTD("nest.scriprtd",,"bse_cm|903SFL28","% Change")</f>
        <v>-100</v>
      </c>
      <c r="K397">
        <f>RTD("nest.scriprtd",,"bse_cm|903SFL28","ATP")</f>
        <v>0</v>
      </c>
      <c r="L397">
        <f>RTD("nest.scriprtd",,"bse_cm|903SFL28","Volume Traded Today")</f>
        <v>0</v>
      </c>
      <c r="M397">
        <f>RTD("nest.scriprtd",,"bse_cm|903SFL28","Open")</f>
        <v>0</v>
      </c>
      <c r="N397">
        <f>RTD("nest.scriprtd",,"bse_cm|903SFL28","High")</f>
        <v>1022</v>
      </c>
      <c r="O397">
        <f>RTD("nest.scriprtd",,"bse_cm|903SFL28","Low ")</f>
        <v>1022</v>
      </c>
      <c r="P397">
        <f>RTD("nest.scriprtd",,"bse_cm|903SFL28","Prev Close")</f>
        <v>1022</v>
      </c>
      <c r="Q397">
        <f>RTD("nest.scriprtd",,"bse_cm|903SFL28","Face Value")</f>
        <v>1000</v>
      </c>
      <c r="R397" t="str">
        <f>RTD("nest.scriprtd",,"bse_cm|903SFL28","Isin code")</f>
        <v>INE721A07NU1</v>
      </c>
      <c r="S397" s="9">
        <f>Table1[[#This Row],[Ask Rate]]*Table1[[#This Row],[Ask Qty]]</f>
        <v>20880</v>
      </c>
      <c r="T397">
        <f>VLOOKUP(Table1[[#This Row],[Isin code]],Table2[#All],7,FALSE)</f>
        <v>9.0299999999999994</v>
      </c>
      <c r="U397" s="17">
        <f>VLOOKUP(Table1[[#This Row],[Isin code]],Table2[#All],8,FALSE)</f>
        <v>46946</v>
      </c>
      <c r="V397" s="10">
        <f ca="1">Table1[[#This Row],[Maturity]]-TODAY()</f>
        <v>1365</v>
      </c>
      <c r="W397" t="str">
        <f>VLOOKUP(Table1[[#This Row],[Isin code]],Table2[#All],10,FALSE)</f>
        <v>Monthly</v>
      </c>
      <c r="X397">
        <f ca="1">_xlfn.DAYS(Table1[[#This Row],[Maturity]],TODAY())-15</f>
        <v>1350</v>
      </c>
      <c r="Y3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45</v>
      </c>
      <c r="Z397">
        <f>IF(Table1[[#This Row],[Ask Rate]]=0,0,Table1[[#This Row],[Face Value]]-Table1[[#This Row],[Ask Rate]])</f>
        <v>-44</v>
      </c>
      <c r="AA397">
        <f>IF(Table1[[#This Row],[Freq]]="Yearly",Table1[[#This Row],[Coupon_Rate]]/100,IF(Table1[[#This Row],[Freq]]="Monthly",Table1[[#This Row],[Coupon_Rate]]/1200,IF(Table1[[#This Row],[Freq]]="Quarterly",Table1[[#This Row],[Coupon_Rate]]/400,0)))</f>
        <v>7.5249999999999996E-3</v>
      </c>
      <c r="AB397">
        <f ca="1">Table1[[#This Row],[Face Value]]*Table1[[#This Row],[Rate]]*Table1[[#This Row],[Time]]</f>
        <v>338.625</v>
      </c>
      <c r="AC397">
        <f ca="1">Table1[[#This Row],[SI]]+Table1[[#This Row],[Disc/Prem]]</f>
        <v>294.625</v>
      </c>
      <c r="AD397" s="3">
        <f ca="1">Table1[[#This Row],[Net Gain]]/Table1[[#This Row],[Ask Rate]]</f>
        <v>0.28220785440613028</v>
      </c>
      <c r="AE397" s="3">
        <f ca="1">IF(Table1[[#This Row],[Ask Qty]]=0,0,Table1[[#This Row],[Gross Yield]]*365/Table1[[#This Row],[Days Left]])</f>
        <v>7.5462173522518355E-2</v>
      </c>
      <c r="AF397" s="9">
        <f ca="1">+Table1[[#This Row],[Net Gain]]*Table1[[#This Row],[Ask Qty]]</f>
        <v>5892.5</v>
      </c>
      <c r="AG397" t="str">
        <f ca="1">IF(Table1[[#This Row],[YTM]]&gt;0.12,IF(Table1[[#This Row],[Gross Profit]]&gt;10000,"Invest","Review"),"Low YTM")</f>
        <v>Low YTM</v>
      </c>
    </row>
    <row r="398" spans="1:33" x14ac:dyDescent="0.3">
      <c r="A398" t="str">
        <f>RTD("nest.scriprtd",,"bse_cm|925IHFL25E","Symbol")</f>
        <v>925IHFL25E</v>
      </c>
      <c r="B398" t="str">
        <f>RTD("nest.scriprtd",,"bse_cm|925IHFL25E","Trading Symbol")</f>
        <v>925IHFL25E</v>
      </c>
      <c r="C398" t="str">
        <f>RTD("nest.scriprtd",,"bse_cm|925IHFL25E","Exchange")</f>
        <v>BSE</v>
      </c>
      <c r="D398">
        <f>RTD("nest.scriprtd",,"bse_cm|925IHFL25E","Bid Qty")</f>
        <v>5</v>
      </c>
      <c r="E398">
        <f>RTD("nest.scriprtd",,"bse_cm|925IHFL25E","Bid Rate")</f>
        <v>970.2</v>
      </c>
      <c r="F398">
        <f>RTD("nest.scriprtd",,"bse_cm|925IHFL25E","Ask Rate")</f>
        <v>1020</v>
      </c>
      <c r="G398">
        <f>RTD("nest.scriprtd",,"bse_cm|925IHFL25E","Ask Qty")</f>
        <v>18</v>
      </c>
      <c r="H398">
        <f>RTD("nest.scriprtd",,"bse_cm|925IHFL25E","LTP")</f>
        <v>0</v>
      </c>
      <c r="I398" t="str">
        <f>RTD("nest.scriprtd",,"bse_cm|925IHFL25E","LTT")</f>
        <v>00:00:00</v>
      </c>
      <c r="J398">
        <f>RTD("nest.scriprtd",,"bse_cm|925IHFL25E","% Change")</f>
        <v>-100</v>
      </c>
      <c r="K398">
        <f>RTD("nest.scriprtd",,"bse_cm|925IHFL25E","ATP")</f>
        <v>0</v>
      </c>
      <c r="L398">
        <f>RTD("nest.scriprtd",,"bse_cm|925IHFL25E","Volume Traded Today")</f>
        <v>0</v>
      </c>
      <c r="M398">
        <f>RTD("nest.scriprtd",,"bse_cm|925IHFL25E","Open")</f>
        <v>0</v>
      </c>
      <c r="N398">
        <f>RTD("nest.scriprtd",,"bse_cm|925IHFL25E","High")</f>
        <v>1025</v>
      </c>
      <c r="O398">
        <f>RTD("nest.scriprtd",,"bse_cm|925IHFL25E","Low ")</f>
        <v>1020</v>
      </c>
      <c r="P398">
        <f>RTD("nest.scriprtd",,"bse_cm|925IHFL25E","Prev Close")</f>
        <v>1020</v>
      </c>
      <c r="Q398">
        <f>RTD("nest.scriprtd",,"bse_cm|925IHFL25E","Face Value")</f>
        <v>1000</v>
      </c>
      <c r="R398" t="str">
        <f>RTD("nest.scriprtd",,"bse_cm|925IHFL25E","Isin code")</f>
        <v>INE121A07RF6</v>
      </c>
      <c r="S398" s="9">
        <f>Table1[[#This Row],[Ask Rate]]*Table1[[#This Row],[Ask Qty]]</f>
        <v>18360</v>
      </c>
      <c r="T398">
        <f>VLOOKUP(Table1[[#This Row],[Isin code]],Table2[#All],7,FALSE)</f>
        <v>8.3000000000000007</v>
      </c>
      <c r="U398" s="17" t="str">
        <f>VLOOKUP(Table1[[#This Row],[Isin code]],Table2[#All],8,FALSE)</f>
        <v>09-Sep-2026</v>
      </c>
      <c r="V398" s="10">
        <f ca="1">Table1[[#This Row],[Maturity]]-TODAY()</f>
        <v>693</v>
      </c>
      <c r="W398" t="str">
        <f>VLOOKUP(Table1[[#This Row],[Isin code]],Table2[#All],10,FALSE)</f>
        <v>Yearly</v>
      </c>
      <c r="X398">
        <f ca="1">_xlfn.DAYS(Table1[[#This Row],[Maturity]],TODAY())-15</f>
        <v>678</v>
      </c>
      <c r="Y3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398">
        <f>IF(Table1[[#This Row],[Ask Rate]]=0,0,Table1[[#This Row],[Face Value]]-Table1[[#This Row],[Ask Rate]])</f>
        <v>-20</v>
      </c>
      <c r="AA398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398">
        <f ca="1">Table1[[#This Row],[Face Value]]*Table1[[#This Row],[Rate]]*Table1[[#This Row],[Time]]</f>
        <v>166</v>
      </c>
      <c r="AC398">
        <f ca="1">Table1[[#This Row],[SI]]+Table1[[#This Row],[Disc/Prem]]</f>
        <v>146</v>
      </c>
      <c r="AD398" s="3">
        <f ca="1">Table1[[#This Row],[Net Gain]]/Table1[[#This Row],[Ask Rate]]</f>
        <v>0.14313725490196078</v>
      </c>
      <c r="AE398" s="3">
        <f ca="1">IF(Table1[[#This Row],[Ask Qty]]=0,0,Table1[[#This Row],[Gross Yield]]*365/Table1[[#This Row],[Days Left]])</f>
        <v>7.5389751860340096E-2</v>
      </c>
      <c r="AF398" s="9">
        <f ca="1">+Table1[[#This Row],[Net Gain]]*Table1[[#This Row],[Ask Qty]]</f>
        <v>2628</v>
      </c>
      <c r="AG398" t="str">
        <f ca="1">IF(Table1[[#This Row],[YTM]]&gt;0.12,IF(Table1[[#This Row],[Gross Profit]]&gt;10000,"Invest","Review"),"Low YTM")</f>
        <v>Low YTM</v>
      </c>
    </row>
    <row r="399" spans="1:33" x14ac:dyDescent="0.3">
      <c r="A399" t="str">
        <f>RTD("nest.scriprtd",,"bse_cm|870MFL27","Symbol")</f>
        <v>870MFL27</v>
      </c>
      <c r="B399" t="str">
        <f>RTD("nest.scriprtd",,"bse_cm|870MFL27","Trading Symbol")</f>
        <v>870MFL27</v>
      </c>
      <c r="C399" t="str">
        <f>RTD("nest.scriprtd",,"bse_cm|870MFL27","Exchange")</f>
        <v>BSE</v>
      </c>
      <c r="D399">
        <f>RTD("nest.scriprtd",,"bse_cm|870MFL27","Bid Qty")</f>
        <v>100</v>
      </c>
      <c r="E399">
        <f>RTD("nest.scriprtd",,"bse_cm|870MFL27","Bid Rate")</f>
        <v>955</v>
      </c>
      <c r="F399">
        <f>RTD("nest.scriprtd",,"bse_cm|870MFL27","Ask Rate")</f>
        <v>1074.8</v>
      </c>
      <c r="G399">
        <f>RTD("nest.scriprtd",,"bse_cm|870MFL27","Ask Qty")</f>
        <v>30</v>
      </c>
      <c r="H399">
        <f>RTD("nest.scriprtd",,"bse_cm|870MFL27","LTP")</f>
        <v>0</v>
      </c>
      <c r="I399" t="str">
        <f>RTD("nest.scriprtd",,"bse_cm|870MFL27","LTT")</f>
        <v>00:00:00</v>
      </c>
      <c r="J399">
        <f>RTD("nest.scriprtd",,"bse_cm|870MFL27","% Change")</f>
        <v>-100</v>
      </c>
      <c r="K399">
        <f>RTD("nest.scriprtd",,"bse_cm|870MFL27","ATP")</f>
        <v>0</v>
      </c>
      <c r="L399">
        <f>RTD("nest.scriprtd",,"bse_cm|870MFL27","Volume Traded Today")</f>
        <v>0</v>
      </c>
      <c r="M399">
        <f>RTD("nest.scriprtd",,"bse_cm|870MFL27","Open")</f>
        <v>0</v>
      </c>
      <c r="N399">
        <f>RTD("nest.scriprtd",,"bse_cm|870MFL27","High")</f>
        <v>1000</v>
      </c>
      <c r="O399">
        <f>RTD("nest.scriprtd",,"bse_cm|870MFL27","Low ")</f>
        <v>952.2</v>
      </c>
      <c r="P399">
        <f>RTD("nest.scriprtd",,"bse_cm|870MFL27","Prev Close")</f>
        <v>1000</v>
      </c>
      <c r="Q399">
        <f>RTD("nest.scriprtd",,"bse_cm|870MFL27","Face Value")</f>
        <v>1000</v>
      </c>
      <c r="R399" t="str">
        <f>RTD("nest.scriprtd",,"bse_cm|870MFL27","Isin code")</f>
        <v>INE549K07BS4</v>
      </c>
      <c r="S399" s="9">
        <f>Table1[[#This Row],[Ask Rate]]*Table1[[#This Row],[Ask Qty]]</f>
        <v>32244</v>
      </c>
      <c r="T399">
        <f>VLOOKUP(Table1[[#This Row],[Isin code]],Table2[#All],7,FALSE)</f>
        <v>8.6999999999999993</v>
      </c>
      <c r="U399" s="17" t="str">
        <f>VLOOKUP(Table1[[#This Row],[Isin code]],Table2[#All],8,FALSE)</f>
        <v>02-Feb-2027</v>
      </c>
      <c r="V399" s="10">
        <f ca="1">Table1[[#This Row],[Maturity]]-TODAY()</f>
        <v>839</v>
      </c>
      <c r="W399" t="str">
        <f>VLOOKUP(Table1[[#This Row],[Isin code]],Table2[#All],10,FALSE)</f>
        <v>Yearly</v>
      </c>
      <c r="X399">
        <f ca="1">_xlfn.DAYS(Table1[[#This Row],[Maturity]],TODAY())-15</f>
        <v>824</v>
      </c>
      <c r="Y3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399">
        <f>IF(Table1[[#This Row],[Ask Rate]]=0,0,Table1[[#This Row],[Face Value]]-Table1[[#This Row],[Ask Rate]])</f>
        <v>-74.799999999999955</v>
      </c>
      <c r="AA399">
        <f>IF(Table1[[#This Row],[Freq]]="Yearly",Table1[[#This Row],[Coupon_Rate]]/100,IF(Table1[[#This Row],[Freq]]="Monthly",Table1[[#This Row],[Coupon_Rate]]/1200,IF(Table1[[#This Row],[Freq]]="Quarterly",Table1[[#This Row],[Coupon_Rate]]/400,0)))</f>
        <v>8.6999999999999994E-2</v>
      </c>
      <c r="AB399">
        <f ca="1">Table1[[#This Row],[Face Value]]*Table1[[#This Row],[Rate]]*Table1[[#This Row],[Time]]</f>
        <v>261</v>
      </c>
      <c r="AC399">
        <f ca="1">Table1[[#This Row],[SI]]+Table1[[#This Row],[Disc/Prem]]</f>
        <v>186.20000000000005</v>
      </c>
      <c r="AD399" s="3">
        <f ca="1">Table1[[#This Row],[Net Gain]]/Table1[[#This Row],[Ask Rate]]</f>
        <v>0.17324153330852257</v>
      </c>
      <c r="AE399" s="3">
        <f ca="1">IF(Table1[[#This Row],[Ask Qty]]=0,0,Table1[[#This Row],[Gross Yield]]*365/Table1[[#This Row],[Days Left]])</f>
        <v>7.5367293990000889E-2</v>
      </c>
      <c r="AF399" s="9">
        <f ca="1">+Table1[[#This Row],[Net Gain]]*Table1[[#This Row],[Ask Qty]]</f>
        <v>5586.0000000000018</v>
      </c>
      <c r="AG399" t="str">
        <f ca="1">IF(Table1[[#This Row],[YTM]]&gt;0.12,IF(Table1[[#This Row],[Gross Profit]]&gt;10000,"Invest","Review"),"Low YTM")</f>
        <v>Low YTM</v>
      </c>
    </row>
    <row r="400" spans="1:33" x14ac:dyDescent="0.3">
      <c r="A400" t="str">
        <f>RTD("nest.scriprtd",,"nse_cm|830PFCL27-N5","Symbol")</f>
        <v>830PFCL27</v>
      </c>
      <c r="B400" t="str">
        <f>RTD("nest.scriprtd",,"nse_cm|830PFCL27-N5","Trading Symbol")</f>
        <v>830PFCL27-N5</v>
      </c>
      <c r="C400" t="str">
        <f>RTD("nest.scriprtd",,"nse_cm|830PFCL27-N5","Exchange")</f>
        <v>NSE</v>
      </c>
      <c r="D400">
        <f>RTD("nest.scriprtd",,"nse_cm|830PFCL27-N5","Bid Qty")</f>
        <v>1</v>
      </c>
      <c r="E400">
        <f>RTD("nest.scriprtd",,"nse_cm|830PFCL27-N5","Bid Rate")</f>
        <v>1064</v>
      </c>
      <c r="F400">
        <f>RTD("nest.scriprtd",,"nse_cm|830PFCL27-N5","Ask Rate")</f>
        <v>1067.4000000000001</v>
      </c>
      <c r="G400">
        <f>RTD("nest.scriprtd",,"nse_cm|830PFCL27-N5","Ask Qty")</f>
        <v>50</v>
      </c>
      <c r="H400">
        <f>RTD("nest.scriprtd",,"nse_cm|830PFCL27-N5","LTP")</f>
        <v>1061</v>
      </c>
      <c r="I400" t="str">
        <f>RTD("nest.scriprtd",,"nse_cm|830PFCL27-N5","LTT")</f>
        <v>11:23:14</v>
      </c>
      <c r="J400">
        <f>RTD("nest.scriprtd",,"nse_cm|830PFCL27-N5","% Change")</f>
        <v>-0.83</v>
      </c>
      <c r="K400">
        <f>RTD("nest.scriprtd",,"nse_cm|830PFCL27-N5","ATP")</f>
        <v>0</v>
      </c>
      <c r="L400">
        <f>RTD("nest.scriprtd",,"nse_cm|830PFCL27-N5","Volume Traded Today")</f>
        <v>175</v>
      </c>
      <c r="M400">
        <f>RTD("nest.scriprtd",,"nse_cm|830PFCL27-N5","Open")</f>
        <v>0</v>
      </c>
      <c r="N400">
        <f>RTD("nest.scriprtd",,"nse_cm|830PFCL27-N5","High")</f>
        <v>1065</v>
      </c>
      <c r="O400">
        <f>RTD("nest.scriprtd",,"nse_cm|830PFCL27-N5","Low ")</f>
        <v>1061</v>
      </c>
      <c r="P400">
        <f>RTD("nest.scriprtd",,"nse_cm|830PFCL27-N5","Prev Close")</f>
        <v>1069.9000000000001</v>
      </c>
      <c r="Q400">
        <f>RTD("nest.scriprtd",,"nse_cm|830PFCL27-N5","Face Value")</f>
        <v>1000</v>
      </c>
      <c r="R400" t="str">
        <f>RTD("nest.scriprtd",,"nse_cm|830PFCL27-N5","Isin code")</f>
        <v>INE134E07208</v>
      </c>
      <c r="S400" s="9">
        <f>Table1[[#This Row],[Ask Rate]]*Table1[[#This Row],[Ask Qty]]</f>
        <v>53370.000000000007</v>
      </c>
      <c r="T400">
        <f>VLOOKUP(Table1[[#This Row],[Isin code]],Table2[#All],7,FALSE)</f>
        <v>8.3000000000000007</v>
      </c>
      <c r="U400" s="17">
        <f>VLOOKUP(Table1[[#This Row],[Isin code]],Table2[#All],8,FALSE)</f>
        <v>46419</v>
      </c>
      <c r="V400" s="10">
        <f ca="1">Table1[[#This Row],[Maturity]]-TODAY()</f>
        <v>838</v>
      </c>
      <c r="W400" t="str">
        <f>VLOOKUP(Table1[[#This Row],[Isin code]],Table2[#All],10,FALSE)</f>
        <v>Yearly</v>
      </c>
      <c r="X400">
        <f ca="1">_xlfn.DAYS(Table1[[#This Row],[Maturity]],TODAY())-15</f>
        <v>823</v>
      </c>
      <c r="Y4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00">
        <f>IF(Table1[[#This Row],[Ask Rate]]=0,0,Table1[[#This Row],[Face Value]]-Table1[[#This Row],[Ask Rate]])</f>
        <v>-67.400000000000091</v>
      </c>
      <c r="AA400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400">
        <f ca="1">Table1[[#This Row],[Face Value]]*Table1[[#This Row],[Rate]]*Table1[[#This Row],[Time]]</f>
        <v>249</v>
      </c>
      <c r="AC400">
        <f ca="1">Table1[[#This Row],[SI]]+Table1[[#This Row],[Disc/Prem]]</f>
        <v>181.59999999999991</v>
      </c>
      <c r="AD400" s="3">
        <f ca="1">Table1[[#This Row],[Net Gain]]/Table1[[#This Row],[Ask Rate]]</f>
        <v>0.17013303353944154</v>
      </c>
      <c r="AE400" s="3">
        <f ca="1">IF(Table1[[#This Row],[Ask Qty]]=0,0,Table1[[#This Row],[Gross Yield]]*365/Table1[[#This Row],[Days Left]])</f>
        <v>7.4103290264792551E-2</v>
      </c>
      <c r="AF400" s="9">
        <f ca="1">+Table1[[#This Row],[Net Gain]]*Table1[[#This Row],[Ask Qty]]</f>
        <v>9079.9999999999964</v>
      </c>
      <c r="AG400" t="str">
        <f ca="1">IF(Table1[[#This Row],[YTM]]&gt;0.12,IF(Table1[[#This Row],[Gross Profit]]&gt;10000,"Invest","Review"),"Low YTM")</f>
        <v>Low YTM</v>
      </c>
    </row>
    <row r="401" spans="1:33" x14ac:dyDescent="0.3">
      <c r="A401" t="str">
        <f>RTD("nest.scriprtd",,"bse_cm|805MMFSL32","Symbol")</f>
        <v>805MMFSL32</v>
      </c>
      <c r="B401" t="str">
        <f>RTD("nest.scriprtd",,"bse_cm|805MMFSL32","Trading Symbol")</f>
        <v>805MMFSL32</v>
      </c>
      <c r="C401" t="str">
        <f>RTD("nest.scriprtd",,"bse_cm|805MMFSL32","Exchange")</f>
        <v>BSE</v>
      </c>
      <c r="D401">
        <f>RTD("nest.scriprtd",,"bse_cm|805MMFSL32","Bid Qty")</f>
        <v>5</v>
      </c>
      <c r="E401">
        <f>RTD("nest.scriprtd",,"bse_cm|805MMFSL32","Bid Rate")</f>
        <v>1026</v>
      </c>
      <c r="F401">
        <f>RTD("nest.scriprtd",,"bse_cm|805MMFSL32","Ask Rate")</f>
        <v>1039</v>
      </c>
      <c r="G401">
        <f>RTD("nest.scriprtd",,"bse_cm|805MMFSL32","Ask Qty")</f>
        <v>10</v>
      </c>
      <c r="H401">
        <f>RTD("nest.scriprtd",,"bse_cm|805MMFSL32","LTP")</f>
        <v>0</v>
      </c>
      <c r="I401" t="str">
        <f>RTD("nest.scriprtd",,"bse_cm|805MMFSL32","LTT")</f>
        <v>00:00:00</v>
      </c>
      <c r="J401">
        <f>RTD("nest.scriprtd",,"bse_cm|805MMFSL32","% Change")</f>
        <v>-100</v>
      </c>
      <c r="K401">
        <f>RTD("nest.scriprtd",,"bse_cm|805MMFSL32","ATP")</f>
        <v>0</v>
      </c>
      <c r="L401">
        <f>RTD("nest.scriprtd",,"bse_cm|805MMFSL32","Volume Traded Today")</f>
        <v>0</v>
      </c>
      <c r="M401">
        <f>RTD("nest.scriprtd",,"bse_cm|805MMFSL32","Open")</f>
        <v>0</v>
      </c>
      <c r="N401">
        <f>RTD("nest.scriprtd",,"bse_cm|805MMFSL32","High")</f>
        <v>1033</v>
      </c>
      <c r="O401">
        <f>RTD("nest.scriprtd",,"bse_cm|805MMFSL32","Low ")</f>
        <v>1033</v>
      </c>
      <c r="P401">
        <f>RTD("nest.scriprtd",,"bse_cm|805MMFSL32","Prev Close")</f>
        <v>1033</v>
      </c>
      <c r="Q401">
        <f>RTD("nest.scriprtd",,"bse_cm|805MMFSL32","Face Value")</f>
        <v>1000</v>
      </c>
      <c r="R401" t="str">
        <f>RTD("nest.scriprtd",,"bse_cm|805MMFSL32","Isin code")</f>
        <v>INE774D08MM1</v>
      </c>
      <c r="S401" s="9">
        <f>Table1[[#This Row],[Ask Rate]]*Table1[[#This Row],[Ask Qty]]</f>
        <v>10390</v>
      </c>
      <c r="T401">
        <f>VLOOKUP(Table1[[#This Row],[Isin code]],Table2[#All],7,FALSE)</f>
        <v>8.0500000000000007</v>
      </c>
      <c r="U401" s="17" t="str">
        <f>VLOOKUP(Table1[[#This Row],[Isin code]],Table2[#All],8,FALSE)</f>
        <v>24-Jul-2032</v>
      </c>
      <c r="V401" s="10">
        <f ca="1">Table1[[#This Row],[Maturity]]-TODAY()</f>
        <v>2838</v>
      </c>
      <c r="W401" t="str">
        <f>VLOOKUP(Table1[[#This Row],[Isin code]],Table2[#All],10,FALSE)</f>
        <v>Yearly</v>
      </c>
      <c r="X401">
        <f ca="1">_xlfn.DAYS(Table1[[#This Row],[Maturity]],TODAY())-15</f>
        <v>2823</v>
      </c>
      <c r="Y40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401">
        <f>IF(Table1[[#This Row],[Ask Rate]]=0,0,Table1[[#This Row],[Face Value]]-Table1[[#This Row],[Ask Rate]])</f>
        <v>-39</v>
      </c>
      <c r="AA401">
        <f>IF(Table1[[#This Row],[Freq]]="Yearly",Table1[[#This Row],[Coupon_Rate]]/100,IF(Table1[[#This Row],[Freq]]="Monthly",Table1[[#This Row],[Coupon_Rate]]/1200,IF(Table1[[#This Row],[Freq]]="Quarterly",Table1[[#This Row],[Coupon_Rate]]/400,0)))</f>
        <v>8.0500000000000002E-2</v>
      </c>
      <c r="AB401">
        <f ca="1">Table1[[#This Row],[Face Value]]*Table1[[#This Row],[Rate]]*Table1[[#This Row],[Time]]</f>
        <v>644</v>
      </c>
      <c r="AC401">
        <f ca="1">Table1[[#This Row],[SI]]+Table1[[#This Row],[Disc/Prem]]</f>
        <v>605</v>
      </c>
      <c r="AD401" s="3">
        <f ca="1">Table1[[#This Row],[Net Gain]]/Table1[[#This Row],[Ask Rate]]</f>
        <v>0.58229066410009622</v>
      </c>
      <c r="AE401" s="3">
        <f ca="1">IF(Table1[[#This Row],[Ask Qty]]=0,0,Table1[[#This Row],[Gross Yield]]*365/Table1[[#This Row],[Days Left]])</f>
        <v>7.4889391260230836E-2</v>
      </c>
      <c r="AF401" s="9">
        <f ca="1">+Table1[[#This Row],[Net Gain]]*Table1[[#This Row],[Ask Qty]]</f>
        <v>6050</v>
      </c>
      <c r="AG401" t="str">
        <f ca="1">IF(Table1[[#This Row],[YTM]]&gt;0.12,IF(Table1[[#This Row],[Gross Profit]]&gt;10000,"Invest","Review"),"Low YTM")</f>
        <v>Low YTM</v>
      </c>
    </row>
    <row r="402" spans="1:33" x14ac:dyDescent="0.3">
      <c r="A402" t="str">
        <f>RTD("nest.scriprtd",,"nse_cm|84TCHF28-NA","Symbol")</f>
        <v>84TCHF28</v>
      </c>
      <c r="B402" t="str">
        <f>RTD("nest.scriprtd",,"nse_cm|84TCHF28-NA","Trading Symbol")</f>
        <v>84TCHF28-NA</v>
      </c>
      <c r="C402" t="str">
        <f>RTD("nest.scriprtd",,"nse_cm|84TCHF28-NA","Exchange")</f>
        <v>NSE</v>
      </c>
      <c r="D402">
        <f>RTD("nest.scriprtd",,"nse_cm|84TCHF28-NA","Bid Qty")</f>
        <v>1</v>
      </c>
      <c r="E402">
        <f>RTD("nest.scriprtd",,"nse_cm|84TCHF28-NA","Bid Rate")</f>
        <v>1070.55</v>
      </c>
      <c r="F402">
        <f>RTD("nest.scriprtd",,"nse_cm|84TCHF28-NA","Ask Rate")</f>
        <v>1075</v>
      </c>
      <c r="G402">
        <f>RTD("nest.scriprtd",,"nse_cm|84TCHF28-NA","Ask Qty")</f>
        <v>2</v>
      </c>
      <c r="H402">
        <f>RTD("nest.scriprtd",,"nse_cm|84TCHF28-NA","LTP")</f>
        <v>1070.1199999999999</v>
      </c>
      <c r="I402" t="str">
        <f>RTD("nest.scriprtd",,"nse_cm|84TCHF28-NA","LTT")</f>
        <v/>
      </c>
      <c r="J402">
        <f>RTD("nest.scriprtd",,"nse_cm|84TCHF28-NA","% Change")</f>
        <v>0</v>
      </c>
      <c r="K402">
        <f>RTD("nest.scriprtd",,"nse_cm|84TCHF28-NA","ATP")</f>
        <v>0</v>
      </c>
      <c r="L402">
        <f>RTD("nest.scriprtd",,"nse_cm|84TCHF28-NA","Volume Traded Today")</f>
        <v>0</v>
      </c>
      <c r="M402">
        <f>RTD("nest.scriprtd",,"nse_cm|84TCHF28-NA","Open")</f>
        <v>0</v>
      </c>
      <c r="N402">
        <f>RTD("nest.scriprtd",,"nse_cm|84TCHF28-NA","High")</f>
        <v>1070.55</v>
      </c>
      <c r="O402">
        <f>RTD("nest.scriprtd",,"nse_cm|84TCHF28-NA","Low ")</f>
        <v>1070.1199999999999</v>
      </c>
      <c r="P402">
        <f>RTD("nest.scriprtd",,"nse_cm|84TCHF28-NA","Prev Close")</f>
        <v>1070.1199999999999</v>
      </c>
      <c r="Q402">
        <f>RTD("nest.scriprtd",,"nse_cm|84TCHF28-NA","Face Value")</f>
        <v>1000</v>
      </c>
      <c r="R402" t="str">
        <f>RTD("nest.scriprtd",,"nse_cm|84TCHF28-NA","Isin code")</f>
        <v>INE033L07GU2</v>
      </c>
      <c r="S402" s="9">
        <f>Table1[[#This Row],[Ask Rate]]*Table1[[#This Row],[Ask Qty]]</f>
        <v>2150</v>
      </c>
      <c r="T402">
        <f>VLOOKUP(Table1[[#This Row],[Isin code]],Table2[#All],7,FALSE)</f>
        <v>8.4</v>
      </c>
      <c r="U402" s="17" t="str">
        <f>VLOOKUP(Table1[[#This Row],[Isin code]],Table2[#All],8,FALSE)</f>
        <v>14-Jan-2028</v>
      </c>
      <c r="V402" s="10">
        <f ca="1">Table1[[#This Row],[Maturity]]-TODAY()</f>
        <v>1185</v>
      </c>
      <c r="W402" t="str">
        <f>VLOOKUP(Table1[[#This Row],[Isin code]],Table2[#All],10,FALSE)</f>
        <v>Yearly</v>
      </c>
      <c r="X402">
        <f ca="1">_xlfn.DAYS(Table1[[#This Row],[Maturity]],TODAY())-15</f>
        <v>1170</v>
      </c>
      <c r="Y4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02">
        <f>IF(Table1[[#This Row],[Ask Rate]]=0,0,Table1[[#This Row],[Face Value]]-Table1[[#This Row],[Ask Rate]])</f>
        <v>-75</v>
      </c>
      <c r="AA402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402">
        <f ca="1">Table1[[#This Row],[Face Value]]*Table1[[#This Row],[Rate]]*Table1[[#This Row],[Time]]</f>
        <v>336</v>
      </c>
      <c r="AC402">
        <f ca="1">Table1[[#This Row],[SI]]+Table1[[#This Row],[Disc/Prem]]</f>
        <v>261</v>
      </c>
      <c r="AD402" s="3">
        <f ca="1">Table1[[#This Row],[Net Gain]]/Table1[[#This Row],[Ask Rate]]</f>
        <v>0.2427906976744186</v>
      </c>
      <c r="AE402" s="3">
        <f ca="1">IF(Table1[[#This Row],[Ask Qty]]=0,0,Table1[[#This Row],[Gross Yield]]*365/Table1[[#This Row],[Days Left]])</f>
        <v>7.4783632617015011E-2</v>
      </c>
      <c r="AF402" s="9">
        <f ca="1">+Table1[[#This Row],[Net Gain]]*Table1[[#This Row],[Ask Qty]]</f>
        <v>522</v>
      </c>
      <c r="AG402" t="str">
        <f ca="1">IF(Table1[[#This Row],[YTM]]&gt;0.12,IF(Table1[[#This Row],[Gross Profit]]&gt;10000,"Invest","Review"),"Low YTM")</f>
        <v>Low YTM</v>
      </c>
    </row>
    <row r="403" spans="1:33" x14ac:dyDescent="0.3">
      <c r="A403" t="str">
        <f>RTD("nest.scriprtd",,"bse_cm|84TCHF28","Symbol")</f>
        <v>84TCHF28</v>
      </c>
      <c r="B403" t="str">
        <f>RTD("nest.scriprtd",,"bse_cm|84TCHF28","Trading Symbol")</f>
        <v>84TCHF28</v>
      </c>
      <c r="C403" t="str">
        <f>RTD("nest.scriprtd",,"bse_cm|84TCHF28","Exchange")</f>
        <v>BSE</v>
      </c>
      <c r="D403">
        <f>RTD("nest.scriprtd",,"bse_cm|84TCHF28","Bid Qty")</f>
        <v>1</v>
      </c>
      <c r="E403">
        <f>RTD("nest.scriprtd",,"bse_cm|84TCHF28","Bid Rate")</f>
        <v>1070.55</v>
      </c>
      <c r="F403">
        <f>RTD("nest.scriprtd",,"bse_cm|84TCHF28","Ask Rate")</f>
        <v>1075</v>
      </c>
      <c r="G403">
        <f>RTD("nest.scriprtd",,"bse_cm|84TCHF28","Ask Qty")</f>
        <v>2</v>
      </c>
      <c r="H403">
        <f>RTD("nest.scriprtd",,"bse_cm|84TCHF28","LTP")</f>
        <v>0</v>
      </c>
      <c r="I403" t="str">
        <f>RTD("nest.scriprtd",,"bse_cm|84TCHF28","LTT")</f>
        <v>00:00:00</v>
      </c>
      <c r="J403">
        <f>RTD("nest.scriprtd",,"bse_cm|84TCHF28","% Change")</f>
        <v>-100</v>
      </c>
      <c r="K403">
        <f>RTD("nest.scriprtd",,"bse_cm|84TCHF28","ATP")</f>
        <v>0</v>
      </c>
      <c r="L403">
        <f>RTD("nest.scriprtd",,"bse_cm|84TCHF28","Volume Traded Today")</f>
        <v>0</v>
      </c>
      <c r="M403">
        <f>RTD("nest.scriprtd",,"bse_cm|84TCHF28","Open")</f>
        <v>0</v>
      </c>
      <c r="N403">
        <f>RTD("nest.scriprtd",,"bse_cm|84TCHF28","High")</f>
        <v>1070.55</v>
      </c>
      <c r="O403">
        <f>RTD("nest.scriprtd",,"bse_cm|84TCHF28","Low ")</f>
        <v>1070.55</v>
      </c>
      <c r="P403">
        <f>RTD("nest.scriprtd",,"bse_cm|84TCHF28","Prev Close")</f>
        <v>1070.55</v>
      </c>
      <c r="Q403">
        <f>RTD("nest.scriprtd",,"bse_cm|84TCHF28","Face Value")</f>
        <v>1000</v>
      </c>
      <c r="R403" t="str">
        <f>RTD("nest.scriprtd",,"bse_cm|84TCHF28","Isin code")</f>
        <v>INE033L07GU2</v>
      </c>
      <c r="S403" s="9">
        <f>Table1[[#This Row],[Ask Rate]]*Table1[[#This Row],[Ask Qty]]</f>
        <v>2150</v>
      </c>
      <c r="T403">
        <f>VLOOKUP(Table1[[#This Row],[Isin code]],Table2[#All],7,FALSE)</f>
        <v>8.4</v>
      </c>
      <c r="U403" s="17" t="str">
        <f>VLOOKUP(Table1[[#This Row],[Isin code]],Table2[#All],8,FALSE)</f>
        <v>14-Jan-2028</v>
      </c>
      <c r="V403" s="10">
        <f ca="1">Table1[[#This Row],[Maturity]]-TODAY()</f>
        <v>1185</v>
      </c>
      <c r="W403" t="str">
        <f>VLOOKUP(Table1[[#This Row],[Isin code]],Table2[#All],10,FALSE)</f>
        <v>Yearly</v>
      </c>
      <c r="X403">
        <f ca="1">_xlfn.DAYS(Table1[[#This Row],[Maturity]],TODAY())-15</f>
        <v>1170</v>
      </c>
      <c r="Y4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03">
        <f>IF(Table1[[#This Row],[Ask Rate]]=0,0,Table1[[#This Row],[Face Value]]-Table1[[#This Row],[Ask Rate]])</f>
        <v>-75</v>
      </c>
      <c r="AA403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403">
        <f ca="1">Table1[[#This Row],[Face Value]]*Table1[[#This Row],[Rate]]*Table1[[#This Row],[Time]]</f>
        <v>336</v>
      </c>
      <c r="AC403">
        <f ca="1">Table1[[#This Row],[SI]]+Table1[[#This Row],[Disc/Prem]]</f>
        <v>261</v>
      </c>
      <c r="AD403" s="3">
        <f ca="1">Table1[[#This Row],[Net Gain]]/Table1[[#This Row],[Ask Rate]]</f>
        <v>0.2427906976744186</v>
      </c>
      <c r="AE403" s="3">
        <f ca="1">IF(Table1[[#This Row],[Ask Qty]]=0,0,Table1[[#This Row],[Gross Yield]]*365/Table1[[#This Row],[Days Left]])</f>
        <v>7.4783632617015011E-2</v>
      </c>
      <c r="AF403" s="9">
        <f ca="1">+Table1[[#This Row],[Net Gain]]*Table1[[#This Row],[Ask Qty]]</f>
        <v>522</v>
      </c>
      <c r="AG403" t="str">
        <f ca="1">IF(Table1[[#This Row],[YTM]]&gt;0.12,IF(Table1[[#This Row],[Gross Profit]]&gt;10000,"Invest","Review"),"Low YTM")</f>
        <v>Low YTM</v>
      </c>
    </row>
    <row r="404" spans="1:33" x14ac:dyDescent="0.3">
      <c r="A404" t="str">
        <f>RTD("nest.scriprtd",,"nse_cm|872MMFSL26-N1","Symbol")</f>
        <v>872MMFSL26</v>
      </c>
      <c r="B404" t="str">
        <f>RTD("nest.scriprtd",,"nse_cm|872MMFSL26-N1","Trading Symbol")</f>
        <v>872MMFSL26-N1</v>
      </c>
      <c r="C404" t="str">
        <f>RTD("nest.scriprtd",,"nse_cm|872MMFSL26-N1","Exchange")</f>
        <v>NSE</v>
      </c>
      <c r="D404">
        <f>RTD("nest.scriprtd",,"nse_cm|872MMFSL26-N1","Bid Qty")</f>
        <v>11</v>
      </c>
      <c r="E404">
        <f>RTD("nest.scriprtd",,"nse_cm|872MMFSL26-N1","Bid Rate")</f>
        <v>1016</v>
      </c>
      <c r="F404">
        <f>RTD("nest.scriprtd",,"nse_cm|872MMFSL26-N1","Ask Rate")</f>
        <v>1026.6300000000001</v>
      </c>
      <c r="G404">
        <f>RTD("nest.scriprtd",,"nse_cm|872MMFSL26-N1","Ask Qty")</f>
        <v>16</v>
      </c>
      <c r="H404">
        <f>RTD("nest.scriprtd",,"nse_cm|872MMFSL26-N1","LTP")</f>
        <v>1020</v>
      </c>
      <c r="I404" t="str">
        <f>RTD("nest.scriprtd",,"nse_cm|872MMFSL26-N1","LTT")</f>
        <v>09:37:53</v>
      </c>
      <c r="J404">
        <f>RTD("nest.scriprtd",,"nse_cm|872MMFSL26-N1","% Change")</f>
        <v>-0.57999999999999996</v>
      </c>
      <c r="K404">
        <f>RTD("nest.scriprtd",,"nse_cm|872MMFSL26-N1","ATP")</f>
        <v>1020</v>
      </c>
      <c r="L404">
        <f>RTD("nest.scriprtd",,"nse_cm|872MMFSL26-N1","Volume Traded Today")</f>
        <v>50</v>
      </c>
      <c r="M404">
        <f>RTD("nest.scriprtd",,"nse_cm|872MMFSL26-N1","Open")</f>
        <v>1020</v>
      </c>
      <c r="N404">
        <f>RTD("nest.scriprtd",,"nse_cm|872MMFSL26-N1","High")</f>
        <v>1020</v>
      </c>
      <c r="O404">
        <f>RTD("nest.scriprtd",,"nse_cm|872MMFSL26-N1","Low ")</f>
        <v>1020</v>
      </c>
      <c r="P404">
        <f>RTD("nest.scriprtd",,"nse_cm|872MMFSL26-N1","Prev Close")</f>
        <v>1025.9000000000001</v>
      </c>
      <c r="Q404">
        <f>RTD("nest.scriprtd",,"nse_cm|872MMFSL26-N1","Face Value")</f>
        <v>1000</v>
      </c>
      <c r="R404" t="str">
        <f>RTD("nest.scriprtd",,"nse_cm|872MMFSL26-N1","Isin code")</f>
        <v>INE774D08LU6</v>
      </c>
      <c r="S404" s="9">
        <f>Table1[[#This Row],[Ask Rate]]*Table1[[#This Row],[Ask Qty]]</f>
        <v>16426.080000000002</v>
      </c>
      <c r="T404">
        <f>VLOOKUP(Table1[[#This Row],[Isin code]],Table2[#All],7,FALSE)</f>
        <v>8.7200000000000006</v>
      </c>
      <c r="U404" s="17" t="str">
        <f>VLOOKUP(Table1[[#This Row],[Isin code]],Table2[#All],8,FALSE)</f>
        <v>06-Jun-2026</v>
      </c>
      <c r="V404" s="10">
        <f ca="1">Table1[[#This Row],[Maturity]]-TODAY()</f>
        <v>598</v>
      </c>
      <c r="W404" t="str">
        <f>VLOOKUP(Table1[[#This Row],[Isin code]],Table2[#All],10,FALSE)</f>
        <v>Quarterly</v>
      </c>
      <c r="X404">
        <f ca="1">_xlfn.DAYS(Table1[[#This Row],[Maturity]],TODAY())-15</f>
        <v>583</v>
      </c>
      <c r="Y4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04">
        <f>IF(Table1[[#This Row],[Ask Rate]]=0,0,Table1[[#This Row],[Face Value]]-Table1[[#This Row],[Ask Rate]])</f>
        <v>-26.630000000000109</v>
      </c>
      <c r="AA404">
        <f>IF(Table1[[#This Row],[Freq]]="Yearly",Table1[[#This Row],[Coupon_Rate]]/100,IF(Table1[[#This Row],[Freq]]="Monthly",Table1[[#This Row],[Coupon_Rate]]/1200,IF(Table1[[#This Row],[Freq]]="Quarterly",Table1[[#This Row],[Coupon_Rate]]/400,0)))</f>
        <v>2.18E-2</v>
      </c>
      <c r="AB404">
        <f ca="1">Table1[[#This Row],[Face Value]]*Table1[[#This Row],[Rate]]*Table1[[#This Row],[Time]]</f>
        <v>152.6</v>
      </c>
      <c r="AC404">
        <f ca="1">Table1[[#This Row],[SI]]+Table1[[#This Row],[Disc/Prem]]</f>
        <v>125.96999999999989</v>
      </c>
      <c r="AD404" s="3">
        <f ca="1">Table1[[#This Row],[Net Gain]]/Table1[[#This Row],[Ask Rate]]</f>
        <v>0.12270243417784389</v>
      </c>
      <c r="AE404" s="3">
        <f ca="1">IF(Table1[[#This Row],[Ask Qty]]=0,0,Table1[[#This Row],[Gross Yield]]*365/Table1[[#This Row],[Days Left]])</f>
        <v>7.4893626212229128E-2</v>
      </c>
      <c r="AF404" s="9">
        <f ca="1">+Table1[[#This Row],[Net Gain]]*Table1[[#This Row],[Ask Qty]]</f>
        <v>2015.5199999999982</v>
      </c>
      <c r="AG404" t="str">
        <f ca="1">IF(Table1[[#This Row],[YTM]]&gt;0.12,IF(Table1[[#This Row],[Gross Profit]]&gt;10000,"Invest","Review"),"Low YTM")</f>
        <v>Low YTM</v>
      </c>
    </row>
    <row r="405" spans="1:33" x14ac:dyDescent="0.3">
      <c r="A405" t="str">
        <f>RTD("nest.scriprtd",,"bse_cm|97SFL26","Symbol")</f>
        <v>97SFL26</v>
      </c>
      <c r="B405" t="str">
        <f>RTD("nest.scriprtd",,"bse_cm|97SFL26","Trading Symbol")</f>
        <v>97SFL26</v>
      </c>
      <c r="C405" t="str">
        <f>RTD("nest.scriprtd",,"bse_cm|97SFL26","Exchange")</f>
        <v>BSE</v>
      </c>
      <c r="D405">
        <f>RTD("nest.scriprtd",,"bse_cm|97SFL26","Bid Qty")</f>
        <v>20</v>
      </c>
      <c r="E405">
        <f>RTD("nest.scriprtd",,"bse_cm|97SFL26","Bid Rate")</f>
        <v>1029.0999999999999</v>
      </c>
      <c r="F405">
        <f>RTD("nest.scriprtd",,"bse_cm|97SFL26","Ask Rate")</f>
        <v>1048.99</v>
      </c>
      <c r="G405">
        <f>RTD("nest.scriprtd",,"bse_cm|97SFL26","Ask Qty")</f>
        <v>20</v>
      </c>
      <c r="H405">
        <f>RTD("nest.scriprtd",,"bse_cm|97SFL26","LTP")</f>
        <v>0</v>
      </c>
      <c r="I405" t="str">
        <f>RTD("nest.scriprtd",,"bse_cm|97SFL26","LTT")</f>
        <v>00:00:00</v>
      </c>
      <c r="J405">
        <f>RTD("nest.scriprtd",,"bse_cm|97SFL26","% Change")</f>
        <v>-100</v>
      </c>
      <c r="K405">
        <f>RTD("nest.scriprtd",,"bse_cm|97SFL26","ATP")</f>
        <v>0</v>
      </c>
      <c r="L405">
        <f>RTD("nest.scriprtd",,"bse_cm|97SFL26","Volume Traded Today")</f>
        <v>0</v>
      </c>
      <c r="M405">
        <f>RTD("nest.scriprtd",,"bse_cm|97SFL26","Open")</f>
        <v>0</v>
      </c>
      <c r="N405">
        <f>RTD("nest.scriprtd",,"bse_cm|97SFL26","High")</f>
        <v>1031</v>
      </c>
      <c r="O405">
        <f>RTD("nest.scriprtd",,"bse_cm|97SFL26","Low ")</f>
        <v>1031</v>
      </c>
      <c r="P405">
        <f>RTD("nest.scriprtd",,"bse_cm|97SFL26","Prev Close")</f>
        <v>1031</v>
      </c>
      <c r="Q405">
        <f>RTD("nest.scriprtd",,"bse_cm|97SFL26","Face Value")</f>
        <v>1000</v>
      </c>
      <c r="R405" t="str">
        <f>RTD("nest.scriprtd",,"bse_cm|97SFL26","Isin code")</f>
        <v>INE721A07PE0</v>
      </c>
      <c r="S405" s="9">
        <f>Table1[[#This Row],[Ask Rate]]*Table1[[#This Row],[Ask Qty]]</f>
        <v>20979.8</v>
      </c>
      <c r="T405">
        <f>VLOOKUP(Table1[[#This Row],[Isin code]],Table2[#All],7,FALSE)</f>
        <v>9.7000000000000011</v>
      </c>
      <c r="U405" s="17" t="str">
        <f>VLOOKUP(Table1[[#This Row],[Isin code]],Table2[#All],8,FALSE)</f>
        <v>22-Aug-2026</v>
      </c>
      <c r="V405" s="10">
        <f ca="1">Table1[[#This Row],[Maturity]]-TODAY()</f>
        <v>675</v>
      </c>
      <c r="W405" t="str">
        <f>VLOOKUP(Table1[[#This Row],[Isin code]],Table2[#All],10,FALSE)</f>
        <v>Yearly</v>
      </c>
      <c r="X405">
        <f ca="1">_xlfn.DAYS(Table1[[#This Row],[Maturity]],TODAY())-15</f>
        <v>660</v>
      </c>
      <c r="Y4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05">
        <f>IF(Table1[[#This Row],[Ask Rate]]=0,0,Table1[[#This Row],[Face Value]]-Table1[[#This Row],[Ask Rate]])</f>
        <v>-48.990000000000009</v>
      </c>
      <c r="AA405">
        <f>IF(Table1[[#This Row],[Freq]]="Yearly",Table1[[#This Row],[Coupon_Rate]]/100,IF(Table1[[#This Row],[Freq]]="Monthly",Table1[[#This Row],[Coupon_Rate]]/1200,IF(Table1[[#This Row],[Freq]]="Quarterly",Table1[[#This Row],[Coupon_Rate]]/400,0)))</f>
        <v>9.7000000000000017E-2</v>
      </c>
      <c r="AB405">
        <f ca="1">Table1[[#This Row],[Face Value]]*Table1[[#This Row],[Rate]]*Table1[[#This Row],[Time]]</f>
        <v>194.00000000000003</v>
      </c>
      <c r="AC405">
        <f ca="1">Table1[[#This Row],[SI]]+Table1[[#This Row],[Disc/Prem]]</f>
        <v>145.01000000000002</v>
      </c>
      <c r="AD405" s="3">
        <f ca="1">Table1[[#This Row],[Net Gain]]/Table1[[#This Row],[Ask Rate]]</f>
        <v>0.13823773343883167</v>
      </c>
      <c r="AE405" s="3">
        <f ca="1">IF(Table1[[#This Row],[Ask Qty]]=0,0,Table1[[#This Row],[Gross Yield]]*365/Table1[[#This Row],[Days Left]])</f>
        <v>7.4750774378034901E-2</v>
      </c>
      <c r="AF405" s="9">
        <f ca="1">+Table1[[#This Row],[Net Gain]]*Table1[[#This Row],[Ask Qty]]</f>
        <v>2900.2000000000003</v>
      </c>
      <c r="AG405" t="str">
        <f ca="1">IF(Table1[[#This Row],[YTM]]&gt;0.12,IF(Table1[[#This Row],[Gross Profit]]&gt;10000,"Invest","Review"),"Low YTM")</f>
        <v>Low YTM</v>
      </c>
    </row>
    <row r="406" spans="1:33" x14ac:dyDescent="0.3">
      <c r="A406" t="str">
        <f>RTD("nest.scriprtd",,"bse_cm|872MMFSL26","Symbol")</f>
        <v>872MMFSL26</v>
      </c>
      <c r="B406" t="str">
        <f>RTD("nest.scriprtd",,"bse_cm|872MMFSL26","Trading Symbol")</f>
        <v>872MMFSL26</v>
      </c>
      <c r="C406" t="str">
        <f>RTD("nest.scriprtd",,"bse_cm|872MMFSL26","Exchange")</f>
        <v>BSE</v>
      </c>
      <c r="D406">
        <f>RTD("nest.scriprtd",,"bse_cm|872MMFSL26","Bid Qty")</f>
        <v>1</v>
      </c>
      <c r="E406">
        <f>RTD("nest.scriprtd",,"bse_cm|872MMFSL26","Bid Rate")</f>
        <v>1013</v>
      </c>
      <c r="F406">
        <f>RTD("nest.scriprtd",,"bse_cm|872MMFSL26","Ask Rate")</f>
        <v>1026.75</v>
      </c>
      <c r="G406">
        <f>RTD("nest.scriprtd",,"bse_cm|872MMFSL26","Ask Qty")</f>
        <v>10</v>
      </c>
      <c r="H406">
        <f>RTD("nest.scriprtd",,"bse_cm|872MMFSL26","LTP")</f>
        <v>0</v>
      </c>
      <c r="I406" t="str">
        <f>RTD("nest.scriprtd",,"bse_cm|872MMFSL26","LTT")</f>
        <v>00:00:00</v>
      </c>
      <c r="J406">
        <f>RTD("nest.scriprtd",,"bse_cm|872MMFSL26","% Change")</f>
        <v>-100</v>
      </c>
      <c r="K406">
        <f>RTD("nest.scriprtd",,"bse_cm|872MMFSL26","ATP")</f>
        <v>0</v>
      </c>
      <c r="L406">
        <f>RTD("nest.scriprtd",,"bse_cm|872MMFSL26","Volume Traded Today")</f>
        <v>0</v>
      </c>
      <c r="M406">
        <f>RTD("nest.scriprtd",,"bse_cm|872MMFSL26","Open")</f>
        <v>0</v>
      </c>
      <c r="N406">
        <f>RTD("nest.scriprtd",,"bse_cm|872MMFSL26","High")</f>
        <v>1029.7</v>
      </c>
      <c r="O406">
        <f>RTD("nest.scriprtd",,"bse_cm|872MMFSL26","Low ")</f>
        <v>1029.7</v>
      </c>
      <c r="P406">
        <f>RTD("nest.scriprtd",,"bse_cm|872MMFSL26","Prev Close")</f>
        <v>1029.7</v>
      </c>
      <c r="Q406">
        <f>RTD("nest.scriprtd",,"bse_cm|872MMFSL26","Face Value")</f>
        <v>1000</v>
      </c>
      <c r="R406" t="str">
        <f>RTD("nest.scriprtd",,"bse_cm|872MMFSL26","Isin code")</f>
        <v>INE774D08LU6</v>
      </c>
      <c r="S406" s="9">
        <f>Table1[[#This Row],[Ask Rate]]*Table1[[#This Row],[Ask Qty]]</f>
        <v>10267.5</v>
      </c>
      <c r="T406">
        <f>VLOOKUP(Table1[[#This Row],[Isin code]],Table2[#All],7,FALSE)</f>
        <v>8.7200000000000006</v>
      </c>
      <c r="U406" s="17" t="str">
        <f>VLOOKUP(Table1[[#This Row],[Isin code]],Table2[#All],8,FALSE)</f>
        <v>06-Jun-2026</v>
      </c>
      <c r="V406" s="10">
        <f ca="1">Table1[[#This Row],[Maturity]]-TODAY()</f>
        <v>598</v>
      </c>
      <c r="W406" t="str">
        <f>VLOOKUP(Table1[[#This Row],[Isin code]],Table2[#All],10,FALSE)</f>
        <v>Quarterly</v>
      </c>
      <c r="X406">
        <f ca="1">_xlfn.DAYS(Table1[[#This Row],[Maturity]],TODAY())-15</f>
        <v>583</v>
      </c>
      <c r="Y4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06">
        <f>IF(Table1[[#This Row],[Ask Rate]]=0,0,Table1[[#This Row],[Face Value]]-Table1[[#This Row],[Ask Rate]])</f>
        <v>-26.75</v>
      </c>
      <c r="AA406">
        <f>IF(Table1[[#This Row],[Freq]]="Yearly",Table1[[#This Row],[Coupon_Rate]]/100,IF(Table1[[#This Row],[Freq]]="Monthly",Table1[[#This Row],[Coupon_Rate]]/1200,IF(Table1[[#This Row],[Freq]]="Quarterly",Table1[[#This Row],[Coupon_Rate]]/400,0)))</f>
        <v>2.18E-2</v>
      </c>
      <c r="AB406">
        <f ca="1">Table1[[#This Row],[Face Value]]*Table1[[#This Row],[Rate]]*Table1[[#This Row],[Time]]</f>
        <v>152.6</v>
      </c>
      <c r="AC406">
        <f ca="1">Table1[[#This Row],[SI]]+Table1[[#This Row],[Disc/Prem]]</f>
        <v>125.85</v>
      </c>
      <c r="AD406" s="3">
        <f ca="1">Table1[[#This Row],[Net Gain]]/Table1[[#This Row],[Ask Rate]]</f>
        <v>0.12257121986851716</v>
      </c>
      <c r="AE406" s="3">
        <f ca="1">IF(Table1[[#This Row],[Ask Qty]]=0,0,Table1[[#This Row],[Gross Yield]]*365/Table1[[#This Row],[Days Left]])</f>
        <v>7.4813537210716985E-2</v>
      </c>
      <c r="AF406" s="9">
        <f ca="1">+Table1[[#This Row],[Net Gain]]*Table1[[#This Row],[Ask Qty]]</f>
        <v>1258.5</v>
      </c>
      <c r="AG406" t="str">
        <f ca="1">IF(Table1[[#This Row],[YTM]]&gt;0.12,IF(Table1[[#This Row],[Gross Profit]]&gt;10000,"Invest","Review"),"Low YTM")</f>
        <v>Low YTM</v>
      </c>
    </row>
    <row r="407" spans="1:33" x14ac:dyDescent="0.3">
      <c r="A407" t="str">
        <f>RTD("nest.scriprtd",,"nse_cm|87LTF27-NH","Symbol")</f>
        <v>87LTF27</v>
      </c>
      <c r="B407" t="str">
        <f>RTD("nest.scriprtd",,"nse_cm|87LTF27-NH","Trading Symbol")</f>
        <v>87LTF27-NH</v>
      </c>
      <c r="C407" t="str">
        <f>RTD("nest.scriprtd",,"nse_cm|87LTF27-NH","Exchange")</f>
        <v>NSE</v>
      </c>
      <c r="D407">
        <f>RTD("nest.scriprtd",,"nse_cm|87LTF27-NH","Bid Qty")</f>
        <v>10</v>
      </c>
      <c r="E407">
        <f>RTD("nest.scriprtd",,"nse_cm|87LTF27-NH","Bid Rate")</f>
        <v>1021.01</v>
      </c>
      <c r="F407">
        <f>RTD("nest.scriprtd",,"nse_cm|87LTF27-NH","Ask Rate")</f>
        <v>1025</v>
      </c>
      <c r="G407">
        <f>RTD("nest.scriprtd",,"nse_cm|87LTF27-NH","Ask Qty")</f>
        <v>40</v>
      </c>
      <c r="H407">
        <f>RTD("nest.scriprtd",,"nse_cm|87LTF27-NH","LTP")</f>
        <v>1025</v>
      </c>
      <c r="I407" t="str">
        <f>RTD("nest.scriprtd",,"nse_cm|87LTF27-NH","LTT")</f>
        <v>15:14:59</v>
      </c>
      <c r="J407">
        <f>RTD("nest.scriprtd",,"nse_cm|87LTF27-NH","% Change")</f>
        <v>-0.19</v>
      </c>
      <c r="K407">
        <f>RTD("nest.scriprtd",,"nse_cm|87LTF27-NH","ATP")</f>
        <v>1025.76</v>
      </c>
      <c r="L407">
        <f>RTD("nest.scriprtd",,"nse_cm|87LTF27-NH","Volume Traded Today")</f>
        <v>262</v>
      </c>
      <c r="M407">
        <f>RTD("nest.scriprtd",,"nse_cm|87LTF27-NH","Open")</f>
        <v>1027</v>
      </c>
      <c r="N407">
        <f>RTD("nest.scriprtd",,"nse_cm|87LTF27-NH","High")</f>
        <v>1027</v>
      </c>
      <c r="O407">
        <f>RTD("nest.scriprtd",,"nse_cm|87LTF27-NH","Low ")</f>
        <v>1025</v>
      </c>
      <c r="P407">
        <f>RTD("nest.scriprtd",,"nse_cm|87LTF27-NH","Prev Close")</f>
        <v>1027</v>
      </c>
      <c r="Q407">
        <f>RTD("nest.scriprtd",,"nse_cm|87LTF27-NH","Face Value")</f>
        <v>1000</v>
      </c>
      <c r="R407" t="str">
        <f>RTD("nest.scriprtd",,"nse_cm|87LTF27-NH","Isin code")</f>
        <v>INE027E07AN7</v>
      </c>
      <c r="S407" s="9">
        <f>Table1[[#This Row],[Ask Rate]]*Table1[[#This Row],[Ask Qty]]</f>
        <v>41000</v>
      </c>
      <c r="T407">
        <f>VLOOKUP(Table1[[#This Row],[Isin code]],Table2[#All],7,FALSE)</f>
        <v>8.6999999999999993</v>
      </c>
      <c r="U407" s="17">
        <f>VLOOKUP(Table1[[#This Row],[Isin code]],Table2[#All],8,FALSE)</f>
        <v>46492</v>
      </c>
      <c r="V407" s="10">
        <f ca="1">Table1[[#This Row],[Maturity]]-TODAY()</f>
        <v>911</v>
      </c>
      <c r="W407" t="str">
        <f>VLOOKUP(Table1[[#This Row],[Isin code]],Table2[#All],10,FALSE)</f>
        <v>Monthly</v>
      </c>
      <c r="X407">
        <f ca="1">_xlfn.DAYS(Table1[[#This Row],[Maturity]],TODAY())-15</f>
        <v>896</v>
      </c>
      <c r="Y4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407">
        <f>IF(Table1[[#This Row],[Ask Rate]]=0,0,Table1[[#This Row],[Face Value]]-Table1[[#This Row],[Ask Rate]])</f>
        <v>-25</v>
      </c>
      <c r="AA407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407">
        <f ca="1">Table1[[#This Row],[Face Value]]*Table1[[#This Row],[Rate]]*Table1[[#This Row],[Time]]</f>
        <v>217.49999999999997</v>
      </c>
      <c r="AC407">
        <f ca="1">Table1[[#This Row],[SI]]+Table1[[#This Row],[Disc/Prem]]</f>
        <v>192.49999999999997</v>
      </c>
      <c r="AD407" s="3">
        <f ca="1">Table1[[#This Row],[Net Gain]]/Table1[[#This Row],[Ask Rate]]</f>
        <v>0.18780487804878046</v>
      </c>
      <c r="AE407" s="3">
        <f ca="1">IF(Table1[[#This Row],[Ask Qty]]=0,0,Table1[[#This Row],[Gross Yield]]*365/Table1[[#This Row],[Days Left]])</f>
        <v>7.5245642686942768E-2</v>
      </c>
      <c r="AF407" s="9">
        <f ca="1">+Table1[[#This Row],[Net Gain]]*Table1[[#This Row],[Ask Qty]]</f>
        <v>7699.9999999999991</v>
      </c>
      <c r="AG407" t="str">
        <f ca="1">IF(Table1[[#This Row],[YTM]]&gt;0.12,IF(Table1[[#This Row],[Gross Profit]]&gt;10000,"Invest","Review"),"Low YTM")</f>
        <v>Low YTM</v>
      </c>
    </row>
    <row r="408" spans="1:33" x14ac:dyDescent="0.3">
      <c r="A408" t="str">
        <f>RTD("nest.scriprtd",,"nse_cm|TCHF30-NB","Symbol")</f>
        <v>TCHF30</v>
      </c>
      <c r="B408" t="str">
        <f>RTD("nest.scriprtd",,"nse_cm|TCHF30-NB","Trading Symbol")</f>
        <v>TCHF30-NB</v>
      </c>
      <c r="C408" t="str">
        <f>RTD("nest.scriprtd",,"nse_cm|TCHF30-NB","Exchange")</f>
        <v>NSE</v>
      </c>
      <c r="D408">
        <f>RTD("nest.scriprtd",,"nse_cm|TCHF30-NB","Bid Qty")</f>
        <v>20</v>
      </c>
      <c r="E408">
        <f>RTD("nest.scriprtd",,"nse_cm|TCHF30-NB","Bid Rate")</f>
        <v>1070</v>
      </c>
      <c r="F408">
        <f>RTD("nest.scriprtd",,"nse_cm|TCHF30-NB","Ask Rate")</f>
        <v>1085</v>
      </c>
      <c r="G408">
        <f>RTD("nest.scriprtd",,"nse_cm|TCHF30-NB","Ask Qty")</f>
        <v>10</v>
      </c>
      <c r="H408">
        <f>RTD("nest.scriprtd",,"nse_cm|TCHF30-NB","LTP")</f>
        <v>1070</v>
      </c>
      <c r="I408" t="str">
        <f>RTD("nest.scriprtd",,"nse_cm|TCHF30-NB","LTT")</f>
        <v/>
      </c>
      <c r="J408">
        <f>RTD("nest.scriprtd",,"nse_cm|TCHF30-NB","% Change")</f>
        <v>0</v>
      </c>
      <c r="K408">
        <f>RTD("nest.scriprtd",,"nse_cm|TCHF30-NB","ATP")</f>
        <v>0</v>
      </c>
      <c r="L408">
        <f>RTD("nest.scriprtd",,"nse_cm|TCHF30-NB","Volume Traded Today")</f>
        <v>0</v>
      </c>
      <c r="M408">
        <f>RTD("nest.scriprtd",,"nse_cm|TCHF30-NB","Open")</f>
        <v>0</v>
      </c>
      <c r="N408">
        <f>RTD("nest.scriprtd",,"nse_cm|TCHF30-NB","High")</f>
        <v>1090</v>
      </c>
      <c r="O408">
        <f>RTD("nest.scriprtd",,"nse_cm|TCHF30-NB","Low ")</f>
        <v>1070</v>
      </c>
      <c r="P408">
        <f>RTD("nest.scriprtd",,"nse_cm|TCHF30-NB","Prev Close")</f>
        <v>1070</v>
      </c>
      <c r="Q408">
        <f>RTD("nest.scriprtd",,"nse_cm|TCHF30-NB","Face Value")</f>
        <v>1000</v>
      </c>
      <c r="R408" t="str">
        <f>RTD("nest.scriprtd",,"nse_cm|TCHF30-NB","Isin code")</f>
        <v>INE033L08270</v>
      </c>
      <c r="S408" s="9">
        <f>Table1[[#This Row],[Ask Rate]]*Table1[[#This Row],[Ask Qty]]</f>
        <v>10850</v>
      </c>
      <c r="T408">
        <f>VLOOKUP(Table1[[#This Row],[Isin code]],Table2[#All],7,FALSE)</f>
        <v>8.5500000000000007</v>
      </c>
      <c r="U408" s="17" t="str">
        <f>VLOOKUP(Table1[[#This Row],[Isin code]],Table2[#All],8,FALSE)</f>
        <v>14-Jan-2030</v>
      </c>
      <c r="V408" s="10">
        <f ca="1">Table1[[#This Row],[Maturity]]-TODAY()</f>
        <v>1916</v>
      </c>
      <c r="W408" t="str">
        <f>VLOOKUP(Table1[[#This Row],[Isin code]],Table2[#All],10,FALSE)</f>
        <v>Yearly</v>
      </c>
      <c r="X408">
        <f ca="1">_xlfn.DAYS(Table1[[#This Row],[Maturity]],TODAY())-15</f>
        <v>1901</v>
      </c>
      <c r="Y4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408">
        <f>IF(Table1[[#This Row],[Ask Rate]]=0,0,Table1[[#This Row],[Face Value]]-Table1[[#This Row],[Ask Rate]])</f>
        <v>-85</v>
      </c>
      <c r="AA408">
        <f>IF(Table1[[#This Row],[Freq]]="Yearly",Table1[[#This Row],[Coupon_Rate]]/100,IF(Table1[[#This Row],[Freq]]="Monthly",Table1[[#This Row],[Coupon_Rate]]/1200,IF(Table1[[#This Row],[Freq]]="Quarterly",Table1[[#This Row],[Coupon_Rate]]/400,0)))</f>
        <v>8.5500000000000007E-2</v>
      </c>
      <c r="AB408">
        <f ca="1">Table1[[#This Row],[Face Value]]*Table1[[#This Row],[Rate]]*Table1[[#This Row],[Time]]</f>
        <v>513</v>
      </c>
      <c r="AC408">
        <f ca="1">Table1[[#This Row],[SI]]+Table1[[#This Row],[Disc/Prem]]</f>
        <v>428</v>
      </c>
      <c r="AD408" s="3">
        <f ca="1">Table1[[#This Row],[Net Gain]]/Table1[[#This Row],[Ask Rate]]</f>
        <v>0.39447004608294933</v>
      </c>
      <c r="AE408" s="3">
        <f ca="1">IF(Table1[[#This Row],[Ask Qty]]=0,0,Table1[[#This Row],[Gross Yield]]*365/Table1[[#This Row],[Days Left]])</f>
        <v>7.5146955542941804E-2</v>
      </c>
      <c r="AF408" s="9">
        <f ca="1">+Table1[[#This Row],[Net Gain]]*Table1[[#This Row],[Ask Qty]]</f>
        <v>4280</v>
      </c>
      <c r="AG408" t="str">
        <f ca="1">IF(Table1[[#This Row],[YTM]]&gt;0.12,IF(Table1[[#This Row],[Gross Profit]]&gt;10000,"Invest","Review"),"Low YTM")</f>
        <v>Low YTM</v>
      </c>
    </row>
    <row r="409" spans="1:33" x14ac:dyDescent="0.3">
      <c r="A409" t="str">
        <f>RTD("nest.scriprtd",,"bse_cm|910TCAP28","Symbol")</f>
        <v>910TCAP28</v>
      </c>
      <c r="B409" t="str">
        <f>RTD("nest.scriprtd",,"bse_cm|910TCAP28","Trading Symbol")</f>
        <v>910TCAP28</v>
      </c>
      <c r="C409" t="str">
        <f>RTD("nest.scriprtd",,"bse_cm|910TCAP28","Exchange")</f>
        <v>BSE</v>
      </c>
      <c r="D409">
        <f>RTD("nest.scriprtd",,"bse_cm|910TCAP28","Bid Qty")</f>
        <v>10</v>
      </c>
      <c r="E409">
        <f>RTD("nest.scriprtd",,"bse_cm|910TCAP28","Bid Rate")</f>
        <v>1042.55</v>
      </c>
      <c r="F409">
        <f>RTD("nest.scriprtd",,"bse_cm|910TCAP28","Ask Rate")</f>
        <v>1055</v>
      </c>
      <c r="G409">
        <f>RTD("nest.scriprtd",,"bse_cm|910TCAP28","Ask Qty")</f>
        <v>10</v>
      </c>
      <c r="H409">
        <f>RTD("nest.scriprtd",,"bse_cm|910TCAP28","LTP")</f>
        <v>0</v>
      </c>
      <c r="I409" t="str">
        <f>RTD("nest.scriprtd",,"bse_cm|910TCAP28","LTT")</f>
        <v>00:00:00</v>
      </c>
      <c r="J409">
        <f>RTD("nest.scriprtd",,"bse_cm|910TCAP28","% Change")</f>
        <v>-100</v>
      </c>
      <c r="K409">
        <f>RTD("nest.scriprtd",,"bse_cm|910TCAP28","ATP")</f>
        <v>0</v>
      </c>
      <c r="L409">
        <f>RTD("nest.scriprtd",,"bse_cm|910TCAP28","Volume Traded Today")</f>
        <v>0</v>
      </c>
      <c r="M409">
        <f>RTD("nest.scriprtd",,"bse_cm|910TCAP28","Open")</f>
        <v>0</v>
      </c>
      <c r="N409">
        <f>RTD("nest.scriprtd",,"bse_cm|910TCAP28","High")</f>
        <v>1055.0999999999999</v>
      </c>
      <c r="O409">
        <f>RTD("nest.scriprtd",,"bse_cm|910TCAP28","Low ")</f>
        <v>1049.4000000000001</v>
      </c>
      <c r="P409">
        <f>RTD("nest.scriprtd",,"bse_cm|910TCAP28","Prev Close")</f>
        <v>1054</v>
      </c>
      <c r="Q409">
        <f>RTD("nest.scriprtd",,"bse_cm|910TCAP28","Face Value")</f>
        <v>1000</v>
      </c>
      <c r="R409" t="str">
        <f>RTD("nest.scriprtd",,"bse_cm|910TCAP28","Isin code")</f>
        <v>INE306N08292</v>
      </c>
      <c r="S409" s="9">
        <f>Table1[[#This Row],[Ask Rate]]*Table1[[#This Row],[Ask Qty]]</f>
        <v>10550</v>
      </c>
      <c r="T409">
        <f>VLOOKUP(Table1[[#This Row],[Isin code]],Table2[#All],7,FALSE)</f>
        <v>9.1</v>
      </c>
      <c r="U409" s="17">
        <f>VLOOKUP(Table1[[#This Row],[Isin code]],Table2[#All],8,FALSE)</f>
        <v>47023</v>
      </c>
      <c r="V409" s="10">
        <f ca="1">Table1[[#This Row],[Maturity]]-TODAY()</f>
        <v>1442</v>
      </c>
      <c r="W409" t="str">
        <f>VLOOKUP(Table1[[#This Row],[Isin code]],Table2[#All],10,FALSE)</f>
        <v>Yearly</v>
      </c>
      <c r="X409">
        <f ca="1">_xlfn.DAYS(Table1[[#This Row],[Maturity]],TODAY())-15</f>
        <v>1427</v>
      </c>
      <c r="Y4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09">
        <f>IF(Table1[[#This Row],[Ask Rate]]=0,0,Table1[[#This Row],[Face Value]]-Table1[[#This Row],[Ask Rate]])</f>
        <v>-55</v>
      </c>
      <c r="AA409">
        <f>IF(Table1[[#This Row],[Freq]]="Yearly",Table1[[#This Row],[Coupon_Rate]]/100,IF(Table1[[#This Row],[Freq]]="Monthly",Table1[[#This Row],[Coupon_Rate]]/1200,IF(Table1[[#This Row],[Freq]]="Quarterly",Table1[[#This Row],[Coupon_Rate]]/400,0)))</f>
        <v>9.0999999999999998E-2</v>
      </c>
      <c r="AB409">
        <f ca="1">Table1[[#This Row],[Face Value]]*Table1[[#This Row],[Rate]]*Table1[[#This Row],[Time]]</f>
        <v>364</v>
      </c>
      <c r="AC409">
        <f ca="1">Table1[[#This Row],[SI]]+Table1[[#This Row],[Disc/Prem]]</f>
        <v>309</v>
      </c>
      <c r="AD409" s="3">
        <f ca="1">Table1[[#This Row],[Net Gain]]/Table1[[#This Row],[Ask Rate]]</f>
        <v>0.29289099526066353</v>
      </c>
      <c r="AE409" s="3">
        <f ca="1">IF(Table1[[#This Row],[Ask Qty]]=0,0,Table1[[#This Row],[Gross Yield]]*365/Table1[[#This Row],[Days Left]])</f>
        <v>7.413676371022343E-2</v>
      </c>
      <c r="AF409" s="9">
        <f ca="1">+Table1[[#This Row],[Net Gain]]*Table1[[#This Row],[Ask Qty]]</f>
        <v>3090</v>
      </c>
      <c r="AG409" t="str">
        <f ca="1">IF(Table1[[#This Row],[YTM]]&gt;0.12,IF(Table1[[#This Row],[Gross Profit]]&gt;10000,"Invest","Review"),"Low YTM")</f>
        <v>Low YTM</v>
      </c>
    </row>
    <row r="410" spans="1:33" x14ac:dyDescent="0.3">
      <c r="A410" t="str">
        <f>RTD("nest.scriprtd",,"bse_cm|85LTF26","Symbol")</f>
        <v>85LTF26</v>
      </c>
      <c r="B410" t="str">
        <f>RTD("nest.scriprtd",,"bse_cm|85LTF26","Trading Symbol")</f>
        <v>85LTF26</v>
      </c>
      <c r="C410" t="str">
        <f>RTD("nest.scriprtd",,"bse_cm|85LTF26","Exchange")</f>
        <v>BSE</v>
      </c>
      <c r="D410">
        <f>RTD("nest.scriprtd",,"bse_cm|85LTF26","Bid Qty")</f>
        <v>100</v>
      </c>
      <c r="E410">
        <f>RTD("nest.scriprtd",,"bse_cm|85LTF26","Bid Rate")</f>
        <v>1000</v>
      </c>
      <c r="F410">
        <f>RTD("nest.scriprtd",,"bse_cm|85LTF26","Ask Rate")</f>
        <v>1080</v>
      </c>
      <c r="G410">
        <f>RTD("nest.scriprtd",,"bse_cm|85LTF26","Ask Qty")</f>
        <v>100</v>
      </c>
      <c r="H410">
        <f>RTD("nest.scriprtd",,"bse_cm|85LTF26","LTP")</f>
        <v>0</v>
      </c>
      <c r="I410" t="str">
        <f>RTD("nest.scriprtd",,"bse_cm|85LTF26","LTT")</f>
        <v>00:00:00</v>
      </c>
      <c r="J410">
        <f>RTD("nest.scriprtd",,"bse_cm|85LTF26","% Change")</f>
        <v>-100</v>
      </c>
      <c r="K410">
        <f>RTD("nest.scriprtd",,"bse_cm|85LTF26","ATP")</f>
        <v>0</v>
      </c>
      <c r="L410">
        <f>RTD("nest.scriprtd",,"bse_cm|85LTF26","Volume Traded Today")</f>
        <v>0</v>
      </c>
      <c r="M410">
        <f>RTD("nest.scriprtd",,"bse_cm|85LTF26","Open")</f>
        <v>0</v>
      </c>
      <c r="N410">
        <f>RTD("nest.scriprtd",,"bse_cm|85LTF26","High")</f>
        <v>1062</v>
      </c>
      <c r="O410">
        <f>RTD("nest.scriprtd",,"bse_cm|85LTF26","Low ")</f>
        <v>1061</v>
      </c>
      <c r="P410">
        <f>RTD("nest.scriprtd",,"bse_cm|85LTF26","Prev Close")</f>
        <v>1062</v>
      </c>
      <c r="Q410">
        <f>RTD("nest.scriprtd",,"bse_cm|85LTF26","Face Value")</f>
        <v>1000</v>
      </c>
      <c r="R410" t="str">
        <f>RTD("nest.scriprtd",,"bse_cm|85LTF26","Isin code")</f>
        <v>INE027E07BB0</v>
      </c>
      <c r="S410" s="9">
        <f>Table1[[#This Row],[Ask Rate]]*Table1[[#This Row],[Ask Qty]]</f>
        <v>108000</v>
      </c>
      <c r="T410">
        <f>VLOOKUP(Table1[[#This Row],[Isin code]],Table2[#All],7,FALSE)</f>
        <v>8.5</v>
      </c>
      <c r="U410" s="17" t="str">
        <f>VLOOKUP(Table1[[#This Row],[Isin code]],Table2[#All],8,FALSE)</f>
        <v>23-Dec-2026</v>
      </c>
      <c r="V410" s="10">
        <f ca="1">Table1[[#This Row],[Maturity]]-TODAY()</f>
        <v>798</v>
      </c>
      <c r="W410" t="str">
        <f>VLOOKUP(Table1[[#This Row],[Isin code]],Table2[#All],10,FALSE)</f>
        <v>Yearly</v>
      </c>
      <c r="X410">
        <f ca="1">_xlfn.DAYS(Table1[[#This Row],[Maturity]],TODAY())-15</f>
        <v>783</v>
      </c>
      <c r="Y4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10">
        <f>IF(Table1[[#This Row],[Ask Rate]]=0,0,Table1[[#This Row],[Face Value]]-Table1[[#This Row],[Ask Rate]])</f>
        <v>-80</v>
      </c>
      <c r="AA410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410">
        <f ca="1">Table1[[#This Row],[Face Value]]*Table1[[#This Row],[Rate]]*Table1[[#This Row],[Time]]</f>
        <v>255</v>
      </c>
      <c r="AC410">
        <f ca="1">Table1[[#This Row],[SI]]+Table1[[#This Row],[Disc/Prem]]</f>
        <v>175</v>
      </c>
      <c r="AD410" s="3">
        <f ca="1">Table1[[#This Row],[Net Gain]]/Table1[[#This Row],[Ask Rate]]</f>
        <v>0.16203703703703703</v>
      </c>
      <c r="AE410" s="3">
        <f ca="1">IF(Table1[[#This Row],[Ask Qty]]=0,0,Table1[[#This Row],[Gross Yield]]*365/Table1[[#This Row],[Days Left]])</f>
        <v>7.4114684860298902E-2</v>
      </c>
      <c r="AF410" s="9">
        <f ca="1">+Table1[[#This Row],[Net Gain]]*Table1[[#This Row],[Ask Qty]]</f>
        <v>17500</v>
      </c>
      <c r="AG410" t="str">
        <f ca="1">IF(Table1[[#This Row],[YTM]]&gt;0.12,IF(Table1[[#This Row],[Gross Profit]]&gt;10000,"Invest","Review"),"Low YTM")</f>
        <v>Low YTM</v>
      </c>
    </row>
    <row r="411" spans="1:33" x14ac:dyDescent="0.3">
      <c r="A411" t="str">
        <f>RTD("nest.scriprtd",,"nse_cm|910TCAP28-NA","Symbol")</f>
        <v>910TCAP28</v>
      </c>
      <c r="B411" t="str">
        <f>RTD("nest.scriprtd",,"nse_cm|910TCAP28-NA","Trading Symbol")</f>
        <v>910TCAP28-NA</v>
      </c>
      <c r="C411" t="str">
        <f>RTD("nest.scriprtd",,"nse_cm|910TCAP28-NA","Exchange")</f>
        <v>NSE</v>
      </c>
      <c r="D411">
        <f>RTD("nest.scriprtd",,"nse_cm|910TCAP28-NA","Bid Qty")</f>
        <v>10</v>
      </c>
      <c r="E411">
        <f>RTD("nest.scriprtd",,"nse_cm|910TCAP28-NA","Bid Rate")</f>
        <v>1047.6500000000001</v>
      </c>
      <c r="F411">
        <f>RTD("nest.scriprtd",,"nse_cm|910TCAP28-NA","Ask Rate")</f>
        <v>1054.99</v>
      </c>
      <c r="G411">
        <f>RTD("nest.scriprtd",,"nse_cm|910TCAP28-NA","Ask Qty")</f>
        <v>20</v>
      </c>
      <c r="H411">
        <f>RTD("nest.scriprtd",,"nse_cm|910TCAP28-NA","LTP")</f>
        <v>1054.97</v>
      </c>
      <c r="I411" t="str">
        <f>RTD("nest.scriprtd",,"nse_cm|910TCAP28-NA","LTT")</f>
        <v/>
      </c>
      <c r="J411">
        <f>RTD("nest.scriprtd",,"nse_cm|910TCAP28-NA","% Change")</f>
        <v>0</v>
      </c>
      <c r="K411">
        <f>RTD("nest.scriprtd",,"nse_cm|910TCAP28-NA","ATP")</f>
        <v>0</v>
      </c>
      <c r="L411">
        <f>RTD("nest.scriprtd",,"nse_cm|910TCAP28-NA","Volume Traded Today")</f>
        <v>0</v>
      </c>
      <c r="M411">
        <f>RTD("nest.scriprtd",,"nse_cm|910TCAP28-NA","Open")</f>
        <v>0</v>
      </c>
      <c r="N411">
        <f>RTD("nest.scriprtd",,"nse_cm|910TCAP28-NA","High")</f>
        <v>1055.5</v>
      </c>
      <c r="O411">
        <f>RTD("nest.scriprtd",,"nse_cm|910TCAP28-NA","Low ")</f>
        <v>1048.1500000000001</v>
      </c>
      <c r="P411">
        <f>RTD("nest.scriprtd",,"nse_cm|910TCAP28-NA","Prev Close")</f>
        <v>1054.97</v>
      </c>
      <c r="Q411">
        <f>RTD("nest.scriprtd",,"nse_cm|910TCAP28-NA","Face Value")</f>
        <v>1000</v>
      </c>
      <c r="R411" t="str">
        <f>RTD("nest.scriprtd",,"nse_cm|910TCAP28-NA","Isin code")</f>
        <v>INE306N08292</v>
      </c>
      <c r="S411" s="9">
        <f>Table1[[#This Row],[Ask Rate]]*Table1[[#This Row],[Ask Qty]]</f>
        <v>21099.8</v>
      </c>
      <c r="T411">
        <f>VLOOKUP(Table1[[#This Row],[Isin code]],Table2[#All],7,FALSE)</f>
        <v>9.1</v>
      </c>
      <c r="U411" s="17">
        <f>VLOOKUP(Table1[[#This Row],[Isin code]],Table2[#All],8,FALSE)</f>
        <v>47023</v>
      </c>
      <c r="V411" s="10">
        <f ca="1">Table1[[#This Row],[Maturity]]-TODAY()</f>
        <v>1442</v>
      </c>
      <c r="W411" t="str">
        <f>VLOOKUP(Table1[[#This Row],[Isin code]],Table2[#All],10,FALSE)</f>
        <v>Yearly</v>
      </c>
      <c r="X411">
        <f ca="1">_xlfn.DAYS(Table1[[#This Row],[Maturity]],TODAY())-15</f>
        <v>1427</v>
      </c>
      <c r="Y4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11">
        <f>IF(Table1[[#This Row],[Ask Rate]]=0,0,Table1[[#This Row],[Face Value]]-Table1[[#This Row],[Ask Rate]])</f>
        <v>-54.990000000000009</v>
      </c>
      <c r="AA411">
        <f>IF(Table1[[#This Row],[Freq]]="Yearly",Table1[[#This Row],[Coupon_Rate]]/100,IF(Table1[[#This Row],[Freq]]="Monthly",Table1[[#This Row],[Coupon_Rate]]/1200,IF(Table1[[#This Row],[Freq]]="Quarterly",Table1[[#This Row],[Coupon_Rate]]/400,0)))</f>
        <v>9.0999999999999998E-2</v>
      </c>
      <c r="AB411">
        <f ca="1">Table1[[#This Row],[Face Value]]*Table1[[#This Row],[Rate]]*Table1[[#This Row],[Time]]</f>
        <v>364</v>
      </c>
      <c r="AC411">
        <f ca="1">Table1[[#This Row],[SI]]+Table1[[#This Row],[Disc/Prem]]</f>
        <v>309.01</v>
      </c>
      <c r="AD411" s="3">
        <f ca="1">Table1[[#This Row],[Net Gain]]/Table1[[#This Row],[Ask Rate]]</f>
        <v>0.29290325026777503</v>
      </c>
      <c r="AE411" s="3">
        <f ca="1">IF(Table1[[#This Row],[Ask Qty]]=0,0,Table1[[#This Row],[Gross Yield]]*365/Table1[[#This Row],[Days Left]])</f>
        <v>7.4139865705782168E-2</v>
      </c>
      <c r="AF411" s="9">
        <f ca="1">+Table1[[#This Row],[Net Gain]]*Table1[[#This Row],[Ask Qty]]</f>
        <v>6180.2</v>
      </c>
      <c r="AG411" t="str">
        <f ca="1">IF(Table1[[#This Row],[YTM]]&gt;0.12,IF(Table1[[#This Row],[Gross Profit]]&gt;10000,"Invest","Review"),"Low YTM")</f>
        <v>Low YTM</v>
      </c>
    </row>
    <row r="412" spans="1:33" x14ac:dyDescent="0.3">
      <c r="A412" t="str">
        <f>RTD("nest.scriprtd",,"bse_cm|87LTF27","Symbol")</f>
        <v>87LTF27</v>
      </c>
      <c r="B412" t="str">
        <f>RTD("nest.scriprtd",,"bse_cm|87LTF27","Trading Symbol")</f>
        <v>87LTF27</v>
      </c>
      <c r="C412" t="str">
        <f>RTD("nest.scriprtd",,"bse_cm|87LTF27","Exchange")</f>
        <v>BSE</v>
      </c>
      <c r="D412">
        <f>RTD("nest.scriprtd",,"bse_cm|87LTF27","Bid Qty")</f>
        <v>10</v>
      </c>
      <c r="E412">
        <f>RTD("nest.scriprtd",,"bse_cm|87LTF27","Bid Rate")</f>
        <v>1020</v>
      </c>
      <c r="F412">
        <f>RTD("nest.scriprtd",,"bse_cm|87LTF27","Ask Rate")</f>
        <v>1028</v>
      </c>
      <c r="G412">
        <f>RTD("nest.scriprtd",,"bse_cm|87LTF27","Ask Qty")</f>
        <v>10</v>
      </c>
      <c r="H412">
        <f>RTD("nest.scriprtd",,"bse_cm|87LTF27","LTP")</f>
        <v>0</v>
      </c>
      <c r="I412" t="str">
        <f>RTD("nest.scriprtd",,"bse_cm|87LTF27","LTT")</f>
        <v>00:00:00</v>
      </c>
      <c r="J412">
        <f>RTD("nest.scriprtd",,"bse_cm|87LTF27","% Change")</f>
        <v>-100</v>
      </c>
      <c r="K412">
        <f>RTD("nest.scriprtd",,"bse_cm|87LTF27","ATP")</f>
        <v>0</v>
      </c>
      <c r="L412">
        <f>RTD("nest.scriprtd",,"bse_cm|87LTF27","Volume Traded Today")</f>
        <v>0</v>
      </c>
      <c r="M412">
        <f>RTD("nest.scriprtd",,"bse_cm|87LTF27","Open")</f>
        <v>0</v>
      </c>
      <c r="N412">
        <f>RTD("nest.scriprtd",,"bse_cm|87LTF27","High")</f>
        <v>1026.95</v>
      </c>
      <c r="O412">
        <f>RTD("nest.scriprtd",,"bse_cm|87LTF27","Low ")</f>
        <v>1026.95</v>
      </c>
      <c r="P412">
        <f>RTD("nest.scriprtd",,"bse_cm|87LTF27","Prev Close")</f>
        <v>1026.95</v>
      </c>
      <c r="Q412">
        <f>RTD("nest.scriprtd",,"bse_cm|87LTF27","Face Value")</f>
        <v>1000</v>
      </c>
      <c r="R412" t="str">
        <f>RTD("nest.scriprtd",,"bse_cm|87LTF27","Isin code")</f>
        <v>INE027E07AN7</v>
      </c>
      <c r="S412" s="9">
        <f>Table1[[#This Row],[Ask Rate]]*Table1[[#This Row],[Ask Qty]]</f>
        <v>10280</v>
      </c>
      <c r="T412">
        <f>VLOOKUP(Table1[[#This Row],[Isin code]],Table2[#All],7,FALSE)</f>
        <v>8.6999999999999993</v>
      </c>
      <c r="U412" s="17">
        <f>VLOOKUP(Table1[[#This Row],[Isin code]],Table2[#All],8,FALSE)</f>
        <v>46492</v>
      </c>
      <c r="V412" s="10">
        <f ca="1">Table1[[#This Row],[Maturity]]-TODAY()</f>
        <v>911</v>
      </c>
      <c r="W412" t="str">
        <f>VLOOKUP(Table1[[#This Row],[Isin code]],Table2[#All],10,FALSE)</f>
        <v>Monthly</v>
      </c>
      <c r="X412">
        <f ca="1">_xlfn.DAYS(Table1[[#This Row],[Maturity]],TODAY())-15</f>
        <v>896</v>
      </c>
      <c r="Y4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412">
        <f>IF(Table1[[#This Row],[Ask Rate]]=0,0,Table1[[#This Row],[Face Value]]-Table1[[#This Row],[Ask Rate]])</f>
        <v>-28</v>
      </c>
      <c r="AA412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412">
        <f ca="1">Table1[[#This Row],[Face Value]]*Table1[[#This Row],[Rate]]*Table1[[#This Row],[Time]]</f>
        <v>217.49999999999997</v>
      </c>
      <c r="AC412">
        <f ca="1">Table1[[#This Row],[SI]]+Table1[[#This Row],[Disc/Prem]]</f>
        <v>189.49999999999997</v>
      </c>
      <c r="AD412" s="3">
        <f ca="1">Table1[[#This Row],[Net Gain]]/Table1[[#This Row],[Ask Rate]]</f>
        <v>0.18433852140077819</v>
      </c>
      <c r="AE412" s="3">
        <f ca="1">IF(Table1[[#This Row],[Ask Qty]]=0,0,Table1[[#This Row],[Gross Yield]]*365/Table1[[#This Row],[Days Left]])</f>
        <v>7.385681702665646E-2</v>
      </c>
      <c r="AF412" s="9">
        <f ca="1">+Table1[[#This Row],[Net Gain]]*Table1[[#This Row],[Ask Qty]]</f>
        <v>1894.9999999999998</v>
      </c>
      <c r="AG412" t="str">
        <f ca="1">IF(Table1[[#This Row],[YTM]]&gt;0.12,IF(Table1[[#This Row],[Gross Profit]]&gt;10000,"Invest","Review"),"Low YTM")</f>
        <v>Low YTM</v>
      </c>
    </row>
    <row r="413" spans="1:33" x14ac:dyDescent="0.3">
      <c r="A413" t="str">
        <f>RTD("nest.scriprtd",,"nse_cm|965SCL25E-BF","Symbol")</f>
        <v>965SCL25E</v>
      </c>
      <c r="B413" t="str">
        <f>RTD("nest.scriprtd",,"nse_cm|965SCL25E-BF","Trading Symbol")</f>
        <v>965SCL25E-BF</v>
      </c>
      <c r="C413" t="str">
        <f>RTD("nest.scriprtd",,"nse_cm|965SCL25E-BF","Exchange")</f>
        <v>NSE</v>
      </c>
      <c r="D413">
        <f>RTD("nest.scriprtd",,"nse_cm|965SCL25E-BF","Bid Qty")</f>
        <v>1</v>
      </c>
      <c r="E413">
        <f>RTD("nest.scriprtd",,"nse_cm|965SCL25E-BF","Bid Rate")</f>
        <v>967</v>
      </c>
      <c r="F413">
        <f>RTD("nest.scriprtd",,"nse_cm|965SCL25E-BF","Ask Rate")</f>
        <v>1025</v>
      </c>
      <c r="G413">
        <f>RTD("nest.scriprtd",,"nse_cm|965SCL25E-BF","Ask Qty")</f>
        <v>25</v>
      </c>
      <c r="H413">
        <f>RTD("nest.scriprtd",,"nse_cm|965SCL25E-BF","LTP")</f>
        <v>965.82</v>
      </c>
      <c r="I413" t="str">
        <f>RTD("nest.scriprtd",,"nse_cm|965SCL25E-BF","LTT")</f>
        <v/>
      </c>
      <c r="J413">
        <f>RTD("nest.scriprtd",,"nse_cm|965SCL25E-BF","% Change")</f>
        <v>0</v>
      </c>
      <c r="K413">
        <f>RTD("nest.scriprtd",,"nse_cm|965SCL25E-BF","ATP")</f>
        <v>0</v>
      </c>
      <c r="L413">
        <f>RTD("nest.scriprtd",,"nse_cm|965SCL25E-BF","Volume Traded Today")</f>
        <v>0</v>
      </c>
      <c r="M413">
        <f>RTD("nest.scriprtd",,"nse_cm|965SCL25E-BF","Open")</f>
        <v>0</v>
      </c>
      <c r="N413">
        <f>RTD("nest.scriprtd",,"nse_cm|965SCL25E-BF","High")</f>
        <v>965.82</v>
      </c>
      <c r="O413">
        <f>RTD("nest.scriprtd",,"nse_cm|965SCL25E-BF","Low ")</f>
        <v>945.75</v>
      </c>
      <c r="P413">
        <f>RTD("nest.scriprtd",,"nse_cm|965SCL25E-BF","Prev Close")</f>
        <v>965.82</v>
      </c>
      <c r="Q413">
        <f>RTD("nest.scriprtd",,"nse_cm|965SCL25E-BF","Face Value")</f>
        <v>1000</v>
      </c>
      <c r="R413" t="str">
        <f>RTD("nest.scriprtd",,"nse_cm|965SCL25E-BF","Isin code")</f>
        <v>INE148I07PD1</v>
      </c>
      <c r="S413" s="9">
        <f>Table1[[#This Row],[Ask Rate]]*Table1[[#This Row],[Ask Qty]]</f>
        <v>25625</v>
      </c>
      <c r="T413">
        <f>VLOOKUP(Table1[[#This Row],[Isin code]],Table2[#All],7,FALSE)</f>
        <v>9.65</v>
      </c>
      <c r="U413" s="17" t="str">
        <f>VLOOKUP(Table1[[#This Row],[Isin code]],Table2[#All],8,FALSE)</f>
        <v>26-Sep-2025</v>
      </c>
      <c r="V413" s="10">
        <f ca="1">Table1[[#This Row],[Maturity]]-TODAY()</f>
        <v>345</v>
      </c>
      <c r="W413" t="str">
        <f>VLOOKUP(Table1[[#This Row],[Isin code]],Table2[#All],10,FALSE)</f>
        <v>Yearly</v>
      </c>
      <c r="X413">
        <f ca="1">_xlfn.DAYS(Table1[[#This Row],[Maturity]],TODAY())-15</f>
        <v>330</v>
      </c>
      <c r="Y4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13">
        <f>IF(Table1[[#This Row],[Ask Rate]]=0,0,Table1[[#This Row],[Face Value]]-Table1[[#This Row],[Ask Rate]])</f>
        <v>-25</v>
      </c>
      <c r="AA413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413">
        <f ca="1">Table1[[#This Row],[Face Value]]*Table1[[#This Row],[Rate]]*Table1[[#This Row],[Time]]</f>
        <v>96.5</v>
      </c>
      <c r="AC413">
        <f ca="1">Table1[[#This Row],[SI]]+Table1[[#This Row],[Disc/Prem]]</f>
        <v>71.5</v>
      </c>
      <c r="AD413" s="3">
        <f ca="1">Table1[[#This Row],[Net Gain]]/Table1[[#This Row],[Ask Rate]]</f>
        <v>6.9756097560975616E-2</v>
      </c>
      <c r="AE413" s="3">
        <f ca="1">IF(Table1[[#This Row],[Ask Qty]]=0,0,Table1[[#This Row],[Gross Yield]]*365/Table1[[#This Row],[Days Left]])</f>
        <v>7.3799929303640877E-2</v>
      </c>
      <c r="AF413" s="9">
        <f ca="1">+Table1[[#This Row],[Net Gain]]*Table1[[#This Row],[Ask Qty]]</f>
        <v>1787.5</v>
      </c>
      <c r="AG413" t="str">
        <f ca="1">IF(Table1[[#This Row],[YTM]]&gt;0.12,IF(Table1[[#This Row],[Gross Profit]]&gt;10000,"Invest","Review"),"Low YTM")</f>
        <v>Low YTM</v>
      </c>
    </row>
    <row r="414" spans="1:33" x14ac:dyDescent="0.3">
      <c r="A414" t="str">
        <f>RTD("nest.scriprtd",,"bse_cm|965SCL25E","Symbol")</f>
        <v>965SCL25E</v>
      </c>
      <c r="B414" t="str">
        <f>RTD("nest.scriprtd",,"bse_cm|965SCL25E","Trading Symbol")</f>
        <v>965SCL25E</v>
      </c>
      <c r="C414" t="str">
        <f>RTD("nest.scriprtd",,"bse_cm|965SCL25E","Exchange")</f>
        <v>BSE</v>
      </c>
      <c r="D414">
        <f>RTD("nest.scriprtd",,"bse_cm|965SCL25E","Bid Qty")</f>
        <v>15</v>
      </c>
      <c r="E414">
        <f>RTD("nest.scriprtd",,"bse_cm|965SCL25E","Bid Rate")</f>
        <v>930.41</v>
      </c>
      <c r="F414">
        <f>RTD("nest.scriprtd",,"bse_cm|965SCL25E","Ask Rate")</f>
        <v>1025</v>
      </c>
      <c r="G414">
        <f>RTD("nest.scriprtd",,"bse_cm|965SCL25E","Ask Qty")</f>
        <v>25</v>
      </c>
      <c r="H414">
        <f>RTD("nest.scriprtd",,"bse_cm|965SCL25E","LTP")</f>
        <v>0</v>
      </c>
      <c r="I414" t="str">
        <f>RTD("nest.scriprtd",,"bse_cm|965SCL25E","LTT")</f>
        <v>00:00:00</v>
      </c>
      <c r="J414">
        <f>RTD("nest.scriprtd",,"bse_cm|965SCL25E","% Change")</f>
        <v>-100</v>
      </c>
      <c r="K414">
        <f>RTD("nest.scriprtd",,"bse_cm|965SCL25E","ATP")</f>
        <v>0</v>
      </c>
      <c r="L414">
        <f>RTD("nest.scriprtd",,"bse_cm|965SCL25E","Volume Traded Today")</f>
        <v>0</v>
      </c>
      <c r="M414">
        <f>RTD("nest.scriprtd",,"bse_cm|965SCL25E","Open")</f>
        <v>0</v>
      </c>
      <c r="N414">
        <f>RTD("nest.scriprtd",,"bse_cm|965SCL25E","High")</f>
        <v>963.21</v>
      </c>
      <c r="O414">
        <f>RTD("nest.scriprtd",,"bse_cm|965SCL25E","Low ")</f>
        <v>963.21</v>
      </c>
      <c r="P414">
        <f>RTD("nest.scriprtd",,"bse_cm|965SCL25E","Prev Close")</f>
        <v>963.21</v>
      </c>
      <c r="Q414">
        <f>RTD("nest.scriprtd",,"bse_cm|965SCL25E","Face Value")</f>
        <v>1000</v>
      </c>
      <c r="R414" t="str">
        <f>RTD("nest.scriprtd",,"bse_cm|965SCL25E","Isin code")</f>
        <v>INE148I07PD1</v>
      </c>
      <c r="S414" s="9">
        <f>Table1[[#This Row],[Ask Rate]]*Table1[[#This Row],[Ask Qty]]</f>
        <v>25625</v>
      </c>
      <c r="T414">
        <f>VLOOKUP(Table1[[#This Row],[Isin code]],Table2[#All],7,FALSE)</f>
        <v>9.65</v>
      </c>
      <c r="U414" s="17" t="str">
        <f>VLOOKUP(Table1[[#This Row],[Isin code]],Table2[#All],8,FALSE)</f>
        <v>26-Sep-2025</v>
      </c>
      <c r="V414" s="10">
        <f ca="1">Table1[[#This Row],[Maturity]]-TODAY()</f>
        <v>345</v>
      </c>
      <c r="W414" t="str">
        <f>VLOOKUP(Table1[[#This Row],[Isin code]],Table2[#All],10,FALSE)</f>
        <v>Yearly</v>
      </c>
      <c r="X414">
        <f ca="1">_xlfn.DAYS(Table1[[#This Row],[Maturity]],TODAY())-15</f>
        <v>330</v>
      </c>
      <c r="Y4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14">
        <f>IF(Table1[[#This Row],[Ask Rate]]=0,0,Table1[[#This Row],[Face Value]]-Table1[[#This Row],[Ask Rate]])</f>
        <v>-25</v>
      </c>
      <c r="AA414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414">
        <f ca="1">Table1[[#This Row],[Face Value]]*Table1[[#This Row],[Rate]]*Table1[[#This Row],[Time]]</f>
        <v>96.5</v>
      </c>
      <c r="AC414">
        <f ca="1">Table1[[#This Row],[SI]]+Table1[[#This Row],[Disc/Prem]]</f>
        <v>71.5</v>
      </c>
      <c r="AD414" s="3">
        <f ca="1">Table1[[#This Row],[Net Gain]]/Table1[[#This Row],[Ask Rate]]</f>
        <v>6.9756097560975616E-2</v>
      </c>
      <c r="AE414" s="3">
        <f ca="1">IF(Table1[[#This Row],[Ask Qty]]=0,0,Table1[[#This Row],[Gross Yield]]*365/Table1[[#This Row],[Days Left]])</f>
        <v>7.3799929303640877E-2</v>
      </c>
      <c r="AF414" s="9">
        <f ca="1">+Table1[[#This Row],[Net Gain]]*Table1[[#This Row],[Ask Qty]]</f>
        <v>1787.5</v>
      </c>
      <c r="AG414" t="str">
        <f ca="1">IF(Table1[[#This Row],[YTM]]&gt;0.12,IF(Table1[[#This Row],[Gross Profit]]&gt;10000,"Invest","Review"),"Low YTM")</f>
        <v>Low YTM</v>
      </c>
    </row>
    <row r="415" spans="1:33" hidden="1" x14ac:dyDescent="0.3">
      <c r="A415" t="str">
        <f>RTD("nest.scriprtd",,"bse_cm|975MFL24B","Symbol")</f>
        <v>975MFL24B</v>
      </c>
      <c r="B415" t="str">
        <f>RTD("nest.scriprtd",,"bse_cm|975MFL24B","Trading Symbol")</f>
        <v>975MFL24B</v>
      </c>
      <c r="C415" t="str">
        <f>RTD("nest.scriprtd",,"bse_cm|975MFL24B","Exchange")</f>
        <v>BSE</v>
      </c>
      <c r="D415">
        <f>RTD("nest.scriprtd",,"bse_cm|975MFL24B","Bid Qty")</f>
        <v>1</v>
      </c>
      <c r="E415">
        <f>RTD("nest.scriprtd",,"bse_cm|975MFL24B","Bid Rate")</f>
        <v>990.45</v>
      </c>
      <c r="F415">
        <f>RTD("nest.scriprtd",,"bse_cm|975MFL24B","Ask Rate")</f>
        <v>1004.9</v>
      </c>
      <c r="G415">
        <f>RTD("nest.scriprtd",,"bse_cm|975MFL24B","Ask Qty")</f>
        <v>10</v>
      </c>
      <c r="H415">
        <f>RTD("nest.scriprtd",,"bse_cm|975MFL24B","LTP")</f>
        <v>0</v>
      </c>
      <c r="I415" t="str">
        <f>RTD("nest.scriprtd",,"bse_cm|975MFL24B","LTT")</f>
        <v>00:00:00</v>
      </c>
      <c r="J415">
        <f>RTD("nest.scriprtd",,"bse_cm|975MFL24B","% Change")</f>
        <v>-100</v>
      </c>
      <c r="K415">
        <f>RTD("nest.scriprtd",,"bse_cm|975MFL24B","ATP")</f>
        <v>0</v>
      </c>
      <c r="L415">
        <f>RTD("nest.scriprtd",,"bse_cm|975MFL24B","Volume Traded Today")</f>
        <v>0</v>
      </c>
      <c r="M415">
        <f>RTD("nest.scriprtd",,"bse_cm|975MFL24B","Open")</f>
        <v>0</v>
      </c>
      <c r="N415">
        <f>RTD("nest.scriprtd",,"bse_cm|975MFL24B","High")</f>
        <v>1005</v>
      </c>
      <c r="O415">
        <f>RTD("nest.scriprtd",,"bse_cm|975MFL24B","Low ")</f>
        <v>1004.99</v>
      </c>
      <c r="P415">
        <f>RTD("nest.scriprtd",,"bse_cm|975MFL24B","Prev Close")</f>
        <v>1004.99</v>
      </c>
      <c r="Q415">
        <f>RTD("nest.scriprtd",,"bse_cm|975MFL24B","Face Value")</f>
        <v>1000</v>
      </c>
      <c r="R415" t="str">
        <f>RTD("nest.scriprtd",,"bse_cm|975MFL24B","Isin code")</f>
        <v>INE414G07DV9</v>
      </c>
      <c r="S415" s="9">
        <f>Table1[[#This Row],[Ask Rate]]*Table1[[#This Row],[Ask Qty]]</f>
        <v>10049</v>
      </c>
      <c r="T415">
        <f>VLOOKUP(Table1[[#This Row],[Isin code]],Table2[#All],7,FALSE)</f>
        <v>9.75</v>
      </c>
      <c r="U415" s="17" t="str">
        <f>VLOOKUP(Table1[[#This Row],[Isin code]],Table2[#All],8,FALSE)</f>
        <v>01-Nov-2024</v>
      </c>
      <c r="V415" s="10">
        <f ca="1">Table1[[#This Row],[Maturity]]-TODAY()</f>
        <v>16</v>
      </c>
      <c r="W415" t="str">
        <f>VLOOKUP(Table1[[#This Row],[Isin code]],Table2[#All],10,FALSE)</f>
        <v>Monthly</v>
      </c>
      <c r="X415">
        <f ca="1">_xlfn.DAYS(Table1[[#This Row],[Maturity]],TODAY())-15</f>
        <v>1</v>
      </c>
      <c r="Y4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15">
        <f>IF(Table1[[#This Row],[Ask Rate]]=0,0,Table1[[#This Row],[Face Value]]-Table1[[#This Row],[Ask Rate]])</f>
        <v>-4.8999999999999773</v>
      </c>
      <c r="AA415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415">
        <f ca="1">Table1[[#This Row],[Face Value]]*Table1[[#This Row],[Rate]]*Table1[[#This Row],[Time]]</f>
        <v>8.125</v>
      </c>
      <c r="AC415">
        <f ca="1">Table1[[#This Row],[SI]]+Table1[[#This Row],[Disc/Prem]]</f>
        <v>3.2250000000000227</v>
      </c>
      <c r="AD415" s="3">
        <f ca="1">Table1[[#This Row],[Net Gain]]/Table1[[#This Row],[Ask Rate]]</f>
        <v>3.2092745546820805E-3</v>
      </c>
      <c r="AE415" s="3">
        <f ca="1">IF(Table1[[#This Row],[Ask Qty]]=0,0,Table1[[#This Row],[Gross Yield]]*365/Table1[[#This Row],[Days Left]])</f>
        <v>7.3211575778684965E-2</v>
      </c>
      <c r="AF415" s="9">
        <f ca="1">+Table1[[#This Row],[Net Gain]]*Table1[[#This Row],[Ask Qty]]</f>
        <v>32.250000000000227</v>
      </c>
      <c r="AG415" t="str">
        <f ca="1">IF(Table1[[#This Row],[YTM]]&gt;0.12,IF(Table1[[#This Row],[Gross Profit]]&gt;10000,"Invest","Review"),"Low YTM")</f>
        <v>Low YTM</v>
      </c>
    </row>
    <row r="416" spans="1:33" x14ac:dyDescent="0.3">
      <c r="A416" t="str">
        <f>RTD("nest.scriprtd",,"bse_cm|898LTF29","Symbol")</f>
        <v>898LTF29</v>
      </c>
      <c r="B416" t="str">
        <f>RTD("nest.scriprtd",,"bse_cm|898LTF29","Trading Symbol")</f>
        <v>898LTF29</v>
      </c>
      <c r="C416" t="str">
        <f>RTD("nest.scriprtd",,"bse_cm|898LTF29","Exchange")</f>
        <v>BSE</v>
      </c>
      <c r="D416">
        <f>RTD("nest.scriprtd",,"bse_cm|898LTF29","Bid Qty")</f>
        <v>30</v>
      </c>
      <c r="E416">
        <f>RTD("nest.scriprtd",,"bse_cm|898LTF29","Bid Rate")</f>
        <v>1040</v>
      </c>
      <c r="F416">
        <f>RTD("nest.scriprtd",,"bse_cm|898LTF29","Ask Rate")</f>
        <v>1060</v>
      </c>
      <c r="G416">
        <f>RTD("nest.scriprtd",,"bse_cm|898LTF29","Ask Qty")</f>
        <v>30</v>
      </c>
      <c r="H416">
        <f>RTD("nest.scriprtd",,"bse_cm|898LTF29","LTP")</f>
        <v>0</v>
      </c>
      <c r="I416" t="str">
        <f>RTD("nest.scriprtd",,"bse_cm|898LTF29","LTT")</f>
        <v>00:00:00</v>
      </c>
      <c r="J416">
        <f>RTD("nest.scriprtd",,"bse_cm|898LTF29","% Change")</f>
        <v>-100</v>
      </c>
      <c r="K416">
        <f>RTD("nest.scriprtd",,"bse_cm|898LTF29","ATP")</f>
        <v>0</v>
      </c>
      <c r="L416">
        <f>RTD("nest.scriprtd",,"bse_cm|898LTF29","Volume Traded Today")</f>
        <v>0</v>
      </c>
      <c r="M416">
        <f>RTD("nest.scriprtd",,"bse_cm|898LTF29","Open")</f>
        <v>0</v>
      </c>
      <c r="N416">
        <f>RTD("nest.scriprtd",,"bse_cm|898LTF29","High")</f>
        <v>1140.0999999999999</v>
      </c>
      <c r="O416">
        <f>RTD("nest.scriprtd",,"bse_cm|898LTF29","Low ")</f>
        <v>1051</v>
      </c>
      <c r="P416">
        <f>RTD("nest.scriprtd",,"bse_cm|898LTF29","Prev Close")</f>
        <v>1140.0999999999999</v>
      </c>
      <c r="Q416">
        <f>RTD("nest.scriprtd",,"bse_cm|898LTF29","Face Value")</f>
        <v>1000</v>
      </c>
      <c r="R416" t="str">
        <f>RTD("nest.scriprtd",,"bse_cm|898LTF29","Isin code")</f>
        <v>INE027E07998</v>
      </c>
      <c r="S416" s="9">
        <f>Table1[[#This Row],[Ask Rate]]*Table1[[#This Row],[Ask Qty]]</f>
        <v>31800</v>
      </c>
      <c r="T416">
        <f>VLOOKUP(Table1[[#This Row],[Isin code]],Table2[#All],7,FALSE)</f>
        <v>8.98</v>
      </c>
      <c r="U416" s="17">
        <f>VLOOKUP(Table1[[#This Row],[Isin code]],Table2[#All],8,FALSE)</f>
        <v>47190</v>
      </c>
      <c r="V416" s="10">
        <f ca="1">Table1[[#This Row],[Maturity]]-TODAY()</f>
        <v>1609</v>
      </c>
      <c r="W416" t="str">
        <f>VLOOKUP(Table1[[#This Row],[Isin code]],Table2[#All],10,FALSE)</f>
        <v>Monthly</v>
      </c>
      <c r="X416">
        <f ca="1">_xlfn.DAYS(Table1[[#This Row],[Maturity]],TODAY())-15</f>
        <v>1594</v>
      </c>
      <c r="Y4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416">
        <f>IF(Table1[[#This Row],[Ask Rate]]=0,0,Table1[[#This Row],[Face Value]]-Table1[[#This Row],[Ask Rate]])</f>
        <v>-60</v>
      </c>
      <c r="AA416">
        <f>IF(Table1[[#This Row],[Freq]]="Yearly",Table1[[#This Row],[Coupon_Rate]]/100,IF(Table1[[#This Row],[Freq]]="Monthly",Table1[[#This Row],[Coupon_Rate]]/1200,IF(Table1[[#This Row],[Freq]]="Quarterly",Table1[[#This Row],[Coupon_Rate]]/400,0)))</f>
        <v>7.483333333333334E-3</v>
      </c>
      <c r="AB416">
        <f ca="1">Table1[[#This Row],[Face Value]]*Table1[[#This Row],[Rate]]*Table1[[#This Row],[Time]]</f>
        <v>404.1</v>
      </c>
      <c r="AC416">
        <f ca="1">Table1[[#This Row],[SI]]+Table1[[#This Row],[Disc/Prem]]</f>
        <v>344.1</v>
      </c>
      <c r="AD416" s="3">
        <f ca="1">Table1[[#This Row],[Net Gain]]/Table1[[#This Row],[Ask Rate]]</f>
        <v>0.32462264150943398</v>
      </c>
      <c r="AE416" s="3">
        <f ca="1">IF(Table1[[#This Row],[Ask Qty]]=0,0,Table1[[#This Row],[Gross Yield]]*365/Table1[[#This Row],[Days Left]])</f>
        <v>7.3640313331847979E-2</v>
      </c>
      <c r="AF416" s="9">
        <f ca="1">+Table1[[#This Row],[Net Gain]]*Table1[[#This Row],[Ask Qty]]</f>
        <v>10323</v>
      </c>
      <c r="AG416" t="str">
        <f ca="1">IF(Table1[[#This Row],[YTM]]&gt;0.12,IF(Table1[[#This Row],[Gross Profit]]&gt;10000,"Invest","Review"),"Low YTM")</f>
        <v>Low YTM</v>
      </c>
    </row>
    <row r="417" spans="1:33" x14ac:dyDescent="0.3">
      <c r="A417" t="str">
        <f>RTD("nest.scriprtd",,"bse_cm|1050UCL25","Symbol")</f>
        <v>1050UCL25</v>
      </c>
      <c r="B417" t="str">
        <f>RTD("nest.scriprtd",,"bse_cm|1050UCL25","Trading Symbol")</f>
        <v>1050UCL25</v>
      </c>
      <c r="C417" t="str">
        <f>RTD("nest.scriprtd",,"bse_cm|1050UCL25","Exchange")</f>
        <v>BSE</v>
      </c>
      <c r="D417">
        <f>RTD("nest.scriprtd",,"bse_cm|1050UCL25","Bid Qty")</f>
        <v>10</v>
      </c>
      <c r="E417">
        <f>RTD("nest.scriprtd",,"bse_cm|1050UCL25","Bid Rate")</f>
        <v>985.01</v>
      </c>
      <c r="F417">
        <f>RTD("nest.scriprtd",,"bse_cm|1050UCL25","Ask Rate")</f>
        <v>1025</v>
      </c>
      <c r="G417">
        <f>RTD("nest.scriprtd",,"bse_cm|1050UCL25","Ask Qty")</f>
        <v>10</v>
      </c>
      <c r="H417">
        <f>RTD("nest.scriprtd",,"bse_cm|1050UCL25","LTP")</f>
        <v>0</v>
      </c>
      <c r="I417" t="str">
        <f>RTD("nest.scriprtd",,"bse_cm|1050UCL25","LTT")</f>
        <v>00:00:00</v>
      </c>
      <c r="J417">
        <f>RTD("nest.scriprtd",,"bse_cm|1050UCL25","% Change")</f>
        <v>-100</v>
      </c>
      <c r="K417">
        <f>RTD("nest.scriprtd",,"bse_cm|1050UCL25","ATP")</f>
        <v>0</v>
      </c>
      <c r="L417">
        <f>RTD("nest.scriprtd",,"bse_cm|1050UCL25","Volume Traded Today")</f>
        <v>0</v>
      </c>
      <c r="M417">
        <f>RTD("nest.scriprtd",,"bse_cm|1050UCL25","Open")</f>
        <v>0</v>
      </c>
      <c r="N417">
        <f>RTD("nest.scriprtd",,"bse_cm|1050UCL25","High")</f>
        <v>999.9</v>
      </c>
      <c r="O417">
        <f>RTD("nest.scriprtd",,"bse_cm|1050UCL25","Low ")</f>
        <v>999.9</v>
      </c>
      <c r="P417">
        <f>RTD("nest.scriprtd",,"bse_cm|1050UCL25","Prev Close")</f>
        <v>999.9</v>
      </c>
      <c r="Q417">
        <f>RTD("nest.scriprtd",,"bse_cm|1050UCL25","Face Value")</f>
        <v>1000</v>
      </c>
      <c r="R417" t="str">
        <f>RTD("nest.scriprtd",,"bse_cm|1050UCL25","Isin code")</f>
        <v>INE583D07315</v>
      </c>
      <c r="S417" s="9">
        <f>Table1[[#This Row],[Ask Rate]]*Table1[[#This Row],[Ask Qty]]</f>
        <v>10250</v>
      </c>
      <c r="T417">
        <f>VLOOKUP(Table1[[#This Row],[Isin code]],Table2[#All],7,FALSE)</f>
        <v>10.5</v>
      </c>
      <c r="U417" s="17" t="str">
        <f>VLOOKUP(Table1[[#This Row],[Isin code]],Table2[#All],8,FALSE)</f>
        <v>26-Sep-2025</v>
      </c>
      <c r="V417" s="10">
        <f ca="1">Table1[[#This Row],[Maturity]]-TODAY()</f>
        <v>345</v>
      </c>
      <c r="W417" t="str">
        <f>VLOOKUP(Table1[[#This Row],[Isin code]],Table2[#All],10,FALSE)</f>
        <v>Monthly</v>
      </c>
      <c r="X417">
        <f ca="1">_xlfn.DAYS(Table1[[#This Row],[Maturity]],TODAY())-15</f>
        <v>330</v>
      </c>
      <c r="Y4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417">
        <f>IF(Table1[[#This Row],[Ask Rate]]=0,0,Table1[[#This Row],[Face Value]]-Table1[[#This Row],[Ask Rate]])</f>
        <v>-25</v>
      </c>
      <c r="AA417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417">
        <f ca="1">Table1[[#This Row],[Face Value]]*Table1[[#This Row],[Rate]]*Table1[[#This Row],[Time]]</f>
        <v>96.25</v>
      </c>
      <c r="AC417">
        <f ca="1">Table1[[#This Row],[SI]]+Table1[[#This Row],[Disc/Prem]]</f>
        <v>71.25</v>
      </c>
      <c r="AD417" s="3">
        <f ca="1">Table1[[#This Row],[Net Gain]]/Table1[[#This Row],[Ask Rate]]</f>
        <v>6.9512195121951226E-2</v>
      </c>
      <c r="AE417" s="3">
        <f ca="1">IF(Table1[[#This Row],[Ask Qty]]=0,0,Table1[[#This Row],[Gross Yield]]*365/Table1[[#This Row],[Days Left]])</f>
        <v>7.3541887592788985E-2</v>
      </c>
      <c r="AF417" s="9">
        <f ca="1">+Table1[[#This Row],[Net Gain]]*Table1[[#This Row],[Ask Qty]]</f>
        <v>712.5</v>
      </c>
      <c r="AG417" t="str">
        <f ca="1">IF(Table1[[#This Row],[YTM]]&gt;0.12,IF(Table1[[#This Row],[Gross Profit]]&gt;10000,"Invest","Review"),"Low YTM")</f>
        <v>Low YTM</v>
      </c>
    </row>
    <row r="418" spans="1:33" x14ac:dyDescent="0.3">
      <c r="A418" t="str">
        <f>RTD("nest.scriprtd",,"bse_cm|825MFL26","Symbol")</f>
        <v>825MFL26</v>
      </c>
      <c r="B418" t="str">
        <f>RTD("nest.scriprtd",,"bse_cm|825MFL26","Trading Symbol")</f>
        <v>825MFL26</v>
      </c>
      <c r="C418" t="str">
        <f>RTD("nest.scriprtd",,"bse_cm|825MFL26","Exchange")</f>
        <v>BSE</v>
      </c>
      <c r="D418">
        <f>RTD("nest.scriprtd",,"bse_cm|825MFL26","Bid Qty")</f>
        <v>190</v>
      </c>
      <c r="E418">
        <f>RTD("nest.scriprtd",,"bse_cm|825MFL26","Bid Rate")</f>
        <v>951.2</v>
      </c>
      <c r="F418">
        <f>RTD("nest.scriprtd",,"bse_cm|825MFL26","Ask Rate")</f>
        <v>1015</v>
      </c>
      <c r="G418">
        <f>RTD("nest.scriprtd",,"bse_cm|825MFL26","Ask Qty")</f>
        <v>10</v>
      </c>
      <c r="H418">
        <f>RTD("nest.scriprtd",,"bse_cm|825MFL26","LTP")</f>
        <v>0</v>
      </c>
      <c r="I418" t="str">
        <f>RTD("nest.scriprtd",,"bse_cm|825MFL26","LTT")</f>
        <v>00:00:00</v>
      </c>
      <c r="J418">
        <f>RTD("nest.scriprtd",,"bse_cm|825MFL26","% Change")</f>
        <v>-100</v>
      </c>
      <c r="K418">
        <f>RTD("nest.scriprtd",,"bse_cm|825MFL26","ATP")</f>
        <v>0</v>
      </c>
      <c r="L418">
        <f>RTD("nest.scriprtd",,"bse_cm|825MFL26","Volume Traded Today")</f>
        <v>0</v>
      </c>
      <c r="M418">
        <f>RTD("nest.scriprtd",,"bse_cm|825MFL26","Open")</f>
        <v>0</v>
      </c>
      <c r="N418">
        <f>RTD("nest.scriprtd",,"bse_cm|825MFL26","High")</f>
        <v>980</v>
      </c>
      <c r="O418">
        <f>RTD("nest.scriprtd",,"bse_cm|825MFL26","Low ")</f>
        <v>980</v>
      </c>
      <c r="P418">
        <f>RTD("nest.scriprtd",,"bse_cm|825MFL26","Prev Close")</f>
        <v>980</v>
      </c>
      <c r="Q418">
        <f>RTD("nest.scriprtd",,"bse_cm|825MFL26","Face Value")</f>
        <v>1000</v>
      </c>
      <c r="R418" t="str">
        <f>RTD("nest.scriprtd",,"bse_cm|825MFL26","Isin code")</f>
        <v>INE549K07BT2</v>
      </c>
      <c r="S418" s="9">
        <f>Table1[[#This Row],[Ask Rate]]*Table1[[#This Row],[Ask Qty]]</f>
        <v>10150</v>
      </c>
      <c r="T418">
        <f>VLOOKUP(Table1[[#This Row],[Isin code]],Table2[#All],7,FALSE)</f>
        <v>8.25</v>
      </c>
      <c r="U418" s="17" t="str">
        <f>VLOOKUP(Table1[[#This Row],[Isin code]],Table2[#All],8,FALSE)</f>
        <v>02-Apr-2026</v>
      </c>
      <c r="V418" s="10">
        <f ca="1">Table1[[#This Row],[Maturity]]-TODAY()</f>
        <v>533</v>
      </c>
      <c r="W418" t="str">
        <f>VLOOKUP(Table1[[#This Row],[Isin code]],Table2[#All],10,FALSE)</f>
        <v>Monthly</v>
      </c>
      <c r="X418">
        <f ca="1">_xlfn.DAYS(Table1[[#This Row],[Maturity]],TODAY())-15</f>
        <v>518</v>
      </c>
      <c r="Y4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418">
        <f>IF(Table1[[#This Row],[Ask Rate]]=0,0,Table1[[#This Row],[Face Value]]-Table1[[#This Row],[Ask Rate]])</f>
        <v>-15</v>
      </c>
      <c r="AA418">
        <f>IF(Table1[[#This Row],[Freq]]="Yearly",Table1[[#This Row],[Coupon_Rate]]/100,IF(Table1[[#This Row],[Freq]]="Monthly",Table1[[#This Row],[Coupon_Rate]]/1200,IF(Table1[[#This Row],[Freq]]="Quarterly",Table1[[#This Row],[Coupon_Rate]]/400,0)))</f>
        <v>6.875E-3</v>
      </c>
      <c r="AB418">
        <f ca="1">Table1[[#This Row],[Face Value]]*Table1[[#This Row],[Rate]]*Table1[[#This Row],[Time]]</f>
        <v>123.75</v>
      </c>
      <c r="AC418">
        <f ca="1">Table1[[#This Row],[SI]]+Table1[[#This Row],[Disc/Prem]]</f>
        <v>108.75</v>
      </c>
      <c r="AD418" s="3">
        <f ca="1">Table1[[#This Row],[Net Gain]]/Table1[[#This Row],[Ask Rate]]</f>
        <v>0.10714285714285714</v>
      </c>
      <c r="AE418" s="3">
        <f ca="1">IF(Table1[[#This Row],[Ask Qty]]=0,0,Table1[[#This Row],[Gross Yield]]*365/Table1[[#This Row],[Days Left]])</f>
        <v>7.3371750201018493E-2</v>
      </c>
      <c r="AF418" s="9">
        <f ca="1">+Table1[[#This Row],[Net Gain]]*Table1[[#This Row],[Ask Qty]]</f>
        <v>1087.5</v>
      </c>
      <c r="AG418" t="str">
        <f ca="1">IF(Table1[[#This Row],[YTM]]&gt;0.12,IF(Table1[[#This Row],[Gross Profit]]&gt;10000,"Invest","Review"),"Low YTM")</f>
        <v>Low YTM</v>
      </c>
    </row>
    <row r="419" spans="1:33" x14ac:dyDescent="0.3">
      <c r="A419" t="str">
        <f>RTD("nest.scriprtd",,"bse_cm|840CIFCL28","Symbol")</f>
        <v>840CIFCL28</v>
      </c>
      <c r="B419" t="str">
        <f>RTD("nest.scriprtd",,"bse_cm|840CIFCL28","Trading Symbol")</f>
        <v>840CIFCL28</v>
      </c>
      <c r="C419" t="str">
        <f>RTD("nest.scriprtd",,"bse_cm|840CIFCL28","Exchange")</f>
        <v>BSE</v>
      </c>
      <c r="D419">
        <f>RTD("nest.scriprtd",,"bse_cm|840CIFCL28","Bid Qty")</f>
        <v>5</v>
      </c>
      <c r="E419">
        <f>RTD("nest.scriprtd",,"bse_cm|840CIFCL28","Bid Rate")</f>
        <v>1018</v>
      </c>
      <c r="F419">
        <f>RTD("nest.scriprtd",,"bse_cm|840CIFCL28","Ask Rate")</f>
        <v>1060</v>
      </c>
      <c r="G419">
        <f>RTD("nest.scriprtd",,"bse_cm|840CIFCL28","Ask Qty")</f>
        <v>30</v>
      </c>
      <c r="H419">
        <f>RTD("nest.scriprtd",,"bse_cm|840CIFCL28","LTP")</f>
        <v>0</v>
      </c>
      <c r="I419" t="str">
        <f>RTD("nest.scriprtd",,"bse_cm|840CIFCL28","LTT")</f>
        <v>00:00:00</v>
      </c>
      <c r="J419">
        <f>RTD("nest.scriprtd",,"bse_cm|840CIFCL28","% Change")</f>
        <v>-100</v>
      </c>
      <c r="K419">
        <f>RTD("nest.scriprtd",,"bse_cm|840CIFCL28","ATP")</f>
        <v>0</v>
      </c>
      <c r="L419">
        <f>RTD("nest.scriprtd",,"bse_cm|840CIFCL28","Volume Traded Today")</f>
        <v>0</v>
      </c>
      <c r="M419">
        <f>RTD("nest.scriprtd",,"bse_cm|840CIFCL28","Open")</f>
        <v>0</v>
      </c>
      <c r="N419">
        <f>RTD("nest.scriprtd",,"bse_cm|840CIFCL28","High")</f>
        <v>1015</v>
      </c>
      <c r="O419">
        <f>RTD("nest.scriprtd",,"bse_cm|840CIFCL28","Low ")</f>
        <v>1010</v>
      </c>
      <c r="P419">
        <f>RTD("nest.scriprtd",,"bse_cm|840CIFCL28","Prev Close")</f>
        <v>1010.81</v>
      </c>
      <c r="Q419">
        <f>RTD("nest.scriprtd",,"bse_cm|840CIFCL28","Face Value")</f>
        <v>1000</v>
      </c>
      <c r="R419" t="str">
        <f>RTD("nest.scriprtd",,"bse_cm|840CIFCL28","Isin code")</f>
        <v>INE121A07QY9</v>
      </c>
      <c r="S419" s="9">
        <f>Table1[[#This Row],[Ask Rate]]*Table1[[#This Row],[Ask Qty]]</f>
        <v>31800</v>
      </c>
      <c r="T419">
        <f>VLOOKUP(Table1[[#This Row],[Isin code]],Table2[#All],7,FALSE)</f>
        <v>8.4</v>
      </c>
      <c r="U419" s="17" t="str">
        <f>VLOOKUP(Table1[[#This Row],[Isin code]],Table2[#All],8,FALSE)</f>
        <v>04-May-2028</v>
      </c>
      <c r="V419" s="10">
        <f ca="1">Table1[[#This Row],[Maturity]]-TODAY()</f>
        <v>1296</v>
      </c>
      <c r="W419" t="str">
        <f>VLOOKUP(Table1[[#This Row],[Isin code]],Table2[#All],10,FALSE)</f>
        <v>Yearly</v>
      </c>
      <c r="X419">
        <f ca="1">_xlfn.DAYS(Table1[[#This Row],[Maturity]],TODAY())-15</f>
        <v>1281</v>
      </c>
      <c r="Y4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19">
        <f>IF(Table1[[#This Row],[Ask Rate]]=0,0,Table1[[#This Row],[Face Value]]-Table1[[#This Row],[Ask Rate]])</f>
        <v>-60</v>
      </c>
      <c r="AA419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419">
        <f ca="1">Table1[[#This Row],[Face Value]]*Table1[[#This Row],[Rate]]*Table1[[#This Row],[Time]]</f>
        <v>336</v>
      </c>
      <c r="AC419">
        <f ca="1">Table1[[#This Row],[SI]]+Table1[[#This Row],[Disc/Prem]]</f>
        <v>276</v>
      </c>
      <c r="AD419" s="3">
        <f ca="1">Table1[[#This Row],[Net Gain]]/Table1[[#This Row],[Ask Rate]]</f>
        <v>0.26037735849056604</v>
      </c>
      <c r="AE419" s="3">
        <f ca="1">IF(Table1[[#This Row],[Ask Qty]]=0,0,Table1[[#This Row],[Gross Yield]]*365/Table1[[#This Row],[Days Left]])</f>
        <v>7.3331586303284416E-2</v>
      </c>
      <c r="AF419" s="9">
        <f ca="1">+Table1[[#This Row],[Net Gain]]*Table1[[#This Row],[Ask Qty]]</f>
        <v>8280</v>
      </c>
      <c r="AG419" t="str">
        <f ca="1">IF(Table1[[#This Row],[YTM]]&gt;0.12,IF(Table1[[#This Row],[Gross Profit]]&gt;10000,"Invest","Review"),"Low YTM")</f>
        <v>Low YTM</v>
      </c>
    </row>
    <row r="420" spans="1:33" x14ac:dyDescent="0.3">
      <c r="A420" t="str">
        <f>RTD("nest.scriprtd",,"bse_cm|94MFL27A","Symbol")</f>
        <v>94MFL27A</v>
      </c>
      <c r="B420" t="str">
        <f>RTD("nest.scriprtd",,"bse_cm|94MFL27A","Trading Symbol")</f>
        <v>94MFL27A</v>
      </c>
      <c r="C420" t="str">
        <f>RTD("nest.scriprtd",,"bse_cm|94MFL27A","Exchange")</f>
        <v>BSE</v>
      </c>
      <c r="D420">
        <f>RTD("nest.scriprtd",,"bse_cm|94MFL27A","Bid Qty")</f>
        <v>50</v>
      </c>
      <c r="E420">
        <f>RTD("nest.scriprtd",,"bse_cm|94MFL27A","Bid Rate")</f>
        <v>970.22</v>
      </c>
      <c r="F420">
        <f>RTD("nest.scriprtd",,"bse_cm|94MFL27A","Ask Rate")</f>
        <v>1090</v>
      </c>
      <c r="G420">
        <f>RTD("nest.scriprtd",,"bse_cm|94MFL27A","Ask Qty")</f>
        <v>121</v>
      </c>
      <c r="H420">
        <f>RTD("nest.scriprtd",,"bse_cm|94MFL27A","LTP")</f>
        <v>0</v>
      </c>
      <c r="I420" t="str">
        <f>RTD("nest.scriprtd",,"bse_cm|94MFL27A","LTT")</f>
        <v>00:00:00</v>
      </c>
      <c r="J420">
        <f>RTD("nest.scriprtd",,"bse_cm|94MFL27A","% Change")</f>
        <v>-100</v>
      </c>
      <c r="K420">
        <f>RTD("nest.scriprtd",,"bse_cm|94MFL27A","ATP")</f>
        <v>0</v>
      </c>
      <c r="L420">
        <f>RTD("nest.scriprtd",,"bse_cm|94MFL27A","Volume Traded Today")</f>
        <v>0</v>
      </c>
      <c r="M420">
        <f>RTD("nest.scriprtd",,"bse_cm|94MFL27A","Open")</f>
        <v>0</v>
      </c>
      <c r="N420">
        <f>RTD("nest.scriprtd",,"bse_cm|94MFL27A","High")</f>
        <v>975.01</v>
      </c>
      <c r="O420">
        <f>RTD("nest.scriprtd",,"bse_cm|94MFL27A","Low ")</f>
        <v>950.22</v>
      </c>
      <c r="P420">
        <f>RTD("nest.scriprtd",,"bse_cm|94MFL27A","Prev Close")</f>
        <v>975</v>
      </c>
      <c r="Q420">
        <f>RTD("nest.scriprtd",,"bse_cm|94MFL27A","Face Value")</f>
        <v>1000</v>
      </c>
      <c r="R420" t="str">
        <f>RTD("nest.scriprtd",,"bse_cm|94MFL27A","Isin code")</f>
        <v>INE549K08210</v>
      </c>
      <c r="S420" s="9">
        <f>Table1[[#This Row],[Ask Rate]]*Table1[[#This Row],[Ask Qty]]</f>
        <v>131890</v>
      </c>
      <c r="T420">
        <f>VLOOKUP(Table1[[#This Row],[Isin code]],Table2[#All],7,FALSE)</f>
        <v>9.4</v>
      </c>
      <c r="U420" s="17" t="str">
        <f>VLOOKUP(Table1[[#This Row],[Isin code]],Table2[#All],8,FALSE)</f>
        <v>15-Mar-2027</v>
      </c>
      <c r="V420" s="10">
        <f ca="1">Table1[[#This Row],[Maturity]]-TODAY()</f>
        <v>880</v>
      </c>
      <c r="W420" t="str">
        <f>VLOOKUP(Table1[[#This Row],[Isin code]],Table2[#All],10,FALSE)</f>
        <v>Yearly</v>
      </c>
      <c r="X420">
        <f ca="1">_xlfn.DAYS(Table1[[#This Row],[Maturity]],TODAY())-15</f>
        <v>865</v>
      </c>
      <c r="Y4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20">
        <f>IF(Table1[[#This Row],[Ask Rate]]=0,0,Table1[[#This Row],[Face Value]]-Table1[[#This Row],[Ask Rate]])</f>
        <v>-90</v>
      </c>
      <c r="AA420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420">
        <f ca="1">Table1[[#This Row],[Face Value]]*Table1[[#This Row],[Rate]]*Table1[[#This Row],[Time]]</f>
        <v>282</v>
      </c>
      <c r="AC420">
        <f ca="1">Table1[[#This Row],[SI]]+Table1[[#This Row],[Disc/Prem]]</f>
        <v>192</v>
      </c>
      <c r="AD420" s="3">
        <f ca="1">Table1[[#This Row],[Net Gain]]/Table1[[#This Row],[Ask Rate]]</f>
        <v>0.1761467889908257</v>
      </c>
      <c r="AE420" s="3">
        <f ca="1">IF(Table1[[#This Row],[Ask Qty]]=0,0,Table1[[#This Row],[Gross Yield]]*365/Table1[[#This Row],[Days Left]])</f>
        <v>7.3060884070058382E-2</v>
      </c>
      <c r="AF420" s="9">
        <f ca="1">+Table1[[#This Row],[Net Gain]]*Table1[[#This Row],[Ask Qty]]</f>
        <v>23232</v>
      </c>
      <c r="AG420" t="str">
        <f ca="1">IF(Table1[[#This Row],[YTM]]&gt;0.12,IF(Table1[[#This Row],[Gross Profit]]&gt;10000,"Invest","Review"),"Low YTM")</f>
        <v>Low YTM</v>
      </c>
    </row>
    <row r="421" spans="1:33" x14ac:dyDescent="0.3">
      <c r="A421" t="str">
        <f>RTD("nest.scriprtd",,"bse_cm|990SCL26","Symbol")</f>
        <v>990SCL26</v>
      </c>
      <c r="B421" t="str">
        <f>RTD("nest.scriprtd",,"bse_cm|990SCL26","Trading Symbol")</f>
        <v>990SCL26</v>
      </c>
      <c r="C421" t="str">
        <f>RTD("nest.scriprtd",,"bse_cm|990SCL26","Exchange")</f>
        <v>BSE</v>
      </c>
      <c r="D421">
        <f>RTD("nest.scriprtd",,"bse_cm|990SCL26","Bid Qty")</f>
        <v>10</v>
      </c>
      <c r="E421">
        <f>RTD("nest.scriprtd",,"bse_cm|990SCL26","Bid Rate")</f>
        <v>680</v>
      </c>
      <c r="F421">
        <f>RTD("nest.scriprtd",,"bse_cm|990SCL26","Ask Rate")</f>
        <v>700</v>
      </c>
      <c r="G421">
        <f>RTD("nest.scriprtd",,"bse_cm|990SCL26","Ask Qty")</f>
        <v>25</v>
      </c>
      <c r="H421">
        <f>RTD("nest.scriprtd",,"bse_cm|990SCL26","LTP")</f>
        <v>680</v>
      </c>
      <c r="I421" t="str">
        <f>RTD("nest.scriprtd",,"bse_cm|990SCL26","LTT")</f>
        <v>15:11:49</v>
      </c>
      <c r="J421">
        <f>RTD("nest.scriprtd",,"bse_cm|990SCL26","% Change")</f>
        <v>-4.93</v>
      </c>
      <c r="K421">
        <f>RTD("nest.scriprtd",,"bse_cm|990SCL26","ATP")</f>
        <v>702.8</v>
      </c>
      <c r="L421">
        <f>RTD("nest.scriprtd",,"bse_cm|990SCL26","Volume Traded Today")</f>
        <v>471</v>
      </c>
      <c r="M421">
        <f>RTD("nest.scriprtd",,"bse_cm|990SCL26","Open")</f>
        <v>819</v>
      </c>
      <c r="N421">
        <f>RTD("nest.scriprtd",,"bse_cm|990SCL26","High")</f>
        <v>819</v>
      </c>
      <c r="O421">
        <f>RTD("nest.scriprtd",,"bse_cm|990SCL26","Low ")</f>
        <v>680</v>
      </c>
      <c r="P421">
        <f>RTD("nest.scriprtd",,"bse_cm|990SCL26","Prev Close")</f>
        <v>715.29</v>
      </c>
      <c r="Q421">
        <f>RTD("nest.scriprtd",,"bse_cm|990SCL26","Face Value")</f>
        <v>667</v>
      </c>
      <c r="R421" t="str">
        <f>RTD("nest.scriprtd",,"bse_cm|990SCL26","Isin code")</f>
        <v>INE148I07PY7</v>
      </c>
      <c r="S421" s="9">
        <f>Table1[[#This Row],[Ask Rate]]*Table1[[#This Row],[Ask Qty]]</f>
        <v>17500</v>
      </c>
      <c r="T421">
        <f>VLOOKUP(Table1[[#This Row],[Isin code]],Table2[#All],7,FALSE)</f>
        <v>9.9</v>
      </c>
      <c r="U421" s="17" t="str">
        <f>VLOOKUP(Table1[[#This Row],[Isin code]],Table2[#All],8,FALSE)</f>
        <v>26-Sep-2026</v>
      </c>
      <c r="V421" s="10">
        <f ca="1">Table1[[#This Row],[Maturity]]-TODAY()</f>
        <v>710</v>
      </c>
      <c r="W421" t="str">
        <f>VLOOKUP(Table1[[#This Row],[Isin code]],Table2[#All],10,FALSE)</f>
        <v>Yearly</v>
      </c>
      <c r="X421">
        <f ca="1">_xlfn.DAYS(Table1[[#This Row],[Maturity]],TODAY())-15</f>
        <v>695</v>
      </c>
      <c r="Y4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21">
        <f>IF(Table1[[#This Row],[Ask Rate]]=0,0,Table1[[#This Row],[Face Value]]-Table1[[#This Row],[Ask Rate]])</f>
        <v>-33</v>
      </c>
      <c r="AA421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421">
        <f ca="1">Table1[[#This Row],[Face Value]]*Table1[[#This Row],[Rate]]*Table1[[#This Row],[Time]]</f>
        <v>132.066</v>
      </c>
      <c r="AC421">
        <f ca="1">Table1[[#This Row],[SI]]+Table1[[#This Row],[Disc/Prem]]</f>
        <v>99.066000000000003</v>
      </c>
      <c r="AD421" s="3">
        <f ca="1">Table1[[#This Row],[Net Gain]]/Table1[[#This Row],[Ask Rate]]</f>
        <v>0.14152285714285714</v>
      </c>
      <c r="AE421" s="3">
        <f ca="1">IF(Table1[[#This Row],[Ask Qty]]=0,0,Table1[[#This Row],[Gross Yield]]*365/Table1[[#This Row],[Days Left]])</f>
        <v>7.275470824949698E-2</v>
      </c>
      <c r="AF421" s="9">
        <f ca="1">+Table1[[#This Row],[Net Gain]]*Table1[[#This Row],[Ask Qty]]</f>
        <v>2476.65</v>
      </c>
      <c r="AG421" t="str">
        <f ca="1">IF(Table1[[#This Row],[YTM]]&gt;0.12,IF(Table1[[#This Row],[Gross Profit]]&gt;10000,"Invest","Review"),"Low YTM")</f>
        <v>Low YTM</v>
      </c>
    </row>
    <row r="422" spans="1:33" x14ac:dyDescent="0.3">
      <c r="A422" t="str">
        <f>RTD("nest.scriprtd",,"nse_cm|990SCL26-N7","Symbol")</f>
        <v>990SCL26</v>
      </c>
      <c r="B422" t="str">
        <f>RTD("nest.scriprtd",,"nse_cm|990SCL26-N7","Trading Symbol")</f>
        <v>990SCL26-N7</v>
      </c>
      <c r="C422" t="str">
        <f>RTD("nest.scriprtd",,"nse_cm|990SCL26-N7","Exchange")</f>
        <v>NSE</v>
      </c>
      <c r="D422">
        <f>RTD("nest.scriprtd",,"nse_cm|990SCL26-N7","Bid Qty")</f>
        <v>10</v>
      </c>
      <c r="E422">
        <f>RTD("nest.scriprtd",,"nse_cm|990SCL26-N7","Bid Rate")</f>
        <v>676</v>
      </c>
      <c r="F422">
        <f>RTD("nest.scriprtd",,"nse_cm|990SCL26-N7","Ask Rate")</f>
        <v>700</v>
      </c>
      <c r="G422">
        <f>RTD("nest.scriprtd",,"nse_cm|990SCL26-N7","Ask Qty")</f>
        <v>10</v>
      </c>
      <c r="H422">
        <f>RTD("nest.scriprtd",,"nse_cm|990SCL26-N7","LTP")</f>
        <v>680</v>
      </c>
      <c r="I422" t="str">
        <f>RTD("nest.scriprtd",,"nse_cm|990SCL26-N7","LTT")</f>
        <v>15:12:32</v>
      </c>
      <c r="J422">
        <f>RTD("nest.scriprtd",,"nse_cm|990SCL26-N7","% Change")</f>
        <v>-2.79</v>
      </c>
      <c r="K422">
        <f>RTD("nest.scriprtd",,"nse_cm|990SCL26-N7","ATP")</f>
        <v>705.79</v>
      </c>
      <c r="L422">
        <f>RTD("nest.scriprtd",,"nse_cm|990SCL26-N7","Volume Traded Today")</f>
        <v>516</v>
      </c>
      <c r="M422">
        <f>RTD("nest.scriprtd",,"nse_cm|990SCL26-N7","Open")</f>
        <v>819</v>
      </c>
      <c r="N422">
        <f>RTD("nest.scriprtd",,"nse_cm|990SCL26-N7","High")</f>
        <v>819</v>
      </c>
      <c r="O422">
        <f>RTD("nest.scriprtd",,"nse_cm|990SCL26-N7","Low ")</f>
        <v>680</v>
      </c>
      <c r="P422">
        <f>RTD("nest.scriprtd",,"nse_cm|990SCL26-N7","Prev Close")</f>
        <v>699.51</v>
      </c>
      <c r="Q422">
        <f>RTD("nest.scriprtd",,"nse_cm|990SCL26-N7","Face Value")</f>
        <v>667</v>
      </c>
      <c r="R422" t="str">
        <f>RTD("nest.scriprtd",,"nse_cm|990SCL26-N7","Isin code")</f>
        <v>INE148I07PY7</v>
      </c>
      <c r="S422" s="9">
        <f>Table1[[#This Row],[Ask Rate]]*Table1[[#This Row],[Ask Qty]]</f>
        <v>7000</v>
      </c>
      <c r="T422">
        <f>VLOOKUP(Table1[[#This Row],[Isin code]],Table2[#All],7,FALSE)</f>
        <v>9.9</v>
      </c>
      <c r="U422" s="17" t="str">
        <f>VLOOKUP(Table1[[#This Row],[Isin code]],Table2[#All],8,FALSE)</f>
        <v>26-Sep-2026</v>
      </c>
      <c r="V422" s="10">
        <f ca="1">Table1[[#This Row],[Maturity]]-TODAY()</f>
        <v>710</v>
      </c>
      <c r="W422" t="str">
        <f>VLOOKUP(Table1[[#This Row],[Isin code]],Table2[#All],10,FALSE)</f>
        <v>Yearly</v>
      </c>
      <c r="X422">
        <f ca="1">_xlfn.DAYS(Table1[[#This Row],[Maturity]],TODAY())-15</f>
        <v>695</v>
      </c>
      <c r="Y4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22">
        <f>IF(Table1[[#This Row],[Ask Rate]]=0,0,Table1[[#This Row],[Face Value]]-Table1[[#This Row],[Ask Rate]])</f>
        <v>-33</v>
      </c>
      <c r="AA422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422">
        <f ca="1">Table1[[#This Row],[Face Value]]*Table1[[#This Row],[Rate]]*Table1[[#This Row],[Time]]</f>
        <v>132.066</v>
      </c>
      <c r="AC422">
        <f ca="1">Table1[[#This Row],[SI]]+Table1[[#This Row],[Disc/Prem]]</f>
        <v>99.066000000000003</v>
      </c>
      <c r="AD422" s="3">
        <f ca="1">Table1[[#This Row],[Net Gain]]/Table1[[#This Row],[Ask Rate]]</f>
        <v>0.14152285714285714</v>
      </c>
      <c r="AE422" s="3">
        <f ca="1">IF(Table1[[#This Row],[Ask Qty]]=0,0,Table1[[#This Row],[Gross Yield]]*365/Table1[[#This Row],[Days Left]])</f>
        <v>7.275470824949698E-2</v>
      </c>
      <c r="AF422" s="9">
        <f ca="1">+Table1[[#This Row],[Net Gain]]*Table1[[#This Row],[Ask Qty]]</f>
        <v>990.66000000000008</v>
      </c>
      <c r="AG422" t="str">
        <f ca="1">IF(Table1[[#This Row],[YTM]]&gt;0.12,IF(Table1[[#This Row],[Gross Profit]]&gt;10000,"Invest","Review"),"Low YTM")</f>
        <v>Low YTM</v>
      </c>
    </row>
    <row r="423" spans="1:33" x14ac:dyDescent="0.3">
      <c r="A423" t="str">
        <f>RTD("nest.scriprtd",,"bse_cm|TCHF30","Symbol")</f>
        <v>TCHF30</v>
      </c>
      <c r="B423" t="str">
        <f>RTD("nest.scriprtd",,"bse_cm|TCHF30","Trading Symbol")</f>
        <v>TCHF30</v>
      </c>
      <c r="C423" t="str">
        <f>RTD("nest.scriprtd",,"bse_cm|TCHF30","Exchange")</f>
        <v>BSE</v>
      </c>
      <c r="D423">
        <f>RTD("nest.scriprtd",,"bse_cm|TCHF30","Bid Qty")</f>
        <v>20</v>
      </c>
      <c r="E423">
        <f>RTD("nest.scriprtd",,"bse_cm|TCHF30","Bid Rate")</f>
        <v>1070</v>
      </c>
      <c r="F423">
        <f>RTD("nest.scriprtd",,"bse_cm|TCHF30","Ask Rate")</f>
        <v>1095</v>
      </c>
      <c r="G423">
        <f>RTD("nest.scriprtd",,"bse_cm|TCHF30","Ask Qty")</f>
        <v>100</v>
      </c>
      <c r="H423">
        <f>RTD("nest.scriprtd",,"bse_cm|TCHF30","LTP")</f>
        <v>0</v>
      </c>
      <c r="I423" t="str">
        <f>RTD("nest.scriprtd",,"bse_cm|TCHF30","LTT")</f>
        <v>00:00:00</v>
      </c>
      <c r="J423">
        <f>RTD("nest.scriprtd",,"bse_cm|TCHF30","% Change")</f>
        <v>-100</v>
      </c>
      <c r="K423">
        <f>RTD("nest.scriprtd",,"bse_cm|TCHF30","ATP")</f>
        <v>0</v>
      </c>
      <c r="L423">
        <f>RTD("nest.scriprtd",,"bse_cm|TCHF30","Volume Traded Today")</f>
        <v>0</v>
      </c>
      <c r="M423">
        <f>RTD("nest.scriprtd",,"bse_cm|TCHF30","Open")</f>
        <v>0</v>
      </c>
      <c r="N423">
        <f>RTD("nest.scriprtd",,"bse_cm|TCHF30","High")</f>
        <v>1005</v>
      </c>
      <c r="O423">
        <f>RTD("nest.scriprtd",,"bse_cm|TCHF30","Low ")</f>
        <v>1005</v>
      </c>
      <c r="P423">
        <f>RTD("nest.scriprtd",,"bse_cm|TCHF30","Prev Close")</f>
        <v>1005</v>
      </c>
      <c r="Q423">
        <f>RTD("nest.scriprtd",,"bse_cm|TCHF30","Face Value")</f>
        <v>1000</v>
      </c>
      <c r="R423" t="str">
        <f>RTD("nest.scriprtd",,"bse_cm|TCHF30","Isin code")</f>
        <v>INE033L08270</v>
      </c>
      <c r="S423" s="9">
        <f>Table1[[#This Row],[Ask Rate]]*Table1[[#This Row],[Ask Qty]]</f>
        <v>109500</v>
      </c>
      <c r="T423">
        <f>VLOOKUP(Table1[[#This Row],[Isin code]],Table2[#All],7,FALSE)</f>
        <v>8.5500000000000007</v>
      </c>
      <c r="U423" s="17" t="str">
        <f>VLOOKUP(Table1[[#This Row],[Isin code]],Table2[#All],8,FALSE)</f>
        <v>14-Jan-2030</v>
      </c>
      <c r="V423" s="10">
        <f ca="1">Table1[[#This Row],[Maturity]]-TODAY()</f>
        <v>1916</v>
      </c>
      <c r="W423" t="str">
        <f>VLOOKUP(Table1[[#This Row],[Isin code]],Table2[#All],10,FALSE)</f>
        <v>Yearly</v>
      </c>
      <c r="X423">
        <f ca="1">_xlfn.DAYS(Table1[[#This Row],[Maturity]],TODAY())-15</f>
        <v>1901</v>
      </c>
      <c r="Y4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423">
        <f>IF(Table1[[#This Row],[Ask Rate]]=0,0,Table1[[#This Row],[Face Value]]-Table1[[#This Row],[Ask Rate]])</f>
        <v>-95</v>
      </c>
      <c r="AA423">
        <f>IF(Table1[[#This Row],[Freq]]="Yearly",Table1[[#This Row],[Coupon_Rate]]/100,IF(Table1[[#This Row],[Freq]]="Monthly",Table1[[#This Row],[Coupon_Rate]]/1200,IF(Table1[[#This Row],[Freq]]="Quarterly",Table1[[#This Row],[Coupon_Rate]]/400,0)))</f>
        <v>8.5500000000000007E-2</v>
      </c>
      <c r="AB423">
        <f ca="1">Table1[[#This Row],[Face Value]]*Table1[[#This Row],[Rate]]*Table1[[#This Row],[Time]]</f>
        <v>513</v>
      </c>
      <c r="AC423">
        <f ca="1">Table1[[#This Row],[SI]]+Table1[[#This Row],[Disc/Prem]]</f>
        <v>418</v>
      </c>
      <c r="AD423" s="3">
        <f ca="1">Table1[[#This Row],[Net Gain]]/Table1[[#This Row],[Ask Rate]]</f>
        <v>0.38173515981735162</v>
      </c>
      <c r="AE423" s="3">
        <f ca="1">IF(Table1[[#This Row],[Ask Qty]]=0,0,Table1[[#This Row],[Gross Yield]]*365/Table1[[#This Row],[Days Left]])</f>
        <v>7.2720946416144752E-2</v>
      </c>
      <c r="AF423" s="9">
        <f ca="1">+Table1[[#This Row],[Net Gain]]*Table1[[#This Row],[Ask Qty]]</f>
        <v>41800</v>
      </c>
      <c r="AG423" t="str">
        <f ca="1">IF(Table1[[#This Row],[YTM]]&gt;0.12,IF(Table1[[#This Row],[Gross Profit]]&gt;10000,"Invest","Review"),"Low YTM")</f>
        <v>Low YTM</v>
      </c>
    </row>
    <row r="424" spans="1:33" x14ac:dyDescent="0.3">
      <c r="A424" t="str">
        <f>RTD("nest.scriprtd",,"bse_cm|1150CCIL29","Symbol")</f>
        <v>1150CCIL29</v>
      </c>
      <c r="B424" t="str">
        <f>RTD("nest.scriprtd",,"bse_cm|1150CCIL29","Trading Symbol")</f>
        <v>1150CCIL29</v>
      </c>
      <c r="C424" t="str">
        <f>RTD("nest.scriprtd",,"bse_cm|1150CCIL29","Exchange")</f>
        <v>BSE</v>
      </c>
      <c r="D424">
        <f>RTD("nest.scriprtd",,"bse_cm|1150CCIL29","Bid Qty")</f>
        <v>40</v>
      </c>
      <c r="E424">
        <f>RTD("nest.scriprtd",,"bse_cm|1150CCIL29","Bid Rate")</f>
        <v>905.05</v>
      </c>
      <c r="F424">
        <f>RTD("nest.scriprtd",,"bse_cm|1150CCIL29","Ask Rate")</f>
        <v>1150</v>
      </c>
      <c r="G424">
        <f>RTD("nest.scriprtd",,"bse_cm|1150CCIL29","Ask Qty")</f>
        <v>5</v>
      </c>
      <c r="H424">
        <f>RTD("nest.scriprtd",,"bse_cm|1150CCIL29","LTP")</f>
        <v>0</v>
      </c>
      <c r="I424" t="str">
        <f>RTD("nest.scriprtd",,"bse_cm|1150CCIL29","LTT")</f>
        <v>00:00:00</v>
      </c>
      <c r="J424">
        <f>RTD("nest.scriprtd",,"bse_cm|1150CCIL29","% Change")</f>
        <v>-100</v>
      </c>
      <c r="K424">
        <f>RTD("nest.scriprtd",,"bse_cm|1150CCIL29","ATP")</f>
        <v>0</v>
      </c>
      <c r="L424">
        <f>RTD("nest.scriprtd",,"bse_cm|1150CCIL29","Volume Traded Today")</f>
        <v>0</v>
      </c>
      <c r="M424">
        <f>RTD("nest.scriprtd",,"bse_cm|1150CCIL29","Open")</f>
        <v>0</v>
      </c>
      <c r="N424">
        <f>RTD("nest.scriprtd",,"bse_cm|1150CCIL29","High")</f>
        <v>985</v>
      </c>
      <c r="O424">
        <f>RTD("nest.scriprtd",,"bse_cm|1150CCIL29","Low ")</f>
        <v>905</v>
      </c>
      <c r="P424">
        <f>RTD("nest.scriprtd",,"bse_cm|1150CCIL29","Prev Close")</f>
        <v>985</v>
      </c>
      <c r="Q424">
        <f>RTD("nest.scriprtd",,"bse_cm|1150CCIL29","Face Value")</f>
        <v>1000</v>
      </c>
      <c r="R424" t="str">
        <f>RTD("nest.scriprtd",,"bse_cm|1150CCIL29","Isin code")</f>
        <v>INE051307AT0</v>
      </c>
      <c r="S424" s="9">
        <f>Table1[[#This Row],[Ask Rate]]*Table1[[#This Row],[Ask Qty]]</f>
        <v>5750</v>
      </c>
      <c r="T424">
        <f>VLOOKUP(Table1[[#This Row],[Isin code]],Table2[#All],7,FALSE)</f>
        <v>11.5</v>
      </c>
      <c r="U424" s="17" t="str">
        <f>VLOOKUP(Table1[[#This Row],[Isin code]],Table2[#All],8,FALSE)</f>
        <v>10-Mar-2029</v>
      </c>
      <c r="V424" s="10">
        <f ca="1">Table1[[#This Row],[Maturity]]-TODAY()</f>
        <v>1606</v>
      </c>
      <c r="W424" t="str">
        <f>VLOOKUP(Table1[[#This Row],[Isin code]],Table2[#All],10,FALSE)</f>
        <v>Monthly</v>
      </c>
      <c r="X424">
        <f ca="1">_xlfn.DAYS(Table1[[#This Row],[Maturity]],TODAY())-15</f>
        <v>1591</v>
      </c>
      <c r="Y4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424">
        <f>IF(Table1[[#This Row],[Ask Rate]]=0,0,Table1[[#This Row],[Face Value]]-Table1[[#This Row],[Ask Rate]])</f>
        <v>-150</v>
      </c>
      <c r="AA424">
        <f>IF(Table1[[#This Row],[Freq]]="Yearly",Table1[[#This Row],[Coupon_Rate]]/100,IF(Table1[[#This Row],[Freq]]="Monthly",Table1[[#This Row],[Coupon_Rate]]/1200,IF(Table1[[#This Row],[Freq]]="Quarterly",Table1[[#This Row],[Coupon_Rate]]/400,0)))</f>
        <v>9.5833333333333326E-3</v>
      </c>
      <c r="AB424">
        <f ca="1">Table1[[#This Row],[Face Value]]*Table1[[#This Row],[Rate]]*Table1[[#This Row],[Time]]</f>
        <v>517.49999999999989</v>
      </c>
      <c r="AC424">
        <f ca="1">Table1[[#This Row],[SI]]+Table1[[#This Row],[Disc/Prem]]</f>
        <v>367.49999999999989</v>
      </c>
      <c r="AD424" s="3">
        <f ca="1">Table1[[#This Row],[Net Gain]]/Table1[[#This Row],[Ask Rate]]</f>
        <v>0.31956521739130422</v>
      </c>
      <c r="AE424" s="3">
        <f ca="1">IF(Table1[[#This Row],[Ask Qty]]=0,0,Table1[[#This Row],[Gross Yield]]*365/Table1[[#This Row],[Days Left]])</f>
        <v>7.2628458498023685E-2</v>
      </c>
      <c r="AF424" s="9">
        <f ca="1">+Table1[[#This Row],[Net Gain]]*Table1[[#This Row],[Ask Qty]]</f>
        <v>1837.4999999999995</v>
      </c>
      <c r="AG424" t="str">
        <f ca="1">IF(Table1[[#This Row],[YTM]]&gt;0.12,IF(Table1[[#This Row],[Gross Profit]]&gt;10000,"Invest","Review"),"Low YTM")</f>
        <v>Low YTM</v>
      </c>
    </row>
    <row r="425" spans="1:33" x14ac:dyDescent="0.3">
      <c r="A425" t="str">
        <f>RTD("nest.scriprtd",,"bse_cm|7PFCL31","Symbol")</f>
        <v>7PFCL31</v>
      </c>
      <c r="B425" t="str">
        <f>RTD("nest.scriprtd",,"bse_cm|7PFCL31","Trading Symbol")</f>
        <v>7PFCL31</v>
      </c>
      <c r="C425" t="str">
        <f>RTD("nest.scriprtd",,"bse_cm|7PFCL31","Exchange")</f>
        <v>BSE</v>
      </c>
      <c r="D425">
        <f>RTD("nest.scriprtd",,"bse_cm|7PFCL31","Bid Qty")</f>
        <v>1</v>
      </c>
      <c r="E425">
        <f>RTD("nest.scriprtd",,"bse_cm|7PFCL31","Bid Rate")</f>
        <v>1021</v>
      </c>
      <c r="F425">
        <f>RTD("nest.scriprtd",,"bse_cm|7PFCL31","Ask Rate")</f>
        <v>1024</v>
      </c>
      <c r="G425">
        <f>RTD("nest.scriprtd",,"bse_cm|7PFCL31","Ask Qty")</f>
        <v>1</v>
      </c>
      <c r="H425">
        <f>RTD("nest.scriprtd",,"bse_cm|7PFCL31","LTP")</f>
        <v>1000</v>
      </c>
      <c r="I425" t="str">
        <f>RTD("nest.scriprtd",,"bse_cm|7PFCL31","LTT")</f>
        <v>09:57:26</v>
      </c>
      <c r="J425">
        <f>RTD("nest.scriprtd",,"bse_cm|7PFCL31","% Change")</f>
        <v>-1.19</v>
      </c>
      <c r="K425">
        <f>RTD("nest.scriprtd",,"bse_cm|7PFCL31","ATP")</f>
        <v>1000</v>
      </c>
      <c r="L425">
        <f>RTD("nest.scriprtd",,"bse_cm|7PFCL31","Volume Traded Today")</f>
        <v>300</v>
      </c>
      <c r="M425">
        <f>RTD("nest.scriprtd",,"bse_cm|7PFCL31","Open")</f>
        <v>1000</v>
      </c>
      <c r="N425">
        <f>RTD("nest.scriprtd",,"bse_cm|7PFCL31","High")</f>
        <v>1000</v>
      </c>
      <c r="O425">
        <f>RTD("nest.scriprtd",,"bse_cm|7PFCL31","Low ")</f>
        <v>1000</v>
      </c>
      <c r="P425">
        <f>RTD("nest.scriprtd",,"bse_cm|7PFCL31","Prev Close")</f>
        <v>1012</v>
      </c>
      <c r="Q425">
        <f>RTD("nest.scriprtd",,"bse_cm|7PFCL31","Face Value")</f>
        <v>1000</v>
      </c>
      <c r="R425" t="str">
        <f>RTD("nest.scriprtd",,"bse_cm|7PFCL31","Isin code")</f>
        <v>INE134E07AN1</v>
      </c>
      <c r="S425" s="9">
        <f>Table1[[#This Row],[Ask Rate]]*Table1[[#This Row],[Ask Qty]]</f>
        <v>1024</v>
      </c>
      <c r="T425">
        <f>VLOOKUP(Table1[[#This Row],[Isin code]],Table2[#All],7,FALSE)</f>
        <v>7.0000000000000009</v>
      </c>
      <c r="U425" s="17" t="str">
        <f>VLOOKUP(Table1[[#This Row],[Isin code]],Table2[#All],8,FALSE)</f>
        <v>22-Jan-2031</v>
      </c>
      <c r="V425" s="10">
        <f ca="1">Table1[[#This Row],[Maturity]]-TODAY()</f>
        <v>2289</v>
      </c>
      <c r="W425" t="str">
        <f>VLOOKUP(Table1[[#This Row],[Isin code]],Table2[#All],10,FALSE)</f>
        <v>Yearly</v>
      </c>
      <c r="X425">
        <f ca="1">_xlfn.DAYS(Table1[[#This Row],[Maturity]],TODAY())-15</f>
        <v>2274</v>
      </c>
      <c r="Y4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25">
        <f>IF(Table1[[#This Row],[Ask Rate]]=0,0,Table1[[#This Row],[Face Value]]-Table1[[#This Row],[Ask Rate]])</f>
        <v>-24</v>
      </c>
      <c r="AA425">
        <f>IF(Table1[[#This Row],[Freq]]="Yearly",Table1[[#This Row],[Coupon_Rate]]/100,IF(Table1[[#This Row],[Freq]]="Monthly",Table1[[#This Row],[Coupon_Rate]]/1200,IF(Table1[[#This Row],[Freq]]="Quarterly",Table1[[#This Row],[Coupon_Rate]]/400,0)))</f>
        <v>7.0000000000000007E-2</v>
      </c>
      <c r="AB425">
        <f ca="1">Table1[[#This Row],[Face Value]]*Table1[[#This Row],[Rate]]*Table1[[#This Row],[Time]]</f>
        <v>490</v>
      </c>
      <c r="AC425">
        <f ca="1">Table1[[#This Row],[SI]]+Table1[[#This Row],[Disc/Prem]]</f>
        <v>466</v>
      </c>
      <c r="AD425" s="3">
        <f ca="1">Table1[[#This Row],[Net Gain]]/Table1[[#This Row],[Ask Rate]]</f>
        <v>0.455078125</v>
      </c>
      <c r="AE425" s="3">
        <f ca="1">IF(Table1[[#This Row],[Ask Qty]]=0,0,Table1[[#This Row],[Gross Yield]]*365/Table1[[#This Row],[Days Left]])</f>
        <v>7.2565974497597205E-2</v>
      </c>
      <c r="AF425" s="9">
        <f ca="1">+Table1[[#This Row],[Net Gain]]*Table1[[#This Row],[Ask Qty]]</f>
        <v>466</v>
      </c>
      <c r="AG425" t="str">
        <f ca="1">IF(Table1[[#This Row],[YTM]]&gt;0.12,IF(Table1[[#This Row],[Gross Profit]]&gt;10000,"Invest","Review"),"Low YTM")</f>
        <v>Low YTM</v>
      </c>
    </row>
    <row r="426" spans="1:33" x14ac:dyDescent="0.3">
      <c r="A426" t="str">
        <f>RTD("nest.scriprtd",,"bse_cm|753PFCL33","Symbol")</f>
        <v>753PFCL33</v>
      </c>
      <c r="B426" t="str">
        <f>RTD("nest.scriprtd",,"bse_cm|753PFCL33","Trading Symbol")</f>
        <v>753PFCL33</v>
      </c>
      <c r="C426" t="str">
        <f>RTD("nest.scriprtd",,"bse_cm|753PFCL33","Exchange")</f>
        <v>BSE</v>
      </c>
      <c r="D426">
        <f>RTD("nest.scriprtd",,"bse_cm|753PFCL33","Bid Qty")</f>
        <v>50</v>
      </c>
      <c r="E426">
        <f>RTD("nest.scriprtd",,"bse_cm|753PFCL33","Bid Rate")</f>
        <v>926.01</v>
      </c>
      <c r="F426">
        <f>RTD("nest.scriprtd",,"bse_cm|753PFCL33","Ask Rate")</f>
        <v>1026</v>
      </c>
      <c r="G426">
        <f>RTD("nest.scriprtd",,"bse_cm|753PFCL33","Ask Qty")</f>
        <v>500</v>
      </c>
      <c r="H426">
        <f>RTD("nest.scriprtd",,"bse_cm|753PFCL33","LTP")</f>
        <v>0</v>
      </c>
      <c r="I426" t="str">
        <f>RTD("nest.scriprtd",,"bse_cm|753PFCL33","LTT")</f>
        <v>00:00:00</v>
      </c>
      <c r="J426">
        <f>RTD("nest.scriprtd",,"bse_cm|753PFCL33","% Change")</f>
        <v>-100</v>
      </c>
      <c r="K426">
        <f>RTD("nest.scriprtd",,"bse_cm|753PFCL33","ATP")</f>
        <v>0</v>
      </c>
      <c r="L426">
        <f>RTD("nest.scriprtd",,"bse_cm|753PFCL33","Volume Traded Today")</f>
        <v>0</v>
      </c>
      <c r="M426">
        <f>RTD("nest.scriprtd",,"bse_cm|753PFCL33","Open")</f>
        <v>0</v>
      </c>
      <c r="N426">
        <f>RTD("nest.scriprtd",,"bse_cm|753PFCL33","High")</f>
        <v>1000</v>
      </c>
      <c r="O426">
        <f>RTD("nest.scriprtd",,"bse_cm|753PFCL33","Low ")</f>
        <v>1000</v>
      </c>
      <c r="P426">
        <f>RTD("nest.scriprtd",,"bse_cm|753PFCL33","Prev Close")</f>
        <v>1000</v>
      </c>
      <c r="Q426">
        <f>RTD("nest.scriprtd",,"bse_cm|753PFCL33","Face Value")</f>
        <v>1000</v>
      </c>
      <c r="R426" t="str">
        <f>RTD("nest.scriprtd",,"bse_cm|753PFCL33","Isin code")</f>
        <v>INE134E07CH9</v>
      </c>
      <c r="S426" s="9">
        <f>Table1[[#This Row],[Ask Rate]]*Table1[[#This Row],[Ask Qty]]</f>
        <v>513000</v>
      </c>
      <c r="T426">
        <f>VLOOKUP(Table1[[#This Row],[Isin code]],Table2[#All],7,FALSE)</f>
        <v>7.53</v>
      </c>
      <c r="U426" s="17" t="str">
        <f>VLOOKUP(Table1[[#This Row],[Isin code]],Table2[#All],8,FALSE)</f>
        <v>01-Aug-2033</v>
      </c>
      <c r="V426" s="10">
        <f ca="1">Table1[[#This Row],[Maturity]]-TODAY()</f>
        <v>3211</v>
      </c>
      <c r="W426" t="str">
        <f>VLOOKUP(Table1[[#This Row],[Isin code]],Table2[#All],10,FALSE)</f>
        <v>Yearly</v>
      </c>
      <c r="X426">
        <f ca="1">_xlfn.DAYS(Table1[[#This Row],[Maturity]],TODAY())-15</f>
        <v>3196</v>
      </c>
      <c r="Y4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426">
        <f>IF(Table1[[#This Row],[Ask Rate]]=0,0,Table1[[#This Row],[Face Value]]-Table1[[#This Row],[Ask Rate]])</f>
        <v>-26</v>
      </c>
      <c r="AA426">
        <f>IF(Table1[[#This Row],[Freq]]="Yearly",Table1[[#This Row],[Coupon_Rate]]/100,IF(Table1[[#This Row],[Freq]]="Monthly",Table1[[#This Row],[Coupon_Rate]]/1200,IF(Table1[[#This Row],[Freq]]="Quarterly",Table1[[#This Row],[Coupon_Rate]]/400,0)))</f>
        <v>7.5300000000000006E-2</v>
      </c>
      <c r="AB426">
        <f ca="1">Table1[[#This Row],[Face Value]]*Table1[[#This Row],[Rate]]*Table1[[#This Row],[Time]]</f>
        <v>677.7</v>
      </c>
      <c r="AC426">
        <f ca="1">Table1[[#This Row],[SI]]+Table1[[#This Row],[Disc/Prem]]</f>
        <v>651.70000000000005</v>
      </c>
      <c r="AD426" s="3">
        <f ca="1">Table1[[#This Row],[Net Gain]]/Table1[[#This Row],[Ask Rate]]</f>
        <v>0.63518518518518519</v>
      </c>
      <c r="AE426" s="3">
        <f ca="1">IF(Table1[[#This Row],[Ask Qty]]=0,0,Table1[[#This Row],[Gross Yield]]*365/Table1[[#This Row],[Days Left]])</f>
        <v>7.2202613700589405E-2</v>
      </c>
      <c r="AF426" s="9">
        <f ca="1">+Table1[[#This Row],[Net Gain]]*Table1[[#This Row],[Ask Qty]]</f>
        <v>325850</v>
      </c>
      <c r="AG426" t="str">
        <f ca="1">IF(Table1[[#This Row],[YTM]]&gt;0.12,IF(Table1[[#This Row],[Gross Profit]]&gt;10000,"Invest","Review"),"Low YTM")</f>
        <v>Low YTM</v>
      </c>
    </row>
    <row r="427" spans="1:33" hidden="1" x14ac:dyDescent="0.3">
      <c r="A427" t="str">
        <f>RTD("nest.scriprtd",,"bse_cm|995ECL24","Symbol")</f>
        <v>995ECL24</v>
      </c>
      <c r="B427" t="str">
        <f>RTD("nest.scriprtd",,"bse_cm|995ECL24","Trading Symbol")</f>
        <v>995ECL24</v>
      </c>
      <c r="C427" t="str">
        <f>RTD("nest.scriprtd",,"bse_cm|995ECL24","Exchange")</f>
        <v>BSE</v>
      </c>
      <c r="D427">
        <f>RTD("nest.scriprtd",,"bse_cm|995ECL24","Bid Qty")</f>
        <v>108</v>
      </c>
      <c r="E427">
        <f>RTD("nest.scriprtd",,"bse_cm|995ECL24","Bid Rate")</f>
        <v>998.1</v>
      </c>
      <c r="F427">
        <f>RTD("nest.scriprtd",,"bse_cm|995ECL24","Ask Rate")</f>
        <v>1008</v>
      </c>
      <c r="G427">
        <f>RTD("nest.scriprtd",,"bse_cm|995ECL24","Ask Qty")</f>
        <v>400</v>
      </c>
      <c r="H427">
        <f>RTD("nest.scriprtd",,"bse_cm|995ECL24","LTP")</f>
        <v>999</v>
      </c>
      <c r="I427" t="str">
        <f>RTD("nest.scriprtd",,"bse_cm|995ECL24","LTT")</f>
        <v>10:08:42</v>
      </c>
      <c r="J427">
        <f>RTD("nest.scriprtd",,"bse_cm|995ECL24","% Change")</f>
        <v>0.1</v>
      </c>
      <c r="K427">
        <f>RTD("nest.scriprtd",,"bse_cm|995ECL24","ATP")</f>
        <v>998</v>
      </c>
      <c r="L427">
        <f>RTD("nest.scriprtd",,"bse_cm|995ECL24","Volume Traded Today")</f>
        <v>1438</v>
      </c>
      <c r="M427">
        <f>RTD("nest.scriprtd",,"bse_cm|995ECL24","Open")</f>
        <v>998</v>
      </c>
      <c r="N427">
        <f>RTD("nest.scriprtd",,"bse_cm|995ECL24","High")</f>
        <v>1000</v>
      </c>
      <c r="O427">
        <f>RTD("nest.scriprtd",,"bse_cm|995ECL24","Low ")</f>
        <v>998</v>
      </c>
      <c r="P427">
        <f>RTD("nest.scriprtd",,"bse_cm|995ECL24","Prev Close")</f>
        <v>998</v>
      </c>
      <c r="Q427">
        <f>RTD("nest.scriprtd",,"bse_cm|995ECL24","Face Value")</f>
        <v>1000</v>
      </c>
      <c r="R427" t="str">
        <f>RTD("nest.scriprtd",,"bse_cm|995ECL24","Isin code")</f>
        <v>INE804IA7212</v>
      </c>
      <c r="S427" s="9">
        <f>Table1[[#This Row],[Ask Rate]]*Table1[[#This Row],[Ask Qty]]</f>
        <v>403200</v>
      </c>
      <c r="T427">
        <f>VLOOKUP(Table1[[#This Row],[Isin code]],Table2[#All],7,FALSE)</f>
        <v>9.9500000000000011</v>
      </c>
      <c r="U427" s="17" t="str">
        <f>VLOOKUP(Table1[[#This Row],[Isin code]],Table2[#All],8,FALSE)</f>
        <v>28-Nov-2024</v>
      </c>
      <c r="V427" s="10">
        <f ca="1">Table1[[#This Row],[Maturity]]-TODAY()</f>
        <v>43</v>
      </c>
      <c r="W427" t="str">
        <f>VLOOKUP(Table1[[#This Row],[Isin code]],Table2[#All],10,FALSE)</f>
        <v>Monthly</v>
      </c>
      <c r="X427">
        <f ca="1">_xlfn.DAYS(Table1[[#This Row],[Maturity]],TODAY())-15</f>
        <v>28</v>
      </c>
      <c r="Y4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27">
        <f>IF(Table1[[#This Row],[Ask Rate]]=0,0,Table1[[#This Row],[Face Value]]-Table1[[#This Row],[Ask Rate]])</f>
        <v>-8</v>
      </c>
      <c r="AA427">
        <f>IF(Table1[[#This Row],[Freq]]="Yearly",Table1[[#This Row],[Coupon_Rate]]/100,IF(Table1[[#This Row],[Freq]]="Monthly",Table1[[#This Row],[Coupon_Rate]]/1200,IF(Table1[[#This Row],[Freq]]="Quarterly",Table1[[#This Row],[Coupon_Rate]]/400,0)))</f>
        <v>8.2916666666666677E-3</v>
      </c>
      <c r="AB427">
        <f ca="1">Table1[[#This Row],[Face Value]]*Table1[[#This Row],[Rate]]*Table1[[#This Row],[Time]]</f>
        <v>8.2916666666666679</v>
      </c>
      <c r="AC427">
        <f ca="1">Table1[[#This Row],[SI]]+Table1[[#This Row],[Disc/Prem]]</f>
        <v>0.29166666666666785</v>
      </c>
      <c r="AD427" s="3">
        <f ca="1">Table1[[#This Row],[Net Gain]]/Table1[[#This Row],[Ask Rate]]</f>
        <v>2.8935185185185303E-4</v>
      </c>
      <c r="AE427" s="3">
        <f ca="1">IF(Table1[[#This Row],[Ask Qty]]=0,0,Table1[[#This Row],[Gross Yield]]*365/Table1[[#This Row],[Days Left]])</f>
        <v>2.456126184323869E-3</v>
      </c>
      <c r="AF427" s="9">
        <f ca="1">+Table1[[#This Row],[Net Gain]]*Table1[[#This Row],[Ask Qty]]</f>
        <v>116.66666666666714</v>
      </c>
      <c r="AG427" t="str">
        <f ca="1">IF(Table1[[#This Row],[YTM]]&gt;0.12,IF(Table1[[#This Row],[Gross Profit]]&gt;10000,"Invest","Review"),"Low YTM")</f>
        <v>Low YTM</v>
      </c>
    </row>
    <row r="428" spans="1:33" x14ac:dyDescent="0.3">
      <c r="A428" t="str">
        <f>RTD("nest.scriprtd",,"bse_cm|10IFSL26","Symbol")</f>
        <v>10IFSL26</v>
      </c>
      <c r="B428" t="str">
        <f>RTD("nest.scriprtd",,"bse_cm|10IFSL26","Trading Symbol")</f>
        <v>10IFSL26</v>
      </c>
      <c r="C428" t="str">
        <f>RTD("nest.scriprtd",,"bse_cm|10IFSL26","Exchange")</f>
        <v>BSE</v>
      </c>
      <c r="D428">
        <f>RTD("nest.scriprtd",,"bse_cm|10IFSL26","Bid Qty")</f>
        <v>20</v>
      </c>
      <c r="E428">
        <f>RTD("nest.scriprtd",,"bse_cm|10IFSL26","Bid Rate")</f>
        <v>1030</v>
      </c>
      <c r="F428">
        <f>RTD("nest.scriprtd",,"bse_cm|10IFSL26","Ask Rate")</f>
        <v>1080</v>
      </c>
      <c r="G428">
        <f>RTD("nest.scriprtd",,"bse_cm|10IFSL26","Ask Qty")</f>
        <v>50</v>
      </c>
      <c r="H428">
        <f>RTD("nest.scriprtd",,"bse_cm|10IFSL26","LTP")</f>
        <v>0</v>
      </c>
      <c r="I428" t="str">
        <f>RTD("nest.scriprtd",,"bse_cm|10IFSL26","LTT")</f>
        <v>00:00:00</v>
      </c>
      <c r="J428">
        <f>RTD("nest.scriprtd",,"bse_cm|10IFSL26","% Change")</f>
        <v>-100</v>
      </c>
      <c r="K428">
        <f>RTD("nest.scriprtd",,"bse_cm|10IFSL26","ATP")</f>
        <v>0</v>
      </c>
      <c r="L428">
        <f>RTD("nest.scriprtd",,"bse_cm|10IFSL26","Volume Traded Today")</f>
        <v>0</v>
      </c>
      <c r="M428">
        <f>RTD("nest.scriprtd",,"bse_cm|10IFSL26","Open")</f>
        <v>0</v>
      </c>
      <c r="N428">
        <f>RTD("nest.scriprtd",,"bse_cm|10IFSL26","High")</f>
        <v>1080</v>
      </c>
      <c r="O428">
        <f>RTD("nest.scriprtd",,"bse_cm|10IFSL26","Low ")</f>
        <v>1008.99</v>
      </c>
      <c r="P428">
        <f>RTD("nest.scriprtd",,"bse_cm|10IFSL26","Prev Close")</f>
        <v>1008.99</v>
      </c>
      <c r="Q428">
        <f>RTD("nest.scriprtd",,"bse_cm|10IFSL26","Face Value")</f>
        <v>1000</v>
      </c>
      <c r="R428" t="str">
        <f>RTD("nest.scriprtd",,"bse_cm|10IFSL26","Isin code")</f>
        <v>INE321N07293</v>
      </c>
      <c r="S428" s="9">
        <f>Table1[[#This Row],[Ask Rate]]*Table1[[#This Row],[Ask Qty]]</f>
        <v>54000</v>
      </c>
      <c r="T428">
        <f>VLOOKUP(Table1[[#This Row],[Isin code]],Table2[#All],7,FALSE)</f>
        <v>10</v>
      </c>
      <c r="U428" s="17" t="str">
        <f>VLOOKUP(Table1[[#This Row],[Isin code]],Table2[#All],8,FALSE)</f>
        <v>02-May-2026</v>
      </c>
      <c r="V428" s="10">
        <f ca="1">Table1[[#This Row],[Maturity]]-TODAY()</f>
        <v>563</v>
      </c>
      <c r="W428" t="str">
        <f>VLOOKUP(Table1[[#This Row],[Isin code]],Table2[#All],10,FALSE)</f>
        <v>Yearly</v>
      </c>
      <c r="X428">
        <f ca="1">_xlfn.DAYS(Table1[[#This Row],[Maturity]],TODAY())-15</f>
        <v>548</v>
      </c>
      <c r="Y4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28">
        <f>IF(Table1[[#This Row],[Ask Rate]]=0,0,Table1[[#This Row],[Face Value]]-Table1[[#This Row],[Ask Rate]])</f>
        <v>-80</v>
      </c>
      <c r="AA428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428">
        <f ca="1">Table1[[#This Row],[Face Value]]*Table1[[#This Row],[Rate]]*Table1[[#This Row],[Time]]</f>
        <v>200</v>
      </c>
      <c r="AC428">
        <f ca="1">Table1[[#This Row],[SI]]+Table1[[#This Row],[Disc/Prem]]</f>
        <v>120</v>
      </c>
      <c r="AD428" s="3">
        <f ca="1">Table1[[#This Row],[Net Gain]]/Table1[[#This Row],[Ask Rate]]</f>
        <v>0.1111111111111111</v>
      </c>
      <c r="AE428" s="3">
        <f ca="1">IF(Table1[[#This Row],[Ask Qty]]=0,0,Table1[[#This Row],[Gross Yield]]*365/Table1[[#This Row],[Days Left]])</f>
        <v>7.2034734556937027E-2</v>
      </c>
      <c r="AF428" s="9">
        <f ca="1">+Table1[[#This Row],[Net Gain]]*Table1[[#This Row],[Ask Qty]]</f>
        <v>6000</v>
      </c>
      <c r="AG428" t="str">
        <f ca="1">IF(Table1[[#This Row],[YTM]]&gt;0.12,IF(Table1[[#This Row],[Gross Profit]]&gt;10000,"Invest","Review"),"Low YTM")</f>
        <v>Low YTM</v>
      </c>
    </row>
    <row r="429" spans="1:33" x14ac:dyDescent="0.3">
      <c r="A429" t="str">
        <f>RTD("nest.scriprtd",,"bse_cm|810MFL25","Symbol")</f>
        <v>810MFL25</v>
      </c>
      <c r="B429" t="str">
        <f>RTD("nest.scriprtd",,"bse_cm|810MFL25","Trading Symbol")</f>
        <v>810MFL25</v>
      </c>
      <c r="C429" t="str">
        <f>RTD("nest.scriprtd",,"bse_cm|810MFL25","Exchange")</f>
        <v>BSE</v>
      </c>
      <c r="D429">
        <f>RTD("nest.scriprtd",,"bse_cm|810MFL25","Bid Qty")</f>
        <v>190</v>
      </c>
      <c r="E429">
        <f>RTD("nest.scriprtd",,"bse_cm|810MFL25","Bid Rate")</f>
        <v>971.2</v>
      </c>
      <c r="F429">
        <f>RTD("nest.scriprtd",,"bse_cm|810MFL25","Ask Rate")</f>
        <v>1008</v>
      </c>
      <c r="G429">
        <f>RTD("nest.scriprtd",,"bse_cm|810MFL25","Ask Qty")</f>
        <v>200</v>
      </c>
      <c r="H429">
        <f>RTD("nest.scriprtd",,"bse_cm|810MFL25","LTP")</f>
        <v>0</v>
      </c>
      <c r="I429" t="str">
        <f>RTD("nest.scriprtd",,"bse_cm|810MFL25","LTT")</f>
        <v>00:00:00</v>
      </c>
      <c r="J429">
        <f>RTD("nest.scriprtd",,"bse_cm|810MFL25","% Change")</f>
        <v>-100</v>
      </c>
      <c r="K429">
        <f>RTD("nest.scriprtd",,"bse_cm|810MFL25","ATP")</f>
        <v>0</v>
      </c>
      <c r="L429">
        <f>RTD("nest.scriprtd",,"bse_cm|810MFL25","Volume Traded Today")</f>
        <v>0</v>
      </c>
      <c r="M429">
        <f>RTD("nest.scriprtd",,"bse_cm|810MFL25","Open")</f>
        <v>0</v>
      </c>
      <c r="N429">
        <f>RTD("nest.scriprtd",,"bse_cm|810MFL25","High")</f>
        <v>982.5</v>
      </c>
      <c r="O429">
        <f>RTD("nest.scriprtd",,"bse_cm|810MFL25","Low ")</f>
        <v>980</v>
      </c>
      <c r="P429">
        <f>RTD("nest.scriprtd",,"bse_cm|810MFL25","Prev Close")</f>
        <v>980</v>
      </c>
      <c r="Q429">
        <f>RTD("nest.scriprtd",,"bse_cm|810MFL25","Face Value")</f>
        <v>1000</v>
      </c>
      <c r="R429" t="str">
        <f>RTD("nest.scriprtd",,"bse_cm|810MFL25","Isin code")</f>
        <v>INE549K07BV8</v>
      </c>
      <c r="S429" s="9">
        <f>Table1[[#This Row],[Ask Rate]]*Table1[[#This Row],[Ask Qty]]</f>
        <v>201600</v>
      </c>
      <c r="T429">
        <f>VLOOKUP(Table1[[#This Row],[Isin code]],Table2[#All],7,FALSE)</f>
        <v>8.1</v>
      </c>
      <c r="U429" s="17" t="str">
        <f>VLOOKUP(Table1[[#This Row],[Isin code]],Table2[#All],8,FALSE)</f>
        <v>02-May-2025</v>
      </c>
      <c r="V429" s="10">
        <f ca="1">Table1[[#This Row],[Maturity]]-TODAY()</f>
        <v>198</v>
      </c>
      <c r="W429" t="str">
        <f>VLOOKUP(Table1[[#This Row],[Isin code]],Table2[#All],10,FALSE)</f>
        <v>Monthly</v>
      </c>
      <c r="X429">
        <f ca="1">_xlfn.DAYS(Table1[[#This Row],[Maturity]],TODAY())-15</f>
        <v>183</v>
      </c>
      <c r="Y4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29">
        <f>IF(Table1[[#This Row],[Ask Rate]]=0,0,Table1[[#This Row],[Face Value]]-Table1[[#This Row],[Ask Rate]])</f>
        <v>-8</v>
      </c>
      <c r="AA429">
        <f>IF(Table1[[#This Row],[Freq]]="Yearly",Table1[[#This Row],[Coupon_Rate]]/100,IF(Table1[[#This Row],[Freq]]="Monthly",Table1[[#This Row],[Coupon_Rate]]/1200,IF(Table1[[#This Row],[Freq]]="Quarterly",Table1[[#This Row],[Coupon_Rate]]/400,0)))</f>
        <v>6.7499999999999999E-3</v>
      </c>
      <c r="AB429">
        <f ca="1">Table1[[#This Row],[Face Value]]*Table1[[#This Row],[Rate]]*Table1[[#This Row],[Time]]</f>
        <v>47.25</v>
      </c>
      <c r="AC429">
        <f ca="1">Table1[[#This Row],[SI]]+Table1[[#This Row],[Disc/Prem]]</f>
        <v>39.25</v>
      </c>
      <c r="AD429" s="3">
        <f ca="1">Table1[[#This Row],[Net Gain]]/Table1[[#This Row],[Ask Rate]]</f>
        <v>3.8938492063492064E-2</v>
      </c>
      <c r="AE429" s="3">
        <f ca="1">IF(Table1[[#This Row],[Ask Qty]]=0,0,Table1[[#This Row],[Gross Yield]]*365/Table1[[#This Row],[Days Left]])</f>
        <v>7.1780553551386878E-2</v>
      </c>
      <c r="AF429" s="9">
        <f ca="1">+Table1[[#This Row],[Net Gain]]*Table1[[#This Row],[Ask Qty]]</f>
        <v>7850</v>
      </c>
      <c r="AG429" t="str">
        <f ca="1">IF(Table1[[#This Row],[YTM]]&gt;0.12,IF(Table1[[#This Row],[Gross Profit]]&gt;10000,"Invest","Review"),"Low YTM")</f>
        <v>Low YTM</v>
      </c>
    </row>
    <row r="430" spans="1:33" x14ac:dyDescent="0.3">
      <c r="A430" t="str">
        <f>RTD("nest.scriprtd",,"bse_cm|695PFCL36","Symbol")</f>
        <v>695PFCL36</v>
      </c>
      <c r="B430" t="str">
        <f>RTD("nest.scriprtd",,"bse_cm|695PFCL36","Trading Symbol")</f>
        <v>695PFCL36</v>
      </c>
      <c r="C430" t="str">
        <f>RTD("nest.scriprtd",,"bse_cm|695PFCL36","Exchange")</f>
        <v>BSE</v>
      </c>
      <c r="D430">
        <f>RTD("nest.scriprtd",,"bse_cm|695PFCL36","Bid Qty")</f>
        <v>500</v>
      </c>
      <c r="E430">
        <f>RTD("nest.scriprtd",,"bse_cm|695PFCL36","Bid Rate")</f>
        <v>900</v>
      </c>
      <c r="F430">
        <f>RTD("nest.scriprtd",,"bse_cm|695PFCL36","Ask Rate")</f>
        <v>1015</v>
      </c>
      <c r="G430">
        <f>RTD("nest.scriprtd",,"bse_cm|695PFCL36","Ask Qty")</f>
        <v>605</v>
      </c>
      <c r="H430">
        <f>RTD("nest.scriprtd",,"bse_cm|695PFCL36","LTP")</f>
        <v>0</v>
      </c>
      <c r="I430" t="str">
        <f>RTD("nest.scriprtd",,"bse_cm|695PFCL36","LTT")</f>
        <v>00:00:00</v>
      </c>
      <c r="J430">
        <f>RTD("nest.scriprtd",,"bse_cm|695PFCL36","% Change")</f>
        <v>-100</v>
      </c>
      <c r="K430">
        <f>RTD("nest.scriprtd",,"bse_cm|695PFCL36","ATP")</f>
        <v>0</v>
      </c>
      <c r="L430">
        <f>RTD("nest.scriprtd",,"bse_cm|695PFCL36","Volume Traded Today")</f>
        <v>0</v>
      </c>
      <c r="M430">
        <f>RTD("nest.scriprtd",,"bse_cm|695PFCL36","Open")</f>
        <v>0</v>
      </c>
      <c r="N430">
        <f>RTD("nest.scriprtd",,"bse_cm|695PFCL36","High")</f>
        <v>1000.2</v>
      </c>
      <c r="O430">
        <f>RTD("nest.scriprtd",,"bse_cm|695PFCL36","Low ")</f>
        <v>1000.2</v>
      </c>
      <c r="P430">
        <f>RTD("nest.scriprtd",,"bse_cm|695PFCL36","Prev Close")</f>
        <v>1000.2</v>
      </c>
      <c r="Q430">
        <f>RTD("nest.scriprtd",,"bse_cm|695PFCL36","Face Value")</f>
        <v>1000</v>
      </c>
      <c r="R430" t="str">
        <f>RTD("nest.scriprtd",,"bse_cm|695PFCL36","Isin code")</f>
        <v>INE134E07AS0</v>
      </c>
      <c r="S430" s="9">
        <f>Table1[[#This Row],[Ask Rate]]*Table1[[#This Row],[Ask Qty]]</f>
        <v>614075</v>
      </c>
      <c r="T430">
        <f>VLOOKUP(Table1[[#This Row],[Isin code]],Table2[#All],7,FALSE)</f>
        <v>6.9500000000000011</v>
      </c>
      <c r="U430" s="17" t="str">
        <f>VLOOKUP(Table1[[#This Row],[Isin code]],Table2[#All],8,FALSE)</f>
        <v>22-Jan-2036</v>
      </c>
      <c r="V430" s="10">
        <f ca="1">Table1[[#This Row],[Maturity]]-TODAY()</f>
        <v>4115</v>
      </c>
      <c r="W430" t="str">
        <f>VLOOKUP(Table1[[#This Row],[Isin code]],Table2[#All],10,FALSE)</f>
        <v>Yearly</v>
      </c>
      <c r="X430">
        <f ca="1">_xlfn.DAYS(Table1[[#This Row],[Maturity]],TODAY())-15</f>
        <v>4100</v>
      </c>
      <c r="Y4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430">
        <f>IF(Table1[[#This Row],[Ask Rate]]=0,0,Table1[[#This Row],[Face Value]]-Table1[[#This Row],[Ask Rate]])</f>
        <v>-15</v>
      </c>
      <c r="AA430">
        <f>IF(Table1[[#This Row],[Freq]]="Yearly",Table1[[#This Row],[Coupon_Rate]]/100,IF(Table1[[#This Row],[Freq]]="Monthly",Table1[[#This Row],[Coupon_Rate]]/1200,IF(Table1[[#This Row],[Freq]]="Quarterly",Table1[[#This Row],[Coupon_Rate]]/400,0)))</f>
        <v>6.9500000000000006E-2</v>
      </c>
      <c r="AB430">
        <f ca="1">Table1[[#This Row],[Face Value]]*Table1[[#This Row],[Rate]]*Table1[[#This Row],[Time]]</f>
        <v>834</v>
      </c>
      <c r="AC430">
        <f ca="1">Table1[[#This Row],[SI]]+Table1[[#This Row],[Disc/Prem]]</f>
        <v>819</v>
      </c>
      <c r="AD430" s="3">
        <f ca="1">Table1[[#This Row],[Net Gain]]/Table1[[#This Row],[Ask Rate]]</f>
        <v>0.80689655172413788</v>
      </c>
      <c r="AE430" s="3">
        <f ca="1">IF(Table1[[#This Row],[Ask Qty]]=0,0,Table1[[#This Row],[Gross Yield]]*365/Table1[[#This Row],[Days Left]])</f>
        <v>7.1571626094607613E-2</v>
      </c>
      <c r="AF430" s="9">
        <f ca="1">+Table1[[#This Row],[Net Gain]]*Table1[[#This Row],[Ask Qty]]</f>
        <v>495495</v>
      </c>
      <c r="AG430" t="str">
        <f ca="1">IF(Table1[[#This Row],[YTM]]&gt;0.12,IF(Table1[[#This Row],[Gross Profit]]&gt;10000,"Invest","Review"),"Low YTM")</f>
        <v>Low YTM</v>
      </c>
    </row>
    <row r="431" spans="1:33" x14ac:dyDescent="0.3">
      <c r="A431" t="str">
        <f>RTD("nest.scriprtd",,"bse_cm|697PFCL36","Symbol")</f>
        <v>697PFCL36</v>
      </c>
      <c r="B431" t="str">
        <f>RTD("nest.scriprtd",,"bse_cm|697PFCL36","Trading Symbol")</f>
        <v>697PFCL36</v>
      </c>
      <c r="C431" t="str">
        <f>RTD("nest.scriprtd",,"bse_cm|697PFCL36","Exchange")</f>
        <v>BSE</v>
      </c>
      <c r="D431">
        <f>RTD("nest.scriprtd",,"bse_cm|697PFCL36","Bid Qty")</f>
        <v>18</v>
      </c>
      <c r="E431">
        <f>RTD("nest.scriprtd",,"bse_cm|697PFCL36","Bid Rate")</f>
        <v>972.01</v>
      </c>
      <c r="F431">
        <f>RTD("nest.scriprtd",,"bse_cm|697PFCL36","Ask Rate")</f>
        <v>999</v>
      </c>
      <c r="G431">
        <f>RTD("nest.scriprtd",,"bse_cm|697PFCL36","Ask Qty")</f>
        <v>15</v>
      </c>
      <c r="H431">
        <f>RTD("nest.scriprtd",,"bse_cm|697PFCL36","LTP")</f>
        <v>0</v>
      </c>
      <c r="I431" t="str">
        <f>RTD("nest.scriprtd",,"bse_cm|697PFCL36","LTT")</f>
        <v>00:00:00</v>
      </c>
      <c r="J431">
        <f>RTD("nest.scriprtd",,"bse_cm|697PFCL36","% Change")</f>
        <v>-100</v>
      </c>
      <c r="K431">
        <f>RTD("nest.scriprtd",,"bse_cm|697PFCL36","ATP")</f>
        <v>0</v>
      </c>
      <c r="L431">
        <f>RTD("nest.scriprtd",,"bse_cm|697PFCL36","Volume Traded Today")</f>
        <v>0</v>
      </c>
      <c r="M431">
        <f>RTD("nest.scriprtd",,"bse_cm|697PFCL36","Open")</f>
        <v>0</v>
      </c>
      <c r="N431">
        <f>RTD("nest.scriprtd",,"bse_cm|697PFCL36","High")</f>
        <v>972.01</v>
      </c>
      <c r="O431">
        <f>RTD("nest.scriprtd",,"bse_cm|697PFCL36","Low ")</f>
        <v>972.01</v>
      </c>
      <c r="P431">
        <f>RTD("nest.scriprtd",,"bse_cm|697PFCL36","Prev Close")</f>
        <v>972.01</v>
      </c>
      <c r="Q431">
        <f>RTD("nest.scriprtd",,"bse_cm|697PFCL36","Face Value")</f>
        <v>1000</v>
      </c>
      <c r="R431" t="str">
        <f>RTD("nest.scriprtd",,"bse_cm|697PFCL36","Isin code")</f>
        <v>INE134E07AR2</v>
      </c>
      <c r="S431" s="9">
        <f>Table1[[#This Row],[Ask Rate]]*Table1[[#This Row],[Ask Qty]]</f>
        <v>14985</v>
      </c>
      <c r="T431">
        <f>VLOOKUP(Table1[[#This Row],[Isin code]],Table2[#All],7,FALSE)</f>
        <v>6.97</v>
      </c>
      <c r="U431" s="17" t="str">
        <f>VLOOKUP(Table1[[#This Row],[Isin code]],Table2[#All],8,FALSE)</f>
        <v>22-Jan-2036</v>
      </c>
      <c r="V431" s="10">
        <f ca="1">Table1[[#This Row],[Maturity]]-TODAY()</f>
        <v>4115</v>
      </c>
      <c r="W431" t="str">
        <f>VLOOKUP(Table1[[#This Row],[Isin code]],Table2[#All],10,FALSE)</f>
        <v>Quarterly</v>
      </c>
      <c r="X431">
        <f ca="1">_xlfn.DAYS(Table1[[#This Row],[Maturity]],TODAY())-15</f>
        <v>4100</v>
      </c>
      <c r="Y4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431">
        <f>IF(Table1[[#This Row],[Ask Rate]]=0,0,Table1[[#This Row],[Face Value]]-Table1[[#This Row],[Ask Rate]])</f>
        <v>1</v>
      </c>
      <c r="AA431">
        <f>IF(Table1[[#This Row],[Freq]]="Yearly",Table1[[#This Row],[Coupon_Rate]]/100,IF(Table1[[#This Row],[Freq]]="Monthly",Table1[[#This Row],[Coupon_Rate]]/1200,IF(Table1[[#This Row],[Freq]]="Quarterly",Table1[[#This Row],[Coupon_Rate]]/400,0)))</f>
        <v>1.7425E-2</v>
      </c>
      <c r="AB431">
        <f ca="1">Table1[[#This Row],[Face Value]]*Table1[[#This Row],[Rate]]*Table1[[#This Row],[Time]]</f>
        <v>801.55000000000007</v>
      </c>
      <c r="AC431">
        <f ca="1">Table1[[#This Row],[SI]]+Table1[[#This Row],[Disc/Prem]]</f>
        <v>802.55000000000007</v>
      </c>
      <c r="AD431" s="3">
        <f ca="1">Table1[[#This Row],[Net Gain]]/Table1[[#This Row],[Ask Rate]]</f>
        <v>0.80335335335335345</v>
      </c>
      <c r="AE431" s="3">
        <f ca="1">IF(Table1[[#This Row],[Ask Qty]]=0,0,Table1[[#This Row],[Gross Yield]]*365/Table1[[#This Row],[Days Left]])</f>
        <v>7.1257344829641314E-2</v>
      </c>
      <c r="AF431" s="9">
        <f ca="1">+Table1[[#This Row],[Net Gain]]*Table1[[#This Row],[Ask Qty]]</f>
        <v>12038.250000000002</v>
      </c>
      <c r="AG431" t="str">
        <f ca="1">IF(Table1[[#This Row],[YTM]]&gt;0.12,IF(Table1[[#This Row],[Gross Profit]]&gt;10000,"Invest","Review"),"Low YTM")</f>
        <v>Low YTM</v>
      </c>
    </row>
    <row r="432" spans="1:33" x14ac:dyDescent="0.3">
      <c r="A432" t="str">
        <f>RTD("nest.scriprtd",,"bse_cm|957ICCL25","Symbol")</f>
        <v>957ICCL25</v>
      </c>
      <c r="B432" t="str">
        <f>RTD("nest.scriprtd",,"bse_cm|957ICCL25","Trading Symbol")</f>
        <v>957ICCL25</v>
      </c>
      <c r="C432" t="str">
        <f>RTD("nest.scriprtd",,"bse_cm|957ICCL25","Exchange")</f>
        <v>BSE</v>
      </c>
      <c r="D432">
        <f>RTD("nest.scriprtd",,"bse_cm|957ICCL25","Bid Qty")</f>
        <v>50</v>
      </c>
      <c r="E432">
        <f>RTD("nest.scriprtd",,"bse_cm|957ICCL25","Bid Rate")</f>
        <v>1027.18</v>
      </c>
      <c r="F432">
        <f>RTD("nest.scriprtd",,"bse_cm|957ICCL25","Ask Rate")</f>
        <v>1070</v>
      </c>
      <c r="G432">
        <f>RTD("nest.scriprtd",,"bse_cm|957ICCL25","Ask Qty")</f>
        <v>50</v>
      </c>
      <c r="H432">
        <f>RTD("nest.scriprtd",,"bse_cm|957ICCL25","LTP")</f>
        <v>0</v>
      </c>
      <c r="I432" t="str">
        <f>RTD("nest.scriprtd",,"bse_cm|957ICCL25","LTT")</f>
        <v>00:00:00</v>
      </c>
      <c r="J432">
        <f>RTD("nest.scriprtd",,"bse_cm|957ICCL25","% Change")</f>
        <v>-100</v>
      </c>
      <c r="K432">
        <f>RTD("nest.scriprtd",,"bse_cm|957ICCL25","ATP")</f>
        <v>0</v>
      </c>
      <c r="L432">
        <f>RTD("nest.scriprtd",,"bse_cm|957ICCL25","Volume Traded Today")</f>
        <v>0</v>
      </c>
      <c r="M432">
        <f>RTD("nest.scriprtd",,"bse_cm|957ICCL25","Open")</f>
        <v>0</v>
      </c>
      <c r="N432">
        <f>RTD("nest.scriprtd",,"bse_cm|957ICCL25","High")</f>
        <v>1025</v>
      </c>
      <c r="O432">
        <f>RTD("nest.scriprtd",,"bse_cm|957ICCL25","Low ")</f>
        <v>1025</v>
      </c>
      <c r="P432">
        <f>RTD("nest.scriprtd",,"bse_cm|957ICCL25","Prev Close")</f>
        <v>1025</v>
      </c>
      <c r="Q432">
        <f>RTD("nest.scriprtd",,"bse_cm|957ICCL25","Face Value")</f>
        <v>1000</v>
      </c>
      <c r="R432" t="str">
        <f>RTD("nest.scriprtd",,"bse_cm|957ICCL25","Isin code")</f>
        <v>INE721A07ON4</v>
      </c>
      <c r="S432" s="9">
        <f>Table1[[#This Row],[Ask Rate]]*Table1[[#This Row],[Ask Qty]]</f>
        <v>53500</v>
      </c>
      <c r="T432">
        <f>VLOOKUP(Table1[[#This Row],[Isin code]],Table2[#All],7,FALSE)</f>
        <v>9.3000000000000007</v>
      </c>
      <c r="U432" s="17" t="str">
        <f>VLOOKUP(Table1[[#This Row],[Isin code]],Table2[#All],8,FALSE)</f>
        <v>06-Feb-2029</v>
      </c>
      <c r="V432" s="10">
        <f ca="1">Table1[[#This Row],[Maturity]]-TODAY()</f>
        <v>1574</v>
      </c>
      <c r="W432" t="str">
        <f>VLOOKUP(Table1[[#This Row],[Isin code]],Table2[#All],10,FALSE)</f>
        <v>Monthly</v>
      </c>
      <c r="X432">
        <f ca="1">_xlfn.DAYS(Table1[[#This Row],[Maturity]],TODAY())-15</f>
        <v>1559</v>
      </c>
      <c r="Y4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52</v>
      </c>
      <c r="Z432">
        <f>IF(Table1[[#This Row],[Ask Rate]]=0,0,Table1[[#This Row],[Face Value]]-Table1[[#This Row],[Ask Rate]])</f>
        <v>-70</v>
      </c>
      <c r="AA432">
        <f>IF(Table1[[#This Row],[Freq]]="Yearly",Table1[[#This Row],[Coupon_Rate]]/100,IF(Table1[[#This Row],[Freq]]="Monthly",Table1[[#This Row],[Coupon_Rate]]/1200,IF(Table1[[#This Row],[Freq]]="Quarterly",Table1[[#This Row],[Coupon_Rate]]/400,0)))</f>
        <v>7.7500000000000008E-3</v>
      </c>
      <c r="AB432">
        <f ca="1">Table1[[#This Row],[Face Value]]*Table1[[#This Row],[Rate]]*Table1[[#This Row],[Time]]</f>
        <v>403.00000000000006</v>
      </c>
      <c r="AC432">
        <f ca="1">Table1[[#This Row],[SI]]+Table1[[#This Row],[Disc/Prem]]</f>
        <v>333.00000000000006</v>
      </c>
      <c r="AD432" s="3">
        <f ca="1">Table1[[#This Row],[Net Gain]]/Table1[[#This Row],[Ask Rate]]</f>
        <v>0.31121495327102811</v>
      </c>
      <c r="AE432" s="3">
        <f ca="1">IF(Table1[[#This Row],[Ask Qty]]=0,0,Table1[[#This Row],[Gross Yield]]*365/Table1[[#This Row],[Days Left]])</f>
        <v>7.2168651806814019E-2</v>
      </c>
      <c r="AF432" s="9">
        <f ca="1">+Table1[[#This Row],[Net Gain]]*Table1[[#This Row],[Ask Qty]]</f>
        <v>16650.000000000004</v>
      </c>
      <c r="AG432" t="str">
        <f ca="1">IF(Table1[[#This Row],[YTM]]&gt;0.12,IF(Table1[[#This Row],[Gross Profit]]&gt;10000,"Invest","Review"),"Low YTM")</f>
        <v>Low YTM</v>
      </c>
    </row>
    <row r="433" spans="1:33" x14ac:dyDescent="0.3">
      <c r="A433" t="str">
        <f>RTD("nest.scriprtd",,"bse_cm|682PFCL31","Symbol")</f>
        <v>682PFCL31</v>
      </c>
      <c r="B433" t="str">
        <f>RTD("nest.scriprtd",,"bse_cm|682PFCL31","Trading Symbol")</f>
        <v>682PFCL31</v>
      </c>
      <c r="C433" t="str">
        <f>RTD("nest.scriprtd",,"bse_cm|682PFCL31","Exchange")</f>
        <v>BSE</v>
      </c>
      <c r="D433">
        <f>RTD("nest.scriprtd",,"bse_cm|682PFCL31","Bid Qty")</f>
        <v>500</v>
      </c>
      <c r="E433">
        <f>RTD("nest.scriprtd",,"bse_cm|682PFCL31","Bid Rate")</f>
        <v>849</v>
      </c>
      <c r="F433">
        <f>RTD("nest.scriprtd",,"bse_cm|682PFCL31","Ask Rate")</f>
        <v>1000</v>
      </c>
      <c r="G433">
        <f>RTD("nest.scriprtd",,"bse_cm|682PFCL31","Ask Qty")</f>
        <v>50</v>
      </c>
      <c r="H433">
        <f>RTD("nest.scriprtd",,"bse_cm|682PFCL31","LTP")</f>
        <v>0</v>
      </c>
      <c r="I433" t="str">
        <f>RTD("nest.scriprtd",,"bse_cm|682PFCL31","LTT")</f>
        <v>00:00:00</v>
      </c>
      <c r="J433">
        <f>RTD("nest.scriprtd",,"bse_cm|682PFCL31","% Change")</f>
        <v>-100</v>
      </c>
      <c r="K433">
        <f>RTD("nest.scriprtd",,"bse_cm|682PFCL31","ATP")</f>
        <v>0</v>
      </c>
      <c r="L433">
        <f>RTD("nest.scriprtd",,"bse_cm|682PFCL31","Volume Traded Today")</f>
        <v>0</v>
      </c>
      <c r="M433">
        <f>RTD("nest.scriprtd",,"bse_cm|682PFCL31","Open")</f>
        <v>0</v>
      </c>
      <c r="N433">
        <f>RTD("nest.scriprtd",,"bse_cm|682PFCL31","High")</f>
        <v>960</v>
      </c>
      <c r="O433">
        <f>RTD("nest.scriprtd",,"bse_cm|682PFCL31","Low ")</f>
        <v>960</v>
      </c>
      <c r="P433">
        <f>RTD("nest.scriprtd",,"bse_cm|682PFCL31","Prev Close")</f>
        <v>960</v>
      </c>
      <c r="Q433">
        <f>RTD("nest.scriprtd",,"bse_cm|682PFCL31","Face Value")</f>
        <v>1000</v>
      </c>
      <c r="R433" t="str">
        <f>RTD("nest.scriprtd",,"bse_cm|682PFCL31","Isin code")</f>
        <v>INE134E07AL5</v>
      </c>
      <c r="S433" s="9">
        <f>Table1[[#This Row],[Ask Rate]]*Table1[[#This Row],[Ask Qty]]</f>
        <v>50000</v>
      </c>
      <c r="T433">
        <f>VLOOKUP(Table1[[#This Row],[Isin code]],Table2[#All],7,FALSE)</f>
        <v>6.8199999999999994</v>
      </c>
      <c r="U433" s="17" t="str">
        <f>VLOOKUP(Table1[[#This Row],[Isin code]],Table2[#All],8,FALSE)</f>
        <v>22-Jan-2031</v>
      </c>
      <c r="V433" s="10">
        <f ca="1">Table1[[#This Row],[Maturity]]-TODAY()</f>
        <v>2289</v>
      </c>
      <c r="W433" t="str">
        <f>VLOOKUP(Table1[[#This Row],[Isin code]],Table2[#All],10,FALSE)</f>
        <v>Quarterly</v>
      </c>
      <c r="X433">
        <f ca="1">_xlfn.DAYS(Table1[[#This Row],[Maturity]],TODAY())-15</f>
        <v>2274</v>
      </c>
      <c r="Y43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26</v>
      </c>
      <c r="Z433">
        <f>IF(Table1[[#This Row],[Ask Rate]]=0,0,Table1[[#This Row],[Face Value]]-Table1[[#This Row],[Ask Rate]])</f>
        <v>0</v>
      </c>
      <c r="AA433">
        <f>IF(Table1[[#This Row],[Freq]]="Yearly",Table1[[#This Row],[Coupon_Rate]]/100,IF(Table1[[#This Row],[Freq]]="Monthly",Table1[[#This Row],[Coupon_Rate]]/1200,IF(Table1[[#This Row],[Freq]]="Quarterly",Table1[[#This Row],[Coupon_Rate]]/400,0)))</f>
        <v>1.7049999999999999E-2</v>
      </c>
      <c r="AB433">
        <f ca="1">Table1[[#This Row],[Face Value]]*Table1[[#This Row],[Rate]]*Table1[[#This Row],[Time]]</f>
        <v>443.3</v>
      </c>
      <c r="AC433">
        <f ca="1">Table1[[#This Row],[SI]]+Table1[[#This Row],[Disc/Prem]]</f>
        <v>443.3</v>
      </c>
      <c r="AD433" s="3">
        <f ca="1">Table1[[#This Row],[Net Gain]]/Table1[[#This Row],[Ask Rate]]</f>
        <v>0.44330000000000003</v>
      </c>
      <c r="AE433" s="3">
        <f ca="1">IF(Table1[[#This Row],[Ask Qty]]=0,0,Table1[[#This Row],[Gross Yield]]*365/Table1[[#This Row],[Days Left]])</f>
        <v>7.0687854958497165E-2</v>
      </c>
      <c r="AF433" s="9">
        <f ca="1">+Table1[[#This Row],[Net Gain]]*Table1[[#This Row],[Ask Qty]]</f>
        <v>22165</v>
      </c>
      <c r="AG433" t="str">
        <f ca="1">IF(Table1[[#This Row],[YTM]]&gt;0.12,IF(Table1[[#This Row],[Gross Profit]]&gt;10000,"Invest","Review"),"Low YTM")</f>
        <v>Low YTM</v>
      </c>
    </row>
    <row r="434" spans="1:33" x14ac:dyDescent="0.3">
      <c r="A434" t="str">
        <f>RTD("nest.scriprtd",,"bse_cm|755PFCL38","Symbol")</f>
        <v>755PFCL38</v>
      </c>
      <c r="B434" t="str">
        <f>RTD("nest.scriprtd",,"bse_cm|755PFCL38","Trading Symbol")</f>
        <v>755PFCL38</v>
      </c>
      <c r="C434" t="str">
        <f>RTD("nest.scriprtd",,"bse_cm|755PFCL38","Exchange")</f>
        <v>BSE</v>
      </c>
      <c r="D434">
        <f>RTD("nest.scriprtd",,"bse_cm|755PFCL38","Bid Qty")</f>
        <v>200</v>
      </c>
      <c r="E434">
        <f>RTD("nest.scriprtd",,"bse_cm|755PFCL38","Bid Rate")</f>
        <v>1015</v>
      </c>
      <c r="F434">
        <f>RTD("nest.scriprtd",,"bse_cm|755PFCL38","Ask Rate")</f>
        <v>1049</v>
      </c>
      <c r="G434">
        <f>RTD("nest.scriprtd",,"bse_cm|755PFCL38","Ask Qty")</f>
        <v>125</v>
      </c>
      <c r="H434">
        <f>RTD("nest.scriprtd",,"bse_cm|755PFCL38","LTP")</f>
        <v>0</v>
      </c>
      <c r="I434" t="str">
        <f>RTD("nest.scriprtd",,"bse_cm|755PFCL38","LTT")</f>
        <v>00:00:00</v>
      </c>
      <c r="J434">
        <f>RTD("nest.scriprtd",,"bse_cm|755PFCL38","% Change")</f>
        <v>-100</v>
      </c>
      <c r="K434">
        <f>RTD("nest.scriprtd",,"bse_cm|755PFCL38","ATP")</f>
        <v>0</v>
      </c>
      <c r="L434">
        <f>RTD("nest.scriprtd",,"bse_cm|755PFCL38","Volume Traded Today")</f>
        <v>0</v>
      </c>
      <c r="M434">
        <f>RTD("nest.scriprtd",,"bse_cm|755PFCL38","Open")</f>
        <v>0</v>
      </c>
      <c r="N434">
        <f>RTD("nest.scriprtd",,"bse_cm|755PFCL38","High")</f>
        <v>1029.7</v>
      </c>
      <c r="O434">
        <f>RTD("nest.scriprtd",,"bse_cm|755PFCL38","Low ")</f>
        <v>1004.21</v>
      </c>
      <c r="P434">
        <f>RTD("nest.scriprtd",,"bse_cm|755PFCL38","Prev Close")</f>
        <v>1029.7</v>
      </c>
      <c r="Q434">
        <f>RTD("nest.scriprtd",,"bse_cm|755PFCL38","Face Value")</f>
        <v>1000</v>
      </c>
      <c r="R434" t="str">
        <f>RTD("nest.scriprtd",,"bse_cm|755PFCL38","Isin code")</f>
        <v>INE134E07CK3</v>
      </c>
      <c r="S434" s="9">
        <f>Table1[[#This Row],[Ask Rate]]*Table1[[#This Row],[Ask Qty]]</f>
        <v>131125</v>
      </c>
      <c r="T434">
        <f>VLOOKUP(Table1[[#This Row],[Isin code]],Table2[#All],7,FALSE)</f>
        <v>7.55</v>
      </c>
      <c r="U434" s="17" t="str">
        <f>VLOOKUP(Table1[[#This Row],[Isin code]],Table2[#All],8,FALSE)</f>
        <v>01-Aug-2038</v>
      </c>
      <c r="V434" s="10">
        <f ca="1">Table1[[#This Row],[Maturity]]-TODAY()</f>
        <v>5037</v>
      </c>
      <c r="W434" t="str">
        <f>VLOOKUP(Table1[[#This Row],[Isin code]],Table2[#All],10,FALSE)</f>
        <v>Yearly</v>
      </c>
      <c r="X434">
        <f ca="1">_xlfn.DAYS(Table1[[#This Row],[Maturity]],TODAY())-15</f>
        <v>5022</v>
      </c>
      <c r="Y4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434">
        <f>IF(Table1[[#This Row],[Ask Rate]]=0,0,Table1[[#This Row],[Face Value]]-Table1[[#This Row],[Ask Rate]])</f>
        <v>-49</v>
      </c>
      <c r="AA434">
        <f>IF(Table1[[#This Row],[Freq]]="Yearly",Table1[[#This Row],[Coupon_Rate]]/100,IF(Table1[[#This Row],[Freq]]="Monthly",Table1[[#This Row],[Coupon_Rate]]/1200,IF(Table1[[#This Row],[Freq]]="Quarterly",Table1[[#This Row],[Coupon_Rate]]/400,0)))</f>
        <v>7.5499999999999998E-2</v>
      </c>
      <c r="AB434">
        <f ca="1">Table1[[#This Row],[Face Value]]*Table1[[#This Row],[Rate]]*Table1[[#This Row],[Time]]</f>
        <v>1057</v>
      </c>
      <c r="AC434">
        <f ca="1">Table1[[#This Row],[SI]]+Table1[[#This Row],[Disc/Prem]]</f>
        <v>1008</v>
      </c>
      <c r="AD434" s="3">
        <f ca="1">Table1[[#This Row],[Net Gain]]/Table1[[#This Row],[Ask Rate]]</f>
        <v>0.96091515729265964</v>
      </c>
      <c r="AE434" s="3">
        <f ca="1">IF(Table1[[#This Row],[Ask Qty]]=0,0,Table1[[#This Row],[Gross Yield]]*365/Table1[[#This Row],[Days Left]])</f>
        <v>6.9631533137149246E-2</v>
      </c>
      <c r="AF434" s="9">
        <f ca="1">+Table1[[#This Row],[Net Gain]]*Table1[[#This Row],[Ask Qty]]</f>
        <v>126000</v>
      </c>
      <c r="AG434" t="str">
        <f ca="1">IF(Table1[[#This Row],[YTM]]&gt;0.12,IF(Table1[[#This Row],[Gross Profit]]&gt;10000,"Invest","Review"),"Low YTM")</f>
        <v>Low YTM</v>
      </c>
    </row>
    <row r="435" spans="1:33" x14ac:dyDescent="0.3">
      <c r="A435" t="str">
        <f>RTD("nest.scriprtd",,"nse_cm|9PCHFL31A-NA","Symbol")</f>
        <v>9PCHFL31A</v>
      </c>
      <c r="B435" t="str">
        <f>RTD("nest.scriprtd",,"nse_cm|9PCHFL31A-NA","Trading Symbol")</f>
        <v>9PCHFL31A-NA</v>
      </c>
      <c r="C435" t="str">
        <f>RTD("nest.scriprtd",,"nse_cm|9PCHFL31A-NA","Exchange")</f>
        <v>NSE</v>
      </c>
      <c r="D435">
        <f>RTD("nest.scriprtd",,"nse_cm|9PCHFL31A-NA","Bid Qty")</f>
        <v>25</v>
      </c>
      <c r="E435">
        <f>RTD("nest.scriprtd",,"nse_cm|9PCHFL31A-NA","Bid Rate")</f>
        <v>1007.5</v>
      </c>
      <c r="F435">
        <f>RTD("nest.scriprtd",,"nse_cm|9PCHFL31A-NA","Ask Rate")</f>
        <v>1108.8</v>
      </c>
      <c r="G435">
        <f>RTD("nest.scriprtd",,"nse_cm|9PCHFL31A-NA","Ask Qty")</f>
        <v>30</v>
      </c>
      <c r="H435">
        <f>RTD("nest.scriprtd",,"nse_cm|9PCHFL31A-NA","LTP")</f>
        <v>1008.8</v>
      </c>
      <c r="I435" t="str">
        <f>RTD("nest.scriprtd",,"nse_cm|9PCHFL31A-NA","LTT")</f>
        <v>09:51:55</v>
      </c>
      <c r="J435">
        <f>RTD("nest.scriprtd",,"nse_cm|9PCHFL31A-NA","% Change")</f>
        <v>0.19</v>
      </c>
      <c r="K435">
        <f>RTD("nest.scriprtd",,"nse_cm|9PCHFL31A-NA","ATP")</f>
        <v>1009</v>
      </c>
      <c r="L435">
        <f>RTD("nest.scriprtd",,"nse_cm|9PCHFL31A-NA","Volume Traded Today")</f>
        <v>10</v>
      </c>
      <c r="M435">
        <f>RTD("nest.scriprtd",,"nse_cm|9PCHFL31A-NA","Open")</f>
        <v>1009</v>
      </c>
      <c r="N435">
        <f>RTD("nest.scriprtd",,"nse_cm|9PCHFL31A-NA","High")</f>
        <v>1009</v>
      </c>
      <c r="O435">
        <f>RTD("nest.scriprtd",,"nse_cm|9PCHFL31A-NA","Low ")</f>
        <v>1008.4</v>
      </c>
      <c r="P435">
        <f>RTD("nest.scriprtd",,"nse_cm|9PCHFL31A-NA","Prev Close")</f>
        <v>1006.9</v>
      </c>
      <c r="Q435">
        <f>RTD("nest.scriprtd",,"nse_cm|9PCHFL31A-NA","Face Value")</f>
        <v>1000</v>
      </c>
      <c r="R435" t="str">
        <f>RTD("nest.scriprtd",,"nse_cm|9PCHFL31A-NA","Isin code")</f>
        <v>INE516Y07428</v>
      </c>
      <c r="S435" s="9">
        <f>Table1[[#This Row],[Ask Rate]]*Table1[[#This Row],[Ask Qty]]</f>
        <v>33264</v>
      </c>
      <c r="T435">
        <f>VLOOKUP(Table1[[#This Row],[Isin code]],Table2[#All],7,FALSE)</f>
        <v>9</v>
      </c>
      <c r="U435" s="17" t="str">
        <f>VLOOKUP(Table1[[#This Row],[Isin code]],Table2[#All],8,FALSE)</f>
        <v>23-Jul-2031</v>
      </c>
      <c r="V435" s="10">
        <f ca="1">Table1[[#This Row],[Maturity]]-TODAY()</f>
        <v>2471</v>
      </c>
      <c r="W435" t="str">
        <f>VLOOKUP(Table1[[#This Row],[Isin code]],Table2[#All],10,FALSE)</f>
        <v>Yearly</v>
      </c>
      <c r="X435">
        <f ca="1">_xlfn.DAYS(Table1[[#This Row],[Maturity]],TODAY())-15</f>
        <v>2456</v>
      </c>
      <c r="Y43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35">
        <f>IF(Table1[[#This Row],[Ask Rate]]=0,0,Table1[[#This Row],[Face Value]]-Table1[[#This Row],[Ask Rate]])</f>
        <v>-108.79999999999995</v>
      </c>
      <c r="AA435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435">
        <f ca="1">Table1[[#This Row],[Face Value]]*Table1[[#This Row],[Rate]]*Table1[[#This Row],[Time]]</f>
        <v>630</v>
      </c>
      <c r="AC435">
        <f ca="1">Table1[[#This Row],[SI]]+Table1[[#This Row],[Disc/Prem]]</f>
        <v>521.20000000000005</v>
      </c>
      <c r="AD435" s="3">
        <f ca="1">Table1[[#This Row],[Net Gain]]/Table1[[#This Row],[Ask Rate]]</f>
        <v>0.47005772005772012</v>
      </c>
      <c r="AE435" s="3">
        <f ca="1">IF(Table1[[#This Row],[Ask Qty]]=0,0,Table1[[#This Row],[Gross Yield]]*365/Table1[[#This Row],[Days Left]])</f>
        <v>6.9433859903305487E-2</v>
      </c>
      <c r="AF435" s="9">
        <f ca="1">+Table1[[#This Row],[Net Gain]]*Table1[[#This Row],[Ask Qty]]</f>
        <v>15636.000000000002</v>
      </c>
      <c r="AG435" t="str">
        <f ca="1">IF(Table1[[#This Row],[YTM]]&gt;0.12,IF(Table1[[#This Row],[Gross Profit]]&gt;10000,"Invest","Review"),"Low YTM")</f>
        <v>Low YTM</v>
      </c>
    </row>
    <row r="436" spans="1:33" x14ac:dyDescent="0.3">
      <c r="A436" t="str">
        <f>RTD("nest.scriprtd",,"bse_cm|800MMFSL27","Symbol")</f>
        <v>800MMFSL27</v>
      </c>
      <c r="B436" t="str">
        <f>RTD("nest.scriprtd",,"bse_cm|800MMFSL27","Trading Symbol")</f>
        <v>800MMFSL27</v>
      </c>
      <c r="C436" t="str">
        <f>RTD("nest.scriprtd",,"bse_cm|800MMFSL27","Exchange")</f>
        <v>BSE</v>
      </c>
      <c r="D436">
        <f>RTD("nest.scriprtd",,"bse_cm|800MMFSL27","Bid Qty")</f>
        <v>1</v>
      </c>
      <c r="E436">
        <f>RTD("nest.scriprtd",,"bse_cm|800MMFSL27","Bid Rate")</f>
        <v>1007.36</v>
      </c>
      <c r="F436">
        <f>RTD("nest.scriprtd",,"bse_cm|800MMFSL27","Ask Rate")</f>
        <v>1040</v>
      </c>
      <c r="G436">
        <f>RTD("nest.scriprtd",,"bse_cm|800MMFSL27","Ask Qty")</f>
        <v>25</v>
      </c>
      <c r="H436">
        <f>RTD("nest.scriprtd",,"bse_cm|800MMFSL27","LTP")</f>
        <v>0</v>
      </c>
      <c r="I436" t="str">
        <f>RTD("nest.scriprtd",,"bse_cm|800MMFSL27","LTT")</f>
        <v>00:00:00</v>
      </c>
      <c r="J436">
        <f>RTD("nest.scriprtd",,"bse_cm|800MMFSL27","% Change")</f>
        <v>-100</v>
      </c>
      <c r="K436">
        <f>RTD("nest.scriprtd",,"bse_cm|800MMFSL27","ATP")</f>
        <v>0</v>
      </c>
      <c r="L436">
        <f>RTD("nest.scriprtd",,"bse_cm|800MMFSL27","Volume Traded Today")</f>
        <v>0</v>
      </c>
      <c r="M436">
        <f>RTD("nest.scriprtd",,"bse_cm|800MMFSL27","Open")</f>
        <v>0</v>
      </c>
      <c r="N436">
        <f>RTD("nest.scriprtd",,"bse_cm|800MMFSL27","High")</f>
        <v>1002.1</v>
      </c>
      <c r="O436">
        <f>RTD("nest.scriprtd",,"bse_cm|800MMFSL27","Low ")</f>
        <v>1002.02</v>
      </c>
      <c r="P436">
        <f>RTD("nest.scriprtd",,"bse_cm|800MMFSL27","Prev Close")</f>
        <v>1002.1</v>
      </c>
      <c r="Q436">
        <f>RTD("nest.scriprtd",,"bse_cm|800MMFSL27","Face Value")</f>
        <v>1000</v>
      </c>
      <c r="R436" t="str">
        <f>RTD("nest.scriprtd",,"bse_cm|800MMFSL27","Isin code")</f>
        <v>INE774D08MK5</v>
      </c>
      <c r="S436" s="9">
        <f>Table1[[#This Row],[Ask Rate]]*Table1[[#This Row],[Ask Qty]]</f>
        <v>26000</v>
      </c>
      <c r="T436">
        <f>VLOOKUP(Table1[[#This Row],[Isin code]],Table2[#All],7,FALSE)</f>
        <v>8</v>
      </c>
      <c r="U436" s="17" t="str">
        <f>VLOOKUP(Table1[[#This Row],[Isin code]],Table2[#All],8,FALSE)</f>
        <v>24-Jul-2027</v>
      </c>
      <c r="V436" s="10">
        <f ca="1">Table1[[#This Row],[Maturity]]-TODAY()</f>
        <v>1011</v>
      </c>
      <c r="W436" t="str">
        <f>VLOOKUP(Table1[[#This Row],[Isin code]],Table2[#All],10,FALSE)</f>
        <v>Yearly</v>
      </c>
      <c r="X436">
        <f ca="1">_xlfn.DAYS(Table1[[#This Row],[Maturity]],TODAY())-15</f>
        <v>996</v>
      </c>
      <c r="Y4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36">
        <f>IF(Table1[[#This Row],[Ask Rate]]=0,0,Table1[[#This Row],[Face Value]]-Table1[[#This Row],[Ask Rate]])</f>
        <v>-40</v>
      </c>
      <c r="AA436">
        <f>IF(Table1[[#This Row],[Freq]]="Yearly",Table1[[#This Row],[Coupon_Rate]]/100,IF(Table1[[#This Row],[Freq]]="Monthly",Table1[[#This Row],[Coupon_Rate]]/1200,IF(Table1[[#This Row],[Freq]]="Quarterly",Table1[[#This Row],[Coupon_Rate]]/400,0)))</f>
        <v>0.08</v>
      </c>
      <c r="AB436">
        <f ca="1">Table1[[#This Row],[Face Value]]*Table1[[#This Row],[Rate]]*Table1[[#This Row],[Time]]</f>
        <v>240</v>
      </c>
      <c r="AC436">
        <f ca="1">Table1[[#This Row],[SI]]+Table1[[#This Row],[Disc/Prem]]</f>
        <v>200</v>
      </c>
      <c r="AD436" s="3">
        <f ca="1">Table1[[#This Row],[Net Gain]]/Table1[[#This Row],[Ask Rate]]</f>
        <v>0.19230769230769232</v>
      </c>
      <c r="AE436" s="3">
        <f ca="1">IF(Table1[[#This Row],[Ask Qty]]=0,0,Table1[[#This Row],[Gross Yield]]*365/Table1[[#This Row],[Days Left]])</f>
        <v>6.9428593167465566E-2</v>
      </c>
      <c r="AF436" s="9">
        <f ca="1">+Table1[[#This Row],[Net Gain]]*Table1[[#This Row],[Ask Qty]]</f>
        <v>5000</v>
      </c>
      <c r="AG436" t="str">
        <f ca="1">IF(Table1[[#This Row],[YTM]]&gt;0.12,IF(Table1[[#This Row],[Gross Profit]]&gt;10000,"Invest","Review"),"Low YTM")</f>
        <v>Low YTM</v>
      </c>
    </row>
    <row r="437" spans="1:33" x14ac:dyDescent="0.3">
      <c r="A437" t="str">
        <f>RTD("nest.scriprtd",,"bse_cm|715PFCL36","Symbol")</f>
        <v>715PFCL36</v>
      </c>
      <c r="B437" t="str">
        <f>RTD("nest.scriprtd",,"bse_cm|715PFCL36","Trading Symbol")</f>
        <v>715PFCL36</v>
      </c>
      <c r="C437" t="str">
        <f>RTD("nest.scriprtd",,"bse_cm|715PFCL36","Exchange")</f>
        <v>BSE</v>
      </c>
      <c r="D437">
        <f>RTD("nest.scriprtd",,"bse_cm|715PFCL36","Bid Qty")</f>
        <v>500</v>
      </c>
      <c r="E437">
        <f>RTD("nest.scriprtd",,"bse_cm|715PFCL36","Bid Rate")</f>
        <v>1035</v>
      </c>
      <c r="F437">
        <f>RTD("nest.scriprtd",,"bse_cm|715PFCL36","Ask Rate")</f>
        <v>1044.95</v>
      </c>
      <c r="G437">
        <f>RTD("nest.scriprtd",,"bse_cm|715PFCL36","Ask Qty")</f>
        <v>100</v>
      </c>
      <c r="H437">
        <f>RTD("nest.scriprtd",,"bse_cm|715PFCL36","LTP")</f>
        <v>1040</v>
      </c>
      <c r="I437" t="str">
        <f>RTD("nest.scriprtd",,"bse_cm|715PFCL36","LTT")</f>
        <v>15:09:32</v>
      </c>
      <c r="J437">
        <f>RTD("nest.scriprtd",,"bse_cm|715PFCL36","% Change")</f>
        <v>0.48</v>
      </c>
      <c r="K437">
        <f>RTD("nest.scriprtd",,"bse_cm|715PFCL36","ATP")</f>
        <v>1037.76</v>
      </c>
      <c r="L437">
        <f>RTD("nest.scriprtd",,"bse_cm|715PFCL36","Volume Traded Today")</f>
        <v>4068</v>
      </c>
      <c r="M437">
        <f>RTD("nest.scriprtd",,"bse_cm|715PFCL36","Open")</f>
        <v>1030</v>
      </c>
      <c r="N437">
        <f>RTD("nest.scriprtd",,"bse_cm|715PFCL36","High")</f>
        <v>1040</v>
      </c>
      <c r="O437">
        <f>RTD("nest.scriprtd",,"bse_cm|715PFCL36","Low ")</f>
        <v>1030</v>
      </c>
      <c r="P437">
        <f>RTD("nest.scriprtd",,"bse_cm|715PFCL36","Prev Close")</f>
        <v>1035</v>
      </c>
      <c r="Q437">
        <f>RTD("nest.scriprtd",,"bse_cm|715PFCL36","Face Value")</f>
        <v>1000</v>
      </c>
      <c r="R437" t="str">
        <f>RTD("nest.scriprtd",,"bse_cm|715PFCL36","Isin code")</f>
        <v>INE134E07AT8</v>
      </c>
      <c r="S437" s="9">
        <f>Table1[[#This Row],[Ask Rate]]*Table1[[#This Row],[Ask Qty]]</f>
        <v>104495</v>
      </c>
      <c r="T437">
        <f>VLOOKUP(Table1[[#This Row],[Isin code]],Table2[#All],7,FALSE)</f>
        <v>7.1499999999999995</v>
      </c>
      <c r="U437" s="17" t="str">
        <f>VLOOKUP(Table1[[#This Row],[Isin code]],Table2[#All],8,FALSE)</f>
        <v>22-Jan-2036</v>
      </c>
      <c r="V437" s="10">
        <f ca="1">Table1[[#This Row],[Maturity]]-TODAY()</f>
        <v>4115</v>
      </c>
      <c r="W437" t="str">
        <f>VLOOKUP(Table1[[#This Row],[Isin code]],Table2[#All],10,FALSE)</f>
        <v>Yearly</v>
      </c>
      <c r="X437">
        <f ca="1">_xlfn.DAYS(Table1[[#This Row],[Maturity]],TODAY())-15</f>
        <v>4100</v>
      </c>
      <c r="Y4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437">
        <f>IF(Table1[[#This Row],[Ask Rate]]=0,0,Table1[[#This Row],[Face Value]]-Table1[[#This Row],[Ask Rate]])</f>
        <v>-44.950000000000045</v>
      </c>
      <c r="AA437">
        <f>IF(Table1[[#This Row],[Freq]]="Yearly",Table1[[#This Row],[Coupon_Rate]]/100,IF(Table1[[#This Row],[Freq]]="Monthly",Table1[[#This Row],[Coupon_Rate]]/1200,IF(Table1[[#This Row],[Freq]]="Quarterly",Table1[[#This Row],[Coupon_Rate]]/400,0)))</f>
        <v>7.1499999999999994E-2</v>
      </c>
      <c r="AB437">
        <f ca="1">Table1[[#This Row],[Face Value]]*Table1[[#This Row],[Rate]]*Table1[[#This Row],[Time]]</f>
        <v>858</v>
      </c>
      <c r="AC437">
        <f ca="1">Table1[[#This Row],[SI]]+Table1[[#This Row],[Disc/Prem]]</f>
        <v>813.05</v>
      </c>
      <c r="AD437" s="3">
        <f ca="1">Table1[[#This Row],[Net Gain]]/Table1[[#This Row],[Ask Rate]]</f>
        <v>0.77807550600507192</v>
      </c>
      <c r="AE437" s="3">
        <f ca="1">IF(Table1[[#This Row],[Ask Qty]]=0,0,Table1[[#This Row],[Gross Yield]]*365/Table1[[#This Row],[Days Left]])</f>
        <v>6.9015202841276116E-2</v>
      </c>
      <c r="AF437" s="9">
        <f ca="1">+Table1[[#This Row],[Net Gain]]*Table1[[#This Row],[Ask Qty]]</f>
        <v>81305</v>
      </c>
      <c r="AG437" t="str">
        <f ca="1">IF(Table1[[#This Row],[YTM]]&gt;0.12,IF(Table1[[#This Row],[Gross Profit]]&gt;10000,"Invest","Review"),"Low YTM")</f>
        <v>Low YTM</v>
      </c>
    </row>
    <row r="438" spans="1:33" x14ac:dyDescent="0.3">
      <c r="A438" t="str">
        <f>RTD("nest.scriprtd",,"nse_cm|97SFL26-Z9","Symbol")</f>
        <v>97SFL26</v>
      </c>
      <c r="B438" t="str">
        <f>RTD("nest.scriprtd",,"nse_cm|97SFL26-Z9","Trading Symbol")</f>
        <v>97SFL26-Z9</v>
      </c>
      <c r="C438" t="str">
        <f>RTD("nest.scriprtd",,"nse_cm|97SFL26-Z9","Exchange")</f>
        <v>NSE</v>
      </c>
      <c r="D438">
        <f>RTD("nest.scriprtd",,"nse_cm|97SFL26-Z9","Bid Qty")</f>
        <v>10</v>
      </c>
      <c r="E438">
        <f>RTD("nest.scriprtd",,"nse_cm|97SFL26-Z9","Bid Rate")</f>
        <v>1029</v>
      </c>
      <c r="F438">
        <f>RTD("nest.scriprtd",,"nse_cm|97SFL26-Z9","Ask Rate")</f>
        <v>1059.9000000000001</v>
      </c>
      <c r="G438">
        <f>RTD("nest.scriprtd",,"nse_cm|97SFL26-Z9","Ask Qty")</f>
        <v>30</v>
      </c>
      <c r="H438">
        <f>RTD("nest.scriprtd",,"nse_cm|97SFL26-Z9","LTP")</f>
        <v>1011.5</v>
      </c>
      <c r="I438" t="str">
        <f>RTD("nest.scriprtd",,"nse_cm|97SFL26-Z9","LTT")</f>
        <v/>
      </c>
      <c r="J438">
        <f>RTD("nest.scriprtd",,"nse_cm|97SFL26-Z9","% Change")</f>
        <v>0</v>
      </c>
      <c r="K438">
        <f>RTD("nest.scriprtd",,"nse_cm|97SFL26-Z9","ATP")</f>
        <v>0</v>
      </c>
      <c r="L438">
        <f>RTD("nest.scriprtd",,"nse_cm|97SFL26-Z9","Volume Traded Today")</f>
        <v>0</v>
      </c>
      <c r="M438">
        <f>RTD("nest.scriprtd",,"nse_cm|97SFL26-Z9","Open")</f>
        <v>0</v>
      </c>
      <c r="N438">
        <f>RTD("nest.scriprtd",,"nse_cm|97SFL26-Z9","High")</f>
        <v>1049</v>
      </c>
      <c r="O438">
        <f>RTD("nest.scriprtd",,"nse_cm|97SFL26-Z9","Low ")</f>
        <v>1011.21</v>
      </c>
      <c r="P438">
        <f>RTD("nest.scriprtd",,"nse_cm|97SFL26-Z9","Prev Close")</f>
        <v>1011.5</v>
      </c>
      <c r="Q438">
        <f>RTD("nest.scriprtd",,"nse_cm|97SFL26-Z9","Face Value")</f>
        <v>1000</v>
      </c>
      <c r="R438" t="str">
        <f>RTD("nest.scriprtd",,"nse_cm|97SFL26-Z9","Isin code")</f>
        <v>INE721A07PE0</v>
      </c>
      <c r="S438" s="9">
        <f>Table1[[#This Row],[Ask Rate]]*Table1[[#This Row],[Ask Qty]]</f>
        <v>31797.000000000004</v>
      </c>
      <c r="T438">
        <f>VLOOKUP(Table1[[#This Row],[Isin code]],Table2[#All],7,FALSE)</f>
        <v>9.7000000000000011</v>
      </c>
      <c r="U438" s="17" t="str">
        <f>VLOOKUP(Table1[[#This Row],[Isin code]],Table2[#All],8,FALSE)</f>
        <v>22-Aug-2026</v>
      </c>
      <c r="V438" s="10">
        <f ca="1">Table1[[#This Row],[Maturity]]-TODAY()</f>
        <v>675</v>
      </c>
      <c r="W438" t="str">
        <f>VLOOKUP(Table1[[#This Row],[Isin code]],Table2[#All],10,FALSE)</f>
        <v>Yearly</v>
      </c>
      <c r="X438">
        <f ca="1">_xlfn.DAYS(Table1[[#This Row],[Maturity]],TODAY())-15</f>
        <v>660</v>
      </c>
      <c r="Y4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38">
        <f>IF(Table1[[#This Row],[Ask Rate]]=0,0,Table1[[#This Row],[Face Value]]-Table1[[#This Row],[Ask Rate]])</f>
        <v>-59.900000000000091</v>
      </c>
      <c r="AA438">
        <f>IF(Table1[[#This Row],[Freq]]="Yearly",Table1[[#This Row],[Coupon_Rate]]/100,IF(Table1[[#This Row],[Freq]]="Monthly",Table1[[#This Row],[Coupon_Rate]]/1200,IF(Table1[[#This Row],[Freq]]="Quarterly",Table1[[#This Row],[Coupon_Rate]]/400,0)))</f>
        <v>9.7000000000000017E-2</v>
      </c>
      <c r="AB438">
        <f ca="1">Table1[[#This Row],[Face Value]]*Table1[[#This Row],[Rate]]*Table1[[#This Row],[Time]]</f>
        <v>194.00000000000003</v>
      </c>
      <c r="AC438">
        <f ca="1">Table1[[#This Row],[SI]]+Table1[[#This Row],[Disc/Prem]]</f>
        <v>134.09999999999994</v>
      </c>
      <c r="AD438" s="3">
        <f ca="1">Table1[[#This Row],[Net Gain]]/Table1[[#This Row],[Ask Rate]]</f>
        <v>0.12652136994056037</v>
      </c>
      <c r="AE438" s="3">
        <f ca="1">IF(Table1[[#This Row],[Ask Qty]]=0,0,Table1[[#This Row],[Gross Yield]]*365/Table1[[#This Row],[Days Left]])</f>
        <v>6.8415259301191911E-2</v>
      </c>
      <c r="AF438" s="9">
        <f ca="1">+Table1[[#This Row],[Net Gain]]*Table1[[#This Row],[Ask Qty]]</f>
        <v>4022.9999999999982</v>
      </c>
      <c r="AG438" t="str">
        <f ca="1">IF(Table1[[#This Row],[YTM]]&gt;0.12,IF(Table1[[#This Row],[Gross Profit]]&gt;10000,"Invest","Review"),"Low YTM")</f>
        <v>Low YTM</v>
      </c>
    </row>
    <row r="439" spans="1:33" x14ac:dyDescent="0.3">
      <c r="A439" t="str">
        <f>RTD("nest.scriprtd",,"bse_cm|785MFL28","Symbol")</f>
        <v>785MFL28</v>
      </c>
      <c r="B439" t="str">
        <f>RTD("nest.scriprtd",,"bse_cm|785MFL28","Trading Symbol")</f>
        <v>785MFL28</v>
      </c>
      <c r="C439" t="str">
        <f>RTD("nest.scriprtd",,"bse_cm|785MFL28","Exchange")</f>
        <v>BSE</v>
      </c>
      <c r="D439">
        <f>RTD("nest.scriprtd",,"bse_cm|785MFL28","Bid Qty")</f>
        <v>20</v>
      </c>
      <c r="E439">
        <f>RTD("nest.scriprtd",,"bse_cm|785MFL28","Bid Rate")</f>
        <v>920</v>
      </c>
      <c r="F439">
        <f>RTD("nest.scriprtd",,"bse_cm|785MFL28","Ask Rate")</f>
        <v>1030</v>
      </c>
      <c r="G439">
        <f>RTD("nest.scriprtd",,"bse_cm|785MFL28","Ask Qty")</f>
        <v>25</v>
      </c>
      <c r="H439">
        <f>RTD("nest.scriprtd",,"bse_cm|785MFL28","LTP")</f>
        <v>0</v>
      </c>
      <c r="I439" t="str">
        <f>RTD("nest.scriprtd",,"bse_cm|785MFL28","LTT")</f>
        <v>00:00:00</v>
      </c>
      <c r="J439">
        <f>RTD("nest.scriprtd",,"bse_cm|785MFL28","% Change")</f>
        <v>-100</v>
      </c>
      <c r="K439">
        <f>RTD("nest.scriprtd",,"bse_cm|785MFL28","ATP")</f>
        <v>0</v>
      </c>
      <c r="L439">
        <f>RTD("nest.scriprtd",,"bse_cm|785MFL28","Volume Traded Today")</f>
        <v>0</v>
      </c>
      <c r="M439">
        <f>RTD("nest.scriprtd",,"bse_cm|785MFL28","Open")</f>
        <v>0</v>
      </c>
      <c r="N439">
        <f>RTD("nest.scriprtd",,"bse_cm|785MFL28","High")</f>
        <v>994.99</v>
      </c>
      <c r="O439">
        <f>RTD("nest.scriprtd",,"bse_cm|785MFL28","Low ")</f>
        <v>994.99</v>
      </c>
      <c r="P439">
        <f>RTD("nest.scriprtd",,"bse_cm|785MFL28","Prev Close")</f>
        <v>994.99</v>
      </c>
      <c r="Q439">
        <f>RTD("nest.scriprtd",,"bse_cm|785MFL28","Face Value")</f>
        <v>1000</v>
      </c>
      <c r="R439" t="str">
        <f>RTD("nest.scriprtd",,"bse_cm|785MFL28","Isin code")</f>
        <v>INE414G07HM9</v>
      </c>
      <c r="S439" s="9">
        <f>Table1[[#This Row],[Ask Rate]]*Table1[[#This Row],[Ask Qty]]</f>
        <v>25750</v>
      </c>
      <c r="T439">
        <f>VLOOKUP(Table1[[#This Row],[Isin code]],Table2[#All],7,FALSE)</f>
        <v>7.85</v>
      </c>
      <c r="U439" s="17" t="str">
        <f>VLOOKUP(Table1[[#This Row],[Isin code]],Table2[#All],8,FALSE)</f>
        <v>10-Apr-2028</v>
      </c>
      <c r="V439" s="10">
        <f ca="1">Table1[[#This Row],[Maturity]]-TODAY()</f>
        <v>1272</v>
      </c>
      <c r="W439" t="str">
        <f>VLOOKUP(Table1[[#This Row],[Isin code]],Table2[#All],10,FALSE)</f>
        <v>Monthly</v>
      </c>
      <c r="X439">
        <f ca="1">_xlfn.DAYS(Table1[[#This Row],[Maturity]],TODAY())-15</f>
        <v>1257</v>
      </c>
      <c r="Y4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42</v>
      </c>
      <c r="Z439">
        <f>IF(Table1[[#This Row],[Ask Rate]]=0,0,Table1[[#This Row],[Face Value]]-Table1[[#This Row],[Ask Rate]])</f>
        <v>-30</v>
      </c>
      <c r="AA439">
        <f>IF(Table1[[#This Row],[Freq]]="Yearly",Table1[[#This Row],[Coupon_Rate]]/100,IF(Table1[[#This Row],[Freq]]="Monthly",Table1[[#This Row],[Coupon_Rate]]/1200,IF(Table1[[#This Row],[Freq]]="Quarterly",Table1[[#This Row],[Coupon_Rate]]/400,0)))</f>
        <v>6.5416666666666661E-3</v>
      </c>
      <c r="AB439">
        <f ca="1">Table1[[#This Row],[Face Value]]*Table1[[#This Row],[Rate]]*Table1[[#This Row],[Time]]</f>
        <v>274.75</v>
      </c>
      <c r="AC439">
        <f ca="1">Table1[[#This Row],[SI]]+Table1[[#This Row],[Disc/Prem]]</f>
        <v>244.75</v>
      </c>
      <c r="AD439" s="3">
        <f ca="1">Table1[[#This Row],[Net Gain]]/Table1[[#This Row],[Ask Rate]]</f>
        <v>0.23762135922330097</v>
      </c>
      <c r="AE439" s="3">
        <f ca="1">IF(Table1[[#This Row],[Ask Qty]]=0,0,Table1[[#This Row],[Gross Yield]]*365/Table1[[#This Row],[Days Left]])</f>
        <v>6.8185374305428342E-2</v>
      </c>
      <c r="AF439" s="9">
        <f ca="1">+Table1[[#This Row],[Net Gain]]*Table1[[#This Row],[Ask Qty]]</f>
        <v>6118.75</v>
      </c>
      <c r="AG439" t="str">
        <f ca="1">IF(Table1[[#This Row],[YTM]]&gt;0.12,IF(Table1[[#This Row],[Gross Profit]]&gt;10000,"Invest","Review"),"Low YTM")</f>
        <v>Low YTM</v>
      </c>
    </row>
    <row r="440" spans="1:33" x14ac:dyDescent="0.3">
      <c r="A440" t="str">
        <f>RTD("nest.scriprtd",,"bse_cm|920PEL28","Symbol")</f>
        <v>920PEL28</v>
      </c>
      <c r="B440" t="str">
        <f>RTD("nest.scriprtd",,"bse_cm|920PEL28","Trading Symbol")</f>
        <v>920PEL28</v>
      </c>
      <c r="C440" t="str">
        <f>RTD("nest.scriprtd",,"bse_cm|920PEL28","Exchange")</f>
        <v>BSE</v>
      </c>
      <c r="D440">
        <f>RTD("nest.scriprtd",,"bse_cm|920PEL28","Bid Qty")</f>
        <v>10</v>
      </c>
      <c r="E440">
        <f>RTD("nest.scriprtd",,"bse_cm|920PEL28","Bid Rate")</f>
        <v>899.95</v>
      </c>
      <c r="F440">
        <f>RTD("nest.scriprtd",,"bse_cm|920PEL28","Ask Rate")</f>
        <v>1144</v>
      </c>
      <c r="G440">
        <f>RTD("nest.scriprtd",,"bse_cm|920PEL28","Ask Qty")</f>
        <v>250</v>
      </c>
      <c r="H440">
        <f>RTD("nest.scriprtd",,"bse_cm|920PEL28","LTP")</f>
        <v>0</v>
      </c>
      <c r="I440" t="str">
        <f>RTD("nest.scriprtd",,"bse_cm|920PEL28","LTT")</f>
        <v>00:00:00</v>
      </c>
      <c r="J440">
        <f>RTD("nest.scriprtd",,"bse_cm|920PEL28","% Change")</f>
        <v>-100</v>
      </c>
      <c r="K440">
        <f>RTD("nest.scriprtd",,"bse_cm|920PEL28","ATP")</f>
        <v>0</v>
      </c>
      <c r="L440">
        <f>RTD("nest.scriprtd",,"bse_cm|920PEL28","Volume Traded Today")</f>
        <v>0</v>
      </c>
      <c r="M440">
        <f>RTD("nest.scriprtd",,"bse_cm|920PEL28","Open")</f>
        <v>0</v>
      </c>
      <c r="N440">
        <f>RTD("nest.scriprtd",,"bse_cm|920PEL28","High")</f>
        <v>1057.55</v>
      </c>
      <c r="O440">
        <f>RTD("nest.scriprtd",,"bse_cm|920PEL28","Low ")</f>
        <v>1057.55</v>
      </c>
      <c r="P440">
        <f>RTD("nest.scriprtd",,"bse_cm|920PEL28","Prev Close")</f>
        <v>1057.55</v>
      </c>
      <c r="Q440">
        <f>RTD("nest.scriprtd",,"bse_cm|920PEL28","Face Value")</f>
        <v>1000</v>
      </c>
      <c r="R440" t="str">
        <f>RTD("nest.scriprtd",,"bse_cm|920PEL28","Isin code")</f>
        <v>INE140A07765</v>
      </c>
      <c r="S440" s="9">
        <f>Table1[[#This Row],[Ask Rate]]*Table1[[#This Row],[Ask Qty]]</f>
        <v>286000</v>
      </c>
      <c r="T440">
        <f>VLOOKUP(Table1[[#This Row],[Isin code]],Table2[#All],7,FALSE)</f>
        <v>9.1999999999999993</v>
      </c>
      <c r="U440" s="17" t="str">
        <f>VLOOKUP(Table1[[#This Row],[Isin code]],Table2[#All],8,FALSE)</f>
        <v>03-Nov-2028</v>
      </c>
      <c r="V440" s="10">
        <f ca="1">Table1[[#This Row],[Maturity]]-TODAY()</f>
        <v>1479</v>
      </c>
      <c r="W440" t="str">
        <f>VLOOKUP(Table1[[#This Row],[Isin code]],Table2[#All],10,FALSE)</f>
        <v>Yearly</v>
      </c>
      <c r="X440">
        <f ca="1">_xlfn.DAYS(Table1[[#This Row],[Maturity]],TODAY())-15</f>
        <v>1464</v>
      </c>
      <c r="Y4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440">
        <f>IF(Table1[[#This Row],[Ask Rate]]=0,0,Table1[[#This Row],[Face Value]]-Table1[[#This Row],[Ask Rate]])</f>
        <v>-144</v>
      </c>
      <c r="AA440">
        <f>IF(Table1[[#This Row],[Freq]]="Yearly",Table1[[#This Row],[Coupon_Rate]]/100,IF(Table1[[#This Row],[Freq]]="Monthly",Table1[[#This Row],[Coupon_Rate]]/1200,IF(Table1[[#This Row],[Freq]]="Quarterly",Table1[[#This Row],[Coupon_Rate]]/400,0)))</f>
        <v>9.1999999999999998E-2</v>
      </c>
      <c r="AB440">
        <f ca="1">Table1[[#This Row],[Face Value]]*Table1[[#This Row],[Rate]]*Table1[[#This Row],[Time]]</f>
        <v>460</v>
      </c>
      <c r="AC440">
        <f ca="1">Table1[[#This Row],[SI]]+Table1[[#This Row],[Disc/Prem]]</f>
        <v>316</v>
      </c>
      <c r="AD440" s="3">
        <f ca="1">Table1[[#This Row],[Net Gain]]/Table1[[#This Row],[Ask Rate]]</f>
        <v>0.2762237762237762</v>
      </c>
      <c r="AE440" s="3">
        <f ca="1">IF(Table1[[#This Row],[Ask Qty]]=0,0,Table1[[#This Row],[Gross Yield]]*365/Table1[[#This Row],[Days Left]])</f>
        <v>6.8168815633318669E-2</v>
      </c>
      <c r="AF440" s="9">
        <f ca="1">+Table1[[#This Row],[Net Gain]]*Table1[[#This Row],[Ask Qty]]</f>
        <v>79000</v>
      </c>
      <c r="AG440" t="str">
        <f ca="1">IF(Table1[[#This Row],[YTM]]&gt;0.12,IF(Table1[[#This Row],[Gross Profit]]&gt;10000,"Invest","Review"),"Low YTM")</f>
        <v>Low YTM</v>
      </c>
    </row>
    <row r="441" spans="1:33" hidden="1" x14ac:dyDescent="0.3">
      <c r="A441" t="str">
        <f>RTD("nest.scriprtd",,"bse_cm|9SFL25A","Symbol")</f>
        <v>9SFL25A</v>
      </c>
      <c r="B441" t="str">
        <f>RTD("nest.scriprtd",,"bse_cm|9SFL25A","Trading Symbol")</f>
        <v>9SFL25A</v>
      </c>
      <c r="C441" t="str">
        <f>RTD("nest.scriprtd",,"bse_cm|9SFL25A","Exchange")</f>
        <v>BSE</v>
      </c>
      <c r="D441">
        <f>RTD("nest.scriprtd",,"bse_cm|9SFL25A","Bid Qty")</f>
        <v>11</v>
      </c>
      <c r="E441">
        <f>RTD("nest.scriprtd",,"bse_cm|9SFL25A","Bid Rate")</f>
        <v>1050.1099999999999</v>
      </c>
      <c r="F441">
        <f>RTD("nest.scriprtd",,"bse_cm|9SFL25A","Ask Rate")</f>
        <v>1069.8</v>
      </c>
      <c r="G441">
        <f>RTD("nest.scriprtd",,"bse_cm|9SFL25A","Ask Qty")</f>
        <v>50</v>
      </c>
      <c r="H441">
        <f>RTD("nest.scriprtd",,"bse_cm|9SFL25A","LTP")</f>
        <v>0</v>
      </c>
      <c r="I441" t="str">
        <f>RTD("nest.scriprtd",,"bse_cm|9SFL25A","LTT")</f>
        <v>00:00:00</v>
      </c>
      <c r="J441">
        <f>RTD("nest.scriprtd",,"bse_cm|9SFL25A","% Change")</f>
        <v>-100</v>
      </c>
      <c r="K441">
        <f>RTD("nest.scriprtd",,"bse_cm|9SFL25A","ATP")</f>
        <v>0</v>
      </c>
      <c r="L441">
        <f>RTD("nest.scriprtd",,"bse_cm|9SFL25A","Volume Traded Today")</f>
        <v>0</v>
      </c>
      <c r="M441">
        <f>RTD("nest.scriprtd",,"bse_cm|9SFL25A","Open")</f>
        <v>0</v>
      </c>
      <c r="N441">
        <f>RTD("nest.scriprtd",,"bse_cm|9SFL25A","High")</f>
        <v>1051</v>
      </c>
      <c r="O441">
        <f>RTD("nest.scriprtd",,"bse_cm|9SFL25A","Low ")</f>
        <v>1050.01</v>
      </c>
      <c r="P441">
        <f>RTD("nest.scriprtd",,"bse_cm|9SFL25A","Prev Close")</f>
        <v>1050.1099999999999</v>
      </c>
      <c r="Q441">
        <f>RTD("nest.scriprtd",,"bse_cm|9SFL25A","Face Value")</f>
        <v>1000</v>
      </c>
      <c r="R441" t="str">
        <f>RTD("nest.scriprtd",,"bse_cm|9SFL25A","Isin code")</f>
        <v>INE721A07PM3</v>
      </c>
      <c r="S441" s="9">
        <f>Table1[[#This Row],[Ask Rate]]*Table1[[#This Row],[Ask Qty]]</f>
        <v>53490</v>
      </c>
      <c r="T441">
        <f>VLOOKUP(Table1[[#This Row],[Isin code]],Table2[#All],7,FALSE)</f>
        <v>9</v>
      </c>
      <c r="U441" s="17" t="str">
        <f>VLOOKUP(Table1[[#This Row],[Isin code]],Table2[#All],8,FALSE)</f>
        <v>28-Jan-2025</v>
      </c>
      <c r="V441" s="10">
        <f ca="1">Table1[[#This Row],[Maturity]]-TODAY()</f>
        <v>104</v>
      </c>
      <c r="W441" t="str">
        <f>VLOOKUP(Table1[[#This Row],[Isin code]],Table2[#All],10,FALSE)</f>
        <v>Yearly</v>
      </c>
      <c r="X441">
        <f ca="1">_xlfn.DAYS(Table1[[#This Row],[Maturity]],TODAY())-15</f>
        <v>89</v>
      </c>
      <c r="Y4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41">
        <f>IF(Table1[[#This Row],[Ask Rate]]=0,0,Table1[[#This Row],[Face Value]]-Table1[[#This Row],[Ask Rate]])</f>
        <v>-69.799999999999955</v>
      </c>
      <c r="AA441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441">
        <f ca="1">Table1[[#This Row],[Face Value]]*Table1[[#This Row],[Rate]]*Table1[[#This Row],[Time]]</f>
        <v>90</v>
      </c>
      <c r="AC441">
        <f ca="1">Table1[[#This Row],[SI]]+Table1[[#This Row],[Disc/Prem]]</f>
        <v>20.200000000000045</v>
      </c>
      <c r="AD441" s="3">
        <f ca="1">Table1[[#This Row],[Net Gain]]/Table1[[#This Row],[Ask Rate]]</f>
        <v>1.8882034025051456E-2</v>
      </c>
      <c r="AE441" s="3">
        <f ca="1">IF(Table1[[#This Row],[Ask Qty]]=0,0,Table1[[#This Row],[Gross Yield]]*365/Table1[[#This Row],[Days Left]])</f>
        <v>6.6268677107151744E-2</v>
      </c>
      <c r="AF441" s="9">
        <f ca="1">+Table1[[#This Row],[Net Gain]]*Table1[[#This Row],[Ask Qty]]</f>
        <v>1010.0000000000023</v>
      </c>
      <c r="AG441" t="str">
        <f ca="1">IF(Table1[[#This Row],[YTM]]&gt;0.12,IF(Table1[[#This Row],[Gross Profit]]&gt;10000,"Invest","Review"),"Low YTM")</f>
        <v>Low YTM</v>
      </c>
    </row>
    <row r="442" spans="1:33" x14ac:dyDescent="0.3">
      <c r="A442" t="str">
        <f>RTD("nest.scriprtd",,"bse_cm|739NHAI26","Symbol")</f>
        <v>739NHAI26</v>
      </c>
      <c r="B442" t="str">
        <f>RTD("nest.scriprtd",,"bse_cm|739NHAI26","Trading Symbol")</f>
        <v>739NHAI26</v>
      </c>
      <c r="C442" t="str">
        <f>RTD("nest.scriprtd",,"bse_cm|739NHAI26","Exchange")</f>
        <v>BSE</v>
      </c>
      <c r="D442">
        <f>RTD("nest.scriprtd",,"bse_cm|739NHAI26","Bid Qty")</f>
        <v>1</v>
      </c>
      <c r="E442">
        <f>RTD("nest.scriprtd",,"bse_cm|739NHAI26","Bid Rate")</f>
        <v>1052.01</v>
      </c>
      <c r="F442">
        <f>RTD("nest.scriprtd",,"bse_cm|739NHAI26","Ask Rate")</f>
        <v>1058.99</v>
      </c>
      <c r="G442">
        <f>RTD("nest.scriprtd",,"bse_cm|739NHAI26","Ask Qty")</f>
        <v>15</v>
      </c>
      <c r="H442">
        <f>RTD("nest.scriprtd",,"bse_cm|739NHAI26","LTP")</f>
        <v>1051.5</v>
      </c>
      <c r="I442" t="str">
        <f>RTD("nest.scriprtd",,"bse_cm|739NHAI26","LTT")</f>
        <v>09:26:43</v>
      </c>
      <c r="J442">
        <f>RTD("nest.scriprtd",,"bse_cm|739NHAI26","% Change")</f>
        <v>-0.71</v>
      </c>
      <c r="K442">
        <f>RTD("nest.scriprtd",,"bse_cm|739NHAI26","ATP")</f>
        <v>1059</v>
      </c>
      <c r="L442">
        <f>RTD("nest.scriprtd",,"bse_cm|739NHAI26","Volume Traded Today")</f>
        <v>1</v>
      </c>
      <c r="M442">
        <f>RTD("nest.scriprtd",,"bse_cm|739NHAI26","Open")</f>
        <v>1059</v>
      </c>
      <c r="N442">
        <f>RTD("nest.scriprtd",,"bse_cm|739NHAI26","High")</f>
        <v>1059</v>
      </c>
      <c r="O442">
        <f>RTD("nest.scriprtd",,"bse_cm|739NHAI26","Low ")</f>
        <v>1051.5</v>
      </c>
      <c r="P442">
        <f>RTD("nest.scriprtd",,"bse_cm|739NHAI26","Prev Close")</f>
        <v>1059</v>
      </c>
      <c r="Q442">
        <f>RTD("nest.scriprtd",,"bse_cm|739NHAI26","Face Value")</f>
        <v>1000</v>
      </c>
      <c r="R442" t="str">
        <f>RTD("nest.scriprtd",,"bse_cm|739NHAI26","Isin code")</f>
        <v>INE906B07EH2</v>
      </c>
      <c r="S442" s="9">
        <f>Table1[[#This Row],[Ask Rate]]*Table1[[#This Row],[Ask Qty]]</f>
        <v>15884.85</v>
      </c>
      <c r="T442">
        <f>VLOOKUP(Table1[[#This Row],[Isin code]],Table2[#All],7,FALSE)</f>
        <v>7.39</v>
      </c>
      <c r="U442" s="17" t="str">
        <f>VLOOKUP(Table1[[#This Row],[Isin code]],Table2[#All],8,FALSE)</f>
        <v>11-Jan-2026</v>
      </c>
      <c r="V442" s="10">
        <f ca="1">Table1[[#This Row],[Maturity]]-TODAY()</f>
        <v>452</v>
      </c>
      <c r="W442" t="str">
        <f>VLOOKUP(Table1[[#This Row],[Isin code]],Table2[#All],10,FALSE)</f>
        <v>Yearly</v>
      </c>
      <c r="X442">
        <f ca="1">_xlfn.DAYS(Table1[[#This Row],[Maturity]],TODAY())-15</f>
        <v>437</v>
      </c>
      <c r="Y4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42">
        <f>IF(Table1[[#This Row],[Ask Rate]]=0,0,Table1[[#This Row],[Face Value]]-Table1[[#This Row],[Ask Rate]])</f>
        <v>-58.990000000000009</v>
      </c>
      <c r="AA442">
        <f>IF(Table1[[#This Row],[Freq]]="Yearly",Table1[[#This Row],[Coupon_Rate]]/100,IF(Table1[[#This Row],[Freq]]="Monthly",Table1[[#This Row],[Coupon_Rate]]/1200,IF(Table1[[#This Row],[Freq]]="Quarterly",Table1[[#This Row],[Coupon_Rate]]/400,0)))</f>
        <v>7.3899999999999993E-2</v>
      </c>
      <c r="AB442">
        <f ca="1">Table1[[#This Row],[Face Value]]*Table1[[#This Row],[Rate]]*Table1[[#This Row],[Time]]</f>
        <v>147.79999999999998</v>
      </c>
      <c r="AC442">
        <f ca="1">Table1[[#This Row],[SI]]+Table1[[#This Row],[Disc/Prem]]</f>
        <v>88.809999999999974</v>
      </c>
      <c r="AD442" s="3">
        <f ca="1">Table1[[#This Row],[Net Gain]]/Table1[[#This Row],[Ask Rate]]</f>
        <v>8.3862925995524015E-2</v>
      </c>
      <c r="AE442" s="3">
        <f ca="1">IF(Table1[[#This Row],[Ask Qty]]=0,0,Table1[[#This Row],[Gross Yield]]*365/Table1[[#This Row],[Days Left]])</f>
        <v>6.7721168115854574E-2</v>
      </c>
      <c r="AF442" s="9">
        <f ca="1">+Table1[[#This Row],[Net Gain]]*Table1[[#This Row],[Ask Qty]]</f>
        <v>1332.1499999999996</v>
      </c>
      <c r="AG442" t="str">
        <f ca="1">IF(Table1[[#This Row],[YTM]]&gt;0.12,IF(Table1[[#This Row],[Gross Profit]]&gt;10000,"Invest","Review"),"Low YTM")</f>
        <v>Low YTM</v>
      </c>
    </row>
    <row r="443" spans="1:33" x14ac:dyDescent="0.3">
      <c r="A443" t="str">
        <f>RTD("nest.scriprtd",,"bse_cm|849NTPC25","Symbol")</f>
        <v>849NTPC25</v>
      </c>
      <c r="B443" t="str">
        <f>RTD("nest.scriprtd",,"bse_cm|849NTPC25","Trading Symbol")</f>
        <v>849NTPC25</v>
      </c>
      <c r="C443" t="str">
        <f>RTD("nest.scriprtd",,"bse_cm|849NTPC25","Exchange")</f>
        <v>BSE</v>
      </c>
      <c r="D443">
        <f>RTD("nest.scriprtd",,"bse_cm|849NTPC25","Bid Qty")</f>
        <v>15000</v>
      </c>
      <c r="E443">
        <f>RTD("nest.scriprtd",,"bse_cm|849NTPC25","Bid Rate")</f>
        <v>5.21</v>
      </c>
      <c r="F443">
        <f>RTD("nest.scriprtd",,"bse_cm|849NTPC25","Ask Rate")</f>
        <v>5.27</v>
      </c>
      <c r="G443">
        <f>RTD("nest.scriprtd",,"bse_cm|849NTPC25","Ask Qty")</f>
        <v>10580</v>
      </c>
      <c r="H443">
        <f>RTD("nest.scriprtd",,"bse_cm|849NTPC25","LTP")</f>
        <v>5.24</v>
      </c>
      <c r="I443" t="str">
        <f>RTD("nest.scriprtd",,"bse_cm|849NTPC25","LTT")</f>
        <v>11:23:47</v>
      </c>
      <c r="J443">
        <f>RTD("nest.scriprtd",,"bse_cm|849NTPC25","% Change")</f>
        <v>0.38</v>
      </c>
      <c r="K443">
        <f>RTD("nest.scriprtd",,"bse_cm|849NTPC25","ATP")</f>
        <v>5.22</v>
      </c>
      <c r="L443">
        <f>RTD("nest.scriprtd",,"bse_cm|849NTPC25","Volume Traded Today")</f>
        <v>24820</v>
      </c>
      <c r="M443">
        <f>RTD("nest.scriprtd",,"bse_cm|849NTPC25","Open")</f>
        <v>5.26</v>
      </c>
      <c r="N443">
        <f>RTD("nest.scriprtd",,"bse_cm|849NTPC25","High")</f>
        <v>5.26</v>
      </c>
      <c r="O443">
        <f>RTD("nest.scriprtd",,"bse_cm|849NTPC25","Low ")</f>
        <v>5.21</v>
      </c>
      <c r="P443">
        <f>RTD("nest.scriprtd",,"bse_cm|849NTPC25","Prev Close")</f>
        <v>5.22</v>
      </c>
      <c r="Q443">
        <f>RTD("nest.scriprtd",,"bse_cm|849NTPC25","Face Value")</f>
        <v>5</v>
      </c>
      <c r="R443" t="str">
        <f>RTD("nest.scriprtd",,"bse_cm|849NTPC25","Isin code")</f>
        <v>INE733E07JP6</v>
      </c>
      <c r="S443" s="9">
        <f>Table1[[#This Row],[Ask Rate]]*Table1[[#This Row],[Ask Qty]]</f>
        <v>55756.6</v>
      </c>
      <c r="T443">
        <f>VLOOKUP(Table1[[#This Row],[Isin code]],Table2[#All],7,FALSE)</f>
        <v>8.49</v>
      </c>
      <c r="U443" s="17" t="str">
        <f>VLOOKUP(Table1[[#This Row],[Isin code]],Table2[#All],8,FALSE)</f>
        <v>25-Mar-2025</v>
      </c>
      <c r="V443" s="10">
        <f ca="1">Table1[[#This Row],[Maturity]]-TODAY()</f>
        <v>160</v>
      </c>
      <c r="W443" t="str">
        <f>VLOOKUP(Table1[[#This Row],[Isin code]],Table2[#All],10,FALSE)</f>
        <v>Yearly</v>
      </c>
      <c r="X443">
        <f ca="1">_xlfn.DAYS(Table1[[#This Row],[Maturity]],TODAY())-15</f>
        <v>145</v>
      </c>
      <c r="Y4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43">
        <f>IF(Table1[[#This Row],[Ask Rate]]=0,0,Table1[[#This Row],[Face Value]]-Table1[[#This Row],[Ask Rate]])</f>
        <v>-0.26999999999999957</v>
      </c>
      <c r="AA443">
        <f>IF(Table1[[#This Row],[Freq]]="Yearly",Table1[[#This Row],[Coupon_Rate]]/100,IF(Table1[[#This Row],[Freq]]="Monthly",Table1[[#This Row],[Coupon_Rate]]/1200,IF(Table1[[#This Row],[Freq]]="Quarterly",Table1[[#This Row],[Coupon_Rate]]/400,0)))</f>
        <v>8.4900000000000003E-2</v>
      </c>
      <c r="AB443">
        <f ca="1">Table1[[#This Row],[Face Value]]*Table1[[#This Row],[Rate]]*Table1[[#This Row],[Time]]</f>
        <v>0.42449999999999999</v>
      </c>
      <c r="AC443">
        <f ca="1">Table1[[#This Row],[SI]]+Table1[[#This Row],[Disc/Prem]]</f>
        <v>0.15450000000000041</v>
      </c>
      <c r="AD443" s="3">
        <f ca="1">Table1[[#This Row],[Net Gain]]/Table1[[#This Row],[Ask Rate]]</f>
        <v>2.9316888045540879E-2</v>
      </c>
      <c r="AE443" s="3">
        <f ca="1">IF(Table1[[#This Row],[Ask Qty]]=0,0,Table1[[#This Row],[Gross Yield]]*365/Table1[[#This Row],[Days Left]])</f>
        <v>6.6879150853890137E-2</v>
      </c>
      <c r="AF443" s="9">
        <f ca="1">+Table1[[#This Row],[Net Gain]]*Table1[[#This Row],[Ask Qty]]</f>
        <v>1634.6100000000044</v>
      </c>
      <c r="AG443" t="str">
        <f ca="1">IF(Table1[[#This Row],[YTM]]&gt;0.12,IF(Table1[[#This Row],[Gross Profit]]&gt;10000,"Invest","Review"),"Low YTM")</f>
        <v>Low YTM</v>
      </c>
    </row>
    <row r="444" spans="1:33" x14ac:dyDescent="0.3">
      <c r="A444" t="str">
        <f>RTD("nest.scriprtd",,"bse_cm|10SCL30A","Symbol")</f>
        <v>10SCL30A</v>
      </c>
      <c r="B444" t="str">
        <f>RTD("nest.scriprtd",,"bse_cm|10SCL30A","Trading Symbol")</f>
        <v>10SCL30A</v>
      </c>
      <c r="C444" t="str">
        <f>RTD("nest.scriprtd",,"bse_cm|10SCL30A","Exchange")</f>
        <v>BSE</v>
      </c>
      <c r="D444">
        <f>RTD("nest.scriprtd",,"bse_cm|10SCL30A","Bid Qty")</f>
        <v>1</v>
      </c>
      <c r="E444">
        <f>RTD("nest.scriprtd",,"bse_cm|10SCL30A","Bid Rate")</f>
        <v>811</v>
      </c>
      <c r="F444">
        <f>RTD("nest.scriprtd",,"bse_cm|10SCL30A","Ask Rate")</f>
        <v>880</v>
      </c>
      <c r="G444">
        <f>RTD("nest.scriprtd",,"bse_cm|10SCL30A","Ask Qty")</f>
        <v>52</v>
      </c>
      <c r="H444">
        <f>RTD("nest.scriprtd",,"bse_cm|10SCL30A","LTP")</f>
        <v>880</v>
      </c>
      <c r="I444" t="str">
        <f>RTD("nest.scriprtd",,"bse_cm|10SCL30A","LTT")</f>
        <v>10:33:06</v>
      </c>
      <c r="J444">
        <f>RTD("nest.scriprtd",,"bse_cm|10SCL30A","% Change")</f>
        <v>-2</v>
      </c>
      <c r="K444">
        <f>RTD("nest.scriprtd",,"bse_cm|10SCL30A","ATP")</f>
        <v>893.01</v>
      </c>
      <c r="L444">
        <f>RTD("nest.scriprtd",,"bse_cm|10SCL30A","Volume Traded Today")</f>
        <v>51</v>
      </c>
      <c r="M444">
        <f>RTD("nest.scriprtd",,"bse_cm|10SCL30A","Open")</f>
        <v>963</v>
      </c>
      <c r="N444">
        <f>RTD("nest.scriprtd",,"bse_cm|10SCL30A","High")</f>
        <v>963</v>
      </c>
      <c r="O444">
        <f>RTD("nest.scriprtd",,"bse_cm|10SCL30A","Low ")</f>
        <v>880</v>
      </c>
      <c r="P444">
        <f>RTD("nest.scriprtd",,"bse_cm|10SCL30A","Prev Close")</f>
        <v>898</v>
      </c>
      <c r="Q444">
        <f>RTD("nest.scriprtd",,"bse_cm|10SCL30A","Face Value")</f>
        <v>800</v>
      </c>
      <c r="R444" t="str">
        <f>RTD("nest.scriprtd",,"bse_cm|10SCL30A","Isin code")</f>
        <v>INE148I07PO8</v>
      </c>
      <c r="S444" s="9">
        <f>Table1[[#This Row],[Ask Rate]]*Table1[[#This Row],[Ask Qty]]</f>
        <v>45760</v>
      </c>
      <c r="T444">
        <f>VLOOKUP(Table1[[#This Row],[Isin code]],Table2[#All],7,FALSE)</f>
        <v>9.7100000000000009</v>
      </c>
      <c r="U444" s="17" t="str">
        <f>VLOOKUP(Table1[[#This Row],[Isin code]],Table2[#All],8,FALSE)</f>
        <v>26-Sep-2028</v>
      </c>
      <c r="V444" s="10">
        <f ca="1">Table1[[#This Row],[Maturity]]-TODAY()</f>
        <v>1441</v>
      </c>
      <c r="W444" t="str">
        <f>VLOOKUP(Table1[[#This Row],[Isin code]],Table2[#All],10,FALSE)</f>
        <v>Monthly</v>
      </c>
      <c r="X444">
        <f ca="1">_xlfn.DAYS(Table1[[#This Row],[Maturity]],TODAY())-15</f>
        <v>1426</v>
      </c>
      <c r="Y4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444">
        <f>IF(Table1[[#This Row],[Ask Rate]]=0,0,Table1[[#This Row],[Face Value]]-Table1[[#This Row],[Ask Rate]])</f>
        <v>-80</v>
      </c>
      <c r="AA444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444">
        <f ca="1">Table1[[#This Row],[Face Value]]*Table1[[#This Row],[Rate]]*Table1[[#This Row],[Time]]</f>
        <v>310.72000000000003</v>
      </c>
      <c r="AC444">
        <f ca="1">Table1[[#This Row],[SI]]+Table1[[#This Row],[Disc/Prem]]</f>
        <v>230.72000000000003</v>
      </c>
      <c r="AD444" s="3">
        <f ca="1">Table1[[#This Row],[Net Gain]]/Table1[[#This Row],[Ask Rate]]</f>
        <v>0.26218181818181824</v>
      </c>
      <c r="AE444" s="3">
        <f ca="1">IF(Table1[[#This Row],[Ask Qty]]=0,0,Table1[[#This Row],[Gross Yield]]*365/Table1[[#This Row],[Days Left]])</f>
        <v>6.6409690240363403E-2</v>
      </c>
      <c r="AF444" s="9">
        <f ca="1">+Table1[[#This Row],[Net Gain]]*Table1[[#This Row],[Ask Qty]]</f>
        <v>11997.440000000002</v>
      </c>
      <c r="AG444" t="str">
        <f ca="1">IF(Table1[[#This Row],[YTM]]&gt;0.12,IF(Table1[[#This Row],[Gross Profit]]&gt;10000,"Invest","Review"),"Low YTM")</f>
        <v>Low YTM</v>
      </c>
    </row>
    <row r="445" spans="1:33" x14ac:dyDescent="0.3">
      <c r="A445" t="str">
        <f>RTD("nest.scriprtd",,"nse_cm|10SCL30A-BV","Symbol")</f>
        <v>10SCL30A</v>
      </c>
      <c r="B445" t="str">
        <f>RTD("nest.scriprtd",,"nse_cm|10SCL30A-BV","Trading Symbol")</f>
        <v>10SCL30A-BV</v>
      </c>
      <c r="C445" t="str">
        <f>RTD("nest.scriprtd",,"nse_cm|10SCL30A-BV","Exchange")</f>
        <v>NSE</v>
      </c>
      <c r="D445">
        <f>RTD("nest.scriprtd",,"nse_cm|10SCL30A-BV","Bid Qty")</f>
        <v>0</v>
      </c>
      <c r="E445">
        <f>RTD("nest.scriprtd",,"nse_cm|10SCL30A-BV","Bid Rate")</f>
        <v>0</v>
      </c>
      <c r="F445">
        <f>RTD("nest.scriprtd",,"nse_cm|10SCL30A-BV","Ask Rate")</f>
        <v>880</v>
      </c>
      <c r="G445">
        <f>RTD("nest.scriprtd",,"nse_cm|10SCL30A-BV","Ask Qty")</f>
        <v>86</v>
      </c>
      <c r="H445">
        <f>RTD("nest.scriprtd",,"nse_cm|10SCL30A-BV","LTP")</f>
        <v>880</v>
      </c>
      <c r="I445" t="str">
        <f>RTD("nest.scriprtd",,"nse_cm|10SCL30A-BV","LTT")</f>
        <v>10:32:50</v>
      </c>
      <c r="J445">
        <f>RTD("nest.scriprtd",,"nse_cm|10SCL30A-BV","% Change")</f>
        <v>-2</v>
      </c>
      <c r="K445">
        <f>RTD("nest.scriprtd",,"nse_cm|10SCL30A-BV","ATP")</f>
        <v>893.01</v>
      </c>
      <c r="L445">
        <f>RTD("nest.scriprtd",,"nse_cm|10SCL30A-BV","Volume Traded Today")</f>
        <v>51</v>
      </c>
      <c r="M445">
        <f>RTD("nest.scriprtd",,"nse_cm|10SCL30A-BV","Open")</f>
        <v>963</v>
      </c>
      <c r="N445">
        <f>RTD("nest.scriprtd",,"nse_cm|10SCL30A-BV","High")</f>
        <v>963</v>
      </c>
      <c r="O445">
        <f>RTD("nest.scriprtd",,"nse_cm|10SCL30A-BV","Low ")</f>
        <v>880</v>
      </c>
      <c r="P445">
        <f>RTD("nest.scriprtd",,"nse_cm|10SCL30A-BV","Prev Close")</f>
        <v>898</v>
      </c>
      <c r="Q445">
        <f>RTD("nest.scriprtd",,"nse_cm|10SCL30A-BV","Face Value")</f>
        <v>800</v>
      </c>
      <c r="R445" t="str">
        <f>RTD("nest.scriprtd",,"nse_cm|10SCL30A-BV","Isin code")</f>
        <v>INE148I07PO8</v>
      </c>
      <c r="S445" s="9">
        <f>Table1[[#This Row],[Ask Rate]]*Table1[[#This Row],[Ask Qty]]</f>
        <v>75680</v>
      </c>
      <c r="T445">
        <f>VLOOKUP(Table1[[#This Row],[Isin code]],Table2[#All],7,FALSE)</f>
        <v>9.7100000000000009</v>
      </c>
      <c r="U445" s="17" t="str">
        <f>VLOOKUP(Table1[[#This Row],[Isin code]],Table2[#All],8,FALSE)</f>
        <v>26-Sep-2028</v>
      </c>
      <c r="V445" s="10">
        <f ca="1">Table1[[#This Row],[Maturity]]-TODAY()</f>
        <v>1441</v>
      </c>
      <c r="W445" t="str">
        <f>VLOOKUP(Table1[[#This Row],[Isin code]],Table2[#All],10,FALSE)</f>
        <v>Monthly</v>
      </c>
      <c r="X445">
        <f ca="1">_xlfn.DAYS(Table1[[#This Row],[Maturity]],TODAY())-15</f>
        <v>1426</v>
      </c>
      <c r="Y4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445">
        <f>IF(Table1[[#This Row],[Ask Rate]]=0,0,Table1[[#This Row],[Face Value]]-Table1[[#This Row],[Ask Rate]])</f>
        <v>-80</v>
      </c>
      <c r="AA445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445">
        <f ca="1">Table1[[#This Row],[Face Value]]*Table1[[#This Row],[Rate]]*Table1[[#This Row],[Time]]</f>
        <v>310.72000000000003</v>
      </c>
      <c r="AC445">
        <f ca="1">Table1[[#This Row],[SI]]+Table1[[#This Row],[Disc/Prem]]</f>
        <v>230.72000000000003</v>
      </c>
      <c r="AD445" s="3">
        <f ca="1">Table1[[#This Row],[Net Gain]]/Table1[[#This Row],[Ask Rate]]</f>
        <v>0.26218181818181824</v>
      </c>
      <c r="AE445" s="3">
        <f ca="1">IF(Table1[[#This Row],[Ask Qty]]=0,0,Table1[[#This Row],[Gross Yield]]*365/Table1[[#This Row],[Days Left]])</f>
        <v>6.6409690240363403E-2</v>
      </c>
      <c r="AF445" s="9">
        <f ca="1">+Table1[[#This Row],[Net Gain]]*Table1[[#This Row],[Ask Qty]]</f>
        <v>19841.920000000002</v>
      </c>
      <c r="AG445" t="str">
        <f ca="1">IF(Table1[[#This Row],[YTM]]&gt;0.12,IF(Table1[[#This Row],[Gross Profit]]&gt;10000,"Invest","Review"),"Low YTM")</f>
        <v>Low YTM</v>
      </c>
    </row>
    <row r="446" spans="1:33" hidden="1" x14ac:dyDescent="0.3">
      <c r="A446" t="str">
        <f>RTD("nest.scriprtd",,"bse_cm|725MFL24","Symbol")</f>
        <v>725MFL24</v>
      </c>
      <c r="B446" t="str">
        <f>RTD("nest.scriprtd",,"bse_cm|725MFL24","Trading Symbol")</f>
        <v>725MFL24</v>
      </c>
      <c r="C446" t="str">
        <f>RTD("nest.scriprtd",,"bse_cm|725MFL24","Exchange")</f>
        <v>BSE</v>
      </c>
      <c r="D446">
        <f>RTD("nest.scriprtd",,"bse_cm|725MFL24","Bid Qty")</f>
        <v>180</v>
      </c>
      <c r="E446">
        <f>RTD("nest.scriprtd",,"bse_cm|725MFL24","Bid Rate")</f>
        <v>1040.25</v>
      </c>
      <c r="F446">
        <f>RTD("nest.scriprtd",,"bse_cm|725MFL24","Ask Rate")</f>
        <v>1059.8</v>
      </c>
      <c r="G446">
        <f>RTD("nest.scriprtd",,"bse_cm|725MFL24","Ask Qty")</f>
        <v>90</v>
      </c>
      <c r="H446">
        <f>RTD("nest.scriprtd",,"bse_cm|725MFL24","LTP")</f>
        <v>0</v>
      </c>
      <c r="I446" t="str">
        <f>RTD("nest.scriprtd",,"bse_cm|725MFL24","LTT")</f>
        <v>00:00:00</v>
      </c>
      <c r="J446">
        <f>RTD("nest.scriprtd",,"bse_cm|725MFL24","% Change")</f>
        <v>-100</v>
      </c>
      <c r="K446">
        <f>RTD("nest.scriprtd",,"bse_cm|725MFL24","ATP")</f>
        <v>0</v>
      </c>
      <c r="L446">
        <f>RTD("nest.scriprtd",,"bse_cm|725MFL24","Volume Traded Today")</f>
        <v>0</v>
      </c>
      <c r="M446">
        <f>RTD("nest.scriprtd",,"bse_cm|725MFL24","Open")</f>
        <v>0</v>
      </c>
      <c r="N446">
        <f>RTD("nest.scriprtd",,"bse_cm|725MFL24","High")</f>
        <v>1048.8</v>
      </c>
      <c r="O446">
        <f>RTD("nest.scriprtd",,"bse_cm|725MFL24","Low ")</f>
        <v>1048.8</v>
      </c>
      <c r="P446">
        <f>RTD("nest.scriprtd",,"bse_cm|725MFL24","Prev Close")</f>
        <v>1048.8</v>
      </c>
      <c r="Q446">
        <f>RTD("nest.scriprtd",,"bse_cm|725MFL24","Face Value")</f>
        <v>1000</v>
      </c>
      <c r="R446" t="str">
        <f>RTD("nest.scriprtd",,"bse_cm|725MFL24","Isin code")</f>
        <v>INE414G07HC0</v>
      </c>
      <c r="S446" s="9">
        <f>Table1[[#This Row],[Ask Rate]]*Table1[[#This Row],[Ask Qty]]</f>
        <v>95382</v>
      </c>
      <c r="T446">
        <f>VLOOKUP(Table1[[#This Row],[Isin code]],Table2[#All],7,FALSE)</f>
        <v>7.2499999999999991</v>
      </c>
      <c r="U446" s="17" t="str">
        <f>VLOOKUP(Table1[[#This Row],[Isin code]],Table2[#All],8,FALSE)</f>
        <v>23-Dec-2024</v>
      </c>
      <c r="V446" s="10">
        <f ca="1">Table1[[#This Row],[Maturity]]-TODAY()</f>
        <v>68</v>
      </c>
      <c r="W446" t="str">
        <f>VLOOKUP(Table1[[#This Row],[Isin code]],Table2[#All],10,FALSE)</f>
        <v>Yearly</v>
      </c>
      <c r="X446">
        <f ca="1">_xlfn.DAYS(Table1[[#This Row],[Maturity]],TODAY())-15</f>
        <v>53</v>
      </c>
      <c r="Y4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46">
        <f>IF(Table1[[#This Row],[Ask Rate]]=0,0,Table1[[#This Row],[Face Value]]-Table1[[#This Row],[Ask Rate]])</f>
        <v>-59.799999999999955</v>
      </c>
      <c r="AA446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7.2499999999999995E-2</v>
      </c>
      <c r="AB446">
        <f ca="1">Table1[[#This Row],[Face Value]]*Table1[[#This Row],[Rate]]*Table1[[#This Row],[Time]]</f>
        <v>72.5</v>
      </c>
      <c r="AC446">
        <f ca="1">Table1[[#This Row],[SI]]+Table1[[#This Row],[Disc/Prem]]</f>
        <v>12.700000000000045</v>
      </c>
      <c r="AD446" s="3">
        <f ca="1">Table1[[#This Row],[Net Gain]]/Table1[[#This Row],[Ask Rate]]</f>
        <v>1.1983393093036466E-2</v>
      </c>
      <c r="AE446" s="3">
        <f ca="1">IF(Table1[[#This Row],[Ask Qty]]=0,0,Table1[[#This Row],[Gross Yield]]*365/Table1[[#This Row],[Days Left]])</f>
        <v>6.4322624690563379E-2</v>
      </c>
      <c r="AF446" s="9">
        <f ca="1">+Table1[[#This Row],[Net Gain]]*Table1[[#This Row],[Ask Qty]]</f>
        <v>1143.0000000000041</v>
      </c>
      <c r="AG446" t="str">
        <f ca="1">IF(Table1[[#This Row],[YTM]]&gt;0.12,IF(Table1[[#This Row],[Gross Profit]]&gt;10000,"Invest","Review"),"Low YTM")</f>
        <v>Low YTM</v>
      </c>
    </row>
    <row r="447" spans="1:33" x14ac:dyDescent="0.3">
      <c r="A447" t="str">
        <f>RTD("nest.scriprtd",,"bse_cm|MFLI25","Symbol")</f>
        <v>MFLI25</v>
      </c>
      <c r="B447" t="str">
        <f>RTD("nest.scriprtd",,"bse_cm|MFLI25","Trading Symbol")</f>
        <v>MFLI25</v>
      </c>
      <c r="C447" t="str">
        <f>RTD("nest.scriprtd",,"bse_cm|MFLI25","Exchange")</f>
        <v>BSE</v>
      </c>
      <c r="D447">
        <f>RTD("nest.scriprtd",,"bse_cm|MFLI25","Bid Qty")</f>
        <v>180</v>
      </c>
      <c r="E447">
        <f>RTD("nest.scriprtd",,"bse_cm|MFLI25","Bid Rate")</f>
        <v>956.2</v>
      </c>
      <c r="F447">
        <f>RTD("nest.scriprtd",,"bse_cm|MFLI25","Ask Rate")</f>
        <v>1000</v>
      </c>
      <c r="G447">
        <f>RTD("nest.scriprtd",,"bse_cm|MFLI25","Ask Qty")</f>
        <v>1090</v>
      </c>
      <c r="H447">
        <f>RTD("nest.scriprtd",,"bse_cm|MFLI25","LTP")</f>
        <v>0</v>
      </c>
      <c r="I447" t="str">
        <f>RTD("nest.scriprtd",,"bse_cm|MFLI25","LTT")</f>
        <v>00:00:00</v>
      </c>
      <c r="J447">
        <f>RTD("nest.scriprtd",,"bse_cm|MFLI25","% Change")</f>
        <v>-100</v>
      </c>
      <c r="K447">
        <f>RTD("nest.scriprtd",,"bse_cm|MFLI25","ATP")</f>
        <v>0</v>
      </c>
      <c r="L447">
        <f>RTD("nest.scriprtd",,"bse_cm|MFLI25","Volume Traded Today")</f>
        <v>0</v>
      </c>
      <c r="M447">
        <f>RTD("nest.scriprtd",,"bse_cm|MFLI25","Open")</f>
        <v>0</v>
      </c>
      <c r="N447">
        <f>RTD("nest.scriprtd",,"bse_cm|MFLI25","High")</f>
        <v>990</v>
      </c>
      <c r="O447">
        <f>RTD("nest.scriprtd",,"bse_cm|MFLI25","Low ")</f>
        <v>970</v>
      </c>
      <c r="P447">
        <f>RTD("nest.scriprtd",,"bse_cm|MFLI25","Prev Close")</f>
        <v>990</v>
      </c>
      <c r="Q447">
        <f>RTD("nest.scriprtd",,"bse_cm|MFLI25","Face Value")</f>
        <v>1000</v>
      </c>
      <c r="R447" t="str">
        <f>RTD("nest.scriprtd",,"bse_cm|MFLI25","Isin code")</f>
        <v>INE414G07GL3</v>
      </c>
      <c r="S447" s="9">
        <f>Table1[[#This Row],[Ask Rate]]*Table1[[#This Row],[Ask Qty]]</f>
        <v>1090000</v>
      </c>
      <c r="T447">
        <f>VLOOKUP(Table1[[#This Row],[Isin code]],Table2[#All],7,FALSE)</f>
        <v>6.75</v>
      </c>
      <c r="U447" s="17" t="str">
        <f>VLOOKUP(Table1[[#This Row],[Isin code]],Table2[#All],8,FALSE)</f>
        <v>23-Jun-2025</v>
      </c>
      <c r="V447" s="10">
        <f ca="1">Table1[[#This Row],[Maturity]]-TODAY()</f>
        <v>250</v>
      </c>
      <c r="W447" t="str">
        <f>VLOOKUP(Table1[[#This Row],[Isin code]],Table2[#All],10,FALSE)</f>
        <v>Monthly</v>
      </c>
      <c r="X447">
        <f ca="1">_xlfn.DAYS(Table1[[#This Row],[Maturity]],TODAY())-15</f>
        <v>235</v>
      </c>
      <c r="Y4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447">
        <f>IF(Table1[[#This Row],[Ask Rate]]=0,0,Table1[[#This Row],[Face Value]]-Table1[[#This Row],[Ask Rate]])</f>
        <v>0</v>
      </c>
      <c r="AA447">
        <f>IF(Table1[[#This Row],[Freq]]="Yearly",Table1[[#This Row],[Coupon_Rate]]/100,IF(Table1[[#This Row],[Freq]]="Monthly",Table1[[#This Row],[Coupon_Rate]]/1200,IF(Table1[[#This Row],[Freq]]="Quarterly",Table1[[#This Row],[Coupon_Rate]]/400,0)))</f>
        <v>5.6249999999999998E-3</v>
      </c>
      <c r="AB447">
        <f ca="1">Table1[[#This Row],[Face Value]]*Table1[[#This Row],[Rate]]*Table1[[#This Row],[Time]]</f>
        <v>45</v>
      </c>
      <c r="AC447">
        <f ca="1">Table1[[#This Row],[SI]]+Table1[[#This Row],[Disc/Prem]]</f>
        <v>45</v>
      </c>
      <c r="AD447" s="3">
        <f ca="1">Table1[[#This Row],[Net Gain]]/Table1[[#This Row],[Ask Rate]]</f>
        <v>4.4999999999999998E-2</v>
      </c>
      <c r="AE447" s="3">
        <f ca="1">IF(Table1[[#This Row],[Ask Qty]]=0,0,Table1[[#This Row],[Gross Yield]]*365/Table1[[#This Row],[Days Left]])</f>
        <v>6.5700000000000008E-2</v>
      </c>
      <c r="AF447" s="9">
        <f ca="1">+Table1[[#This Row],[Net Gain]]*Table1[[#This Row],[Ask Qty]]</f>
        <v>49050</v>
      </c>
      <c r="AG447" t="str">
        <f ca="1">IF(Table1[[#This Row],[YTM]]&gt;0.12,IF(Table1[[#This Row],[Gross Profit]]&gt;10000,"Invest","Review"),"Low YTM")</f>
        <v>Low YTM</v>
      </c>
    </row>
    <row r="448" spans="1:33" x14ac:dyDescent="0.3">
      <c r="A448" t="str">
        <f>RTD("nest.scriprtd",,"bse_cm|750PFCL26","Symbol")</f>
        <v>750PFCL26</v>
      </c>
      <c r="B448" t="str">
        <f>RTD("nest.scriprtd",,"bse_cm|750PFCL26","Trading Symbol")</f>
        <v>750PFCL26</v>
      </c>
      <c r="C448" t="str">
        <f>RTD("nest.scriprtd",,"bse_cm|750PFCL26","Exchange")</f>
        <v>BSE</v>
      </c>
      <c r="D448">
        <f>RTD("nest.scriprtd",,"bse_cm|750PFCL26","Bid Qty")</f>
        <v>21</v>
      </c>
      <c r="E448">
        <f>RTD("nest.scriprtd",,"bse_cm|750PFCL26","Bid Rate")</f>
        <v>1002</v>
      </c>
      <c r="F448">
        <f>RTD("nest.scriprtd",,"bse_cm|750PFCL26","Ask Rate")</f>
        <v>1030</v>
      </c>
      <c r="G448">
        <f>RTD("nest.scriprtd",,"bse_cm|750PFCL26","Ask Qty")</f>
        <v>10</v>
      </c>
      <c r="H448">
        <f>RTD("nest.scriprtd",,"bse_cm|750PFCL26","LTP")</f>
        <v>1006</v>
      </c>
      <c r="I448" t="str">
        <f>RTD("nest.scriprtd",,"bse_cm|750PFCL26","LTT")</f>
        <v>15:13:34</v>
      </c>
      <c r="J448">
        <f>RTD("nest.scriprtd",,"bse_cm|750PFCL26","% Change")</f>
        <v>0.49</v>
      </c>
      <c r="K448">
        <f>RTD("nest.scriprtd",,"bse_cm|750PFCL26","ATP")</f>
        <v>1003.95</v>
      </c>
      <c r="L448">
        <f>RTD("nest.scriprtd",,"bse_cm|750PFCL26","Volume Traded Today")</f>
        <v>19</v>
      </c>
      <c r="M448">
        <f>RTD("nest.scriprtd",,"bse_cm|750PFCL26","Open")</f>
        <v>0</v>
      </c>
      <c r="N448">
        <f>RTD("nest.scriprtd",,"bse_cm|750PFCL26","High")</f>
        <v>1006</v>
      </c>
      <c r="O448">
        <f>RTD("nest.scriprtd",,"bse_cm|750PFCL26","Low ")</f>
        <v>1002.01</v>
      </c>
      <c r="P448">
        <f>RTD("nest.scriprtd",,"bse_cm|750PFCL26","Prev Close")</f>
        <v>1001.09</v>
      </c>
      <c r="Q448">
        <f>RTD("nest.scriprtd",,"bse_cm|750PFCL26","Face Value")</f>
        <v>1000</v>
      </c>
      <c r="R448" t="str">
        <f>RTD("nest.scriprtd",,"bse_cm|750PFCL26","Isin code")</f>
        <v>INE134E07CF3</v>
      </c>
      <c r="S448" s="9">
        <f>Table1[[#This Row],[Ask Rate]]*Table1[[#This Row],[Ask Qty]]</f>
        <v>10300</v>
      </c>
      <c r="T448">
        <f>VLOOKUP(Table1[[#This Row],[Isin code]],Table2[#All],7,FALSE)</f>
        <v>7.5</v>
      </c>
      <c r="U448" s="17" t="str">
        <f>VLOOKUP(Table1[[#This Row],[Isin code]],Table2[#All],8,FALSE)</f>
        <v>01-Aug-2026</v>
      </c>
      <c r="V448" s="10">
        <f ca="1">Table1[[#This Row],[Maturity]]-TODAY()</f>
        <v>654</v>
      </c>
      <c r="W448" t="str">
        <f>VLOOKUP(Table1[[#This Row],[Isin code]],Table2[#All],10,FALSE)</f>
        <v>Yearly</v>
      </c>
      <c r="X448">
        <f ca="1">_xlfn.DAYS(Table1[[#This Row],[Maturity]],TODAY())-15</f>
        <v>639</v>
      </c>
      <c r="Y4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48">
        <f>IF(Table1[[#This Row],[Ask Rate]]=0,0,Table1[[#This Row],[Face Value]]-Table1[[#This Row],[Ask Rate]])</f>
        <v>-30</v>
      </c>
      <c r="AA448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7.4999999999999997E-2</v>
      </c>
      <c r="AB448">
        <f ca="1">Table1[[#This Row],[Face Value]]*Table1[[#This Row],[Rate]]*Table1[[#This Row],[Time]]</f>
        <v>150</v>
      </c>
      <c r="AC448">
        <f ca="1">Table1[[#This Row],[SI]]+Table1[[#This Row],[Disc/Prem]]</f>
        <v>120</v>
      </c>
      <c r="AD448" s="3">
        <f ca="1">Table1[[#This Row],[Net Gain]]/Table1[[#This Row],[Ask Rate]]</f>
        <v>0.11650485436893204</v>
      </c>
      <c r="AE448" s="3">
        <f ca="1">IF(Table1[[#This Row],[Ask Qty]]=0,0,Table1[[#This Row],[Gross Yield]]*365/Table1[[#This Row],[Days Left]])</f>
        <v>6.502182239244679E-2</v>
      </c>
      <c r="AF448" s="9">
        <f ca="1">+Table1[[#This Row],[Net Gain]]*Table1[[#This Row],[Ask Qty]]</f>
        <v>1200</v>
      </c>
      <c r="AG448" t="str">
        <f ca="1">IF(Table1[[#This Row],[YTM]]&gt;0.12,IF(Table1[[#This Row],[Gross Profit]]&gt;10000,"Invest","Review"),"Low YTM")</f>
        <v>Low YTM</v>
      </c>
    </row>
    <row r="449" spans="1:33" x14ac:dyDescent="0.3">
      <c r="A449" t="str">
        <f>RTD("nest.scriprtd",,"bse_cm|683PFCL31","Symbol")</f>
        <v>683PFCL31</v>
      </c>
      <c r="B449" t="str">
        <f>RTD("nest.scriprtd",,"bse_cm|683PFCL31","Trading Symbol")</f>
        <v>683PFCL31</v>
      </c>
      <c r="C449" t="str">
        <f>RTD("nest.scriprtd",,"bse_cm|683PFCL31","Exchange")</f>
        <v>BSE</v>
      </c>
      <c r="D449">
        <f>RTD("nest.scriprtd",,"bse_cm|683PFCL31","Bid Qty")</f>
        <v>190</v>
      </c>
      <c r="E449">
        <f>RTD("nest.scriprtd",,"bse_cm|683PFCL31","Bid Rate")</f>
        <v>965.2</v>
      </c>
      <c r="F449">
        <f>RTD("nest.scriprtd",,"bse_cm|683PFCL31","Ask Rate")</f>
        <v>1050</v>
      </c>
      <c r="G449">
        <f>RTD("nest.scriprtd",,"bse_cm|683PFCL31","Ask Qty")</f>
        <v>36</v>
      </c>
      <c r="H449">
        <f>RTD("nest.scriprtd",,"bse_cm|683PFCL31","LTP")</f>
        <v>0</v>
      </c>
      <c r="I449" t="str">
        <f>RTD("nest.scriprtd",,"bse_cm|683PFCL31","LTT")</f>
        <v>00:00:00</v>
      </c>
      <c r="J449">
        <f>RTD("nest.scriprtd",,"bse_cm|683PFCL31","% Change")</f>
        <v>-100</v>
      </c>
      <c r="K449">
        <f>RTD("nest.scriprtd",,"bse_cm|683PFCL31","ATP")</f>
        <v>0</v>
      </c>
      <c r="L449">
        <f>RTD("nest.scriprtd",,"bse_cm|683PFCL31","Volume Traded Today")</f>
        <v>0</v>
      </c>
      <c r="M449">
        <f>RTD("nest.scriprtd",,"bse_cm|683PFCL31","Open")</f>
        <v>0</v>
      </c>
      <c r="N449">
        <f>RTD("nest.scriprtd",,"bse_cm|683PFCL31","High")</f>
        <v>1011</v>
      </c>
      <c r="O449">
        <f>RTD("nest.scriprtd",,"bse_cm|683PFCL31","Low ")</f>
        <v>1011</v>
      </c>
      <c r="P449">
        <f>RTD("nest.scriprtd",,"bse_cm|683PFCL31","Prev Close")</f>
        <v>1011</v>
      </c>
      <c r="Q449">
        <f>RTD("nest.scriprtd",,"bse_cm|683PFCL31","Face Value")</f>
        <v>1000</v>
      </c>
      <c r="R449" t="str">
        <f>RTD("nest.scriprtd",,"bse_cm|683PFCL31","Isin code")</f>
        <v>INE134E07AP6</v>
      </c>
      <c r="S449" s="9">
        <f>Table1[[#This Row],[Ask Rate]]*Table1[[#This Row],[Ask Qty]]</f>
        <v>37800</v>
      </c>
      <c r="T449">
        <f>VLOOKUP(Table1[[#This Row],[Isin code]],Table2[#All],7,FALSE)</f>
        <v>6.83</v>
      </c>
      <c r="U449" s="17" t="str">
        <f>VLOOKUP(Table1[[#This Row],[Isin code]],Table2[#All],8,FALSE)</f>
        <v>22-Jan-2031</v>
      </c>
      <c r="V449" s="10">
        <f ca="1">Table1[[#This Row],[Maturity]]-TODAY()</f>
        <v>2289</v>
      </c>
      <c r="W449" t="str">
        <f>VLOOKUP(Table1[[#This Row],[Isin code]],Table2[#All],10,FALSE)</f>
        <v>Yearly</v>
      </c>
      <c r="X449">
        <f ca="1">_xlfn.DAYS(Table1[[#This Row],[Maturity]],TODAY())-15</f>
        <v>2274</v>
      </c>
      <c r="Y4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49">
        <f>IF(Table1[[#This Row],[Ask Rate]]=0,0,Table1[[#This Row],[Face Value]]-Table1[[#This Row],[Ask Rate]])</f>
        <v>-50</v>
      </c>
      <c r="AA449">
        <f>IF(Table1[[#This Row],[Freq]]="Yearly",Table1[[#This Row],[Coupon_Rate]]/100,IF(Table1[[#This Row],[Freq]]="Monthly",Table1[[#This Row],[Coupon_Rate]]/1200,IF(Table1[[#This Row],[Freq]]="Quarterly",Table1[[#This Row],[Coupon_Rate]]/400,0)))</f>
        <v>6.83E-2</v>
      </c>
      <c r="AB449">
        <f ca="1">Table1[[#This Row],[Face Value]]*Table1[[#This Row],[Rate]]*Table1[[#This Row],[Time]]</f>
        <v>478.09999999999997</v>
      </c>
      <c r="AC449">
        <f ca="1">Table1[[#This Row],[SI]]+Table1[[#This Row],[Disc/Prem]]</f>
        <v>428.09999999999997</v>
      </c>
      <c r="AD449" s="3">
        <f ca="1">Table1[[#This Row],[Net Gain]]/Table1[[#This Row],[Ask Rate]]</f>
        <v>0.4077142857142857</v>
      </c>
      <c r="AE449" s="3">
        <f ca="1">IF(Table1[[#This Row],[Ask Qty]]=0,0,Table1[[#This Row],[Gross Yield]]*365/Table1[[#This Row],[Days Left]])</f>
        <v>6.5013418211321228E-2</v>
      </c>
      <c r="AF449" s="9">
        <f ca="1">+Table1[[#This Row],[Net Gain]]*Table1[[#This Row],[Ask Qty]]</f>
        <v>15411.599999999999</v>
      </c>
      <c r="AG449" t="str">
        <f ca="1">IF(Table1[[#This Row],[YTM]]&gt;0.12,IF(Table1[[#This Row],[Gross Profit]]&gt;10000,"Invest","Review"),"Low YTM")</f>
        <v>Low YTM</v>
      </c>
    </row>
    <row r="450" spans="1:33" x14ac:dyDescent="0.3">
      <c r="A450" t="str">
        <f>RTD("nest.scriprtd",,"nse_cm|850CIFCL26-NE","Symbol")</f>
        <v>850CIFCL26</v>
      </c>
      <c r="B450" t="str">
        <f>RTD("nest.scriprtd",,"nse_cm|850CIFCL26-NE","Trading Symbol")</f>
        <v>850CIFCL26-NE</v>
      </c>
      <c r="C450" t="str">
        <f>RTD("nest.scriprtd",,"nse_cm|850CIFCL26-NE","Exchange")</f>
        <v>NSE</v>
      </c>
      <c r="D450">
        <f>RTD("nest.scriprtd",,"nse_cm|850CIFCL26-NE","Bid Qty")</f>
        <v>1500</v>
      </c>
      <c r="E450">
        <f>RTD("nest.scriprtd",,"nse_cm|850CIFCL26-NE","Bid Rate")</f>
        <v>1043.1600000000001</v>
      </c>
      <c r="F450">
        <f>RTD("nest.scriprtd",,"nse_cm|850CIFCL26-NE","Ask Rate")</f>
        <v>1102.75</v>
      </c>
      <c r="G450">
        <f>RTD("nest.scriprtd",,"nse_cm|850CIFCL26-NE","Ask Qty")</f>
        <v>40</v>
      </c>
      <c r="H450">
        <f>RTD("nest.scriprtd",,"nse_cm|850CIFCL26-NE","LTP")</f>
        <v>1041.0999999999999</v>
      </c>
      <c r="I450" t="str">
        <f>RTD("nest.scriprtd",,"nse_cm|850CIFCL26-NE","LTT")</f>
        <v/>
      </c>
      <c r="J450">
        <f>RTD("nest.scriprtd",,"nse_cm|850CIFCL26-NE","% Change")</f>
        <v>0</v>
      </c>
      <c r="K450">
        <f>RTD("nest.scriprtd",,"nse_cm|850CIFCL26-NE","ATP")</f>
        <v>0</v>
      </c>
      <c r="L450">
        <f>RTD("nest.scriprtd",,"nse_cm|850CIFCL26-NE","Volume Traded Today")</f>
        <v>0</v>
      </c>
      <c r="M450">
        <f>RTD("nest.scriprtd",,"nse_cm|850CIFCL26-NE","Open")</f>
        <v>0</v>
      </c>
      <c r="N450">
        <f>RTD("nest.scriprtd",,"nse_cm|850CIFCL26-NE","High")</f>
        <v>1041.0999999999999</v>
      </c>
      <c r="O450">
        <f>RTD("nest.scriprtd",,"nse_cm|850CIFCL26-NE","Low ")</f>
        <v>1041.0999999999999</v>
      </c>
      <c r="P450">
        <f>RTD("nest.scriprtd",,"nse_cm|850CIFCL26-NE","Prev Close")</f>
        <v>1041.0999999999999</v>
      </c>
      <c r="Q450">
        <f>RTD("nest.scriprtd",,"nse_cm|850CIFCL26-NE","Face Value")</f>
        <v>1000</v>
      </c>
      <c r="R450" t="str">
        <f>RTD("nest.scriprtd",,"nse_cm|850CIFCL26-NE","Isin code")</f>
        <v>INE121A07RO8</v>
      </c>
      <c r="S450" s="9">
        <f>Table1[[#This Row],[Ask Rate]]*Table1[[#This Row],[Ask Qty]]</f>
        <v>44110</v>
      </c>
      <c r="T450">
        <f>VLOOKUP(Table1[[#This Row],[Isin code]],Table2[#All],7,FALSE)</f>
        <v>8.5</v>
      </c>
      <c r="U450" s="17" t="str">
        <f>VLOOKUP(Table1[[#This Row],[Isin code]],Table2[#All],8,FALSE)</f>
        <v>07-Dec-2026</v>
      </c>
      <c r="V450" s="10">
        <f ca="1">Table1[[#This Row],[Maturity]]-TODAY()</f>
        <v>782</v>
      </c>
      <c r="W450" t="str">
        <f>VLOOKUP(Table1[[#This Row],[Isin code]],Table2[#All],10,FALSE)</f>
        <v>Yearly</v>
      </c>
      <c r="X450">
        <f ca="1">_xlfn.DAYS(Table1[[#This Row],[Maturity]],TODAY())-15</f>
        <v>767</v>
      </c>
      <c r="Y4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50">
        <f>IF(Table1[[#This Row],[Ask Rate]]=0,0,Table1[[#This Row],[Face Value]]-Table1[[#This Row],[Ask Rate]])</f>
        <v>-102.75</v>
      </c>
      <c r="AA450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450">
        <f ca="1">Table1[[#This Row],[Face Value]]*Table1[[#This Row],[Rate]]*Table1[[#This Row],[Time]]</f>
        <v>255</v>
      </c>
      <c r="AC450">
        <f ca="1">Table1[[#This Row],[SI]]+Table1[[#This Row],[Disc/Prem]]</f>
        <v>152.25</v>
      </c>
      <c r="AD450" s="3">
        <f ca="1">Table1[[#This Row],[Net Gain]]/Table1[[#This Row],[Ask Rate]]</f>
        <v>0.13806393108138745</v>
      </c>
      <c r="AE450" s="3">
        <f ca="1">IF(Table1[[#This Row],[Ask Qty]]=0,0,Table1[[#This Row],[Gross Yield]]*365/Table1[[#This Row],[Days Left]])</f>
        <v>6.4441604660749899E-2</v>
      </c>
      <c r="AF450" s="9">
        <f ca="1">+Table1[[#This Row],[Net Gain]]*Table1[[#This Row],[Ask Qty]]</f>
        <v>6090</v>
      </c>
      <c r="AG450" t="str">
        <f ca="1">IF(Table1[[#This Row],[YTM]]&gt;0.12,IF(Table1[[#This Row],[Gross Profit]]&gt;10000,"Invest","Review"),"Low YTM")</f>
        <v>Low YTM</v>
      </c>
    </row>
    <row r="451" spans="1:33" x14ac:dyDescent="0.3">
      <c r="A451" t="str">
        <f>RTD("nest.scriprtd",,"bse_cm|8MFL2026","Symbol")</f>
        <v>8MFL2026</v>
      </c>
      <c r="B451" t="str">
        <f>RTD("nest.scriprtd",,"bse_cm|8MFL2026","Trading Symbol")</f>
        <v>8MFL2026</v>
      </c>
      <c r="C451" t="str">
        <f>RTD("nest.scriprtd",,"bse_cm|8MFL2026","Exchange")</f>
        <v>BSE</v>
      </c>
      <c r="D451">
        <f>RTD("nest.scriprtd",,"bse_cm|8MFL2026","Bid Qty")</f>
        <v>10</v>
      </c>
      <c r="E451">
        <f>RTD("nest.scriprtd",,"bse_cm|8MFL2026","Bid Rate")</f>
        <v>985.25</v>
      </c>
      <c r="F451">
        <f>RTD("nest.scriprtd",,"bse_cm|8MFL2026","Ask Rate")</f>
        <v>1050</v>
      </c>
      <c r="G451">
        <f>RTD("nest.scriprtd",,"bse_cm|8MFL2026","Ask Qty")</f>
        <v>60</v>
      </c>
      <c r="H451">
        <f>RTD("nest.scriprtd",,"bse_cm|8MFL2026","LTP")</f>
        <v>0</v>
      </c>
      <c r="I451" t="str">
        <f>RTD("nest.scriprtd",,"bse_cm|8MFL2026","LTT")</f>
        <v>00:00:00</v>
      </c>
      <c r="J451">
        <f>RTD("nest.scriprtd",,"bse_cm|8MFL2026","% Change")</f>
        <v>-100</v>
      </c>
      <c r="K451">
        <f>RTD("nest.scriprtd",,"bse_cm|8MFL2026","ATP")</f>
        <v>0</v>
      </c>
      <c r="L451">
        <f>RTD("nest.scriprtd",,"bse_cm|8MFL2026","Volume Traded Today")</f>
        <v>0</v>
      </c>
      <c r="M451">
        <f>RTD("nest.scriprtd",,"bse_cm|8MFL2026","Open")</f>
        <v>0</v>
      </c>
      <c r="N451">
        <f>RTD("nest.scriprtd",,"bse_cm|8MFL2026","High")</f>
        <v>999.8</v>
      </c>
      <c r="O451">
        <f>RTD("nest.scriprtd",,"bse_cm|8MFL2026","Low ")</f>
        <v>999.8</v>
      </c>
      <c r="P451">
        <f>RTD("nest.scriprtd",,"bse_cm|8MFL2026","Prev Close")</f>
        <v>999.8</v>
      </c>
      <c r="Q451">
        <f>RTD("nest.scriprtd",,"bse_cm|8MFL2026","Face Value")</f>
        <v>1000</v>
      </c>
      <c r="R451" t="str">
        <f>RTD("nest.scriprtd",,"bse_cm|8MFL2026","Isin code")</f>
        <v>INE414G07IB0</v>
      </c>
      <c r="S451" s="9">
        <f>Table1[[#This Row],[Ask Rate]]*Table1[[#This Row],[Ask Qty]]</f>
        <v>63000</v>
      </c>
      <c r="T451">
        <f>VLOOKUP(Table1[[#This Row],[Isin code]],Table2[#All],7,FALSE)</f>
        <v>8</v>
      </c>
      <c r="U451" s="17" t="str">
        <f>VLOOKUP(Table1[[#This Row],[Isin code]],Table2[#All],8,FALSE)</f>
        <v>03-Jun-2026</v>
      </c>
      <c r="V451" s="10">
        <f ca="1">Table1[[#This Row],[Maturity]]-TODAY()</f>
        <v>595</v>
      </c>
      <c r="W451" t="str">
        <f>VLOOKUP(Table1[[#This Row],[Isin code]],Table2[#All],10,FALSE)</f>
        <v>Yearly</v>
      </c>
      <c r="X451">
        <f ca="1">_xlfn.DAYS(Table1[[#This Row],[Maturity]],TODAY())-15</f>
        <v>580</v>
      </c>
      <c r="Y4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51">
        <f>IF(Table1[[#This Row],[Ask Rate]]=0,0,Table1[[#This Row],[Face Value]]-Table1[[#This Row],[Ask Rate]])</f>
        <v>-50</v>
      </c>
      <c r="AA451">
        <f>IF(Table1[[#This Row],[Freq]]="Yearly",Table1[[#This Row],[Coupon_Rate]]/100,IF(Table1[[#This Row],[Freq]]="Monthly",Table1[[#This Row],[Coupon_Rate]]/1200,IF(Table1[[#This Row],[Freq]]="Quarterly",Table1[[#This Row],[Coupon_Rate]]/400,0)))</f>
        <v>0.08</v>
      </c>
      <c r="AB451">
        <f ca="1">Table1[[#This Row],[Face Value]]*Table1[[#This Row],[Rate]]*Table1[[#This Row],[Time]]</f>
        <v>160</v>
      </c>
      <c r="AC451">
        <f ca="1">Table1[[#This Row],[SI]]+Table1[[#This Row],[Disc/Prem]]</f>
        <v>110</v>
      </c>
      <c r="AD451" s="3">
        <f ca="1">Table1[[#This Row],[Net Gain]]/Table1[[#This Row],[Ask Rate]]</f>
        <v>0.10476190476190476</v>
      </c>
      <c r="AE451" s="3">
        <f ca="1">IF(Table1[[#This Row],[Ask Qty]]=0,0,Table1[[#This Row],[Gross Yield]]*365/Table1[[#This Row],[Days Left]])</f>
        <v>6.4265706282513005E-2</v>
      </c>
      <c r="AF451" s="9">
        <f ca="1">+Table1[[#This Row],[Net Gain]]*Table1[[#This Row],[Ask Qty]]</f>
        <v>6600</v>
      </c>
      <c r="AG451" t="str">
        <f ca="1">IF(Table1[[#This Row],[YTM]]&gt;0.12,IF(Table1[[#This Row],[Gross Profit]]&gt;10000,"Invest","Review"),"Low YTM")</f>
        <v>Low YTM</v>
      </c>
    </row>
    <row r="452" spans="1:33" hidden="1" x14ac:dyDescent="0.3">
      <c r="A452" t="str">
        <f>RTD("nest.scriprtd",,"bse_cm|11ICLFL25","Symbol")</f>
        <v>11ICLFL25</v>
      </c>
      <c r="B452" t="str">
        <f>RTD("nest.scriprtd",,"bse_cm|11ICLFL25","Trading Symbol")</f>
        <v>11ICLFL25</v>
      </c>
      <c r="C452" t="str">
        <f>RTD("nest.scriprtd",,"bse_cm|11ICLFL25","Exchange")</f>
        <v>BSE</v>
      </c>
      <c r="D452">
        <f>RTD("nest.scriprtd",,"bse_cm|11ICLFL25","Bid Qty")</f>
        <v>15</v>
      </c>
      <c r="E452">
        <f>RTD("nest.scriprtd",,"bse_cm|11ICLFL25","Bid Rate")</f>
        <v>983.18</v>
      </c>
      <c r="F452">
        <f>RTD("nest.scriprtd",,"bse_cm|11ICLFL25","Ask Rate")</f>
        <v>1012</v>
      </c>
      <c r="G452">
        <f>RTD("nest.scriprtd",,"bse_cm|11ICLFL25","Ask Qty")</f>
        <v>11</v>
      </c>
      <c r="H452">
        <f>RTD("nest.scriprtd",,"bse_cm|11ICLFL25","LTP")</f>
        <v>995</v>
      </c>
      <c r="I452" t="str">
        <f>RTD("nest.scriprtd",,"bse_cm|11ICLFL25","LTT")</f>
        <v>15:13:27</v>
      </c>
      <c r="J452">
        <f>RTD("nest.scriprtd",,"bse_cm|11ICLFL25","% Change")</f>
        <v>-0.09</v>
      </c>
      <c r="K452">
        <f>RTD("nest.scriprtd",,"bse_cm|11ICLFL25","ATP")</f>
        <v>987.5</v>
      </c>
      <c r="L452">
        <f>RTD("nest.scriprtd",,"bse_cm|11ICLFL25","Volume Traded Today")</f>
        <v>20</v>
      </c>
      <c r="M452">
        <f>RTD("nest.scriprtd",,"bse_cm|11ICLFL25","Open")</f>
        <v>0</v>
      </c>
      <c r="N452">
        <f>RTD("nest.scriprtd",,"bse_cm|11ICLFL25","High")</f>
        <v>995</v>
      </c>
      <c r="O452">
        <f>RTD("nest.scriprtd",,"bse_cm|11ICLFL25","Low ")</f>
        <v>980.01</v>
      </c>
      <c r="P452">
        <f>RTD("nest.scriprtd",,"bse_cm|11ICLFL25","Prev Close")</f>
        <v>995.87</v>
      </c>
      <c r="Q452">
        <f>RTD("nest.scriprtd",,"bse_cm|11ICLFL25","Face Value")</f>
        <v>1000</v>
      </c>
      <c r="R452" t="str">
        <f>RTD("nest.scriprtd",,"bse_cm|11ICLFL25","Isin code")</f>
        <v>INE01CY077D3</v>
      </c>
      <c r="S452" s="9">
        <f>Table1[[#This Row],[Ask Rate]]*Table1[[#This Row],[Ask Qty]]</f>
        <v>11132</v>
      </c>
      <c r="T452">
        <f>VLOOKUP(Table1[[#This Row],[Isin code]],Table2[#All],7,FALSE)</f>
        <v>11</v>
      </c>
      <c r="U452" s="17" t="str">
        <f>VLOOKUP(Table1[[#This Row],[Isin code]],Table2[#All],8,FALSE)</f>
        <v>14-Jan-2025</v>
      </c>
      <c r="V452" s="10">
        <f ca="1">Table1[[#This Row],[Maturity]]-TODAY()</f>
        <v>90</v>
      </c>
      <c r="W452" t="str">
        <f>VLOOKUP(Table1[[#This Row],[Isin code]],Table2[#All],10,FALSE)</f>
        <v>MONTHLY</v>
      </c>
      <c r="X452">
        <f ca="1">_xlfn.DAYS(Table1[[#This Row],[Maturity]],TODAY())-15</f>
        <v>75</v>
      </c>
      <c r="Y4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52">
        <f>IF(Table1[[#This Row],[Ask Rate]]=0,0,Table1[[#This Row],[Face Value]]-Table1[[#This Row],[Ask Rate]])</f>
        <v>-12</v>
      </c>
      <c r="AA452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452">
        <f ca="1">Table1[[#This Row],[Face Value]]*Table1[[#This Row],[Rate]]*Table1[[#This Row],[Time]]</f>
        <v>27.5</v>
      </c>
      <c r="AC452">
        <f ca="1">Table1[[#This Row],[SI]]+Table1[[#This Row],[Disc/Prem]]</f>
        <v>15.5</v>
      </c>
      <c r="AD452" s="3">
        <f ca="1">Table1[[#This Row],[Net Gain]]/Table1[[#This Row],[Ask Rate]]</f>
        <v>1.5316205533596838E-2</v>
      </c>
      <c r="AE452" s="3">
        <f ca="1">IF(Table1[[#This Row],[Ask Qty]]=0,0,Table1[[#This Row],[Gross Yield]]*365/Table1[[#This Row],[Days Left]])</f>
        <v>6.21157224418094E-2</v>
      </c>
      <c r="AF452" s="9">
        <f ca="1">+Table1[[#This Row],[Net Gain]]*Table1[[#This Row],[Ask Qty]]</f>
        <v>170.5</v>
      </c>
      <c r="AG452" t="str">
        <f ca="1">IF(Table1[[#This Row],[YTM]]&gt;0.12,IF(Table1[[#This Row],[Gross Profit]]&gt;10000,"Invest","Review"),"Low YTM")</f>
        <v>Low YTM</v>
      </c>
    </row>
    <row r="453" spans="1:33" x14ac:dyDescent="0.3">
      <c r="A453" t="str">
        <f>RTD("nest.scriprtd",,"nse_cm|945IFSL25-N4","Symbol")</f>
        <v>945IFSL25</v>
      </c>
      <c r="B453" t="str">
        <f>RTD("nest.scriprtd",,"nse_cm|945IFSL25-N4","Trading Symbol")</f>
        <v>945IFSL25-N4</v>
      </c>
      <c r="C453" t="str">
        <f>RTD("nest.scriprtd",,"nse_cm|945IFSL25-N4","Exchange")</f>
        <v>NSE</v>
      </c>
      <c r="D453">
        <f>RTD("nest.scriprtd",,"nse_cm|945IFSL25-N4","Bid Qty")</f>
        <v>58</v>
      </c>
      <c r="E453">
        <f>RTD("nest.scriprtd",,"nse_cm|945IFSL25-N4","Bid Rate")</f>
        <v>999</v>
      </c>
      <c r="F453">
        <f>RTD("nest.scriprtd",,"nse_cm|945IFSL25-N4","Ask Rate")</f>
        <v>1035</v>
      </c>
      <c r="G453">
        <f>RTD("nest.scriprtd",,"nse_cm|945IFSL25-N4","Ask Qty")</f>
        <v>20</v>
      </c>
      <c r="H453">
        <f>RTD("nest.scriprtd",,"nse_cm|945IFSL25-N4","LTP")</f>
        <v>981</v>
      </c>
      <c r="I453" t="str">
        <f>RTD("nest.scriprtd",,"nse_cm|945IFSL25-N4","LTT")</f>
        <v/>
      </c>
      <c r="J453">
        <f>RTD("nest.scriprtd",,"nse_cm|945IFSL25-N4","% Change")</f>
        <v>0</v>
      </c>
      <c r="K453">
        <f>RTD("nest.scriprtd",,"nse_cm|945IFSL25-N4","ATP")</f>
        <v>0</v>
      </c>
      <c r="L453">
        <f>RTD("nest.scriprtd",,"nse_cm|945IFSL25-N4","Volume Traded Today")</f>
        <v>0</v>
      </c>
      <c r="M453">
        <f>RTD("nest.scriprtd",,"nse_cm|945IFSL25-N4","Open")</f>
        <v>0</v>
      </c>
      <c r="N453">
        <f>RTD("nest.scriprtd",,"nse_cm|945IFSL25-N4","High")</f>
        <v>981</v>
      </c>
      <c r="O453">
        <f>RTD("nest.scriprtd",,"nse_cm|945IFSL25-N4","Low ")</f>
        <v>981</v>
      </c>
      <c r="P453">
        <f>RTD("nest.scriprtd",,"nse_cm|945IFSL25-N4","Prev Close")</f>
        <v>981</v>
      </c>
      <c r="Q453">
        <f>RTD("nest.scriprtd",,"nse_cm|945IFSL25-N4","Face Value")</f>
        <v>1000</v>
      </c>
      <c r="R453" t="str">
        <f>RTD("nest.scriprtd",,"nse_cm|945IFSL25-N4","Isin code")</f>
        <v>INE321N07301</v>
      </c>
      <c r="S453" s="9">
        <f>Table1[[#This Row],[Ask Rate]]*Table1[[#This Row],[Ask Qty]]</f>
        <v>20700</v>
      </c>
      <c r="T453">
        <f>VLOOKUP(Table1[[#This Row],[Isin code]],Table2[#All],7,FALSE)</f>
        <v>9.4499999999999993</v>
      </c>
      <c r="U453" s="17" t="str">
        <f>VLOOKUP(Table1[[#This Row],[Isin code]],Table2[#All],8,FALSE)</f>
        <v>02-May-2025</v>
      </c>
      <c r="V453" s="10">
        <f ca="1">Table1[[#This Row],[Maturity]]-TODAY()</f>
        <v>198</v>
      </c>
      <c r="W453" t="str">
        <f>VLOOKUP(Table1[[#This Row],[Isin code]],Table2[#All],10,FALSE)</f>
        <v>Quarterly</v>
      </c>
      <c r="X453">
        <f ca="1">_xlfn.DAYS(Table1[[#This Row],[Maturity]],TODAY())-15</f>
        <v>183</v>
      </c>
      <c r="Y4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53">
        <f>IF(Table1[[#This Row],[Ask Rate]]=0,0,Table1[[#This Row],[Face Value]]-Table1[[#This Row],[Ask Rate]])</f>
        <v>-35</v>
      </c>
      <c r="AA453">
        <f>IF(Table1[[#This Row],[Freq]]="Yearly",Table1[[#This Row],[Coupon_Rate]]/100,IF(Table1[[#This Row],[Freq]]="Monthly",Table1[[#This Row],[Coupon_Rate]]/1200,IF(Table1[[#This Row],[Freq]]="Quarterly",Table1[[#This Row],[Coupon_Rate]]/400,0)))</f>
        <v>2.3624999999999997E-2</v>
      </c>
      <c r="AB453">
        <f ca="1">Table1[[#This Row],[Face Value]]*Table1[[#This Row],[Rate]]*Table1[[#This Row],[Time]]</f>
        <v>70.874999999999986</v>
      </c>
      <c r="AC453">
        <f ca="1">Table1[[#This Row],[SI]]+Table1[[#This Row],[Disc/Prem]]</f>
        <v>35.874999999999986</v>
      </c>
      <c r="AD453" s="3">
        <f ca="1">Table1[[#This Row],[Net Gain]]/Table1[[#This Row],[Ask Rate]]</f>
        <v>3.4661835748792259E-2</v>
      </c>
      <c r="AE453" s="3">
        <f ca="1">IF(Table1[[#This Row],[Ask Qty]]=0,0,Table1[[#This Row],[Gross Yield]]*365/Table1[[#This Row],[Days Left]])</f>
        <v>6.3896818425803914E-2</v>
      </c>
      <c r="AF453" s="9">
        <f ca="1">+Table1[[#This Row],[Net Gain]]*Table1[[#This Row],[Ask Qty]]</f>
        <v>717.49999999999977</v>
      </c>
      <c r="AG453" t="str">
        <f ca="1">IF(Table1[[#This Row],[YTM]]&gt;0.12,IF(Table1[[#This Row],[Gross Profit]]&gt;10000,"Invest","Review"),"Low YTM")</f>
        <v>Low YTM</v>
      </c>
    </row>
    <row r="454" spans="1:33" x14ac:dyDescent="0.3">
      <c r="A454" t="str">
        <f>RTD("nest.scriprtd",,"bse_cm|753IRFC30","Symbol")</f>
        <v>753IRFC30</v>
      </c>
      <c r="B454" t="str">
        <f>RTD("nest.scriprtd",,"bse_cm|753IRFC30","Trading Symbol")</f>
        <v>753IRFC30</v>
      </c>
      <c r="C454" t="str">
        <f>RTD("nest.scriprtd",,"bse_cm|753IRFC30","Exchange")</f>
        <v>BSE</v>
      </c>
      <c r="D454">
        <f>RTD("nest.scriprtd",,"bse_cm|753IRFC30","Bid Qty")</f>
        <v>10</v>
      </c>
      <c r="E454">
        <f>RTD("nest.scriprtd",,"bse_cm|753IRFC30","Bid Rate")</f>
        <v>1085</v>
      </c>
      <c r="F454">
        <f>RTD("nest.scriprtd",,"bse_cm|753IRFC30","Ask Rate")</f>
        <v>1098</v>
      </c>
      <c r="G454">
        <f>RTD("nest.scriprtd",,"bse_cm|753IRFC30","Ask Qty")</f>
        <v>5</v>
      </c>
      <c r="H454">
        <f>RTD("nest.scriprtd",,"bse_cm|753IRFC30","LTP")</f>
        <v>0</v>
      </c>
      <c r="I454" t="str">
        <f>RTD("nest.scriprtd",,"bse_cm|753IRFC30","LTT")</f>
        <v>00:00:00</v>
      </c>
      <c r="J454">
        <f>RTD("nest.scriprtd",,"bse_cm|753IRFC30","% Change")</f>
        <v>-100</v>
      </c>
      <c r="K454">
        <f>RTD("nest.scriprtd",,"bse_cm|753IRFC30","ATP")</f>
        <v>0</v>
      </c>
      <c r="L454">
        <f>RTD("nest.scriprtd",,"bse_cm|753IRFC30","Volume Traded Today")</f>
        <v>0</v>
      </c>
      <c r="M454">
        <f>RTD("nest.scriprtd",,"bse_cm|753IRFC30","Open")</f>
        <v>0</v>
      </c>
      <c r="N454">
        <f>RTD("nest.scriprtd",,"bse_cm|753IRFC30","High")</f>
        <v>1100</v>
      </c>
      <c r="O454">
        <f>RTD("nest.scriprtd",,"bse_cm|753IRFC30","Low ")</f>
        <v>1099.9000000000001</v>
      </c>
      <c r="P454">
        <f>RTD("nest.scriprtd",,"bse_cm|753IRFC30","Prev Close")</f>
        <v>1100</v>
      </c>
      <c r="Q454">
        <f>RTD("nest.scriprtd",,"bse_cm|753IRFC30","Face Value")</f>
        <v>1000</v>
      </c>
      <c r="R454" t="str">
        <f>RTD("nest.scriprtd",,"bse_cm|753IRFC30","Isin code")</f>
        <v>INE053F07835</v>
      </c>
      <c r="S454" s="9">
        <f>Table1[[#This Row],[Ask Rate]]*Table1[[#This Row],[Ask Qty]]</f>
        <v>5490</v>
      </c>
      <c r="T454">
        <f>VLOOKUP(Table1[[#This Row],[Isin code]],Table2[#All],7,FALSE)</f>
        <v>7.53</v>
      </c>
      <c r="U454" s="17" t="str">
        <f>VLOOKUP(Table1[[#This Row],[Isin code]],Table2[#All],8,FALSE)</f>
        <v>21-Dec-2030</v>
      </c>
      <c r="V454" s="10">
        <f ca="1">Table1[[#This Row],[Maturity]]-TODAY()</f>
        <v>2257</v>
      </c>
      <c r="W454" t="str">
        <f>VLOOKUP(Table1[[#This Row],[Isin code]],Table2[#All],10,FALSE)</f>
        <v>Yearly</v>
      </c>
      <c r="X454">
        <f ca="1">_xlfn.DAYS(Table1[[#This Row],[Maturity]],TODAY())-15</f>
        <v>2242</v>
      </c>
      <c r="Y4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54">
        <f>IF(Table1[[#This Row],[Ask Rate]]=0,0,Table1[[#This Row],[Face Value]]-Table1[[#This Row],[Ask Rate]])</f>
        <v>-98</v>
      </c>
      <c r="AA454">
        <f>IF(Table1[[#This Row],[Freq]]="Yearly",Table1[[#This Row],[Coupon_Rate]]/100,IF(Table1[[#This Row],[Freq]]="Monthly",Table1[[#This Row],[Coupon_Rate]]/1200,IF(Table1[[#This Row],[Freq]]="Quarterly",Table1[[#This Row],[Coupon_Rate]]/400,0)))</f>
        <v>7.5300000000000006E-2</v>
      </c>
      <c r="AB454">
        <f ca="1">Table1[[#This Row],[Face Value]]*Table1[[#This Row],[Rate]]*Table1[[#This Row],[Time]]</f>
        <v>527.10000000000014</v>
      </c>
      <c r="AC454">
        <f ca="1">Table1[[#This Row],[SI]]+Table1[[#This Row],[Disc/Prem]]</f>
        <v>429.10000000000014</v>
      </c>
      <c r="AD454" s="3">
        <f ca="1">Table1[[#This Row],[Net Gain]]/Table1[[#This Row],[Ask Rate]]</f>
        <v>0.39080145719489995</v>
      </c>
      <c r="AE454" s="3">
        <f ca="1">IF(Table1[[#This Row],[Ask Qty]]=0,0,Table1[[#This Row],[Gross Yield]]*365/Table1[[#This Row],[Days Left]])</f>
        <v>6.3200058429835393E-2</v>
      </c>
      <c r="AF454" s="9">
        <f ca="1">+Table1[[#This Row],[Net Gain]]*Table1[[#This Row],[Ask Qty]]</f>
        <v>2145.5000000000009</v>
      </c>
      <c r="AG454" t="str">
        <f ca="1">IF(Table1[[#This Row],[YTM]]&gt;0.12,IF(Table1[[#This Row],[Gross Profit]]&gt;10000,"Invest","Review"),"Low YTM")</f>
        <v>Low YTM</v>
      </c>
    </row>
    <row r="455" spans="1:33" x14ac:dyDescent="0.3">
      <c r="A455" t="str">
        <f>RTD("nest.scriprtd",,"nse_cm|734IRFC28-N4","Symbol")</f>
        <v>734IRFC28</v>
      </c>
      <c r="B455" t="str">
        <f>RTD("nest.scriprtd",,"nse_cm|734IRFC28-N4","Trading Symbol")</f>
        <v>734IRFC28-N4</v>
      </c>
      <c r="C455" t="str">
        <f>RTD("nest.scriprtd",,"nse_cm|734IRFC28-N4","Exchange")</f>
        <v>NSE</v>
      </c>
      <c r="D455">
        <f>RTD("nest.scriprtd",,"nse_cm|734IRFC28-N4","Bid Qty")</f>
        <v>50</v>
      </c>
      <c r="E455">
        <f>RTD("nest.scriprtd",,"nse_cm|734IRFC28-N4","Bid Rate")</f>
        <v>1055</v>
      </c>
      <c r="F455">
        <f>RTD("nest.scriprtd",,"nse_cm|734IRFC28-N4","Ask Rate")</f>
        <v>1070</v>
      </c>
      <c r="G455">
        <f>RTD("nest.scriprtd",,"nse_cm|734IRFC28-N4","Ask Qty")</f>
        <v>100</v>
      </c>
      <c r="H455">
        <f>RTD("nest.scriprtd",,"nse_cm|734IRFC28-N4","LTP")</f>
        <v>1059.99</v>
      </c>
      <c r="I455" t="str">
        <f>RTD("nest.scriprtd",,"nse_cm|734IRFC28-N4","LTT")</f>
        <v/>
      </c>
      <c r="J455">
        <f>RTD("nest.scriprtd",,"nse_cm|734IRFC28-N4","% Change")</f>
        <v>0</v>
      </c>
      <c r="K455">
        <f>RTD("nest.scriprtd",,"nse_cm|734IRFC28-N4","ATP")</f>
        <v>0</v>
      </c>
      <c r="L455">
        <f>RTD("nest.scriprtd",,"nse_cm|734IRFC28-N4","Volume Traded Today")</f>
        <v>0</v>
      </c>
      <c r="M455">
        <f>RTD("nest.scriprtd",,"nse_cm|734IRFC28-N4","Open")</f>
        <v>0</v>
      </c>
      <c r="N455">
        <f>RTD("nest.scriprtd",,"nse_cm|734IRFC28-N4","High")</f>
        <v>1059.99</v>
      </c>
      <c r="O455">
        <f>RTD("nest.scriprtd",,"nse_cm|734IRFC28-N4","Low ")</f>
        <v>1059.99</v>
      </c>
      <c r="P455">
        <f>RTD("nest.scriprtd",,"nse_cm|734IRFC28-N4","Prev Close")</f>
        <v>1059.99</v>
      </c>
      <c r="Q455">
        <f>RTD("nest.scriprtd",,"nse_cm|734IRFC28-N4","Face Value")</f>
        <v>1000</v>
      </c>
      <c r="R455" t="str">
        <f>RTD("nest.scriprtd",,"nse_cm|734IRFC28-N4","Isin code")</f>
        <v>INE053F07579</v>
      </c>
      <c r="S455" s="9">
        <f>Table1[[#This Row],[Ask Rate]]*Table1[[#This Row],[Ask Qty]]</f>
        <v>107000</v>
      </c>
      <c r="T455">
        <f>VLOOKUP(Table1[[#This Row],[Isin code]],Table2[#All],7,FALSE)</f>
        <v>7.3400000000000007</v>
      </c>
      <c r="U455" s="17" t="str">
        <f>VLOOKUP(Table1[[#This Row],[Isin code]],Table2[#All],8,FALSE)</f>
        <v>19-Feb-2028</v>
      </c>
      <c r="V455" s="10">
        <f ca="1">Table1[[#This Row],[Maturity]]-TODAY()</f>
        <v>1221</v>
      </c>
      <c r="W455" t="str">
        <f>VLOOKUP(Table1[[#This Row],[Isin code]],Table2[#All],10,FALSE)</f>
        <v>Yearly</v>
      </c>
      <c r="X455">
        <f ca="1">_xlfn.DAYS(Table1[[#This Row],[Maturity]],TODAY())-15</f>
        <v>1206</v>
      </c>
      <c r="Y4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55">
        <f>IF(Table1[[#This Row],[Ask Rate]]=0,0,Table1[[#This Row],[Face Value]]-Table1[[#This Row],[Ask Rate]])</f>
        <v>-70</v>
      </c>
      <c r="AA455">
        <f>IF(Table1[[#This Row],[Freq]]="Yearly",Table1[[#This Row],[Coupon_Rate]]/100,IF(Table1[[#This Row],[Freq]]="Monthly",Table1[[#This Row],[Coupon_Rate]]/1200,IF(Table1[[#This Row],[Freq]]="Quarterly",Table1[[#This Row],[Coupon_Rate]]/400,0)))</f>
        <v>7.3400000000000007E-2</v>
      </c>
      <c r="AB455">
        <f ca="1">Table1[[#This Row],[Face Value]]*Table1[[#This Row],[Rate]]*Table1[[#This Row],[Time]]</f>
        <v>293.60000000000002</v>
      </c>
      <c r="AC455">
        <f ca="1">Table1[[#This Row],[SI]]+Table1[[#This Row],[Disc/Prem]]</f>
        <v>223.60000000000002</v>
      </c>
      <c r="AD455" s="3">
        <f ca="1">Table1[[#This Row],[Net Gain]]/Table1[[#This Row],[Ask Rate]]</f>
        <v>0.20897196261682244</v>
      </c>
      <c r="AE455" s="3">
        <f ca="1">IF(Table1[[#This Row],[Ask Qty]]=0,0,Table1[[#This Row],[Gross Yield]]*365/Table1[[#This Row],[Days Left]])</f>
        <v>6.246909611395593E-2</v>
      </c>
      <c r="AF455" s="9">
        <f ca="1">+Table1[[#This Row],[Net Gain]]*Table1[[#This Row],[Ask Qty]]</f>
        <v>22360.000000000004</v>
      </c>
      <c r="AG455" t="str">
        <f ca="1">IF(Table1[[#This Row],[YTM]]&gt;0.12,IF(Table1[[#This Row],[Gross Profit]]&gt;10000,"Invest","Review"),"Low YTM")</f>
        <v>Low YTM</v>
      </c>
    </row>
    <row r="456" spans="1:33" x14ac:dyDescent="0.3">
      <c r="A456" t="str">
        <f>RTD("nest.scriprtd",,"bse_cm|935AHFL28","Symbol")</f>
        <v>935AHFL28</v>
      </c>
      <c r="B456" t="str">
        <f>RTD("nest.scriprtd",,"bse_cm|935AHFL28","Trading Symbol")</f>
        <v>935AHFL28</v>
      </c>
      <c r="C456" t="str">
        <f>RTD("nest.scriprtd",,"bse_cm|935AHFL28","Exchange")</f>
        <v>BSE</v>
      </c>
      <c r="D456">
        <f>RTD("nest.scriprtd",,"bse_cm|935AHFL28","Bid Qty")</f>
        <v>25</v>
      </c>
      <c r="E456">
        <f>RTD("nest.scriprtd",,"bse_cm|935AHFL28","Bid Rate")</f>
        <v>1002</v>
      </c>
      <c r="F456">
        <f>RTD("nest.scriprtd",,"bse_cm|935AHFL28","Ask Rate")</f>
        <v>1103</v>
      </c>
      <c r="G456">
        <f>RTD("nest.scriprtd",,"bse_cm|935AHFL28","Ask Qty")</f>
        <v>25</v>
      </c>
      <c r="H456">
        <f>RTD("nest.scriprtd",,"bse_cm|935AHFL28","LTP")</f>
        <v>0</v>
      </c>
      <c r="I456" t="str">
        <f>RTD("nest.scriprtd",,"bse_cm|935AHFL28","LTT")</f>
        <v>00:00:00</v>
      </c>
      <c r="J456">
        <f>RTD("nest.scriprtd",,"bse_cm|935AHFL28","% Change")</f>
        <v>-100</v>
      </c>
      <c r="K456">
        <f>RTD("nest.scriprtd",,"bse_cm|935AHFL28","ATP")</f>
        <v>0</v>
      </c>
      <c r="L456">
        <f>RTD("nest.scriprtd",,"bse_cm|935AHFL28","Volume Traded Today")</f>
        <v>0</v>
      </c>
      <c r="M456">
        <f>RTD("nest.scriprtd",,"bse_cm|935AHFL28","Open")</f>
        <v>0</v>
      </c>
      <c r="N456">
        <f>RTD("nest.scriprtd",,"bse_cm|935AHFL28","High")</f>
        <v>1299</v>
      </c>
      <c r="O456">
        <f>RTD("nest.scriprtd",,"bse_cm|935AHFL28","Low ")</f>
        <v>903</v>
      </c>
      <c r="P456">
        <f>RTD("nest.scriprtd",,"bse_cm|935AHFL28","Prev Close")</f>
        <v>1079</v>
      </c>
      <c r="Q456">
        <f>RTD("nest.scriprtd",,"bse_cm|935AHFL28","Face Value")</f>
        <v>1000</v>
      </c>
      <c r="R456" t="str">
        <f>RTD("nest.scriprtd",,"bse_cm|935AHFL28","Isin code")</f>
        <v>INE538L07528</v>
      </c>
      <c r="S456" s="9">
        <f>Table1[[#This Row],[Ask Rate]]*Table1[[#This Row],[Ask Qty]]</f>
        <v>27575</v>
      </c>
      <c r="T456">
        <f>VLOOKUP(Table1[[#This Row],[Isin code]],Table2[#All],7,FALSE)</f>
        <v>9.35</v>
      </c>
      <c r="U456" s="17" t="str">
        <f>VLOOKUP(Table1[[#This Row],[Isin code]],Table2[#All],8,FALSE)</f>
        <v>29-Sep-2028</v>
      </c>
      <c r="V456" s="10">
        <f ca="1">Table1[[#This Row],[Maturity]]-TODAY()</f>
        <v>1444</v>
      </c>
      <c r="W456" t="str">
        <f>VLOOKUP(Table1[[#This Row],[Isin code]],Table2[#All],10,FALSE)</f>
        <v>Monthly</v>
      </c>
      <c r="X456">
        <f ca="1">_xlfn.DAYS(Table1[[#This Row],[Maturity]],TODAY())-15</f>
        <v>1429</v>
      </c>
      <c r="Y4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456">
        <f>IF(Table1[[#This Row],[Ask Rate]]=0,0,Table1[[#This Row],[Face Value]]-Table1[[#This Row],[Ask Rate]])</f>
        <v>-103</v>
      </c>
      <c r="AA456">
        <f>IF(Table1[[#This Row],[Freq]]="Yearly",Table1[[#This Row],[Coupon_Rate]]/100,IF(Table1[[#This Row],[Freq]]="Monthly",Table1[[#This Row],[Coupon_Rate]]/1200,IF(Table1[[#This Row],[Freq]]="Quarterly",Table1[[#This Row],[Coupon_Rate]]/400,0)))</f>
        <v>7.7916666666666664E-3</v>
      </c>
      <c r="AB456">
        <f ca="1">Table1[[#This Row],[Face Value]]*Table1[[#This Row],[Rate]]*Table1[[#This Row],[Time]]</f>
        <v>374</v>
      </c>
      <c r="AC456">
        <f ca="1">Table1[[#This Row],[SI]]+Table1[[#This Row],[Disc/Prem]]</f>
        <v>271</v>
      </c>
      <c r="AD456" s="3">
        <f ca="1">Table1[[#This Row],[Net Gain]]/Table1[[#This Row],[Ask Rate]]</f>
        <v>0.2456935630099728</v>
      </c>
      <c r="AE456" s="3">
        <f ca="1">IF(Table1[[#This Row],[Ask Qty]]=0,0,Table1[[#This Row],[Gross Yield]]*365/Table1[[#This Row],[Days Left]])</f>
        <v>6.210398233977845E-2</v>
      </c>
      <c r="AF456" s="9">
        <f ca="1">+Table1[[#This Row],[Net Gain]]*Table1[[#This Row],[Ask Qty]]</f>
        <v>6775</v>
      </c>
      <c r="AG456" t="str">
        <f ca="1">IF(Table1[[#This Row],[YTM]]&gt;0.12,IF(Table1[[#This Row],[Gross Profit]]&gt;10000,"Invest","Review"),"Low YTM")</f>
        <v>Low YTM</v>
      </c>
    </row>
    <row r="457" spans="1:33" x14ac:dyDescent="0.3">
      <c r="A457" t="str">
        <f>RTD("nest.scriprtd",,"bse_cm|984IFSL26","Symbol")</f>
        <v>984IFSL26</v>
      </c>
      <c r="B457" t="str">
        <f>RTD("nest.scriprtd",,"bse_cm|984IFSL26","Trading Symbol")</f>
        <v>984IFSL26</v>
      </c>
      <c r="C457" t="str">
        <f>RTD("nest.scriprtd",,"bse_cm|984IFSL26","Exchange")</f>
        <v>BSE</v>
      </c>
      <c r="D457">
        <f>RTD("nest.scriprtd",,"bse_cm|984IFSL26","Bid Qty")</f>
        <v>1</v>
      </c>
      <c r="E457">
        <f>RTD("nest.scriprtd",,"bse_cm|984IFSL26","Bid Rate")</f>
        <v>954</v>
      </c>
      <c r="F457">
        <f>RTD("nest.scriprtd",,"bse_cm|984IFSL26","Ask Rate")</f>
        <v>1070</v>
      </c>
      <c r="G457">
        <f>RTD("nest.scriprtd",,"bse_cm|984IFSL26","Ask Qty")</f>
        <v>43</v>
      </c>
      <c r="H457">
        <f>RTD("nest.scriprtd",,"bse_cm|984IFSL26","LTP")</f>
        <v>0</v>
      </c>
      <c r="I457" t="str">
        <f>RTD("nest.scriprtd",,"bse_cm|984IFSL26","LTT")</f>
        <v>00:00:00</v>
      </c>
      <c r="J457">
        <f>RTD("nest.scriprtd",,"bse_cm|984IFSL26","% Change")</f>
        <v>-100</v>
      </c>
      <c r="K457">
        <f>RTD("nest.scriprtd",,"bse_cm|984IFSL26","ATP")</f>
        <v>0</v>
      </c>
      <c r="L457">
        <f>RTD("nest.scriprtd",,"bse_cm|984IFSL26","Volume Traded Today")</f>
        <v>0</v>
      </c>
      <c r="M457">
        <f>RTD("nest.scriprtd",,"bse_cm|984IFSL26","Open")</f>
        <v>0</v>
      </c>
      <c r="N457">
        <f>RTD("nest.scriprtd",,"bse_cm|984IFSL26","High")</f>
        <v>1000</v>
      </c>
      <c r="O457">
        <f>RTD("nest.scriprtd",,"bse_cm|984IFSL26","Low ")</f>
        <v>1000</v>
      </c>
      <c r="P457">
        <f>RTD("nest.scriprtd",,"bse_cm|984IFSL26","Prev Close")</f>
        <v>1000</v>
      </c>
      <c r="Q457">
        <f>RTD("nest.scriprtd",,"bse_cm|984IFSL26","Face Value")</f>
        <v>1000</v>
      </c>
      <c r="R457" t="str">
        <f>RTD("nest.scriprtd",,"bse_cm|984IFSL26","Isin code")</f>
        <v>INE321N07376</v>
      </c>
      <c r="S457" s="9">
        <f>Table1[[#This Row],[Ask Rate]]*Table1[[#This Row],[Ask Qty]]</f>
        <v>46010</v>
      </c>
      <c r="T457">
        <f>VLOOKUP(Table1[[#This Row],[Isin code]],Table2[#All],7,FALSE)</f>
        <v>9.84</v>
      </c>
      <c r="U457" s="17" t="str">
        <f>VLOOKUP(Table1[[#This Row],[Isin code]],Table2[#All],8,FALSE)</f>
        <v>10-Nov-2026</v>
      </c>
      <c r="V457" s="10">
        <f ca="1">Table1[[#This Row],[Maturity]]-TODAY()</f>
        <v>755</v>
      </c>
      <c r="W457" t="str">
        <f>VLOOKUP(Table1[[#This Row],[Isin code]],Table2[#All],10,FALSE)</f>
        <v>Monthly</v>
      </c>
      <c r="X457">
        <f ca="1">_xlfn.DAYS(Table1[[#This Row],[Maturity]],TODAY())-15</f>
        <v>740</v>
      </c>
      <c r="Y4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457">
        <f>IF(Table1[[#This Row],[Ask Rate]]=0,0,Table1[[#This Row],[Face Value]]-Table1[[#This Row],[Ask Rate]])</f>
        <v>-70</v>
      </c>
      <c r="AA457">
        <f>IF(Table1[[#This Row],[Freq]]="Yearly",Table1[[#This Row],[Coupon_Rate]]/100,IF(Table1[[#This Row],[Freq]]="Monthly",Table1[[#This Row],[Coupon_Rate]]/1200,IF(Table1[[#This Row],[Freq]]="Quarterly",Table1[[#This Row],[Coupon_Rate]]/400,0)))</f>
        <v>8.2000000000000007E-3</v>
      </c>
      <c r="AB457">
        <f ca="1">Table1[[#This Row],[Face Value]]*Table1[[#This Row],[Rate]]*Table1[[#This Row],[Time]]</f>
        <v>205.00000000000003</v>
      </c>
      <c r="AC457">
        <f ca="1">Table1[[#This Row],[SI]]+Table1[[#This Row],[Disc/Prem]]</f>
        <v>135.00000000000003</v>
      </c>
      <c r="AD457" s="3">
        <f ca="1">Table1[[#This Row],[Net Gain]]/Table1[[#This Row],[Ask Rate]]</f>
        <v>0.12616822429906543</v>
      </c>
      <c r="AE457" s="3">
        <f ca="1">IF(Table1[[#This Row],[Ask Qty]]=0,0,Table1[[#This Row],[Gross Yield]]*365/Table1[[#This Row],[Days Left]])</f>
        <v>6.0995234263786599E-2</v>
      </c>
      <c r="AF457" s="9">
        <f ca="1">+Table1[[#This Row],[Net Gain]]*Table1[[#This Row],[Ask Qty]]</f>
        <v>5805.0000000000009</v>
      </c>
      <c r="AG457" t="str">
        <f ca="1">IF(Table1[[#This Row],[YTM]]&gt;0.12,IF(Table1[[#This Row],[Gross Profit]]&gt;10000,"Invest","Review"),"Low YTM")</f>
        <v>Low YTM</v>
      </c>
    </row>
    <row r="458" spans="1:33" x14ac:dyDescent="0.3">
      <c r="A458" t="str">
        <f>RTD("nest.scriprtd",,"bse_cm|975MVAFL25","Symbol")</f>
        <v>975MVAFL25</v>
      </c>
      <c r="B458" t="str">
        <f>RTD("nest.scriprtd",,"bse_cm|975MVAFL25","Trading Symbol")</f>
        <v>975MVAFL25</v>
      </c>
      <c r="C458" t="str">
        <f>RTD("nest.scriprtd",,"bse_cm|975MVAFL25","Exchange")</f>
        <v>BSE</v>
      </c>
      <c r="D458">
        <f>RTD("nest.scriprtd",,"bse_cm|975MVAFL25","Bid Qty")</f>
        <v>200</v>
      </c>
      <c r="E458">
        <f>RTD("nest.scriprtd",,"bse_cm|975MVAFL25","Bid Rate")</f>
        <v>965.1</v>
      </c>
      <c r="F458">
        <f>RTD("nest.scriprtd",,"bse_cm|975MVAFL25","Ask Rate")</f>
        <v>1015</v>
      </c>
      <c r="G458">
        <f>RTD("nest.scriprtd",,"bse_cm|975MVAFL25","Ask Qty")</f>
        <v>298</v>
      </c>
      <c r="H458">
        <f>RTD("nest.scriprtd",,"bse_cm|975MVAFL25","LTP")</f>
        <v>0</v>
      </c>
      <c r="I458" t="str">
        <f>RTD("nest.scriprtd",,"bse_cm|975MVAFL25","LTT")</f>
        <v>00:00:00</v>
      </c>
      <c r="J458">
        <f>RTD("nest.scriprtd",,"bse_cm|975MVAFL25","% Change")</f>
        <v>-100</v>
      </c>
      <c r="K458">
        <f>RTD("nest.scriprtd",,"bse_cm|975MVAFL25","ATP")</f>
        <v>0</v>
      </c>
      <c r="L458">
        <f>RTD("nest.scriprtd",,"bse_cm|975MVAFL25","Volume Traded Today")</f>
        <v>0</v>
      </c>
      <c r="M458">
        <f>RTD("nest.scriprtd",,"bse_cm|975MVAFL25","Open")</f>
        <v>0</v>
      </c>
      <c r="N458">
        <f>RTD("nest.scriprtd",,"bse_cm|975MVAFL25","High")</f>
        <v>950</v>
      </c>
      <c r="O458">
        <f>RTD("nest.scriprtd",,"bse_cm|975MVAFL25","Low ")</f>
        <v>950</v>
      </c>
      <c r="P458">
        <f>RTD("nest.scriprtd",,"bse_cm|975MVAFL25","Prev Close")</f>
        <v>950</v>
      </c>
      <c r="Q458">
        <f>RTD("nest.scriprtd",,"bse_cm|975MVAFL25","Face Value")</f>
        <v>1000</v>
      </c>
      <c r="R458" t="str">
        <f>RTD("nest.scriprtd",,"bse_cm|975MVAFL25","Isin code")</f>
        <v>INE00XE07119</v>
      </c>
      <c r="S458" s="9">
        <f>Table1[[#This Row],[Ask Rate]]*Table1[[#This Row],[Ask Qty]]</f>
        <v>302470</v>
      </c>
      <c r="T458">
        <f>VLOOKUP(Table1[[#This Row],[Isin code]],Table2[#All],7,FALSE)</f>
        <v>9.75</v>
      </c>
      <c r="U458" s="17" t="str">
        <f>VLOOKUP(Table1[[#This Row],[Isin code]],Table2[#All],8,FALSE)</f>
        <v>17-Mar-2025</v>
      </c>
      <c r="V458" s="10">
        <f ca="1">Table1[[#This Row],[Maturity]]-TODAY()</f>
        <v>152</v>
      </c>
      <c r="W458" t="str">
        <f>VLOOKUP(Table1[[#This Row],[Isin code]],Table2[#All],10,FALSE)</f>
        <v>Monthly</v>
      </c>
      <c r="X458">
        <f ca="1">_xlfn.DAYS(Table1[[#This Row],[Maturity]],TODAY())-15</f>
        <v>137</v>
      </c>
      <c r="Y4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458">
        <f>IF(Table1[[#This Row],[Ask Rate]]=0,0,Table1[[#This Row],[Face Value]]-Table1[[#This Row],[Ask Rate]])</f>
        <v>-15</v>
      </c>
      <c r="AA458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458">
        <f ca="1">Table1[[#This Row],[Face Value]]*Table1[[#This Row],[Rate]]*Table1[[#This Row],[Time]]</f>
        <v>40.625</v>
      </c>
      <c r="AC458">
        <f ca="1">Table1[[#This Row],[SI]]+Table1[[#This Row],[Disc/Prem]]</f>
        <v>25.625</v>
      </c>
      <c r="AD458" s="3">
        <f ca="1">Table1[[#This Row],[Net Gain]]/Table1[[#This Row],[Ask Rate]]</f>
        <v>2.5246305418719212E-2</v>
      </c>
      <c r="AE458" s="3">
        <f ca="1">IF(Table1[[#This Row],[Ask Qty]]=0,0,Table1[[#This Row],[Gross Yield]]*365/Table1[[#This Row],[Days Left]])</f>
        <v>6.062435182784548E-2</v>
      </c>
      <c r="AF458" s="9">
        <f ca="1">+Table1[[#This Row],[Net Gain]]*Table1[[#This Row],[Ask Qty]]</f>
        <v>7636.25</v>
      </c>
      <c r="AG458" t="str">
        <f ca="1">IF(Table1[[#This Row],[YTM]]&gt;0.12,IF(Table1[[#This Row],[Gross Profit]]&gt;10000,"Invest","Review"),"Low YTM")</f>
        <v>Low YTM</v>
      </c>
    </row>
    <row r="459" spans="1:33" x14ac:dyDescent="0.3">
      <c r="A459" t="str">
        <f>RTD("nest.scriprtd",,"bse_cm|1025KFL26C","Symbol")</f>
        <v>1025KFL26C</v>
      </c>
      <c r="B459" t="str">
        <f>RTD("nest.scriprtd",,"bse_cm|1025KFL26C","Trading Symbol")</f>
        <v>1025KFL26C</v>
      </c>
      <c r="C459" t="str">
        <f>RTD("nest.scriprtd",,"bse_cm|1025KFL26C","Exchange")</f>
        <v>BSE</v>
      </c>
      <c r="D459">
        <f>RTD("nest.scriprtd",,"bse_cm|1025KFL26C","Bid Qty")</f>
        <v>10</v>
      </c>
      <c r="E459">
        <f>RTD("nest.scriprtd",,"bse_cm|1025KFL26C","Bid Rate")</f>
        <v>832.8</v>
      </c>
      <c r="F459">
        <f>RTD("nest.scriprtd",,"bse_cm|1025KFL26C","Ask Rate")</f>
        <v>1081.2</v>
      </c>
      <c r="G459">
        <f>RTD("nest.scriprtd",,"bse_cm|1025KFL26C","Ask Qty")</f>
        <v>20</v>
      </c>
      <c r="H459">
        <f>RTD("nest.scriprtd",,"bse_cm|1025KFL26C","LTP")</f>
        <v>0</v>
      </c>
      <c r="I459" t="str">
        <f>RTD("nest.scriprtd",,"bse_cm|1025KFL26C","LTT")</f>
        <v>00:00:00</v>
      </c>
      <c r="J459">
        <f>RTD("nest.scriprtd",,"bse_cm|1025KFL26C","% Change")</f>
        <v>-100</v>
      </c>
      <c r="K459">
        <f>RTD("nest.scriprtd",,"bse_cm|1025KFL26C","ATP")</f>
        <v>0</v>
      </c>
      <c r="L459">
        <f>RTD("nest.scriprtd",,"bse_cm|1025KFL26C","Volume Traded Today")</f>
        <v>0</v>
      </c>
      <c r="M459">
        <f>RTD("nest.scriprtd",,"bse_cm|1025KFL26C","Open")</f>
        <v>0</v>
      </c>
      <c r="N459">
        <f>RTD("nest.scriprtd",,"bse_cm|1025KFL26C","High")</f>
        <v>901</v>
      </c>
      <c r="O459">
        <f>RTD("nest.scriprtd",,"bse_cm|1025KFL26C","Low ")</f>
        <v>901</v>
      </c>
      <c r="P459">
        <f>RTD("nest.scriprtd",,"bse_cm|1025KFL26C","Prev Close")</f>
        <v>901</v>
      </c>
      <c r="Q459">
        <f>RTD("nest.scriprtd",,"bse_cm|1025KFL26C","Face Value")</f>
        <v>1000</v>
      </c>
      <c r="R459" t="str">
        <f>RTD("nest.scriprtd",,"bse_cm|1025KFL26C","Isin code")</f>
        <v>INE403Q08233</v>
      </c>
      <c r="S459" s="9">
        <f>Table1[[#This Row],[Ask Rate]]*Table1[[#This Row],[Ask Qty]]</f>
        <v>21624</v>
      </c>
      <c r="T459">
        <f>VLOOKUP(Table1[[#This Row],[Isin code]],Table2[#All],7,FALSE)</f>
        <v>10.25</v>
      </c>
      <c r="U459" s="17" t="str">
        <f>VLOOKUP(Table1[[#This Row],[Isin code]],Table2[#All],8,FALSE)</f>
        <v>28-Oct-2026</v>
      </c>
      <c r="V459" s="10">
        <f ca="1">Table1[[#This Row],[Maturity]]-TODAY()</f>
        <v>742</v>
      </c>
      <c r="W459" t="str">
        <f>VLOOKUP(Table1[[#This Row],[Isin code]],Table2[#All],10,FALSE)</f>
        <v>Monthly</v>
      </c>
      <c r="X459">
        <f ca="1">_xlfn.DAYS(Table1[[#This Row],[Maturity]],TODAY())-15</f>
        <v>727</v>
      </c>
      <c r="Y4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459">
        <f>IF(Table1[[#This Row],[Ask Rate]]=0,0,Table1[[#This Row],[Face Value]]-Table1[[#This Row],[Ask Rate]])</f>
        <v>-81.200000000000045</v>
      </c>
      <c r="AA459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459">
        <f ca="1">Table1[[#This Row],[Face Value]]*Table1[[#This Row],[Rate]]*Table1[[#This Row],[Time]]</f>
        <v>213.54166666666666</v>
      </c>
      <c r="AC459">
        <f ca="1">Table1[[#This Row],[SI]]+Table1[[#This Row],[Disc/Prem]]</f>
        <v>132.34166666666661</v>
      </c>
      <c r="AD459" s="3">
        <f ca="1">Table1[[#This Row],[Net Gain]]/Table1[[#This Row],[Ask Rate]]</f>
        <v>0.12240257738315447</v>
      </c>
      <c r="AE459" s="3">
        <f ca="1">IF(Table1[[#This Row],[Ask Qty]]=0,0,Table1[[#This Row],[Gross Yield]]*365/Table1[[#This Row],[Days Left]])</f>
        <v>6.0211510437805094E-2</v>
      </c>
      <c r="AF459" s="9">
        <f ca="1">+Table1[[#This Row],[Net Gain]]*Table1[[#This Row],[Ask Qty]]</f>
        <v>2646.8333333333321</v>
      </c>
      <c r="AG459" t="str">
        <f ca="1">IF(Table1[[#This Row],[YTM]]&gt;0.12,IF(Table1[[#This Row],[Gross Profit]]&gt;10000,"Invest","Review"),"Low YTM")</f>
        <v>Low YTM</v>
      </c>
    </row>
    <row r="460" spans="1:33" x14ac:dyDescent="0.3">
      <c r="A460" t="str">
        <f>RTD("nest.scriprtd",,"bse_cm|1150CCIL28","Symbol")</f>
        <v>1150CCIL28</v>
      </c>
      <c r="B460" t="str">
        <f>RTD("nest.scriprtd",,"bse_cm|1150CCIL28","Trading Symbol")</f>
        <v>1150CCIL28</v>
      </c>
      <c r="C460" t="str">
        <f>RTD("nest.scriprtd",,"bse_cm|1150CCIL28","Exchange")</f>
        <v>BSE</v>
      </c>
      <c r="D460">
        <f>RTD("nest.scriprtd",,"bse_cm|1150CCIL28","Bid Qty")</f>
        <v>2</v>
      </c>
      <c r="E460">
        <f>RTD("nest.scriprtd",,"bse_cm|1150CCIL28","Bid Rate")</f>
        <v>951</v>
      </c>
      <c r="F460">
        <f>RTD("nest.scriprtd",,"bse_cm|1150CCIL28","Ask Rate")</f>
        <v>1200</v>
      </c>
      <c r="G460">
        <f>RTD("nest.scriprtd",,"bse_cm|1150CCIL28","Ask Qty")</f>
        <v>10</v>
      </c>
      <c r="H460">
        <f>RTD("nest.scriprtd",,"bse_cm|1150CCIL28","LTP")</f>
        <v>0</v>
      </c>
      <c r="I460" t="str">
        <f>RTD("nest.scriprtd",,"bse_cm|1150CCIL28","LTT")</f>
        <v>00:00:00</v>
      </c>
      <c r="J460">
        <f>RTD("nest.scriprtd",,"bse_cm|1150CCIL28","% Change")</f>
        <v>-100</v>
      </c>
      <c r="K460">
        <f>RTD("nest.scriprtd",,"bse_cm|1150CCIL28","ATP")</f>
        <v>0</v>
      </c>
      <c r="L460">
        <f>RTD("nest.scriprtd",,"bse_cm|1150CCIL28","Volume Traded Today")</f>
        <v>0</v>
      </c>
      <c r="M460">
        <f>RTD("nest.scriprtd",,"bse_cm|1150CCIL28","Open")</f>
        <v>0</v>
      </c>
      <c r="N460">
        <f>RTD("nest.scriprtd",,"bse_cm|1150CCIL28","High")</f>
        <v>1000</v>
      </c>
      <c r="O460">
        <f>RTD("nest.scriprtd",,"bse_cm|1150CCIL28","Low ")</f>
        <v>1000</v>
      </c>
      <c r="P460">
        <f>RTD("nest.scriprtd",,"bse_cm|1150CCIL28","Prev Close")</f>
        <v>1000</v>
      </c>
      <c r="Q460">
        <f>RTD("nest.scriprtd",,"bse_cm|1150CCIL28","Face Value")</f>
        <v>1000</v>
      </c>
      <c r="R460" t="str">
        <f>RTD("nest.scriprtd",,"bse_cm|1150CCIL28","Isin code")</f>
        <v>INE051307AM5</v>
      </c>
      <c r="S460" s="9">
        <f>Table1[[#This Row],[Ask Rate]]*Table1[[#This Row],[Ask Qty]]</f>
        <v>12000</v>
      </c>
      <c r="T460">
        <f>VLOOKUP(Table1[[#This Row],[Isin code]],Table2[#All],7,FALSE)</f>
        <v>11.5</v>
      </c>
      <c r="U460" s="17" t="str">
        <f>VLOOKUP(Table1[[#This Row],[Isin code]],Table2[#All],8,FALSE)</f>
        <v>10-Mar-2029</v>
      </c>
      <c r="V460" s="10">
        <f ca="1">Table1[[#This Row],[Maturity]]-TODAY()</f>
        <v>1606</v>
      </c>
      <c r="W460" t="str">
        <f>VLOOKUP(Table1[[#This Row],[Isin code]],Table2[#All],10,FALSE)</f>
        <v>Monthly</v>
      </c>
      <c r="X460">
        <f ca="1">_xlfn.DAYS(Table1[[#This Row],[Maturity]],TODAY())-15</f>
        <v>1591</v>
      </c>
      <c r="Y4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460">
        <f>IF(Table1[[#This Row],[Ask Rate]]=0,0,Table1[[#This Row],[Face Value]]-Table1[[#This Row],[Ask Rate]])</f>
        <v>-200</v>
      </c>
      <c r="AA460">
        <f>IF(Table1[[#This Row],[Freq]]="Yearly",Table1[[#This Row],[Coupon_Rate]]/100,IF(Table1[[#This Row],[Freq]]="Monthly",Table1[[#This Row],[Coupon_Rate]]/1200,IF(Table1[[#This Row],[Freq]]="Quarterly",Table1[[#This Row],[Coupon_Rate]]/400,0)))</f>
        <v>9.5833333333333326E-3</v>
      </c>
      <c r="AB460">
        <f ca="1">Table1[[#This Row],[Face Value]]*Table1[[#This Row],[Rate]]*Table1[[#This Row],[Time]]</f>
        <v>517.49999999999989</v>
      </c>
      <c r="AC460">
        <f ca="1">Table1[[#This Row],[SI]]+Table1[[#This Row],[Disc/Prem]]</f>
        <v>317.49999999999989</v>
      </c>
      <c r="AD460" s="3">
        <f ca="1">Table1[[#This Row],[Net Gain]]/Table1[[#This Row],[Ask Rate]]</f>
        <v>0.26458333333333323</v>
      </c>
      <c r="AE460" s="3">
        <f ca="1">IF(Table1[[#This Row],[Ask Qty]]=0,0,Table1[[#This Row],[Gross Yield]]*365/Table1[[#This Row],[Days Left]])</f>
        <v>6.0132575757575732E-2</v>
      </c>
      <c r="AF460" s="9">
        <f ca="1">+Table1[[#This Row],[Net Gain]]*Table1[[#This Row],[Ask Qty]]</f>
        <v>3174.9999999999991</v>
      </c>
      <c r="AG460" t="str">
        <f ca="1">IF(Table1[[#This Row],[YTM]]&gt;0.12,IF(Table1[[#This Row],[Gross Profit]]&gt;10000,"Invest","Review"),"Low YTM")</f>
        <v>Low YTM</v>
      </c>
    </row>
    <row r="461" spans="1:33" x14ac:dyDescent="0.3">
      <c r="A461" t="str">
        <f>RTD("nest.scriprtd",,"nse_cm|769NHAI31-NE","Symbol")</f>
        <v>769NHAI31</v>
      </c>
      <c r="B461" t="str">
        <f>RTD("nest.scriprtd",,"nse_cm|769NHAI31-NE","Trading Symbol")</f>
        <v>769NHAI31-NE</v>
      </c>
      <c r="C461" t="str">
        <f>RTD("nest.scriprtd",,"nse_cm|769NHAI31-NE","Exchange")</f>
        <v>NSE</v>
      </c>
      <c r="D461">
        <f>RTD("nest.scriprtd",,"nse_cm|769NHAI31-NE","Bid Qty")</f>
        <v>10</v>
      </c>
      <c r="E461">
        <f>RTD("nest.scriprtd",,"nse_cm|769NHAI31-NE","Bid Rate")</f>
        <v>1110</v>
      </c>
      <c r="F461">
        <f>RTD("nest.scriprtd",,"nse_cm|769NHAI31-NE","Ask Rate")</f>
        <v>1115</v>
      </c>
      <c r="G461">
        <f>RTD("nest.scriprtd",,"nse_cm|769NHAI31-NE","Ask Qty")</f>
        <v>10</v>
      </c>
      <c r="H461">
        <f>RTD("nest.scriprtd",,"nse_cm|769NHAI31-NE","LTP")</f>
        <v>1110</v>
      </c>
      <c r="I461" t="str">
        <f>RTD("nest.scriprtd",,"nse_cm|769NHAI31-NE","LTT")</f>
        <v>11:07:29</v>
      </c>
      <c r="J461">
        <f>RTD("nest.scriprtd",,"nse_cm|769NHAI31-NE","% Change")</f>
        <v>0.36</v>
      </c>
      <c r="K461">
        <f>RTD("nest.scriprtd",,"nse_cm|769NHAI31-NE","ATP")</f>
        <v>1111</v>
      </c>
      <c r="L461">
        <f>RTD("nest.scriprtd",,"nse_cm|769NHAI31-NE","Volume Traded Today")</f>
        <v>50</v>
      </c>
      <c r="M461">
        <f>RTD("nest.scriprtd",,"nse_cm|769NHAI31-NE","Open")</f>
        <v>1111</v>
      </c>
      <c r="N461">
        <f>RTD("nest.scriprtd",,"nse_cm|769NHAI31-NE","High")</f>
        <v>1111</v>
      </c>
      <c r="O461">
        <f>RTD("nest.scriprtd",,"nse_cm|769NHAI31-NE","Low ")</f>
        <v>1110</v>
      </c>
      <c r="P461">
        <f>RTD("nest.scriprtd",,"nse_cm|769NHAI31-NE","Prev Close")</f>
        <v>1106</v>
      </c>
      <c r="Q461">
        <f>RTD("nest.scriprtd",,"nse_cm|769NHAI31-NE","Face Value")</f>
        <v>1000</v>
      </c>
      <c r="R461" t="str">
        <f>RTD("nest.scriprtd",,"nse_cm|769NHAI31-NE","Isin code")</f>
        <v>INE906B07EP5</v>
      </c>
      <c r="S461" s="9">
        <f>Table1[[#This Row],[Ask Rate]]*Table1[[#This Row],[Ask Qty]]</f>
        <v>11150</v>
      </c>
      <c r="T461">
        <f>VLOOKUP(Table1[[#This Row],[Isin code]],Table2[#All],7,FALSE)</f>
        <v>7.69</v>
      </c>
      <c r="U461" s="17" t="str">
        <f>VLOOKUP(Table1[[#This Row],[Isin code]],Table2[#All],8,FALSE)</f>
        <v>09-Mar-2031</v>
      </c>
      <c r="V461" s="10">
        <f ca="1">Table1[[#This Row],[Maturity]]-TODAY()</f>
        <v>2335</v>
      </c>
      <c r="W461" t="str">
        <f>VLOOKUP(Table1[[#This Row],[Isin code]],Table2[#All],10,FALSE)</f>
        <v>Yearly</v>
      </c>
      <c r="X461">
        <f ca="1">_xlfn.DAYS(Table1[[#This Row],[Maturity]],TODAY())-15</f>
        <v>2320</v>
      </c>
      <c r="Y4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61">
        <f>IF(Table1[[#This Row],[Ask Rate]]=0,0,Table1[[#This Row],[Face Value]]-Table1[[#This Row],[Ask Rate]])</f>
        <v>-115</v>
      </c>
      <c r="AA461">
        <f>IF(Table1[[#This Row],[Freq]]="Yearly",Table1[[#This Row],[Coupon_Rate]]/100,IF(Table1[[#This Row],[Freq]]="Monthly",Table1[[#This Row],[Coupon_Rate]]/1200,IF(Table1[[#This Row],[Freq]]="Quarterly",Table1[[#This Row],[Coupon_Rate]]/400,0)))</f>
        <v>7.690000000000001E-2</v>
      </c>
      <c r="AB461">
        <f ca="1">Table1[[#This Row],[Face Value]]*Table1[[#This Row],[Rate]]*Table1[[#This Row],[Time]]</f>
        <v>538.30000000000007</v>
      </c>
      <c r="AC461">
        <f ca="1">Table1[[#This Row],[SI]]+Table1[[#This Row],[Disc/Prem]]</f>
        <v>423.30000000000007</v>
      </c>
      <c r="AD461" s="3">
        <f ca="1">Table1[[#This Row],[Net Gain]]/Table1[[#This Row],[Ask Rate]]</f>
        <v>0.3796412556053812</v>
      </c>
      <c r="AE461" s="3">
        <f ca="1">IF(Table1[[#This Row],[Ask Qty]]=0,0,Table1[[#This Row],[Gross Yield]]*365/Table1[[#This Row],[Days Left]])</f>
        <v>5.9344350447950382E-2</v>
      </c>
      <c r="AF461" s="9">
        <f ca="1">+Table1[[#This Row],[Net Gain]]*Table1[[#This Row],[Ask Qty]]</f>
        <v>4233.0000000000009</v>
      </c>
      <c r="AG461" t="str">
        <f ca="1">IF(Table1[[#This Row],[YTM]]&gt;0.12,IF(Table1[[#This Row],[Gross Profit]]&gt;10000,"Invest","Review"),"Low YTM")</f>
        <v>Low YTM</v>
      </c>
    </row>
    <row r="462" spans="1:33" x14ac:dyDescent="0.3">
      <c r="A462" t="str">
        <f>RTD("nest.scriprtd",,"nse_cm|812REC27-NI","Symbol")</f>
        <v>812REC27</v>
      </c>
      <c r="B462" t="str">
        <f>RTD("nest.scriprtd",,"nse_cm|812REC27-NI","Trading Symbol")</f>
        <v>812REC27-NI</v>
      </c>
      <c r="C462" t="str">
        <f>RTD("nest.scriprtd",,"nse_cm|812REC27-NI","Exchange")</f>
        <v>NSE</v>
      </c>
      <c r="D462">
        <f>RTD("nest.scriprtd",,"nse_cm|812REC27-NI","Bid Qty")</f>
        <v>1000</v>
      </c>
      <c r="E462">
        <f>RTD("nest.scriprtd",,"nse_cm|812REC27-NI","Bid Rate")</f>
        <v>1075.1099999999999</v>
      </c>
      <c r="F462">
        <f>RTD("nest.scriprtd",,"nse_cm|812REC27-NI","Ask Rate")</f>
        <v>1084.9000000000001</v>
      </c>
      <c r="G462">
        <f>RTD("nest.scriprtd",,"nse_cm|812REC27-NI","Ask Qty")</f>
        <v>1</v>
      </c>
      <c r="H462">
        <f>RTD("nest.scriprtd",,"nse_cm|812REC27-NI","LTP")</f>
        <v>1080</v>
      </c>
      <c r="I462" t="str">
        <f>RTD("nest.scriprtd",,"nse_cm|812REC27-NI","LTT")</f>
        <v/>
      </c>
      <c r="J462">
        <f>RTD("nest.scriprtd",,"nse_cm|812REC27-NI","% Change")</f>
        <v>0</v>
      </c>
      <c r="K462">
        <f>RTD("nest.scriprtd",,"nse_cm|812REC27-NI","ATP")</f>
        <v>0</v>
      </c>
      <c r="L462">
        <f>RTD("nest.scriprtd",,"nse_cm|812REC27-NI","Volume Traded Today")</f>
        <v>0</v>
      </c>
      <c r="M462">
        <f>RTD("nest.scriprtd",,"nse_cm|812REC27-NI","Open")</f>
        <v>0</v>
      </c>
      <c r="N462">
        <f>RTD("nest.scriprtd",,"nse_cm|812REC27-NI","High")</f>
        <v>1080</v>
      </c>
      <c r="O462">
        <f>RTD("nest.scriprtd",,"nse_cm|812REC27-NI","Low ")</f>
        <v>1074.0999999999999</v>
      </c>
      <c r="P462">
        <f>RTD("nest.scriprtd",,"nse_cm|812REC27-NI","Prev Close")</f>
        <v>1080</v>
      </c>
      <c r="Q462">
        <f>RTD("nest.scriprtd",,"nse_cm|812REC27-NI","Face Value")</f>
        <v>1000</v>
      </c>
      <c r="R462" t="str">
        <f>RTD("nest.scriprtd",,"nse_cm|812REC27-NI","Isin code")</f>
        <v>INE020B07GH7</v>
      </c>
      <c r="S462" s="9">
        <f>Table1[[#This Row],[Ask Rate]]*Table1[[#This Row],[Ask Qty]]</f>
        <v>1084.9000000000001</v>
      </c>
      <c r="T462">
        <f>VLOOKUP(Table1[[#This Row],[Isin code]],Table2[#All],7,FALSE)</f>
        <v>8.1199999999999992</v>
      </c>
      <c r="U462" s="17">
        <f>VLOOKUP(Table1[[#This Row],[Isin code]],Table2[#All],8,FALSE)</f>
        <v>46473</v>
      </c>
      <c r="V462" s="10">
        <f ca="1">Table1[[#This Row],[Maturity]]-TODAY()</f>
        <v>892</v>
      </c>
      <c r="W462" t="str">
        <f>VLOOKUP(Table1[[#This Row],[Isin code]],Table2[#All],10,FALSE)</f>
        <v>Yearly</v>
      </c>
      <c r="X462">
        <f ca="1">_xlfn.DAYS(Table1[[#This Row],[Maturity]],TODAY())-15</f>
        <v>877</v>
      </c>
      <c r="Y4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62">
        <f>IF(Table1[[#This Row],[Ask Rate]]=0,0,Table1[[#This Row],[Face Value]]-Table1[[#This Row],[Ask Rate]])</f>
        <v>-84.900000000000091</v>
      </c>
      <c r="AA462">
        <f>IF(Table1[[#This Row],[Freq]]="Yearly",Table1[[#This Row],[Coupon_Rate]]/100,IF(Table1[[#This Row],[Freq]]="Monthly",Table1[[#This Row],[Coupon_Rate]]/1200,IF(Table1[[#This Row],[Freq]]="Quarterly",Table1[[#This Row],[Coupon_Rate]]/400,0)))</f>
        <v>8.1199999999999994E-2</v>
      </c>
      <c r="AB462">
        <f ca="1">Table1[[#This Row],[Face Value]]*Table1[[#This Row],[Rate]]*Table1[[#This Row],[Time]]</f>
        <v>243.59999999999997</v>
      </c>
      <c r="AC462">
        <f ca="1">Table1[[#This Row],[SI]]+Table1[[#This Row],[Disc/Prem]]</f>
        <v>158.69999999999987</v>
      </c>
      <c r="AD462" s="3">
        <f ca="1">Table1[[#This Row],[Net Gain]]/Table1[[#This Row],[Ask Rate]]</f>
        <v>0.14628076320398181</v>
      </c>
      <c r="AE462" s="3">
        <f ca="1">IF(Table1[[#This Row],[Ask Qty]]=0,0,Table1[[#This Row],[Gross Yield]]*365/Table1[[#This Row],[Days Left]])</f>
        <v>5.9857038754992556E-2</v>
      </c>
      <c r="AF462" s="9">
        <f ca="1">+Table1[[#This Row],[Net Gain]]*Table1[[#This Row],[Ask Qty]]</f>
        <v>158.69999999999987</v>
      </c>
      <c r="AG462" t="str">
        <f ca="1">IF(Table1[[#This Row],[YTM]]&gt;0.12,IF(Table1[[#This Row],[Gross Profit]]&gt;10000,"Invest","Review"),"Low YTM")</f>
        <v>Low YTM</v>
      </c>
    </row>
    <row r="463" spans="1:33" hidden="1" x14ac:dyDescent="0.3">
      <c r="A463" t="str">
        <f>RTD("nest.scriprtd",,"nse_cm|9SFL25A-ZH","Symbol")</f>
        <v>9SFL25A</v>
      </c>
      <c r="B463" t="str">
        <f>RTD("nest.scriprtd",,"nse_cm|9SFL25A-ZH","Trading Symbol")</f>
        <v>9SFL25A-ZH</v>
      </c>
      <c r="C463" t="str">
        <f>RTD("nest.scriprtd",,"nse_cm|9SFL25A-ZH","Exchange")</f>
        <v>NSE</v>
      </c>
      <c r="D463">
        <f>RTD("nest.scriprtd",,"nse_cm|9SFL25A-ZH","Bid Qty")</f>
        <v>50</v>
      </c>
      <c r="E463">
        <f>RTD("nest.scriprtd",,"nse_cm|9SFL25A-ZH","Bid Rate")</f>
        <v>1050.0999999999999</v>
      </c>
      <c r="F463">
        <f>RTD("nest.scriprtd",,"nse_cm|9SFL25A-ZH","Ask Rate")</f>
        <v>1071.9000000000001</v>
      </c>
      <c r="G463">
        <f>RTD("nest.scriprtd",,"nse_cm|9SFL25A-ZH","Ask Qty")</f>
        <v>50</v>
      </c>
      <c r="H463">
        <f>RTD("nest.scriprtd",,"nse_cm|9SFL25A-ZH","LTP")</f>
        <v>1072.99</v>
      </c>
      <c r="I463" t="str">
        <f>RTD("nest.scriprtd",,"nse_cm|9SFL25A-ZH","LTT")</f>
        <v/>
      </c>
      <c r="J463">
        <f>RTD("nest.scriprtd",,"nse_cm|9SFL25A-ZH","% Change")</f>
        <v>0</v>
      </c>
      <c r="K463">
        <f>RTD("nest.scriprtd",,"nse_cm|9SFL25A-ZH","ATP")</f>
        <v>0</v>
      </c>
      <c r="L463">
        <f>RTD("nest.scriprtd",,"nse_cm|9SFL25A-ZH","Volume Traded Today")</f>
        <v>0</v>
      </c>
      <c r="M463">
        <f>RTD("nest.scriprtd",,"nse_cm|9SFL25A-ZH","Open")</f>
        <v>0</v>
      </c>
      <c r="N463">
        <f>RTD("nest.scriprtd",,"nse_cm|9SFL25A-ZH","High")</f>
        <v>1078</v>
      </c>
      <c r="O463">
        <f>RTD("nest.scriprtd",,"nse_cm|9SFL25A-ZH","Low ")</f>
        <v>1061</v>
      </c>
      <c r="P463">
        <f>RTD("nest.scriprtd",,"nse_cm|9SFL25A-ZH","Prev Close")</f>
        <v>1072.99</v>
      </c>
      <c r="Q463">
        <f>RTD("nest.scriprtd",,"nse_cm|9SFL25A-ZH","Face Value")</f>
        <v>1000</v>
      </c>
      <c r="R463" t="str">
        <f>RTD("nest.scriprtd",,"nse_cm|9SFL25A-ZH","Isin code")</f>
        <v>INE721A07PM3</v>
      </c>
      <c r="S463" s="9">
        <f>Table1[[#This Row],[Ask Rate]]*Table1[[#This Row],[Ask Qty]]</f>
        <v>53595.000000000007</v>
      </c>
      <c r="T463">
        <f>VLOOKUP(Table1[[#This Row],[Isin code]],Table2[#All],7,FALSE)</f>
        <v>9</v>
      </c>
      <c r="U463" s="17" t="str">
        <f>VLOOKUP(Table1[[#This Row],[Isin code]],Table2[#All],8,FALSE)</f>
        <v>28-Jan-2025</v>
      </c>
      <c r="V463" s="10">
        <f ca="1">Table1[[#This Row],[Maturity]]-TODAY()</f>
        <v>104</v>
      </c>
      <c r="W463" t="str">
        <f>VLOOKUP(Table1[[#This Row],[Isin code]],Table2[#All],10,FALSE)</f>
        <v>Yearly</v>
      </c>
      <c r="X463">
        <f ca="1">_xlfn.DAYS(Table1[[#This Row],[Maturity]],TODAY())-15</f>
        <v>89</v>
      </c>
      <c r="Y4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63">
        <f>IF(Table1[[#This Row],[Ask Rate]]=0,0,Table1[[#This Row],[Face Value]]-Table1[[#This Row],[Ask Rate]])</f>
        <v>-71.900000000000091</v>
      </c>
      <c r="AA463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463">
        <f ca="1">Table1[[#This Row],[Face Value]]*Table1[[#This Row],[Rate]]*Table1[[#This Row],[Time]]</f>
        <v>90</v>
      </c>
      <c r="AC463">
        <f ca="1">Table1[[#This Row],[SI]]+Table1[[#This Row],[Disc/Prem]]</f>
        <v>18.099999999999909</v>
      </c>
      <c r="AD463" s="3">
        <f ca="1">Table1[[#This Row],[Net Gain]]/Table1[[#This Row],[Ask Rate]]</f>
        <v>1.6885903535777506E-2</v>
      </c>
      <c r="AE463" s="3">
        <f ca="1">IF(Table1[[#This Row],[Ask Qty]]=0,0,Table1[[#This Row],[Gross Yield]]*365/Table1[[#This Row],[Days Left]])</f>
        <v>5.9263026832296055E-2</v>
      </c>
      <c r="AF463" s="9">
        <f ca="1">+Table1[[#This Row],[Net Gain]]*Table1[[#This Row],[Ask Qty]]</f>
        <v>904.99999999999545</v>
      </c>
      <c r="AG463" t="str">
        <f ca="1">IF(Table1[[#This Row],[YTM]]&gt;0.12,IF(Table1[[#This Row],[Gross Profit]]&gt;10000,"Invest","Review"),"Low YTM")</f>
        <v>Low YTM</v>
      </c>
    </row>
    <row r="464" spans="1:33" x14ac:dyDescent="0.3">
      <c r="A464" t="str">
        <f>RTD("nest.scriprtd",,"nse_cm|879NHPC28-N5","Symbol")</f>
        <v>879NHPC28</v>
      </c>
      <c r="B464" t="str">
        <f>RTD("nest.scriprtd",,"nse_cm|879NHPC28-N5","Trading Symbol")</f>
        <v>879NHPC28-N5</v>
      </c>
      <c r="C464" t="str">
        <f>RTD("nest.scriprtd",,"nse_cm|879NHPC28-N5","Exchange")</f>
        <v>NSE</v>
      </c>
      <c r="D464">
        <f>RTD("nest.scriprtd",,"nse_cm|879NHPC28-N5","Bid Qty")</f>
        <v>101</v>
      </c>
      <c r="E464">
        <f>RTD("nest.scriprtd",,"nse_cm|879NHPC28-N5","Bid Rate")</f>
        <v>1148.05</v>
      </c>
      <c r="F464">
        <f>RTD("nest.scriprtd",,"nse_cm|879NHPC28-N5","Ask Rate")</f>
        <v>1160</v>
      </c>
      <c r="G464">
        <f>RTD("nest.scriprtd",,"nse_cm|879NHPC28-N5","Ask Qty")</f>
        <v>100</v>
      </c>
      <c r="H464">
        <f>RTD("nest.scriprtd",,"nse_cm|879NHPC28-N5","LTP")</f>
        <v>1160</v>
      </c>
      <c r="I464" t="str">
        <f>RTD("nest.scriprtd",,"nse_cm|879NHPC28-N5","LTT")</f>
        <v/>
      </c>
      <c r="J464">
        <f>RTD("nest.scriprtd",,"nse_cm|879NHPC28-N5","% Change")</f>
        <v>0.35</v>
      </c>
      <c r="K464">
        <f>RTD("nest.scriprtd",,"nse_cm|879NHPC28-N5","ATP")</f>
        <v>0</v>
      </c>
      <c r="L464">
        <f>RTD("nest.scriprtd",,"nse_cm|879NHPC28-N5","Volume Traded Today")</f>
        <v>0</v>
      </c>
      <c r="M464">
        <f>RTD("nest.scriprtd",,"nse_cm|879NHPC28-N5","Open")</f>
        <v>0</v>
      </c>
      <c r="N464">
        <f>RTD("nest.scriprtd",,"nse_cm|879NHPC28-N5","High")</f>
        <v>1160</v>
      </c>
      <c r="O464">
        <f>RTD("nest.scriprtd",,"nse_cm|879NHPC28-N5","Low ")</f>
        <v>1158</v>
      </c>
      <c r="P464">
        <f>RTD("nest.scriprtd",,"nse_cm|879NHPC28-N5","Prev Close")</f>
        <v>1156</v>
      </c>
      <c r="Q464">
        <f>RTD("nest.scriprtd",,"nse_cm|879NHPC28-N5","Face Value")</f>
        <v>1000</v>
      </c>
      <c r="R464" t="str">
        <f>RTD("nest.scriprtd",,"nse_cm|879NHPC28-N5","Isin code")</f>
        <v>INE848E07559</v>
      </c>
      <c r="S464" s="9">
        <f>Table1[[#This Row],[Ask Rate]]*Table1[[#This Row],[Ask Qty]]</f>
        <v>116000</v>
      </c>
      <c r="T464">
        <f>VLOOKUP(Table1[[#This Row],[Isin code]],Table2[#All],7,FALSE)</f>
        <v>8.7899999999999991</v>
      </c>
      <c r="U464" s="17" t="str">
        <f>VLOOKUP(Table1[[#This Row],[Isin code]],Table2[#All],8,FALSE)</f>
        <v>02-Nov-2028</v>
      </c>
      <c r="V464" s="10">
        <f ca="1">Table1[[#This Row],[Maturity]]-TODAY()</f>
        <v>1478</v>
      </c>
      <c r="W464" t="str">
        <f>VLOOKUP(Table1[[#This Row],[Isin code]],Table2[#All],10,FALSE)</f>
        <v>Yearly</v>
      </c>
      <c r="X464">
        <f ca="1">_xlfn.DAYS(Table1[[#This Row],[Maturity]],TODAY())-15</f>
        <v>1463</v>
      </c>
      <c r="Y4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464">
        <f>IF(Table1[[#This Row],[Ask Rate]]=0,0,Table1[[#This Row],[Face Value]]-Table1[[#This Row],[Ask Rate]])</f>
        <v>-160</v>
      </c>
      <c r="AA464">
        <f>IF(Table1[[#This Row],[Freq]]="Yearly",Table1[[#This Row],[Coupon_Rate]]/100,IF(Table1[[#This Row],[Freq]]="Monthly",Table1[[#This Row],[Coupon_Rate]]/1200,IF(Table1[[#This Row],[Freq]]="Quarterly",Table1[[#This Row],[Coupon_Rate]]/400,0)))</f>
        <v>8.7899999999999992E-2</v>
      </c>
      <c r="AB464">
        <f ca="1">Table1[[#This Row],[Face Value]]*Table1[[#This Row],[Rate]]*Table1[[#This Row],[Time]]</f>
        <v>439.49999999999994</v>
      </c>
      <c r="AC464">
        <f ca="1">Table1[[#This Row],[SI]]+Table1[[#This Row],[Disc/Prem]]</f>
        <v>279.49999999999994</v>
      </c>
      <c r="AD464" s="3">
        <f ca="1">Table1[[#This Row],[Net Gain]]/Table1[[#This Row],[Ask Rate]]</f>
        <v>0.24094827586206891</v>
      </c>
      <c r="AE464" s="3">
        <f ca="1">IF(Table1[[#This Row],[Ask Qty]]=0,0,Table1[[#This Row],[Gross Yield]]*365/Table1[[#This Row],[Days Left]])</f>
        <v>5.9503464607344486E-2</v>
      </c>
      <c r="AF464" s="9">
        <f ca="1">+Table1[[#This Row],[Net Gain]]*Table1[[#This Row],[Ask Qty]]</f>
        <v>27949.999999999993</v>
      </c>
      <c r="AG464" t="str">
        <f ca="1">IF(Table1[[#This Row],[YTM]]&gt;0.12,IF(Table1[[#This Row],[Gross Profit]]&gt;10000,"Invest","Review"),"Low YTM")</f>
        <v>Low YTM</v>
      </c>
    </row>
    <row r="465" spans="1:33" x14ac:dyDescent="0.3">
      <c r="A465" t="str">
        <f>RTD("nest.scriprtd",,"bse_cm|769NHAI31","Symbol")</f>
        <v>769NHAI31</v>
      </c>
      <c r="B465" t="str">
        <f>RTD("nest.scriprtd",,"bse_cm|769NHAI31","Trading Symbol")</f>
        <v>769NHAI31</v>
      </c>
      <c r="C465" t="str">
        <f>RTD("nest.scriprtd",,"bse_cm|769NHAI31","Exchange")</f>
        <v>BSE</v>
      </c>
      <c r="D465">
        <f>RTD("nest.scriprtd",,"bse_cm|769NHAI31","Bid Qty")</f>
        <v>10</v>
      </c>
      <c r="E465">
        <f>RTD("nest.scriprtd",,"bse_cm|769NHAI31","Bid Rate")</f>
        <v>1105</v>
      </c>
      <c r="F465">
        <f>RTD("nest.scriprtd",,"bse_cm|769NHAI31","Ask Rate")</f>
        <v>1114.99</v>
      </c>
      <c r="G465">
        <f>RTD("nest.scriprtd",,"bse_cm|769NHAI31","Ask Qty")</f>
        <v>20</v>
      </c>
      <c r="H465">
        <f>RTD("nest.scriprtd",,"bse_cm|769NHAI31","LTP")</f>
        <v>0</v>
      </c>
      <c r="I465" t="str">
        <f>RTD("nest.scriprtd",,"bse_cm|769NHAI31","LTT")</f>
        <v>00:00:00</v>
      </c>
      <c r="J465">
        <f>RTD("nest.scriprtd",,"bse_cm|769NHAI31","% Change")</f>
        <v>-100</v>
      </c>
      <c r="K465">
        <f>RTD("nest.scriprtd",,"bse_cm|769NHAI31","ATP")</f>
        <v>0</v>
      </c>
      <c r="L465">
        <f>RTD("nest.scriprtd",,"bse_cm|769NHAI31","Volume Traded Today")</f>
        <v>0</v>
      </c>
      <c r="M465">
        <f>RTD("nest.scriprtd",,"bse_cm|769NHAI31","Open")</f>
        <v>0</v>
      </c>
      <c r="N465">
        <f>RTD("nest.scriprtd",,"bse_cm|769NHAI31","High")</f>
        <v>1106.18</v>
      </c>
      <c r="O465">
        <f>RTD("nest.scriprtd",,"bse_cm|769NHAI31","Low ")</f>
        <v>1105</v>
      </c>
      <c r="P465">
        <f>RTD("nest.scriprtd",,"bse_cm|769NHAI31","Prev Close")</f>
        <v>1106.02</v>
      </c>
      <c r="Q465">
        <f>RTD("nest.scriprtd",,"bse_cm|769NHAI31","Face Value")</f>
        <v>1000</v>
      </c>
      <c r="R465" t="str">
        <f>RTD("nest.scriprtd",,"bse_cm|769NHAI31","Isin code")</f>
        <v>INE906B07EP5</v>
      </c>
      <c r="S465" s="9">
        <f>Table1[[#This Row],[Ask Rate]]*Table1[[#This Row],[Ask Qty]]</f>
        <v>22299.8</v>
      </c>
      <c r="T465">
        <f>VLOOKUP(Table1[[#This Row],[Isin code]],Table2[#All],7,FALSE)</f>
        <v>7.69</v>
      </c>
      <c r="U465" s="17" t="str">
        <f>VLOOKUP(Table1[[#This Row],[Isin code]],Table2[#All],8,FALSE)</f>
        <v>09-Mar-2031</v>
      </c>
      <c r="V465" s="10">
        <f ca="1">Table1[[#This Row],[Maturity]]-TODAY()</f>
        <v>2335</v>
      </c>
      <c r="W465" t="str">
        <f>VLOOKUP(Table1[[#This Row],[Isin code]],Table2[#All],10,FALSE)</f>
        <v>Yearly</v>
      </c>
      <c r="X465">
        <f ca="1">_xlfn.DAYS(Table1[[#This Row],[Maturity]],TODAY())-15</f>
        <v>2320</v>
      </c>
      <c r="Y4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65">
        <f>IF(Table1[[#This Row],[Ask Rate]]=0,0,Table1[[#This Row],[Face Value]]-Table1[[#This Row],[Ask Rate]])</f>
        <v>-114.99000000000001</v>
      </c>
      <c r="AA465">
        <f>IF(Table1[[#This Row],[Freq]]="Yearly",Table1[[#This Row],[Coupon_Rate]]/100,IF(Table1[[#This Row],[Freq]]="Monthly",Table1[[#This Row],[Coupon_Rate]]/1200,IF(Table1[[#This Row],[Freq]]="Quarterly",Table1[[#This Row],[Coupon_Rate]]/400,0)))</f>
        <v>7.690000000000001E-2</v>
      </c>
      <c r="AB465">
        <f ca="1">Table1[[#This Row],[Face Value]]*Table1[[#This Row],[Rate]]*Table1[[#This Row],[Time]]</f>
        <v>538.30000000000007</v>
      </c>
      <c r="AC465">
        <f ca="1">Table1[[#This Row],[SI]]+Table1[[#This Row],[Disc/Prem]]</f>
        <v>423.31000000000006</v>
      </c>
      <c r="AD465" s="3">
        <f ca="1">Table1[[#This Row],[Net Gain]]/Table1[[#This Row],[Ask Rate]]</f>
        <v>0.3796536291805308</v>
      </c>
      <c r="AE465" s="3">
        <f ca="1">IF(Table1[[#This Row],[Ask Qty]]=0,0,Table1[[#This Row],[Gross Yield]]*365/Table1[[#This Row],[Days Left]])</f>
        <v>5.93462846470637E-2</v>
      </c>
      <c r="AF465" s="9">
        <f ca="1">+Table1[[#This Row],[Net Gain]]*Table1[[#This Row],[Ask Qty]]</f>
        <v>8466.2000000000007</v>
      </c>
      <c r="AG465" t="str">
        <f ca="1">IF(Table1[[#This Row],[YTM]]&gt;0.12,IF(Table1[[#This Row],[Gross Profit]]&gt;10000,"Invest","Review"),"Low YTM")</f>
        <v>Low YTM</v>
      </c>
    </row>
    <row r="466" spans="1:33" x14ac:dyDescent="0.3">
      <c r="A466" t="str">
        <f>RTD("nest.scriprtd",,"bse_cm|764IRFC31","Symbol")</f>
        <v>764IRFC31</v>
      </c>
      <c r="B466" t="str">
        <f>RTD("nest.scriprtd",,"bse_cm|764IRFC31","Trading Symbol")</f>
        <v>764IRFC31</v>
      </c>
      <c r="C466" t="str">
        <f>RTD("nest.scriprtd",,"bse_cm|764IRFC31","Exchange")</f>
        <v>BSE</v>
      </c>
      <c r="D466">
        <f>RTD("nest.scriprtd",,"bse_cm|764IRFC31","Bid Qty")</f>
        <v>50</v>
      </c>
      <c r="E466">
        <f>RTD("nest.scriprtd",,"bse_cm|764IRFC31","Bid Rate")</f>
        <v>1096.52</v>
      </c>
      <c r="F466">
        <f>RTD("nest.scriprtd",,"bse_cm|764IRFC31","Ask Rate")</f>
        <v>1108.7</v>
      </c>
      <c r="G466">
        <f>RTD("nest.scriprtd",,"bse_cm|764IRFC31","Ask Qty")</f>
        <v>50</v>
      </c>
      <c r="H466">
        <f>RTD("nest.scriprtd",,"bse_cm|764IRFC31","LTP")</f>
        <v>1100</v>
      </c>
      <c r="I466" t="str">
        <f>RTD("nest.scriprtd",,"bse_cm|764IRFC31","LTT")</f>
        <v>09:59:38</v>
      </c>
      <c r="J466">
        <f>RTD("nest.scriprtd",,"bse_cm|764IRFC31","% Change")</f>
        <v>0.12</v>
      </c>
      <c r="K466">
        <f>RTD("nest.scriprtd",,"bse_cm|764IRFC31","ATP")</f>
        <v>1091.23</v>
      </c>
      <c r="L466">
        <f>RTD("nest.scriprtd",,"bse_cm|764IRFC31","Volume Traded Today")</f>
        <v>210</v>
      </c>
      <c r="M466">
        <f>RTD("nest.scriprtd",,"bse_cm|764IRFC31","Open")</f>
        <v>1091</v>
      </c>
      <c r="N466">
        <f>RTD("nest.scriprtd",,"bse_cm|764IRFC31","High")</f>
        <v>1100</v>
      </c>
      <c r="O466">
        <f>RTD("nest.scriprtd",,"bse_cm|764IRFC31","Low ")</f>
        <v>1091</v>
      </c>
      <c r="P466">
        <f>RTD("nest.scriprtd",,"bse_cm|764IRFC31","Prev Close")</f>
        <v>1098.67</v>
      </c>
      <c r="Q466">
        <f>RTD("nest.scriprtd",,"bse_cm|764IRFC31","Face Value")</f>
        <v>1000</v>
      </c>
      <c r="R466" t="str">
        <f>RTD("nest.scriprtd",,"bse_cm|764IRFC31","Isin code")</f>
        <v>INE053F07900</v>
      </c>
      <c r="S466" s="9">
        <f>Table1[[#This Row],[Ask Rate]]*Table1[[#This Row],[Ask Qty]]</f>
        <v>55435</v>
      </c>
      <c r="T466">
        <f>VLOOKUP(Table1[[#This Row],[Isin code]],Table2[#All],7,FALSE)</f>
        <v>7.64</v>
      </c>
      <c r="U466" s="17" t="str">
        <f>VLOOKUP(Table1[[#This Row],[Isin code]],Table2[#All],8,FALSE)</f>
        <v>22-Mar-2031</v>
      </c>
      <c r="V466" s="10">
        <f ca="1">Table1[[#This Row],[Maturity]]-TODAY()</f>
        <v>2348</v>
      </c>
      <c r="W466" t="str">
        <f>VLOOKUP(Table1[[#This Row],[Isin code]],Table2[#All],10,FALSE)</f>
        <v>Yearly</v>
      </c>
      <c r="X466">
        <f ca="1">_xlfn.DAYS(Table1[[#This Row],[Maturity]],TODAY())-15</f>
        <v>2333</v>
      </c>
      <c r="Y4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66">
        <f>IF(Table1[[#This Row],[Ask Rate]]=0,0,Table1[[#This Row],[Face Value]]-Table1[[#This Row],[Ask Rate]])</f>
        <v>-108.70000000000005</v>
      </c>
      <c r="AA466">
        <f>IF(Table1[[#This Row],[Freq]]="Yearly",Table1[[#This Row],[Coupon_Rate]]/100,IF(Table1[[#This Row],[Freq]]="Monthly",Table1[[#This Row],[Coupon_Rate]]/1200,IF(Table1[[#This Row],[Freq]]="Quarterly",Table1[[#This Row],[Coupon_Rate]]/400,0)))</f>
        <v>7.6399999999999996E-2</v>
      </c>
      <c r="AB466">
        <f ca="1">Table1[[#This Row],[Face Value]]*Table1[[#This Row],[Rate]]*Table1[[#This Row],[Time]]</f>
        <v>534.79999999999995</v>
      </c>
      <c r="AC466">
        <f ca="1">Table1[[#This Row],[SI]]+Table1[[#This Row],[Disc/Prem]]</f>
        <v>426.09999999999991</v>
      </c>
      <c r="AD466" s="3">
        <f ca="1">Table1[[#This Row],[Net Gain]]/Table1[[#This Row],[Ask Rate]]</f>
        <v>0.38432398304320364</v>
      </c>
      <c r="AE466" s="3">
        <f ca="1">IF(Table1[[#This Row],[Ask Qty]]=0,0,Table1[[#This Row],[Gross Yield]]*365/Table1[[#This Row],[Days Left]])</f>
        <v>5.9743719680906873E-2</v>
      </c>
      <c r="AF466" s="9">
        <f ca="1">+Table1[[#This Row],[Net Gain]]*Table1[[#This Row],[Ask Qty]]</f>
        <v>21304.999999999996</v>
      </c>
      <c r="AG466" t="str">
        <f ca="1">IF(Table1[[#This Row],[YTM]]&gt;0.12,IF(Table1[[#This Row],[Gross Profit]]&gt;10000,"Invest","Review"),"Low YTM")</f>
        <v>Low YTM</v>
      </c>
    </row>
    <row r="467" spans="1:33" x14ac:dyDescent="0.3">
      <c r="A467" t="str">
        <f>RTD("nest.scriprtd",,"nse_cm|81TCHF28-N8","Symbol")</f>
        <v>81TCHF28</v>
      </c>
      <c r="B467" t="str">
        <f>RTD("nest.scriprtd",,"nse_cm|81TCHF28-N8","Trading Symbol")</f>
        <v>81TCHF28-N8</v>
      </c>
      <c r="C467" t="str">
        <f>RTD("nest.scriprtd",,"nse_cm|81TCHF28-N8","Exchange")</f>
        <v>NSE</v>
      </c>
      <c r="D467">
        <f>RTD("nest.scriprtd",,"nse_cm|81TCHF28-N8","Bid Qty")</f>
        <v>20</v>
      </c>
      <c r="E467">
        <f>RTD("nest.scriprtd",,"nse_cm|81TCHF28-N8","Bid Rate")</f>
        <v>1006</v>
      </c>
      <c r="F467">
        <f>RTD("nest.scriprtd",,"nse_cm|81TCHF28-N8","Ask Rate")</f>
        <v>1060</v>
      </c>
      <c r="G467">
        <f>RTD("nest.scriprtd",,"nse_cm|81TCHF28-N8","Ask Qty")</f>
        <v>10</v>
      </c>
      <c r="H467">
        <f>RTD("nest.scriprtd",,"nse_cm|81TCHF28-N8","LTP")</f>
        <v>1022</v>
      </c>
      <c r="I467" t="str">
        <f>RTD("nest.scriprtd",,"nse_cm|81TCHF28-N8","LTT")</f>
        <v/>
      </c>
      <c r="J467">
        <f>RTD("nest.scriprtd",,"nse_cm|81TCHF28-N8","% Change")</f>
        <v>0</v>
      </c>
      <c r="K467">
        <f>RTD("nest.scriprtd",,"nse_cm|81TCHF28-N8","ATP")</f>
        <v>0</v>
      </c>
      <c r="L467">
        <f>RTD("nest.scriprtd",,"nse_cm|81TCHF28-N8","Volume Traded Today")</f>
        <v>0</v>
      </c>
      <c r="M467">
        <f>RTD("nest.scriprtd",,"nse_cm|81TCHF28-N8","Open")</f>
        <v>0</v>
      </c>
      <c r="N467">
        <f>RTD("nest.scriprtd",,"nse_cm|81TCHF28-N8","High")</f>
        <v>1022</v>
      </c>
      <c r="O467">
        <f>RTD("nest.scriprtd",,"nse_cm|81TCHF28-N8","Low ")</f>
        <v>1019.99</v>
      </c>
      <c r="P467">
        <f>RTD("nest.scriprtd",,"nse_cm|81TCHF28-N8","Prev Close")</f>
        <v>1022</v>
      </c>
      <c r="Q467">
        <f>RTD("nest.scriprtd",,"nse_cm|81TCHF28-N8","Face Value")</f>
        <v>1000</v>
      </c>
      <c r="R467" t="str">
        <f>RTD("nest.scriprtd",,"nse_cm|81TCHF28-N8","Isin code")</f>
        <v>INE033L07GS6</v>
      </c>
      <c r="S467" s="9">
        <f>Table1[[#This Row],[Ask Rate]]*Table1[[#This Row],[Ask Qty]]</f>
        <v>10600</v>
      </c>
      <c r="T467">
        <f>VLOOKUP(Table1[[#This Row],[Isin code]],Table2[#All],7,FALSE)</f>
        <v>8.1</v>
      </c>
      <c r="U467" s="17" t="str">
        <f>VLOOKUP(Table1[[#This Row],[Isin code]],Table2[#All],8,FALSE)</f>
        <v>14-Jan-2028</v>
      </c>
      <c r="V467" s="10">
        <f ca="1">Table1[[#This Row],[Maturity]]-TODAY()</f>
        <v>1185</v>
      </c>
      <c r="W467" t="str">
        <f>VLOOKUP(Table1[[#This Row],[Isin code]],Table2[#All],10,FALSE)</f>
        <v>Monthly</v>
      </c>
      <c r="X467">
        <f ca="1">_xlfn.DAYS(Table1[[#This Row],[Maturity]],TODAY())-15</f>
        <v>1170</v>
      </c>
      <c r="Y4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467">
        <f>IF(Table1[[#This Row],[Ask Rate]]=0,0,Table1[[#This Row],[Face Value]]-Table1[[#This Row],[Ask Rate]])</f>
        <v>-60</v>
      </c>
      <c r="AA467">
        <f>IF(Table1[[#This Row],[Freq]]="Yearly",Table1[[#This Row],[Coupon_Rate]]/100,IF(Table1[[#This Row],[Freq]]="Monthly",Table1[[#This Row],[Coupon_Rate]]/1200,IF(Table1[[#This Row],[Freq]]="Quarterly",Table1[[#This Row],[Coupon_Rate]]/400,0)))</f>
        <v>6.7499999999999999E-3</v>
      </c>
      <c r="AB467">
        <f ca="1">Table1[[#This Row],[Face Value]]*Table1[[#This Row],[Rate]]*Table1[[#This Row],[Time]]</f>
        <v>263.25</v>
      </c>
      <c r="AC467">
        <f ca="1">Table1[[#This Row],[SI]]+Table1[[#This Row],[Disc/Prem]]</f>
        <v>203.25</v>
      </c>
      <c r="AD467" s="3">
        <f ca="1">Table1[[#This Row],[Net Gain]]/Table1[[#This Row],[Ask Rate]]</f>
        <v>0.19174528301886792</v>
      </c>
      <c r="AE467" s="3">
        <f ca="1">IF(Table1[[#This Row],[Ask Qty]]=0,0,Table1[[#This Row],[Gross Yield]]*365/Table1[[#This Row],[Days Left]])</f>
        <v>5.9060783377119661E-2</v>
      </c>
      <c r="AF467" s="9">
        <f ca="1">+Table1[[#This Row],[Net Gain]]*Table1[[#This Row],[Ask Qty]]</f>
        <v>2032.5</v>
      </c>
      <c r="AG467" t="str">
        <f ca="1">IF(Table1[[#This Row],[YTM]]&gt;0.12,IF(Table1[[#This Row],[Gross Profit]]&gt;10000,"Invest","Review"),"Low YTM")</f>
        <v>Low YTM</v>
      </c>
    </row>
    <row r="468" spans="1:33" x14ac:dyDescent="0.3">
      <c r="A468" t="str">
        <f>RTD("nest.scriprtd",,"nse_cm|764IRFC31-NO","Symbol")</f>
        <v>764IRFC31</v>
      </c>
      <c r="B468" t="str">
        <f>RTD("nest.scriprtd",,"nse_cm|764IRFC31-NO","Trading Symbol")</f>
        <v>764IRFC31-NO</v>
      </c>
      <c r="C468" t="str">
        <f>RTD("nest.scriprtd",,"nse_cm|764IRFC31-NO","Exchange")</f>
        <v>NSE</v>
      </c>
      <c r="D468">
        <f>RTD("nest.scriprtd",,"nse_cm|764IRFC31-NO","Bid Qty")</f>
        <v>50</v>
      </c>
      <c r="E468">
        <f>RTD("nest.scriprtd",,"nse_cm|764IRFC31-NO","Bid Rate")</f>
        <v>1097.2</v>
      </c>
      <c r="F468">
        <f>RTD("nest.scriprtd",,"nse_cm|764IRFC31-NO","Ask Rate")</f>
        <v>1112.54</v>
      </c>
      <c r="G468">
        <f>RTD("nest.scriprtd",,"nse_cm|764IRFC31-NO","Ask Qty")</f>
        <v>50</v>
      </c>
      <c r="H468">
        <f>RTD("nest.scriprtd",,"nse_cm|764IRFC31-NO","LTP")</f>
        <v>1096.07</v>
      </c>
      <c r="I468" t="str">
        <f>RTD("nest.scriprtd",,"nse_cm|764IRFC31-NO","LTT")</f>
        <v>10:00:17</v>
      </c>
      <c r="J468">
        <f>RTD("nest.scriprtd",,"nse_cm|764IRFC31-NO","% Change")</f>
        <v>-0.23</v>
      </c>
      <c r="K468">
        <f>RTD("nest.scriprtd",,"nse_cm|764IRFC31-NO","ATP")</f>
        <v>1092.6500000000001</v>
      </c>
      <c r="L468">
        <f>RTD("nest.scriprtd",,"nse_cm|764IRFC31-NO","Volume Traded Today")</f>
        <v>200</v>
      </c>
      <c r="M468">
        <f>RTD("nest.scriprtd",,"nse_cm|764IRFC31-NO","Open")</f>
        <v>1091.5</v>
      </c>
      <c r="N468">
        <f>RTD("nest.scriprtd",,"nse_cm|764IRFC31-NO","High")</f>
        <v>1110</v>
      </c>
      <c r="O468">
        <f>RTD("nest.scriprtd",,"nse_cm|764IRFC31-NO","Low ")</f>
        <v>1091.26</v>
      </c>
      <c r="P468">
        <f>RTD("nest.scriprtd",,"nse_cm|764IRFC31-NO","Prev Close")</f>
        <v>1098.55</v>
      </c>
      <c r="Q468">
        <f>RTD("nest.scriprtd",,"nse_cm|764IRFC31-NO","Face Value")</f>
        <v>1000</v>
      </c>
      <c r="R468" t="str">
        <f>RTD("nest.scriprtd",,"nse_cm|764IRFC31-NO","Isin code")</f>
        <v>INE053F07900</v>
      </c>
      <c r="S468" s="9">
        <f>Table1[[#This Row],[Ask Rate]]*Table1[[#This Row],[Ask Qty]]</f>
        <v>55627</v>
      </c>
      <c r="T468">
        <f>VLOOKUP(Table1[[#This Row],[Isin code]],Table2[#All],7,FALSE)</f>
        <v>7.64</v>
      </c>
      <c r="U468" s="17" t="str">
        <f>VLOOKUP(Table1[[#This Row],[Isin code]],Table2[#All],8,FALSE)</f>
        <v>22-Mar-2031</v>
      </c>
      <c r="V468" s="10">
        <f ca="1">Table1[[#This Row],[Maturity]]-TODAY()</f>
        <v>2348</v>
      </c>
      <c r="W468" t="str">
        <f>VLOOKUP(Table1[[#This Row],[Isin code]],Table2[#All],10,FALSE)</f>
        <v>Yearly</v>
      </c>
      <c r="X468">
        <f ca="1">_xlfn.DAYS(Table1[[#This Row],[Maturity]],TODAY())-15</f>
        <v>2333</v>
      </c>
      <c r="Y4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68">
        <f>IF(Table1[[#This Row],[Ask Rate]]=0,0,Table1[[#This Row],[Face Value]]-Table1[[#This Row],[Ask Rate]])</f>
        <v>-112.53999999999996</v>
      </c>
      <c r="AA468">
        <f>IF(Table1[[#This Row],[Freq]]="Yearly",Table1[[#This Row],[Coupon_Rate]]/100,IF(Table1[[#This Row],[Freq]]="Monthly",Table1[[#This Row],[Coupon_Rate]]/1200,IF(Table1[[#This Row],[Freq]]="Quarterly",Table1[[#This Row],[Coupon_Rate]]/400,0)))</f>
        <v>7.6399999999999996E-2</v>
      </c>
      <c r="AB468">
        <f ca="1">Table1[[#This Row],[Face Value]]*Table1[[#This Row],[Rate]]*Table1[[#This Row],[Time]]</f>
        <v>534.79999999999995</v>
      </c>
      <c r="AC468">
        <f ca="1">Table1[[#This Row],[SI]]+Table1[[#This Row],[Disc/Prem]]</f>
        <v>422.26</v>
      </c>
      <c r="AD468" s="3">
        <f ca="1">Table1[[#This Row],[Net Gain]]/Table1[[#This Row],[Ask Rate]]</f>
        <v>0.37954590396749782</v>
      </c>
      <c r="AE468" s="3">
        <f ca="1">IF(Table1[[#This Row],[Ask Qty]]=0,0,Table1[[#This Row],[Gross Yield]]*365/Table1[[#This Row],[Days Left]])</f>
        <v>5.900096036973454E-2</v>
      </c>
      <c r="AF468" s="9">
        <f ca="1">+Table1[[#This Row],[Net Gain]]*Table1[[#This Row],[Ask Qty]]</f>
        <v>21113</v>
      </c>
      <c r="AG468" t="str">
        <f ca="1">IF(Table1[[#This Row],[YTM]]&gt;0.12,IF(Table1[[#This Row],[Gross Profit]]&gt;10000,"Invest","Review"),"Low YTM")</f>
        <v>Low YTM</v>
      </c>
    </row>
    <row r="469" spans="1:33" x14ac:dyDescent="0.3">
      <c r="A469" t="str">
        <f>RTD("nest.scriprtd",,"bse_cm|728IRFC30","Symbol")</f>
        <v>728IRFC30</v>
      </c>
      <c r="B469" t="str">
        <f>RTD("nest.scriprtd",,"bse_cm|728IRFC30","Trading Symbol")</f>
        <v>728IRFC30</v>
      </c>
      <c r="C469" t="str">
        <f>RTD("nest.scriprtd",,"bse_cm|728IRFC30","Exchange")</f>
        <v>BSE</v>
      </c>
      <c r="D469">
        <f>RTD("nest.scriprtd",,"bse_cm|728IRFC30","Bid Qty")</f>
        <v>1000</v>
      </c>
      <c r="E469">
        <f>RTD("nest.scriprtd",,"bse_cm|728IRFC30","Bid Rate")</f>
        <v>1083.31</v>
      </c>
      <c r="F469">
        <f>RTD("nest.scriprtd",,"bse_cm|728IRFC30","Ask Rate")</f>
        <v>1108.25</v>
      </c>
      <c r="G469">
        <f>RTD("nest.scriprtd",,"bse_cm|728IRFC30","Ask Qty")</f>
        <v>370</v>
      </c>
      <c r="H469">
        <f>RTD("nest.scriprtd",,"bse_cm|728IRFC30","LTP")</f>
        <v>0</v>
      </c>
      <c r="I469" t="str">
        <f>RTD("nest.scriprtd",,"bse_cm|728IRFC30","LTT")</f>
        <v>00:00:00</v>
      </c>
      <c r="J469">
        <f>RTD("nest.scriprtd",,"bse_cm|728IRFC30","% Change")</f>
        <v>-100</v>
      </c>
      <c r="K469">
        <f>RTD("nest.scriprtd",,"bse_cm|728IRFC30","ATP")</f>
        <v>0</v>
      </c>
      <c r="L469">
        <f>RTD("nest.scriprtd",,"bse_cm|728IRFC30","Volume Traded Today")</f>
        <v>0</v>
      </c>
      <c r="M469">
        <f>RTD("nest.scriprtd",,"bse_cm|728IRFC30","Open")</f>
        <v>0</v>
      </c>
      <c r="N469">
        <f>RTD("nest.scriprtd",,"bse_cm|728IRFC30","High")</f>
        <v>1103.75</v>
      </c>
      <c r="O469">
        <f>RTD("nest.scriprtd",,"bse_cm|728IRFC30","Low ")</f>
        <v>1103.75</v>
      </c>
      <c r="P469">
        <f>RTD("nest.scriprtd",,"bse_cm|728IRFC30","Prev Close")</f>
        <v>1103.75</v>
      </c>
      <c r="Q469">
        <f>RTD("nest.scriprtd",,"bse_cm|728IRFC30","Face Value")</f>
        <v>1000</v>
      </c>
      <c r="R469" t="str">
        <f>RTD("nest.scriprtd",,"bse_cm|728IRFC30","Isin code")</f>
        <v>INE053F07801</v>
      </c>
      <c r="S469" s="9">
        <f>Table1[[#This Row],[Ask Rate]]*Table1[[#This Row],[Ask Qty]]</f>
        <v>410052.5</v>
      </c>
      <c r="T469">
        <f>VLOOKUP(Table1[[#This Row],[Isin code]],Table2[#All],7,FALSE)</f>
        <v>7.28</v>
      </c>
      <c r="U469" s="17" t="str">
        <f>VLOOKUP(Table1[[#This Row],[Isin code]],Table2[#All],8,FALSE)</f>
        <v>21-Dec-2030</v>
      </c>
      <c r="V469" s="10">
        <f ca="1">Table1[[#This Row],[Maturity]]-TODAY()</f>
        <v>2257</v>
      </c>
      <c r="W469" t="str">
        <f>VLOOKUP(Table1[[#This Row],[Isin code]],Table2[#All],10,FALSE)</f>
        <v>Yearly</v>
      </c>
      <c r="X469">
        <f ca="1">_xlfn.DAYS(Table1[[#This Row],[Maturity]],TODAY())-15</f>
        <v>2242</v>
      </c>
      <c r="Y4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69">
        <f>IF(Table1[[#This Row],[Ask Rate]]=0,0,Table1[[#This Row],[Face Value]]-Table1[[#This Row],[Ask Rate]])</f>
        <v>-108.25</v>
      </c>
      <c r="AA469">
        <f>IF(Table1[[#This Row],[Freq]]="Yearly",Table1[[#This Row],[Coupon_Rate]]/100,IF(Table1[[#This Row],[Freq]]="Monthly",Table1[[#This Row],[Coupon_Rate]]/1200,IF(Table1[[#This Row],[Freq]]="Quarterly",Table1[[#This Row],[Coupon_Rate]]/400,0)))</f>
        <v>7.2800000000000004E-2</v>
      </c>
      <c r="AB469">
        <f ca="1">Table1[[#This Row],[Face Value]]*Table1[[#This Row],[Rate]]*Table1[[#This Row],[Time]]</f>
        <v>509.59999999999997</v>
      </c>
      <c r="AC469">
        <f ca="1">Table1[[#This Row],[SI]]+Table1[[#This Row],[Disc/Prem]]</f>
        <v>401.34999999999997</v>
      </c>
      <c r="AD469" s="3">
        <f ca="1">Table1[[#This Row],[Net Gain]]/Table1[[#This Row],[Ask Rate]]</f>
        <v>0.36214752988946536</v>
      </c>
      <c r="AE469" s="3">
        <f ca="1">IF(Table1[[#This Row],[Ask Qty]]=0,0,Table1[[#This Row],[Gross Yield]]*365/Table1[[#This Row],[Days Left]])</f>
        <v>5.8566171204986639E-2</v>
      </c>
      <c r="AF469" s="9">
        <f ca="1">+Table1[[#This Row],[Net Gain]]*Table1[[#This Row],[Ask Qty]]</f>
        <v>148499.5</v>
      </c>
      <c r="AG469" t="str">
        <f ca="1">IF(Table1[[#This Row],[YTM]]&gt;0.12,IF(Table1[[#This Row],[Gross Profit]]&gt;10000,"Invest","Review"),"Low YTM")</f>
        <v>Low YTM</v>
      </c>
    </row>
    <row r="470" spans="1:33" x14ac:dyDescent="0.3">
      <c r="A470" t="str">
        <f>RTD("nest.scriprtd",,"bse_cm|948SCL26B","Symbol")</f>
        <v>948SCL26B</v>
      </c>
      <c r="B470" t="str">
        <f>RTD("nest.scriprtd",,"bse_cm|948SCL26B","Trading Symbol")</f>
        <v>948SCL26B</v>
      </c>
      <c r="C470" t="str">
        <f>RTD("nest.scriprtd",,"bse_cm|948SCL26B","Exchange")</f>
        <v>BSE</v>
      </c>
      <c r="D470">
        <f>RTD("nest.scriprtd",,"bse_cm|948SCL26B","Bid Qty")</f>
        <v>12</v>
      </c>
      <c r="E470">
        <f>RTD("nest.scriprtd",,"bse_cm|948SCL26B","Bid Rate")</f>
        <v>900.3</v>
      </c>
      <c r="F470">
        <f>RTD("nest.scriprtd",,"bse_cm|948SCL26B","Ask Rate")</f>
        <v>1075</v>
      </c>
      <c r="G470">
        <f>RTD("nest.scriprtd",,"bse_cm|948SCL26B","Ask Qty")</f>
        <v>100</v>
      </c>
      <c r="H470">
        <f>RTD("nest.scriprtd",,"bse_cm|948SCL26B","LTP")</f>
        <v>0</v>
      </c>
      <c r="I470" t="str">
        <f>RTD("nest.scriprtd",,"bse_cm|948SCL26B","LTT")</f>
        <v>00:00:00</v>
      </c>
      <c r="J470">
        <f>RTD("nest.scriprtd",,"bse_cm|948SCL26B","% Change")</f>
        <v>-100</v>
      </c>
      <c r="K470">
        <f>RTD("nest.scriprtd",,"bse_cm|948SCL26B","ATP")</f>
        <v>0</v>
      </c>
      <c r="L470">
        <f>RTD("nest.scriprtd",,"bse_cm|948SCL26B","Volume Traded Today")</f>
        <v>0</v>
      </c>
      <c r="M470">
        <f>RTD("nest.scriprtd",,"bse_cm|948SCL26B","Open")</f>
        <v>0</v>
      </c>
      <c r="N470">
        <f>RTD("nest.scriprtd",,"bse_cm|948SCL26B","High")</f>
        <v>910.2</v>
      </c>
      <c r="O470">
        <f>RTD("nest.scriprtd",,"bse_cm|948SCL26B","Low ")</f>
        <v>900</v>
      </c>
      <c r="P470">
        <f>RTD("nest.scriprtd",,"bse_cm|948SCL26B","Prev Close")</f>
        <v>900</v>
      </c>
      <c r="Q470">
        <f>RTD("nest.scriprtd",,"bse_cm|948SCL26B","Face Value")</f>
        <v>1000</v>
      </c>
      <c r="R470" t="str">
        <f>RTD("nest.scriprtd",,"bse_cm|948SCL26B","Isin code")</f>
        <v>INE148I07RJ4</v>
      </c>
      <c r="S470" s="9">
        <f>Table1[[#This Row],[Ask Rate]]*Table1[[#This Row],[Ask Qty]]</f>
        <v>107500</v>
      </c>
      <c r="T470">
        <f>VLOOKUP(Table1[[#This Row],[Isin code]],Table2[#All],7,FALSE)</f>
        <v>9.48</v>
      </c>
      <c r="U470" s="17" t="str">
        <f>VLOOKUP(Table1[[#This Row],[Isin code]],Table2[#All],8,FALSE)</f>
        <v>27-Dec-2026</v>
      </c>
      <c r="V470" s="10">
        <f ca="1">Table1[[#This Row],[Maturity]]-TODAY()</f>
        <v>802</v>
      </c>
      <c r="W470" t="str">
        <f>VLOOKUP(Table1[[#This Row],[Isin code]],Table2[#All],10,FALSE)</f>
        <v>Monthly</v>
      </c>
      <c r="X470">
        <f ca="1">_xlfn.DAYS(Table1[[#This Row],[Maturity]],TODAY())-15</f>
        <v>787</v>
      </c>
      <c r="Y4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470">
        <f>IF(Table1[[#This Row],[Ask Rate]]=0,0,Table1[[#This Row],[Face Value]]-Table1[[#This Row],[Ask Rate]])</f>
        <v>-75</v>
      </c>
      <c r="AA470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470">
        <f ca="1">Table1[[#This Row],[Face Value]]*Table1[[#This Row],[Rate]]*Table1[[#This Row],[Time]]</f>
        <v>213.3</v>
      </c>
      <c r="AC470">
        <f ca="1">Table1[[#This Row],[SI]]+Table1[[#This Row],[Disc/Prem]]</f>
        <v>138.30000000000001</v>
      </c>
      <c r="AD470" s="3">
        <f ca="1">Table1[[#This Row],[Net Gain]]/Table1[[#This Row],[Ask Rate]]</f>
        <v>0.12865116279069769</v>
      </c>
      <c r="AE470" s="3">
        <f ca="1">IF(Table1[[#This Row],[Ask Qty]]=0,0,Table1[[#This Row],[Gross Yield]]*365/Table1[[#This Row],[Days Left]])</f>
        <v>5.8550716232674133E-2</v>
      </c>
      <c r="AF470" s="9">
        <f ca="1">+Table1[[#This Row],[Net Gain]]*Table1[[#This Row],[Ask Qty]]</f>
        <v>13830.000000000002</v>
      </c>
      <c r="AG470" t="str">
        <f ca="1">IF(Table1[[#This Row],[YTM]]&gt;0.12,IF(Table1[[#This Row],[Gross Profit]]&gt;10000,"Invest","Review"),"Low YTM")</f>
        <v>Low YTM</v>
      </c>
    </row>
    <row r="471" spans="1:33" x14ac:dyDescent="0.3">
      <c r="A471" t="str">
        <f>RTD("nest.scriprtd",,"nse_cm|932AEL27-N3","Symbol")</f>
        <v>932AEL27</v>
      </c>
      <c r="B471" t="str">
        <f>RTD("nest.scriprtd",,"nse_cm|932AEL27-N3","Trading Symbol")</f>
        <v>932AEL27-N3</v>
      </c>
      <c r="C471" t="str">
        <f>RTD("nest.scriprtd",,"nse_cm|932AEL27-N3","Exchange")</f>
        <v>NSE</v>
      </c>
      <c r="D471">
        <f>RTD("nest.scriprtd",,"nse_cm|932AEL27-N3","Bid Qty")</f>
        <v>50</v>
      </c>
      <c r="E471">
        <f>RTD("nest.scriprtd",,"nse_cm|932AEL27-N3","Bid Rate")</f>
        <v>1004</v>
      </c>
      <c r="F471">
        <f>RTD("nest.scriprtd",,"nse_cm|932AEL27-N3","Ask Rate")</f>
        <v>1094</v>
      </c>
      <c r="G471">
        <f>RTD("nest.scriprtd",,"nse_cm|932AEL27-N3","Ask Qty")</f>
        <v>100</v>
      </c>
      <c r="H471">
        <f>RTD("nest.scriprtd",,"nse_cm|932AEL27-N3","LTP")</f>
        <v>1003.25</v>
      </c>
      <c r="I471" t="str">
        <f>RTD("nest.scriprtd",,"nse_cm|932AEL27-N3","LTT")</f>
        <v/>
      </c>
      <c r="J471">
        <f>RTD("nest.scriprtd",,"nse_cm|932AEL27-N3","% Change")</f>
        <v>0</v>
      </c>
      <c r="K471">
        <f>RTD("nest.scriprtd",,"nse_cm|932AEL27-N3","ATP")</f>
        <v>0</v>
      </c>
      <c r="L471">
        <f>RTD("nest.scriprtd",,"nse_cm|932AEL27-N3","Volume Traded Today")</f>
        <v>0</v>
      </c>
      <c r="M471">
        <f>RTD("nest.scriprtd",,"nse_cm|932AEL27-N3","Open")</f>
        <v>0</v>
      </c>
      <c r="N471">
        <f>RTD("nest.scriprtd",,"nse_cm|932AEL27-N3","High")</f>
        <v>1004</v>
      </c>
      <c r="O471">
        <f>RTD("nest.scriprtd",,"nse_cm|932AEL27-N3","Low ")</f>
        <v>1003.25</v>
      </c>
      <c r="P471">
        <f>RTD("nest.scriprtd",,"nse_cm|932AEL27-N3","Prev Close")</f>
        <v>1003.25</v>
      </c>
      <c r="Q471">
        <f>RTD("nest.scriprtd",,"nse_cm|932AEL27-N3","Face Value")</f>
        <v>1000</v>
      </c>
      <c r="R471" t="str">
        <f>RTD("nest.scriprtd",,"nse_cm|932AEL27-N3","Isin code")</f>
        <v>INE423A07310</v>
      </c>
      <c r="S471" s="9">
        <f>Table1[[#This Row],[Ask Rate]]*Table1[[#This Row],[Ask Qty]]</f>
        <v>109400</v>
      </c>
      <c r="T471">
        <f>VLOOKUP(Table1[[#This Row],[Isin code]],Table2[#All],7,FALSE)</f>
        <v>9.32</v>
      </c>
      <c r="U471" s="17" t="str">
        <f>VLOOKUP(Table1[[#This Row],[Isin code]],Table2[#All],8,FALSE)</f>
        <v>12-Sep-2027</v>
      </c>
      <c r="V471" s="10">
        <f ca="1">Table1[[#This Row],[Maturity]]-TODAY()</f>
        <v>1061</v>
      </c>
      <c r="W471" t="str">
        <f>VLOOKUP(Table1[[#This Row],[Isin code]],Table2[#All],10,FALSE)</f>
        <v>Quarterly</v>
      </c>
      <c r="X471">
        <f ca="1">_xlfn.DAYS(Table1[[#This Row],[Maturity]],TODAY())-15</f>
        <v>1046</v>
      </c>
      <c r="Y4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471">
        <f>IF(Table1[[#This Row],[Ask Rate]]=0,0,Table1[[#This Row],[Face Value]]-Table1[[#This Row],[Ask Rate]])</f>
        <v>-94</v>
      </c>
      <c r="AA471">
        <f>IF(Table1[[#This Row],[Freq]]="Yearly",Table1[[#This Row],[Coupon_Rate]]/100,IF(Table1[[#This Row],[Freq]]="Monthly",Table1[[#This Row],[Coupon_Rate]]/1200,IF(Table1[[#This Row],[Freq]]="Quarterly",Table1[[#This Row],[Coupon_Rate]]/400,0)))</f>
        <v>2.3300000000000001E-2</v>
      </c>
      <c r="AB471">
        <f ca="1">Table1[[#This Row],[Face Value]]*Table1[[#This Row],[Rate]]*Table1[[#This Row],[Time]]</f>
        <v>279.60000000000002</v>
      </c>
      <c r="AC471">
        <f ca="1">Table1[[#This Row],[SI]]+Table1[[#This Row],[Disc/Prem]]</f>
        <v>185.60000000000002</v>
      </c>
      <c r="AD471" s="3">
        <f ca="1">Table1[[#This Row],[Net Gain]]/Table1[[#This Row],[Ask Rate]]</f>
        <v>0.16965265082266912</v>
      </c>
      <c r="AE471" s="3">
        <f ca="1">IF(Table1[[#This Row],[Ask Qty]]=0,0,Table1[[#This Row],[Gross Yield]]*365/Table1[[#This Row],[Days Left]])</f>
        <v>5.836307026416044E-2</v>
      </c>
      <c r="AF471" s="9">
        <f ca="1">+Table1[[#This Row],[Net Gain]]*Table1[[#This Row],[Ask Qty]]</f>
        <v>18560.000000000004</v>
      </c>
      <c r="AG471" t="str">
        <f ca="1">IF(Table1[[#This Row],[YTM]]&gt;0.12,IF(Table1[[#This Row],[Gross Profit]]&gt;10000,"Invest","Review"),"Low YTM")</f>
        <v>Low YTM</v>
      </c>
    </row>
    <row r="472" spans="1:33" hidden="1" x14ac:dyDescent="0.3">
      <c r="A472" t="str">
        <f>RTD("nest.scriprtd",,"nse_cm|83TCHF25-N6","Symbol")</f>
        <v>83TCHF25</v>
      </c>
      <c r="B472" t="str">
        <f>RTD("nest.scriprtd",,"nse_cm|83TCHF25-N6","Trading Symbol")</f>
        <v>83TCHF25-N6</v>
      </c>
      <c r="C472" t="str">
        <f>RTD("nest.scriprtd",,"nse_cm|83TCHF25-N6","Exchange")</f>
        <v>NSE</v>
      </c>
      <c r="D472">
        <f>RTD("nest.scriprtd",,"nse_cm|83TCHF25-N6","Bid Qty")</f>
        <v>3</v>
      </c>
      <c r="E472">
        <f>RTD("nest.scriprtd",,"nse_cm|83TCHF25-N6","Bid Rate")</f>
        <v>1058.01</v>
      </c>
      <c r="F472">
        <f>RTD("nest.scriprtd",,"nse_cm|83TCHF25-N6","Ask Rate")</f>
        <v>1060</v>
      </c>
      <c r="G472">
        <f>RTD("nest.scriprtd",,"nse_cm|83TCHF25-N6","Ask Qty")</f>
        <v>10</v>
      </c>
      <c r="H472">
        <f>RTD("nest.scriprtd",,"nse_cm|83TCHF25-N6","LTP")</f>
        <v>1060</v>
      </c>
      <c r="I472" t="str">
        <f>RTD("nest.scriprtd",,"nse_cm|83TCHF25-N6","LTT")</f>
        <v/>
      </c>
      <c r="J472">
        <f>RTD("nest.scriprtd",,"nse_cm|83TCHF25-N6","% Change")</f>
        <v>0.19</v>
      </c>
      <c r="K472">
        <f>RTD("nest.scriprtd",,"nse_cm|83TCHF25-N6","ATP")</f>
        <v>0</v>
      </c>
      <c r="L472">
        <f>RTD("nest.scriprtd",,"nse_cm|83TCHF25-N6","Volume Traded Today")</f>
        <v>0</v>
      </c>
      <c r="M472">
        <f>RTD("nest.scriprtd",,"nse_cm|83TCHF25-N6","Open")</f>
        <v>0</v>
      </c>
      <c r="N472">
        <f>RTD("nest.scriprtd",,"nse_cm|83TCHF25-N6","High")</f>
        <v>1060</v>
      </c>
      <c r="O472">
        <f>RTD("nest.scriprtd",,"nse_cm|83TCHF25-N6","Low ")</f>
        <v>1058</v>
      </c>
      <c r="P472">
        <f>RTD("nest.scriprtd",,"nse_cm|83TCHF25-N6","Prev Close")</f>
        <v>1058</v>
      </c>
      <c r="Q472">
        <f>RTD("nest.scriprtd",,"nse_cm|83TCHF25-N6","Face Value")</f>
        <v>1000</v>
      </c>
      <c r="R472" t="str">
        <f>RTD("nest.scriprtd",,"nse_cm|83TCHF25-N6","Isin code")</f>
        <v>INE033L07GQ0</v>
      </c>
      <c r="S472" s="9">
        <f>Table1[[#This Row],[Ask Rate]]*Table1[[#This Row],[Ask Qty]]</f>
        <v>10600</v>
      </c>
      <c r="T472">
        <f>VLOOKUP(Table1[[#This Row],[Isin code]],Table2[#All],7,FALSE)</f>
        <v>8.3000000000000007</v>
      </c>
      <c r="U472" s="17" t="str">
        <f>VLOOKUP(Table1[[#This Row],[Isin code]],Table2[#All],8,FALSE)</f>
        <v>14-Jan-2025</v>
      </c>
      <c r="V472" s="10">
        <f ca="1">Table1[[#This Row],[Maturity]]-TODAY()</f>
        <v>90</v>
      </c>
      <c r="W472" t="str">
        <f>VLOOKUP(Table1[[#This Row],[Isin code]],Table2[#All],10,FALSE)</f>
        <v>Yearly</v>
      </c>
      <c r="X472">
        <f ca="1">_xlfn.DAYS(Table1[[#This Row],[Maturity]],TODAY())-15</f>
        <v>75</v>
      </c>
      <c r="Y4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72">
        <f>IF(Table1[[#This Row],[Ask Rate]]=0,0,Table1[[#This Row],[Face Value]]-Table1[[#This Row],[Ask Rate]])</f>
        <v>-60</v>
      </c>
      <c r="AA472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472">
        <f ca="1">Table1[[#This Row],[Face Value]]*Table1[[#This Row],[Rate]]*Table1[[#This Row],[Time]]</f>
        <v>83</v>
      </c>
      <c r="AC472">
        <f ca="1">Table1[[#This Row],[SI]]+Table1[[#This Row],[Disc/Prem]]</f>
        <v>23</v>
      </c>
      <c r="AD472" s="3">
        <f ca="1">Table1[[#This Row],[Net Gain]]/Table1[[#This Row],[Ask Rate]]</f>
        <v>2.1698113207547168E-2</v>
      </c>
      <c r="AE472" s="3">
        <f ca="1">IF(Table1[[#This Row],[Ask Qty]]=0,0,Table1[[#This Row],[Gross Yield]]*365/Table1[[#This Row],[Days Left]])</f>
        <v>8.7997903563941299E-2</v>
      </c>
      <c r="AF472" s="9">
        <f ca="1">+Table1[[#This Row],[Net Gain]]*Table1[[#This Row],[Ask Qty]]</f>
        <v>230</v>
      </c>
      <c r="AG472" t="str">
        <f ca="1">IF(Table1[[#This Row],[YTM]]&gt;0.12,IF(Table1[[#This Row],[Gross Profit]]&gt;10000,"Invest","Review"),"Low YTM")</f>
        <v>Low YTM</v>
      </c>
    </row>
    <row r="473" spans="1:33" x14ac:dyDescent="0.3">
      <c r="A473" t="str">
        <f>RTD("nest.scriprtd",,"bse_cm|825MFL29","Symbol")</f>
        <v>825MFL29</v>
      </c>
      <c r="B473" t="str">
        <f>RTD("nest.scriprtd",,"bse_cm|825MFL29","Trading Symbol")</f>
        <v>825MFL29</v>
      </c>
      <c r="C473" t="str">
        <f>RTD("nest.scriprtd",,"bse_cm|825MFL29","Exchange")</f>
        <v>BSE</v>
      </c>
      <c r="D473">
        <f>RTD("nest.scriprtd",,"bse_cm|825MFL29","Bid Qty")</f>
        <v>50</v>
      </c>
      <c r="E473">
        <f>RTD("nest.scriprtd",,"bse_cm|825MFL29","Bid Rate")</f>
        <v>951</v>
      </c>
      <c r="F473">
        <f>RTD("nest.scriprtd",,"bse_cm|825MFL29","Ask Rate")</f>
        <v>1090</v>
      </c>
      <c r="G473">
        <f>RTD("nest.scriprtd",,"bse_cm|825MFL29","Ask Qty")</f>
        <v>70</v>
      </c>
      <c r="H473">
        <f>RTD("nest.scriprtd",,"bse_cm|825MFL29","LTP")</f>
        <v>836</v>
      </c>
      <c r="I473" t="str">
        <f>RTD("nest.scriprtd",,"bse_cm|825MFL29","LTT")</f>
        <v>10:12:12</v>
      </c>
      <c r="J473">
        <f>RTD("nest.scriprtd",,"bse_cm|825MFL29","% Change")</f>
        <v>-14.68</v>
      </c>
      <c r="K473">
        <f>RTD("nest.scriprtd",,"bse_cm|825MFL29","ATP")</f>
        <v>836</v>
      </c>
      <c r="L473">
        <f>RTD("nest.scriprtd",,"bse_cm|825MFL29","Volume Traded Today")</f>
        <v>400</v>
      </c>
      <c r="M473">
        <f>RTD("nest.scriprtd",,"bse_cm|825MFL29","Open")</f>
        <v>836</v>
      </c>
      <c r="N473">
        <f>RTD("nest.scriprtd",,"bse_cm|825MFL29","High")</f>
        <v>836</v>
      </c>
      <c r="O473">
        <f>RTD("nest.scriprtd",,"bse_cm|825MFL29","Low ")</f>
        <v>836</v>
      </c>
      <c r="P473">
        <f>RTD("nest.scriprtd",,"bse_cm|825MFL29","Prev Close")</f>
        <v>979.8</v>
      </c>
      <c r="Q473">
        <f>RTD("nest.scriprtd",,"bse_cm|825MFL29","Face Value")</f>
        <v>1000</v>
      </c>
      <c r="R473" t="str">
        <f>RTD("nest.scriprtd",,"bse_cm|825MFL29","Isin code")</f>
        <v>INE414G07IT2</v>
      </c>
      <c r="S473" s="9">
        <f>Table1[[#This Row],[Ask Rate]]*Table1[[#This Row],[Ask Qty]]</f>
        <v>76300</v>
      </c>
      <c r="T473">
        <f>VLOOKUP(Table1[[#This Row],[Isin code]],Table2[#All],7,FALSE)</f>
        <v>8.25</v>
      </c>
      <c r="U473" s="17" t="str">
        <f>VLOOKUP(Table1[[#This Row],[Isin code]],Table2[#All],8,FALSE)</f>
        <v>25-Jan-2029</v>
      </c>
      <c r="V473" s="10">
        <f ca="1">Table1[[#This Row],[Maturity]]-TODAY()</f>
        <v>1562</v>
      </c>
      <c r="W473" t="str">
        <f>VLOOKUP(Table1[[#This Row],[Isin code]],Table2[#All],10,FALSE)</f>
        <v>Monthly</v>
      </c>
      <c r="X473">
        <f ca="1">_xlfn.DAYS(Table1[[#This Row],[Maturity]],TODAY())-15</f>
        <v>1547</v>
      </c>
      <c r="Y4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52</v>
      </c>
      <c r="Z473">
        <f>IF(Table1[[#This Row],[Ask Rate]]=0,0,Table1[[#This Row],[Face Value]]-Table1[[#This Row],[Ask Rate]])</f>
        <v>-90</v>
      </c>
      <c r="AA473">
        <f>IF(Table1[[#This Row],[Freq]]="Yearly",Table1[[#This Row],[Coupon_Rate]]/100,IF(Table1[[#This Row],[Freq]]="Monthly",Table1[[#This Row],[Coupon_Rate]]/1200,IF(Table1[[#This Row],[Freq]]="Quarterly",Table1[[#This Row],[Coupon_Rate]]/400,0)))</f>
        <v>6.875E-3</v>
      </c>
      <c r="AB473">
        <f ca="1">Table1[[#This Row],[Face Value]]*Table1[[#This Row],[Rate]]*Table1[[#This Row],[Time]]</f>
        <v>357.5</v>
      </c>
      <c r="AC473">
        <f ca="1">Table1[[#This Row],[SI]]+Table1[[#This Row],[Disc/Prem]]</f>
        <v>267.5</v>
      </c>
      <c r="AD473" s="3">
        <f ca="1">Table1[[#This Row],[Net Gain]]/Table1[[#This Row],[Ask Rate]]</f>
        <v>0.24541284403669725</v>
      </c>
      <c r="AE473" s="3">
        <f ca="1">IF(Table1[[#This Row],[Ask Qty]]=0,0,Table1[[#This Row],[Gross Yield]]*365/Table1[[#This Row],[Days Left]])</f>
        <v>5.7346791340201334E-2</v>
      </c>
      <c r="AF473" s="9">
        <f ca="1">+Table1[[#This Row],[Net Gain]]*Table1[[#This Row],[Ask Qty]]</f>
        <v>18725</v>
      </c>
      <c r="AG473" t="str">
        <f ca="1">IF(Table1[[#This Row],[YTM]]&gt;0.12,IF(Table1[[#This Row],[Gross Profit]]&gt;10000,"Invest","Review"),"Low YTM")</f>
        <v>Low YTM</v>
      </c>
    </row>
    <row r="474" spans="1:33" x14ac:dyDescent="0.3">
      <c r="A474" t="str">
        <f>RTD("nest.scriprtd",,"bse_cm|980IFSL25","Symbol")</f>
        <v>980IFSL25</v>
      </c>
      <c r="B474" t="str">
        <f>RTD("nest.scriprtd",,"bse_cm|980IFSL25","Trading Symbol")</f>
        <v>980IFSL25</v>
      </c>
      <c r="C474" t="str">
        <f>RTD("nest.scriprtd",,"bse_cm|980IFSL25","Exchange")</f>
        <v>BSE</v>
      </c>
      <c r="D474">
        <f>RTD("nest.scriprtd",,"bse_cm|980IFSL25","Bid Qty")</f>
        <v>24</v>
      </c>
      <c r="E474">
        <f>RTD("nest.scriprtd",,"bse_cm|980IFSL25","Bid Rate")</f>
        <v>1001.1</v>
      </c>
      <c r="F474">
        <f>RTD("nest.scriprtd",,"bse_cm|980IFSL25","Ask Rate")</f>
        <v>1065</v>
      </c>
      <c r="G474">
        <f>RTD("nest.scriprtd",,"bse_cm|980IFSL25","Ask Qty")</f>
        <v>24</v>
      </c>
      <c r="H474">
        <f>RTD("nest.scriprtd",,"bse_cm|980IFSL25","LTP")</f>
        <v>0</v>
      </c>
      <c r="I474" t="str">
        <f>RTD("nest.scriprtd",,"bse_cm|980IFSL25","LTT")</f>
        <v>00:00:00</v>
      </c>
      <c r="J474">
        <f>RTD("nest.scriprtd",,"bse_cm|980IFSL25","% Change")</f>
        <v>-100</v>
      </c>
      <c r="K474">
        <f>RTD("nest.scriprtd",,"bse_cm|980IFSL25","ATP")</f>
        <v>0</v>
      </c>
      <c r="L474">
        <f>RTD("nest.scriprtd",,"bse_cm|980IFSL25","Volume Traded Today")</f>
        <v>0</v>
      </c>
      <c r="M474">
        <f>RTD("nest.scriprtd",,"bse_cm|980IFSL25","Open")</f>
        <v>0</v>
      </c>
      <c r="N474">
        <f>RTD("nest.scriprtd",,"bse_cm|980IFSL25","High")</f>
        <v>1042</v>
      </c>
      <c r="O474">
        <f>RTD("nest.scriprtd",,"bse_cm|980IFSL25","Low ")</f>
        <v>1040</v>
      </c>
      <c r="P474">
        <f>RTD("nest.scriprtd",,"bse_cm|980IFSL25","Prev Close")</f>
        <v>1042</v>
      </c>
      <c r="Q474">
        <f>RTD("nest.scriprtd",,"bse_cm|980IFSL25","Face Value")</f>
        <v>1000</v>
      </c>
      <c r="R474" t="str">
        <f>RTD("nest.scriprtd",,"bse_cm|980IFSL25","Isin code")</f>
        <v>INE321N07285</v>
      </c>
      <c r="S474" s="9">
        <f>Table1[[#This Row],[Ask Rate]]*Table1[[#This Row],[Ask Qty]]</f>
        <v>25560</v>
      </c>
      <c r="T474">
        <f>VLOOKUP(Table1[[#This Row],[Isin code]],Table2[#All],7,FALSE)</f>
        <v>9.8000000000000007</v>
      </c>
      <c r="U474" s="17" t="str">
        <f>VLOOKUP(Table1[[#This Row],[Isin code]],Table2[#All],8,FALSE)</f>
        <v>02-May-2025</v>
      </c>
      <c r="V474" s="10">
        <f ca="1">Table1[[#This Row],[Maturity]]-TODAY()</f>
        <v>198</v>
      </c>
      <c r="W474" t="str">
        <f>VLOOKUP(Table1[[#This Row],[Isin code]],Table2[#All],10,FALSE)</f>
        <v>Yearly</v>
      </c>
      <c r="X474">
        <f ca="1">_xlfn.DAYS(Table1[[#This Row],[Maturity]],TODAY())-15</f>
        <v>183</v>
      </c>
      <c r="Y4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74">
        <f>IF(Table1[[#This Row],[Ask Rate]]=0,0,Table1[[#This Row],[Face Value]]-Table1[[#This Row],[Ask Rate]])</f>
        <v>-65</v>
      </c>
      <c r="AA474">
        <f>IF(Table1[[#This Row],[Freq]]="Yearly",Table1[[#This Row],[Coupon_Rate]]/100,IF(Table1[[#This Row],[Freq]]="Monthly",Table1[[#This Row],[Coupon_Rate]]/1200,IF(Table1[[#This Row],[Freq]]="Quarterly",Table1[[#This Row],[Coupon_Rate]]/400,0)))</f>
        <v>9.8000000000000004E-2</v>
      </c>
      <c r="AB474">
        <f ca="1">Table1[[#This Row],[Face Value]]*Table1[[#This Row],[Rate]]*Table1[[#This Row],[Time]]</f>
        <v>98</v>
      </c>
      <c r="AC474">
        <f ca="1">Table1[[#This Row],[SI]]+Table1[[#This Row],[Disc/Prem]]</f>
        <v>33</v>
      </c>
      <c r="AD474" s="3">
        <f ca="1">Table1[[#This Row],[Net Gain]]/Table1[[#This Row],[Ask Rate]]</f>
        <v>3.0985915492957747E-2</v>
      </c>
      <c r="AE474" s="3">
        <f ca="1">IF(Table1[[#This Row],[Ask Qty]]=0,0,Table1[[#This Row],[Gross Yield]]*365/Table1[[#This Row],[Days Left]])</f>
        <v>5.7120500782472619E-2</v>
      </c>
      <c r="AF474" s="9">
        <f ca="1">+Table1[[#This Row],[Net Gain]]*Table1[[#This Row],[Ask Qty]]</f>
        <v>792</v>
      </c>
      <c r="AG474" t="str">
        <f ca="1">IF(Table1[[#This Row],[YTM]]&gt;0.12,IF(Table1[[#This Row],[Gross Profit]]&gt;10000,"Invest","Review"),"Low YTM")</f>
        <v>Low YTM</v>
      </c>
    </row>
    <row r="475" spans="1:33" hidden="1" x14ac:dyDescent="0.3">
      <c r="A475" t="str">
        <f>RTD("nest.scriprtd",,"bse_cm|10MFL24AA","Symbol")</f>
        <v>10MFL24AA</v>
      </c>
      <c r="B475" t="str">
        <f>RTD("nest.scriprtd",,"bse_cm|10MFL24AA","Trading Symbol")</f>
        <v>10MFL24AA</v>
      </c>
      <c r="C475" t="str">
        <f>RTD("nest.scriprtd",,"bse_cm|10MFL24AA","Exchange")</f>
        <v>BSE</v>
      </c>
      <c r="D475">
        <f>RTD("nest.scriprtd",,"bse_cm|10MFL24AA","Bid Qty")</f>
        <v>100</v>
      </c>
      <c r="E475">
        <f>RTD("nest.scriprtd",,"bse_cm|10MFL24AA","Bid Rate")</f>
        <v>1071.3</v>
      </c>
      <c r="F475">
        <f>RTD("nest.scriprtd",,"bse_cm|10MFL24AA","Ask Rate")</f>
        <v>1084</v>
      </c>
      <c r="G475">
        <f>RTD("nest.scriprtd",,"bse_cm|10MFL24AA","Ask Qty")</f>
        <v>50</v>
      </c>
      <c r="H475">
        <f>RTD("nest.scriprtd",,"bse_cm|10MFL24AA","LTP")</f>
        <v>1072</v>
      </c>
      <c r="I475" t="str">
        <f>RTD("nest.scriprtd",,"bse_cm|10MFL24AA","LTT")</f>
        <v>00:00:00</v>
      </c>
      <c r="J475">
        <f>RTD("nest.scriprtd",,"bse_cm|10MFL24AA","% Change")</f>
        <v>-0.35</v>
      </c>
      <c r="K475">
        <f>RTD("nest.scriprtd",,"bse_cm|10MFL24AA","ATP")</f>
        <v>0</v>
      </c>
      <c r="L475">
        <f>RTD("nest.scriprtd",,"bse_cm|10MFL24AA","Volume Traded Today")</f>
        <v>0</v>
      </c>
      <c r="M475">
        <f>RTD("nest.scriprtd",,"bse_cm|10MFL24AA","Open")</f>
        <v>0</v>
      </c>
      <c r="N475">
        <f>RTD("nest.scriprtd",,"bse_cm|10MFL24AA","High")</f>
        <v>1072</v>
      </c>
      <c r="O475">
        <f>RTD("nest.scriprtd",,"bse_cm|10MFL24AA","Low ")</f>
        <v>1072</v>
      </c>
      <c r="P475">
        <f>RTD("nest.scriprtd",,"bse_cm|10MFL24AA","Prev Close")</f>
        <v>1075.8</v>
      </c>
      <c r="Q475">
        <f>RTD("nest.scriprtd",,"bse_cm|10MFL24AA","Face Value")</f>
        <v>1000</v>
      </c>
      <c r="R475" t="str">
        <f>RTD("nest.scriprtd",,"bse_cm|10MFL24AA","Isin code")</f>
        <v>INE414G07EM6</v>
      </c>
      <c r="S475" s="9">
        <f>Table1[[#This Row],[Ask Rate]]*Table1[[#This Row],[Ask Qty]]</f>
        <v>54200</v>
      </c>
      <c r="T475">
        <f>VLOOKUP(Table1[[#This Row],[Isin code]],Table2[#All],7,FALSE)</f>
        <v>10</v>
      </c>
      <c r="U475" s="17" t="str">
        <f>VLOOKUP(Table1[[#This Row],[Isin code]],Table2[#All],8,FALSE)</f>
        <v>27-Dec-2024</v>
      </c>
      <c r="V475" s="10">
        <f ca="1">Table1[[#This Row],[Maturity]]-TODAY()</f>
        <v>72</v>
      </c>
      <c r="W475" t="str">
        <f>VLOOKUP(Table1[[#This Row],[Isin code]],Table2[#All],10,FALSE)</f>
        <v>Yearly</v>
      </c>
      <c r="X475">
        <f ca="1">_xlfn.DAYS(Table1[[#This Row],[Maturity]],TODAY())-15</f>
        <v>57</v>
      </c>
      <c r="Y4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75">
        <f>IF(Table1[[#This Row],[Ask Rate]]=0,0,Table1[[#This Row],[Face Value]]-Table1[[#This Row],[Ask Rate]])</f>
        <v>-84</v>
      </c>
      <c r="AA475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475">
        <f ca="1">Table1[[#This Row],[Face Value]]*Table1[[#This Row],[Rate]]*Table1[[#This Row],[Time]]</f>
        <v>100</v>
      </c>
      <c r="AC475">
        <f ca="1">Table1[[#This Row],[SI]]+Table1[[#This Row],[Disc/Prem]]</f>
        <v>16</v>
      </c>
      <c r="AD475" s="3">
        <f ca="1">Table1[[#This Row],[Net Gain]]/Table1[[#This Row],[Ask Rate]]</f>
        <v>1.4760147601476014E-2</v>
      </c>
      <c r="AE475" s="3">
        <f ca="1">IF(Table1[[#This Row],[Ask Qty]]=0,0,Table1[[#This Row],[Gross Yield]]*365/Table1[[#This Row],[Days Left]])</f>
        <v>7.4825748257482574E-2</v>
      </c>
      <c r="AF475" s="9">
        <f ca="1">+Table1[[#This Row],[Net Gain]]*Table1[[#This Row],[Ask Qty]]</f>
        <v>800</v>
      </c>
      <c r="AG475" t="str">
        <f ca="1">IF(Table1[[#This Row],[YTM]]&gt;0.12,IF(Table1[[#This Row],[Gross Profit]]&gt;10000,"Invest","Review"),"Low YTM")</f>
        <v>Low YTM</v>
      </c>
    </row>
    <row r="476" spans="1:33" x14ac:dyDescent="0.3">
      <c r="A476" t="str">
        <f>RTD("nest.scriprtd",,"nse_cm|980IFSL25-N5","Symbol")</f>
        <v>980IFSL25</v>
      </c>
      <c r="B476" t="str">
        <f>RTD("nest.scriprtd",,"nse_cm|980IFSL25-N5","Trading Symbol")</f>
        <v>980IFSL25-N5</v>
      </c>
      <c r="C476" t="str">
        <f>RTD("nest.scriprtd",,"nse_cm|980IFSL25-N5","Exchange")</f>
        <v>NSE</v>
      </c>
      <c r="D476">
        <f>RTD("nest.scriprtd",,"nse_cm|980IFSL25-N5","Bid Qty")</f>
        <v>1</v>
      </c>
      <c r="E476">
        <f>RTD("nest.scriprtd",,"nse_cm|980IFSL25-N5","Bid Rate")</f>
        <v>1017</v>
      </c>
      <c r="F476">
        <f>RTD("nest.scriprtd",,"nse_cm|980IFSL25-N5","Ask Rate")</f>
        <v>1065</v>
      </c>
      <c r="G476">
        <f>RTD("nest.scriprtd",,"nse_cm|980IFSL25-N5","Ask Qty")</f>
        <v>35</v>
      </c>
      <c r="H476">
        <f>RTD("nest.scriprtd",,"nse_cm|980IFSL25-N5","LTP")</f>
        <v>1001.1</v>
      </c>
      <c r="I476" t="str">
        <f>RTD("nest.scriprtd",,"nse_cm|980IFSL25-N5","LTT")</f>
        <v/>
      </c>
      <c r="J476">
        <f>RTD("nest.scriprtd",,"nse_cm|980IFSL25-N5","% Change")</f>
        <v>0</v>
      </c>
      <c r="K476">
        <f>RTD("nest.scriprtd",,"nse_cm|980IFSL25-N5","ATP")</f>
        <v>0</v>
      </c>
      <c r="L476">
        <f>RTD("nest.scriprtd",,"nse_cm|980IFSL25-N5","Volume Traded Today")</f>
        <v>0</v>
      </c>
      <c r="M476">
        <f>RTD("nest.scriprtd",,"nse_cm|980IFSL25-N5","Open")</f>
        <v>0</v>
      </c>
      <c r="N476">
        <f>RTD("nest.scriprtd",,"nse_cm|980IFSL25-N5","High")</f>
        <v>1001.1</v>
      </c>
      <c r="O476">
        <f>RTD("nest.scriprtd",,"nse_cm|980IFSL25-N5","Low ")</f>
        <v>1001.1</v>
      </c>
      <c r="P476">
        <f>RTD("nest.scriprtd",,"nse_cm|980IFSL25-N5","Prev Close")</f>
        <v>1001.1</v>
      </c>
      <c r="Q476">
        <f>RTD("nest.scriprtd",,"nse_cm|980IFSL25-N5","Face Value")</f>
        <v>1000</v>
      </c>
      <c r="R476" t="str">
        <f>RTD("nest.scriprtd",,"nse_cm|980IFSL25-N5","Isin code")</f>
        <v>INE321N07285</v>
      </c>
      <c r="S476" s="9">
        <f>Table1[[#This Row],[Ask Rate]]*Table1[[#This Row],[Ask Qty]]</f>
        <v>37275</v>
      </c>
      <c r="T476">
        <f>VLOOKUP(Table1[[#This Row],[Isin code]],Table2[#All],7,FALSE)</f>
        <v>9.8000000000000007</v>
      </c>
      <c r="U476" s="17" t="str">
        <f>VLOOKUP(Table1[[#This Row],[Isin code]],Table2[#All],8,FALSE)</f>
        <v>02-May-2025</v>
      </c>
      <c r="V476" s="10">
        <f ca="1">Table1[[#This Row],[Maturity]]-TODAY()</f>
        <v>198</v>
      </c>
      <c r="W476" t="str">
        <f>VLOOKUP(Table1[[#This Row],[Isin code]],Table2[#All],10,FALSE)</f>
        <v>Yearly</v>
      </c>
      <c r="X476">
        <f ca="1">_xlfn.DAYS(Table1[[#This Row],[Maturity]],TODAY())-15</f>
        <v>183</v>
      </c>
      <c r="Y4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76">
        <f>IF(Table1[[#This Row],[Ask Rate]]=0,0,Table1[[#This Row],[Face Value]]-Table1[[#This Row],[Ask Rate]])</f>
        <v>-65</v>
      </c>
      <c r="AA476">
        <f>IF(Table1[[#This Row],[Freq]]="Yearly",Table1[[#This Row],[Coupon_Rate]]/100,IF(Table1[[#This Row],[Freq]]="Monthly",Table1[[#This Row],[Coupon_Rate]]/1200,IF(Table1[[#This Row],[Freq]]="Quarterly",Table1[[#This Row],[Coupon_Rate]]/400,0)))</f>
        <v>9.8000000000000004E-2</v>
      </c>
      <c r="AB476">
        <f ca="1">Table1[[#This Row],[Face Value]]*Table1[[#This Row],[Rate]]*Table1[[#This Row],[Time]]</f>
        <v>98</v>
      </c>
      <c r="AC476">
        <f ca="1">Table1[[#This Row],[SI]]+Table1[[#This Row],[Disc/Prem]]</f>
        <v>33</v>
      </c>
      <c r="AD476" s="3">
        <f ca="1">Table1[[#This Row],[Net Gain]]/Table1[[#This Row],[Ask Rate]]</f>
        <v>3.0985915492957747E-2</v>
      </c>
      <c r="AE476" s="3">
        <f ca="1">IF(Table1[[#This Row],[Ask Qty]]=0,0,Table1[[#This Row],[Gross Yield]]*365/Table1[[#This Row],[Days Left]])</f>
        <v>5.7120500782472619E-2</v>
      </c>
      <c r="AF476" s="9">
        <f ca="1">+Table1[[#This Row],[Net Gain]]*Table1[[#This Row],[Ask Qty]]</f>
        <v>1155</v>
      </c>
      <c r="AG476" t="str">
        <f ca="1">IF(Table1[[#This Row],[YTM]]&gt;0.12,IF(Table1[[#This Row],[Gross Profit]]&gt;10000,"Invest","Review"),"Low YTM")</f>
        <v>Low YTM</v>
      </c>
    </row>
    <row r="477" spans="1:33" x14ac:dyDescent="0.3">
      <c r="A477" t="str">
        <f>RTD("nest.scriprtd",,"nse_cm|805ABFL28-N2","Symbol")</f>
        <v>805ABFL28</v>
      </c>
      <c r="B477" t="str">
        <f>RTD("nest.scriprtd",,"nse_cm|805ABFL28-N2","Trading Symbol")</f>
        <v>805ABFL28-N2</v>
      </c>
      <c r="C477" t="str">
        <f>RTD("nest.scriprtd",,"nse_cm|805ABFL28-N2","Exchange")</f>
        <v>NSE</v>
      </c>
      <c r="D477">
        <f>RTD("nest.scriprtd",,"nse_cm|805ABFL28-N2","Bid Qty")</f>
        <v>20</v>
      </c>
      <c r="E477">
        <f>RTD("nest.scriprtd",,"nse_cm|805ABFL28-N2","Bid Rate")</f>
        <v>980.11</v>
      </c>
      <c r="F477">
        <f>RTD("nest.scriprtd",,"nse_cm|805ABFL28-N2","Ask Rate")</f>
        <v>1020</v>
      </c>
      <c r="G477">
        <f>RTD("nest.scriprtd",,"nse_cm|805ABFL28-N2","Ask Qty")</f>
        <v>57</v>
      </c>
      <c r="H477">
        <f>RTD("nest.scriprtd",,"nse_cm|805ABFL28-N2","LTP")</f>
        <v>1020</v>
      </c>
      <c r="I477" t="str">
        <f>RTD("nest.scriprtd",,"nse_cm|805ABFL28-N2","LTT")</f>
        <v/>
      </c>
      <c r="J477">
        <f>RTD("nest.scriprtd",,"nse_cm|805ABFL28-N2","% Change")</f>
        <v>0</v>
      </c>
      <c r="K477">
        <f>RTD("nest.scriprtd",,"nse_cm|805ABFL28-N2","ATP")</f>
        <v>0</v>
      </c>
      <c r="L477">
        <f>RTD("nest.scriprtd",,"nse_cm|805ABFL28-N2","Volume Traded Today")</f>
        <v>0</v>
      </c>
      <c r="M477">
        <f>RTD("nest.scriprtd",,"nse_cm|805ABFL28-N2","Open")</f>
        <v>0</v>
      </c>
      <c r="N477">
        <f>RTD("nest.scriprtd",,"nse_cm|805ABFL28-N2","High")</f>
        <v>1020</v>
      </c>
      <c r="O477">
        <f>RTD("nest.scriprtd",,"nse_cm|805ABFL28-N2","Low ")</f>
        <v>1020</v>
      </c>
      <c r="P477">
        <f>RTD("nest.scriprtd",,"nse_cm|805ABFL28-N2","Prev Close")</f>
        <v>1020</v>
      </c>
      <c r="Q477">
        <f>RTD("nest.scriprtd",,"nse_cm|805ABFL28-N2","Face Value")</f>
        <v>1000</v>
      </c>
      <c r="R477" t="str">
        <f>RTD("nest.scriprtd",,"nse_cm|805ABFL28-N2","Isin code")</f>
        <v>INE860H07IT4</v>
      </c>
      <c r="S477" s="9">
        <f>Table1[[#This Row],[Ask Rate]]*Table1[[#This Row],[Ask Qty]]</f>
        <v>58140</v>
      </c>
      <c r="T477">
        <f>VLOOKUP(Table1[[#This Row],[Isin code]],Table2[#All],7,FALSE)</f>
        <v>8.0500000000000007</v>
      </c>
      <c r="U477" s="17" t="str">
        <f>VLOOKUP(Table1[[#This Row],[Isin code]],Table2[#All],8,FALSE)</f>
        <v>09-Oct-2028</v>
      </c>
      <c r="V477" s="10">
        <f ca="1">Table1[[#This Row],[Maturity]]-TODAY()</f>
        <v>1454</v>
      </c>
      <c r="W477" t="str">
        <f>VLOOKUP(Table1[[#This Row],[Isin code]],Table2[#All],10,FALSE)</f>
        <v>Yearly</v>
      </c>
      <c r="X477">
        <f ca="1">_xlfn.DAYS(Table1[[#This Row],[Maturity]],TODAY())-15</f>
        <v>1439</v>
      </c>
      <c r="Y4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77">
        <f>IF(Table1[[#This Row],[Ask Rate]]=0,0,Table1[[#This Row],[Face Value]]-Table1[[#This Row],[Ask Rate]])</f>
        <v>-20</v>
      </c>
      <c r="AA477">
        <f>IF(Table1[[#This Row],[Freq]]="Yearly",Table1[[#This Row],[Coupon_Rate]]/100,IF(Table1[[#This Row],[Freq]]="Monthly",Table1[[#This Row],[Coupon_Rate]]/1200,IF(Table1[[#This Row],[Freq]]="Quarterly",Table1[[#This Row],[Coupon_Rate]]/400,0)))</f>
        <v>8.0500000000000002E-2</v>
      </c>
      <c r="AB477">
        <f ca="1">Table1[[#This Row],[Face Value]]*Table1[[#This Row],[Rate]]*Table1[[#This Row],[Time]]</f>
        <v>322</v>
      </c>
      <c r="AC477">
        <f ca="1">Table1[[#This Row],[SI]]+Table1[[#This Row],[Disc/Prem]]</f>
        <v>302</v>
      </c>
      <c r="AD477" s="3">
        <f ca="1">Table1[[#This Row],[Net Gain]]/Table1[[#This Row],[Ask Rate]]</f>
        <v>0.29607843137254902</v>
      </c>
      <c r="AE477" s="3">
        <f ca="1">IF(Table1[[#This Row],[Ask Qty]]=0,0,Table1[[#This Row],[Gross Yield]]*365/Table1[[#This Row],[Days Left]])</f>
        <v>7.4325053267524338E-2</v>
      </c>
      <c r="AF477" s="9">
        <f ca="1">+Table1[[#This Row],[Net Gain]]*Table1[[#This Row],[Ask Qty]]</f>
        <v>17214</v>
      </c>
      <c r="AG477" t="str">
        <f ca="1">IF(Table1[[#This Row],[YTM]]&gt;0.12,IF(Table1[[#This Row],[Gross Profit]]&gt;10000,"Invest","Review"),"Low YTM")</f>
        <v>Low YTM</v>
      </c>
    </row>
    <row r="478" spans="1:33" x14ac:dyDescent="0.3">
      <c r="A478" t="str">
        <f>RTD("nest.scriprtd",,"bse_cm|76NHAI31","Symbol")</f>
        <v>76NHAI31</v>
      </c>
      <c r="B478" t="str">
        <f>RTD("nest.scriprtd",,"bse_cm|76NHAI31","Trading Symbol")</f>
        <v>76NHAI31</v>
      </c>
      <c r="C478" t="str">
        <f>RTD("nest.scriprtd",,"bse_cm|76NHAI31","Exchange")</f>
        <v>BSE</v>
      </c>
      <c r="D478">
        <f>RTD("nest.scriprtd",,"bse_cm|76NHAI31","Bid Qty")</f>
        <v>5</v>
      </c>
      <c r="E478">
        <f>RTD("nest.scriprtd",,"bse_cm|76NHAI31","Bid Rate")</f>
        <v>1134</v>
      </c>
      <c r="F478">
        <f>RTD("nest.scriprtd",,"bse_cm|76NHAI31","Ask Rate")</f>
        <v>1136.5</v>
      </c>
      <c r="G478">
        <f>RTD("nest.scriprtd",,"bse_cm|76NHAI31","Ask Qty")</f>
        <v>25</v>
      </c>
      <c r="H478">
        <f>RTD("nest.scriprtd",,"bse_cm|76NHAI31","LTP")</f>
        <v>1134.99</v>
      </c>
      <c r="I478" t="str">
        <f>RTD("nest.scriprtd",,"bse_cm|76NHAI31","LTT")</f>
        <v>09:51:40</v>
      </c>
      <c r="J478">
        <f>RTD("nest.scriprtd",,"bse_cm|76NHAI31","% Change")</f>
        <v>0</v>
      </c>
      <c r="K478">
        <f>RTD("nest.scriprtd",,"bse_cm|76NHAI31","ATP")</f>
        <v>1134.99</v>
      </c>
      <c r="L478">
        <f>RTD("nest.scriprtd",,"bse_cm|76NHAI31","Volume Traded Today")</f>
        <v>5</v>
      </c>
      <c r="M478">
        <f>RTD("nest.scriprtd",,"bse_cm|76NHAI31","Open")</f>
        <v>1134.99</v>
      </c>
      <c r="N478">
        <f>RTD("nest.scriprtd",,"bse_cm|76NHAI31","High")</f>
        <v>1134.99</v>
      </c>
      <c r="O478">
        <f>RTD("nest.scriprtd",,"bse_cm|76NHAI31","Low ")</f>
        <v>1134.99</v>
      </c>
      <c r="P478">
        <f>RTD("nest.scriprtd",,"bse_cm|76NHAI31","Prev Close")</f>
        <v>1135</v>
      </c>
      <c r="Q478">
        <f>RTD("nest.scriprtd",,"bse_cm|76NHAI31","Face Value")</f>
        <v>1000</v>
      </c>
      <c r="R478" t="str">
        <f>RTD("nest.scriprtd",,"bse_cm|76NHAI31","Isin code")</f>
        <v>INE906B07EJ8</v>
      </c>
      <c r="S478" s="9">
        <f>Table1[[#This Row],[Ask Rate]]*Table1[[#This Row],[Ask Qty]]</f>
        <v>28412.5</v>
      </c>
      <c r="T478">
        <f>VLOOKUP(Table1[[#This Row],[Isin code]],Table2[#All],7,FALSE)</f>
        <v>7.6</v>
      </c>
      <c r="U478" s="17" t="str">
        <f>VLOOKUP(Table1[[#This Row],[Isin code]],Table2[#All],8,FALSE)</f>
        <v>11-Jan-2031</v>
      </c>
      <c r="V478" s="10">
        <f ca="1">Table1[[#This Row],[Maturity]]-TODAY()</f>
        <v>2278</v>
      </c>
      <c r="W478" t="str">
        <f>VLOOKUP(Table1[[#This Row],[Isin code]],Table2[#All],10,FALSE)</f>
        <v>Yearly</v>
      </c>
      <c r="X478">
        <f ca="1">_xlfn.DAYS(Table1[[#This Row],[Maturity]],TODAY())-15</f>
        <v>2263</v>
      </c>
      <c r="Y4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78">
        <f>IF(Table1[[#This Row],[Ask Rate]]=0,0,Table1[[#This Row],[Face Value]]-Table1[[#This Row],[Ask Rate]])</f>
        <v>-136.5</v>
      </c>
      <c r="AA478">
        <f>IF(Table1[[#This Row],[Freq]]="Yearly",Table1[[#This Row],[Coupon_Rate]]/100,IF(Table1[[#This Row],[Freq]]="Monthly",Table1[[#This Row],[Coupon_Rate]]/1200,IF(Table1[[#This Row],[Freq]]="Quarterly",Table1[[#This Row],[Coupon_Rate]]/400,0)))</f>
        <v>7.5999999999999998E-2</v>
      </c>
      <c r="AB478">
        <f ca="1">Table1[[#This Row],[Face Value]]*Table1[[#This Row],[Rate]]*Table1[[#This Row],[Time]]</f>
        <v>532</v>
      </c>
      <c r="AC478">
        <f ca="1">Table1[[#This Row],[SI]]+Table1[[#This Row],[Disc/Prem]]</f>
        <v>395.5</v>
      </c>
      <c r="AD478" s="3">
        <f ca="1">Table1[[#This Row],[Net Gain]]/Table1[[#This Row],[Ask Rate]]</f>
        <v>0.34799824021117465</v>
      </c>
      <c r="AE478" s="3">
        <f ca="1">IF(Table1[[#This Row],[Ask Qty]]=0,0,Table1[[#This Row],[Gross Yield]]*365/Table1[[#This Row],[Days Left]])</f>
        <v>5.5759156135679867E-2</v>
      </c>
      <c r="AF478" s="9">
        <f ca="1">+Table1[[#This Row],[Net Gain]]*Table1[[#This Row],[Ask Qty]]</f>
        <v>9887.5</v>
      </c>
      <c r="AG478" t="str">
        <f ca="1">IF(Table1[[#This Row],[YTM]]&gt;0.12,IF(Table1[[#This Row],[Gross Profit]]&gt;10000,"Invest","Review"),"Low YTM")</f>
        <v>Low YTM</v>
      </c>
    </row>
    <row r="479" spans="1:33" x14ac:dyDescent="0.3">
      <c r="A479" t="str">
        <f>RTD("nest.scriprtd",,"bse_cm|81TCHF28","Symbol")</f>
        <v>81TCHF28</v>
      </c>
      <c r="B479" t="str">
        <f>RTD("nest.scriprtd",,"bse_cm|81TCHF28","Trading Symbol")</f>
        <v>81TCHF28</v>
      </c>
      <c r="C479" t="str">
        <f>RTD("nest.scriprtd",,"bse_cm|81TCHF28","Exchange")</f>
        <v>BSE</v>
      </c>
      <c r="D479">
        <f>RTD("nest.scriprtd",,"bse_cm|81TCHF28","Bid Qty")</f>
        <v>29</v>
      </c>
      <c r="E479">
        <f>RTD("nest.scriprtd",,"bse_cm|81TCHF28","Bid Rate")</f>
        <v>1007.1</v>
      </c>
      <c r="F479">
        <f>RTD("nest.scriprtd",,"bse_cm|81TCHF28","Ask Rate")</f>
        <v>1070</v>
      </c>
      <c r="G479">
        <f>RTD("nest.scriprtd",,"bse_cm|81TCHF28","Ask Qty")</f>
        <v>10</v>
      </c>
      <c r="H479">
        <f>RTD("nest.scriprtd",,"bse_cm|81TCHF28","LTP")</f>
        <v>0</v>
      </c>
      <c r="I479" t="str">
        <f>RTD("nest.scriprtd",,"bse_cm|81TCHF28","LTT")</f>
        <v>00:00:00</v>
      </c>
      <c r="J479">
        <f>RTD("nest.scriprtd",,"bse_cm|81TCHF28","% Change")</f>
        <v>-100</v>
      </c>
      <c r="K479">
        <f>RTD("nest.scriprtd",,"bse_cm|81TCHF28","ATP")</f>
        <v>0</v>
      </c>
      <c r="L479">
        <f>RTD("nest.scriprtd",,"bse_cm|81TCHF28","Volume Traded Today")</f>
        <v>0</v>
      </c>
      <c r="M479">
        <f>RTD("nest.scriprtd",,"bse_cm|81TCHF28","Open")</f>
        <v>0</v>
      </c>
      <c r="N479">
        <f>RTD("nest.scriprtd",,"bse_cm|81TCHF28","High")</f>
        <v>1010</v>
      </c>
      <c r="O479">
        <f>RTD("nest.scriprtd",,"bse_cm|81TCHF28","Low ")</f>
        <v>1010</v>
      </c>
      <c r="P479">
        <f>RTD("nest.scriprtd",,"bse_cm|81TCHF28","Prev Close")</f>
        <v>1010</v>
      </c>
      <c r="Q479">
        <f>RTD("nest.scriprtd",,"bse_cm|81TCHF28","Face Value")</f>
        <v>1000</v>
      </c>
      <c r="R479" t="str">
        <f>RTD("nest.scriprtd",,"bse_cm|81TCHF28","Isin code")</f>
        <v>INE033L07GS6</v>
      </c>
      <c r="S479" s="9">
        <f>Table1[[#This Row],[Ask Rate]]*Table1[[#This Row],[Ask Qty]]</f>
        <v>10700</v>
      </c>
      <c r="T479">
        <f>VLOOKUP(Table1[[#This Row],[Isin code]],Table2[#All],7,FALSE)</f>
        <v>8.1</v>
      </c>
      <c r="U479" s="17" t="str">
        <f>VLOOKUP(Table1[[#This Row],[Isin code]],Table2[#All],8,FALSE)</f>
        <v>14-Jan-2028</v>
      </c>
      <c r="V479" s="10">
        <f ca="1">Table1[[#This Row],[Maturity]]-TODAY()</f>
        <v>1185</v>
      </c>
      <c r="W479" t="str">
        <f>VLOOKUP(Table1[[#This Row],[Isin code]],Table2[#All],10,FALSE)</f>
        <v>Monthly</v>
      </c>
      <c r="X479">
        <f ca="1">_xlfn.DAYS(Table1[[#This Row],[Maturity]],TODAY())-15</f>
        <v>1170</v>
      </c>
      <c r="Y4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479">
        <f>IF(Table1[[#This Row],[Ask Rate]]=0,0,Table1[[#This Row],[Face Value]]-Table1[[#This Row],[Ask Rate]])</f>
        <v>-70</v>
      </c>
      <c r="AA479">
        <f>IF(Table1[[#This Row],[Freq]]="Yearly",Table1[[#This Row],[Coupon_Rate]]/100,IF(Table1[[#This Row],[Freq]]="Monthly",Table1[[#This Row],[Coupon_Rate]]/1200,IF(Table1[[#This Row],[Freq]]="Quarterly",Table1[[#This Row],[Coupon_Rate]]/400,0)))</f>
        <v>6.7499999999999999E-3</v>
      </c>
      <c r="AB479">
        <f ca="1">Table1[[#This Row],[Face Value]]*Table1[[#This Row],[Rate]]*Table1[[#This Row],[Time]]</f>
        <v>263.25</v>
      </c>
      <c r="AC479">
        <f ca="1">Table1[[#This Row],[SI]]+Table1[[#This Row],[Disc/Prem]]</f>
        <v>193.25</v>
      </c>
      <c r="AD479" s="3">
        <f ca="1">Table1[[#This Row],[Net Gain]]/Table1[[#This Row],[Ask Rate]]</f>
        <v>0.18060747663551402</v>
      </c>
      <c r="AE479" s="3">
        <f ca="1">IF(Table1[[#This Row],[Ask Qty]]=0,0,Table1[[#This Row],[Gross Yield]]*365/Table1[[#This Row],[Days Left]])</f>
        <v>5.5630151031192086E-2</v>
      </c>
      <c r="AF479" s="9">
        <f ca="1">+Table1[[#This Row],[Net Gain]]*Table1[[#This Row],[Ask Qty]]</f>
        <v>1932.5</v>
      </c>
      <c r="AG479" t="str">
        <f ca="1">IF(Table1[[#This Row],[YTM]]&gt;0.12,IF(Table1[[#This Row],[Gross Profit]]&gt;10000,"Invest","Review"),"Low YTM")</f>
        <v>Low YTM</v>
      </c>
    </row>
    <row r="480" spans="1:33" x14ac:dyDescent="0.3">
      <c r="A480" t="str">
        <f>RTD("nest.scriprtd",,"bse_cm|105MMFL25C","Symbol")</f>
        <v>105MMFL25C</v>
      </c>
      <c r="B480" t="str">
        <f>RTD("nest.scriprtd",,"bse_cm|105MMFL25C","Trading Symbol")</f>
        <v>105MMFL25C</v>
      </c>
      <c r="C480" t="str">
        <f>RTD("nest.scriprtd",,"bse_cm|105MMFL25C","Exchange")</f>
        <v>BSE</v>
      </c>
      <c r="D480">
        <f>RTD("nest.scriprtd",,"bse_cm|105MMFL25C","Bid Qty")</f>
        <v>51</v>
      </c>
      <c r="E480">
        <f>RTD("nest.scriprtd",,"bse_cm|105MMFL25C","Bid Rate")</f>
        <v>957</v>
      </c>
      <c r="F480">
        <f>RTD("nest.scriprtd",,"bse_cm|105MMFL25C","Ask Rate")</f>
        <v>1050</v>
      </c>
      <c r="G480">
        <f>RTD("nest.scriprtd",,"bse_cm|105MMFL25C","Ask Qty")</f>
        <v>158</v>
      </c>
      <c r="H480">
        <f>RTD("nest.scriprtd",,"bse_cm|105MMFL25C","LTP")</f>
        <v>0</v>
      </c>
      <c r="I480" t="str">
        <f>RTD("nest.scriprtd",,"bse_cm|105MMFL25C","LTT")</f>
        <v>00:00:00</v>
      </c>
      <c r="J480">
        <f>RTD("nest.scriprtd",,"bse_cm|105MMFL25C","% Change")</f>
        <v>-100</v>
      </c>
      <c r="K480">
        <f>RTD("nest.scriprtd",,"bse_cm|105MMFL25C","ATP")</f>
        <v>0</v>
      </c>
      <c r="L480">
        <f>RTD("nest.scriprtd",,"bse_cm|105MMFL25C","Volume Traded Today")</f>
        <v>0</v>
      </c>
      <c r="M480">
        <f>RTD("nest.scriprtd",,"bse_cm|105MMFL25C","Open")</f>
        <v>0</v>
      </c>
      <c r="N480">
        <f>RTD("nest.scriprtd",,"bse_cm|105MMFL25C","High")</f>
        <v>952.58</v>
      </c>
      <c r="O480">
        <f>RTD("nest.scriprtd",,"bse_cm|105MMFL25C","Low ")</f>
        <v>849.9</v>
      </c>
      <c r="P480">
        <f>RTD("nest.scriprtd",,"bse_cm|105MMFL25C","Prev Close")</f>
        <v>952.58</v>
      </c>
      <c r="Q480">
        <f>RTD("nest.scriprtd",,"bse_cm|105MMFL25C","Face Value")</f>
        <v>1000</v>
      </c>
      <c r="R480" t="str">
        <f>RTD("nest.scriprtd",,"bse_cm|105MMFL25C","Isin code")</f>
        <v>INE101Q07847</v>
      </c>
      <c r="S480" s="9">
        <f>Table1[[#This Row],[Ask Rate]]*Table1[[#This Row],[Ask Qty]]</f>
        <v>165900</v>
      </c>
      <c r="T480">
        <f>VLOOKUP(Table1[[#This Row],[Isin code]],Table2[#All],7,FALSE)</f>
        <v>10.5</v>
      </c>
      <c r="U480" s="17" t="str">
        <f>VLOOKUP(Table1[[#This Row],[Isin code]],Table2[#All],8,FALSE)</f>
        <v>21-Nov-2025</v>
      </c>
      <c r="V480" s="10">
        <f ca="1">Table1[[#This Row],[Maturity]]-TODAY()</f>
        <v>401</v>
      </c>
      <c r="W480" t="str">
        <f>VLOOKUP(Table1[[#This Row],[Isin code]],Table2[#All],10,FALSE)</f>
        <v>Monthly</v>
      </c>
      <c r="X480">
        <f ca="1">_xlfn.DAYS(Table1[[#This Row],[Maturity]],TODAY())-15</f>
        <v>386</v>
      </c>
      <c r="Y4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480">
        <f>IF(Table1[[#This Row],[Ask Rate]]=0,0,Table1[[#This Row],[Face Value]]-Table1[[#This Row],[Ask Rate]])</f>
        <v>-50</v>
      </c>
      <c r="AA480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480">
        <f ca="1">Table1[[#This Row],[Face Value]]*Table1[[#This Row],[Rate]]*Table1[[#This Row],[Time]]</f>
        <v>113.75</v>
      </c>
      <c r="AC480">
        <f ca="1">Table1[[#This Row],[SI]]+Table1[[#This Row],[Disc/Prem]]</f>
        <v>63.75</v>
      </c>
      <c r="AD480" s="3">
        <f ca="1">Table1[[#This Row],[Net Gain]]/Table1[[#This Row],[Ask Rate]]</f>
        <v>6.0714285714285714E-2</v>
      </c>
      <c r="AE480" s="3">
        <f ca="1">IF(Table1[[#This Row],[Ask Qty]]=0,0,Table1[[#This Row],[Gross Yield]]*365/Table1[[#This Row],[Days Left]])</f>
        <v>5.5263626647666549E-2</v>
      </c>
      <c r="AF480" s="9">
        <f ca="1">+Table1[[#This Row],[Net Gain]]*Table1[[#This Row],[Ask Qty]]</f>
        <v>10072.5</v>
      </c>
      <c r="AG480" t="str">
        <f ca="1">IF(Table1[[#This Row],[YTM]]&gt;0.12,IF(Table1[[#This Row],[Gross Profit]]&gt;10000,"Invest","Review"),"Low YTM")</f>
        <v>Low YTM</v>
      </c>
    </row>
    <row r="481" spans="1:33" x14ac:dyDescent="0.3">
      <c r="A481" t="str">
        <f>RTD("nest.scriprtd",,"bse_cm|727HUDCO26","Symbol")</f>
        <v>727HUDCO26</v>
      </c>
      <c r="B481" t="str">
        <f>RTD("nest.scriprtd",,"bse_cm|727HUDCO26","Trading Symbol")</f>
        <v>727HUDCO26</v>
      </c>
      <c r="C481" t="str">
        <f>RTD("nest.scriprtd",,"bse_cm|727HUDCO26","Exchange")</f>
        <v>BSE</v>
      </c>
      <c r="D481">
        <f>RTD("nest.scriprtd",,"bse_cm|727HUDCO26","Bid Qty")</f>
        <v>15</v>
      </c>
      <c r="E481">
        <f>RTD("nest.scriprtd",,"bse_cm|727HUDCO26","Bid Rate")</f>
        <v>1062.5</v>
      </c>
      <c r="F481">
        <f>RTD("nest.scriprtd",,"bse_cm|727HUDCO26","Ask Rate")</f>
        <v>1067.99</v>
      </c>
      <c r="G481">
        <f>RTD("nest.scriprtd",,"bse_cm|727HUDCO26","Ask Qty")</f>
        <v>100</v>
      </c>
      <c r="H481">
        <f>RTD("nest.scriprtd",,"bse_cm|727HUDCO26","LTP")</f>
        <v>1057.0999999999999</v>
      </c>
      <c r="I481" t="str">
        <f>RTD("nest.scriprtd",,"bse_cm|727HUDCO26","LTT")</f>
        <v>10:13:21</v>
      </c>
      <c r="J481">
        <f>RTD("nest.scriprtd",,"bse_cm|727HUDCO26","% Change")</f>
        <v>-0.27</v>
      </c>
      <c r="K481">
        <f>RTD("nest.scriprtd",,"bse_cm|727HUDCO26","ATP")</f>
        <v>1057.0999999999999</v>
      </c>
      <c r="L481">
        <f>RTD("nest.scriprtd",,"bse_cm|727HUDCO26","Volume Traded Today")</f>
        <v>250</v>
      </c>
      <c r="M481">
        <f>RTD("nest.scriprtd",,"bse_cm|727HUDCO26","Open")</f>
        <v>1057.0999999999999</v>
      </c>
      <c r="N481">
        <f>RTD("nest.scriprtd",,"bse_cm|727HUDCO26","High")</f>
        <v>1057.0999999999999</v>
      </c>
      <c r="O481">
        <f>RTD("nest.scriprtd",,"bse_cm|727HUDCO26","Low ")</f>
        <v>1057.0999999999999</v>
      </c>
      <c r="P481">
        <f>RTD("nest.scriprtd",,"bse_cm|727HUDCO26","Prev Close")</f>
        <v>1060</v>
      </c>
      <c r="Q481">
        <f>RTD("nest.scriprtd",,"bse_cm|727HUDCO26","Face Value")</f>
        <v>1000</v>
      </c>
      <c r="R481" t="str">
        <f>RTD("nest.scriprtd",,"bse_cm|727HUDCO26","Isin code")</f>
        <v>INE031A07AN7</v>
      </c>
      <c r="S481" s="9">
        <f>Table1[[#This Row],[Ask Rate]]*Table1[[#This Row],[Ask Qty]]</f>
        <v>106799</v>
      </c>
      <c r="T481">
        <f>VLOOKUP(Table1[[#This Row],[Isin code]],Table2[#All],7,FALSE)</f>
        <v>7.2700000000000005</v>
      </c>
      <c r="U481" s="17" t="str">
        <f>VLOOKUP(Table1[[#This Row],[Isin code]],Table2[#All],8,FALSE)</f>
        <v>08-Feb-2026</v>
      </c>
      <c r="V481" s="10">
        <f ca="1">Table1[[#This Row],[Maturity]]-TODAY()</f>
        <v>480</v>
      </c>
      <c r="W481" t="str">
        <f>VLOOKUP(Table1[[#This Row],[Isin code]],Table2[#All],10,FALSE)</f>
        <v>Yearly</v>
      </c>
      <c r="X481">
        <f ca="1">_xlfn.DAYS(Table1[[#This Row],[Maturity]],TODAY())-15</f>
        <v>465</v>
      </c>
      <c r="Y4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81">
        <f>IF(Table1[[#This Row],[Ask Rate]]=0,0,Table1[[#This Row],[Face Value]]-Table1[[#This Row],[Ask Rate]])</f>
        <v>-67.990000000000009</v>
      </c>
      <c r="AA481">
        <f>IF(Table1[[#This Row],[Freq]]="Yearly",Table1[[#This Row],[Coupon_Rate]]/100,IF(Table1[[#This Row],[Freq]]="Monthly",Table1[[#This Row],[Coupon_Rate]]/1200,IF(Table1[[#This Row],[Freq]]="Quarterly",Table1[[#This Row],[Coupon_Rate]]/400,0)))</f>
        <v>7.2700000000000001E-2</v>
      </c>
      <c r="AB481">
        <f ca="1">Table1[[#This Row],[Face Value]]*Table1[[#This Row],[Rate]]*Table1[[#This Row],[Time]]</f>
        <v>145.4</v>
      </c>
      <c r="AC481">
        <f ca="1">Table1[[#This Row],[SI]]+Table1[[#This Row],[Disc/Prem]]</f>
        <v>77.41</v>
      </c>
      <c r="AD481" s="3">
        <f ca="1">Table1[[#This Row],[Net Gain]]/Table1[[#This Row],[Ask Rate]]</f>
        <v>7.2481952078202974E-2</v>
      </c>
      <c r="AE481" s="3">
        <f ca="1">IF(Table1[[#This Row],[Ask Qty]]=0,0,Table1[[#This Row],[Gross Yield]]*365/Table1[[#This Row],[Days Left]])</f>
        <v>5.5116484392800175E-2</v>
      </c>
      <c r="AF481" s="9">
        <f ca="1">+Table1[[#This Row],[Net Gain]]*Table1[[#This Row],[Ask Qty]]</f>
        <v>7741</v>
      </c>
      <c r="AG481" t="str">
        <f ca="1">IF(Table1[[#This Row],[YTM]]&gt;0.12,IF(Table1[[#This Row],[Gross Profit]]&gt;10000,"Invest","Review"),"Low YTM")</f>
        <v>Low YTM</v>
      </c>
    </row>
    <row r="482" spans="1:33" x14ac:dyDescent="0.3">
      <c r="A482" t="str">
        <f>RTD("nest.scriprtd",,"bse_cm|760MFL25","Symbol")</f>
        <v>760MFL25</v>
      </c>
      <c r="B482" t="str">
        <f>RTD("nest.scriprtd",,"bse_cm|760MFL25","Trading Symbol")</f>
        <v>760MFL25</v>
      </c>
      <c r="C482" t="str">
        <f>RTD("nest.scriprtd",,"bse_cm|760MFL25","Exchange")</f>
        <v>BSE</v>
      </c>
      <c r="D482">
        <f>RTD("nest.scriprtd",,"bse_cm|760MFL25","Bid Qty")</f>
        <v>25</v>
      </c>
      <c r="E482">
        <f>RTD("nest.scriprtd",,"bse_cm|760MFL25","Bid Rate")</f>
        <v>1023.81</v>
      </c>
      <c r="F482">
        <f>RTD("nest.scriprtd",,"bse_cm|760MFL25","Ask Rate")</f>
        <v>1081.75</v>
      </c>
      <c r="G482">
        <f>RTD("nest.scriprtd",,"bse_cm|760MFL25","Ask Qty")</f>
        <v>50</v>
      </c>
      <c r="H482">
        <f>RTD("nest.scriprtd",,"bse_cm|760MFL25","LTP")</f>
        <v>0</v>
      </c>
      <c r="I482" t="str">
        <f>RTD("nest.scriprtd",,"bse_cm|760MFL25","LTT")</f>
        <v>00:00:00</v>
      </c>
      <c r="J482">
        <f>RTD("nest.scriprtd",,"bse_cm|760MFL25","% Change")</f>
        <v>-100</v>
      </c>
      <c r="K482">
        <f>RTD("nest.scriprtd",,"bse_cm|760MFL25","ATP")</f>
        <v>0</v>
      </c>
      <c r="L482">
        <f>RTD("nest.scriprtd",,"bse_cm|760MFL25","Volume Traded Today")</f>
        <v>0</v>
      </c>
      <c r="M482">
        <f>RTD("nest.scriprtd",,"bse_cm|760MFL25","Open")</f>
        <v>0</v>
      </c>
      <c r="N482">
        <f>RTD("nest.scriprtd",,"bse_cm|760MFL25","High")</f>
        <v>1040</v>
      </c>
      <c r="O482">
        <f>RTD("nest.scriprtd",,"bse_cm|760MFL25","Low ")</f>
        <v>1035</v>
      </c>
      <c r="P482">
        <f>RTD("nest.scriprtd",,"bse_cm|760MFL25","Prev Close")</f>
        <v>1040</v>
      </c>
      <c r="Q482">
        <f>RTD("nest.scriprtd",,"bse_cm|760MFL25","Face Value")</f>
        <v>1000</v>
      </c>
      <c r="R482" t="str">
        <f>RTD("nest.scriprtd",,"bse_cm|760MFL25","Isin code")</f>
        <v>INE414G07HD8</v>
      </c>
      <c r="S482" s="9">
        <f>Table1[[#This Row],[Ask Rate]]*Table1[[#This Row],[Ask Qty]]</f>
        <v>54087.5</v>
      </c>
      <c r="T482">
        <f>VLOOKUP(Table1[[#This Row],[Isin code]],Table2[#All],7,FALSE)</f>
        <v>7.6</v>
      </c>
      <c r="U482" s="17" t="str">
        <f>VLOOKUP(Table1[[#This Row],[Isin code]],Table2[#All],8,FALSE)</f>
        <v>23-Dec-2025</v>
      </c>
      <c r="V482" s="10">
        <f ca="1">Table1[[#This Row],[Maturity]]-TODAY()</f>
        <v>433</v>
      </c>
      <c r="W482" t="str">
        <f>VLOOKUP(Table1[[#This Row],[Isin code]],Table2[#All],10,FALSE)</f>
        <v>Yearly</v>
      </c>
      <c r="X482">
        <f ca="1">_xlfn.DAYS(Table1[[#This Row],[Maturity]],TODAY())-15</f>
        <v>418</v>
      </c>
      <c r="Y4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82">
        <f>IF(Table1[[#This Row],[Ask Rate]]=0,0,Table1[[#This Row],[Face Value]]-Table1[[#This Row],[Ask Rate]])</f>
        <v>-81.75</v>
      </c>
      <c r="AA482">
        <f>IF(Table1[[#This Row],[Freq]]="Yearly",Table1[[#This Row],[Coupon_Rate]]/100,IF(Table1[[#This Row],[Freq]]="Monthly",Table1[[#This Row],[Coupon_Rate]]/1200,IF(Table1[[#This Row],[Freq]]="Quarterly",Table1[[#This Row],[Coupon_Rate]]/400,0)))</f>
        <v>7.5999999999999998E-2</v>
      </c>
      <c r="AB482">
        <f ca="1">Table1[[#This Row],[Face Value]]*Table1[[#This Row],[Rate]]*Table1[[#This Row],[Time]]</f>
        <v>152</v>
      </c>
      <c r="AC482">
        <f ca="1">Table1[[#This Row],[SI]]+Table1[[#This Row],[Disc/Prem]]</f>
        <v>70.25</v>
      </c>
      <c r="AD482" s="3">
        <f ca="1">Table1[[#This Row],[Net Gain]]/Table1[[#This Row],[Ask Rate]]</f>
        <v>6.494106771435175E-2</v>
      </c>
      <c r="AE482" s="3">
        <f ca="1">IF(Table1[[#This Row],[Ask Qty]]=0,0,Table1[[#This Row],[Gross Yield]]*365/Table1[[#This Row],[Days Left]])</f>
        <v>5.4742470475146396E-2</v>
      </c>
      <c r="AF482" s="9">
        <f ca="1">+Table1[[#This Row],[Net Gain]]*Table1[[#This Row],[Ask Qty]]</f>
        <v>3512.5</v>
      </c>
      <c r="AG482" t="str">
        <f ca="1">IF(Table1[[#This Row],[YTM]]&gt;0.12,IF(Table1[[#This Row],[Gross Profit]]&gt;10000,"Invest","Review"),"Low YTM")</f>
        <v>Low YTM</v>
      </c>
    </row>
    <row r="483" spans="1:33" x14ac:dyDescent="0.3">
      <c r="A483" t="str">
        <f>RTD("nest.scriprtd",,"bse_cm|945IFSL25","Symbol")</f>
        <v>945IFSL25</v>
      </c>
      <c r="B483" t="str">
        <f>RTD("nest.scriprtd",,"bse_cm|945IFSL25","Trading Symbol")</f>
        <v>945IFSL25</v>
      </c>
      <c r="C483" t="str">
        <f>RTD("nest.scriprtd",,"bse_cm|945IFSL25","Exchange")</f>
        <v>BSE</v>
      </c>
      <c r="D483">
        <f>RTD("nest.scriprtd",,"bse_cm|945IFSL25","Bid Qty")</f>
        <v>10</v>
      </c>
      <c r="E483">
        <f>RTD("nest.scriprtd",,"bse_cm|945IFSL25","Bid Rate")</f>
        <v>975</v>
      </c>
      <c r="F483">
        <f>RTD("nest.scriprtd",,"bse_cm|945IFSL25","Ask Rate")</f>
        <v>1040</v>
      </c>
      <c r="G483">
        <f>RTD("nest.scriprtd",,"bse_cm|945IFSL25","Ask Qty")</f>
        <v>25</v>
      </c>
      <c r="H483">
        <f>RTD("nest.scriprtd",,"bse_cm|945IFSL25","LTP")</f>
        <v>0</v>
      </c>
      <c r="I483" t="str">
        <f>RTD("nest.scriprtd",,"bse_cm|945IFSL25","LTT")</f>
        <v>00:00:00</v>
      </c>
      <c r="J483">
        <f>RTD("nest.scriprtd",,"bse_cm|945IFSL25","% Change")</f>
        <v>-100</v>
      </c>
      <c r="K483">
        <f>RTD("nest.scriprtd",,"bse_cm|945IFSL25","ATP")</f>
        <v>0</v>
      </c>
      <c r="L483">
        <f>RTD("nest.scriprtd",,"bse_cm|945IFSL25","Volume Traded Today")</f>
        <v>0</v>
      </c>
      <c r="M483">
        <f>RTD("nest.scriprtd",,"bse_cm|945IFSL25","Open")</f>
        <v>0</v>
      </c>
      <c r="N483">
        <f>RTD("nest.scriprtd",,"bse_cm|945IFSL25","High")</f>
        <v>993</v>
      </c>
      <c r="O483">
        <f>RTD("nest.scriprtd",,"bse_cm|945IFSL25","Low ")</f>
        <v>993</v>
      </c>
      <c r="P483">
        <f>RTD("nest.scriprtd",,"bse_cm|945IFSL25","Prev Close")</f>
        <v>993</v>
      </c>
      <c r="Q483">
        <f>RTD("nest.scriprtd",,"bse_cm|945IFSL25","Face Value")</f>
        <v>1000</v>
      </c>
      <c r="R483" t="str">
        <f>RTD("nest.scriprtd",,"bse_cm|945IFSL25","Isin code")</f>
        <v>INE321N07301</v>
      </c>
      <c r="S483" s="9">
        <f>Table1[[#This Row],[Ask Rate]]*Table1[[#This Row],[Ask Qty]]</f>
        <v>26000</v>
      </c>
      <c r="T483">
        <f>VLOOKUP(Table1[[#This Row],[Isin code]],Table2[#All],7,FALSE)</f>
        <v>9.4499999999999993</v>
      </c>
      <c r="U483" s="17" t="str">
        <f>VLOOKUP(Table1[[#This Row],[Isin code]],Table2[#All],8,FALSE)</f>
        <v>02-May-2025</v>
      </c>
      <c r="V483" s="10">
        <f ca="1">Table1[[#This Row],[Maturity]]-TODAY()</f>
        <v>198</v>
      </c>
      <c r="W483" t="str">
        <f>VLOOKUP(Table1[[#This Row],[Isin code]],Table2[#All],10,FALSE)</f>
        <v>Quarterly</v>
      </c>
      <c r="X483">
        <f ca="1">_xlfn.DAYS(Table1[[#This Row],[Maturity]],TODAY())-15</f>
        <v>183</v>
      </c>
      <c r="Y4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83">
        <f>IF(Table1[[#This Row],[Ask Rate]]=0,0,Table1[[#This Row],[Face Value]]-Table1[[#This Row],[Ask Rate]])</f>
        <v>-40</v>
      </c>
      <c r="AA483">
        <f>IF(Table1[[#This Row],[Freq]]="Yearly",Table1[[#This Row],[Coupon_Rate]]/100,IF(Table1[[#This Row],[Freq]]="Monthly",Table1[[#This Row],[Coupon_Rate]]/1200,IF(Table1[[#This Row],[Freq]]="Quarterly",Table1[[#This Row],[Coupon_Rate]]/400,0)))</f>
        <v>2.3624999999999997E-2</v>
      </c>
      <c r="AB483">
        <f ca="1">Table1[[#This Row],[Face Value]]*Table1[[#This Row],[Rate]]*Table1[[#This Row],[Time]]</f>
        <v>70.874999999999986</v>
      </c>
      <c r="AC483">
        <f ca="1">Table1[[#This Row],[SI]]+Table1[[#This Row],[Disc/Prem]]</f>
        <v>30.874999999999986</v>
      </c>
      <c r="AD483" s="3">
        <f ca="1">Table1[[#This Row],[Net Gain]]/Table1[[#This Row],[Ask Rate]]</f>
        <v>2.9687499999999985E-2</v>
      </c>
      <c r="AE483" s="3">
        <f ca="1">IF(Table1[[#This Row],[Ask Qty]]=0,0,Table1[[#This Row],[Gross Yield]]*365/Table1[[#This Row],[Days Left]])</f>
        <v>5.4726957070707044E-2</v>
      </c>
      <c r="AF483" s="9">
        <f ca="1">+Table1[[#This Row],[Net Gain]]*Table1[[#This Row],[Ask Qty]]</f>
        <v>771.87499999999966</v>
      </c>
      <c r="AG483" t="str">
        <f ca="1">IF(Table1[[#This Row],[YTM]]&gt;0.12,IF(Table1[[#This Row],[Gross Profit]]&gt;10000,"Invest","Review"),"Low YTM")</f>
        <v>Low YTM</v>
      </c>
    </row>
    <row r="484" spans="1:33" x14ac:dyDescent="0.3">
      <c r="A484" t="str">
        <f>RTD("nest.scriprtd",,"bse_cm|889SCFL27","Symbol")</f>
        <v>889SCFL27</v>
      </c>
      <c r="B484" t="str">
        <f>RTD("nest.scriprtd",,"bse_cm|889SCFL27","Trading Symbol")</f>
        <v>889SCFL27</v>
      </c>
      <c r="C484" t="str">
        <f>RTD("nest.scriprtd",,"bse_cm|889SCFL27","Exchange")</f>
        <v>BSE</v>
      </c>
      <c r="D484">
        <f>RTD("nest.scriprtd",,"bse_cm|889SCFL27","Bid Qty")</f>
        <v>5</v>
      </c>
      <c r="E484">
        <f>RTD("nest.scriprtd",,"bse_cm|889SCFL27","Bid Rate")</f>
        <v>901.2</v>
      </c>
      <c r="F484">
        <f>RTD("nest.scriprtd",,"bse_cm|889SCFL27","Ask Rate")</f>
        <v>1070</v>
      </c>
      <c r="G484">
        <f>RTD("nest.scriprtd",,"bse_cm|889SCFL27","Ask Qty")</f>
        <v>145</v>
      </c>
      <c r="H484">
        <f>RTD("nest.scriprtd",,"bse_cm|889SCFL27","LTP")</f>
        <v>0</v>
      </c>
      <c r="I484" t="str">
        <f>RTD("nest.scriprtd",,"bse_cm|889SCFL27","LTT")</f>
        <v>00:00:00</v>
      </c>
      <c r="J484">
        <f>RTD("nest.scriprtd",,"bse_cm|889SCFL27","% Change")</f>
        <v>-100</v>
      </c>
      <c r="K484">
        <f>RTD("nest.scriprtd",,"bse_cm|889SCFL27","ATP")</f>
        <v>0</v>
      </c>
      <c r="L484">
        <f>RTD("nest.scriprtd",,"bse_cm|889SCFL27","Volume Traded Today")</f>
        <v>0</v>
      </c>
      <c r="M484">
        <f>RTD("nest.scriprtd",,"bse_cm|889SCFL27","Open")</f>
        <v>0</v>
      </c>
      <c r="N484">
        <f>RTD("nest.scriprtd",,"bse_cm|889SCFL27","High")</f>
        <v>940.35</v>
      </c>
      <c r="O484">
        <f>RTD("nest.scriprtd",,"bse_cm|889SCFL27","Low ")</f>
        <v>940.35</v>
      </c>
      <c r="P484">
        <f>RTD("nest.scriprtd",,"bse_cm|889SCFL27","Prev Close")</f>
        <v>940.35</v>
      </c>
      <c r="Q484">
        <f>RTD("nest.scriprtd",,"bse_cm|889SCFL27","Face Value")</f>
        <v>1000</v>
      </c>
      <c r="R484" t="str">
        <f>RTD("nest.scriprtd",,"bse_cm|889SCFL27","Isin code")</f>
        <v>INE148I07LE8</v>
      </c>
      <c r="S484" s="9">
        <f>Table1[[#This Row],[Ask Rate]]*Table1[[#This Row],[Ask Qty]]</f>
        <v>155150</v>
      </c>
      <c r="T484">
        <f>VLOOKUP(Table1[[#This Row],[Isin code]],Table2[#All],7,FALSE)</f>
        <v>8.89</v>
      </c>
      <c r="U484" s="17" t="str">
        <f>VLOOKUP(Table1[[#This Row],[Isin code]],Table2[#All],8,FALSE)</f>
        <v>06-Jan-2027</v>
      </c>
      <c r="V484" s="10">
        <f ca="1">Table1[[#This Row],[Maturity]]-TODAY()</f>
        <v>812</v>
      </c>
      <c r="W484" t="str">
        <f>VLOOKUP(Table1[[#This Row],[Isin code]],Table2[#All],10,FALSE)</f>
        <v>Monthly</v>
      </c>
      <c r="X484">
        <f ca="1">_xlfn.DAYS(Table1[[#This Row],[Maturity]],TODAY())-15</f>
        <v>797</v>
      </c>
      <c r="Y4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484">
        <f>IF(Table1[[#This Row],[Ask Rate]]=0,0,Table1[[#This Row],[Face Value]]-Table1[[#This Row],[Ask Rate]])</f>
        <v>-70</v>
      </c>
      <c r="AA484">
        <f>IF(Table1[[#This Row],[Freq]]="Yearly",Table1[[#This Row],[Coupon_Rate]]/100,IF(Table1[[#This Row],[Freq]]="Monthly",Table1[[#This Row],[Coupon_Rate]]/1200,IF(Table1[[#This Row],[Freq]]="Quarterly",Table1[[#This Row],[Coupon_Rate]]/400,0)))</f>
        <v>7.4083333333333336E-3</v>
      </c>
      <c r="AB484">
        <f ca="1">Table1[[#This Row],[Face Value]]*Table1[[#This Row],[Rate]]*Table1[[#This Row],[Time]]</f>
        <v>200.02500000000001</v>
      </c>
      <c r="AC484">
        <f ca="1">Table1[[#This Row],[SI]]+Table1[[#This Row],[Disc/Prem]]</f>
        <v>130.02500000000001</v>
      </c>
      <c r="AD484" s="3">
        <f ca="1">Table1[[#This Row],[Net Gain]]/Table1[[#This Row],[Ask Rate]]</f>
        <v>0.12151869158878505</v>
      </c>
      <c r="AE484" s="3">
        <f ca="1">IF(Table1[[#This Row],[Ask Qty]]=0,0,Table1[[#This Row],[Gross Yield]]*365/Table1[[#This Row],[Days Left]])</f>
        <v>5.4623549790525291E-2</v>
      </c>
      <c r="AF484" s="9">
        <f ca="1">+Table1[[#This Row],[Net Gain]]*Table1[[#This Row],[Ask Qty]]</f>
        <v>18853.625</v>
      </c>
      <c r="AG484" t="str">
        <f ca="1">IF(Table1[[#This Row],[YTM]]&gt;0.12,IF(Table1[[#This Row],[Gross Profit]]&gt;10000,"Invest","Review"),"Low YTM")</f>
        <v>Low YTM</v>
      </c>
    </row>
    <row r="485" spans="1:33" x14ac:dyDescent="0.3">
      <c r="A485" t="str">
        <f>RTD("nest.scriprtd",,"nse_cm|750IRFC35-NK","Symbol")</f>
        <v>750IRFC35</v>
      </c>
      <c r="B485" t="str">
        <f>RTD("nest.scriprtd",,"nse_cm|750IRFC35-NK","Trading Symbol")</f>
        <v>750IRFC35-NK</v>
      </c>
      <c r="C485" t="str">
        <f>RTD("nest.scriprtd",,"nse_cm|750IRFC35-NK","Exchange")</f>
        <v>NSE</v>
      </c>
      <c r="D485">
        <f>RTD("nest.scriprtd",,"nse_cm|750IRFC35-NK","Bid Qty")</f>
        <v>100</v>
      </c>
      <c r="E485">
        <f>RTD("nest.scriprtd",,"nse_cm|750IRFC35-NK","Bid Rate")</f>
        <v>1151</v>
      </c>
      <c r="F485">
        <f>RTD("nest.scriprtd",,"nse_cm|750IRFC35-NK","Ask Rate")</f>
        <v>1179.99</v>
      </c>
      <c r="G485">
        <f>RTD("nest.scriprtd",,"nse_cm|750IRFC35-NK","Ask Qty")</f>
        <v>50</v>
      </c>
      <c r="H485">
        <f>RTD("nest.scriprtd",,"nse_cm|750IRFC35-NK","LTP")</f>
        <v>1170</v>
      </c>
      <c r="I485" t="str">
        <f>RTD("nest.scriprtd",,"nse_cm|750IRFC35-NK","LTT")</f>
        <v>15:08:26</v>
      </c>
      <c r="J485">
        <f>RTD("nest.scriprtd",,"nse_cm|750IRFC35-NK","% Change")</f>
        <v>-0.84</v>
      </c>
      <c r="K485">
        <f>RTD("nest.scriprtd",,"nse_cm|750IRFC35-NK","ATP")</f>
        <v>1170</v>
      </c>
      <c r="L485">
        <f>RTD("nest.scriprtd",,"nse_cm|750IRFC35-NK","Volume Traded Today")</f>
        <v>50</v>
      </c>
      <c r="M485">
        <f>RTD("nest.scriprtd",,"nse_cm|750IRFC35-NK","Open")</f>
        <v>1170</v>
      </c>
      <c r="N485">
        <f>RTD("nest.scriprtd",,"nse_cm|750IRFC35-NK","High")</f>
        <v>1170</v>
      </c>
      <c r="O485">
        <f>RTD("nest.scriprtd",,"nse_cm|750IRFC35-NK","Low ")</f>
        <v>1170</v>
      </c>
      <c r="P485">
        <f>RTD("nest.scriprtd",,"nse_cm|750IRFC35-NK","Prev Close")</f>
        <v>1179.92</v>
      </c>
      <c r="Q485">
        <f>RTD("nest.scriprtd",,"nse_cm|750IRFC35-NK","Face Value")</f>
        <v>1000</v>
      </c>
      <c r="R485" t="str">
        <f>RTD("nest.scriprtd",,"nse_cm|750IRFC35-NK","Isin code")</f>
        <v>INE053F07843</v>
      </c>
      <c r="S485" s="9">
        <f>Table1[[#This Row],[Ask Rate]]*Table1[[#This Row],[Ask Qty]]</f>
        <v>58999.5</v>
      </c>
      <c r="T485">
        <f>VLOOKUP(Table1[[#This Row],[Isin code]],Table2[#All],7,FALSE)</f>
        <v>7.5</v>
      </c>
      <c r="U485" s="17" t="str">
        <f>VLOOKUP(Table1[[#This Row],[Isin code]],Table2[#All],8,FALSE)</f>
        <v>21-Dec-2035</v>
      </c>
      <c r="V485" s="10">
        <f ca="1">Table1[[#This Row],[Maturity]]-TODAY()</f>
        <v>4083</v>
      </c>
      <c r="W485" t="str">
        <f>VLOOKUP(Table1[[#This Row],[Isin code]],Table2[#All],10,FALSE)</f>
        <v>Yearly</v>
      </c>
      <c r="X485">
        <f ca="1">_xlfn.DAYS(Table1[[#This Row],[Maturity]],TODAY())-15</f>
        <v>4068</v>
      </c>
      <c r="Y4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485">
        <f>IF(Table1[[#This Row],[Ask Rate]]=0,0,Table1[[#This Row],[Face Value]]-Table1[[#This Row],[Ask Rate]])</f>
        <v>-179.99</v>
      </c>
      <c r="AA485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7.4999999999999997E-2</v>
      </c>
      <c r="AB485">
        <f ca="1">Table1[[#This Row],[Face Value]]*Table1[[#This Row],[Rate]]*Table1[[#This Row],[Time]]</f>
        <v>900</v>
      </c>
      <c r="AC485">
        <f ca="1">Table1[[#This Row],[SI]]+Table1[[#This Row],[Disc/Prem]]</f>
        <v>720.01</v>
      </c>
      <c r="AD485" s="3">
        <f ca="1">Table1[[#This Row],[Net Gain]]/Table1[[#This Row],[Ask Rate]]</f>
        <v>0.61018313714522998</v>
      </c>
      <c r="AE485" s="3">
        <f ca="1">IF(Table1[[#This Row],[Ask Qty]]=0,0,Table1[[#This Row],[Gross Yield]]*365/Table1[[#This Row],[Days Left]])</f>
        <v>5.4547353675730818E-2</v>
      </c>
      <c r="AF485" s="9">
        <f ca="1">+Table1[[#This Row],[Net Gain]]*Table1[[#This Row],[Ask Qty]]</f>
        <v>36000.5</v>
      </c>
      <c r="AG485" t="str">
        <f ca="1">IF(Table1[[#This Row],[YTM]]&gt;0.12,IF(Table1[[#This Row],[Gross Profit]]&gt;10000,"Invest","Review"),"Low YTM")</f>
        <v>Low YTM</v>
      </c>
    </row>
    <row r="486" spans="1:33" hidden="1" x14ac:dyDescent="0.3">
      <c r="A486" t="str">
        <f>RTD("nest.scriprtd",,"nse_cm|955ICCL25A-NH","Symbol")</f>
        <v>955ICCL25A</v>
      </c>
      <c r="B486" t="str">
        <f>RTD("nest.scriprtd",,"nse_cm|955ICCL25A-NH","Trading Symbol")</f>
        <v>955ICCL25A-NH</v>
      </c>
      <c r="C486" t="str">
        <f>RTD("nest.scriprtd",,"nse_cm|955ICCL25A-NH","Exchange")</f>
        <v>NSE</v>
      </c>
      <c r="D486">
        <f>RTD("nest.scriprtd",,"nse_cm|955ICCL25A-NH","Bid Qty")</f>
        <v>1</v>
      </c>
      <c r="E486">
        <f>RTD("nest.scriprtd",,"nse_cm|955ICCL25A-NH","Bid Rate")</f>
        <v>979</v>
      </c>
      <c r="F486">
        <f>RTD("nest.scriprtd",,"nse_cm|955ICCL25A-NH","Ask Rate")</f>
        <v>1015</v>
      </c>
      <c r="G486">
        <f>RTD("nest.scriprtd",,"nse_cm|955ICCL25A-NH","Ask Qty")</f>
        <v>10</v>
      </c>
      <c r="H486">
        <f>RTD("nest.scriprtd",,"nse_cm|955ICCL25A-NH","LTP")</f>
        <v>991</v>
      </c>
      <c r="I486" t="str">
        <f>RTD("nest.scriprtd",,"nse_cm|955ICCL25A-NH","LTT")</f>
        <v/>
      </c>
      <c r="J486">
        <f>RTD("nest.scriprtd",,"nse_cm|955ICCL25A-NH","% Change")</f>
        <v>0</v>
      </c>
      <c r="K486">
        <f>RTD("nest.scriprtd",,"nse_cm|955ICCL25A-NH","ATP")</f>
        <v>0</v>
      </c>
      <c r="L486">
        <f>RTD("nest.scriprtd",,"nse_cm|955ICCL25A-NH","Volume Traded Today")</f>
        <v>0</v>
      </c>
      <c r="M486">
        <f>RTD("nest.scriprtd",,"nse_cm|955ICCL25A-NH","Open")</f>
        <v>0</v>
      </c>
      <c r="N486">
        <f>RTD("nest.scriprtd",,"nse_cm|955ICCL25A-NH","High")</f>
        <v>991.04</v>
      </c>
      <c r="O486">
        <f>RTD("nest.scriprtd",,"nse_cm|955ICCL25A-NH","Low ")</f>
        <v>991</v>
      </c>
      <c r="P486">
        <f>RTD("nest.scriprtd",,"nse_cm|955ICCL25A-NH","Prev Close")</f>
        <v>991</v>
      </c>
      <c r="Q486">
        <f>RTD("nest.scriprtd",,"nse_cm|955ICCL25A-NH","Face Value")</f>
        <v>1000</v>
      </c>
      <c r="R486" t="str">
        <f>RTD("nest.scriprtd",,"nse_cm|955ICCL25A-NH","Isin code")</f>
        <v>INE244L07366</v>
      </c>
      <c r="S486" s="9">
        <f>Table1[[#This Row],[Ask Rate]]*Table1[[#This Row],[Ask Qty]]</f>
        <v>10150</v>
      </c>
      <c r="T486">
        <f>VLOOKUP(Table1[[#This Row],[Isin code]],Table2[#All],7,FALSE)</f>
        <v>9.4</v>
      </c>
      <c r="U486" s="17" t="str">
        <f>VLOOKUP(Table1[[#This Row],[Isin code]],Table2[#All],8,FALSE)</f>
        <v>02-Feb-2025</v>
      </c>
      <c r="V486" s="10">
        <f ca="1">Table1[[#This Row],[Maturity]]-TODAY()</f>
        <v>109</v>
      </c>
      <c r="W486" t="str">
        <f>VLOOKUP(Table1[[#This Row],[Isin code]],Table2[#All],10,FALSE)</f>
        <v>Monthly</v>
      </c>
      <c r="X486">
        <f ca="1">_xlfn.DAYS(Table1[[#This Row],[Maturity]],TODAY())-15</f>
        <v>94</v>
      </c>
      <c r="Y4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86">
        <f>IF(Table1[[#This Row],[Ask Rate]]=0,0,Table1[[#This Row],[Face Value]]-Table1[[#This Row],[Ask Rate]])</f>
        <v>-15</v>
      </c>
      <c r="AA486">
        <f>IF(Table1[[#This Row],[Freq]]="Yearly",Table1[[#This Row],[Coupon_Rate]]/100,IF(Table1[[#This Row],[Freq]]="Monthly",Table1[[#This Row],[Coupon_Rate]]/1200,IF(Table1[[#This Row],[Freq]]="Quarterly",Table1[[#This Row],[Coupon_Rate]]/400,0)))</f>
        <v>7.8333333333333328E-3</v>
      </c>
      <c r="AB486">
        <f ca="1">Table1[[#This Row],[Face Value]]*Table1[[#This Row],[Rate]]*Table1[[#This Row],[Time]]</f>
        <v>31.333333333333332</v>
      </c>
      <c r="AC486">
        <f ca="1">Table1[[#This Row],[SI]]+Table1[[#This Row],[Disc/Prem]]</f>
        <v>16.333333333333332</v>
      </c>
      <c r="AD486" s="3">
        <f ca="1">Table1[[#This Row],[Net Gain]]/Table1[[#This Row],[Ask Rate]]</f>
        <v>1.6091954022988506E-2</v>
      </c>
      <c r="AE486" s="3">
        <f ca="1">IF(Table1[[#This Row],[Ask Qty]]=0,0,Table1[[#This Row],[Gross Yield]]*365/Table1[[#This Row],[Days Left]])</f>
        <v>5.3885901086154174E-2</v>
      </c>
      <c r="AF486" s="9">
        <f ca="1">+Table1[[#This Row],[Net Gain]]*Table1[[#This Row],[Ask Qty]]</f>
        <v>163.33333333333331</v>
      </c>
      <c r="AG486" t="str">
        <f ca="1">IF(Table1[[#This Row],[YTM]]&gt;0.12,IF(Table1[[#This Row],[Gross Profit]]&gt;10000,"Invest","Review"),"Low YTM")</f>
        <v>Low YTM</v>
      </c>
    </row>
    <row r="487" spans="1:33" x14ac:dyDescent="0.3">
      <c r="A487" t="str">
        <f>RTD("nest.scriprtd",,"bse_cm|753IREDA26","Symbol")</f>
        <v>753IREDA26</v>
      </c>
      <c r="B487" t="str">
        <f>RTD("nest.scriprtd",,"bse_cm|753IREDA26","Trading Symbol")</f>
        <v>753IREDA26</v>
      </c>
      <c r="C487" t="str">
        <f>RTD("nest.scriprtd",,"bse_cm|753IREDA26","Exchange")</f>
        <v>BSE</v>
      </c>
      <c r="D487">
        <f>RTD("nest.scriprtd",,"bse_cm|753IREDA26","Bid Qty")</f>
        <v>22</v>
      </c>
      <c r="E487">
        <f>RTD("nest.scriprtd",,"bse_cm|753IREDA26","Bid Rate")</f>
        <v>1066</v>
      </c>
      <c r="F487">
        <f>RTD("nest.scriprtd",,"bse_cm|753IREDA26","Ask Rate")</f>
        <v>1076.99</v>
      </c>
      <c r="G487">
        <f>RTD("nest.scriprtd",,"bse_cm|753IREDA26","Ask Qty")</f>
        <v>33</v>
      </c>
      <c r="H487">
        <f>RTD("nest.scriprtd",,"bse_cm|753IREDA26","LTP")</f>
        <v>0</v>
      </c>
      <c r="I487" t="str">
        <f>RTD("nest.scriprtd",,"bse_cm|753IREDA26","LTT")</f>
        <v>00:00:00</v>
      </c>
      <c r="J487">
        <f>RTD("nest.scriprtd",,"bse_cm|753IREDA26","% Change")</f>
        <v>-100</v>
      </c>
      <c r="K487">
        <f>RTD("nest.scriprtd",,"bse_cm|753IREDA26","ATP")</f>
        <v>0</v>
      </c>
      <c r="L487">
        <f>RTD("nest.scriprtd",,"bse_cm|753IREDA26","Volume Traded Today")</f>
        <v>0</v>
      </c>
      <c r="M487">
        <f>RTD("nest.scriprtd",,"bse_cm|753IREDA26","Open")</f>
        <v>0</v>
      </c>
      <c r="N487">
        <f>RTD("nest.scriprtd",,"bse_cm|753IREDA26","High")</f>
        <v>1065.01</v>
      </c>
      <c r="O487">
        <f>RTD("nest.scriprtd",,"bse_cm|753IREDA26","Low ")</f>
        <v>1065.01</v>
      </c>
      <c r="P487">
        <f>RTD("nest.scriprtd",,"bse_cm|753IREDA26","Prev Close")</f>
        <v>1065.01</v>
      </c>
      <c r="Q487">
        <f>RTD("nest.scriprtd",,"bse_cm|753IREDA26","Face Value")</f>
        <v>1000</v>
      </c>
      <c r="R487" t="str">
        <f>RTD("nest.scriprtd",,"bse_cm|753IREDA26","Isin code")</f>
        <v>INE202E07211</v>
      </c>
      <c r="S487" s="9">
        <f>Table1[[#This Row],[Ask Rate]]*Table1[[#This Row],[Ask Qty]]</f>
        <v>35540.67</v>
      </c>
      <c r="T487">
        <f>VLOOKUP(Table1[[#This Row],[Isin code]],Table2[#All],7,FALSE)</f>
        <v>7.53</v>
      </c>
      <c r="U487" s="17" t="str">
        <f>VLOOKUP(Table1[[#This Row],[Isin code]],Table2[#All],8,FALSE)</f>
        <v>21-Jan-2026</v>
      </c>
      <c r="V487" s="10">
        <f ca="1">Table1[[#This Row],[Maturity]]-TODAY()</f>
        <v>462</v>
      </c>
      <c r="W487" t="str">
        <f>VLOOKUP(Table1[[#This Row],[Isin code]],Table2[#All],10,FALSE)</f>
        <v>Yearly</v>
      </c>
      <c r="X487">
        <f ca="1">_xlfn.DAYS(Table1[[#This Row],[Maturity]],TODAY())-15</f>
        <v>447</v>
      </c>
      <c r="Y4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487">
        <f>IF(Table1[[#This Row],[Ask Rate]]=0,0,Table1[[#This Row],[Face Value]]-Table1[[#This Row],[Ask Rate]])</f>
        <v>-76.990000000000009</v>
      </c>
      <c r="AA487">
        <f>IF(Table1[[#This Row],[Freq]]="Yearly",Table1[[#This Row],[Coupon_Rate]]/100,IF(Table1[[#This Row],[Freq]]="Monthly",Table1[[#This Row],[Coupon_Rate]]/1200,IF(Table1[[#This Row],[Freq]]="Quarterly",Table1[[#This Row],[Coupon_Rate]]/400,0)))</f>
        <v>7.5300000000000006E-2</v>
      </c>
      <c r="AB487">
        <f ca="1">Table1[[#This Row],[Face Value]]*Table1[[#This Row],[Rate]]*Table1[[#This Row],[Time]]</f>
        <v>150.60000000000002</v>
      </c>
      <c r="AC487">
        <f ca="1">Table1[[#This Row],[SI]]+Table1[[#This Row],[Disc/Prem]]</f>
        <v>73.610000000000014</v>
      </c>
      <c r="AD487" s="3">
        <f ca="1">Table1[[#This Row],[Net Gain]]/Table1[[#This Row],[Ask Rate]]</f>
        <v>6.8347895523635335E-2</v>
      </c>
      <c r="AE487" s="3">
        <f ca="1">IF(Table1[[#This Row],[Ask Qty]]=0,0,Table1[[#This Row],[Gross Yield]]*365/Table1[[#This Row],[Days Left]])</f>
        <v>5.399779624702792E-2</v>
      </c>
      <c r="AF487" s="9">
        <f ca="1">+Table1[[#This Row],[Net Gain]]*Table1[[#This Row],[Ask Qty]]</f>
        <v>2429.1300000000006</v>
      </c>
      <c r="AG487" t="str">
        <f ca="1">IF(Table1[[#This Row],[YTM]]&gt;0.12,IF(Table1[[#This Row],[Gross Profit]]&gt;10000,"Invest","Review"),"Low YTM")</f>
        <v>Low YTM</v>
      </c>
    </row>
    <row r="488" spans="1:33" x14ac:dyDescent="0.3">
      <c r="A488" t="str">
        <f>RTD("nest.scriprtd",,"bse_cm|750IRFC35","Symbol")</f>
        <v>750IRFC35</v>
      </c>
      <c r="B488" t="str">
        <f>RTD("nest.scriprtd",,"bse_cm|750IRFC35","Trading Symbol")</f>
        <v>750IRFC35</v>
      </c>
      <c r="C488" t="str">
        <f>RTD("nest.scriprtd",,"bse_cm|750IRFC35","Exchange")</f>
        <v>BSE</v>
      </c>
      <c r="D488">
        <f>RTD("nest.scriprtd",,"bse_cm|750IRFC35","Bid Qty")</f>
        <v>50</v>
      </c>
      <c r="E488">
        <f>RTD("nest.scriprtd",,"bse_cm|750IRFC35","Bid Rate")</f>
        <v>1133.75</v>
      </c>
      <c r="F488">
        <f>RTD("nest.scriprtd",,"bse_cm|750IRFC35","Ask Rate")</f>
        <v>1184.99</v>
      </c>
      <c r="G488">
        <f>RTD("nest.scriprtd",,"bse_cm|750IRFC35","Ask Qty")</f>
        <v>50</v>
      </c>
      <c r="H488">
        <f>RTD("nest.scriprtd",,"bse_cm|750IRFC35","LTP")</f>
        <v>0</v>
      </c>
      <c r="I488" t="str">
        <f>RTD("nest.scriprtd",,"bse_cm|750IRFC35","LTT")</f>
        <v>00:00:00</v>
      </c>
      <c r="J488">
        <f>RTD("nest.scriprtd",,"bse_cm|750IRFC35","% Change")</f>
        <v>-100</v>
      </c>
      <c r="K488">
        <f>RTD("nest.scriprtd",,"bse_cm|750IRFC35","ATP")</f>
        <v>0</v>
      </c>
      <c r="L488">
        <f>RTD("nest.scriprtd",,"bse_cm|750IRFC35","Volume Traded Today")</f>
        <v>0</v>
      </c>
      <c r="M488">
        <f>RTD("nest.scriprtd",,"bse_cm|750IRFC35","Open")</f>
        <v>0</v>
      </c>
      <c r="N488">
        <f>RTD("nest.scriprtd",,"bse_cm|750IRFC35","High")</f>
        <v>1229.99</v>
      </c>
      <c r="O488">
        <f>RTD("nest.scriprtd",,"bse_cm|750IRFC35","Low ")</f>
        <v>1180</v>
      </c>
      <c r="P488">
        <f>RTD("nest.scriprtd",,"bse_cm|750IRFC35","Prev Close")</f>
        <v>1180</v>
      </c>
      <c r="Q488">
        <f>RTD("nest.scriprtd",,"bse_cm|750IRFC35","Face Value")</f>
        <v>1000</v>
      </c>
      <c r="R488" t="str">
        <f>RTD("nest.scriprtd",,"bse_cm|750IRFC35","Isin code")</f>
        <v>INE053F07843</v>
      </c>
      <c r="S488" s="9">
        <f>Table1[[#This Row],[Ask Rate]]*Table1[[#This Row],[Ask Qty]]</f>
        <v>59249.5</v>
      </c>
      <c r="T488">
        <f>VLOOKUP(Table1[[#This Row],[Isin code]],Table2[#All],7,FALSE)</f>
        <v>7.5</v>
      </c>
      <c r="U488" s="17" t="str">
        <f>VLOOKUP(Table1[[#This Row],[Isin code]],Table2[#All],8,FALSE)</f>
        <v>21-Dec-2035</v>
      </c>
      <c r="V488" s="10">
        <f ca="1">Table1[[#This Row],[Maturity]]-TODAY()</f>
        <v>4083</v>
      </c>
      <c r="W488" t="str">
        <f>VLOOKUP(Table1[[#This Row],[Isin code]],Table2[#All],10,FALSE)</f>
        <v>Yearly</v>
      </c>
      <c r="X488">
        <f ca="1">_xlfn.DAYS(Table1[[#This Row],[Maturity]],TODAY())-15</f>
        <v>4068</v>
      </c>
      <c r="Y4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488">
        <f>IF(Table1[[#This Row],[Ask Rate]]=0,0,Table1[[#This Row],[Face Value]]-Table1[[#This Row],[Ask Rate]])</f>
        <v>-184.99</v>
      </c>
      <c r="AA488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7.4999999999999997E-2</v>
      </c>
      <c r="AB488">
        <f ca="1">Table1[[#This Row],[Face Value]]*Table1[[#This Row],[Rate]]*Table1[[#This Row],[Time]]</f>
        <v>900</v>
      </c>
      <c r="AC488">
        <f ca="1">Table1[[#This Row],[SI]]+Table1[[#This Row],[Disc/Prem]]</f>
        <v>715.01</v>
      </c>
      <c r="AD488" s="3">
        <f ca="1">Table1[[#This Row],[Net Gain]]/Table1[[#This Row],[Ask Rate]]</f>
        <v>0.60338905813551169</v>
      </c>
      <c r="AE488" s="3">
        <f ca="1">IF(Table1[[#This Row],[Ask Qty]]=0,0,Table1[[#This Row],[Gross Yield]]*365/Table1[[#This Row],[Days Left]])</f>
        <v>5.3939996624898789E-2</v>
      </c>
      <c r="AF488" s="9">
        <f ca="1">+Table1[[#This Row],[Net Gain]]*Table1[[#This Row],[Ask Qty]]</f>
        <v>35750.5</v>
      </c>
      <c r="AG488" t="str">
        <f ca="1">IF(Table1[[#This Row],[YTM]]&gt;0.12,IF(Table1[[#This Row],[Gross Profit]]&gt;10000,"Invest","Review"),"Low YTM")</f>
        <v>Low YTM</v>
      </c>
    </row>
    <row r="489" spans="1:33" hidden="1" x14ac:dyDescent="0.3">
      <c r="A489" t="str">
        <f>RTD("nest.scriprtd",,"bse_cm|83TCHF25","Symbol")</f>
        <v>83TCHF25</v>
      </c>
      <c r="B489" t="str">
        <f>RTD("nest.scriprtd",,"bse_cm|83TCHF25","Trading Symbol")</f>
        <v>83TCHF25</v>
      </c>
      <c r="C489" t="str">
        <f>RTD("nest.scriprtd",,"bse_cm|83TCHF25","Exchange")</f>
        <v>BSE</v>
      </c>
      <c r="D489">
        <f>RTD("nest.scriprtd",,"bse_cm|83TCHF25","Bid Qty")</f>
        <v>40</v>
      </c>
      <c r="E489">
        <f>RTD("nest.scriprtd",,"bse_cm|83TCHF25","Bid Rate")</f>
        <v>1055</v>
      </c>
      <c r="F489">
        <f>RTD("nest.scriprtd",,"bse_cm|83TCHF25","Ask Rate")</f>
        <v>1069</v>
      </c>
      <c r="G489">
        <f>RTD("nest.scriprtd",,"bse_cm|83TCHF25","Ask Qty")</f>
        <v>10</v>
      </c>
      <c r="H489">
        <f>RTD("nest.scriprtd",,"bse_cm|83TCHF25","LTP")</f>
        <v>0</v>
      </c>
      <c r="I489" t="str">
        <f>RTD("nest.scriprtd",,"bse_cm|83TCHF25","LTT")</f>
        <v>00:00:00</v>
      </c>
      <c r="J489">
        <f>RTD("nest.scriprtd",,"bse_cm|83TCHF25","% Change")</f>
        <v>-100</v>
      </c>
      <c r="K489">
        <f>RTD("nest.scriprtd",,"bse_cm|83TCHF25","ATP")</f>
        <v>0</v>
      </c>
      <c r="L489">
        <f>RTD("nest.scriprtd",,"bse_cm|83TCHF25","Volume Traded Today")</f>
        <v>0</v>
      </c>
      <c r="M489">
        <f>RTD("nest.scriprtd",,"bse_cm|83TCHF25","Open")</f>
        <v>0</v>
      </c>
      <c r="N489">
        <f>RTD("nest.scriprtd",,"bse_cm|83TCHF25","High")</f>
        <v>1059.99</v>
      </c>
      <c r="O489">
        <f>RTD("nest.scriprtd",,"bse_cm|83TCHF25","Low ")</f>
        <v>1059</v>
      </c>
      <c r="P489">
        <f>RTD("nest.scriprtd",,"bse_cm|83TCHF25","Prev Close")</f>
        <v>1059</v>
      </c>
      <c r="Q489">
        <f>RTD("nest.scriprtd",,"bse_cm|83TCHF25","Face Value")</f>
        <v>1000</v>
      </c>
      <c r="R489" t="str">
        <f>RTD("nest.scriprtd",,"bse_cm|83TCHF25","Isin code")</f>
        <v>INE033L07GQ0</v>
      </c>
      <c r="S489" s="9">
        <f>Table1[[#This Row],[Ask Rate]]*Table1[[#This Row],[Ask Qty]]</f>
        <v>10690</v>
      </c>
      <c r="T489">
        <f>VLOOKUP(Table1[[#This Row],[Isin code]],Table2[#All],7,FALSE)</f>
        <v>8.3000000000000007</v>
      </c>
      <c r="U489" s="17" t="str">
        <f>VLOOKUP(Table1[[#This Row],[Isin code]],Table2[#All],8,FALSE)</f>
        <v>14-Jan-2025</v>
      </c>
      <c r="V489" s="10">
        <f ca="1">Table1[[#This Row],[Maturity]]-TODAY()</f>
        <v>90</v>
      </c>
      <c r="W489" t="str">
        <f>VLOOKUP(Table1[[#This Row],[Isin code]],Table2[#All],10,FALSE)</f>
        <v>Yearly</v>
      </c>
      <c r="X489">
        <f ca="1">_xlfn.DAYS(Table1[[#This Row],[Maturity]],TODAY())-15</f>
        <v>75</v>
      </c>
      <c r="Y4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89">
        <f>IF(Table1[[#This Row],[Ask Rate]]=0,0,Table1[[#This Row],[Face Value]]-Table1[[#This Row],[Ask Rate]])</f>
        <v>-69</v>
      </c>
      <c r="AA489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489">
        <f ca="1">Table1[[#This Row],[Face Value]]*Table1[[#This Row],[Rate]]*Table1[[#This Row],[Time]]</f>
        <v>83</v>
      </c>
      <c r="AC489">
        <f ca="1">Table1[[#This Row],[SI]]+Table1[[#This Row],[Disc/Prem]]</f>
        <v>14</v>
      </c>
      <c r="AD489" s="3">
        <f ca="1">Table1[[#This Row],[Net Gain]]/Table1[[#This Row],[Ask Rate]]</f>
        <v>1.3096351730589336E-2</v>
      </c>
      <c r="AE489" s="3">
        <f ca="1">IF(Table1[[#This Row],[Ask Qty]]=0,0,Table1[[#This Row],[Gross Yield]]*365/Table1[[#This Row],[Days Left]])</f>
        <v>5.3112982018501204E-2</v>
      </c>
      <c r="AF489" s="9">
        <f ca="1">+Table1[[#This Row],[Net Gain]]*Table1[[#This Row],[Ask Qty]]</f>
        <v>140</v>
      </c>
      <c r="AG489" t="str">
        <f ca="1">IF(Table1[[#This Row],[YTM]]&gt;0.12,IF(Table1[[#This Row],[Gross Profit]]&gt;10000,"Invest","Review"),"Low YTM")</f>
        <v>Low YTM</v>
      </c>
    </row>
    <row r="490" spans="1:33" x14ac:dyDescent="0.3">
      <c r="A490" t="str">
        <f>RTD("nest.scriprtd",,"bse_cm|948JFPL25","Symbol")</f>
        <v>948JFPL25</v>
      </c>
      <c r="B490" t="str">
        <f>RTD("nest.scriprtd",,"bse_cm|948JFPL25","Trading Symbol")</f>
        <v>948JFPL25</v>
      </c>
      <c r="C490" t="str">
        <f>RTD("nest.scriprtd",,"bse_cm|948JFPL25","Exchange")</f>
        <v>BSE</v>
      </c>
      <c r="D490">
        <f>RTD("nest.scriprtd",,"bse_cm|948JFPL25","Bid Qty")</f>
        <v>27</v>
      </c>
      <c r="E490">
        <f>RTD("nest.scriprtd",,"bse_cm|948JFPL25","Bid Rate")</f>
        <v>872.4</v>
      </c>
      <c r="F490">
        <f>RTD("nest.scriprtd",,"bse_cm|948JFPL25","Ask Rate")</f>
        <v>1017</v>
      </c>
      <c r="G490">
        <f>RTD("nest.scriprtd",,"bse_cm|948JFPL25","Ask Qty")</f>
        <v>35</v>
      </c>
      <c r="H490">
        <f>RTD("nest.scriprtd",,"bse_cm|948JFPL25","LTP")</f>
        <v>0</v>
      </c>
      <c r="I490" t="str">
        <f>RTD("nest.scriprtd",,"bse_cm|948JFPL25","LTT")</f>
        <v>00:00:00</v>
      </c>
      <c r="J490">
        <f>RTD("nest.scriprtd",,"bse_cm|948JFPL25","% Change")</f>
        <v>-100</v>
      </c>
      <c r="K490">
        <f>RTD("nest.scriprtd",,"bse_cm|948JFPL25","ATP")</f>
        <v>0</v>
      </c>
      <c r="L490">
        <f>RTD("nest.scriprtd",,"bse_cm|948JFPL25","Volume Traded Today")</f>
        <v>0</v>
      </c>
      <c r="M490">
        <f>RTD("nest.scriprtd",,"bse_cm|948JFPL25","Open")</f>
        <v>0</v>
      </c>
      <c r="N490">
        <f>RTD("nest.scriprtd",,"bse_cm|948JFPL25","High")</f>
        <v>999.9</v>
      </c>
      <c r="O490">
        <f>RTD("nest.scriprtd",,"bse_cm|948JFPL25","Low ")</f>
        <v>999.9</v>
      </c>
      <c r="P490">
        <f>RTD("nest.scriprtd",,"bse_cm|948JFPL25","Prev Close")</f>
        <v>999.9</v>
      </c>
      <c r="Q490">
        <f>RTD("nest.scriprtd",,"bse_cm|948JFPL25","Face Value")</f>
        <v>1000</v>
      </c>
      <c r="R490" t="str">
        <f>RTD("nest.scriprtd",,"bse_cm|948JFPL25","Isin code")</f>
        <v>INE523H07BA3</v>
      </c>
      <c r="S490" s="9">
        <f>Table1[[#This Row],[Ask Rate]]*Table1[[#This Row],[Ask Qty]]</f>
        <v>35595</v>
      </c>
      <c r="T490">
        <f>VLOOKUP(Table1[[#This Row],[Isin code]],Table2[#All],7,FALSE)</f>
        <v>9.48</v>
      </c>
      <c r="U490" s="17" t="str">
        <f>VLOOKUP(Table1[[#This Row],[Isin code]],Table2[#All],8,FALSE)</f>
        <v>16-Mar-2025</v>
      </c>
      <c r="V490" s="10">
        <f ca="1">Table1[[#This Row],[Maturity]]-TODAY()</f>
        <v>151</v>
      </c>
      <c r="W490" t="str">
        <f>VLOOKUP(Table1[[#This Row],[Isin code]],Table2[#All],10,FALSE)</f>
        <v>Monthly</v>
      </c>
      <c r="X490">
        <f ca="1">_xlfn.DAYS(Table1[[#This Row],[Maturity]],TODAY())-15</f>
        <v>136</v>
      </c>
      <c r="Y4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490">
        <f>IF(Table1[[#This Row],[Ask Rate]]=0,0,Table1[[#This Row],[Face Value]]-Table1[[#This Row],[Ask Rate]])</f>
        <v>-17</v>
      </c>
      <c r="AA490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490">
        <f ca="1">Table1[[#This Row],[Face Value]]*Table1[[#This Row],[Rate]]*Table1[[#This Row],[Time]]</f>
        <v>39.5</v>
      </c>
      <c r="AC490">
        <f ca="1">Table1[[#This Row],[SI]]+Table1[[#This Row],[Disc/Prem]]</f>
        <v>22.5</v>
      </c>
      <c r="AD490" s="3">
        <f ca="1">Table1[[#This Row],[Net Gain]]/Table1[[#This Row],[Ask Rate]]</f>
        <v>2.2123893805309734E-2</v>
      </c>
      <c r="AE490" s="3">
        <f ca="1">IF(Table1[[#This Row],[Ask Qty]]=0,0,Table1[[#This Row],[Gross Yield]]*365/Table1[[#This Row],[Days Left]])</f>
        <v>5.3478286350583132E-2</v>
      </c>
      <c r="AF490" s="9">
        <f ca="1">+Table1[[#This Row],[Net Gain]]*Table1[[#This Row],[Ask Qty]]</f>
        <v>787.5</v>
      </c>
      <c r="AG490" t="str">
        <f ca="1">IF(Table1[[#This Row],[YTM]]&gt;0.12,IF(Table1[[#This Row],[Gross Profit]]&gt;10000,"Invest","Review"),"Low YTM")</f>
        <v>Low YTM</v>
      </c>
    </row>
    <row r="491" spans="1:33" x14ac:dyDescent="0.3">
      <c r="A491" t="str">
        <f>RTD("nest.scriprtd",,"nse_cm|865IRFC29-NA","Symbol")</f>
        <v>865IRFC29</v>
      </c>
      <c r="B491" t="str">
        <f>RTD("nest.scriprtd",,"nse_cm|865IRFC29-NA","Trading Symbol")</f>
        <v>865IRFC29-NA</v>
      </c>
      <c r="C491" t="str">
        <f>RTD("nest.scriprtd",,"nse_cm|865IRFC29-NA","Exchange")</f>
        <v>NSE</v>
      </c>
      <c r="D491">
        <f>RTD("nest.scriprtd",,"nse_cm|865IRFC29-NA","Bid Qty")</f>
        <v>100</v>
      </c>
      <c r="E491">
        <f>RTD("nest.scriprtd",,"nse_cm|865IRFC29-NA","Bid Rate")</f>
        <v>1155</v>
      </c>
      <c r="F491">
        <f>RTD("nest.scriprtd",,"nse_cm|865IRFC29-NA","Ask Rate")</f>
        <v>1165.54</v>
      </c>
      <c r="G491">
        <f>RTD("nest.scriprtd",,"nse_cm|865IRFC29-NA","Ask Qty")</f>
        <v>5</v>
      </c>
      <c r="H491">
        <f>RTD("nest.scriprtd",,"nse_cm|865IRFC29-NA","LTP")</f>
        <v>1155</v>
      </c>
      <c r="I491" t="str">
        <f>RTD("nest.scriprtd",,"nse_cm|865IRFC29-NA","LTT")</f>
        <v/>
      </c>
      <c r="J491">
        <f>RTD("nest.scriprtd",,"nse_cm|865IRFC29-NA","% Change")</f>
        <v>-0.94</v>
      </c>
      <c r="K491">
        <f>RTD("nest.scriprtd",,"nse_cm|865IRFC29-NA","ATP")</f>
        <v>0</v>
      </c>
      <c r="L491">
        <f>RTD("nest.scriprtd",,"nse_cm|865IRFC29-NA","Volume Traded Today")</f>
        <v>0</v>
      </c>
      <c r="M491">
        <f>RTD("nest.scriprtd",,"nse_cm|865IRFC29-NA","Open")</f>
        <v>0</v>
      </c>
      <c r="N491">
        <f>RTD("nest.scriprtd",,"nse_cm|865IRFC29-NA","High")</f>
        <v>1155</v>
      </c>
      <c r="O491">
        <f>RTD("nest.scriprtd",,"nse_cm|865IRFC29-NA","Low ")</f>
        <v>1153</v>
      </c>
      <c r="P491">
        <f>RTD("nest.scriprtd",,"nse_cm|865IRFC29-NA","Prev Close")</f>
        <v>1166</v>
      </c>
      <c r="Q491">
        <f>RTD("nest.scriprtd",,"nse_cm|865IRFC29-NA","Face Value")</f>
        <v>1000</v>
      </c>
      <c r="R491" t="str">
        <f>RTD("nest.scriprtd",,"nse_cm|865IRFC29-NA","Isin code")</f>
        <v>INE053F07686</v>
      </c>
      <c r="S491" s="9">
        <f>Table1[[#This Row],[Ask Rate]]*Table1[[#This Row],[Ask Qty]]</f>
        <v>5827.7</v>
      </c>
      <c r="T491">
        <f>VLOOKUP(Table1[[#This Row],[Isin code]],Table2[#All],7,FALSE)</f>
        <v>8.65</v>
      </c>
      <c r="U491" s="17" t="str">
        <f>VLOOKUP(Table1[[#This Row],[Isin code]],Table2[#All],8,FALSE)</f>
        <v>18-Feb-2029</v>
      </c>
      <c r="V491" s="10">
        <f ca="1">Table1[[#This Row],[Maturity]]-TODAY()</f>
        <v>1586</v>
      </c>
      <c r="W491" t="str">
        <f>VLOOKUP(Table1[[#This Row],[Isin code]],Table2[#All],10,FALSE)</f>
        <v>Yearly</v>
      </c>
      <c r="X491">
        <f ca="1">_xlfn.DAYS(Table1[[#This Row],[Maturity]],TODAY())-15</f>
        <v>1571</v>
      </c>
      <c r="Y4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491">
        <f>IF(Table1[[#This Row],[Ask Rate]]=0,0,Table1[[#This Row],[Face Value]]-Table1[[#This Row],[Ask Rate]])</f>
        <v>-165.53999999999996</v>
      </c>
      <c r="AA491">
        <f>IF(Table1[[#This Row],[Freq]]="Yearly",Table1[[#This Row],[Coupon_Rate]]/100,IF(Table1[[#This Row],[Freq]]="Monthly",Table1[[#This Row],[Coupon_Rate]]/1200,IF(Table1[[#This Row],[Freq]]="Quarterly",Table1[[#This Row],[Coupon_Rate]]/400,0)))</f>
        <v>8.6500000000000007E-2</v>
      </c>
      <c r="AB491">
        <f ca="1">Table1[[#This Row],[Face Value]]*Table1[[#This Row],[Rate]]*Table1[[#This Row],[Time]]</f>
        <v>432.50000000000006</v>
      </c>
      <c r="AC491">
        <f ca="1">Table1[[#This Row],[SI]]+Table1[[#This Row],[Disc/Prem]]</f>
        <v>266.96000000000009</v>
      </c>
      <c r="AD491" s="3">
        <f ca="1">Table1[[#This Row],[Net Gain]]/Table1[[#This Row],[Ask Rate]]</f>
        <v>0.22904404825231231</v>
      </c>
      <c r="AE491" s="3">
        <f ca="1">IF(Table1[[#This Row],[Ask Qty]]=0,0,Table1[[#This Row],[Gross Yield]]*365/Table1[[#This Row],[Days Left]])</f>
        <v>5.2711902655796963E-2</v>
      </c>
      <c r="AF491" s="9">
        <f ca="1">+Table1[[#This Row],[Net Gain]]*Table1[[#This Row],[Ask Qty]]</f>
        <v>1334.8000000000004</v>
      </c>
      <c r="AG491" t="str">
        <f ca="1">IF(Table1[[#This Row],[YTM]]&gt;0.12,IF(Table1[[#This Row],[Gross Profit]]&gt;10000,"Invest","Review"),"Low YTM")</f>
        <v>Low YTM</v>
      </c>
    </row>
    <row r="492" spans="1:33" x14ac:dyDescent="0.3">
      <c r="A492" t="str">
        <f>RTD("nest.scriprtd",,"nse_cm|751HUDCO28-N5","Symbol")</f>
        <v>751HUDCO28</v>
      </c>
      <c r="B492" t="str">
        <f>RTD("nest.scriprtd",,"nse_cm|751HUDCO28-N5","Trading Symbol")</f>
        <v>751HUDCO28-N5</v>
      </c>
      <c r="C492" t="str">
        <f>RTD("nest.scriprtd",,"nse_cm|751HUDCO28-N5","Exchange")</f>
        <v>NSE</v>
      </c>
      <c r="D492">
        <f>RTD("nest.scriprtd",,"nse_cm|751HUDCO28-N5","Bid Qty")</f>
        <v>100</v>
      </c>
      <c r="E492">
        <f>RTD("nest.scriprtd",,"nse_cm|751HUDCO28-N5","Bid Rate")</f>
        <v>1101.01</v>
      </c>
      <c r="F492">
        <f>RTD("nest.scriprtd",,"nse_cm|751HUDCO28-N5","Ask Rate")</f>
        <v>1104.99</v>
      </c>
      <c r="G492">
        <f>RTD("nest.scriprtd",,"nse_cm|751HUDCO28-N5","Ask Qty")</f>
        <v>100</v>
      </c>
      <c r="H492">
        <f>RTD("nest.scriprtd",,"nse_cm|751HUDCO28-N5","LTP")</f>
        <v>1108</v>
      </c>
      <c r="I492" t="str">
        <f>RTD("nest.scriprtd",,"nse_cm|751HUDCO28-N5","LTT")</f>
        <v/>
      </c>
      <c r="J492">
        <f>RTD("nest.scriprtd",,"nse_cm|751HUDCO28-N5","% Change")</f>
        <v>0</v>
      </c>
      <c r="K492">
        <f>RTD("nest.scriprtd",,"nse_cm|751HUDCO28-N5","ATP")</f>
        <v>0</v>
      </c>
      <c r="L492">
        <f>RTD("nest.scriprtd",,"nse_cm|751HUDCO28-N5","Volume Traded Today")</f>
        <v>0</v>
      </c>
      <c r="M492">
        <f>RTD("nest.scriprtd",,"nse_cm|751HUDCO28-N5","Open")</f>
        <v>0</v>
      </c>
      <c r="N492">
        <f>RTD("nest.scriprtd",,"nse_cm|751HUDCO28-N5","High")</f>
        <v>1108</v>
      </c>
      <c r="O492">
        <f>RTD("nest.scriprtd",,"nse_cm|751HUDCO28-N5","Low ")</f>
        <v>1108</v>
      </c>
      <c r="P492">
        <f>RTD("nest.scriprtd",,"nse_cm|751HUDCO28-N5","Prev Close")</f>
        <v>1108</v>
      </c>
      <c r="Q492">
        <f>RTD("nest.scriprtd",,"nse_cm|751HUDCO28-N5","Face Value")</f>
        <v>1000</v>
      </c>
      <c r="R492" t="str">
        <f>RTD("nest.scriprtd",,"nse_cm|751HUDCO28-N5","Isin code")</f>
        <v>INE031A07865</v>
      </c>
      <c r="S492" s="9">
        <f>Table1[[#This Row],[Ask Rate]]*Table1[[#This Row],[Ask Qty]]</f>
        <v>110499</v>
      </c>
      <c r="T492">
        <f>VLOOKUP(Table1[[#This Row],[Isin code]],Table2[#All],7,FALSE)</f>
        <v>7.51</v>
      </c>
      <c r="U492" s="17" t="str">
        <f>VLOOKUP(Table1[[#This Row],[Isin code]],Table2[#All],8,FALSE)</f>
        <v>16-Feb-2028</v>
      </c>
      <c r="V492" s="10">
        <f ca="1">Table1[[#This Row],[Maturity]]-TODAY()</f>
        <v>1218</v>
      </c>
      <c r="W492" t="str">
        <f>VLOOKUP(Table1[[#This Row],[Isin code]],Table2[#All],10,FALSE)</f>
        <v>Yearly</v>
      </c>
      <c r="X492">
        <f ca="1">_xlfn.DAYS(Table1[[#This Row],[Maturity]],TODAY())-15</f>
        <v>1203</v>
      </c>
      <c r="Y4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492">
        <f>IF(Table1[[#This Row],[Ask Rate]]=0,0,Table1[[#This Row],[Face Value]]-Table1[[#This Row],[Ask Rate]])</f>
        <v>-104.99000000000001</v>
      </c>
      <c r="AA492">
        <f>IF(Table1[[#This Row],[Freq]]="Yearly",Table1[[#This Row],[Coupon_Rate]]/100,IF(Table1[[#This Row],[Freq]]="Monthly",Table1[[#This Row],[Coupon_Rate]]/1200,IF(Table1[[#This Row],[Freq]]="Quarterly",Table1[[#This Row],[Coupon_Rate]]/400,0)))</f>
        <v>7.51E-2</v>
      </c>
      <c r="AB492">
        <f ca="1">Table1[[#This Row],[Face Value]]*Table1[[#This Row],[Rate]]*Table1[[#This Row],[Time]]</f>
        <v>300.39999999999998</v>
      </c>
      <c r="AC492">
        <f ca="1">Table1[[#This Row],[SI]]+Table1[[#This Row],[Disc/Prem]]</f>
        <v>195.40999999999997</v>
      </c>
      <c r="AD492" s="3">
        <f ca="1">Table1[[#This Row],[Net Gain]]/Table1[[#This Row],[Ask Rate]]</f>
        <v>0.17684322935049182</v>
      </c>
      <c r="AE492" s="3">
        <f ca="1">IF(Table1[[#This Row],[Ask Qty]]=0,0,Table1[[#This Row],[Gross Yield]]*365/Table1[[#This Row],[Days Left]])</f>
        <v>5.2994892210943771E-2</v>
      </c>
      <c r="AF492" s="9">
        <f ca="1">+Table1[[#This Row],[Net Gain]]*Table1[[#This Row],[Ask Qty]]</f>
        <v>19540.999999999996</v>
      </c>
      <c r="AG492" t="str">
        <f ca="1">IF(Table1[[#This Row],[YTM]]&gt;0.12,IF(Table1[[#This Row],[Gross Profit]]&gt;10000,"Invest","Review"),"Low YTM")</f>
        <v>Low YTM</v>
      </c>
    </row>
    <row r="493" spans="1:33" hidden="1" x14ac:dyDescent="0.3">
      <c r="A493" t="str">
        <f>RTD("nest.scriprtd",,"nse_cm|801TCH25-N4","Symbol")</f>
        <v>801TCH25</v>
      </c>
      <c r="B493" t="str">
        <f>RTD("nest.scriprtd",,"nse_cm|801TCH25-N4","Trading Symbol")</f>
        <v>801TCH25-N4</v>
      </c>
      <c r="C493" t="str">
        <f>RTD("nest.scriprtd",,"nse_cm|801TCH25-N4","Exchange")</f>
        <v>NSE</v>
      </c>
      <c r="D493">
        <f>RTD("nest.scriprtd",,"nse_cm|801TCH25-N4","Bid Qty")</f>
        <v>6</v>
      </c>
      <c r="E493">
        <f>RTD("nest.scriprtd",,"nse_cm|801TCH25-N4","Bid Rate")</f>
        <v>1000.01</v>
      </c>
      <c r="F493">
        <f>RTD("nest.scriprtd",,"nse_cm|801TCH25-N4","Ask Rate")</f>
        <v>1002.95</v>
      </c>
      <c r="G493">
        <f>RTD("nest.scriprtd",,"nse_cm|801TCH25-N4","Ask Qty")</f>
        <v>1</v>
      </c>
      <c r="H493">
        <f>RTD("nest.scriprtd",,"nse_cm|801TCH25-N4","LTP")</f>
        <v>999.25</v>
      </c>
      <c r="I493" t="str">
        <f>RTD("nest.scriprtd",,"nse_cm|801TCH25-N4","LTT")</f>
        <v/>
      </c>
      <c r="J493">
        <f>RTD("nest.scriprtd",,"nse_cm|801TCH25-N4","% Change")</f>
        <v>-0.11</v>
      </c>
      <c r="K493">
        <f>RTD("nest.scriprtd",,"nse_cm|801TCH25-N4","ATP")</f>
        <v>0</v>
      </c>
      <c r="L493">
        <f>RTD("nest.scriprtd",,"nse_cm|801TCH25-N4","Volume Traded Today")</f>
        <v>0</v>
      </c>
      <c r="M493">
        <f>RTD("nest.scriprtd",,"nse_cm|801TCH25-N4","Open")</f>
        <v>0</v>
      </c>
      <c r="N493">
        <f>RTD("nest.scriprtd",,"nse_cm|801TCH25-N4","High")</f>
        <v>1007</v>
      </c>
      <c r="O493">
        <f>RTD("nest.scriprtd",,"nse_cm|801TCH25-N4","Low ")</f>
        <v>999.25</v>
      </c>
      <c r="P493">
        <f>RTD("nest.scriprtd",,"nse_cm|801TCH25-N4","Prev Close")</f>
        <v>1000.4</v>
      </c>
      <c r="Q493">
        <f>RTD("nest.scriprtd",,"nse_cm|801TCH25-N4","Face Value")</f>
        <v>1000</v>
      </c>
      <c r="R493" t="str">
        <f>RTD("nest.scriprtd",,"nse_cm|801TCH25-N4","Isin code")</f>
        <v>INE033L07GO5</v>
      </c>
      <c r="S493" s="9">
        <f>Table1[[#This Row],[Ask Rate]]*Table1[[#This Row],[Ask Qty]]</f>
        <v>1002.95</v>
      </c>
      <c r="T493">
        <f>VLOOKUP(Table1[[#This Row],[Isin code]],Table2[#All],7,FALSE)</f>
        <v>8.01</v>
      </c>
      <c r="U493" s="17" t="str">
        <f>VLOOKUP(Table1[[#This Row],[Isin code]],Table2[#All],8,FALSE)</f>
        <v>14-Jan-2025</v>
      </c>
      <c r="V493" s="10">
        <f ca="1">Table1[[#This Row],[Maturity]]-TODAY()</f>
        <v>90</v>
      </c>
      <c r="W493" t="str">
        <f>VLOOKUP(Table1[[#This Row],[Isin code]],Table2[#All],10,FALSE)</f>
        <v>Monthly</v>
      </c>
      <c r="X493">
        <f ca="1">_xlfn.DAYS(Table1[[#This Row],[Maturity]],TODAY())-15</f>
        <v>75</v>
      </c>
      <c r="Y4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493">
        <f>IF(Table1[[#This Row],[Ask Rate]]=0,0,Table1[[#This Row],[Face Value]]-Table1[[#This Row],[Ask Rate]])</f>
        <v>-2.9500000000000455</v>
      </c>
      <c r="AA493">
        <f>IF(Table1[[#This Row],[Freq]]="Yearly",Table1[[#This Row],[Coupon_Rate]]/100,IF(Table1[[#This Row],[Freq]]="Monthly",Table1[[#This Row],[Coupon_Rate]]/1200,IF(Table1[[#This Row],[Freq]]="Quarterly",Table1[[#This Row],[Coupon_Rate]]/400,0)))</f>
        <v>6.6749999999999995E-3</v>
      </c>
      <c r="AB493">
        <f ca="1">Table1[[#This Row],[Face Value]]*Table1[[#This Row],[Rate]]*Table1[[#This Row],[Time]]</f>
        <v>20.024999999999999</v>
      </c>
      <c r="AC493">
        <f ca="1">Table1[[#This Row],[SI]]+Table1[[#This Row],[Disc/Prem]]</f>
        <v>17.074999999999953</v>
      </c>
      <c r="AD493" s="3">
        <f ca="1">Table1[[#This Row],[Net Gain]]/Table1[[#This Row],[Ask Rate]]</f>
        <v>1.7024776908120997E-2</v>
      </c>
      <c r="AE493" s="3">
        <f ca="1">IF(Table1[[#This Row],[Ask Qty]]=0,0,Table1[[#This Row],[Gross Yield]]*365/Table1[[#This Row],[Days Left]])</f>
        <v>6.9044928571824052E-2</v>
      </c>
      <c r="AF493" s="9">
        <f ca="1">+Table1[[#This Row],[Net Gain]]*Table1[[#This Row],[Ask Qty]]</f>
        <v>17.074999999999953</v>
      </c>
      <c r="AG493" t="str">
        <f ca="1">IF(Table1[[#This Row],[YTM]]&gt;0.12,IF(Table1[[#This Row],[Gross Profit]]&gt;10000,"Invest","Review"),"Low YTM")</f>
        <v>Low YTM</v>
      </c>
    </row>
    <row r="494" spans="1:33" x14ac:dyDescent="0.3">
      <c r="A494" t="str">
        <f>RTD("nest.scriprtd",,"bse_cm|948SCL26A","Symbol")</f>
        <v>948SCL26A</v>
      </c>
      <c r="B494" t="str">
        <f>RTD("nest.scriprtd",,"bse_cm|948SCL26A","Trading Symbol")</f>
        <v>948SCL26A</v>
      </c>
      <c r="C494" t="str">
        <f>RTD("nest.scriprtd",,"bse_cm|948SCL26A","Exchange")</f>
        <v>BSE</v>
      </c>
      <c r="D494">
        <f>RTD("nest.scriprtd",,"bse_cm|948SCL26A","Bid Qty")</f>
        <v>30</v>
      </c>
      <c r="E494">
        <f>RTD("nest.scriprtd",,"bse_cm|948SCL26A","Bid Rate")</f>
        <v>980</v>
      </c>
      <c r="F494">
        <f>RTD("nest.scriprtd",,"bse_cm|948SCL26A","Ask Rate")</f>
        <v>1079.7</v>
      </c>
      <c r="G494">
        <f>RTD("nest.scriprtd",,"bse_cm|948SCL26A","Ask Qty")</f>
        <v>18</v>
      </c>
      <c r="H494">
        <f>RTD("nest.scriprtd",,"bse_cm|948SCL26A","LTP")</f>
        <v>0</v>
      </c>
      <c r="I494" t="str">
        <f>RTD("nest.scriprtd",,"bse_cm|948SCL26A","LTT")</f>
        <v>00:00:00</v>
      </c>
      <c r="J494">
        <f>RTD("nest.scriprtd",,"bse_cm|948SCL26A","% Change")</f>
        <v>-100</v>
      </c>
      <c r="K494">
        <f>RTD("nest.scriprtd",,"bse_cm|948SCL26A","ATP")</f>
        <v>0</v>
      </c>
      <c r="L494">
        <f>RTD("nest.scriprtd",,"bse_cm|948SCL26A","Volume Traded Today")</f>
        <v>0</v>
      </c>
      <c r="M494">
        <f>RTD("nest.scriprtd",,"bse_cm|948SCL26A","Open")</f>
        <v>0</v>
      </c>
      <c r="N494">
        <f>RTD("nest.scriprtd",,"bse_cm|948SCL26A","High")</f>
        <v>1002</v>
      </c>
      <c r="O494">
        <f>RTD("nest.scriprtd",,"bse_cm|948SCL26A","Low ")</f>
        <v>1002</v>
      </c>
      <c r="P494">
        <f>RTD("nest.scriprtd",,"bse_cm|948SCL26A","Prev Close")</f>
        <v>1002</v>
      </c>
      <c r="Q494">
        <f>RTD("nest.scriprtd",,"bse_cm|948SCL26A","Face Value")</f>
        <v>1000</v>
      </c>
      <c r="R494" t="str">
        <f>RTD("nest.scriprtd",,"bse_cm|948SCL26A","Isin code")</f>
        <v>INE148I07QK4</v>
      </c>
      <c r="S494" s="9">
        <f>Table1[[#This Row],[Ask Rate]]*Table1[[#This Row],[Ask Qty]]</f>
        <v>19434.600000000002</v>
      </c>
      <c r="T494">
        <f>VLOOKUP(Table1[[#This Row],[Isin code]],Table2[#All],7,FALSE)</f>
        <v>9.48</v>
      </c>
      <c r="U494" s="17" t="str">
        <f>VLOOKUP(Table1[[#This Row],[Isin code]],Table2[#All],8,FALSE)</f>
        <v>09-Nov-2026</v>
      </c>
      <c r="V494" s="10">
        <f ca="1">Table1[[#This Row],[Maturity]]-TODAY()</f>
        <v>754</v>
      </c>
      <c r="W494" t="str">
        <f>VLOOKUP(Table1[[#This Row],[Isin code]],Table2[#All],10,FALSE)</f>
        <v>Monthly</v>
      </c>
      <c r="X494">
        <f ca="1">_xlfn.DAYS(Table1[[#This Row],[Maturity]],TODAY())-15</f>
        <v>739</v>
      </c>
      <c r="Y4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494">
        <f>IF(Table1[[#This Row],[Ask Rate]]=0,0,Table1[[#This Row],[Face Value]]-Table1[[#This Row],[Ask Rate]])</f>
        <v>-79.700000000000045</v>
      </c>
      <c r="AA494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494">
        <f ca="1">Table1[[#This Row],[Face Value]]*Table1[[#This Row],[Rate]]*Table1[[#This Row],[Time]]</f>
        <v>197.5</v>
      </c>
      <c r="AC494">
        <f ca="1">Table1[[#This Row],[SI]]+Table1[[#This Row],[Disc/Prem]]</f>
        <v>117.79999999999995</v>
      </c>
      <c r="AD494" s="3">
        <f ca="1">Table1[[#This Row],[Net Gain]]/Table1[[#This Row],[Ask Rate]]</f>
        <v>0.1091043808465314</v>
      </c>
      <c r="AE494" s="3">
        <f ca="1">IF(Table1[[#This Row],[Ask Qty]]=0,0,Table1[[#This Row],[Gross Yield]]*365/Table1[[#This Row],[Days Left]])</f>
        <v>5.2815781179023816E-2</v>
      </c>
      <c r="AF494" s="9">
        <f ca="1">+Table1[[#This Row],[Net Gain]]*Table1[[#This Row],[Ask Qty]]</f>
        <v>2120.3999999999992</v>
      </c>
      <c r="AG494" t="str">
        <f ca="1">IF(Table1[[#This Row],[YTM]]&gt;0.12,IF(Table1[[#This Row],[Gross Profit]]&gt;10000,"Invest","Review"),"Low YTM")</f>
        <v>Low YTM</v>
      </c>
    </row>
    <row r="495" spans="1:33" x14ac:dyDescent="0.3">
      <c r="A495" t="str">
        <f>RTD("nest.scriprtd",,"nse_cm|875NHAI29-N6","Symbol")</f>
        <v>875NHAI29</v>
      </c>
      <c r="B495" t="str">
        <f>RTD("nest.scriprtd",,"nse_cm|875NHAI29-N6","Trading Symbol")</f>
        <v>875NHAI29-N6</v>
      </c>
      <c r="C495" t="str">
        <f>RTD("nest.scriprtd",,"nse_cm|875NHAI29-N6","Exchange")</f>
        <v>NSE</v>
      </c>
      <c r="D495">
        <f>RTD("nest.scriprtd",,"nse_cm|875NHAI29-N6","Bid Qty")</f>
        <v>4</v>
      </c>
      <c r="E495">
        <f>RTD("nest.scriprtd",,"nse_cm|875NHAI29-N6","Bid Rate")</f>
        <v>1164.01</v>
      </c>
      <c r="F495">
        <f>RTD("nest.scriprtd",,"nse_cm|875NHAI29-N6","Ask Rate")</f>
        <v>1172.25</v>
      </c>
      <c r="G495">
        <f>RTD("nest.scriprtd",,"nse_cm|875NHAI29-N6","Ask Qty")</f>
        <v>1995</v>
      </c>
      <c r="H495">
        <f>RTD("nest.scriprtd",,"nse_cm|875NHAI29-N6","LTP")</f>
        <v>1172.25</v>
      </c>
      <c r="I495" t="str">
        <f>RTD("nest.scriprtd",,"nse_cm|875NHAI29-N6","LTT")</f>
        <v>11:08:20</v>
      </c>
      <c r="J495">
        <f>RTD("nest.scriprtd",,"nse_cm|875NHAI29-N6","% Change")</f>
        <v>-0.06</v>
      </c>
      <c r="K495">
        <f>RTD("nest.scriprtd",,"nse_cm|875NHAI29-N6","ATP")</f>
        <v>1172.8699999999999</v>
      </c>
      <c r="L495">
        <f>RTD("nest.scriprtd",,"nse_cm|875NHAI29-N6","Volume Traded Today")</f>
        <v>6</v>
      </c>
      <c r="M495">
        <f>RTD("nest.scriprtd",,"nse_cm|875NHAI29-N6","Open")</f>
        <v>1173</v>
      </c>
      <c r="N495">
        <f>RTD("nest.scriprtd",,"nse_cm|875NHAI29-N6","High")</f>
        <v>1173</v>
      </c>
      <c r="O495">
        <f>RTD("nest.scriprtd",,"nse_cm|875NHAI29-N6","Low ")</f>
        <v>1172.25</v>
      </c>
      <c r="P495">
        <f>RTD("nest.scriprtd",,"nse_cm|875NHAI29-N6","Prev Close")</f>
        <v>1173</v>
      </c>
      <c r="Q495">
        <f>RTD("nest.scriprtd",,"nse_cm|875NHAI29-N6","Face Value")</f>
        <v>1000</v>
      </c>
      <c r="R495" t="str">
        <f>RTD("nest.scriprtd",,"nse_cm|875NHAI29-N6","Isin code")</f>
        <v>INE906B07DF8</v>
      </c>
      <c r="S495" s="9">
        <f>Table1[[#This Row],[Ask Rate]]*Table1[[#This Row],[Ask Qty]]</f>
        <v>2338638.75</v>
      </c>
      <c r="T495">
        <f>VLOOKUP(Table1[[#This Row],[Isin code]],Table2[#All],7,FALSE)</f>
        <v>8.75</v>
      </c>
      <c r="U495" s="17" t="str">
        <f>VLOOKUP(Table1[[#This Row],[Isin code]],Table2[#All],8,FALSE)</f>
        <v>05-Feb-2029</v>
      </c>
      <c r="V495" s="10">
        <f ca="1">Table1[[#This Row],[Maturity]]-TODAY()</f>
        <v>1573</v>
      </c>
      <c r="W495" t="str">
        <f>VLOOKUP(Table1[[#This Row],[Isin code]],Table2[#All],10,FALSE)</f>
        <v>Yearly</v>
      </c>
      <c r="X495">
        <f ca="1">_xlfn.DAYS(Table1[[#This Row],[Maturity]],TODAY())-15</f>
        <v>1558</v>
      </c>
      <c r="Y4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495">
        <f>IF(Table1[[#This Row],[Ask Rate]]=0,0,Table1[[#This Row],[Face Value]]-Table1[[#This Row],[Ask Rate]])</f>
        <v>-172.25</v>
      </c>
      <c r="AA495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495">
        <f ca="1">Table1[[#This Row],[Face Value]]*Table1[[#This Row],[Rate]]*Table1[[#This Row],[Time]]</f>
        <v>437.5</v>
      </c>
      <c r="AC495">
        <f ca="1">Table1[[#This Row],[SI]]+Table1[[#This Row],[Disc/Prem]]</f>
        <v>265.25</v>
      </c>
      <c r="AD495" s="3">
        <f ca="1">Table1[[#This Row],[Net Gain]]/Table1[[#This Row],[Ask Rate]]</f>
        <v>0.22627425890381744</v>
      </c>
      <c r="AE495" s="3">
        <f ca="1">IF(Table1[[#This Row],[Ask Qty]]=0,0,Table1[[#This Row],[Gross Yield]]*365/Table1[[#This Row],[Days Left]])</f>
        <v>5.2504834392812061E-2</v>
      </c>
      <c r="AF495" s="9">
        <f ca="1">+Table1[[#This Row],[Net Gain]]*Table1[[#This Row],[Ask Qty]]</f>
        <v>529173.75</v>
      </c>
      <c r="AG495" t="str">
        <f ca="1">IF(Table1[[#This Row],[YTM]]&gt;0.12,IF(Table1[[#This Row],[Gross Profit]]&gt;10000,"Invest","Review"),"Low YTM")</f>
        <v>Low YTM</v>
      </c>
    </row>
    <row r="496" spans="1:33" x14ac:dyDescent="0.3">
      <c r="A496" t="str">
        <f>RTD("nest.scriprtd",,"bse_cm|875NHAI29","Symbol")</f>
        <v>875NHAI29</v>
      </c>
      <c r="B496" t="str">
        <f>RTD("nest.scriprtd",,"bse_cm|875NHAI29","Trading Symbol")</f>
        <v>875NHAI29</v>
      </c>
      <c r="C496" t="str">
        <f>RTD("nest.scriprtd",,"bse_cm|875NHAI29","Exchange")</f>
        <v>BSE</v>
      </c>
      <c r="D496">
        <f>RTD("nest.scriprtd",,"bse_cm|875NHAI29","Bid Qty")</f>
        <v>9</v>
      </c>
      <c r="E496">
        <f>RTD("nest.scriprtd",,"bse_cm|875NHAI29","Bid Rate")</f>
        <v>1165</v>
      </c>
      <c r="F496">
        <f>RTD("nest.scriprtd",,"bse_cm|875NHAI29","Ask Rate")</f>
        <v>1174.25</v>
      </c>
      <c r="G496">
        <f>RTD("nest.scriprtd",,"bse_cm|875NHAI29","Ask Qty")</f>
        <v>1186</v>
      </c>
      <c r="H496">
        <f>RTD("nest.scriprtd",,"bse_cm|875NHAI29","LTP")</f>
        <v>0</v>
      </c>
      <c r="I496" t="str">
        <f>RTD("nest.scriprtd",,"bse_cm|875NHAI29","LTT")</f>
        <v>00:00:00</v>
      </c>
      <c r="J496">
        <f>RTD("nest.scriprtd",,"bse_cm|875NHAI29","% Change")</f>
        <v>-100</v>
      </c>
      <c r="K496">
        <f>RTD("nest.scriprtd",,"bse_cm|875NHAI29","ATP")</f>
        <v>0</v>
      </c>
      <c r="L496">
        <f>RTD("nest.scriprtd",,"bse_cm|875NHAI29","Volume Traded Today")</f>
        <v>0</v>
      </c>
      <c r="M496">
        <f>RTD("nest.scriprtd",,"bse_cm|875NHAI29","Open")</f>
        <v>0</v>
      </c>
      <c r="N496">
        <f>RTD("nest.scriprtd",,"bse_cm|875NHAI29","High")</f>
        <v>1199.95</v>
      </c>
      <c r="O496">
        <f>RTD("nest.scriprtd",,"bse_cm|875NHAI29","Low ")</f>
        <v>1174.9000000000001</v>
      </c>
      <c r="P496">
        <f>RTD("nest.scriprtd",,"bse_cm|875NHAI29","Prev Close")</f>
        <v>1199.95</v>
      </c>
      <c r="Q496">
        <f>RTD("nest.scriprtd",,"bse_cm|875NHAI29","Face Value")</f>
        <v>1000</v>
      </c>
      <c r="R496" t="str">
        <f>RTD("nest.scriprtd",,"bse_cm|875NHAI29","Isin code")</f>
        <v>INE906B07DF8</v>
      </c>
      <c r="S496" s="9">
        <f>Table1[[#This Row],[Ask Rate]]*Table1[[#This Row],[Ask Qty]]</f>
        <v>1392660.5</v>
      </c>
      <c r="T496">
        <f>VLOOKUP(Table1[[#This Row],[Isin code]],Table2[#All],7,FALSE)</f>
        <v>8.75</v>
      </c>
      <c r="U496" s="17" t="str">
        <f>VLOOKUP(Table1[[#This Row],[Isin code]],Table2[#All],8,FALSE)</f>
        <v>05-Feb-2029</v>
      </c>
      <c r="V496" s="10">
        <f ca="1">Table1[[#This Row],[Maturity]]-TODAY()</f>
        <v>1573</v>
      </c>
      <c r="W496" t="str">
        <f>VLOOKUP(Table1[[#This Row],[Isin code]],Table2[#All],10,FALSE)</f>
        <v>Yearly</v>
      </c>
      <c r="X496">
        <f ca="1">_xlfn.DAYS(Table1[[#This Row],[Maturity]],TODAY())-15</f>
        <v>1558</v>
      </c>
      <c r="Y4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496">
        <f>IF(Table1[[#This Row],[Ask Rate]]=0,0,Table1[[#This Row],[Face Value]]-Table1[[#This Row],[Ask Rate]])</f>
        <v>-174.25</v>
      </c>
      <c r="AA496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496">
        <f ca="1">Table1[[#This Row],[Face Value]]*Table1[[#This Row],[Rate]]*Table1[[#This Row],[Time]]</f>
        <v>437.5</v>
      </c>
      <c r="AC496">
        <f ca="1">Table1[[#This Row],[SI]]+Table1[[#This Row],[Disc/Prem]]</f>
        <v>263.25</v>
      </c>
      <c r="AD496" s="3">
        <f ca="1">Table1[[#This Row],[Net Gain]]/Table1[[#This Row],[Ask Rate]]</f>
        <v>0.22418565041515862</v>
      </c>
      <c r="AE496" s="3">
        <f ca="1">IF(Table1[[#This Row],[Ask Qty]]=0,0,Table1[[#This Row],[Gross Yield]]*365/Table1[[#This Row],[Days Left]])</f>
        <v>5.2020192245094021E-2</v>
      </c>
      <c r="AF496" s="9">
        <f ca="1">+Table1[[#This Row],[Net Gain]]*Table1[[#This Row],[Ask Qty]]</f>
        <v>312214.5</v>
      </c>
      <c r="AG496" t="str">
        <f ca="1">IF(Table1[[#This Row],[YTM]]&gt;0.12,IF(Table1[[#This Row],[Gross Profit]]&gt;10000,"Invest","Review"),"Low YTM")</f>
        <v>Low YTM</v>
      </c>
    </row>
    <row r="497" spans="1:33" x14ac:dyDescent="0.3">
      <c r="A497" t="str">
        <f>RTD("nest.scriprtd",,"bse_cm|764NABAR31","Symbol")</f>
        <v>764NABAR31</v>
      </c>
      <c r="B497" t="str">
        <f>RTD("nest.scriprtd",,"bse_cm|764NABAR31","Trading Symbol")</f>
        <v>764NABAR31</v>
      </c>
      <c r="C497" t="str">
        <f>RTD("nest.scriprtd",,"bse_cm|764NABAR31","Exchange")</f>
        <v>BSE</v>
      </c>
      <c r="D497">
        <f>RTD("nest.scriprtd",,"bse_cm|764NABAR31","Bid Qty")</f>
        <v>10</v>
      </c>
      <c r="E497">
        <f>RTD("nest.scriprtd",,"bse_cm|764NABAR31","Bid Rate")</f>
        <v>1135</v>
      </c>
      <c r="F497">
        <f>RTD("nest.scriprtd",,"bse_cm|764NABAR31","Ask Rate")</f>
        <v>1149.9000000000001</v>
      </c>
      <c r="G497">
        <f>RTD("nest.scriprtd",,"bse_cm|764NABAR31","Ask Qty")</f>
        <v>11</v>
      </c>
      <c r="H497">
        <f>RTD("nest.scriprtd",,"bse_cm|764NABAR31","LTP")</f>
        <v>0</v>
      </c>
      <c r="I497" t="str">
        <f>RTD("nest.scriprtd",,"bse_cm|764NABAR31","LTT")</f>
        <v>00:00:00</v>
      </c>
      <c r="J497">
        <f>RTD("nest.scriprtd",,"bse_cm|764NABAR31","% Change")</f>
        <v>-100</v>
      </c>
      <c r="K497">
        <f>RTD("nest.scriprtd",,"bse_cm|764NABAR31","ATP")</f>
        <v>0</v>
      </c>
      <c r="L497">
        <f>RTD("nest.scriprtd",,"bse_cm|764NABAR31","Volume Traded Today")</f>
        <v>0</v>
      </c>
      <c r="M497">
        <f>RTD("nest.scriprtd",,"bse_cm|764NABAR31","Open")</f>
        <v>0</v>
      </c>
      <c r="N497">
        <f>RTD("nest.scriprtd",,"bse_cm|764NABAR31","High")</f>
        <v>1135.51</v>
      </c>
      <c r="O497">
        <f>RTD("nest.scriprtd",,"bse_cm|764NABAR31","Low ")</f>
        <v>1135</v>
      </c>
      <c r="P497">
        <f>RTD("nest.scriprtd",,"bse_cm|764NABAR31","Prev Close")</f>
        <v>1135.51</v>
      </c>
      <c r="Q497">
        <f>RTD("nest.scriprtd",,"bse_cm|764NABAR31","Face Value")</f>
        <v>1000</v>
      </c>
      <c r="R497" t="str">
        <f>RTD("nest.scriprtd",,"bse_cm|764NABAR31","Isin code")</f>
        <v>INE261F07032</v>
      </c>
      <c r="S497" s="9">
        <f>Table1[[#This Row],[Ask Rate]]*Table1[[#This Row],[Ask Qty]]</f>
        <v>12648.900000000001</v>
      </c>
      <c r="T497">
        <f>VLOOKUP(Table1[[#This Row],[Isin code]],Table2[#All],7,FALSE)</f>
        <v>7.64</v>
      </c>
      <c r="U497" s="17">
        <f>VLOOKUP(Table1[[#This Row],[Isin code]],Table2[#All],8,FALSE)</f>
        <v>47930</v>
      </c>
      <c r="V497" s="10">
        <f ca="1">Table1[[#This Row],[Maturity]]-TODAY()</f>
        <v>2349</v>
      </c>
      <c r="W497" t="str">
        <f>VLOOKUP(Table1[[#This Row],[Isin code]],Table2[#All],10,FALSE)</f>
        <v>Yearly</v>
      </c>
      <c r="X497">
        <f ca="1">_xlfn.DAYS(Table1[[#This Row],[Maturity]],TODAY())-15</f>
        <v>2334</v>
      </c>
      <c r="Y4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497">
        <f>IF(Table1[[#This Row],[Ask Rate]]=0,0,Table1[[#This Row],[Face Value]]-Table1[[#This Row],[Ask Rate]])</f>
        <v>-149.90000000000009</v>
      </c>
      <c r="AA497">
        <f>IF(Table1[[#This Row],[Freq]]="Yearly",Table1[[#This Row],[Coupon_Rate]]/100,IF(Table1[[#This Row],[Freq]]="Monthly",Table1[[#This Row],[Coupon_Rate]]/1200,IF(Table1[[#This Row],[Freq]]="Quarterly",Table1[[#This Row],[Coupon_Rate]]/400,0)))</f>
        <v>7.6399999999999996E-2</v>
      </c>
      <c r="AB497">
        <f ca="1">Table1[[#This Row],[Face Value]]*Table1[[#This Row],[Rate]]*Table1[[#This Row],[Time]]</f>
        <v>534.79999999999995</v>
      </c>
      <c r="AC497">
        <f ca="1">Table1[[#This Row],[SI]]+Table1[[#This Row],[Disc/Prem]]</f>
        <v>384.89999999999986</v>
      </c>
      <c r="AD497" s="3">
        <f ca="1">Table1[[#This Row],[Net Gain]]/Table1[[#This Row],[Ask Rate]]</f>
        <v>0.33472475867466722</v>
      </c>
      <c r="AE497" s="3">
        <f ca="1">IF(Table1[[#This Row],[Ask Qty]]=0,0,Table1[[#This Row],[Gross Yield]]*365/Table1[[#This Row],[Days Left]])</f>
        <v>5.2011297112070469E-2</v>
      </c>
      <c r="AF497" s="9">
        <f ca="1">+Table1[[#This Row],[Net Gain]]*Table1[[#This Row],[Ask Qty]]</f>
        <v>4233.8999999999987</v>
      </c>
      <c r="AG497" t="str">
        <f ca="1">IF(Table1[[#This Row],[YTM]]&gt;0.12,IF(Table1[[#This Row],[Gross Profit]]&gt;10000,"Invest","Review"),"Low YTM")</f>
        <v>Low YTM</v>
      </c>
    </row>
    <row r="498" spans="1:33" x14ac:dyDescent="0.3">
      <c r="A498" t="str">
        <f>RTD("nest.scriprtd",,"nse_cm|1075UCL25-N9","Symbol")</f>
        <v>1075UCL25</v>
      </c>
      <c r="B498" t="str">
        <f>RTD("nest.scriprtd",,"nse_cm|1075UCL25-N9","Trading Symbol")</f>
        <v>1075UCL25-N9</v>
      </c>
      <c r="C498" t="str">
        <f>RTD("nest.scriprtd",,"nse_cm|1075UCL25-N9","Exchange")</f>
        <v>NSE</v>
      </c>
      <c r="D498">
        <f>RTD("nest.scriprtd",,"nse_cm|1075UCL25-N9","Bid Qty")</f>
        <v>1</v>
      </c>
      <c r="E498">
        <f>RTD("nest.scriprtd",,"nse_cm|1075UCL25-N9","Bid Rate")</f>
        <v>1034.5</v>
      </c>
      <c r="F498">
        <f>RTD("nest.scriprtd",,"nse_cm|1075UCL25-N9","Ask Rate")</f>
        <v>1060</v>
      </c>
      <c r="G498">
        <f>RTD("nest.scriprtd",,"nse_cm|1075UCL25-N9","Ask Qty")</f>
        <v>10</v>
      </c>
      <c r="H498">
        <f>RTD("nest.scriprtd",,"nse_cm|1075UCL25-N9","LTP")</f>
        <v>1060</v>
      </c>
      <c r="I498" t="str">
        <f>RTD("nest.scriprtd",,"nse_cm|1075UCL25-N9","LTT")</f>
        <v/>
      </c>
      <c r="J498">
        <f>RTD("nest.scriprtd",,"nse_cm|1075UCL25-N9","% Change")</f>
        <v>0</v>
      </c>
      <c r="K498">
        <f>RTD("nest.scriprtd",,"nse_cm|1075UCL25-N9","ATP")</f>
        <v>0</v>
      </c>
      <c r="L498">
        <f>RTD("nest.scriprtd",,"nse_cm|1075UCL25-N9","Volume Traded Today")</f>
        <v>0</v>
      </c>
      <c r="M498">
        <f>RTD("nest.scriprtd",,"nse_cm|1075UCL25-N9","Open")</f>
        <v>0</v>
      </c>
      <c r="N498">
        <f>RTD("nest.scriprtd",,"nse_cm|1075UCL25-N9","High")</f>
        <v>1060</v>
      </c>
      <c r="O498">
        <f>RTD("nest.scriprtd",,"nse_cm|1075UCL25-N9","Low ")</f>
        <v>1060</v>
      </c>
      <c r="P498">
        <f>RTD("nest.scriprtd",,"nse_cm|1075UCL25-N9","Prev Close")</f>
        <v>1060</v>
      </c>
      <c r="Q498">
        <f>RTD("nest.scriprtd",,"nse_cm|1075UCL25-N9","Face Value")</f>
        <v>1000</v>
      </c>
      <c r="R498" t="str">
        <f>RTD("nest.scriprtd",,"nse_cm|1075UCL25-N9","Isin code")</f>
        <v>INE583D07430</v>
      </c>
      <c r="S498" s="9">
        <f>Table1[[#This Row],[Ask Rate]]*Table1[[#This Row],[Ask Qty]]</f>
        <v>10600</v>
      </c>
      <c r="T498">
        <f>VLOOKUP(Table1[[#This Row],[Isin code]],Table2[#All],7,FALSE)</f>
        <v>10.75</v>
      </c>
      <c r="U498" s="17" t="str">
        <f>VLOOKUP(Table1[[#This Row],[Isin code]],Table2[#All],8,FALSE)</f>
        <v>27-Aug-2025</v>
      </c>
      <c r="V498" s="10">
        <f ca="1">Table1[[#This Row],[Maturity]]-TODAY()</f>
        <v>315</v>
      </c>
      <c r="W498" t="str">
        <f>VLOOKUP(Table1[[#This Row],[Isin code]],Table2[#All],10,FALSE)</f>
        <v>Yearly</v>
      </c>
      <c r="X498">
        <f ca="1">_xlfn.DAYS(Table1[[#This Row],[Maturity]],TODAY())-15</f>
        <v>300</v>
      </c>
      <c r="Y4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498">
        <f>IF(Table1[[#This Row],[Ask Rate]]=0,0,Table1[[#This Row],[Face Value]]-Table1[[#This Row],[Ask Rate]])</f>
        <v>-60</v>
      </c>
      <c r="AA498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498">
        <f ca="1">Table1[[#This Row],[Face Value]]*Table1[[#This Row],[Rate]]*Table1[[#This Row],[Time]]</f>
        <v>107.5</v>
      </c>
      <c r="AC498">
        <f ca="1">Table1[[#This Row],[SI]]+Table1[[#This Row],[Disc/Prem]]</f>
        <v>47.5</v>
      </c>
      <c r="AD498" s="3">
        <f ca="1">Table1[[#This Row],[Net Gain]]/Table1[[#This Row],[Ask Rate]]</f>
        <v>4.4811320754716978E-2</v>
      </c>
      <c r="AE498" s="3">
        <f ca="1">IF(Table1[[#This Row],[Ask Qty]]=0,0,Table1[[#This Row],[Gross Yield]]*365/Table1[[#This Row],[Days Left]])</f>
        <v>5.1924228811021267E-2</v>
      </c>
      <c r="AF498" s="9">
        <f ca="1">+Table1[[#This Row],[Net Gain]]*Table1[[#This Row],[Ask Qty]]</f>
        <v>475</v>
      </c>
      <c r="AG498" t="str">
        <f ca="1">IF(Table1[[#This Row],[YTM]]&gt;0.12,IF(Table1[[#This Row],[Gross Profit]]&gt;10000,"Invest","Review"),"Low YTM")</f>
        <v>Low YTM</v>
      </c>
    </row>
    <row r="499" spans="1:33" x14ac:dyDescent="0.3">
      <c r="A499" t="str">
        <f>RTD("nest.scriprtd",,"bse_cm|1050IML25","Symbol")</f>
        <v>1050IML25</v>
      </c>
      <c r="B499" t="str">
        <f>RTD("nest.scriprtd",,"bse_cm|1050IML25","Trading Symbol")</f>
        <v>1050IML25</v>
      </c>
      <c r="C499" t="str">
        <f>RTD("nest.scriprtd",,"bse_cm|1050IML25","Exchange")</f>
        <v>BSE</v>
      </c>
      <c r="D499">
        <f>RTD("nest.scriprtd",,"bse_cm|1050IML25","Bid Qty")</f>
        <v>60</v>
      </c>
      <c r="E499">
        <f>RTD("nest.scriprtd",,"bse_cm|1050IML25","Bid Rate")</f>
        <v>900</v>
      </c>
      <c r="F499">
        <f>RTD("nest.scriprtd",,"bse_cm|1050IML25","Ask Rate")</f>
        <v>1033.33</v>
      </c>
      <c r="G499">
        <f>RTD("nest.scriprtd",,"bse_cm|1050IML25","Ask Qty")</f>
        <v>20</v>
      </c>
      <c r="H499">
        <f>RTD("nest.scriprtd",,"bse_cm|1050IML25","LTP")</f>
        <v>0</v>
      </c>
      <c r="I499" t="str">
        <f>RTD("nest.scriprtd",,"bse_cm|1050IML25","LTT")</f>
        <v>00:00:00</v>
      </c>
      <c r="J499">
        <f>RTD("nest.scriprtd",,"bse_cm|1050IML25","% Change")</f>
        <v>-100</v>
      </c>
      <c r="K499">
        <f>RTD("nest.scriprtd",,"bse_cm|1050IML25","ATP")</f>
        <v>0</v>
      </c>
      <c r="L499">
        <f>RTD("nest.scriprtd",,"bse_cm|1050IML25","Volume Traded Today")</f>
        <v>0</v>
      </c>
      <c r="M499">
        <f>RTD("nest.scriprtd",,"bse_cm|1050IML25","Open")</f>
        <v>0</v>
      </c>
      <c r="N499">
        <f>RTD("nest.scriprtd",,"bse_cm|1050IML25","High")</f>
        <v>1050</v>
      </c>
      <c r="O499">
        <f>RTD("nest.scriprtd",,"bse_cm|1050IML25","Low ")</f>
        <v>1050</v>
      </c>
      <c r="P499">
        <f>RTD("nest.scriprtd",,"bse_cm|1050IML25","Prev Close")</f>
        <v>1050</v>
      </c>
      <c r="Q499">
        <f>RTD("nest.scriprtd",,"bse_cm|1050IML25","Face Value")</f>
        <v>1000</v>
      </c>
      <c r="R499" t="str">
        <f>RTD("nest.scriprtd",,"bse_cm|1050IML25","Isin code")</f>
        <v>INE0BUS07981</v>
      </c>
      <c r="S499" s="9">
        <f>Table1[[#This Row],[Ask Rate]]*Table1[[#This Row],[Ask Qty]]</f>
        <v>20666.599999999999</v>
      </c>
      <c r="T499">
        <f>VLOOKUP(Table1[[#This Row],[Isin code]],Table2[#All],7,FALSE)</f>
        <v>10.5</v>
      </c>
      <c r="U499" s="17" t="str">
        <f>VLOOKUP(Table1[[#This Row],[Isin code]],Table2[#All],8,FALSE)</f>
        <v>23-Jun-2025</v>
      </c>
      <c r="V499" s="10">
        <f ca="1">Table1[[#This Row],[Maturity]]-TODAY()</f>
        <v>250</v>
      </c>
      <c r="W499" t="str">
        <f>VLOOKUP(Table1[[#This Row],[Isin code]],Table2[#All],10,FALSE)</f>
        <v>Monthly</v>
      </c>
      <c r="X499">
        <f ca="1">_xlfn.DAYS(Table1[[#This Row],[Maturity]],TODAY())-15</f>
        <v>235</v>
      </c>
      <c r="Y4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499">
        <f>IF(Table1[[#This Row],[Ask Rate]]=0,0,Table1[[#This Row],[Face Value]]-Table1[[#This Row],[Ask Rate]])</f>
        <v>-33.329999999999927</v>
      </c>
      <c r="AA499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499">
        <f ca="1">Table1[[#This Row],[Face Value]]*Table1[[#This Row],[Rate]]*Table1[[#This Row],[Time]]</f>
        <v>70</v>
      </c>
      <c r="AC499">
        <f ca="1">Table1[[#This Row],[SI]]+Table1[[#This Row],[Disc/Prem]]</f>
        <v>36.670000000000073</v>
      </c>
      <c r="AD499" s="3">
        <f ca="1">Table1[[#This Row],[Net Gain]]/Table1[[#This Row],[Ask Rate]]</f>
        <v>3.5487211249068618E-2</v>
      </c>
      <c r="AE499" s="3">
        <f ca="1">IF(Table1[[#This Row],[Ask Qty]]=0,0,Table1[[#This Row],[Gross Yield]]*365/Table1[[#This Row],[Days Left]])</f>
        <v>5.1811328423640182E-2</v>
      </c>
      <c r="AF499" s="9">
        <f ca="1">+Table1[[#This Row],[Net Gain]]*Table1[[#This Row],[Ask Qty]]</f>
        <v>733.40000000000146</v>
      </c>
      <c r="AG499" t="str">
        <f ca="1">IF(Table1[[#This Row],[YTM]]&gt;0.12,IF(Table1[[#This Row],[Gross Profit]]&gt;10000,"Invest","Review"),"Low YTM")</f>
        <v>Low YTM</v>
      </c>
    </row>
    <row r="500" spans="1:33" x14ac:dyDescent="0.3">
      <c r="A500" t="str">
        <f>RTD("nest.scriprtd",,"nse_cm|905PEL26-N1","Symbol")</f>
        <v>905PEL26</v>
      </c>
      <c r="B500" t="str">
        <f>RTD("nest.scriprtd",,"nse_cm|905PEL26-N1","Trading Symbol")</f>
        <v>905PEL26-N1</v>
      </c>
      <c r="C500" t="str">
        <f>RTD("nest.scriprtd",,"nse_cm|905PEL26-N1","Exchange")</f>
        <v>NSE</v>
      </c>
      <c r="D500">
        <f>RTD("nest.scriprtd",,"nse_cm|905PEL26-N1","Bid Qty")</f>
        <v>20</v>
      </c>
      <c r="E500">
        <f>RTD("nest.scriprtd",,"nse_cm|905PEL26-N1","Bid Rate")</f>
        <v>1001.1</v>
      </c>
      <c r="F500">
        <f>RTD("nest.scriprtd",,"nse_cm|905PEL26-N1","Ask Rate")</f>
        <v>1149.5999999999999</v>
      </c>
      <c r="G500">
        <f>RTD("nest.scriprtd",,"nse_cm|905PEL26-N1","Ask Qty")</f>
        <v>200</v>
      </c>
      <c r="H500">
        <f>RTD("nest.scriprtd",,"nse_cm|905PEL26-N1","LTP")</f>
        <v>1050</v>
      </c>
      <c r="I500" t="str">
        <f>RTD("nest.scriprtd",,"nse_cm|905PEL26-N1","LTT")</f>
        <v/>
      </c>
      <c r="J500">
        <f>RTD("nest.scriprtd",,"nse_cm|905PEL26-N1","% Change")</f>
        <v>0</v>
      </c>
      <c r="K500">
        <f>RTD("nest.scriprtd",,"nse_cm|905PEL26-N1","ATP")</f>
        <v>0</v>
      </c>
      <c r="L500">
        <f>RTD("nest.scriprtd",,"nse_cm|905PEL26-N1","Volume Traded Today")</f>
        <v>0</v>
      </c>
      <c r="M500">
        <f>RTD("nest.scriprtd",,"nse_cm|905PEL26-N1","Open")</f>
        <v>0</v>
      </c>
      <c r="N500">
        <f>RTD("nest.scriprtd",,"nse_cm|905PEL26-N1","High")</f>
        <v>1050</v>
      </c>
      <c r="O500">
        <f>RTD("nest.scriprtd",,"nse_cm|905PEL26-N1","Low ")</f>
        <v>1050</v>
      </c>
      <c r="P500">
        <f>RTD("nest.scriprtd",,"nse_cm|905PEL26-N1","Prev Close")</f>
        <v>1050</v>
      </c>
      <c r="Q500">
        <f>RTD("nest.scriprtd",,"nse_cm|905PEL26-N1","Face Value")</f>
        <v>1000</v>
      </c>
      <c r="R500" t="str">
        <f>RTD("nest.scriprtd",,"nse_cm|905PEL26-N1","Isin code")</f>
        <v>INE140A07740</v>
      </c>
      <c r="S500" s="9">
        <f>Table1[[#This Row],[Ask Rate]]*Table1[[#This Row],[Ask Qty]]</f>
        <v>229919.99999999997</v>
      </c>
      <c r="T500">
        <f>VLOOKUP(Table1[[#This Row],[Isin code]],Table2[#All],7,FALSE)</f>
        <v>9.0500000000000007</v>
      </c>
      <c r="U500" s="17" t="str">
        <f>VLOOKUP(Table1[[#This Row],[Isin code]],Table2[#All],8,FALSE)</f>
        <v>03-Nov-2026</v>
      </c>
      <c r="V500" s="10">
        <f ca="1">Table1[[#This Row],[Maturity]]-TODAY()</f>
        <v>748</v>
      </c>
      <c r="W500" t="str">
        <f>VLOOKUP(Table1[[#This Row],[Isin code]],Table2[#All],10,FALSE)</f>
        <v>Yearly</v>
      </c>
      <c r="X500">
        <f ca="1">_xlfn.DAYS(Table1[[#This Row],[Maturity]],TODAY())-15</f>
        <v>733</v>
      </c>
      <c r="Y5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500">
        <f>IF(Table1[[#This Row],[Ask Rate]]=0,0,Table1[[#This Row],[Face Value]]-Table1[[#This Row],[Ask Rate]])</f>
        <v>-149.59999999999991</v>
      </c>
      <c r="AA500">
        <f>IF(Table1[[#This Row],[Freq]]="Yearly",Table1[[#This Row],[Coupon_Rate]]/100,IF(Table1[[#This Row],[Freq]]="Monthly",Table1[[#This Row],[Coupon_Rate]]/1200,IF(Table1[[#This Row],[Freq]]="Quarterly",Table1[[#This Row],[Coupon_Rate]]/400,0)))</f>
        <v>9.0500000000000011E-2</v>
      </c>
      <c r="AB500">
        <f ca="1">Table1[[#This Row],[Face Value]]*Table1[[#This Row],[Rate]]*Table1[[#This Row],[Time]]</f>
        <v>271.50000000000006</v>
      </c>
      <c r="AC500">
        <f ca="1">Table1[[#This Row],[SI]]+Table1[[#This Row],[Disc/Prem]]</f>
        <v>121.90000000000015</v>
      </c>
      <c r="AD500" s="3">
        <f ca="1">Table1[[#This Row],[Net Gain]]/Table1[[#This Row],[Ask Rate]]</f>
        <v>0.10603688239387626</v>
      </c>
      <c r="AE500" s="3">
        <f ca="1">IF(Table1[[#This Row],[Ask Qty]]=0,0,Table1[[#This Row],[Gross Yield]]*365/Table1[[#This Row],[Days Left]])</f>
        <v>5.1742596355300589E-2</v>
      </c>
      <c r="AF500" s="9">
        <f ca="1">+Table1[[#This Row],[Net Gain]]*Table1[[#This Row],[Ask Qty]]</f>
        <v>24380.000000000029</v>
      </c>
      <c r="AG500" t="str">
        <f ca="1">IF(Table1[[#This Row],[YTM]]&gt;0.12,IF(Table1[[#This Row],[Gross Profit]]&gt;10000,"Invest","Review"),"Low YTM")</f>
        <v>Low YTM</v>
      </c>
    </row>
    <row r="501" spans="1:33" x14ac:dyDescent="0.3">
      <c r="A501" t="str">
        <f>RTD("nest.scriprtd",,"bse_cm|865IRFC29","Symbol")</f>
        <v>865IRFC29</v>
      </c>
      <c r="B501" t="str">
        <f>RTD("nest.scriprtd",,"bse_cm|865IRFC29","Trading Symbol")</f>
        <v>865IRFC29</v>
      </c>
      <c r="C501" t="str">
        <f>RTD("nest.scriprtd",,"bse_cm|865IRFC29","Exchange")</f>
        <v>BSE</v>
      </c>
      <c r="D501">
        <f>RTD("nest.scriprtd",,"bse_cm|865IRFC29","Bid Qty")</f>
        <v>10</v>
      </c>
      <c r="E501">
        <f>RTD("nest.scriprtd",,"bse_cm|865IRFC29","Bid Rate")</f>
        <v>1152.01</v>
      </c>
      <c r="F501">
        <f>RTD("nest.scriprtd",,"bse_cm|865IRFC29","Ask Rate")</f>
        <v>1169.99</v>
      </c>
      <c r="G501">
        <f>RTD("nest.scriprtd",,"bse_cm|865IRFC29","Ask Qty")</f>
        <v>50</v>
      </c>
      <c r="H501">
        <f>RTD("nest.scriprtd",,"bse_cm|865IRFC29","LTP")</f>
        <v>0</v>
      </c>
      <c r="I501" t="str">
        <f>RTD("nest.scriprtd",,"bse_cm|865IRFC29","LTT")</f>
        <v>00:00:00</v>
      </c>
      <c r="J501">
        <f>RTD("nest.scriprtd",,"bse_cm|865IRFC29","% Change")</f>
        <v>-100</v>
      </c>
      <c r="K501">
        <f>RTD("nest.scriprtd",,"bse_cm|865IRFC29","ATP")</f>
        <v>0</v>
      </c>
      <c r="L501">
        <f>RTD("nest.scriprtd",,"bse_cm|865IRFC29","Volume Traded Today")</f>
        <v>0</v>
      </c>
      <c r="M501">
        <f>RTD("nest.scriprtd",,"bse_cm|865IRFC29","Open")</f>
        <v>0</v>
      </c>
      <c r="N501">
        <f>RTD("nest.scriprtd",,"bse_cm|865IRFC29","High")</f>
        <v>1156</v>
      </c>
      <c r="O501">
        <f>RTD("nest.scriprtd",,"bse_cm|865IRFC29","Low ")</f>
        <v>1150.2</v>
      </c>
      <c r="P501">
        <f>RTD("nest.scriprtd",,"bse_cm|865IRFC29","Prev Close")</f>
        <v>1155.05</v>
      </c>
      <c r="Q501">
        <f>RTD("nest.scriprtd",,"bse_cm|865IRFC29","Face Value")</f>
        <v>1000</v>
      </c>
      <c r="R501" t="str">
        <f>RTD("nest.scriprtd",,"bse_cm|865IRFC29","Isin code")</f>
        <v>INE053F07686</v>
      </c>
      <c r="S501" s="9">
        <f>Table1[[#This Row],[Ask Rate]]*Table1[[#This Row],[Ask Qty]]</f>
        <v>58499.5</v>
      </c>
      <c r="T501">
        <f>VLOOKUP(Table1[[#This Row],[Isin code]],Table2[#All],7,FALSE)</f>
        <v>8.65</v>
      </c>
      <c r="U501" s="17" t="str">
        <f>VLOOKUP(Table1[[#This Row],[Isin code]],Table2[#All],8,FALSE)</f>
        <v>18-Feb-2029</v>
      </c>
      <c r="V501" s="10">
        <f ca="1">Table1[[#This Row],[Maturity]]-TODAY()</f>
        <v>1586</v>
      </c>
      <c r="W501" t="str">
        <f>VLOOKUP(Table1[[#This Row],[Isin code]],Table2[#All],10,FALSE)</f>
        <v>Yearly</v>
      </c>
      <c r="X501">
        <f ca="1">_xlfn.DAYS(Table1[[#This Row],[Maturity]],TODAY())-15</f>
        <v>1571</v>
      </c>
      <c r="Y50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01">
        <f>IF(Table1[[#This Row],[Ask Rate]]=0,0,Table1[[#This Row],[Face Value]]-Table1[[#This Row],[Ask Rate]])</f>
        <v>-169.99</v>
      </c>
      <c r="AA501">
        <f>IF(Table1[[#This Row],[Freq]]="Yearly",Table1[[#This Row],[Coupon_Rate]]/100,IF(Table1[[#This Row],[Freq]]="Monthly",Table1[[#This Row],[Coupon_Rate]]/1200,IF(Table1[[#This Row],[Freq]]="Quarterly",Table1[[#This Row],[Coupon_Rate]]/400,0)))</f>
        <v>8.6500000000000007E-2</v>
      </c>
      <c r="AB501">
        <f ca="1">Table1[[#This Row],[Face Value]]*Table1[[#This Row],[Rate]]*Table1[[#This Row],[Time]]</f>
        <v>432.50000000000006</v>
      </c>
      <c r="AC501">
        <f ca="1">Table1[[#This Row],[SI]]+Table1[[#This Row],[Disc/Prem]]</f>
        <v>262.51000000000005</v>
      </c>
      <c r="AD501" s="3">
        <f ca="1">Table1[[#This Row],[Net Gain]]/Table1[[#This Row],[Ask Rate]]</f>
        <v>0.2243694390550347</v>
      </c>
      <c r="AE501" s="3">
        <f ca="1">IF(Table1[[#This Row],[Ask Qty]]=0,0,Table1[[#This Row],[Gross Yield]]*365/Table1[[#This Row],[Days Left]])</f>
        <v>5.1636094107873683E-2</v>
      </c>
      <c r="AF501" s="9">
        <f ca="1">+Table1[[#This Row],[Net Gain]]*Table1[[#This Row],[Ask Qty]]</f>
        <v>13125.500000000002</v>
      </c>
      <c r="AG501" t="str">
        <f ca="1">IF(Table1[[#This Row],[YTM]]&gt;0.12,IF(Table1[[#This Row],[Gross Profit]]&gt;10000,"Invest","Review"),"Low YTM")</f>
        <v>Low YTM</v>
      </c>
    </row>
    <row r="502" spans="1:33" x14ac:dyDescent="0.3">
      <c r="A502" t="str">
        <f>RTD("nest.scriprtd",,"nse_cm|851HUDCO28-NB","Symbol")</f>
        <v>851HUDCO28</v>
      </c>
      <c r="B502" t="str">
        <f>RTD("nest.scriprtd",,"nse_cm|851HUDCO28-NB","Trading Symbol")</f>
        <v>851HUDCO28-NB</v>
      </c>
      <c r="C502" t="str">
        <f>RTD("nest.scriprtd",,"nse_cm|851HUDCO28-NB","Exchange")</f>
        <v>NSE</v>
      </c>
      <c r="D502">
        <f>RTD("nest.scriprtd",,"nse_cm|851HUDCO28-NB","Bid Qty")</f>
        <v>500</v>
      </c>
      <c r="E502">
        <f>RTD("nest.scriprtd",,"nse_cm|851HUDCO28-NB","Bid Rate")</f>
        <v>1077.1099999999999</v>
      </c>
      <c r="F502">
        <f>RTD("nest.scriprtd",,"nse_cm|851HUDCO28-NB","Ask Rate")</f>
        <v>1110</v>
      </c>
      <c r="G502">
        <f>RTD("nest.scriprtd",,"nse_cm|851HUDCO28-NB","Ask Qty")</f>
        <v>486</v>
      </c>
      <c r="H502">
        <f>RTD("nest.scriprtd",,"nse_cm|851HUDCO28-NB","LTP")</f>
        <v>1109.99</v>
      </c>
      <c r="I502" t="str">
        <f>RTD("nest.scriprtd",,"nse_cm|851HUDCO28-NB","LTT")</f>
        <v/>
      </c>
      <c r="J502">
        <f>RTD("nest.scriprtd",,"nse_cm|851HUDCO28-NB","% Change")</f>
        <v>0</v>
      </c>
      <c r="K502">
        <f>RTD("nest.scriprtd",,"nse_cm|851HUDCO28-NB","ATP")</f>
        <v>0</v>
      </c>
      <c r="L502">
        <f>RTD("nest.scriprtd",,"nse_cm|851HUDCO28-NB","Volume Traded Today")</f>
        <v>0</v>
      </c>
      <c r="M502">
        <f>RTD("nest.scriprtd",,"nse_cm|851HUDCO28-NB","Open")</f>
        <v>0</v>
      </c>
      <c r="N502">
        <f>RTD("nest.scriprtd",,"nse_cm|851HUDCO28-NB","High")</f>
        <v>1109.99</v>
      </c>
      <c r="O502">
        <f>RTD("nest.scriprtd",,"nse_cm|851HUDCO28-NB","Low ")</f>
        <v>1109.99</v>
      </c>
      <c r="P502">
        <f>RTD("nest.scriprtd",,"nse_cm|851HUDCO28-NB","Prev Close")</f>
        <v>1109.99</v>
      </c>
      <c r="Q502">
        <f>RTD("nest.scriprtd",,"nse_cm|851HUDCO28-NB","Face Value")</f>
        <v>1000</v>
      </c>
      <c r="R502" t="str">
        <f>RTD("nest.scriprtd",,"nse_cm|851HUDCO28-NB","Isin code")</f>
        <v>INE031A07915</v>
      </c>
      <c r="S502" s="9">
        <f>Table1[[#This Row],[Ask Rate]]*Table1[[#This Row],[Ask Qty]]</f>
        <v>539460</v>
      </c>
      <c r="T502">
        <f>VLOOKUP(Table1[[#This Row],[Isin code]],Table2[#All],7,FALSE)</f>
        <v>8.51</v>
      </c>
      <c r="U502" s="17">
        <f>VLOOKUP(Table1[[#This Row],[Isin code]],Table2[#All],8,FALSE)</f>
        <v>47051</v>
      </c>
      <c r="V502" s="10">
        <f ca="1">Table1[[#This Row],[Maturity]]-TODAY()</f>
        <v>1470</v>
      </c>
      <c r="W502" t="str">
        <f>VLOOKUP(Table1[[#This Row],[Isin code]],Table2[#All],10,FALSE)</f>
        <v>Yearly</v>
      </c>
      <c r="X502">
        <f ca="1">_xlfn.DAYS(Table1[[#This Row],[Maturity]],TODAY())-15</f>
        <v>1455</v>
      </c>
      <c r="Y5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02">
        <f>IF(Table1[[#This Row],[Ask Rate]]=0,0,Table1[[#This Row],[Face Value]]-Table1[[#This Row],[Ask Rate]])</f>
        <v>-110</v>
      </c>
      <c r="AA502">
        <f>IF(Table1[[#This Row],[Freq]]="Yearly",Table1[[#This Row],[Coupon_Rate]]/100,IF(Table1[[#This Row],[Freq]]="Monthly",Table1[[#This Row],[Coupon_Rate]]/1200,IF(Table1[[#This Row],[Freq]]="Quarterly",Table1[[#This Row],[Coupon_Rate]]/400,0)))</f>
        <v>8.5099999999999995E-2</v>
      </c>
      <c r="AB502">
        <f ca="1">Table1[[#This Row],[Face Value]]*Table1[[#This Row],[Rate]]*Table1[[#This Row],[Time]]</f>
        <v>340.4</v>
      </c>
      <c r="AC502">
        <f ca="1">Table1[[#This Row],[SI]]+Table1[[#This Row],[Disc/Prem]]</f>
        <v>230.39999999999998</v>
      </c>
      <c r="AD502" s="3">
        <f ca="1">Table1[[#This Row],[Net Gain]]/Table1[[#This Row],[Ask Rate]]</f>
        <v>0.20756756756756756</v>
      </c>
      <c r="AE502" s="3">
        <f ca="1">IF(Table1[[#This Row],[Ask Qty]]=0,0,Table1[[#This Row],[Gross Yield]]*365/Table1[[#This Row],[Days Left]])</f>
        <v>5.1538885824600103E-2</v>
      </c>
      <c r="AF502" s="9">
        <f ca="1">+Table1[[#This Row],[Net Gain]]*Table1[[#This Row],[Ask Qty]]</f>
        <v>111974.39999999999</v>
      </c>
      <c r="AG502" t="str">
        <f ca="1">IF(Table1[[#This Row],[YTM]]&gt;0.12,IF(Table1[[#This Row],[Gross Profit]]&gt;10000,"Invest","Review"),"Low YTM")</f>
        <v>Low YTM</v>
      </c>
    </row>
    <row r="503" spans="1:33" x14ac:dyDescent="0.3">
      <c r="A503" t="str">
        <f>RTD("nest.scriprtd",,"bse_cm|955EFSL26","Symbol")</f>
        <v>955EFSL26</v>
      </c>
      <c r="B503" t="str">
        <f>RTD("nest.scriprtd",,"bse_cm|955EFSL26","Trading Symbol")</f>
        <v>955EFSL26</v>
      </c>
      <c r="C503" t="str">
        <f>RTD("nest.scriprtd",,"bse_cm|955EFSL26","Exchange")</f>
        <v>BSE</v>
      </c>
      <c r="D503">
        <f>RTD("nest.scriprtd",,"bse_cm|955EFSL26","Bid Qty")</f>
        <v>190</v>
      </c>
      <c r="E503">
        <f>RTD("nest.scriprtd",,"bse_cm|955EFSL26","Bid Rate")</f>
        <v>972.2</v>
      </c>
      <c r="F503">
        <f>RTD("nest.scriprtd",,"bse_cm|955EFSL26","Ask Rate")</f>
        <v>1104.8900000000001</v>
      </c>
      <c r="G503">
        <f>RTD("nest.scriprtd",,"bse_cm|955EFSL26","Ask Qty")</f>
        <v>50</v>
      </c>
      <c r="H503">
        <f>RTD("nest.scriprtd",,"bse_cm|955EFSL26","LTP")</f>
        <v>0</v>
      </c>
      <c r="I503" t="str">
        <f>RTD("nest.scriprtd",,"bse_cm|955EFSL26","LTT")</f>
        <v>00:00:00</v>
      </c>
      <c r="J503">
        <f>RTD("nest.scriprtd",,"bse_cm|955EFSL26","% Change")</f>
        <v>-100</v>
      </c>
      <c r="K503">
        <f>RTD("nest.scriprtd",,"bse_cm|955EFSL26","ATP")</f>
        <v>0</v>
      </c>
      <c r="L503">
        <f>RTD("nest.scriprtd",,"bse_cm|955EFSL26","Volume Traded Today")</f>
        <v>0</v>
      </c>
      <c r="M503">
        <f>RTD("nest.scriprtd",,"bse_cm|955EFSL26","Open")</f>
        <v>0</v>
      </c>
      <c r="N503">
        <f>RTD("nest.scriprtd",,"bse_cm|955EFSL26","High")</f>
        <v>989.8</v>
      </c>
      <c r="O503">
        <f>RTD("nest.scriprtd",,"bse_cm|955EFSL26","Low ")</f>
        <v>972.2</v>
      </c>
      <c r="P503">
        <f>RTD("nest.scriprtd",,"bse_cm|955EFSL26","Prev Close")</f>
        <v>989.8</v>
      </c>
      <c r="Q503">
        <f>RTD("nest.scriprtd",,"bse_cm|955EFSL26","Face Value")</f>
        <v>1000</v>
      </c>
      <c r="R503" t="str">
        <f>RTD("nest.scriprtd",,"bse_cm|955EFSL26","Isin code")</f>
        <v>INE532F07BY8</v>
      </c>
      <c r="S503" s="9">
        <f>Table1[[#This Row],[Ask Rate]]*Table1[[#This Row],[Ask Qty]]</f>
        <v>55244.500000000007</v>
      </c>
      <c r="T503">
        <f>VLOOKUP(Table1[[#This Row],[Isin code]],Table2[#All],7,FALSE)</f>
        <v>9.5500000000000007</v>
      </c>
      <c r="U503" s="17" t="str">
        <f>VLOOKUP(Table1[[#This Row],[Isin code]],Table2[#All],8,FALSE)</f>
        <v>29-Apr-2026</v>
      </c>
      <c r="V503" s="10">
        <f ca="1">Table1[[#This Row],[Maturity]]-TODAY()</f>
        <v>560</v>
      </c>
      <c r="W503" t="str">
        <f>VLOOKUP(Table1[[#This Row],[Isin code]],Table2[#All],10,FALSE)</f>
        <v>Yearly</v>
      </c>
      <c r="X503">
        <f ca="1">_xlfn.DAYS(Table1[[#This Row],[Maturity]],TODAY())-15</f>
        <v>545</v>
      </c>
      <c r="Y5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03">
        <f>IF(Table1[[#This Row],[Ask Rate]]=0,0,Table1[[#This Row],[Face Value]]-Table1[[#This Row],[Ask Rate]])</f>
        <v>-104.8900000000001</v>
      </c>
      <c r="AA503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503">
        <f ca="1">Table1[[#This Row],[Face Value]]*Table1[[#This Row],[Rate]]*Table1[[#This Row],[Time]]</f>
        <v>191</v>
      </c>
      <c r="AC503">
        <f ca="1">Table1[[#This Row],[SI]]+Table1[[#This Row],[Disc/Prem]]</f>
        <v>86.1099999999999</v>
      </c>
      <c r="AD503" s="3">
        <f ca="1">Table1[[#This Row],[Net Gain]]/Table1[[#This Row],[Ask Rate]]</f>
        <v>7.7935360081093946E-2</v>
      </c>
      <c r="AE503" s="3">
        <f ca="1">IF(Table1[[#This Row],[Ask Qty]]=0,0,Table1[[#This Row],[Gross Yield]]*365/Table1[[#This Row],[Days Left]])</f>
        <v>5.0797154338570162E-2</v>
      </c>
      <c r="AF503" s="9">
        <f ca="1">+Table1[[#This Row],[Net Gain]]*Table1[[#This Row],[Ask Qty]]</f>
        <v>4305.4999999999945</v>
      </c>
      <c r="AG503" t="str">
        <f ca="1">IF(Table1[[#This Row],[YTM]]&gt;0.12,IF(Table1[[#This Row],[Gross Profit]]&gt;10000,"Invest","Review"),"Low YTM")</f>
        <v>Low YTM</v>
      </c>
    </row>
    <row r="504" spans="1:33" x14ac:dyDescent="0.3">
      <c r="A504" t="str">
        <f>RTD("nest.scriprtd",,"nse_cm|888NHB29-N5","Symbol")</f>
        <v>888NHB29</v>
      </c>
      <c r="B504" t="str">
        <f>RTD("nest.scriprtd",,"nse_cm|888NHB29-N5","Trading Symbol")</f>
        <v>888NHB29-N5</v>
      </c>
      <c r="C504" t="str">
        <f>RTD("nest.scriprtd",,"nse_cm|888NHB29-N5","Exchange")</f>
        <v>NSE</v>
      </c>
      <c r="D504">
        <f>RTD("nest.scriprtd",,"nse_cm|888NHB29-N5","Bid Qty")</f>
        <v>10</v>
      </c>
      <c r="E504">
        <f>RTD("nest.scriprtd",,"nse_cm|888NHB29-N5","Bid Rate")</f>
        <v>5800</v>
      </c>
      <c r="F504">
        <f>RTD("nest.scriprtd",,"nse_cm|888NHB29-N5","Ask Rate")</f>
        <v>5950</v>
      </c>
      <c r="G504">
        <f>RTD("nest.scriprtd",,"nse_cm|888NHB29-N5","Ask Qty")</f>
        <v>50</v>
      </c>
      <c r="H504">
        <f>RTD("nest.scriprtd",,"nse_cm|888NHB29-N5","LTP")</f>
        <v>5747.01</v>
      </c>
      <c r="I504" t="str">
        <f>RTD("nest.scriprtd",,"nse_cm|888NHB29-N5","LTT")</f>
        <v/>
      </c>
      <c r="J504">
        <f>RTD("nest.scriprtd",,"nse_cm|888NHB29-N5","% Change")</f>
        <v>0</v>
      </c>
      <c r="K504">
        <f>RTD("nest.scriprtd",,"nse_cm|888NHB29-N5","ATP")</f>
        <v>0</v>
      </c>
      <c r="L504">
        <f>RTD("nest.scriprtd",,"nse_cm|888NHB29-N5","Volume Traded Today")</f>
        <v>0</v>
      </c>
      <c r="M504">
        <f>RTD("nest.scriprtd",,"nse_cm|888NHB29-N5","Open")</f>
        <v>0</v>
      </c>
      <c r="N504">
        <f>RTD("nest.scriprtd",,"nse_cm|888NHB29-N5","High")</f>
        <v>5747.01</v>
      </c>
      <c r="O504">
        <f>RTD("nest.scriprtd",,"nse_cm|888NHB29-N5","Low ")</f>
        <v>5747.01</v>
      </c>
      <c r="P504">
        <f>RTD("nest.scriprtd",,"nse_cm|888NHB29-N5","Prev Close")</f>
        <v>5747.01</v>
      </c>
      <c r="Q504">
        <f>RTD("nest.scriprtd",,"nse_cm|888NHB29-N5","Face Value")</f>
        <v>5000</v>
      </c>
      <c r="R504" t="str">
        <f>RTD("nest.scriprtd",,"nse_cm|888NHB29-N5","Isin code")</f>
        <v>INE557F07124</v>
      </c>
      <c r="S504" s="9">
        <f>Table1[[#This Row],[Ask Rate]]*Table1[[#This Row],[Ask Qty]]</f>
        <v>297500</v>
      </c>
      <c r="T504">
        <f>VLOOKUP(Table1[[#This Row],[Isin code]],Table2[#All],7,FALSE)</f>
        <v>8.8800000000000008</v>
      </c>
      <c r="U504" s="17" t="str">
        <f>VLOOKUP(Table1[[#This Row],[Isin code]],Table2[#All],8,FALSE)</f>
        <v>13-Jan-2029</v>
      </c>
      <c r="V504" s="10">
        <f ca="1">Table1[[#This Row],[Maturity]]-TODAY()</f>
        <v>1550</v>
      </c>
      <c r="W504" t="str">
        <f>VLOOKUP(Table1[[#This Row],[Isin code]],Table2[#All],10,FALSE)</f>
        <v>Yearly</v>
      </c>
      <c r="X504">
        <f ca="1">_xlfn.DAYS(Table1[[#This Row],[Maturity]],TODAY())-15</f>
        <v>1535</v>
      </c>
      <c r="Y5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04">
        <f>IF(Table1[[#This Row],[Ask Rate]]=0,0,Table1[[#This Row],[Face Value]]-Table1[[#This Row],[Ask Rate]])</f>
        <v>-950</v>
      </c>
      <c r="AA504">
        <f>IF(Table1[[#This Row],[Freq]]="Yearly",Table1[[#This Row],[Coupon_Rate]]/100,IF(Table1[[#This Row],[Freq]]="Monthly",Table1[[#This Row],[Coupon_Rate]]/1200,IF(Table1[[#This Row],[Freq]]="Quarterly",Table1[[#This Row],[Coupon_Rate]]/400,0)))</f>
        <v>8.8800000000000004E-2</v>
      </c>
      <c r="AB504">
        <f ca="1">Table1[[#This Row],[Face Value]]*Table1[[#This Row],[Rate]]*Table1[[#This Row],[Time]]</f>
        <v>2220</v>
      </c>
      <c r="AC504">
        <f ca="1">Table1[[#This Row],[SI]]+Table1[[#This Row],[Disc/Prem]]</f>
        <v>1270</v>
      </c>
      <c r="AD504" s="3">
        <f ca="1">Table1[[#This Row],[Net Gain]]/Table1[[#This Row],[Ask Rate]]</f>
        <v>0.2134453781512605</v>
      </c>
      <c r="AE504" s="3">
        <f ca="1">IF(Table1[[#This Row],[Ask Qty]]=0,0,Table1[[#This Row],[Gross Yield]]*365/Table1[[#This Row],[Days Left]])</f>
        <v>5.0262943887232313E-2</v>
      </c>
      <c r="AF504" s="9">
        <f ca="1">+Table1[[#This Row],[Net Gain]]*Table1[[#This Row],[Ask Qty]]</f>
        <v>63500</v>
      </c>
      <c r="AG504" t="str">
        <f ca="1">IF(Table1[[#This Row],[YTM]]&gt;0.12,IF(Table1[[#This Row],[Gross Profit]]&gt;10000,"Invest","Review"),"Low YTM")</f>
        <v>Low YTM</v>
      </c>
    </row>
    <row r="505" spans="1:33" x14ac:dyDescent="0.3">
      <c r="A505" t="str">
        <f>RTD("nest.scriprtd",,"nse_cm|855IREDA29-N2","Symbol")</f>
        <v>855IREDA29</v>
      </c>
      <c r="B505" t="str">
        <f>RTD("nest.scriprtd",,"nse_cm|855IREDA29-N2","Trading Symbol")</f>
        <v>855IREDA29-N2</v>
      </c>
      <c r="C505" t="str">
        <f>RTD("nest.scriprtd",,"nse_cm|855IREDA29-N2","Exchange")</f>
        <v>NSE</v>
      </c>
      <c r="D505">
        <f>RTD("nest.scriprtd",,"nse_cm|855IREDA29-N2","Bid Qty")</f>
        <v>100</v>
      </c>
      <c r="E505">
        <f>RTD("nest.scriprtd",,"nse_cm|855IREDA29-N2","Bid Rate")</f>
        <v>1154</v>
      </c>
      <c r="F505">
        <f>RTD("nest.scriprtd",,"nse_cm|855IREDA29-N2","Ask Rate")</f>
        <v>1169</v>
      </c>
      <c r="G505">
        <f>RTD("nest.scriprtd",,"nse_cm|855IREDA29-N2","Ask Qty")</f>
        <v>110</v>
      </c>
      <c r="H505">
        <f>RTD("nest.scriprtd",,"nse_cm|855IREDA29-N2","LTP")</f>
        <v>1165.5</v>
      </c>
      <c r="I505" t="str">
        <f>RTD("nest.scriprtd",,"nse_cm|855IREDA29-N2","LTT")</f>
        <v>10:05:21</v>
      </c>
      <c r="J505">
        <f>RTD("nest.scriprtd",,"nse_cm|855IREDA29-N2","% Change")</f>
        <v>2.5</v>
      </c>
      <c r="K505">
        <f>RTD("nest.scriprtd",,"nse_cm|855IREDA29-N2","ATP")</f>
        <v>1143.05</v>
      </c>
      <c r="L505">
        <f>RTD("nest.scriprtd",,"nse_cm|855IREDA29-N2","Volume Traded Today")</f>
        <v>200</v>
      </c>
      <c r="M505">
        <f>RTD("nest.scriprtd",,"nse_cm|855IREDA29-N2","Open")</f>
        <v>1137.0999999999999</v>
      </c>
      <c r="N505">
        <f>RTD("nest.scriprtd",,"nse_cm|855IREDA29-N2","High")</f>
        <v>1165.5</v>
      </c>
      <c r="O505">
        <f>RTD("nest.scriprtd",,"nse_cm|855IREDA29-N2","Low ")</f>
        <v>1137.0999999999999</v>
      </c>
      <c r="P505">
        <f>RTD("nest.scriprtd",,"nse_cm|855IREDA29-N2","Prev Close")</f>
        <v>1137.0999999999999</v>
      </c>
      <c r="Q505">
        <f>RTD("nest.scriprtd",,"nse_cm|855IREDA29-N2","Face Value")</f>
        <v>1000</v>
      </c>
      <c r="R505" t="str">
        <f>RTD("nest.scriprtd",,"nse_cm|855IREDA29-N2","Isin code")</f>
        <v>INE202E07120</v>
      </c>
      <c r="S505" s="9">
        <f>Table1[[#This Row],[Ask Rate]]*Table1[[#This Row],[Ask Qty]]</f>
        <v>128590</v>
      </c>
      <c r="T505">
        <f>VLOOKUP(Table1[[#This Row],[Isin code]],Table2[#All],7,FALSE)</f>
        <v>8.5500000000000007</v>
      </c>
      <c r="U505" s="17" t="str">
        <f>VLOOKUP(Table1[[#This Row],[Isin code]],Table2[#All],8,FALSE)</f>
        <v>13-Mar-2029</v>
      </c>
      <c r="V505" s="10">
        <f ca="1">Table1[[#This Row],[Maturity]]-TODAY()</f>
        <v>1609</v>
      </c>
      <c r="W505" t="str">
        <f>VLOOKUP(Table1[[#This Row],[Isin code]],Table2[#All],10,FALSE)</f>
        <v>Yearly</v>
      </c>
      <c r="X505">
        <f ca="1">_xlfn.DAYS(Table1[[#This Row],[Maturity]],TODAY())-15</f>
        <v>1594</v>
      </c>
      <c r="Y5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05">
        <f>IF(Table1[[#This Row],[Ask Rate]]=0,0,Table1[[#This Row],[Face Value]]-Table1[[#This Row],[Ask Rate]])</f>
        <v>-169</v>
      </c>
      <c r="AA505">
        <f>IF(Table1[[#This Row],[Freq]]="Yearly",Table1[[#This Row],[Coupon_Rate]]/100,IF(Table1[[#This Row],[Freq]]="Monthly",Table1[[#This Row],[Coupon_Rate]]/1200,IF(Table1[[#This Row],[Freq]]="Quarterly",Table1[[#This Row],[Coupon_Rate]]/400,0)))</f>
        <v>8.5500000000000007E-2</v>
      </c>
      <c r="AB505">
        <f ca="1">Table1[[#This Row],[Face Value]]*Table1[[#This Row],[Rate]]*Table1[[#This Row],[Time]]</f>
        <v>427.5</v>
      </c>
      <c r="AC505">
        <f ca="1">Table1[[#This Row],[SI]]+Table1[[#This Row],[Disc/Prem]]</f>
        <v>258.5</v>
      </c>
      <c r="AD505" s="3">
        <f ca="1">Table1[[#This Row],[Net Gain]]/Table1[[#This Row],[Ask Rate]]</f>
        <v>0.22112917023096665</v>
      </c>
      <c r="AE505" s="3">
        <f ca="1">IF(Table1[[#This Row],[Ask Qty]]=0,0,Table1[[#This Row],[Gross Yield]]*365/Table1[[#This Row],[Days Left]])</f>
        <v>5.0162925502984977E-2</v>
      </c>
      <c r="AF505" s="9">
        <f ca="1">+Table1[[#This Row],[Net Gain]]*Table1[[#This Row],[Ask Qty]]</f>
        <v>28435</v>
      </c>
      <c r="AG505" t="str">
        <f ca="1">IF(Table1[[#This Row],[YTM]]&gt;0.12,IF(Table1[[#This Row],[Gross Profit]]&gt;10000,"Invest","Review"),"Low YTM")</f>
        <v>Low YTM</v>
      </c>
    </row>
    <row r="506" spans="1:33" x14ac:dyDescent="0.3">
      <c r="A506" t="str">
        <f>RTD("nest.scriprtd",,"bse_cm|965SCL25C","Symbol")</f>
        <v>965SCL25C</v>
      </c>
      <c r="B506" t="str">
        <f>RTD("nest.scriprtd",,"bse_cm|965SCL25C","Trading Symbol")</f>
        <v>965SCL25C</v>
      </c>
      <c r="C506" t="str">
        <f>RTD("nest.scriprtd",,"bse_cm|965SCL25C","Exchange")</f>
        <v>BSE</v>
      </c>
      <c r="D506">
        <f>RTD("nest.scriprtd",,"bse_cm|965SCL25C","Bid Qty")</f>
        <v>12</v>
      </c>
      <c r="E506">
        <f>RTD("nest.scriprtd",,"bse_cm|965SCL25C","Bid Rate")</f>
        <v>800.4</v>
      </c>
      <c r="F506">
        <f>RTD("nest.scriprtd",,"bse_cm|965SCL25C","Ask Rate")</f>
        <v>900</v>
      </c>
      <c r="G506">
        <f>RTD("nest.scriprtd",,"bse_cm|965SCL25C","Ask Qty")</f>
        <v>100</v>
      </c>
      <c r="H506">
        <f>RTD("nest.scriprtd",,"bse_cm|965SCL25C","LTP")</f>
        <v>0</v>
      </c>
      <c r="I506" t="str">
        <f>RTD("nest.scriprtd",,"bse_cm|965SCL25C","LTT")</f>
        <v>00:00:00</v>
      </c>
      <c r="J506">
        <f>RTD("nest.scriprtd",,"bse_cm|965SCL25C","% Change")</f>
        <v>-100</v>
      </c>
      <c r="K506">
        <f>RTD("nest.scriprtd",,"bse_cm|965SCL25C","ATP")</f>
        <v>0</v>
      </c>
      <c r="L506">
        <f>RTD("nest.scriprtd",,"bse_cm|965SCL25C","Volume Traded Today")</f>
        <v>0</v>
      </c>
      <c r="M506">
        <f>RTD("nest.scriprtd",,"bse_cm|965SCL25C","Open")</f>
        <v>0</v>
      </c>
      <c r="N506">
        <f>RTD("nest.scriprtd",,"bse_cm|965SCL25C","High")</f>
        <v>888</v>
      </c>
      <c r="O506">
        <f>RTD("nest.scriprtd",,"bse_cm|965SCL25C","Low ")</f>
        <v>888</v>
      </c>
      <c r="P506">
        <f>RTD("nest.scriprtd",,"bse_cm|965SCL25C","Prev Close")</f>
        <v>888</v>
      </c>
      <c r="Q506">
        <f>RTD("nest.scriprtd",,"bse_cm|965SCL25C","Face Value")</f>
        <v>800</v>
      </c>
      <c r="R506" t="str">
        <f>RTD("nest.scriprtd",,"bse_cm|965SCL25C","Isin code")</f>
        <v>INE148I07ND6</v>
      </c>
      <c r="S506" s="9">
        <f>Table1[[#This Row],[Ask Rate]]*Table1[[#This Row],[Ask Qty]]</f>
        <v>90000</v>
      </c>
      <c r="T506">
        <f>VLOOKUP(Table1[[#This Row],[Isin code]],Table2[#All],7,FALSE)</f>
        <v>9.39</v>
      </c>
      <c r="U506" s="17" t="str">
        <f>VLOOKUP(Table1[[#This Row],[Isin code]],Table2[#All],8,FALSE)</f>
        <v>28-Dec-2027</v>
      </c>
      <c r="V506" s="10">
        <f ca="1">Table1[[#This Row],[Maturity]]-TODAY()</f>
        <v>1168</v>
      </c>
      <c r="W506" t="str">
        <f>VLOOKUP(Table1[[#This Row],[Isin code]],Table2[#All],10,FALSE)</f>
        <v>Monthly</v>
      </c>
      <c r="X506">
        <f ca="1">_xlfn.DAYS(Table1[[#This Row],[Maturity]],TODAY())-15</f>
        <v>1153</v>
      </c>
      <c r="Y5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506">
        <f>IF(Table1[[#This Row],[Ask Rate]]=0,0,Table1[[#This Row],[Face Value]]-Table1[[#This Row],[Ask Rate]])</f>
        <v>-100</v>
      </c>
      <c r="AA506">
        <f>IF(Table1[[#This Row],[Freq]]="Yearly",Table1[[#This Row],[Coupon_Rate]]/100,IF(Table1[[#This Row],[Freq]]="Monthly",Table1[[#This Row],[Coupon_Rate]]/1200,IF(Table1[[#This Row],[Freq]]="Quarterly",Table1[[#This Row],[Coupon_Rate]]/400,0)))</f>
        <v>7.8250000000000004E-3</v>
      </c>
      <c r="AB506">
        <f ca="1">Table1[[#This Row],[Face Value]]*Table1[[#This Row],[Rate]]*Table1[[#This Row],[Time]]</f>
        <v>244.14000000000001</v>
      </c>
      <c r="AC506">
        <f ca="1">Table1[[#This Row],[SI]]+Table1[[#This Row],[Disc/Prem]]</f>
        <v>144.14000000000001</v>
      </c>
      <c r="AD506" s="3">
        <f ca="1">Table1[[#This Row],[Net Gain]]/Table1[[#This Row],[Ask Rate]]</f>
        <v>0.16015555555555558</v>
      </c>
      <c r="AE506" s="3">
        <f ca="1">IF(Table1[[#This Row],[Ask Qty]]=0,0,Table1[[#This Row],[Gross Yield]]*365/Table1[[#This Row],[Days Left]])</f>
        <v>5.004861111111112E-2</v>
      </c>
      <c r="AF506" s="9">
        <f ca="1">+Table1[[#This Row],[Net Gain]]*Table1[[#This Row],[Ask Qty]]</f>
        <v>14414.000000000002</v>
      </c>
      <c r="AG506" t="str">
        <f ca="1">IF(Table1[[#This Row],[YTM]]&gt;0.12,IF(Table1[[#This Row],[Gross Profit]]&gt;10000,"Invest","Review"),"Low YTM")</f>
        <v>Low YTM</v>
      </c>
    </row>
    <row r="507" spans="1:33" x14ac:dyDescent="0.3">
      <c r="A507" t="str">
        <f>RTD("nest.scriprtd",,"nse_cm|965SCL25C-N0","Symbol")</f>
        <v>965SCL25C</v>
      </c>
      <c r="B507" t="str">
        <f>RTD("nest.scriprtd",,"nse_cm|965SCL25C-N0","Trading Symbol")</f>
        <v>965SCL25C-N0</v>
      </c>
      <c r="C507" t="str">
        <f>RTD("nest.scriprtd",,"nse_cm|965SCL25C-N0","Exchange")</f>
        <v>NSE</v>
      </c>
      <c r="D507">
        <f>RTD("nest.scriprtd",,"nse_cm|965SCL25C-N0","Bid Qty")</f>
        <v>12</v>
      </c>
      <c r="E507">
        <f>RTD("nest.scriprtd",,"nse_cm|965SCL25C-N0","Bid Rate")</f>
        <v>801.3</v>
      </c>
      <c r="F507">
        <f>RTD("nest.scriprtd",,"nse_cm|965SCL25C-N0","Ask Rate")</f>
        <v>900</v>
      </c>
      <c r="G507">
        <f>RTD("nest.scriprtd",,"nse_cm|965SCL25C-N0","Ask Qty")</f>
        <v>130</v>
      </c>
      <c r="H507">
        <f>RTD("nest.scriprtd",,"nse_cm|965SCL25C-N0","LTP")</f>
        <v>900</v>
      </c>
      <c r="I507" t="str">
        <f>RTD("nest.scriprtd",,"nse_cm|965SCL25C-N0","LTT")</f>
        <v/>
      </c>
      <c r="J507">
        <f>RTD("nest.scriprtd",,"nse_cm|965SCL25C-N0","% Change")</f>
        <v>0</v>
      </c>
      <c r="K507">
        <f>RTD("nest.scriprtd",,"nse_cm|965SCL25C-N0","ATP")</f>
        <v>0</v>
      </c>
      <c r="L507">
        <f>RTD("nest.scriprtd",,"nse_cm|965SCL25C-N0","Volume Traded Today")</f>
        <v>0</v>
      </c>
      <c r="M507">
        <f>RTD("nest.scriprtd",,"nse_cm|965SCL25C-N0","Open")</f>
        <v>0</v>
      </c>
      <c r="N507">
        <f>RTD("nest.scriprtd",,"nse_cm|965SCL25C-N0","High")</f>
        <v>900</v>
      </c>
      <c r="O507">
        <f>RTD("nest.scriprtd",,"nse_cm|965SCL25C-N0","Low ")</f>
        <v>900</v>
      </c>
      <c r="P507">
        <f>RTD("nest.scriprtd",,"nse_cm|965SCL25C-N0","Prev Close")</f>
        <v>900</v>
      </c>
      <c r="Q507">
        <f>RTD("nest.scriprtd",,"nse_cm|965SCL25C-N0","Face Value")</f>
        <v>800</v>
      </c>
      <c r="R507" t="str">
        <f>RTD("nest.scriprtd",,"nse_cm|965SCL25C-N0","Isin code")</f>
        <v>INE148I07ND6</v>
      </c>
      <c r="S507" s="9">
        <f>Table1[[#This Row],[Ask Rate]]*Table1[[#This Row],[Ask Qty]]</f>
        <v>117000</v>
      </c>
      <c r="T507">
        <f>VLOOKUP(Table1[[#This Row],[Isin code]],Table2[#All],7,FALSE)</f>
        <v>9.39</v>
      </c>
      <c r="U507" s="17" t="str">
        <f>VLOOKUP(Table1[[#This Row],[Isin code]],Table2[#All],8,FALSE)</f>
        <v>28-Dec-2027</v>
      </c>
      <c r="V507" s="10">
        <f ca="1">Table1[[#This Row],[Maturity]]-TODAY()</f>
        <v>1168</v>
      </c>
      <c r="W507" t="str">
        <f>VLOOKUP(Table1[[#This Row],[Isin code]],Table2[#All],10,FALSE)</f>
        <v>Monthly</v>
      </c>
      <c r="X507">
        <f ca="1">_xlfn.DAYS(Table1[[#This Row],[Maturity]],TODAY())-15</f>
        <v>1153</v>
      </c>
      <c r="Y5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507">
        <f>IF(Table1[[#This Row],[Ask Rate]]=0,0,Table1[[#This Row],[Face Value]]-Table1[[#This Row],[Ask Rate]])</f>
        <v>-100</v>
      </c>
      <c r="AA507">
        <f>IF(Table1[[#This Row],[Freq]]="Yearly",Table1[[#This Row],[Coupon_Rate]]/100,IF(Table1[[#This Row],[Freq]]="Monthly",Table1[[#This Row],[Coupon_Rate]]/1200,IF(Table1[[#This Row],[Freq]]="Quarterly",Table1[[#This Row],[Coupon_Rate]]/400,0)))</f>
        <v>7.8250000000000004E-3</v>
      </c>
      <c r="AB507">
        <f ca="1">Table1[[#This Row],[Face Value]]*Table1[[#This Row],[Rate]]*Table1[[#This Row],[Time]]</f>
        <v>244.14000000000001</v>
      </c>
      <c r="AC507">
        <f ca="1">Table1[[#This Row],[SI]]+Table1[[#This Row],[Disc/Prem]]</f>
        <v>144.14000000000001</v>
      </c>
      <c r="AD507" s="3">
        <f ca="1">Table1[[#This Row],[Net Gain]]/Table1[[#This Row],[Ask Rate]]</f>
        <v>0.16015555555555558</v>
      </c>
      <c r="AE507" s="3">
        <f ca="1">IF(Table1[[#This Row],[Ask Qty]]=0,0,Table1[[#This Row],[Gross Yield]]*365/Table1[[#This Row],[Days Left]])</f>
        <v>5.004861111111112E-2</v>
      </c>
      <c r="AF507" s="9">
        <f ca="1">+Table1[[#This Row],[Net Gain]]*Table1[[#This Row],[Ask Qty]]</f>
        <v>18738.2</v>
      </c>
      <c r="AG507" t="str">
        <f ca="1">IF(Table1[[#This Row],[YTM]]&gt;0.12,IF(Table1[[#This Row],[Gross Profit]]&gt;10000,"Invest","Review"),"Low YTM")</f>
        <v>Low YTM</v>
      </c>
    </row>
    <row r="508" spans="1:33" x14ac:dyDescent="0.3">
      <c r="A508" t="str">
        <f>RTD("nest.scriprtd",,"nse_cm|888IRFC29-NE","Symbol")</f>
        <v>888IRFC29</v>
      </c>
      <c r="B508" t="str">
        <f>RTD("nest.scriprtd",,"nse_cm|888IRFC29-NE","Trading Symbol")</f>
        <v>888IRFC29-NE</v>
      </c>
      <c r="C508" t="str">
        <f>RTD("nest.scriprtd",,"nse_cm|888IRFC29-NE","Exchange")</f>
        <v>NSE</v>
      </c>
      <c r="D508">
        <f>RTD("nest.scriprtd",,"nse_cm|888IRFC29-NE","Bid Qty")</f>
        <v>100</v>
      </c>
      <c r="E508">
        <f>RTD("nest.scriprtd",,"nse_cm|888IRFC29-NE","Bid Rate")</f>
        <v>1165.0999999999999</v>
      </c>
      <c r="F508">
        <f>RTD("nest.scriprtd",,"nse_cm|888IRFC29-NE","Ask Rate")</f>
        <v>1181.99</v>
      </c>
      <c r="G508">
        <f>RTD("nest.scriprtd",,"nse_cm|888IRFC29-NE","Ask Qty")</f>
        <v>10</v>
      </c>
      <c r="H508">
        <f>RTD("nest.scriprtd",,"nse_cm|888IRFC29-NE","LTP")</f>
        <v>1183</v>
      </c>
      <c r="I508" t="str">
        <f>RTD("nest.scriprtd",,"nse_cm|888IRFC29-NE","LTT")</f>
        <v/>
      </c>
      <c r="J508">
        <f>RTD("nest.scriprtd",,"nse_cm|888IRFC29-NE","% Change")</f>
        <v>0</v>
      </c>
      <c r="K508">
        <f>RTD("nest.scriprtd",,"nse_cm|888IRFC29-NE","ATP")</f>
        <v>0</v>
      </c>
      <c r="L508">
        <f>RTD("nest.scriprtd",,"nse_cm|888IRFC29-NE","Volume Traded Today")</f>
        <v>0</v>
      </c>
      <c r="M508">
        <f>RTD("nest.scriprtd",,"nse_cm|888IRFC29-NE","Open")</f>
        <v>0</v>
      </c>
      <c r="N508">
        <f>RTD("nest.scriprtd",,"nse_cm|888IRFC29-NE","High")</f>
        <v>1183</v>
      </c>
      <c r="O508">
        <f>RTD("nest.scriprtd",,"nse_cm|888IRFC29-NE","Low ")</f>
        <v>1181.96</v>
      </c>
      <c r="P508">
        <f>RTD("nest.scriprtd",,"nse_cm|888IRFC29-NE","Prev Close")</f>
        <v>1183</v>
      </c>
      <c r="Q508">
        <f>RTD("nest.scriprtd",,"nse_cm|888IRFC29-NE","Face Value")</f>
        <v>1000</v>
      </c>
      <c r="R508" t="str">
        <f>RTD("nest.scriprtd",,"nse_cm|888IRFC29-NE","Isin code")</f>
        <v>INE053F07744</v>
      </c>
      <c r="S508" s="9">
        <f>Table1[[#This Row],[Ask Rate]]*Table1[[#This Row],[Ask Qty]]</f>
        <v>11819.9</v>
      </c>
      <c r="T508">
        <f>VLOOKUP(Table1[[#This Row],[Isin code]],Table2[#All],7,FALSE)</f>
        <v>8.8800000000000008</v>
      </c>
      <c r="U508" s="17" t="str">
        <f>VLOOKUP(Table1[[#This Row],[Isin code]],Table2[#All],8,FALSE)</f>
        <v>26-Mar-2029</v>
      </c>
      <c r="V508" s="10">
        <f ca="1">Table1[[#This Row],[Maturity]]-TODAY()</f>
        <v>1622</v>
      </c>
      <c r="W508" t="str">
        <f>VLOOKUP(Table1[[#This Row],[Isin code]],Table2[#All],10,FALSE)</f>
        <v>Yearly</v>
      </c>
      <c r="X508">
        <f ca="1">_xlfn.DAYS(Table1[[#This Row],[Maturity]],TODAY())-15</f>
        <v>1607</v>
      </c>
      <c r="Y5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08">
        <f>IF(Table1[[#This Row],[Ask Rate]]=0,0,Table1[[#This Row],[Face Value]]-Table1[[#This Row],[Ask Rate]])</f>
        <v>-181.99</v>
      </c>
      <c r="AA508">
        <f>IF(Table1[[#This Row],[Freq]]="Yearly",Table1[[#This Row],[Coupon_Rate]]/100,IF(Table1[[#This Row],[Freq]]="Monthly",Table1[[#This Row],[Coupon_Rate]]/1200,IF(Table1[[#This Row],[Freq]]="Quarterly",Table1[[#This Row],[Coupon_Rate]]/400,0)))</f>
        <v>8.8800000000000004E-2</v>
      </c>
      <c r="AB508">
        <f ca="1">Table1[[#This Row],[Face Value]]*Table1[[#This Row],[Rate]]*Table1[[#This Row],[Time]]</f>
        <v>444</v>
      </c>
      <c r="AC508">
        <f ca="1">Table1[[#This Row],[SI]]+Table1[[#This Row],[Disc/Prem]]</f>
        <v>262.01</v>
      </c>
      <c r="AD508" s="3">
        <f ca="1">Table1[[#This Row],[Net Gain]]/Table1[[#This Row],[Ask Rate]]</f>
        <v>0.22166854203504258</v>
      </c>
      <c r="AE508" s="3">
        <f ca="1">IF(Table1[[#This Row],[Ask Qty]]=0,0,Table1[[#This Row],[Gross Yield]]*365/Table1[[#This Row],[Days Left]])</f>
        <v>4.9882255143520682E-2</v>
      </c>
      <c r="AF508" s="9">
        <f ca="1">+Table1[[#This Row],[Net Gain]]*Table1[[#This Row],[Ask Qty]]</f>
        <v>2620.1</v>
      </c>
      <c r="AG508" t="str">
        <f ca="1">IF(Table1[[#This Row],[YTM]]&gt;0.12,IF(Table1[[#This Row],[Gross Profit]]&gt;10000,"Invest","Review"),"Low YTM")</f>
        <v>Low YTM</v>
      </c>
    </row>
    <row r="509" spans="1:33" x14ac:dyDescent="0.3">
      <c r="A509" t="str">
        <f>RTD("nest.scriprtd",,"nse_cm|876HUDCO28-ND","Symbol")</f>
        <v>876HUDCO28</v>
      </c>
      <c r="B509" t="str">
        <f>RTD("nest.scriprtd",,"nse_cm|876HUDCO28-ND","Trading Symbol")</f>
        <v>876HUDCO28-ND</v>
      </c>
      <c r="C509" t="str">
        <f>RTD("nest.scriprtd",,"nse_cm|876HUDCO28-ND","Exchange")</f>
        <v>NSE</v>
      </c>
      <c r="D509">
        <f>RTD("nest.scriprtd",,"nse_cm|876HUDCO28-ND","Bid Qty")</f>
        <v>5</v>
      </c>
      <c r="E509">
        <f>RTD("nest.scriprtd",,"nse_cm|876HUDCO28-ND","Bid Rate")</f>
        <v>1124.05</v>
      </c>
      <c r="F509">
        <f>RTD("nest.scriprtd",,"nse_cm|876HUDCO28-ND","Ask Rate")</f>
        <v>1124.5</v>
      </c>
      <c r="G509">
        <f>RTD("nest.scriprtd",,"nse_cm|876HUDCO28-ND","Ask Qty")</f>
        <v>49</v>
      </c>
      <c r="H509">
        <f>RTD("nest.scriprtd",,"nse_cm|876HUDCO28-ND","LTP")</f>
        <v>1124.24</v>
      </c>
      <c r="I509" t="str">
        <f>RTD("nest.scriprtd",,"nse_cm|876HUDCO28-ND","LTT")</f>
        <v/>
      </c>
      <c r="J509">
        <f>RTD("nest.scriprtd",,"nse_cm|876HUDCO28-ND","% Change")</f>
        <v>0</v>
      </c>
      <c r="K509">
        <f>RTD("nest.scriprtd",,"nse_cm|876HUDCO28-ND","ATP")</f>
        <v>0</v>
      </c>
      <c r="L509">
        <f>RTD("nest.scriprtd",,"nse_cm|876HUDCO28-ND","Volume Traded Today")</f>
        <v>0</v>
      </c>
      <c r="M509">
        <f>RTD("nest.scriprtd",,"nse_cm|876HUDCO28-ND","Open")</f>
        <v>0</v>
      </c>
      <c r="N509">
        <f>RTD("nest.scriprtd",,"nse_cm|876HUDCO28-ND","High")</f>
        <v>1124.9000000000001</v>
      </c>
      <c r="O509">
        <f>RTD("nest.scriprtd",,"nse_cm|876HUDCO28-ND","Low ")</f>
        <v>1120.45</v>
      </c>
      <c r="P509">
        <f>RTD("nest.scriprtd",,"nse_cm|876HUDCO28-ND","Prev Close")</f>
        <v>1124.24</v>
      </c>
      <c r="Q509">
        <f>RTD("nest.scriprtd",,"nse_cm|876HUDCO28-ND","Face Value")</f>
        <v>1000</v>
      </c>
      <c r="R509" t="str">
        <f>RTD("nest.scriprtd",,"nse_cm|876HUDCO28-ND","Isin code")</f>
        <v>INE031A07949</v>
      </c>
      <c r="S509" s="9">
        <f>Table1[[#This Row],[Ask Rate]]*Table1[[#This Row],[Ask Qty]]</f>
        <v>55100.5</v>
      </c>
      <c r="T509">
        <f>VLOOKUP(Table1[[#This Row],[Isin code]],Table2[#All],7,FALSE)</f>
        <v>8.76</v>
      </c>
      <c r="U509" s="17">
        <f>VLOOKUP(Table1[[#This Row],[Isin code]],Table2[#All],8,FALSE)</f>
        <v>47051</v>
      </c>
      <c r="V509" s="10">
        <f ca="1">Table1[[#This Row],[Maturity]]-TODAY()</f>
        <v>1470</v>
      </c>
      <c r="W509" t="str">
        <f>VLOOKUP(Table1[[#This Row],[Isin code]],Table2[#All],10,FALSE)</f>
        <v>Yearly</v>
      </c>
      <c r="X509">
        <f ca="1">_xlfn.DAYS(Table1[[#This Row],[Maturity]],TODAY())-15</f>
        <v>1455</v>
      </c>
      <c r="Y5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09">
        <f>IF(Table1[[#This Row],[Ask Rate]]=0,0,Table1[[#This Row],[Face Value]]-Table1[[#This Row],[Ask Rate]])</f>
        <v>-124.5</v>
      </c>
      <c r="AA509">
        <f>IF(Table1[[#This Row],[Freq]]="Yearly",Table1[[#This Row],[Coupon_Rate]]/100,IF(Table1[[#This Row],[Freq]]="Monthly",Table1[[#This Row],[Coupon_Rate]]/1200,IF(Table1[[#This Row],[Freq]]="Quarterly",Table1[[#This Row],[Coupon_Rate]]/400,0)))</f>
        <v>8.7599999999999997E-2</v>
      </c>
      <c r="AB509">
        <f ca="1">Table1[[#This Row],[Face Value]]*Table1[[#This Row],[Rate]]*Table1[[#This Row],[Time]]</f>
        <v>350.4</v>
      </c>
      <c r="AC509">
        <f ca="1">Table1[[#This Row],[SI]]+Table1[[#This Row],[Disc/Prem]]</f>
        <v>225.89999999999998</v>
      </c>
      <c r="AD509" s="3">
        <f ca="1">Table1[[#This Row],[Net Gain]]/Table1[[#This Row],[Ask Rate]]</f>
        <v>0.20088928412627832</v>
      </c>
      <c r="AE509" s="3">
        <f ca="1">IF(Table1[[#This Row],[Ask Qty]]=0,0,Table1[[#This Row],[Gross Yield]]*365/Table1[[#This Row],[Days Left]])</f>
        <v>4.988067258917795E-2</v>
      </c>
      <c r="AF509" s="9">
        <f ca="1">+Table1[[#This Row],[Net Gain]]*Table1[[#This Row],[Ask Qty]]</f>
        <v>11069.099999999999</v>
      </c>
      <c r="AG509" t="str">
        <f ca="1">IF(Table1[[#This Row],[YTM]]&gt;0.12,IF(Table1[[#This Row],[Gross Profit]]&gt;10000,"Invest","Review"),"Low YTM")</f>
        <v>Low YTM</v>
      </c>
    </row>
    <row r="510" spans="1:33" x14ac:dyDescent="0.3">
      <c r="A510" t="str">
        <f>RTD("nest.scriprtd",,"nse_cm|880IREDA29-N5","Symbol")</f>
        <v>880IREDA29</v>
      </c>
      <c r="B510" t="str">
        <f>RTD("nest.scriprtd",,"nse_cm|880IREDA29-N5","Trading Symbol")</f>
        <v>880IREDA29-N5</v>
      </c>
      <c r="C510" t="str">
        <f>RTD("nest.scriprtd",,"nse_cm|880IREDA29-N5","Exchange")</f>
        <v>NSE</v>
      </c>
      <c r="D510">
        <f>RTD("nest.scriprtd",,"nse_cm|880IREDA29-N5","Bid Qty")</f>
        <v>2</v>
      </c>
      <c r="E510">
        <f>RTD("nest.scriprtd",,"nse_cm|880IREDA29-N5","Bid Rate")</f>
        <v>1165</v>
      </c>
      <c r="F510">
        <f>RTD("nest.scriprtd",,"nse_cm|880IREDA29-N5","Ask Rate")</f>
        <v>1182.77</v>
      </c>
      <c r="G510">
        <f>RTD("nest.scriprtd",,"nse_cm|880IREDA29-N5","Ask Qty")</f>
        <v>50</v>
      </c>
      <c r="H510">
        <f>RTD("nest.scriprtd",,"nse_cm|880IREDA29-N5","LTP")</f>
        <v>1170</v>
      </c>
      <c r="I510" t="str">
        <f>RTD("nest.scriprtd",,"nse_cm|880IREDA29-N5","LTT")</f>
        <v>10:35:34</v>
      </c>
      <c r="J510">
        <f>RTD("nest.scriprtd",,"nse_cm|880IREDA29-N5","% Change")</f>
        <v>1.56</v>
      </c>
      <c r="K510">
        <f>RTD("nest.scriprtd",,"nse_cm|880IREDA29-N5","ATP")</f>
        <v>1165</v>
      </c>
      <c r="L510">
        <f>RTD("nest.scriprtd",,"nse_cm|880IREDA29-N5","Volume Traded Today")</f>
        <v>350</v>
      </c>
      <c r="M510">
        <f>RTD("nest.scriprtd",,"nse_cm|880IREDA29-N5","Open")</f>
        <v>1165</v>
      </c>
      <c r="N510">
        <f>RTD("nest.scriprtd",,"nse_cm|880IREDA29-N5","High")</f>
        <v>1170</v>
      </c>
      <c r="O510">
        <f>RTD("nest.scriprtd",,"nse_cm|880IREDA29-N5","Low ")</f>
        <v>1165</v>
      </c>
      <c r="P510">
        <f>RTD("nest.scriprtd",,"nse_cm|880IREDA29-N5","Prev Close")</f>
        <v>1152</v>
      </c>
      <c r="Q510">
        <f>RTD("nest.scriprtd",,"nse_cm|880IREDA29-N5","Face Value")</f>
        <v>1000</v>
      </c>
      <c r="R510" t="str">
        <f>RTD("nest.scriprtd",,"nse_cm|880IREDA29-N5","Isin code")</f>
        <v>INE202E07138</v>
      </c>
      <c r="S510" s="9">
        <f>Table1[[#This Row],[Ask Rate]]*Table1[[#This Row],[Ask Qty]]</f>
        <v>59138.5</v>
      </c>
      <c r="T510">
        <f>VLOOKUP(Table1[[#This Row],[Isin code]],Table2[#All],7,FALSE)</f>
        <v>8.8000000000000007</v>
      </c>
      <c r="U510" s="17" t="str">
        <f>VLOOKUP(Table1[[#This Row],[Isin code]],Table2[#All],8,FALSE)</f>
        <v>13-Mar-2029</v>
      </c>
      <c r="V510" s="10">
        <f ca="1">Table1[[#This Row],[Maturity]]-TODAY()</f>
        <v>1609</v>
      </c>
      <c r="W510" t="str">
        <f>VLOOKUP(Table1[[#This Row],[Isin code]],Table2[#All],10,FALSE)</f>
        <v>Yearly</v>
      </c>
      <c r="X510">
        <f ca="1">_xlfn.DAYS(Table1[[#This Row],[Maturity]],TODAY())-15</f>
        <v>1594</v>
      </c>
      <c r="Y5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10">
        <f>IF(Table1[[#This Row],[Ask Rate]]=0,0,Table1[[#This Row],[Face Value]]-Table1[[#This Row],[Ask Rate]])</f>
        <v>-182.76999999999998</v>
      </c>
      <c r="AA510">
        <f>IF(Table1[[#This Row],[Freq]]="Yearly",Table1[[#This Row],[Coupon_Rate]]/100,IF(Table1[[#This Row],[Freq]]="Monthly",Table1[[#This Row],[Coupon_Rate]]/1200,IF(Table1[[#This Row],[Freq]]="Quarterly",Table1[[#This Row],[Coupon_Rate]]/400,0)))</f>
        <v>8.8000000000000009E-2</v>
      </c>
      <c r="AB510">
        <f ca="1">Table1[[#This Row],[Face Value]]*Table1[[#This Row],[Rate]]*Table1[[#This Row],[Time]]</f>
        <v>440.00000000000006</v>
      </c>
      <c r="AC510">
        <f ca="1">Table1[[#This Row],[SI]]+Table1[[#This Row],[Disc/Prem]]</f>
        <v>257.23000000000008</v>
      </c>
      <c r="AD510" s="3">
        <f ca="1">Table1[[#This Row],[Net Gain]]/Table1[[#This Row],[Ask Rate]]</f>
        <v>0.21748099799622925</v>
      </c>
      <c r="AE510" s="3">
        <f ca="1">IF(Table1[[#This Row],[Ask Qty]]=0,0,Table1[[#This Row],[Gross Yield]]*365/Table1[[#This Row],[Days Left]])</f>
        <v>4.9335341372668533E-2</v>
      </c>
      <c r="AF510" s="9">
        <f ca="1">+Table1[[#This Row],[Net Gain]]*Table1[[#This Row],[Ask Qty]]</f>
        <v>12861.500000000004</v>
      </c>
      <c r="AG510" t="str">
        <f ca="1">IF(Table1[[#This Row],[YTM]]&gt;0.12,IF(Table1[[#This Row],[Gross Profit]]&gt;10000,"Invest","Review"),"Low YTM")</f>
        <v>Low YTM</v>
      </c>
    </row>
    <row r="511" spans="1:33" x14ac:dyDescent="0.3">
      <c r="A511" t="str">
        <f>RTD("nest.scriprtd",,"nse_cm|880IREDA34-N6","Symbol")</f>
        <v>880IREDA34</v>
      </c>
      <c r="B511" t="str">
        <f>RTD("nest.scriprtd",,"nse_cm|880IREDA34-N6","Trading Symbol")</f>
        <v>880IREDA34-N6</v>
      </c>
      <c r="C511" t="str">
        <f>RTD("nest.scriprtd",,"nse_cm|880IREDA34-N6","Exchange")</f>
        <v>NSE</v>
      </c>
      <c r="D511">
        <f>RTD("nest.scriprtd",,"nse_cm|880IREDA34-N6","Bid Qty")</f>
        <v>10</v>
      </c>
      <c r="E511">
        <f>RTD("nest.scriprtd",,"nse_cm|880IREDA34-N6","Bid Rate")</f>
        <v>1290.51</v>
      </c>
      <c r="F511">
        <f>RTD("nest.scriprtd",,"nse_cm|880IREDA34-N6","Ask Rate")</f>
        <v>1297</v>
      </c>
      <c r="G511">
        <f>RTD("nest.scriprtd",,"nse_cm|880IREDA34-N6","Ask Qty")</f>
        <v>10</v>
      </c>
      <c r="H511">
        <f>RTD("nest.scriprtd",,"nse_cm|880IREDA34-N6","LTP")</f>
        <v>1292</v>
      </c>
      <c r="I511" t="str">
        <f>RTD("nest.scriprtd",,"nse_cm|880IREDA34-N6","LTT")</f>
        <v/>
      </c>
      <c r="J511">
        <f>RTD("nest.scriprtd",,"nse_cm|880IREDA34-N6","% Change")</f>
        <v>0</v>
      </c>
      <c r="K511">
        <f>RTD("nest.scriprtd",,"nse_cm|880IREDA34-N6","ATP")</f>
        <v>0</v>
      </c>
      <c r="L511">
        <f>RTD("nest.scriprtd",,"nse_cm|880IREDA34-N6","Volume Traded Today")</f>
        <v>0</v>
      </c>
      <c r="M511">
        <f>RTD("nest.scriprtd",,"nse_cm|880IREDA34-N6","Open")</f>
        <v>0</v>
      </c>
      <c r="N511">
        <f>RTD("nest.scriprtd",,"nse_cm|880IREDA34-N6","High")</f>
        <v>1292</v>
      </c>
      <c r="O511">
        <f>RTD("nest.scriprtd",,"nse_cm|880IREDA34-N6","Low ")</f>
        <v>1292</v>
      </c>
      <c r="P511">
        <f>RTD("nest.scriprtd",,"nse_cm|880IREDA34-N6","Prev Close")</f>
        <v>1292</v>
      </c>
      <c r="Q511">
        <f>RTD("nest.scriprtd",,"nse_cm|880IREDA34-N6","Face Value")</f>
        <v>1000</v>
      </c>
      <c r="R511" t="str">
        <f>RTD("nest.scriprtd",,"nse_cm|880IREDA34-N6","Isin code")</f>
        <v>INE202E07153</v>
      </c>
      <c r="S511" s="9">
        <f>Table1[[#This Row],[Ask Rate]]*Table1[[#This Row],[Ask Qty]]</f>
        <v>12970</v>
      </c>
      <c r="T511">
        <f>VLOOKUP(Table1[[#This Row],[Isin code]],Table2[#All],7,FALSE)</f>
        <v>8.8000000000000007</v>
      </c>
      <c r="U511" s="17" t="str">
        <f>VLOOKUP(Table1[[#This Row],[Isin code]],Table2[#All],8,FALSE)</f>
        <v>13-Mar-2034</v>
      </c>
      <c r="V511" s="10">
        <f ca="1">Table1[[#This Row],[Maturity]]-TODAY()</f>
        <v>3435</v>
      </c>
      <c r="W511" t="str">
        <f>VLOOKUP(Table1[[#This Row],[Isin code]],Table2[#All],10,FALSE)</f>
        <v>Yearly</v>
      </c>
      <c r="X511">
        <f ca="1">_xlfn.DAYS(Table1[[#This Row],[Maturity]],TODAY())-15</f>
        <v>3420</v>
      </c>
      <c r="Y5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11">
        <f>IF(Table1[[#This Row],[Ask Rate]]=0,0,Table1[[#This Row],[Face Value]]-Table1[[#This Row],[Ask Rate]])</f>
        <v>-297</v>
      </c>
      <c r="AA511">
        <f>IF(Table1[[#This Row],[Freq]]="Yearly",Table1[[#This Row],[Coupon_Rate]]/100,IF(Table1[[#This Row],[Freq]]="Monthly",Table1[[#This Row],[Coupon_Rate]]/1200,IF(Table1[[#This Row],[Freq]]="Quarterly",Table1[[#This Row],[Coupon_Rate]]/400,0)))</f>
        <v>8.8000000000000009E-2</v>
      </c>
      <c r="AB511">
        <f ca="1">Table1[[#This Row],[Face Value]]*Table1[[#This Row],[Rate]]*Table1[[#This Row],[Time]]</f>
        <v>880.00000000000011</v>
      </c>
      <c r="AC511">
        <f ca="1">Table1[[#This Row],[SI]]+Table1[[#This Row],[Disc/Prem]]</f>
        <v>583.00000000000011</v>
      </c>
      <c r="AD511" s="3">
        <f ca="1">Table1[[#This Row],[Net Gain]]/Table1[[#This Row],[Ask Rate]]</f>
        <v>0.44949884348496538</v>
      </c>
      <c r="AE511" s="3">
        <f ca="1">IF(Table1[[#This Row],[Ask Qty]]=0,0,Table1[[#This Row],[Gross Yield]]*365/Table1[[#This Row],[Days Left]])</f>
        <v>4.7763341447456295E-2</v>
      </c>
      <c r="AF511" s="9">
        <f ca="1">+Table1[[#This Row],[Net Gain]]*Table1[[#This Row],[Ask Qty]]</f>
        <v>5830.0000000000009</v>
      </c>
      <c r="AG511" t="str">
        <f ca="1">IF(Table1[[#This Row],[YTM]]&gt;0.12,IF(Table1[[#This Row],[Gross Profit]]&gt;10000,"Invest","Review"),"Low YTM")</f>
        <v>Low YTM</v>
      </c>
    </row>
    <row r="512" spans="1:33" x14ac:dyDescent="0.3">
      <c r="A512" t="str">
        <f>RTD("nest.scriprtd",,"nse_cm|850NHAI29-N5","Symbol")</f>
        <v>850NHAI29</v>
      </c>
      <c r="B512" t="str">
        <f>RTD("nest.scriprtd",,"nse_cm|850NHAI29-N5","Trading Symbol")</f>
        <v>850NHAI29-N5</v>
      </c>
      <c r="C512" t="str">
        <f>RTD("nest.scriprtd",,"nse_cm|850NHAI29-N5","Exchange")</f>
        <v>NSE</v>
      </c>
      <c r="D512">
        <f>RTD("nest.scriprtd",,"nse_cm|850NHAI29-N5","Bid Qty")</f>
        <v>1000</v>
      </c>
      <c r="E512">
        <f>RTD("nest.scriprtd",,"nse_cm|850NHAI29-N5","Bid Rate")</f>
        <v>1156.0999999999999</v>
      </c>
      <c r="F512">
        <f>RTD("nest.scriprtd",,"nse_cm|850NHAI29-N5","Ask Rate")</f>
        <v>1184.9000000000001</v>
      </c>
      <c r="G512">
        <f>RTD("nest.scriprtd",,"nse_cm|850NHAI29-N5","Ask Qty")</f>
        <v>18</v>
      </c>
      <c r="H512">
        <f>RTD("nest.scriprtd",,"nse_cm|850NHAI29-N5","LTP")</f>
        <v>1150.5999999999999</v>
      </c>
      <c r="I512" t="str">
        <f>RTD("nest.scriprtd",,"nse_cm|850NHAI29-N5","LTT")</f>
        <v/>
      </c>
      <c r="J512">
        <f>RTD("nest.scriprtd",,"nse_cm|850NHAI29-N5","% Change")</f>
        <v>0</v>
      </c>
      <c r="K512">
        <f>RTD("nest.scriprtd",,"nse_cm|850NHAI29-N5","ATP")</f>
        <v>0</v>
      </c>
      <c r="L512">
        <f>RTD("nest.scriprtd",,"nse_cm|850NHAI29-N5","Volume Traded Today")</f>
        <v>0</v>
      </c>
      <c r="M512">
        <f>RTD("nest.scriprtd",,"nse_cm|850NHAI29-N5","Open")</f>
        <v>0</v>
      </c>
      <c r="N512">
        <f>RTD("nest.scriprtd",,"nse_cm|850NHAI29-N5","High")</f>
        <v>1150.5999999999999</v>
      </c>
      <c r="O512">
        <f>RTD("nest.scriprtd",,"nse_cm|850NHAI29-N5","Low ")</f>
        <v>1150.5999999999999</v>
      </c>
      <c r="P512">
        <f>RTD("nest.scriprtd",,"nse_cm|850NHAI29-N5","Prev Close")</f>
        <v>1150.5999999999999</v>
      </c>
      <c r="Q512">
        <f>RTD("nest.scriprtd",,"nse_cm|850NHAI29-N5","Face Value")</f>
        <v>1000</v>
      </c>
      <c r="R512" t="str">
        <f>RTD("nest.scriprtd",,"nse_cm|850NHAI29-N5","Isin code")</f>
        <v>INE906B07DE1</v>
      </c>
      <c r="S512" s="9">
        <f>Table1[[#This Row],[Ask Rate]]*Table1[[#This Row],[Ask Qty]]</f>
        <v>21328.2</v>
      </c>
      <c r="T512">
        <f>VLOOKUP(Table1[[#This Row],[Isin code]],Table2[#All],7,FALSE)</f>
        <v>8.5</v>
      </c>
      <c r="U512" s="17" t="str">
        <f>VLOOKUP(Table1[[#This Row],[Isin code]],Table2[#All],8,FALSE)</f>
        <v>05-Feb-2029</v>
      </c>
      <c r="V512" s="10">
        <f ca="1">Table1[[#This Row],[Maturity]]-TODAY()</f>
        <v>1573</v>
      </c>
      <c r="W512" t="str">
        <f>VLOOKUP(Table1[[#This Row],[Isin code]],Table2[#All],10,FALSE)</f>
        <v>Yearly</v>
      </c>
      <c r="X512">
        <f ca="1">_xlfn.DAYS(Table1[[#This Row],[Maturity]],TODAY())-15</f>
        <v>1558</v>
      </c>
      <c r="Y5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12">
        <f>IF(Table1[[#This Row],[Ask Rate]]=0,0,Table1[[#This Row],[Face Value]]-Table1[[#This Row],[Ask Rate]])</f>
        <v>-184.90000000000009</v>
      </c>
      <c r="AA512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512">
        <f ca="1">Table1[[#This Row],[Face Value]]*Table1[[#This Row],[Rate]]*Table1[[#This Row],[Time]]</f>
        <v>425</v>
      </c>
      <c r="AC512">
        <f ca="1">Table1[[#This Row],[SI]]+Table1[[#This Row],[Disc/Prem]]</f>
        <v>240.09999999999991</v>
      </c>
      <c r="AD512" s="3">
        <f ca="1">Table1[[#This Row],[Net Gain]]/Table1[[#This Row],[Ask Rate]]</f>
        <v>0.20263313359777188</v>
      </c>
      <c r="AE512" s="3">
        <f ca="1">IF(Table1[[#This Row],[Ask Qty]]=0,0,Table1[[#This Row],[Gross Yield]]*365/Table1[[#This Row],[Days Left]])</f>
        <v>4.7019131445128252E-2</v>
      </c>
      <c r="AF512" s="9">
        <f ca="1">+Table1[[#This Row],[Net Gain]]*Table1[[#This Row],[Ask Qty]]</f>
        <v>4321.7999999999984</v>
      </c>
      <c r="AG512" t="str">
        <f ca="1">IF(Table1[[#This Row],[YTM]]&gt;0.12,IF(Table1[[#This Row],[Gross Profit]]&gt;10000,"Invest","Review"),"Low YTM")</f>
        <v>Low YTM</v>
      </c>
    </row>
    <row r="513" spans="1:33" x14ac:dyDescent="0.3">
      <c r="A513" t="str">
        <f>RTD("nest.scriprtd",,"bse_cm|743REC35","Symbol")</f>
        <v>743REC35</v>
      </c>
      <c r="B513" t="str">
        <f>RTD("nest.scriprtd",,"bse_cm|743REC35","Trading Symbol")</f>
        <v>743REC35</v>
      </c>
      <c r="C513" t="str">
        <f>RTD("nest.scriprtd",,"bse_cm|743REC35","Exchange")</f>
        <v>BSE</v>
      </c>
      <c r="D513">
        <f>RTD("nest.scriprtd",,"bse_cm|743REC35","Bid Qty")</f>
        <v>20</v>
      </c>
      <c r="E513">
        <f>RTD("nest.scriprtd",,"bse_cm|743REC35","Bid Rate")</f>
        <v>1210</v>
      </c>
      <c r="F513">
        <f>RTD("nest.scriprtd",,"bse_cm|743REC35","Ask Rate")</f>
        <v>1248.5999999999999</v>
      </c>
      <c r="G513">
        <f>RTD("nest.scriprtd",,"bse_cm|743REC35","Ask Qty")</f>
        <v>50</v>
      </c>
      <c r="H513">
        <f>RTD("nest.scriprtd",,"bse_cm|743REC35","LTP")</f>
        <v>0</v>
      </c>
      <c r="I513" t="str">
        <f>RTD("nest.scriprtd",,"bse_cm|743REC35","LTT")</f>
        <v>00:00:00</v>
      </c>
      <c r="J513">
        <f>RTD("nest.scriprtd",,"bse_cm|743REC35","% Change")</f>
        <v>-100</v>
      </c>
      <c r="K513">
        <f>RTD("nest.scriprtd",,"bse_cm|743REC35","ATP")</f>
        <v>0</v>
      </c>
      <c r="L513">
        <f>RTD("nest.scriprtd",,"bse_cm|743REC35","Volume Traded Today")</f>
        <v>0</v>
      </c>
      <c r="M513">
        <f>RTD("nest.scriprtd",,"bse_cm|743REC35","Open")</f>
        <v>0</v>
      </c>
      <c r="N513">
        <f>RTD("nest.scriprtd",,"bse_cm|743REC35","High")</f>
        <v>1225</v>
      </c>
      <c r="O513">
        <f>RTD("nest.scriprtd",,"bse_cm|743REC35","Low ")</f>
        <v>1201.0999999999999</v>
      </c>
      <c r="P513">
        <f>RTD("nest.scriprtd",,"bse_cm|743REC35","Prev Close")</f>
        <v>1224.92</v>
      </c>
      <c r="Q513">
        <f>RTD("nest.scriprtd",,"bse_cm|743REC35","Face Value")</f>
        <v>1000</v>
      </c>
      <c r="R513" t="str">
        <f>RTD("nest.scriprtd",,"bse_cm|743REC35","Isin code")</f>
        <v>INE020B07JU4</v>
      </c>
      <c r="S513" s="9">
        <f>Table1[[#This Row],[Ask Rate]]*Table1[[#This Row],[Ask Qty]]</f>
        <v>62429.999999999993</v>
      </c>
      <c r="T513">
        <f>VLOOKUP(Table1[[#This Row],[Isin code]],Table2[#All],7,FALSE)</f>
        <v>7.43</v>
      </c>
      <c r="U513" s="17">
        <f>VLOOKUP(Table1[[#This Row],[Isin code]],Table2[#All],8,FALSE)</f>
        <v>49618</v>
      </c>
      <c r="V513" s="10">
        <f ca="1">Table1[[#This Row],[Maturity]]-TODAY()</f>
        <v>4037</v>
      </c>
      <c r="W513" t="str">
        <f>VLOOKUP(Table1[[#This Row],[Isin code]],Table2[#All],10,FALSE)</f>
        <v>Yearly</v>
      </c>
      <c r="X513">
        <f ca="1">_xlfn.DAYS(Table1[[#This Row],[Maturity]],TODAY())-15</f>
        <v>4022</v>
      </c>
      <c r="Y5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513">
        <f>IF(Table1[[#This Row],[Ask Rate]]=0,0,Table1[[#This Row],[Face Value]]-Table1[[#This Row],[Ask Rate]])</f>
        <v>-248.59999999999991</v>
      </c>
      <c r="AA513">
        <f>IF(Table1[[#This Row],[Freq]]="Yearly",Table1[[#This Row],[Coupon_Rate]]/100,IF(Table1[[#This Row],[Freq]]="Monthly",Table1[[#This Row],[Coupon_Rate]]/1200,IF(Table1[[#This Row],[Freq]]="Quarterly",Table1[[#This Row],[Coupon_Rate]]/400,0)))</f>
        <v>7.4299999999999991E-2</v>
      </c>
      <c r="AB513">
        <f ca="1">Table1[[#This Row],[Face Value]]*Table1[[#This Row],[Rate]]*Table1[[#This Row],[Time]]</f>
        <v>891.59999999999991</v>
      </c>
      <c r="AC513">
        <f ca="1">Table1[[#This Row],[SI]]+Table1[[#This Row],[Disc/Prem]]</f>
        <v>643</v>
      </c>
      <c r="AD513" s="3">
        <f ca="1">Table1[[#This Row],[Net Gain]]/Table1[[#This Row],[Ask Rate]]</f>
        <v>0.51497677398686537</v>
      </c>
      <c r="AE513" s="3">
        <f ca="1">IF(Table1[[#This Row],[Ask Qty]]=0,0,Table1[[#This Row],[Gross Yield]]*365/Table1[[#This Row],[Days Left]])</f>
        <v>4.6560941913600662E-2</v>
      </c>
      <c r="AF513" s="9">
        <f ca="1">+Table1[[#This Row],[Net Gain]]*Table1[[#This Row],[Ask Qty]]</f>
        <v>32150</v>
      </c>
      <c r="AG513" t="str">
        <f ca="1">IF(Table1[[#This Row],[YTM]]&gt;0.12,IF(Table1[[#This Row],[Gross Profit]]&gt;10000,"Invest","Review"),"Low YTM")</f>
        <v>Low YTM</v>
      </c>
    </row>
    <row r="514" spans="1:33" x14ac:dyDescent="0.3">
      <c r="A514" t="str">
        <f>RTD("nest.scriprtd",,"nse_cm|738REC27TF-N2","Symbol")</f>
        <v>738REC27TF</v>
      </c>
      <c r="B514" t="str">
        <f>RTD("nest.scriprtd",,"nse_cm|738REC27TF-N2","Trading Symbol")</f>
        <v>738REC27TF-N2</v>
      </c>
      <c r="C514" t="str">
        <f>RTD("nest.scriprtd",,"nse_cm|738REC27TF-N2","Exchange")</f>
        <v>NSE</v>
      </c>
      <c r="D514">
        <f>RTD("nest.scriprtd",,"nse_cm|738REC27TF-N2","Bid Qty")</f>
        <v>100</v>
      </c>
      <c r="E514">
        <f>RTD("nest.scriprtd",,"nse_cm|738REC27TF-N2","Bid Rate")</f>
        <v>1109.32</v>
      </c>
      <c r="F514">
        <f>RTD("nest.scriprtd",,"nse_cm|738REC27TF-N2","Ask Rate")</f>
        <v>1129</v>
      </c>
      <c r="G514">
        <f>RTD("nest.scriprtd",,"nse_cm|738REC27TF-N2","Ask Qty")</f>
        <v>30</v>
      </c>
      <c r="H514">
        <f>RTD("nest.scriprtd",,"nse_cm|738REC27TF-N2","LTP")</f>
        <v>1108.1099999999999</v>
      </c>
      <c r="I514" t="str">
        <f>RTD("nest.scriprtd",,"nse_cm|738REC27TF-N2","LTT")</f>
        <v/>
      </c>
      <c r="J514">
        <f>RTD("nest.scriprtd",,"nse_cm|738REC27TF-N2","% Change")</f>
        <v>0</v>
      </c>
      <c r="K514">
        <f>RTD("nest.scriprtd",,"nse_cm|738REC27TF-N2","ATP")</f>
        <v>0</v>
      </c>
      <c r="L514">
        <f>RTD("nest.scriprtd",,"nse_cm|738REC27TF-N2","Volume Traded Today")</f>
        <v>0</v>
      </c>
      <c r="M514">
        <f>RTD("nest.scriprtd",,"nse_cm|738REC27TF-N2","Open")</f>
        <v>0</v>
      </c>
      <c r="N514">
        <f>RTD("nest.scriprtd",,"nse_cm|738REC27TF-N2","High")</f>
        <v>1108.1099999999999</v>
      </c>
      <c r="O514">
        <f>RTD("nest.scriprtd",,"nse_cm|738REC27TF-N2","Low ")</f>
        <v>1108.1099999999999</v>
      </c>
      <c r="P514">
        <f>RTD("nest.scriprtd",,"nse_cm|738REC27TF-N2","Prev Close")</f>
        <v>1108.1099999999999</v>
      </c>
      <c r="Q514">
        <f>RTD("nest.scriprtd",,"nse_cm|738REC27TF-N2","Face Value")</f>
        <v>1000</v>
      </c>
      <c r="R514" t="str">
        <f>RTD("nest.scriprtd",,"nse_cm|738REC27TF-N2","Isin code")</f>
        <v>INE020B07GX4</v>
      </c>
      <c r="S514" s="9">
        <f>Table1[[#This Row],[Ask Rate]]*Table1[[#This Row],[Ask Qty]]</f>
        <v>33870</v>
      </c>
      <c r="T514">
        <f>VLOOKUP(Table1[[#This Row],[Isin code]],Table2[#All],7,FALSE)</f>
        <v>7.38</v>
      </c>
      <c r="U514" s="17" t="str">
        <f>VLOOKUP(Table1[[#This Row],[Isin code]],Table2[#All],8,FALSE)</f>
        <v>19-Dec-2027</v>
      </c>
      <c r="V514" s="10">
        <f ca="1">Table1[[#This Row],[Maturity]]-TODAY()</f>
        <v>1159</v>
      </c>
      <c r="W514" t="str">
        <f>VLOOKUP(Table1[[#This Row],[Isin code]],Table2[#All],10,FALSE)</f>
        <v>Yearly</v>
      </c>
      <c r="X514">
        <f ca="1">_xlfn.DAYS(Table1[[#This Row],[Maturity]],TODAY())-15</f>
        <v>1144</v>
      </c>
      <c r="Y5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14">
        <f>IF(Table1[[#This Row],[Ask Rate]]=0,0,Table1[[#This Row],[Face Value]]-Table1[[#This Row],[Ask Rate]])</f>
        <v>-129</v>
      </c>
      <c r="AA514">
        <f>IF(Table1[[#This Row],[Freq]]="Yearly",Table1[[#This Row],[Coupon_Rate]]/100,IF(Table1[[#This Row],[Freq]]="Monthly",Table1[[#This Row],[Coupon_Rate]]/1200,IF(Table1[[#This Row],[Freq]]="Quarterly",Table1[[#This Row],[Coupon_Rate]]/400,0)))</f>
        <v>7.3800000000000004E-2</v>
      </c>
      <c r="AB514">
        <f ca="1">Table1[[#This Row],[Face Value]]*Table1[[#This Row],[Rate]]*Table1[[#This Row],[Time]]</f>
        <v>295.20000000000005</v>
      </c>
      <c r="AC514">
        <f ca="1">Table1[[#This Row],[SI]]+Table1[[#This Row],[Disc/Prem]]</f>
        <v>166.20000000000005</v>
      </c>
      <c r="AD514" s="3">
        <f ca="1">Table1[[#This Row],[Net Gain]]/Table1[[#This Row],[Ask Rate]]</f>
        <v>0.14720992028343671</v>
      </c>
      <c r="AE514" s="3">
        <f ca="1">IF(Table1[[#This Row],[Ask Qty]]=0,0,Table1[[#This Row],[Gross Yield]]*365/Table1[[#This Row],[Days Left]])</f>
        <v>4.6360328648364452E-2</v>
      </c>
      <c r="AF514" s="9">
        <f ca="1">+Table1[[#This Row],[Net Gain]]*Table1[[#This Row],[Ask Qty]]</f>
        <v>4986.0000000000018</v>
      </c>
      <c r="AG514" t="str">
        <f ca="1">IF(Table1[[#This Row],[YTM]]&gt;0.12,IF(Table1[[#This Row],[Gross Profit]]&gt;10000,"Invest","Review"),"Low YTM")</f>
        <v>Low YTM</v>
      </c>
    </row>
    <row r="515" spans="1:33" x14ac:dyDescent="0.3">
      <c r="A515" t="str">
        <f>RTD("nest.scriprtd",,"bse_cm|1075UCL25","Symbol")</f>
        <v>1075UCL25</v>
      </c>
      <c r="B515" t="str">
        <f>RTD("nest.scriprtd",,"bse_cm|1075UCL25","Trading Symbol")</f>
        <v>1075UCL25</v>
      </c>
      <c r="C515" t="str">
        <f>RTD("nest.scriprtd",,"bse_cm|1075UCL25","Exchange")</f>
        <v>BSE</v>
      </c>
      <c r="D515">
        <f>RTD("nest.scriprtd",,"bse_cm|1075UCL25","Bid Qty")</f>
        <v>12</v>
      </c>
      <c r="E515">
        <f>RTD("nest.scriprtd",,"bse_cm|1075UCL25","Bid Rate")</f>
        <v>1020.2</v>
      </c>
      <c r="F515">
        <f>RTD("nest.scriprtd",,"bse_cm|1075UCL25","Ask Rate")</f>
        <v>1065</v>
      </c>
      <c r="G515">
        <f>RTD("nest.scriprtd",,"bse_cm|1075UCL25","Ask Qty")</f>
        <v>15</v>
      </c>
      <c r="H515">
        <f>RTD("nest.scriprtd",,"bse_cm|1075UCL25","LTP")</f>
        <v>0</v>
      </c>
      <c r="I515" t="str">
        <f>RTD("nest.scriprtd",,"bse_cm|1075UCL25","LTT")</f>
        <v>00:00:00</v>
      </c>
      <c r="J515">
        <f>RTD("nest.scriprtd",,"bse_cm|1075UCL25","% Change")</f>
        <v>-100</v>
      </c>
      <c r="K515">
        <f>RTD("nest.scriprtd",,"bse_cm|1075UCL25","ATP")</f>
        <v>0</v>
      </c>
      <c r="L515">
        <f>RTD("nest.scriprtd",,"bse_cm|1075UCL25","Volume Traded Today")</f>
        <v>0</v>
      </c>
      <c r="M515">
        <f>RTD("nest.scriprtd",,"bse_cm|1075UCL25","Open")</f>
        <v>0</v>
      </c>
      <c r="N515">
        <f>RTD("nest.scriprtd",,"bse_cm|1075UCL25","High")</f>
        <v>1034.5</v>
      </c>
      <c r="O515">
        <f>RTD("nest.scriprtd",,"bse_cm|1075UCL25","Low ")</f>
        <v>1034.5</v>
      </c>
      <c r="P515">
        <f>RTD("nest.scriprtd",,"bse_cm|1075UCL25","Prev Close")</f>
        <v>1034.5</v>
      </c>
      <c r="Q515">
        <f>RTD("nest.scriprtd",,"bse_cm|1075UCL25","Face Value")</f>
        <v>1000</v>
      </c>
      <c r="R515" t="str">
        <f>RTD("nest.scriprtd",,"bse_cm|1075UCL25","Isin code")</f>
        <v>INE583D07430</v>
      </c>
      <c r="S515" s="9">
        <f>Table1[[#This Row],[Ask Rate]]*Table1[[#This Row],[Ask Qty]]</f>
        <v>15975</v>
      </c>
      <c r="T515">
        <f>VLOOKUP(Table1[[#This Row],[Isin code]],Table2[#All],7,FALSE)</f>
        <v>10.75</v>
      </c>
      <c r="U515" s="17" t="str">
        <f>VLOOKUP(Table1[[#This Row],[Isin code]],Table2[#All],8,FALSE)</f>
        <v>27-Aug-2025</v>
      </c>
      <c r="V515" s="10">
        <f ca="1">Table1[[#This Row],[Maturity]]-TODAY()</f>
        <v>315</v>
      </c>
      <c r="W515" t="str">
        <f>VLOOKUP(Table1[[#This Row],[Isin code]],Table2[#All],10,FALSE)</f>
        <v>Yearly</v>
      </c>
      <c r="X515">
        <f ca="1">_xlfn.DAYS(Table1[[#This Row],[Maturity]],TODAY())-15</f>
        <v>300</v>
      </c>
      <c r="Y5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515">
        <f>IF(Table1[[#This Row],[Ask Rate]]=0,0,Table1[[#This Row],[Face Value]]-Table1[[#This Row],[Ask Rate]])</f>
        <v>-65</v>
      </c>
      <c r="AA515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515">
        <f ca="1">Table1[[#This Row],[Face Value]]*Table1[[#This Row],[Rate]]*Table1[[#This Row],[Time]]</f>
        <v>107.5</v>
      </c>
      <c r="AC515">
        <f ca="1">Table1[[#This Row],[SI]]+Table1[[#This Row],[Disc/Prem]]</f>
        <v>42.5</v>
      </c>
      <c r="AD515" s="3">
        <f ca="1">Table1[[#This Row],[Net Gain]]/Table1[[#This Row],[Ask Rate]]</f>
        <v>3.9906103286384977E-2</v>
      </c>
      <c r="AE515" s="3">
        <f ca="1">IF(Table1[[#This Row],[Ask Qty]]=0,0,Table1[[#This Row],[Gross Yield]]*365/Table1[[#This Row],[Days Left]])</f>
        <v>4.6240405395334971E-2</v>
      </c>
      <c r="AF515" s="9">
        <f ca="1">+Table1[[#This Row],[Net Gain]]*Table1[[#This Row],[Ask Qty]]</f>
        <v>637.5</v>
      </c>
      <c r="AG515" t="str">
        <f ca="1">IF(Table1[[#This Row],[YTM]]&gt;0.12,IF(Table1[[#This Row],[Gross Profit]]&gt;10000,"Invest","Review"),"Low YTM")</f>
        <v>Low YTM</v>
      </c>
    </row>
    <row r="516" spans="1:33" x14ac:dyDescent="0.3">
      <c r="A516" t="str">
        <f>RTD("nest.scriprtd",,"nse_cm|891IIFCL34-N4","Symbol")</f>
        <v>891IIFCL34</v>
      </c>
      <c r="B516" t="str">
        <f>RTD("nest.scriprtd",,"nse_cm|891IIFCL34-N4","Trading Symbol")</f>
        <v>891IIFCL34-N4</v>
      </c>
      <c r="C516" t="str">
        <f>RTD("nest.scriprtd",,"nse_cm|891IIFCL34-N4","Exchange")</f>
        <v>NSE</v>
      </c>
      <c r="D516">
        <f>RTD("nest.scriprtd",,"nse_cm|891IIFCL34-N4","Bid Qty")</f>
        <v>20</v>
      </c>
      <c r="E516">
        <f>RTD("nest.scriprtd",,"nse_cm|891IIFCL34-N4","Bid Rate")</f>
        <v>1313</v>
      </c>
      <c r="F516">
        <f>RTD("nest.scriprtd",,"nse_cm|891IIFCL34-N4","Ask Rate")</f>
        <v>1325</v>
      </c>
      <c r="G516">
        <f>RTD("nest.scriprtd",,"nse_cm|891IIFCL34-N4","Ask Qty")</f>
        <v>4</v>
      </c>
      <c r="H516">
        <f>RTD("nest.scriprtd",,"nse_cm|891IIFCL34-N4","LTP")</f>
        <v>1313.21</v>
      </c>
      <c r="I516" t="str">
        <f>RTD("nest.scriprtd",,"nse_cm|891IIFCL34-N4","LTT")</f>
        <v/>
      </c>
      <c r="J516">
        <f>RTD("nest.scriprtd",,"nse_cm|891IIFCL34-N4","% Change")</f>
        <v>0</v>
      </c>
      <c r="K516">
        <f>RTD("nest.scriprtd",,"nse_cm|891IIFCL34-N4","ATP")</f>
        <v>0</v>
      </c>
      <c r="L516">
        <f>RTD("nest.scriprtd",,"nse_cm|891IIFCL34-N4","Volume Traded Today")</f>
        <v>0</v>
      </c>
      <c r="M516">
        <f>RTD("nest.scriprtd",,"nse_cm|891IIFCL34-N4","Open")</f>
        <v>0</v>
      </c>
      <c r="N516">
        <f>RTD("nest.scriprtd",,"nse_cm|891IIFCL34-N4","High")</f>
        <v>1340</v>
      </c>
      <c r="O516">
        <f>RTD("nest.scriprtd",,"nse_cm|891IIFCL34-N4","Low ")</f>
        <v>1311</v>
      </c>
      <c r="P516">
        <f>RTD("nest.scriprtd",,"nse_cm|891IIFCL34-N4","Prev Close")</f>
        <v>1313.21</v>
      </c>
      <c r="Q516">
        <f>RTD("nest.scriprtd",,"nse_cm|891IIFCL34-N4","Face Value")</f>
        <v>1000</v>
      </c>
      <c r="R516" t="str">
        <f>RTD("nest.scriprtd",,"nse_cm|891IIFCL34-N4","Isin code")</f>
        <v>INE787H07370</v>
      </c>
      <c r="S516" s="9">
        <f>Table1[[#This Row],[Ask Rate]]*Table1[[#This Row],[Ask Qty]]</f>
        <v>5300</v>
      </c>
      <c r="T516">
        <f>VLOOKUP(Table1[[#This Row],[Isin code]],Table2[#All],7,FALSE)</f>
        <v>8.91</v>
      </c>
      <c r="U516" s="17" t="str">
        <f>VLOOKUP(Table1[[#This Row],[Isin code]],Table2[#All],8,FALSE)</f>
        <v>22-Jan-2034</v>
      </c>
      <c r="V516" s="10">
        <f ca="1">Table1[[#This Row],[Maturity]]-TODAY()</f>
        <v>3385</v>
      </c>
      <c r="W516" t="str">
        <f>VLOOKUP(Table1[[#This Row],[Isin code]],Table2[#All],10,FALSE)</f>
        <v>Yearly</v>
      </c>
      <c r="X516">
        <f ca="1">_xlfn.DAYS(Table1[[#This Row],[Maturity]],TODAY())-15</f>
        <v>3370</v>
      </c>
      <c r="Y5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16">
        <f>IF(Table1[[#This Row],[Ask Rate]]=0,0,Table1[[#This Row],[Face Value]]-Table1[[#This Row],[Ask Rate]])</f>
        <v>-325</v>
      </c>
      <c r="AA516">
        <f>IF(Table1[[#This Row],[Freq]]="Yearly",Table1[[#This Row],[Coupon_Rate]]/100,IF(Table1[[#This Row],[Freq]]="Monthly",Table1[[#This Row],[Coupon_Rate]]/1200,IF(Table1[[#This Row],[Freq]]="Quarterly",Table1[[#This Row],[Coupon_Rate]]/400,0)))</f>
        <v>8.9099999999999999E-2</v>
      </c>
      <c r="AB516">
        <f ca="1">Table1[[#This Row],[Face Value]]*Table1[[#This Row],[Rate]]*Table1[[#This Row],[Time]]</f>
        <v>891</v>
      </c>
      <c r="AC516">
        <f ca="1">Table1[[#This Row],[SI]]+Table1[[#This Row],[Disc/Prem]]</f>
        <v>566</v>
      </c>
      <c r="AD516" s="3">
        <f ca="1">Table1[[#This Row],[Net Gain]]/Table1[[#This Row],[Ask Rate]]</f>
        <v>0.42716981132075471</v>
      </c>
      <c r="AE516" s="3">
        <f ca="1">IF(Table1[[#This Row],[Ask Qty]]=0,0,Table1[[#This Row],[Gross Yield]]*365/Table1[[#This Row],[Days Left]])</f>
        <v>4.6061146567821412E-2</v>
      </c>
      <c r="AF516" s="9">
        <f ca="1">+Table1[[#This Row],[Net Gain]]*Table1[[#This Row],[Ask Qty]]</f>
        <v>2264</v>
      </c>
      <c r="AG516" t="str">
        <f ca="1">IF(Table1[[#This Row],[YTM]]&gt;0.12,IF(Table1[[#This Row],[Gross Profit]]&gt;10000,"Invest","Review"),"Low YTM")</f>
        <v>Low YTM</v>
      </c>
    </row>
    <row r="517" spans="1:33" x14ac:dyDescent="0.3">
      <c r="A517" t="str">
        <f>RTD("nest.scriprtd",,"nse_cm|901HUDCO34-NE","Symbol")</f>
        <v>901HUDCO34</v>
      </c>
      <c r="B517" t="str">
        <f>RTD("nest.scriprtd",,"nse_cm|901HUDCO34-NE","Trading Symbol")</f>
        <v>901HUDCO34-NE</v>
      </c>
      <c r="C517" t="str">
        <f>RTD("nest.scriprtd",,"nse_cm|901HUDCO34-NE","Exchange")</f>
        <v>NSE</v>
      </c>
      <c r="D517">
        <f>RTD("nest.scriprtd",,"nse_cm|901HUDCO34-NE","Bid Qty")</f>
        <v>40</v>
      </c>
      <c r="E517">
        <f>RTD("nest.scriprtd",,"nse_cm|901HUDCO34-NE","Bid Rate")</f>
        <v>1324</v>
      </c>
      <c r="F517">
        <f>RTD("nest.scriprtd",,"nse_cm|901HUDCO34-NE","Ask Rate")</f>
        <v>1337</v>
      </c>
      <c r="G517">
        <f>RTD("nest.scriprtd",,"nse_cm|901HUDCO34-NE","Ask Qty")</f>
        <v>5</v>
      </c>
      <c r="H517">
        <f>RTD("nest.scriprtd",,"nse_cm|901HUDCO34-NE","LTP")</f>
        <v>1327</v>
      </c>
      <c r="I517" t="str">
        <f>RTD("nest.scriprtd",,"nse_cm|901HUDCO34-NE","LTT")</f>
        <v/>
      </c>
      <c r="J517">
        <f>RTD("nest.scriprtd",,"nse_cm|901HUDCO34-NE","% Change")</f>
        <v>0</v>
      </c>
      <c r="K517">
        <f>RTD("nest.scriprtd",,"nse_cm|901HUDCO34-NE","ATP")</f>
        <v>0</v>
      </c>
      <c r="L517">
        <f>RTD("nest.scriprtd",,"nse_cm|901HUDCO34-NE","Volume Traded Today")</f>
        <v>0</v>
      </c>
      <c r="M517">
        <f>RTD("nest.scriprtd",,"nse_cm|901HUDCO34-NE","Open")</f>
        <v>0</v>
      </c>
      <c r="N517">
        <f>RTD("nest.scriprtd",,"nse_cm|901HUDCO34-NE","High")</f>
        <v>1327</v>
      </c>
      <c r="O517">
        <f>RTD("nest.scriprtd",,"nse_cm|901HUDCO34-NE","Low ")</f>
        <v>1327</v>
      </c>
      <c r="P517">
        <f>RTD("nest.scriprtd",,"nse_cm|901HUDCO34-NE","Prev Close")</f>
        <v>1327</v>
      </c>
      <c r="Q517">
        <f>RTD("nest.scriprtd",,"nse_cm|901HUDCO34-NE","Face Value")</f>
        <v>1000</v>
      </c>
      <c r="R517" t="str">
        <f>RTD("nest.scriprtd",,"nse_cm|901HUDCO34-NE","Isin code")</f>
        <v>INE031A07AB2</v>
      </c>
      <c r="S517" s="9">
        <f>Table1[[#This Row],[Ask Rate]]*Table1[[#This Row],[Ask Qty]]</f>
        <v>6685</v>
      </c>
      <c r="T517">
        <f>VLOOKUP(Table1[[#This Row],[Isin code]],Table2[#All],7,FALSE)</f>
        <v>9.01</v>
      </c>
      <c r="U517" s="17">
        <f>VLOOKUP(Table1[[#This Row],[Isin code]],Table2[#All],8,FALSE)</f>
        <v>48957</v>
      </c>
      <c r="V517" s="10">
        <f ca="1">Table1[[#This Row],[Maturity]]-TODAY()</f>
        <v>3376</v>
      </c>
      <c r="W517" t="str">
        <f>VLOOKUP(Table1[[#This Row],[Isin code]],Table2[#All],10,FALSE)</f>
        <v>Yearly</v>
      </c>
      <c r="X517">
        <f ca="1">_xlfn.DAYS(Table1[[#This Row],[Maturity]],TODAY())-15</f>
        <v>3361</v>
      </c>
      <c r="Y5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17">
        <f>IF(Table1[[#This Row],[Ask Rate]]=0,0,Table1[[#This Row],[Face Value]]-Table1[[#This Row],[Ask Rate]])</f>
        <v>-337</v>
      </c>
      <c r="AA517">
        <f>IF(Table1[[#This Row],[Freq]]="Yearly",Table1[[#This Row],[Coupon_Rate]]/100,IF(Table1[[#This Row],[Freq]]="Monthly",Table1[[#This Row],[Coupon_Rate]]/1200,IF(Table1[[#This Row],[Freq]]="Quarterly",Table1[[#This Row],[Coupon_Rate]]/400,0)))</f>
        <v>9.01E-2</v>
      </c>
      <c r="AB517">
        <f ca="1">Table1[[#This Row],[Face Value]]*Table1[[#This Row],[Rate]]*Table1[[#This Row],[Time]]</f>
        <v>901</v>
      </c>
      <c r="AC517">
        <f ca="1">Table1[[#This Row],[SI]]+Table1[[#This Row],[Disc/Prem]]</f>
        <v>564</v>
      </c>
      <c r="AD517" s="3">
        <f ca="1">Table1[[#This Row],[Net Gain]]/Table1[[#This Row],[Ask Rate]]</f>
        <v>0.42183994016454751</v>
      </c>
      <c r="AE517" s="3">
        <f ca="1">IF(Table1[[#This Row],[Ask Qty]]=0,0,Table1[[#This Row],[Gross Yield]]*365/Table1[[#This Row],[Days Left]])</f>
        <v>4.5607694952624359E-2</v>
      </c>
      <c r="AF517" s="9">
        <f ca="1">+Table1[[#This Row],[Net Gain]]*Table1[[#This Row],[Ask Qty]]</f>
        <v>2820</v>
      </c>
      <c r="AG517" t="str">
        <f ca="1">IF(Table1[[#This Row],[YTM]]&gt;0.12,IF(Table1[[#This Row],[Gross Profit]]&gt;10000,"Invest","Review"),"Low YTM")</f>
        <v>Low YTM</v>
      </c>
    </row>
    <row r="518" spans="1:33" x14ac:dyDescent="0.3">
      <c r="A518" t="str">
        <f>RTD("nest.scriprtd",,"bse_cm|714REC25","Symbol")</f>
        <v>714REC25</v>
      </c>
      <c r="B518" t="str">
        <f>RTD("nest.scriprtd",,"bse_cm|714REC25","Trading Symbol")</f>
        <v>714REC25</v>
      </c>
      <c r="C518" t="str">
        <f>RTD("nest.scriprtd",,"bse_cm|714REC25","Exchange")</f>
        <v>BSE</v>
      </c>
      <c r="D518">
        <f>RTD("nest.scriprtd",,"bse_cm|714REC25","Bid Qty")</f>
        <v>15</v>
      </c>
      <c r="E518">
        <f>RTD("nest.scriprtd",,"bse_cm|714REC25","Bid Rate")</f>
        <v>1067.81</v>
      </c>
      <c r="F518">
        <f>RTD("nest.scriprtd",,"bse_cm|714REC25","Ask Rate")</f>
        <v>1090.3900000000001</v>
      </c>
      <c r="G518">
        <f>RTD("nest.scriprtd",,"bse_cm|714REC25","Ask Qty")</f>
        <v>65</v>
      </c>
      <c r="H518">
        <f>RTD("nest.scriprtd",,"bse_cm|714REC25","LTP")</f>
        <v>1067.8</v>
      </c>
      <c r="I518" t="str">
        <f>RTD("nest.scriprtd",,"bse_cm|714REC25","LTT")</f>
        <v>15:11:34</v>
      </c>
      <c r="J518">
        <f>RTD("nest.scriprtd",,"bse_cm|714REC25","% Change")</f>
        <v>1.98</v>
      </c>
      <c r="K518">
        <f>RTD("nest.scriprtd",,"bse_cm|714REC25","ATP")</f>
        <v>1067.8</v>
      </c>
      <c r="L518">
        <f>RTD("nest.scriprtd",,"bse_cm|714REC25","Volume Traded Today")</f>
        <v>21</v>
      </c>
      <c r="M518">
        <f>RTD("nest.scriprtd",,"bse_cm|714REC25","Open")</f>
        <v>1067.8</v>
      </c>
      <c r="N518">
        <f>RTD("nest.scriprtd",,"bse_cm|714REC25","High")</f>
        <v>1067.8</v>
      </c>
      <c r="O518">
        <f>RTD("nest.scriprtd",,"bse_cm|714REC25","Low ")</f>
        <v>1067.8</v>
      </c>
      <c r="P518">
        <f>RTD("nest.scriprtd",,"bse_cm|714REC25","Prev Close")</f>
        <v>1047.0999999999999</v>
      </c>
      <c r="Q518">
        <f>RTD("nest.scriprtd",,"bse_cm|714REC25","Face Value")</f>
        <v>1000</v>
      </c>
      <c r="R518" t="str">
        <f>RTD("nest.scriprtd",,"bse_cm|714REC25","Isin code")</f>
        <v>INE020B07JQ2</v>
      </c>
      <c r="S518" s="9">
        <f>Table1[[#This Row],[Ask Rate]]*Table1[[#This Row],[Ask Qty]]</f>
        <v>70875.350000000006</v>
      </c>
      <c r="T518">
        <f>VLOOKUP(Table1[[#This Row],[Isin code]],Table2[#All],7,FALSE)</f>
        <v>7.1400000000000006</v>
      </c>
      <c r="U518" s="17" t="str">
        <f>VLOOKUP(Table1[[#This Row],[Isin code]],Table2[#All],8,FALSE)</f>
        <v>05-Nov-2025</v>
      </c>
      <c r="V518" s="10">
        <f ca="1">Table1[[#This Row],[Maturity]]-TODAY()</f>
        <v>385</v>
      </c>
      <c r="W518" t="str">
        <f>VLOOKUP(Table1[[#This Row],[Isin code]],Table2[#All],10,FALSE)</f>
        <v>Yearly</v>
      </c>
      <c r="X518">
        <f ca="1">_xlfn.DAYS(Table1[[#This Row],[Maturity]],TODAY())-15</f>
        <v>370</v>
      </c>
      <c r="Y5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18">
        <f>IF(Table1[[#This Row],[Ask Rate]]=0,0,Table1[[#This Row],[Face Value]]-Table1[[#This Row],[Ask Rate]])</f>
        <v>-90.3900000000001</v>
      </c>
      <c r="AA518">
        <f>IF(Table1[[#This Row],[Freq]]="Yearly",Table1[[#This Row],[Coupon_Rate]]/100,IF(Table1[[#This Row],[Freq]]="Monthly",Table1[[#This Row],[Coupon_Rate]]/1200,IF(Table1[[#This Row],[Freq]]="Quarterly",Table1[[#This Row],[Coupon_Rate]]/400,0)))</f>
        <v>7.1400000000000005E-2</v>
      </c>
      <c r="AB518">
        <f ca="1">Table1[[#This Row],[Face Value]]*Table1[[#This Row],[Rate]]*Table1[[#This Row],[Time]]</f>
        <v>142.80000000000001</v>
      </c>
      <c r="AC518">
        <f ca="1">Table1[[#This Row],[SI]]+Table1[[#This Row],[Disc/Prem]]</f>
        <v>52.409999999999911</v>
      </c>
      <c r="AD518" s="3">
        <f ca="1">Table1[[#This Row],[Net Gain]]/Table1[[#This Row],[Ask Rate]]</f>
        <v>4.806537110575107E-2</v>
      </c>
      <c r="AE518" s="3">
        <f ca="1">IF(Table1[[#This Row],[Ask Qty]]=0,0,Table1[[#This Row],[Gross Yield]]*365/Table1[[#This Row],[Days Left]])</f>
        <v>4.5568468710647118E-2</v>
      </c>
      <c r="AF518" s="9">
        <f ca="1">+Table1[[#This Row],[Net Gain]]*Table1[[#This Row],[Ask Qty]]</f>
        <v>3406.6499999999942</v>
      </c>
      <c r="AG518" t="str">
        <f ca="1">IF(Table1[[#This Row],[YTM]]&gt;0.12,IF(Table1[[#This Row],[Gross Profit]]&gt;10000,"Invest","Review"),"Low YTM")</f>
        <v>Low YTM</v>
      </c>
    </row>
    <row r="519" spans="1:33" x14ac:dyDescent="0.3">
      <c r="A519" t="str">
        <f>RTD("nest.scriprtd",,"nse_cm|931SFL26-Z5","Symbol")</f>
        <v>931SFL26</v>
      </c>
      <c r="B519" t="str">
        <f>RTD("nest.scriprtd",,"nse_cm|931SFL26-Z5","Trading Symbol")</f>
        <v>931SFL26-Z5</v>
      </c>
      <c r="C519" t="str">
        <f>RTD("nest.scriprtd",,"nse_cm|931SFL26-Z5","Exchange")</f>
        <v>NSE</v>
      </c>
      <c r="D519">
        <f>RTD("nest.scriprtd",,"nse_cm|931SFL26-Z5","Bid Qty")</f>
        <v>25</v>
      </c>
      <c r="E519">
        <f>RTD("nest.scriprtd",,"nse_cm|931SFL26-Z5","Bid Rate")</f>
        <v>993</v>
      </c>
      <c r="F519">
        <f>RTD("nest.scriprtd",,"nse_cm|931SFL26-Z5","Ask Rate")</f>
        <v>1080</v>
      </c>
      <c r="G519">
        <f>RTD("nest.scriprtd",,"nse_cm|931SFL26-Z5","Ask Qty")</f>
        <v>250</v>
      </c>
      <c r="H519">
        <f>RTD("nest.scriprtd",,"nse_cm|931SFL26-Z5","LTP")</f>
        <v>990.21</v>
      </c>
      <c r="I519" t="str">
        <f>RTD("nest.scriprtd",,"nse_cm|931SFL26-Z5","LTT")</f>
        <v/>
      </c>
      <c r="J519">
        <f>RTD("nest.scriprtd",,"nse_cm|931SFL26-Z5","% Change")</f>
        <v>0</v>
      </c>
      <c r="K519">
        <f>RTD("nest.scriprtd",,"nse_cm|931SFL26-Z5","ATP")</f>
        <v>0</v>
      </c>
      <c r="L519">
        <f>RTD("nest.scriprtd",,"nse_cm|931SFL26-Z5","Volume Traded Today")</f>
        <v>0</v>
      </c>
      <c r="M519">
        <f>RTD("nest.scriprtd",,"nse_cm|931SFL26-Z5","Open")</f>
        <v>0</v>
      </c>
      <c r="N519">
        <f>RTD("nest.scriprtd",,"nse_cm|931SFL26-Z5","High")</f>
        <v>1022</v>
      </c>
      <c r="O519">
        <f>RTD("nest.scriprtd",,"nse_cm|931SFL26-Z5","Low ")</f>
        <v>990.21</v>
      </c>
      <c r="P519">
        <f>RTD("nest.scriprtd",,"nse_cm|931SFL26-Z5","Prev Close")</f>
        <v>990.21</v>
      </c>
      <c r="Q519">
        <f>RTD("nest.scriprtd",,"nse_cm|931SFL26-Z5","Face Value")</f>
        <v>1000</v>
      </c>
      <c r="R519" t="str">
        <f>RTD("nest.scriprtd",,"nse_cm|931SFL26-Z5","Isin code")</f>
        <v>INE721A07PA8</v>
      </c>
      <c r="S519" s="9">
        <f>Table1[[#This Row],[Ask Rate]]*Table1[[#This Row],[Ask Qty]]</f>
        <v>270000</v>
      </c>
      <c r="T519">
        <f>VLOOKUP(Table1[[#This Row],[Isin code]],Table2[#All],7,FALSE)</f>
        <v>9.31</v>
      </c>
      <c r="U519" s="17" t="str">
        <f>VLOOKUP(Table1[[#This Row],[Isin code]],Table2[#All],8,FALSE)</f>
        <v>22-Aug-2026</v>
      </c>
      <c r="V519" s="10">
        <f ca="1">Table1[[#This Row],[Maturity]]-TODAY()</f>
        <v>675</v>
      </c>
      <c r="W519" t="str">
        <f>VLOOKUP(Table1[[#This Row],[Isin code]],Table2[#All],10,FALSE)</f>
        <v>Monthly</v>
      </c>
      <c r="X519">
        <f ca="1">_xlfn.DAYS(Table1[[#This Row],[Maturity]],TODAY())-15</f>
        <v>660</v>
      </c>
      <c r="Y5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519">
        <f>IF(Table1[[#This Row],[Ask Rate]]=0,0,Table1[[#This Row],[Face Value]]-Table1[[#This Row],[Ask Rate]])</f>
        <v>-80</v>
      </c>
      <c r="AA519">
        <f>IF(Table1[[#This Row],[Freq]]="Yearly",Table1[[#This Row],[Coupon_Rate]]/100,IF(Table1[[#This Row],[Freq]]="Monthly",Table1[[#This Row],[Coupon_Rate]]/1200,IF(Table1[[#This Row],[Freq]]="Quarterly",Table1[[#This Row],[Coupon_Rate]]/400,0)))</f>
        <v>7.7583333333333341E-3</v>
      </c>
      <c r="AB519">
        <f ca="1">Table1[[#This Row],[Face Value]]*Table1[[#This Row],[Rate]]*Table1[[#This Row],[Time]]</f>
        <v>170.68333333333334</v>
      </c>
      <c r="AC519">
        <f ca="1">Table1[[#This Row],[SI]]+Table1[[#This Row],[Disc/Prem]]</f>
        <v>90.683333333333337</v>
      </c>
      <c r="AD519" s="3">
        <f ca="1">Table1[[#This Row],[Net Gain]]/Table1[[#This Row],[Ask Rate]]</f>
        <v>8.3966049382716054E-2</v>
      </c>
      <c r="AE519" s="3">
        <f ca="1">IF(Table1[[#This Row],[Ask Qty]]=0,0,Table1[[#This Row],[Gross Yield]]*365/Table1[[#This Row],[Days Left]])</f>
        <v>4.5403863740283497E-2</v>
      </c>
      <c r="AF519" s="9">
        <f ca="1">+Table1[[#This Row],[Net Gain]]*Table1[[#This Row],[Ask Qty]]</f>
        <v>22670.833333333336</v>
      </c>
      <c r="AG519" t="str">
        <f ca="1">IF(Table1[[#This Row],[YTM]]&gt;0.12,IF(Table1[[#This Row],[Gross Profit]]&gt;10000,"Invest","Review"),"Low YTM")</f>
        <v>Low YTM</v>
      </c>
    </row>
    <row r="520" spans="1:33" x14ac:dyDescent="0.3">
      <c r="A520" t="str">
        <f>RTD("nest.scriprtd",,"nse_cm|901NHB34-N6","Symbol")</f>
        <v>901NHB34</v>
      </c>
      <c r="B520" t="str">
        <f>RTD("nest.scriprtd",,"nse_cm|901NHB34-N6","Trading Symbol")</f>
        <v>901NHB34-N6</v>
      </c>
      <c r="C520" t="str">
        <f>RTD("nest.scriprtd",,"nse_cm|901NHB34-N6","Exchange")</f>
        <v>NSE</v>
      </c>
      <c r="D520">
        <f>RTD("nest.scriprtd",,"nse_cm|901NHB34-N6","Bid Qty")</f>
        <v>15</v>
      </c>
      <c r="E520">
        <f>RTD("nest.scriprtd",,"nse_cm|901NHB34-N6","Bid Rate")</f>
        <v>6660</v>
      </c>
      <c r="F520">
        <f>RTD("nest.scriprtd",,"nse_cm|901NHB34-N6","Ask Rate")</f>
        <v>6720</v>
      </c>
      <c r="G520">
        <f>RTD("nest.scriprtd",,"nse_cm|901NHB34-N6","Ask Qty")</f>
        <v>1</v>
      </c>
      <c r="H520">
        <f>RTD("nest.scriprtd",,"nse_cm|901NHB34-N6","LTP")</f>
        <v>6720</v>
      </c>
      <c r="I520" t="str">
        <f>RTD("nest.scriprtd",,"nse_cm|901NHB34-N6","LTT")</f>
        <v>11:28:22</v>
      </c>
      <c r="J520">
        <f>RTD("nest.scriprtd",,"nse_cm|901NHB34-N6","% Change")</f>
        <v>0.51</v>
      </c>
      <c r="K520">
        <f>RTD("nest.scriprtd",,"nse_cm|901NHB34-N6","ATP")</f>
        <v>6598.73</v>
      </c>
      <c r="L520">
        <f>RTD("nest.scriprtd",,"nse_cm|901NHB34-N6","Volume Traded Today")</f>
        <v>309</v>
      </c>
      <c r="M520">
        <f>RTD("nest.scriprtd",,"nse_cm|901NHB34-N6","Open")</f>
        <v>6620</v>
      </c>
      <c r="N520">
        <f>RTD("nest.scriprtd",,"nse_cm|901NHB34-N6","High")</f>
        <v>6720</v>
      </c>
      <c r="O520">
        <f>RTD("nest.scriprtd",,"nse_cm|901NHB34-N6","Low ")</f>
        <v>6279</v>
      </c>
      <c r="P520">
        <f>RTD("nest.scriprtd",,"nse_cm|901NHB34-N6","Prev Close")</f>
        <v>6685.9</v>
      </c>
      <c r="Q520">
        <f>RTD("nest.scriprtd",,"nse_cm|901NHB34-N6","Face Value")</f>
        <v>5000</v>
      </c>
      <c r="R520" t="str">
        <f>RTD("nest.scriprtd",,"nse_cm|901NHB34-N6","Isin code")</f>
        <v>INE557F07132</v>
      </c>
      <c r="S520" s="9">
        <f>Table1[[#This Row],[Ask Rate]]*Table1[[#This Row],[Ask Qty]]</f>
        <v>6720</v>
      </c>
      <c r="T520">
        <f>VLOOKUP(Table1[[#This Row],[Isin code]],Table2[#All],7,FALSE)</f>
        <v>9.01</v>
      </c>
      <c r="U520" s="17" t="str">
        <f>VLOOKUP(Table1[[#This Row],[Isin code]],Table2[#All],8,FALSE)</f>
        <v>13-Jan-2034</v>
      </c>
      <c r="V520" s="10">
        <f ca="1">Table1[[#This Row],[Maturity]]-TODAY()</f>
        <v>3376</v>
      </c>
      <c r="W520" t="str">
        <f>VLOOKUP(Table1[[#This Row],[Isin code]],Table2[#All],10,FALSE)</f>
        <v>Yearly</v>
      </c>
      <c r="X520">
        <f ca="1">_xlfn.DAYS(Table1[[#This Row],[Maturity]],TODAY())-15</f>
        <v>3361</v>
      </c>
      <c r="Y5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20">
        <f>IF(Table1[[#This Row],[Ask Rate]]=0,0,Table1[[#This Row],[Face Value]]-Table1[[#This Row],[Ask Rate]])</f>
        <v>-1720</v>
      </c>
      <c r="AA520">
        <f>IF(Table1[[#This Row],[Freq]]="Yearly",Table1[[#This Row],[Coupon_Rate]]/100,IF(Table1[[#This Row],[Freq]]="Monthly",Table1[[#This Row],[Coupon_Rate]]/1200,IF(Table1[[#This Row],[Freq]]="Quarterly",Table1[[#This Row],[Coupon_Rate]]/400,0)))</f>
        <v>9.01E-2</v>
      </c>
      <c r="AB520">
        <f ca="1">Table1[[#This Row],[Face Value]]*Table1[[#This Row],[Rate]]*Table1[[#This Row],[Time]]</f>
        <v>4505</v>
      </c>
      <c r="AC520">
        <f ca="1">Table1[[#This Row],[SI]]+Table1[[#This Row],[Disc/Prem]]</f>
        <v>2785</v>
      </c>
      <c r="AD520" s="3">
        <f ca="1">Table1[[#This Row],[Net Gain]]/Table1[[#This Row],[Ask Rate]]</f>
        <v>0.41443452380952384</v>
      </c>
      <c r="AE520" s="3">
        <f ca="1">IF(Table1[[#This Row],[Ask Qty]]=0,0,Table1[[#This Row],[Gross Yield]]*365/Table1[[#This Row],[Days Left]])</f>
        <v>4.4807050115662383E-2</v>
      </c>
      <c r="AF520" s="9">
        <f ca="1">+Table1[[#This Row],[Net Gain]]*Table1[[#This Row],[Ask Qty]]</f>
        <v>2785</v>
      </c>
      <c r="AG520" t="str">
        <f ca="1">IF(Table1[[#This Row],[YTM]]&gt;0.12,IF(Table1[[#This Row],[Gross Profit]]&gt;10000,"Invest","Review"),"Low YTM")</f>
        <v>Low YTM</v>
      </c>
    </row>
    <row r="521" spans="1:33" x14ac:dyDescent="0.3">
      <c r="A521" t="str">
        <f>RTD("nest.scriprtd",,"bse_cm|971SCL29","Symbol")</f>
        <v>971SCL29</v>
      </c>
      <c r="B521" t="str">
        <f>RTD("nest.scriprtd",,"bse_cm|971SCL29","Trading Symbol")</f>
        <v>971SCL29</v>
      </c>
      <c r="C521" t="str">
        <f>RTD("nest.scriprtd",,"bse_cm|971SCL29","Exchange")</f>
        <v>BSE</v>
      </c>
      <c r="D521">
        <f>RTD("nest.scriprtd",,"bse_cm|971SCL29","Bid Qty")</f>
        <v>9</v>
      </c>
      <c r="E521">
        <f>RTD("nest.scriprtd",,"bse_cm|971SCL29","Bid Rate")</f>
        <v>901.2</v>
      </c>
      <c r="F521">
        <f>RTD("nest.scriprtd",,"bse_cm|971SCL29","Ask Rate")</f>
        <v>1200</v>
      </c>
      <c r="G521">
        <f>RTD("nest.scriprtd",,"bse_cm|971SCL29","Ask Qty")</f>
        <v>10</v>
      </c>
      <c r="H521">
        <f>RTD("nest.scriprtd",,"bse_cm|971SCL29","LTP")</f>
        <v>0</v>
      </c>
      <c r="I521" t="str">
        <f>RTD("nest.scriprtd",,"bse_cm|971SCL29","LTT")</f>
        <v>00:00:00</v>
      </c>
      <c r="J521">
        <f>RTD("nest.scriprtd",,"bse_cm|971SCL29","% Change")</f>
        <v>-100</v>
      </c>
      <c r="K521">
        <f>RTD("nest.scriprtd",,"bse_cm|971SCL29","ATP")</f>
        <v>0</v>
      </c>
      <c r="L521">
        <f>RTD("nest.scriprtd",,"bse_cm|971SCL29","Volume Traded Today")</f>
        <v>0</v>
      </c>
      <c r="M521">
        <f>RTD("nest.scriprtd",,"bse_cm|971SCL29","Open")</f>
        <v>0</v>
      </c>
      <c r="N521">
        <f>RTD("nest.scriprtd",,"bse_cm|971SCL29","High")</f>
        <v>0</v>
      </c>
      <c r="O521">
        <f>RTD("nest.scriprtd",,"bse_cm|971SCL29","Low ")</f>
        <v>0</v>
      </c>
      <c r="P521">
        <f>RTD("nest.scriprtd",,"bse_cm|971SCL29","Prev Close")</f>
        <v>1000</v>
      </c>
      <c r="Q521">
        <f>RTD("nest.scriprtd",,"bse_cm|971SCL29","Face Value")</f>
        <v>1000</v>
      </c>
      <c r="R521" t="str">
        <f>RTD("nest.scriprtd",,"bse_cm|971SCL29","Isin code")</f>
        <v>INE148I07SN4</v>
      </c>
      <c r="S521" s="9">
        <f>Table1[[#This Row],[Ask Rate]]*Table1[[#This Row],[Ask Qty]]</f>
        <v>12000</v>
      </c>
      <c r="T521">
        <f>VLOOKUP(Table1[[#This Row],[Isin code]],Table2[#All],7,FALSE)</f>
        <v>9.7100000000000009</v>
      </c>
      <c r="U521" s="17" t="str">
        <f>VLOOKUP(Table1[[#This Row],[Isin code]],Table2[#All],8,FALSE)</f>
        <v>26-Mar-2029</v>
      </c>
      <c r="V521" s="10">
        <f ca="1">Table1[[#This Row],[Maturity]]-TODAY()</f>
        <v>1622</v>
      </c>
      <c r="W521" t="str">
        <f>VLOOKUP(Table1[[#This Row],[Isin code]],Table2[#All],10,FALSE)</f>
        <v>Monthly</v>
      </c>
      <c r="X521">
        <f ca="1">_xlfn.DAYS(Table1[[#This Row],[Maturity]],TODAY())-15</f>
        <v>1607</v>
      </c>
      <c r="Y5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521">
        <f>IF(Table1[[#This Row],[Ask Rate]]=0,0,Table1[[#This Row],[Face Value]]-Table1[[#This Row],[Ask Rate]])</f>
        <v>-200</v>
      </c>
      <c r="AA521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521">
        <f ca="1">Table1[[#This Row],[Face Value]]*Table1[[#This Row],[Rate]]*Table1[[#This Row],[Time]]</f>
        <v>436.95</v>
      </c>
      <c r="AC521">
        <f ca="1">Table1[[#This Row],[SI]]+Table1[[#This Row],[Disc/Prem]]</f>
        <v>236.95</v>
      </c>
      <c r="AD521" s="3">
        <f ca="1">Table1[[#This Row],[Net Gain]]/Table1[[#This Row],[Ask Rate]]</f>
        <v>0.19745833333333332</v>
      </c>
      <c r="AE521" s="3">
        <f ca="1">IF(Table1[[#This Row],[Ask Qty]]=0,0,Table1[[#This Row],[Gross Yield]]*365/Table1[[#This Row],[Days Left]])</f>
        <v>4.4434211878339493E-2</v>
      </c>
      <c r="AF521" s="9">
        <f ca="1">+Table1[[#This Row],[Net Gain]]*Table1[[#This Row],[Ask Qty]]</f>
        <v>2369.5</v>
      </c>
      <c r="AG521" t="str">
        <f ca="1">IF(Table1[[#This Row],[YTM]]&gt;0.12,IF(Table1[[#This Row],[Gross Profit]]&gt;10000,"Invest","Review"),"Low YTM")</f>
        <v>Low YTM</v>
      </c>
    </row>
    <row r="522" spans="1:33" x14ac:dyDescent="0.3">
      <c r="A522" t="str">
        <f>RTD("nest.scriprtd",,"nse_cm|888REC29-NF","Symbol")</f>
        <v>888REC29</v>
      </c>
      <c r="B522" t="str">
        <f>RTD("nest.scriprtd",,"nse_cm|888REC29-NF","Trading Symbol")</f>
        <v>888REC29-NF</v>
      </c>
      <c r="C522" t="str">
        <f>RTD("nest.scriprtd",,"nse_cm|888REC29-NF","Exchange")</f>
        <v>NSE</v>
      </c>
      <c r="D522">
        <f>RTD("nest.scriprtd",,"nse_cm|888REC29-NF","Bid Qty")</f>
        <v>22</v>
      </c>
      <c r="E522">
        <f>RTD("nest.scriprtd",,"nse_cm|888REC29-NF","Bid Rate")</f>
        <v>1186.71</v>
      </c>
      <c r="F522">
        <f>RTD("nest.scriprtd",,"nse_cm|888REC29-NF","Ask Rate")</f>
        <v>1208</v>
      </c>
      <c r="G522">
        <f>RTD("nest.scriprtd",,"nse_cm|888REC29-NF","Ask Qty")</f>
        <v>5</v>
      </c>
      <c r="H522">
        <f>RTD("nest.scriprtd",,"nse_cm|888REC29-NF","LTP")</f>
        <v>1201.5</v>
      </c>
      <c r="I522" t="str">
        <f>RTD("nest.scriprtd",,"nse_cm|888REC29-NF","LTT")</f>
        <v/>
      </c>
      <c r="J522">
        <f>RTD("nest.scriprtd",,"nse_cm|888REC29-NF","% Change")</f>
        <v>0</v>
      </c>
      <c r="K522">
        <f>RTD("nest.scriprtd",,"nse_cm|888REC29-NF","ATP")</f>
        <v>0</v>
      </c>
      <c r="L522">
        <f>RTD("nest.scriprtd",,"nse_cm|888REC29-NF","Volume Traded Today")</f>
        <v>0</v>
      </c>
      <c r="M522">
        <f>RTD("nest.scriprtd",,"nse_cm|888REC29-NF","Open")</f>
        <v>0</v>
      </c>
      <c r="N522">
        <f>RTD("nest.scriprtd",,"nse_cm|888REC29-NF","High")</f>
        <v>1201.5</v>
      </c>
      <c r="O522">
        <f>RTD("nest.scriprtd",,"nse_cm|888REC29-NF","Low ")</f>
        <v>1200</v>
      </c>
      <c r="P522">
        <f>RTD("nest.scriprtd",,"nse_cm|888REC29-NF","Prev Close")</f>
        <v>1201.5</v>
      </c>
      <c r="Q522">
        <f>RTD("nest.scriprtd",,"nse_cm|888REC29-NF","Face Value")</f>
        <v>1000</v>
      </c>
      <c r="R522" t="str">
        <f>RTD("nest.scriprtd",,"nse_cm|888REC29-NF","Isin code")</f>
        <v>INE020B07IG5</v>
      </c>
      <c r="S522" s="9">
        <f>Table1[[#This Row],[Ask Rate]]*Table1[[#This Row],[Ask Qty]]</f>
        <v>6040</v>
      </c>
      <c r="T522">
        <f>VLOOKUP(Table1[[#This Row],[Isin code]],Table2[#All],7,FALSE)</f>
        <v>8.8800000000000008</v>
      </c>
      <c r="U522" s="17" t="str">
        <f>VLOOKUP(Table1[[#This Row],[Isin code]],Table2[#All],8,FALSE)</f>
        <v>24-Mar-2029</v>
      </c>
      <c r="V522" s="10">
        <f ca="1">Table1[[#This Row],[Maturity]]-TODAY()</f>
        <v>1620</v>
      </c>
      <c r="W522" t="str">
        <f>VLOOKUP(Table1[[#This Row],[Isin code]],Table2[#All],10,FALSE)</f>
        <v>Yearly</v>
      </c>
      <c r="X522">
        <f ca="1">_xlfn.DAYS(Table1[[#This Row],[Maturity]],TODAY())-15</f>
        <v>1605</v>
      </c>
      <c r="Y5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22">
        <f>IF(Table1[[#This Row],[Ask Rate]]=0,0,Table1[[#This Row],[Face Value]]-Table1[[#This Row],[Ask Rate]])</f>
        <v>-208</v>
      </c>
      <c r="AA522">
        <f>IF(Table1[[#This Row],[Freq]]="Yearly",Table1[[#This Row],[Coupon_Rate]]/100,IF(Table1[[#This Row],[Freq]]="Monthly",Table1[[#This Row],[Coupon_Rate]]/1200,IF(Table1[[#This Row],[Freq]]="Quarterly",Table1[[#This Row],[Coupon_Rate]]/400,0)))</f>
        <v>8.8800000000000004E-2</v>
      </c>
      <c r="AB522">
        <f ca="1">Table1[[#This Row],[Face Value]]*Table1[[#This Row],[Rate]]*Table1[[#This Row],[Time]]</f>
        <v>444</v>
      </c>
      <c r="AC522">
        <f ca="1">Table1[[#This Row],[SI]]+Table1[[#This Row],[Disc/Prem]]</f>
        <v>236</v>
      </c>
      <c r="AD522" s="3">
        <f ca="1">Table1[[#This Row],[Net Gain]]/Table1[[#This Row],[Ask Rate]]</f>
        <v>0.19536423841059603</v>
      </c>
      <c r="AE522" s="3">
        <f ca="1">IF(Table1[[#This Row],[Ask Qty]]=0,0,Table1[[#This Row],[Gross Yield]]*365/Table1[[#This Row],[Days Left]])</f>
        <v>4.4017251246831826E-2</v>
      </c>
      <c r="AF522" s="9">
        <f ca="1">+Table1[[#This Row],[Net Gain]]*Table1[[#This Row],[Ask Qty]]</f>
        <v>1180</v>
      </c>
      <c r="AG522" t="str">
        <f ca="1">IF(Table1[[#This Row],[YTM]]&gt;0.12,IF(Table1[[#This Row],[Gross Profit]]&gt;10000,"Invest","Review"),"Low YTM")</f>
        <v>Low YTM</v>
      </c>
    </row>
    <row r="523" spans="1:33" x14ac:dyDescent="0.3">
      <c r="A523" t="str">
        <f>RTD("nest.scriprtd",,"bse_cm|729HUDCO26","Symbol")</f>
        <v>729HUDCO26</v>
      </c>
      <c r="B523" t="str">
        <f>RTD("nest.scriprtd",,"bse_cm|729HUDCO26","Trading Symbol")</f>
        <v>729HUDCO26</v>
      </c>
      <c r="C523" t="str">
        <f>RTD("nest.scriprtd",,"bse_cm|729HUDCO26","Exchange")</f>
        <v>BSE</v>
      </c>
      <c r="D523">
        <f>RTD("nest.scriprtd",,"bse_cm|729HUDCO26","Bid Qty")</f>
        <v>100</v>
      </c>
      <c r="E523">
        <f>RTD("nest.scriprtd",,"bse_cm|729HUDCO26","Bid Rate")</f>
        <v>1077</v>
      </c>
      <c r="F523">
        <f>RTD("nest.scriprtd",,"bse_cm|729HUDCO26","Ask Rate")</f>
        <v>1078.8699999999999</v>
      </c>
      <c r="G523">
        <f>RTD("nest.scriprtd",,"bse_cm|729HUDCO26","Ask Qty")</f>
        <v>61</v>
      </c>
      <c r="H523">
        <f>RTD("nest.scriprtd",,"bse_cm|729HUDCO26","LTP")</f>
        <v>1079</v>
      </c>
      <c r="I523" t="str">
        <f>RTD("nest.scriprtd",,"bse_cm|729HUDCO26","LTT")</f>
        <v>00:00:00</v>
      </c>
      <c r="J523">
        <f>RTD("nest.scriprtd",,"bse_cm|729HUDCO26","% Change")</f>
        <v>1.79</v>
      </c>
      <c r="K523">
        <f>RTD("nest.scriprtd",,"bse_cm|729HUDCO26","ATP")</f>
        <v>0</v>
      </c>
      <c r="L523">
        <f>RTD("nest.scriprtd",,"bse_cm|729HUDCO26","Volume Traded Today")</f>
        <v>0</v>
      </c>
      <c r="M523">
        <f>RTD("nest.scriprtd",,"bse_cm|729HUDCO26","Open")</f>
        <v>0</v>
      </c>
      <c r="N523">
        <f>RTD("nest.scriprtd",,"bse_cm|729HUDCO26","High")</f>
        <v>1080</v>
      </c>
      <c r="O523">
        <f>RTD("nest.scriprtd",,"bse_cm|729HUDCO26","Low ")</f>
        <v>1069.0999999999999</v>
      </c>
      <c r="P523">
        <f>RTD("nest.scriprtd",,"bse_cm|729HUDCO26","Prev Close")</f>
        <v>1060.01</v>
      </c>
      <c r="Q523">
        <f>RTD("nest.scriprtd",,"bse_cm|729HUDCO26","Face Value")</f>
        <v>1000</v>
      </c>
      <c r="R523" t="str">
        <f>RTD("nest.scriprtd",,"bse_cm|729HUDCO26","Isin code")</f>
        <v>INE031A07AS6</v>
      </c>
      <c r="S523" s="9">
        <f>Table1[[#This Row],[Ask Rate]]*Table1[[#This Row],[Ask Qty]]</f>
        <v>65811.069999999992</v>
      </c>
      <c r="T523">
        <f>VLOOKUP(Table1[[#This Row],[Isin code]],Table2[#All],7,FALSE)</f>
        <v>7.2900000000000009</v>
      </c>
      <c r="U523" s="17" t="str">
        <f>VLOOKUP(Table1[[#This Row],[Isin code]],Table2[#All],8,FALSE)</f>
        <v>15-Mar-2026</v>
      </c>
      <c r="V523" s="10">
        <f ca="1">Table1[[#This Row],[Maturity]]-TODAY()</f>
        <v>515</v>
      </c>
      <c r="W523" t="str">
        <f>VLOOKUP(Table1[[#This Row],[Isin code]],Table2[#All],10,FALSE)</f>
        <v>Yearly</v>
      </c>
      <c r="X523">
        <f ca="1">_xlfn.DAYS(Table1[[#This Row],[Maturity]],TODAY())-15</f>
        <v>500</v>
      </c>
      <c r="Y5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23">
        <f>IF(Table1[[#This Row],[Ask Rate]]=0,0,Table1[[#This Row],[Face Value]]-Table1[[#This Row],[Ask Rate]])</f>
        <v>-78.869999999999891</v>
      </c>
      <c r="AA523">
        <f>IF(Table1[[#This Row],[Freq]]="Yearly",Table1[[#This Row],[Coupon_Rate]]/100,IF(Table1[[#This Row],[Freq]]="Monthly",Table1[[#This Row],[Coupon_Rate]]/1200,IF(Table1[[#This Row],[Freq]]="Quarterly",Table1[[#This Row],[Coupon_Rate]]/400,0)))</f>
        <v>7.2900000000000006E-2</v>
      </c>
      <c r="AB523">
        <f ca="1">Table1[[#This Row],[Face Value]]*Table1[[#This Row],[Rate]]*Table1[[#This Row],[Time]]</f>
        <v>145.80000000000001</v>
      </c>
      <c r="AC523">
        <f ca="1">Table1[[#This Row],[SI]]+Table1[[#This Row],[Disc/Prem]]</f>
        <v>66.930000000000121</v>
      </c>
      <c r="AD523" s="3">
        <f ca="1">Table1[[#This Row],[Net Gain]]/Table1[[#This Row],[Ask Rate]]</f>
        <v>6.2037131443084086E-2</v>
      </c>
      <c r="AE523" s="3">
        <f ca="1">IF(Table1[[#This Row],[Ask Qty]]=0,0,Table1[[#This Row],[Gross Yield]]*365/Table1[[#This Row],[Days Left]])</f>
        <v>4.3968064032477071E-2</v>
      </c>
      <c r="AF523" s="9">
        <f ca="1">+Table1[[#This Row],[Net Gain]]*Table1[[#This Row],[Ask Qty]]</f>
        <v>4082.7300000000073</v>
      </c>
      <c r="AG523" t="str">
        <f ca="1">IF(Table1[[#This Row],[YTM]]&gt;0.12,IF(Table1[[#This Row],[Gross Profit]]&gt;10000,"Invest","Review"),"Low YTM")</f>
        <v>Low YTM</v>
      </c>
    </row>
    <row r="524" spans="1:33" x14ac:dyDescent="0.3">
      <c r="A524" t="str">
        <f>RTD("nest.scriprtd",,"bse_cm|734REC30","Symbol")</f>
        <v>734REC30</v>
      </c>
      <c r="B524" t="str">
        <f>RTD("nest.scriprtd",,"bse_cm|734REC30","Trading Symbol")</f>
        <v>734REC30</v>
      </c>
      <c r="C524" t="str">
        <f>RTD("nest.scriprtd",,"bse_cm|734REC30","Exchange")</f>
        <v>BSE</v>
      </c>
      <c r="D524">
        <f>RTD("nest.scriprtd",,"bse_cm|734REC30","Bid Qty")</f>
        <v>50</v>
      </c>
      <c r="E524">
        <f>RTD("nest.scriprtd",,"bse_cm|734REC30","Bid Rate")</f>
        <v>1138</v>
      </c>
      <c r="F524">
        <f>RTD("nest.scriprtd",,"bse_cm|734REC30","Ask Rate")</f>
        <v>1198.78</v>
      </c>
      <c r="G524">
        <f>RTD("nest.scriprtd",,"bse_cm|734REC30","Ask Qty")</f>
        <v>20</v>
      </c>
      <c r="H524">
        <f>RTD("nest.scriprtd",,"bse_cm|734REC30","LTP")</f>
        <v>0</v>
      </c>
      <c r="I524" t="str">
        <f>RTD("nest.scriprtd",,"bse_cm|734REC30","LTT")</f>
        <v>00:00:00</v>
      </c>
      <c r="J524">
        <f>RTD("nest.scriprtd",,"bse_cm|734REC30","% Change")</f>
        <v>-100</v>
      </c>
      <c r="K524">
        <f>RTD("nest.scriprtd",,"bse_cm|734REC30","ATP")</f>
        <v>0</v>
      </c>
      <c r="L524">
        <f>RTD("nest.scriprtd",,"bse_cm|734REC30","Volume Traded Today")</f>
        <v>0</v>
      </c>
      <c r="M524">
        <f>RTD("nest.scriprtd",,"bse_cm|734REC30","Open")</f>
        <v>0</v>
      </c>
      <c r="N524">
        <f>RTD("nest.scriprtd",,"bse_cm|734REC30","High")</f>
        <v>1126.6099999999999</v>
      </c>
      <c r="O524">
        <f>RTD("nest.scriprtd",,"bse_cm|734REC30","Low ")</f>
        <v>1126.6099999999999</v>
      </c>
      <c r="P524">
        <f>RTD("nest.scriprtd",,"bse_cm|734REC30","Prev Close")</f>
        <v>1126.6099999999999</v>
      </c>
      <c r="Q524">
        <f>RTD("nest.scriprtd",,"bse_cm|734REC30","Face Value")</f>
        <v>1000</v>
      </c>
      <c r="R524" t="str">
        <f>RTD("nest.scriprtd",,"bse_cm|734REC30","Isin code")</f>
        <v>INE020B07JS8</v>
      </c>
      <c r="S524" s="9">
        <f>Table1[[#This Row],[Ask Rate]]*Table1[[#This Row],[Ask Qty]]</f>
        <v>23975.599999999999</v>
      </c>
      <c r="T524">
        <f>VLOOKUP(Table1[[#This Row],[Isin code]],Table2[#All],7,FALSE)</f>
        <v>7.3400000000000007</v>
      </c>
      <c r="U524" s="17" t="str">
        <f>VLOOKUP(Table1[[#This Row],[Isin code]],Table2[#All],8,FALSE)</f>
        <v>05-Nov-2030</v>
      </c>
      <c r="V524" s="10">
        <f ca="1">Table1[[#This Row],[Maturity]]-TODAY()</f>
        <v>2211</v>
      </c>
      <c r="W524" t="str">
        <f>VLOOKUP(Table1[[#This Row],[Isin code]],Table2[#All],10,FALSE)</f>
        <v>Yearly</v>
      </c>
      <c r="X524">
        <f ca="1">_xlfn.DAYS(Table1[[#This Row],[Maturity]],TODAY())-15</f>
        <v>2196</v>
      </c>
      <c r="Y5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524">
        <f>IF(Table1[[#This Row],[Ask Rate]]=0,0,Table1[[#This Row],[Face Value]]-Table1[[#This Row],[Ask Rate]])</f>
        <v>-198.77999999999997</v>
      </c>
      <c r="AA524">
        <f>IF(Table1[[#This Row],[Freq]]="Yearly",Table1[[#This Row],[Coupon_Rate]]/100,IF(Table1[[#This Row],[Freq]]="Monthly",Table1[[#This Row],[Coupon_Rate]]/1200,IF(Table1[[#This Row],[Freq]]="Quarterly",Table1[[#This Row],[Coupon_Rate]]/400,0)))</f>
        <v>7.3400000000000007E-2</v>
      </c>
      <c r="AB524">
        <f ca="1">Table1[[#This Row],[Face Value]]*Table1[[#This Row],[Rate]]*Table1[[#This Row],[Time]]</f>
        <v>513.80000000000007</v>
      </c>
      <c r="AC524">
        <f ca="1">Table1[[#This Row],[SI]]+Table1[[#This Row],[Disc/Prem]]</f>
        <v>315.0200000000001</v>
      </c>
      <c r="AD524" s="3">
        <f ca="1">Table1[[#This Row],[Net Gain]]/Table1[[#This Row],[Ask Rate]]</f>
        <v>0.26278383022739793</v>
      </c>
      <c r="AE524" s="3">
        <f ca="1">IF(Table1[[#This Row],[Ask Qty]]=0,0,Table1[[#This Row],[Gross Yield]]*365/Table1[[#This Row],[Days Left]])</f>
        <v>4.3381319779737783E-2</v>
      </c>
      <c r="AF524" s="9">
        <f ca="1">+Table1[[#This Row],[Net Gain]]*Table1[[#This Row],[Ask Qty]]</f>
        <v>6300.4000000000015</v>
      </c>
      <c r="AG524" t="str">
        <f ca="1">IF(Table1[[#This Row],[YTM]]&gt;0.12,IF(Table1[[#This Row],[Gross Profit]]&gt;10000,"Invest","Review"),"Low YTM")</f>
        <v>Low YTM</v>
      </c>
    </row>
    <row r="525" spans="1:33" x14ac:dyDescent="0.3">
      <c r="A525" t="str">
        <f>RTD("nest.scriprtd",,"bse_cm|1025KFL26A","Symbol")</f>
        <v>1025KFL26A</v>
      </c>
      <c r="B525" t="str">
        <f>RTD("nest.scriprtd",,"bse_cm|1025KFL26A","Trading Symbol")</f>
        <v>1025KFL26A</v>
      </c>
      <c r="C525" t="str">
        <f>RTD("nest.scriprtd",,"bse_cm|1025KFL26A","Exchange")</f>
        <v>BSE</v>
      </c>
      <c r="D525">
        <f>RTD("nest.scriprtd",,"bse_cm|1025KFL26A","Bid Qty")</f>
        <v>22</v>
      </c>
      <c r="E525">
        <f>RTD("nest.scriprtd",,"bse_cm|1025KFL26A","Bid Rate")</f>
        <v>920</v>
      </c>
      <c r="F525">
        <f>RTD("nest.scriprtd",,"bse_cm|1025KFL26A","Ask Rate")</f>
        <v>1100</v>
      </c>
      <c r="G525">
        <f>RTD("nest.scriprtd",,"bse_cm|1025KFL26A","Ask Qty")</f>
        <v>50</v>
      </c>
      <c r="H525">
        <f>RTD("nest.scriprtd",,"bse_cm|1025KFL26A","LTP")</f>
        <v>0</v>
      </c>
      <c r="I525" t="str">
        <f>RTD("nest.scriprtd",,"bse_cm|1025KFL26A","LTT")</f>
        <v>00:00:00</v>
      </c>
      <c r="J525">
        <f>RTD("nest.scriprtd",,"bse_cm|1025KFL26A","% Change")</f>
        <v>-100</v>
      </c>
      <c r="K525">
        <f>RTD("nest.scriprtd",,"bse_cm|1025KFL26A","ATP")</f>
        <v>0</v>
      </c>
      <c r="L525">
        <f>RTD("nest.scriprtd",,"bse_cm|1025KFL26A","Volume Traded Today")</f>
        <v>0</v>
      </c>
      <c r="M525">
        <f>RTD("nest.scriprtd",,"bse_cm|1025KFL26A","Open")</f>
        <v>0</v>
      </c>
      <c r="N525">
        <f>RTD("nest.scriprtd",,"bse_cm|1025KFL26A","High")</f>
        <v>965</v>
      </c>
      <c r="O525">
        <f>RTD("nest.scriprtd",,"bse_cm|1025KFL26A","Low ")</f>
        <v>965</v>
      </c>
      <c r="P525">
        <f>RTD("nest.scriprtd",,"bse_cm|1025KFL26A","Prev Close")</f>
        <v>965</v>
      </c>
      <c r="Q525">
        <f>RTD("nest.scriprtd",,"bse_cm|1025KFL26A","Face Value")</f>
        <v>1000</v>
      </c>
      <c r="R525" t="str">
        <f>RTD("nest.scriprtd",,"bse_cm|1025KFL26A","Isin code")</f>
        <v>INE403Q08175</v>
      </c>
      <c r="S525" s="9">
        <f>Table1[[#This Row],[Ask Rate]]*Table1[[#This Row],[Ask Qty]]</f>
        <v>55000</v>
      </c>
      <c r="T525">
        <f>VLOOKUP(Table1[[#This Row],[Isin code]],Table2[#All],7,FALSE)</f>
        <v>10.25</v>
      </c>
      <c r="U525" s="17" t="str">
        <f>VLOOKUP(Table1[[#This Row],[Isin code]],Table2[#All],8,FALSE)</f>
        <v>20-Aug-2026</v>
      </c>
      <c r="V525" s="10">
        <f ca="1">Table1[[#This Row],[Maturity]]-TODAY()</f>
        <v>673</v>
      </c>
      <c r="W525" t="str">
        <f>VLOOKUP(Table1[[#This Row],[Isin code]],Table2[#All],10,FALSE)</f>
        <v>Monthly</v>
      </c>
      <c r="X525">
        <f ca="1">_xlfn.DAYS(Table1[[#This Row],[Maturity]],TODAY())-15</f>
        <v>658</v>
      </c>
      <c r="Y5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525">
        <f>IF(Table1[[#This Row],[Ask Rate]]=0,0,Table1[[#This Row],[Face Value]]-Table1[[#This Row],[Ask Rate]])</f>
        <v>-100</v>
      </c>
      <c r="AA525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525">
        <f ca="1">Table1[[#This Row],[Face Value]]*Table1[[#This Row],[Rate]]*Table1[[#This Row],[Time]]</f>
        <v>187.91666666666666</v>
      </c>
      <c r="AC525">
        <f ca="1">Table1[[#This Row],[SI]]+Table1[[#This Row],[Disc/Prem]]</f>
        <v>87.916666666666657</v>
      </c>
      <c r="AD525" s="3">
        <f ca="1">Table1[[#This Row],[Net Gain]]/Table1[[#This Row],[Ask Rate]]</f>
        <v>7.9924242424242412E-2</v>
      </c>
      <c r="AE525" s="3">
        <f ca="1">IF(Table1[[#This Row],[Ask Qty]]=0,0,Table1[[#This Row],[Gross Yield]]*365/Table1[[#This Row],[Days Left]])</f>
        <v>4.3346728803638157E-2</v>
      </c>
      <c r="AF525" s="9">
        <f ca="1">+Table1[[#This Row],[Net Gain]]*Table1[[#This Row],[Ask Qty]]</f>
        <v>4395.833333333333</v>
      </c>
      <c r="AG525" t="str">
        <f ca="1">IF(Table1[[#This Row],[YTM]]&gt;0.12,IF(Table1[[#This Row],[Gross Profit]]&gt;10000,"Invest","Review"),"Low YTM")</f>
        <v>Low YTM</v>
      </c>
    </row>
    <row r="526" spans="1:33" x14ac:dyDescent="0.3">
      <c r="A526" t="str">
        <f>RTD("nest.scriprtd",,"nse_cm|948SCL26A-NN","Symbol")</f>
        <v>948SCL26A</v>
      </c>
      <c r="B526" t="str">
        <f>RTD("nest.scriprtd",,"nse_cm|948SCL26A-NN","Trading Symbol")</f>
        <v>948SCL26A-NN</v>
      </c>
      <c r="C526" t="str">
        <f>RTD("nest.scriprtd",,"nse_cm|948SCL26A-NN","Exchange")</f>
        <v>NSE</v>
      </c>
      <c r="D526">
        <f>RTD("nest.scriprtd",,"nse_cm|948SCL26A-NN","Bid Qty")</f>
        <v>10</v>
      </c>
      <c r="E526">
        <f>RTD("nest.scriprtd",,"nse_cm|948SCL26A-NN","Bid Rate")</f>
        <v>980.05</v>
      </c>
      <c r="F526">
        <f>RTD("nest.scriprtd",,"nse_cm|948SCL26A-NN","Ask Rate")</f>
        <v>1100</v>
      </c>
      <c r="G526">
        <f>RTD("nest.scriprtd",,"nse_cm|948SCL26A-NN","Ask Qty")</f>
        <v>240</v>
      </c>
      <c r="H526">
        <f>RTD("nest.scriprtd",,"nse_cm|948SCL26A-NN","LTP")</f>
        <v>1002</v>
      </c>
      <c r="I526" t="str">
        <f>RTD("nest.scriprtd",,"nse_cm|948SCL26A-NN","LTT")</f>
        <v/>
      </c>
      <c r="J526">
        <f>RTD("nest.scriprtd",,"nse_cm|948SCL26A-NN","% Change")</f>
        <v>0</v>
      </c>
      <c r="K526">
        <f>RTD("nest.scriprtd",,"nse_cm|948SCL26A-NN","ATP")</f>
        <v>0</v>
      </c>
      <c r="L526">
        <f>RTD("nest.scriprtd",,"nse_cm|948SCL26A-NN","Volume Traded Today")</f>
        <v>0</v>
      </c>
      <c r="M526">
        <f>RTD("nest.scriprtd",,"nse_cm|948SCL26A-NN","Open")</f>
        <v>0</v>
      </c>
      <c r="N526">
        <f>RTD("nest.scriprtd",,"nse_cm|948SCL26A-NN","High")</f>
        <v>1002</v>
      </c>
      <c r="O526">
        <f>RTD("nest.scriprtd",,"nse_cm|948SCL26A-NN","Low ")</f>
        <v>1002</v>
      </c>
      <c r="P526">
        <f>RTD("nest.scriprtd",,"nse_cm|948SCL26A-NN","Prev Close")</f>
        <v>1002</v>
      </c>
      <c r="Q526">
        <f>RTD("nest.scriprtd",,"nse_cm|948SCL26A-NN","Face Value")</f>
        <v>1000</v>
      </c>
      <c r="R526" t="str">
        <f>RTD("nest.scriprtd",,"nse_cm|948SCL26A-NN","Isin code")</f>
        <v>INE148I07QK4</v>
      </c>
      <c r="S526" s="9">
        <f>Table1[[#This Row],[Ask Rate]]*Table1[[#This Row],[Ask Qty]]</f>
        <v>264000</v>
      </c>
      <c r="T526">
        <f>VLOOKUP(Table1[[#This Row],[Isin code]],Table2[#All],7,FALSE)</f>
        <v>9.48</v>
      </c>
      <c r="U526" s="17" t="str">
        <f>VLOOKUP(Table1[[#This Row],[Isin code]],Table2[#All],8,FALSE)</f>
        <v>09-Nov-2026</v>
      </c>
      <c r="V526" s="10">
        <f ca="1">Table1[[#This Row],[Maturity]]-TODAY()</f>
        <v>754</v>
      </c>
      <c r="W526" t="str">
        <f>VLOOKUP(Table1[[#This Row],[Isin code]],Table2[#All],10,FALSE)</f>
        <v>Monthly</v>
      </c>
      <c r="X526">
        <f ca="1">_xlfn.DAYS(Table1[[#This Row],[Maturity]],TODAY())-15</f>
        <v>739</v>
      </c>
      <c r="Y5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526">
        <f>IF(Table1[[#This Row],[Ask Rate]]=0,0,Table1[[#This Row],[Face Value]]-Table1[[#This Row],[Ask Rate]])</f>
        <v>-100</v>
      </c>
      <c r="AA526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526">
        <f ca="1">Table1[[#This Row],[Face Value]]*Table1[[#This Row],[Rate]]*Table1[[#This Row],[Time]]</f>
        <v>197.5</v>
      </c>
      <c r="AC526">
        <f ca="1">Table1[[#This Row],[SI]]+Table1[[#This Row],[Disc/Prem]]</f>
        <v>97.5</v>
      </c>
      <c r="AD526" s="3">
        <f ca="1">Table1[[#This Row],[Net Gain]]/Table1[[#This Row],[Ask Rate]]</f>
        <v>8.8636363636363638E-2</v>
      </c>
      <c r="AE526" s="3">
        <f ca="1">IF(Table1[[#This Row],[Ask Qty]]=0,0,Table1[[#This Row],[Gross Yield]]*365/Table1[[#This Row],[Days Left]])</f>
        <v>4.2907523510971789E-2</v>
      </c>
      <c r="AF526" s="9">
        <f ca="1">+Table1[[#This Row],[Net Gain]]*Table1[[#This Row],[Ask Qty]]</f>
        <v>23400</v>
      </c>
      <c r="AG526" t="str">
        <f ca="1">IF(Table1[[#This Row],[YTM]]&gt;0.12,IF(Table1[[#This Row],[Gross Profit]]&gt;10000,"Invest","Review"),"Low YTM")</f>
        <v>Low YTM</v>
      </c>
    </row>
    <row r="527" spans="1:33" x14ac:dyDescent="0.3">
      <c r="A527" t="str">
        <f>RTD("nest.scriprtd",,"nse_cm|76IGT26-ND","Symbol")</f>
        <v>76IGT26</v>
      </c>
      <c r="B527" t="str">
        <f>RTD("nest.scriprtd",,"nse_cm|76IGT26-ND","Trading Symbol")</f>
        <v>76IGT26-ND</v>
      </c>
      <c r="C527" t="str">
        <f>RTD("nest.scriprtd",,"nse_cm|76IGT26-ND","Exchange")</f>
        <v>NSE</v>
      </c>
      <c r="D527">
        <f>RTD("nest.scriprtd",,"nse_cm|76IGT26-ND","Bid Qty")</f>
        <v>20</v>
      </c>
      <c r="E527">
        <f>RTD("nest.scriprtd",,"nse_cm|76IGT26-ND","Bid Rate")</f>
        <v>918</v>
      </c>
      <c r="F527">
        <f>RTD("nest.scriprtd",,"nse_cm|76IGT26-ND","Ask Rate")</f>
        <v>1080.0999999999999</v>
      </c>
      <c r="G527">
        <f>RTD("nest.scriprtd",,"nse_cm|76IGT26-ND","Ask Qty")</f>
        <v>21</v>
      </c>
      <c r="H527">
        <f>RTD("nest.scriprtd",,"nse_cm|76IGT26-ND","LTP")</f>
        <v>1010</v>
      </c>
      <c r="I527" t="str">
        <f>RTD("nest.scriprtd",,"nse_cm|76IGT26-ND","LTT")</f>
        <v/>
      </c>
      <c r="J527">
        <f>RTD("nest.scriprtd",,"nse_cm|76IGT26-ND","% Change")</f>
        <v>0</v>
      </c>
      <c r="K527">
        <f>RTD("nest.scriprtd",,"nse_cm|76IGT26-ND","ATP")</f>
        <v>0</v>
      </c>
      <c r="L527">
        <f>RTD("nest.scriprtd",,"nse_cm|76IGT26-ND","Volume Traded Today")</f>
        <v>0</v>
      </c>
      <c r="M527">
        <f>RTD("nest.scriprtd",,"nse_cm|76IGT26-ND","Open")</f>
        <v>0</v>
      </c>
      <c r="N527">
        <f>RTD("nest.scriprtd",,"nse_cm|76IGT26-ND","High")</f>
        <v>1017.16</v>
      </c>
      <c r="O527">
        <f>RTD("nest.scriprtd",,"nse_cm|76IGT26-ND","Low ")</f>
        <v>1010</v>
      </c>
      <c r="P527">
        <f>RTD("nest.scriprtd",,"nse_cm|76IGT26-ND","Prev Close")</f>
        <v>1010</v>
      </c>
      <c r="Q527">
        <f>RTD("nest.scriprtd",,"nse_cm|76IGT26-ND","Face Value")</f>
        <v>1000</v>
      </c>
      <c r="R527" t="str">
        <f>RTD("nest.scriprtd",,"nse_cm|76IGT26-ND","Isin code")</f>
        <v>INE219X07207</v>
      </c>
      <c r="S527" s="9">
        <f>Table1[[#This Row],[Ask Rate]]*Table1[[#This Row],[Ask Qty]]</f>
        <v>22682.1</v>
      </c>
      <c r="T527">
        <f>VLOOKUP(Table1[[#This Row],[Isin code]],Table2[#All],7,FALSE)</f>
        <v>7.6</v>
      </c>
      <c r="U527" s="17" t="str">
        <f>VLOOKUP(Table1[[#This Row],[Isin code]],Table2[#All],8,FALSE)</f>
        <v>06-May-2026</v>
      </c>
      <c r="V527" s="10">
        <f ca="1">Table1[[#This Row],[Maturity]]-TODAY()</f>
        <v>567</v>
      </c>
      <c r="W527" t="str">
        <f>VLOOKUP(Table1[[#This Row],[Isin code]],Table2[#All],10,FALSE)</f>
        <v>Yearly</v>
      </c>
      <c r="X527">
        <f ca="1">_xlfn.DAYS(Table1[[#This Row],[Maturity]],TODAY())-15</f>
        <v>552</v>
      </c>
      <c r="Y5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27">
        <f>IF(Table1[[#This Row],[Ask Rate]]=0,0,Table1[[#This Row],[Face Value]]-Table1[[#This Row],[Ask Rate]])</f>
        <v>-80.099999999999909</v>
      </c>
      <c r="AA527">
        <f>IF(Table1[[#This Row],[Freq]]="Yearly",Table1[[#This Row],[Coupon_Rate]]/100,IF(Table1[[#This Row],[Freq]]="Monthly",Table1[[#This Row],[Coupon_Rate]]/1200,IF(Table1[[#This Row],[Freq]]="Quarterly",Table1[[#This Row],[Coupon_Rate]]/400,0)))</f>
        <v>7.5999999999999998E-2</v>
      </c>
      <c r="AB527">
        <f ca="1">Table1[[#This Row],[Face Value]]*Table1[[#This Row],[Rate]]*Table1[[#This Row],[Time]]</f>
        <v>152</v>
      </c>
      <c r="AC527">
        <f ca="1">Table1[[#This Row],[SI]]+Table1[[#This Row],[Disc/Prem]]</f>
        <v>71.900000000000091</v>
      </c>
      <c r="AD527" s="3">
        <f ca="1">Table1[[#This Row],[Net Gain]]/Table1[[#This Row],[Ask Rate]]</f>
        <v>6.6567910378668729E-2</v>
      </c>
      <c r="AE527" s="3">
        <f ca="1">IF(Table1[[#This Row],[Ask Qty]]=0,0,Table1[[#This Row],[Gross Yield]]*365/Table1[[#This Row],[Days Left]])</f>
        <v>4.2852358533005445E-2</v>
      </c>
      <c r="AF527" s="9">
        <f ca="1">+Table1[[#This Row],[Net Gain]]*Table1[[#This Row],[Ask Qty]]</f>
        <v>1509.9000000000019</v>
      </c>
      <c r="AG527" t="str">
        <f ca="1">IF(Table1[[#This Row],[YTM]]&gt;0.12,IF(Table1[[#This Row],[Gross Profit]]&gt;10000,"Invest","Review"),"Low YTM")</f>
        <v>Low YTM</v>
      </c>
    </row>
    <row r="528" spans="1:33" x14ac:dyDescent="0.3">
      <c r="A528" t="str">
        <f>RTD("nest.scriprtd",,"nse_cm|840IRFC29-N8","Symbol")</f>
        <v>840IRFC29</v>
      </c>
      <c r="B528" t="str">
        <f>RTD("nest.scriprtd",,"nse_cm|840IRFC29-N8","Trading Symbol")</f>
        <v>840IRFC29-N8</v>
      </c>
      <c r="C528" t="str">
        <f>RTD("nest.scriprtd",,"nse_cm|840IRFC29-N8","Exchange")</f>
        <v>NSE</v>
      </c>
      <c r="D528">
        <f>RTD("nest.scriprtd",,"nse_cm|840IRFC29-N8","Bid Qty")</f>
        <v>200</v>
      </c>
      <c r="E528">
        <f>RTD("nest.scriprtd",,"nse_cm|840IRFC29-N8","Bid Rate")</f>
        <v>1145.0999999999999</v>
      </c>
      <c r="F528">
        <f>RTD("nest.scriprtd",,"nse_cm|840IRFC29-N8","Ask Rate")</f>
        <v>1200</v>
      </c>
      <c r="G528">
        <f>RTD("nest.scriprtd",,"nse_cm|840IRFC29-N8","Ask Qty")</f>
        <v>40</v>
      </c>
      <c r="H528">
        <f>RTD("nest.scriprtd",,"nse_cm|840IRFC29-N8","LTP")</f>
        <v>1158</v>
      </c>
      <c r="I528" t="str">
        <f>RTD("nest.scriprtd",,"nse_cm|840IRFC29-N8","LTT")</f>
        <v/>
      </c>
      <c r="J528">
        <f>RTD("nest.scriprtd",,"nse_cm|840IRFC29-N8","% Change")</f>
        <v>0</v>
      </c>
      <c r="K528">
        <f>RTD("nest.scriprtd",,"nse_cm|840IRFC29-N8","ATP")</f>
        <v>0</v>
      </c>
      <c r="L528">
        <f>RTD("nest.scriprtd",,"nse_cm|840IRFC29-N8","Volume Traded Today")</f>
        <v>0</v>
      </c>
      <c r="M528">
        <f>RTD("nest.scriprtd",,"nse_cm|840IRFC29-N8","Open")</f>
        <v>0</v>
      </c>
      <c r="N528">
        <f>RTD("nest.scriprtd",,"nse_cm|840IRFC29-N8","High")</f>
        <v>1158</v>
      </c>
      <c r="O528">
        <f>RTD("nest.scriprtd",,"nse_cm|840IRFC29-N8","Low ")</f>
        <v>1158</v>
      </c>
      <c r="P528">
        <f>RTD("nest.scriprtd",,"nse_cm|840IRFC29-N8","Prev Close")</f>
        <v>1158</v>
      </c>
      <c r="Q528">
        <f>RTD("nest.scriprtd",,"nse_cm|840IRFC29-N8","Face Value")</f>
        <v>1000</v>
      </c>
      <c r="R528" t="str">
        <f>RTD("nest.scriprtd",,"nse_cm|840IRFC29-N8","Isin code")</f>
        <v>INE053F07660</v>
      </c>
      <c r="S528" s="9">
        <f>Table1[[#This Row],[Ask Rate]]*Table1[[#This Row],[Ask Qty]]</f>
        <v>48000</v>
      </c>
      <c r="T528">
        <f>VLOOKUP(Table1[[#This Row],[Isin code]],Table2[#All],7,FALSE)</f>
        <v>8.4</v>
      </c>
      <c r="U528" s="17" t="str">
        <f>VLOOKUP(Table1[[#This Row],[Isin code]],Table2[#All],8,FALSE)</f>
        <v>18-Feb-2029</v>
      </c>
      <c r="V528" s="10">
        <f ca="1">Table1[[#This Row],[Maturity]]-TODAY()</f>
        <v>1586</v>
      </c>
      <c r="W528" t="str">
        <f>VLOOKUP(Table1[[#This Row],[Isin code]],Table2[#All],10,FALSE)</f>
        <v>Yearly</v>
      </c>
      <c r="X528">
        <f ca="1">_xlfn.DAYS(Table1[[#This Row],[Maturity]],TODAY())-15</f>
        <v>1571</v>
      </c>
      <c r="Y5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28">
        <f>IF(Table1[[#This Row],[Ask Rate]]=0,0,Table1[[#This Row],[Face Value]]-Table1[[#This Row],[Ask Rate]])</f>
        <v>-200</v>
      </c>
      <c r="AA528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528">
        <f ca="1">Table1[[#This Row],[Face Value]]*Table1[[#This Row],[Rate]]*Table1[[#This Row],[Time]]</f>
        <v>420</v>
      </c>
      <c r="AC528">
        <f ca="1">Table1[[#This Row],[SI]]+Table1[[#This Row],[Disc/Prem]]</f>
        <v>220</v>
      </c>
      <c r="AD528" s="3">
        <f ca="1">Table1[[#This Row],[Net Gain]]/Table1[[#This Row],[Ask Rate]]</f>
        <v>0.18333333333333332</v>
      </c>
      <c r="AE528" s="3">
        <f ca="1">IF(Table1[[#This Row],[Ask Qty]]=0,0,Table1[[#This Row],[Gross Yield]]*365/Table1[[#This Row],[Days Left]])</f>
        <v>4.2192097519966366E-2</v>
      </c>
      <c r="AF528" s="9">
        <f ca="1">+Table1[[#This Row],[Net Gain]]*Table1[[#This Row],[Ask Qty]]</f>
        <v>8800</v>
      </c>
      <c r="AG528" t="str">
        <f ca="1">IF(Table1[[#This Row],[YTM]]&gt;0.12,IF(Table1[[#This Row],[Gross Profit]]&gt;10000,"Invest","Review"),"Low YTM")</f>
        <v>Low YTM</v>
      </c>
    </row>
    <row r="529" spans="1:33" x14ac:dyDescent="0.3">
      <c r="A529" t="str">
        <f>RTD("nest.scriprtd",,"nse_cm|893NHB29-N6","Symbol")</f>
        <v>893NHB29</v>
      </c>
      <c r="B529" t="str">
        <f>RTD("nest.scriprtd",,"nse_cm|893NHB29-N6","Trading Symbol")</f>
        <v>893NHB29-N6</v>
      </c>
      <c r="C529" t="str">
        <f>RTD("nest.scriprtd",,"nse_cm|893NHB29-N6","Exchange")</f>
        <v>NSE</v>
      </c>
      <c r="D529">
        <f>RTD("nest.scriprtd",,"nse_cm|893NHB29-N6","Bid Qty")</f>
        <v>10</v>
      </c>
      <c r="E529">
        <f>RTD("nest.scriprtd",,"nse_cm|893NHB29-N6","Bid Rate")</f>
        <v>5825</v>
      </c>
      <c r="F529">
        <f>RTD("nest.scriprtd",,"nse_cm|893NHB29-N6","Ask Rate")</f>
        <v>6073</v>
      </c>
      <c r="G529">
        <f>RTD("nest.scriprtd",,"nse_cm|893NHB29-N6","Ask Qty")</f>
        <v>5</v>
      </c>
      <c r="H529">
        <f>RTD("nest.scriprtd",,"nse_cm|893NHB29-N6","LTP")</f>
        <v>5950</v>
      </c>
      <c r="I529" t="str">
        <f>RTD("nest.scriprtd",,"nse_cm|893NHB29-N6","LTT")</f>
        <v/>
      </c>
      <c r="J529">
        <f>RTD("nest.scriprtd",,"nse_cm|893NHB29-N6","% Change")</f>
        <v>0</v>
      </c>
      <c r="K529">
        <f>RTD("nest.scriprtd",,"nse_cm|893NHB29-N6","ATP")</f>
        <v>0</v>
      </c>
      <c r="L529">
        <f>RTD("nest.scriprtd",,"nse_cm|893NHB29-N6","Volume Traded Today")</f>
        <v>0</v>
      </c>
      <c r="M529">
        <f>RTD("nest.scriprtd",,"nse_cm|893NHB29-N6","Open")</f>
        <v>0</v>
      </c>
      <c r="N529">
        <f>RTD("nest.scriprtd",,"nse_cm|893NHB29-N6","High")</f>
        <v>5950</v>
      </c>
      <c r="O529">
        <f>RTD("nest.scriprtd",,"nse_cm|893NHB29-N6","Low ")</f>
        <v>5950</v>
      </c>
      <c r="P529">
        <f>RTD("nest.scriprtd",,"nse_cm|893NHB29-N6","Prev Close")</f>
        <v>5950</v>
      </c>
      <c r="Q529">
        <f>RTD("nest.scriprtd",,"nse_cm|893NHB29-N6","Face Value")</f>
        <v>5000</v>
      </c>
      <c r="R529" t="str">
        <f>RTD("nest.scriprtd",,"nse_cm|893NHB29-N6","Isin code")</f>
        <v>INE557F07181</v>
      </c>
      <c r="S529" s="9">
        <f>Table1[[#This Row],[Ask Rate]]*Table1[[#This Row],[Ask Qty]]</f>
        <v>30365</v>
      </c>
      <c r="T529">
        <f>VLOOKUP(Table1[[#This Row],[Isin code]],Table2[#All],7,FALSE)</f>
        <v>8.93</v>
      </c>
      <c r="U529" s="17" t="str">
        <f>VLOOKUP(Table1[[#This Row],[Isin code]],Table2[#All],8,FALSE)</f>
        <v>24-Mar-2029</v>
      </c>
      <c r="V529" s="10">
        <f ca="1">Table1[[#This Row],[Maturity]]-TODAY()</f>
        <v>1620</v>
      </c>
      <c r="W529" t="str">
        <f>VLOOKUP(Table1[[#This Row],[Isin code]],Table2[#All],10,FALSE)</f>
        <v>Yearly</v>
      </c>
      <c r="X529">
        <f ca="1">_xlfn.DAYS(Table1[[#This Row],[Maturity]],TODAY())-15</f>
        <v>1605</v>
      </c>
      <c r="Y5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29">
        <f>IF(Table1[[#This Row],[Ask Rate]]=0,0,Table1[[#This Row],[Face Value]]-Table1[[#This Row],[Ask Rate]])</f>
        <v>-1073</v>
      </c>
      <c r="AA529">
        <f>IF(Table1[[#This Row],[Freq]]="Yearly",Table1[[#This Row],[Coupon_Rate]]/100,IF(Table1[[#This Row],[Freq]]="Monthly",Table1[[#This Row],[Coupon_Rate]]/1200,IF(Table1[[#This Row],[Freq]]="Quarterly",Table1[[#This Row],[Coupon_Rate]]/400,0)))</f>
        <v>8.929999999999999E-2</v>
      </c>
      <c r="AB529">
        <f ca="1">Table1[[#This Row],[Face Value]]*Table1[[#This Row],[Rate]]*Table1[[#This Row],[Time]]</f>
        <v>2232.4999999999995</v>
      </c>
      <c r="AC529">
        <f ca="1">Table1[[#This Row],[SI]]+Table1[[#This Row],[Disc/Prem]]</f>
        <v>1159.4999999999995</v>
      </c>
      <c r="AD529" s="3">
        <f ca="1">Table1[[#This Row],[Net Gain]]/Table1[[#This Row],[Ask Rate]]</f>
        <v>0.19092705417421366</v>
      </c>
      <c r="AE529" s="3">
        <f ca="1">IF(Table1[[#This Row],[Ask Qty]]=0,0,Table1[[#This Row],[Gross Yield]]*365/Table1[[#This Row],[Days Left]])</f>
        <v>4.3017515292338257E-2</v>
      </c>
      <c r="AF529" s="9">
        <f ca="1">+Table1[[#This Row],[Net Gain]]*Table1[[#This Row],[Ask Qty]]</f>
        <v>5797.4999999999982</v>
      </c>
      <c r="AG529" t="str">
        <f ca="1">IF(Table1[[#This Row],[YTM]]&gt;0.12,IF(Table1[[#This Row],[Gross Profit]]&gt;10000,"Invest","Review"),"Low YTM")</f>
        <v>Low YTM</v>
      </c>
    </row>
    <row r="530" spans="1:33" x14ac:dyDescent="0.3">
      <c r="A530" t="str">
        <f>RTD("nest.scriprtd",,"nse_cm|892PFCL33-N8","Symbol")</f>
        <v>892PFCL33</v>
      </c>
      <c r="B530" t="str">
        <f>RTD("nest.scriprtd",,"nse_cm|892PFCL33-N8","Trading Symbol")</f>
        <v>892PFCL33-N8</v>
      </c>
      <c r="C530" t="str">
        <f>RTD("nest.scriprtd",,"nse_cm|892PFCL33-N8","Exchange")</f>
        <v>NSE</v>
      </c>
      <c r="D530">
        <f>RTD("nest.scriprtd",,"nse_cm|892PFCL33-N8","Bid Qty")</f>
        <v>2</v>
      </c>
      <c r="E530">
        <f>RTD("nest.scriprtd",,"nse_cm|892PFCL33-N8","Bid Rate")</f>
        <v>1356</v>
      </c>
      <c r="F530">
        <f>RTD("nest.scriprtd",,"nse_cm|892PFCL33-N8","Ask Rate")</f>
        <v>1375</v>
      </c>
      <c r="G530">
        <f>RTD("nest.scriprtd",,"nse_cm|892PFCL33-N8","Ask Qty")</f>
        <v>19</v>
      </c>
      <c r="H530">
        <f>RTD("nest.scriprtd",,"nse_cm|892PFCL33-N8","LTP")</f>
        <v>1375</v>
      </c>
      <c r="I530" t="str">
        <f>RTD("nest.scriprtd",,"nse_cm|892PFCL33-N8","LTT")</f>
        <v>15:10:45</v>
      </c>
      <c r="J530">
        <f>RTD("nest.scriprtd",,"nse_cm|892PFCL33-N8","% Change")</f>
        <v>0</v>
      </c>
      <c r="K530">
        <f>RTD("nest.scriprtd",,"nse_cm|892PFCL33-N8","ATP")</f>
        <v>1366.26</v>
      </c>
      <c r="L530">
        <f>RTD("nest.scriprtd",,"nse_cm|892PFCL33-N8","Volume Traded Today")</f>
        <v>1690</v>
      </c>
      <c r="M530">
        <f>RTD("nest.scriprtd",,"nse_cm|892PFCL33-N8","Open")</f>
        <v>1375</v>
      </c>
      <c r="N530">
        <f>RTD("nest.scriprtd",,"nse_cm|892PFCL33-N8","High")</f>
        <v>1375</v>
      </c>
      <c r="O530">
        <f>RTD("nest.scriprtd",,"nse_cm|892PFCL33-N8","Low ")</f>
        <v>1350</v>
      </c>
      <c r="P530">
        <f>RTD("nest.scriprtd",,"nse_cm|892PFCL33-N8","Prev Close")</f>
        <v>1375</v>
      </c>
      <c r="Q530">
        <f>RTD("nest.scriprtd",,"nse_cm|892PFCL33-N8","Face Value")</f>
        <v>1000</v>
      </c>
      <c r="R530" t="str">
        <f>RTD("nest.scriprtd",,"nse_cm|892PFCL33-N8","Isin code")</f>
        <v>INE134E07463</v>
      </c>
      <c r="S530" s="9">
        <f>Table1[[#This Row],[Ask Rate]]*Table1[[#This Row],[Ask Qty]]</f>
        <v>26125</v>
      </c>
      <c r="T530">
        <f>VLOOKUP(Table1[[#This Row],[Isin code]],Table2[#All],7,FALSE)</f>
        <v>8.92</v>
      </c>
      <c r="U530" s="17">
        <f>VLOOKUP(Table1[[#This Row],[Isin code]],Table2[#All],8,FALSE)</f>
        <v>48899</v>
      </c>
      <c r="V530" s="10">
        <f ca="1">Table1[[#This Row],[Maturity]]-TODAY()</f>
        <v>3318</v>
      </c>
      <c r="W530" t="str">
        <f>VLOOKUP(Table1[[#This Row],[Isin code]],Table2[#All],10,FALSE)</f>
        <v>Yearly</v>
      </c>
      <c r="X530">
        <f ca="1">_xlfn.DAYS(Table1[[#This Row],[Maturity]],TODAY())-15</f>
        <v>3303</v>
      </c>
      <c r="Y5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30">
        <f>IF(Table1[[#This Row],[Ask Rate]]=0,0,Table1[[#This Row],[Face Value]]-Table1[[#This Row],[Ask Rate]])</f>
        <v>-375</v>
      </c>
      <c r="AA530">
        <f>IF(Table1[[#This Row],[Freq]]="Yearly",Table1[[#This Row],[Coupon_Rate]]/100,IF(Table1[[#This Row],[Freq]]="Monthly",Table1[[#This Row],[Coupon_Rate]]/1200,IF(Table1[[#This Row],[Freq]]="Quarterly",Table1[[#This Row],[Coupon_Rate]]/400,0)))</f>
        <v>8.9200000000000002E-2</v>
      </c>
      <c r="AB530">
        <f ca="1">Table1[[#This Row],[Face Value]]*Table1[[#This Row],[Rate]]*Table1[[#This Row],[Time]]</f>
        <v>892</v>
      </c>
      <c r="AC530">
        <f ca="1">Table1[[#This Row],[SI]]+Table1[[#This Row],[Disc/Prem]]</f>
        <v>517</v>
      </c>
      <c r="AD530" s="3">
        <f ca="1">Table1[[#This Row],[Net Gain]]/Table1[[#This Row],[Ask Rate]]</f>
        <v>0.376</v>
      </c>
      <c r="AE530" s="3">
        <f ca="1">IF(Table1[[#This Row],[Ask Qty]]=0,0,Table1[[#This Row],[Gross Yield]]*365/Table1[[#This Row],[Days Left]])</f>
        <v>4.136226642555757E-2</v>
      </c>
      <c r="AF530" s="9">
        <f ca="1">+Table1[[#This Row],[Net Gain]]*Table1[[#This Row],[Ask Qty]]</f>
        <v>9823</v>
      </c>
      <c r="AG530" t="str">
        <f ca="1">IF(Table1[[#This Row],[YTM]]&gt;0.12,IF(Table1[[#This Row],[Gross Profit]]&gt;10000,"Invest","Review"),"Low YTM")</f>
        <v>Low YTM</v>
      </c>
    </row>
    <row r="531" spans="1:33" x14ac:dyDescent="0.3">
      <c r="A531" t="str">
        <f>RTD("nest.scriprtd",,"nse_cm|971SCL28I-BC","Symbol")</f>
        <v>971SCL28I</v>
      </c>
      <c r="B531" t="str">
        <f>RTD("nest.scriprtd",,"nse_cm|971SCL28I-BC","Trading Symbol")</f>
        <v>971SCL28I-BC</v>
      </c>
      <c r="C531" t="str">
        <f>RTD("nest.scriprtd",,"nse_cm|971SCL28I-BC","Exchange")</f>
        <v>NSE</v>
      </c>
      <c r="D531">
        <f>RTD("nest.scriprtd",,"nse_cm|971SCL28I-BC","Bid Qty")</f>
        <v>0</v>
      </c>
      <c r="E531">
        <f>RTD("nest.scriprtd",,"nse_cm|971SCL28I-BC","Bid Rate")</f>
        <v>0</v>
      </c>
      <c r="F531">
        <f>RTD("nest.scriprtd",,"nse_cm|971SCL28I-BC","Ask Rate")</f>
        <v>950</v>
      </c>
      <c r="G531">
        <f>RTD("nest.scriprtd",,"nse_cm|971SCL28I-BC","Ask Qty")</f>
        <v>50</v>
      </c>
      <c r="H531">
        <f>RTD("nest.scriprtd",,"nse_cm|971SCL28I-BC","LTP")</f>
        <v>990</v>
      </c>
      <c r="I531" t="str">
        <f>RTD("nest.scriprtd",,"nse_cm|971SCL28I-BC","LTT")</f>
        <v/>
      </c>
      <c r="J531">
        <f>RTD("nest.scriprtd",,"nse_cm|971SCL28I-BC","% Change")</f>
        <v>0</v>
      </c>
      <c r="K531">
        <f>RTD("nest.scriprtd",,"nse_cm|971SCL28I-BC","ATP")</f>
        <v>0</v>
      </c>
      <c r="L531">
        <f>RTD("nest.scriprtd",,"nse_cm|971SCL28I-BC","Volume Traded Today")</f>
        <v>0</v>
      </c>
      <c r="M531">
        <f>RTD("nest.scriprtd",,"nse_cm|971SCL28I-BC","Open")</f>
        <v>0</v>
      </c>
      <c r="N531">
        <f>RTD("nest.scriprtd",,"nse_cm|971SCL28I-BC","High")</f>
        <v>990</v>
      </c>
      <c r="O531">
        <f>RTD("nest.scriprtd",,"nse_cm|971SCL28I-BC","Low ")</f>
        <v>990</v>
      </c>
      <c r="P531">
        <f>RTD("nest.scriprtd",,"nse_cm|971SCL28I-BC","Prev Close")</f>
        <v>990</v>
      </c>
      <c r="Q531">
        <f>RTD("nest.scriprtd",,"nse_cm|971SCL28I-BC","Face Value")</f>
        <v>800</v>
      </c>
      <c r="R531" t="str">
        <f>RTD("nest.scriprtd",,"nse_cm|971SCL28I-BC","Isin code")</f>
        <v>INE148I07OT0</v>
      </c>
      <c r="S531" s="9">
        <f>Table1[[#This Row],[Ask Rate]]*Table1[[#This Row],[Ask Qty]]</f>
        <v>47500</v>
      </c>
      <c r="T531">
        <f>VLOOKUP(Table1[[#This Row],[Isin code]],Table2[#All],7,FALSE)</f>
        <v>9.7100000000000009</v>
      </c>
      <c r="U531" s="17" t="str">
        <f>VLOOKUP(Table1[[#This Row],[Isin code]],Table2[#All],8,FALSE)</f>
        <v>27-Jul-2028</v>
      </c>
      <c r="V531" s="10">
        <f ca="1">Table1[[#This Row],[Maturity]]-TODAY()</f>
        <v>1380</v>
      </c>
      <c r="W531" t="str">
        <f>VLOOKUP(Table1[[#This Row],[Isin code]],Table2[#All],10,FALSE)</f>
        <v>Monthly</v>
      </c>
      <c r="X531">
        <f ca="1">_xlfn.DAYS(Table1[[#This Row],[Maturity]],TODAY())-15</f>
        <v>1365</v>
      </c>
      <c r="Y5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531">
        <f>IF(Table1[[#This Row],[Ask Rate]]=0,0,Table1[[#This Row],[Face Value]]-Table1[[#This Row],[Ask Rate]])</f>
        <v>-150</v>
      </c>
      <c r="AA531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531">
        <f ca="1">Table1[[#This Row],[Face Value]]*Table1[[#This Row],[Rate]]*Table1[[#This Row],[Time]]</f>
        <v>297.77333333333337</v>
      </c>
      <c r="AC531">
        <f ca="1">Table1[[#This Row],[SI]]+Table1[[#This Row],[Disc/Prem]]</f>
        <v>147.77333333333337</v>
      </c>
      <c r="AD531" s="3">
        <f ca="1">Table1[[#This Row],[Net Gain]]/Table1[[#This Row],[Ask Rate]]</f>
        <v>0.1555508771929825</v>
      </c>
      <c r="AE531" s="3">
        <f ca="1">IF(Table1[[#This Row],[Ask Qty]]=0,0,Table1[[#This Row],[Gross Yield]]*365/Table1[[#This Row],[Days Left]])</f>
        <v>4.1142079837274359E-2</v>
      </c>
      <c r="AF531" s="9">
        <f ca="1">+Table1[[#This Row],[Net Gain]]*Table1[[#This Row],[Ask Qty]]</f>
        <v>7388.6666666666688</v>
      </c>
      <c r="AG531" t="str">
        <f ca="1">IF(Table1[[#This Row],[YTM]]&gt;0.12,IF(Table1[[#This Row],[Gross Profit]]&gt;10000,"Invest","Review"),"Low YTM")</f>
        <v>Low YTM</v>
      </c>
    </row>
    <row r="532" spans="1:33" x14ac:dyDescent="0.3">
      <c r="A532" t="str">
        <f>RTD("nest.scriprtd",,"nse_cm|82HUDCO27-N2","Symbol")</f>
        <v>82HUDCO27</v>
      </c>
      <c r="B532" t="str">
        <f>RTD("nest.scriprtd",,"nse_cm|82HUDCO27-N2","Trading Symbol")</f>
        <v>82HUDCO27-N2</v>
      </c>
      <c r="C532" t="str">
        <f>RTD("nest.scriprtd",,"nse_cm|82HUDCO27-N2","Exchange")</f>
        <v>NSE</v>
      </c>
      <c r="D532">
        <f>RTD("nest.scriprtd",,"nse_cm|82HUDCO27-N2","Bid Qty")</f>
        <v>4000</v>
      </c>
      <c r="E532">
        <f>RTD("nest.scriprtd",,"nse_cm|82HUDCO27-N2","Bid Rate")</f>
        <v>1132</v>
      </c>
      <c r="F532">
        <f>RTD("nest.scriprtd",,"nse_cm|82HUDCO27-N2","Ask Rate")</f>
        <v>1148</v>
      </c>
      <c r="G532">
        <f>RTD("nest.scriprtd",,"nse_cm|82HUDCO27-N2","Ask Qty")</f>
        <v>400</v>
      </c>
      <c r="H532">
        <f>RTD("nest.scriprtd",,"nse_cm|82HUDCO27-N2","LTP")</f>
        <v>1144</v>
      </c>
      <c r="I532" t="str">
        <f>RTD("nest.scriprtd",,"nse_cm|82HUDCO27-N2","LTT")</f>
        <v>15:12:17</v>
      </c>
      <c r="J532">
        <f>RTD("nest.scriprtd",,"nse_cm|82HUDCO27-N2","% Change")</f>
        <v>0.8</v>
      </c>
      <c r="K532">
        <f>RTD("nest.scriprtd",,"nse_cm|82HUDCO27-N2","ATP")</f>
        <v>1134.08</v>
      </c>
      <c r="L532">
        <f>RTD("nest.scriprtd",,"nse_cm|82HUDCO27-N2","Volume Traded Today")</f>
        <v>7548</v>
      </c>
      <c r="M532">
        <f>RTD("nest.scriprtd",,"nse_cm|82HUDCO27-N2","Open")</f>
        <v>1150</v>
      </c>
      <c r="N532">
        <f>RTD("nest.scriprtd",,"nse_cm|82HUDCO27-N2","High")</f>
        <v>1150</v>
      </c>
      <c r="O532">
        <f>RTD("nest.scriprtd",,"nse_cm|82HUDCO27-N2","Low ")</f>
        <v>1125</v>
      </c>
      <c r="P532">
        <f>RTD("nest.scriprtd",,"nse_cm|82HUDCO27-N2","Prev Close")</f>
        <v>1134.8800000000001</v>
      </c>
      <c r="Q532">
        <f>RTD("nest.scriprtd",,"nse_cm|82HUDCO27-N2","Face Value")</f>
        <v>1000</v>
      </c>
      <c r="R532" t="str">
        <f>RTD("nest.scriprtd",,"nse_cm|82HUDCO27-N2","Isin code")</f>
        <v>INE031A07840</v>
      </c>
      <c r="S532" s="9">
        <f>Table1[[#This Row],[Ask Rate]]*Table1[[#This Row],[Ask Qty]]</f>
        <v>459200</v>
      </c>
      <c r="T532">
        <f>VLOOKUP(Table1[[#This Row],[Isin code]],Table2[#All],7,FALSE)</f>
        <v>8.1999999999999993</v>
      </c>
      <c r="U532" s="17" t="str">
        <f>VLOOKUP(Table1[[#This Row],[Isin code]],Table2[#All],8,FALSE)</f>
        <v>05-Mar-2027</v>
      </c>
      <c r="V532" s="10">
        <f ca="1">Table1[[#This Row],[Maturity]]-TODAY()</f>
        <v>870</v>
      </c>
      <c r="W532" t="str">
        <f>VLOOKUP(Table1[[#This Row],[Isin code]],Table2[#All],10,FALSE)</f>
        <v>Yearly</v>
      </c>
      <c r="X532">
        <f ca="1">_xlfn.DAYS(Table1[[#This Row],[Maturity]],TODAY())-15</f>
        <v>855</v>
      </c>
      <c r="Y5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532">
        <f>IF(Table1[[#This Row],[Ask Rate]]=0,0,Table1[[#This Row],[Face Value]]-Table1[[#This Row],[Ask Rate]])</f>
        <v>-148</v>
      </c>
      <c r="AA532">
        <f>IF(Table1[[#This Row],[Freq]]="Yearly",Table1[[#This Row],[Coupon_Rate]]/100,IF(Table1[[#This Row],[Freq]]="Monthly",Table1[[#This Row],[Coupon_Rate]]/1200,IF(Table1[[#This Row],[Freq]]="Quarterly",Table1[[#This Row],[Coupon_Rate]]/400,0)))</f>
        <v>8.199999999999999E-2</v>
      </c>
      <c r="AB532">
        <f ca="1">Table1[[#This Row],[Face Value]]*Table1[[#This Row],[Rate]]*Table1[[#This Row],[Time]]</f>
        <v>245.99999999999994</v>
      </c>
      <c r="AC532">
        <f ca="1">Table1[[#This Row],[SI]]+Table1[[#This Row],[Disc/Prem]]</f>
        <v>97.999999999999943</v>
      </c>
      <c r="AD532" s="3">
        <f ca="1">Table1[[#This Row],[Net Gain]]/Table1[[#This Row],[Ask Rate]]</f>
        <v>8.5365853658536536E-2</v>
      </c>
      <c r="AE532" s="3">
        <f ca="1">IF(Table1[[#This Row],[Ask Qty]]=0,0,Table1[[#This Row],[Gross Yield]]*365/Table1[[#This Row],[Days Left]])</f>
        <v>3.5814409868236592E-2</v>
      </c>
      <c r="AF532" s="9">
        <f ca="1">+Table1[[#This Row],[Net Gain]]*Table1[[#This Row],[Ask Qty]]</f>
        <v>39199.999999999978</v>
      </c>
      <c r="AG532" t="str">
        <f ca="1">IF(Table1[[#This Row],[YTM]]&gt;0.12,IF(Table1[[#This Row],[Gross Profit]]&gt;10000,"Invest","Review"),"Low YTM")</f>
        <v>Low YTM</v>
      </c>
    </row>
    <row r="533" spans="1:33" x14ac:dyDescent="0.3">
      <c r="A533" t="str">
        <f>RTD("nest.scriprtd",,"nse_cm|91SFL27-ZI","Symbol")</f>
        <v>91SFL27</v>
      </c>
      <c r="B533" t="str">
        <f>RTD("nest.scriprtd",,"nse_cm|91SFL27-ZI","Trading Symbol")</f>
        <v>91SFL27-ZI</v>
      </c>
      <c r="C533" t="str">
        <f>RTD("nest.scriprtd",,"nse_cm|91SFL27-ZI","Exchange")</f>
        <v>NSE</v>
      </c>
      <c r="D533">
        <f>RTD("nest.scriprtd",,"nse_cm|91SFL27-ZI","Bid Qty")</f>
        <v>50</v>
      </c>
      <c r="E533">
        <f>RTD("nest.scriprtd",,"nse_cm|91SFL27-ZI","Bid Rate")</f>
        <v>972.1</v>
      </c>
      <c r="F533">
        <f>RTD("nest.scriprtd",,"nse_cm|91SFL27-ZI","Ask Rate")</f>
        <v>1165.2</v>
      </c>
      <c r="G533">
        <f>RTD("nest.scriprtd",,"nse_cm|91SFL27-ZI","Ask Qty")</f>
        <v>50</v>
      </c>
      <c r="H533">
        <f>RTD("nest.scriprtd",,"nse_cm|91SFL27-ZI","LTP")</f>
        <v>971</v>
      </c>
      <c r="I533" t="str">
        <f>RTD("nest.scriprtd",,"nse_cm|91SFL27-ZI","LTT")</f>
        <v/>
      </c>
      <c r="J533">
        <f>RTD("nest.scriprtd",,"nse_cm|91SFL27-ZI","% Change")</f>
        <v>0</v>
      </c>
      <c r="K533">
        <f>RTD("nest.scriprtd",,"nse_cm|91SFL27-ZI","ATP")</f>
        <v>0</v>
      </c>
      <c r="L533">
        <f>RTD("nest.scriprtd",,"nse_cm|91SFL27-ZI","Volume Traded Today")</f>
        <v>0</v>
      </c>
      <c r="M533">
        <f>RTD("nest.scriprtd",,"nse_cm|91SFL27-ZI","Open")</f>
        <v>0</v>
      </c>
      <c r="N533">
        <f>RTD("nest.scriprtd",,"nse_cm|91SFL27-ZI","High")</f>
        <v>971</v>
      </c>
      <c r="O533">
        <f>RTD("nest.scriprtd",,"nse_cm|91SFL27-ZI","Low ")</f>
        <v>971</v>
      </c>
      <c r="P533">
        <f>RTD("nest.scriprtd",,"nse_cm|91SFL27-ZI","Prev Close")</f>
        <v>971</v>
      </c>
      <c r="Q533">
        <f>RTD("nest.scriprtd",,"nse_cm|91SFL27-ZI","Face Value")</f>
        <v>1000</v>
      </c>
      <c r="R533" t="str">
        <f>RTD("nest.scriprtd",,"nse_cm|91SFL27-ZI","Isin code")</f>
        <v>INE721A07PN1</v>
      </c>
      <c r="S533" s="9">
        <f>Table1[[#This Row],[Ask Rate]]*Table1[[#This Row],[Ask Qty]]</f>
        <v>58260</v>
      </c>
      <c r="T533">
        <f>VLOOKUP(Table1[[#This Row],[Isin code]],Table2[#All],7,FALSE)</f>
        <v>9.1</v>
      </c>
      <c r="U533" s="17" t="str">
        <f>VLOOKUP(Table1[[#This Row],[Isin code]],Table2[#All],8,FALSE)</f>
        <v>28-Jan-2027</v>
      </c>
      <c r="V533" s="10">
        <f ca="1">Table1[[#This Row],[Maturity]]-TODAY()</f>
        <v>834</v>
      </c>
      <c r="W533" t="str">
        <f>VLOOKUP(Table1[[#This Row],[Isin code]],Table2[#All],10,FALSE)</f>
        <v>Yearly</v>
      </c>
      <c r="X533">
        <f ca="1">_xlfn.DAYS(Table1[[#This Row],[Maturity]],TODAY())-15</f>
        <v>819</v>
      </c>
      <c r="Y53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533">
        <f>IF(Table1[[#This Row],[Ask Rate]]=0,0,Table1[[#This Row],[Face Value]]-Table1[[#This Row],[Ask Rate]])</f>
        <v>-165.20000000000005</v>
      </c>
      <c r="AA533">
        <f>IF(Table1[[#This Row],[Freq]]="Yearly",Table1[[#This Row],[Coupon_Rate]]/100,IF(Table1[[#This Row],[Freq]]="Monthly",Table1[[#This Row],[Coupon_Rate]]/1200,IF(Table1[[#This Row],[Freq]]="Quarterly",Table1[[#This Row],[Coupon_Rate]]/400,0)))</f>
        <v>9.0999999999999998E-2</v>
      </c>
      <c r="AB533">
        <f ca="1">Table1[[#This Row],[Face Value]]*Table1[[#This Row],[Rate]]*Table1[[#This Row],[Time]]</f>
        <v>273</v>
      </c>
      <c r="AC533">
        <f ca="1">Table1[[#This Row],[SI]]+Table1[[#This Row],[Disc/Prem]]</f>
        <v>107.79999999999995</v>
      </c>
      <c r="AD533" s="3">
        <f ca="1">Table1[[#This Row],[Net Gain]]/Table1[[#This Row],[Ask Rate]]</f>
        <v>9.2516306213525537E-2</v>
      </c>
      <c r="AE533" s="3">
        <f ca="1">IF(Table1[[#This Row],[Ask Qty]]=0,0,Table1[[#This Row],[Gross Yield]]*365/Table1[[#This Row],[Days Left]])</f>
        <v>4.0489750321267177E-2</v>
      </c>
      <c r="AF533" s="9">
        <f ca="1">+Table1[[#This Row],[Net Gain]]*Table1[[#This Row],[Ask Qty]]</f>
        <v>5389.9999999999982</v>
      </c>
      <c r="AG533" t="str">
        <f ca="1">IF(Table1[[#This Row],[YTM]]&gt;0.12,IF(Table1[[#This Row],[Gross Profit]]&gt;10000,"Invest","Review"),"Low YTM")</f>
        <v>Low YTM</v>
      </c>
    </row>
    <row r="534" spans="1:33" x14ac:dyDescent="0.3">
      <c r="A534" t="str">
        <f>RTD("nest.scriprtd",,"nse_cm|892NHPC33-N6","Symbol")</f>
        <v>892NHPC33</v>
      </c>
      <c r="B534" t="str">
        <f>RTD("nest.scriprtd",,"nse_cm|892NHPC33-N6","Trading Symbol")</f>
        <v>892NHPC33-N6</v>
      </c>
      <c r="C534" t="str">
        <f>RTD("nest.scriprtd",,"nse_cm|892NHPC33-N6","Exchange")</f>
        <v>NSE</v>
      </c>
      <c r="D534">
        <f>RTD("nest.scriprtd",,"nse_cm|892NHPC33-N6","Bid Qty")</f>
        <v>50</v>
      </c>
      <c r="E534">
        <f>RTD("nest.scriprtd",,"nse_cm|892NHPC33-N6","Bid Rate")</f>
        <v>1289.6199999999999</v>
      </c>
      <c r="F534">
        <f>RTD("nest.scriprtd",,"nse_cm|892NHPC33-N6","Ask Rate")</f>
        <v>1384.99</v>
      </c>
      <c r="G534">
        <f>RTD("nest.scriprtd",,"nse_cm|892NHPC33-N6","Ask Qty")</f>
        <v>1</v>
      </c>
      <c r="H534">
        <f>RTD("nest.scriprtd",,"nse_cm|892NHPC33-N6","LTP")</f>
        <v>1298</v>
      </c>
      <c r="I534" t="str">
        <f>RTD("nest.scriprtd",,"nse_cm|892NHPC33-N6","LTT")</f>
        <v/>
      </c>
      <c r="J534">
        <f>RTD("nest.scriprtd",,"nse_cm|892NHPC33-N6","% Change")</f>
        <v>0</v>
      </c>
      <c r="K534">
        <f>RTD("nest.scriprtd",,"nse_cm|892NHPC33-N6","ATP")</f>
        <v>0</v>
      </c>
      <c r="L534">
        <f>RTD("nest.scriprtd",,"nse_cm|892NHPC33-N6","Volume Traded Today")</f>
        <v>0</v>
      </c>
      <c r="M534">
        <f>RTD("nest.scriprtd",,"nse_cm|892NHPC33-N6","Open")</f>
        <v>0</v>
      </c>
      <c r="N534">
        <f>RTD("nest.scriprtd",,"nse_cm|892NHPC33-N6","High")</f>
        <v>1298</v>
      </c>
      <c r="O534">
        <f>RTD("nest.scriprtd",,"nse_cm|892NHPC33-N6","Low ")</f>
        <v>1288.01</v>
      </c>
      <c r="P534">
        <f>RTD("nest.scriprtd",,"nse_cm|892NHPC33-N6","Prev Close")</f>
        <v>1298</v>
      </c>
      <c r="Q534">
        <f>RTD("nest.scriprtd",,"nse_cm|892NHPC33-N6","Face Value")</f>
        <v>1000</v>
      </c>
      <c r="R534" t="str">
        <f>RTD("nest.scriprtd",,"nse_cm|892NHPC33-N6","Isin code")</f>
        <v>INE848E07567</v>
      </c>
      <c r="S534" s="9">
        <f>Table1[[#This Row],[Ask Rate]]*Table1[[#This Row],[Ask Qty]]</f>
        <v>1384.99</v>
      </c>
      <c r="T534">
        <f>VLOOKUP(Table1[[#This Row],[Isin code]],Table2[#All],7,FALSE)</f>
        <v>8.92</v>
      </c>
      <c r="U534" s="17" t="str">
        <f>VLOOKUP(Table1[[#This Row],[Isin code]],Table2[#All],8,FALSE)</f>
        <v>02-Nov-2033</v>
      </c>
      <c r="V534" s="10">
        <f ca="1">Table1[[#This Row],[Maturity]]-TODAY()</f>
        <v>3304</v>
      </c>
      <c r="W534" t="str">
        <f>VLOOKUP(Table1[[#This Row],[Isin code]],Table2[#All],10,FALSE)</f>
        <v>Yearly</v>
      </c>
      <c r="X534">
        <f ca="1">_xlfn.DAYS(Table1[[#This Row],[Maturity]],TODAY())-15</f>
        <v>3289</v>
      </c>
      <c r="Y5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34">
        <f>IF(Table1[[#This Row],[Ask Rate]]=0,0,Table1[[#This Row],[Face Value]]-Table1[[#This Row],[Ask Rate]])</f>
        <v>-384.99</v>
      </c>
      <c r="AA534">
        <f>IF(Table1[[#This Row],[Freq]]="Yearly",Table1[[#This Row],[Coupon_Rate]]/100,IF(Table1[[#This Row],[Freq]]="Monthly",Table1[[#This Row],[Coupon_Rate]]/1200,IF(Table1[[#This Row],[Freq]]="Quarterly",Table1[[#This Row],[Coupon_Rate]]/400,0)))</f>
        <v>8.9200000000000002E-2</v>
      </c>
      <c r="AB534">
        <f ca="1">Table1[[#This Row],[Face Value]]*Table1[[#This Row],[Rate]]*Table1[[#This Row],[Time]]</f>
        <v>892</v>
      </c>
      <c r="AC534">
        <f ca="1">Table1[[#This Row],[SI]]+Table1[[#This Row],[Disc/Prem]]</f>
        <v>507.01</v>
      </c>
      <c r="AD534" s="3">
        <f ca="1">Table1[[#This Row],[Net Gain]]/Table1[[#This Row],[Ask Rate]]</f>
        <v>0.36607484530574225</v>
      </c>
      <c r="AE534" s="3">
        <f ca="1">IF(Table1[[#This Row],[Ask Qty]]=0,0,Table1[[#This Row],[Gross Yield]]*365/Table1[[#This Row],[Days Left]])</f>
        <v>4.0441077038921282E-2</v>
      </c>
      <c r="AF534" s="9">
        <f ca="1">+Table1[[#This Row],[Net Gain]]*Table1[[#This Row],[Ask Qty]]</f>
        <v>507.01</v>
      </c>
      <c r="AG534" t="str">
        <f ca="1">IF(Table1[[#This Row],[YTM]]&gt;0.12,IF(Table1[[#This Row],[Gross Profit]]&gt;10000,"Invest","Review"),"Low YTM")</f>
        <v>Low YTM</v>
      </c>
    </row>
    <row r="535" spans="1:33" x14ac:dyDescent="0.3">
      <c r="A535" t="str">
        <f>RTD("nest.scriprtd",,"nse_cm|891NTPC33-N6","Symbol")</f>
        <v>891NTPC33</v>
      </c>
      <c r="B535" t="str">
        <f>RTD("nest.scriprtd",,"nse_cm|891NTPC33-N6","Trading Symbol")</f>
        <v>891NTPC33-N6</v>
      </c>
      <c r="C535" t="str">
        <f>RTD("nest.scriprtd",,"nse_cm|891NTPC33-N6","Exchange")</f>
        <v>NSE</v>
      </c>
      <c r="D535">
        <f>RTD("nest.scriprtd",,"nse_cm|891NTPC33-N6","Bid Qty")</f>
        <v>1</v>
      </c>
      <c r="E535">
        <f>RTD("nest.scriprtd",,"nse_cm|891NTPC33-N6","Bid Rate")</f>
        <v>1361.1</v>
      </c>
      <c r="F535">
        <f>RTD("nest.scriprtd",,"nse_cm|891NTPC33-N6","Ask Rate")</f>
        <v>1380</v>
      </c>
      <c r="G535">
        <f>RTD("nest.scriprtd",,"nse_cm|891NTPC33-N6","Ask Qty")</f>
        <v>100</v>
      </c>
      <c r="H535">
        <f>RTD("nest.scriprtd",,"nse_cm|891NTPC33-N6","LTP")</f>
        <v>1369.9</v>
      </c>
      <c r="I535" t="str">
        <f>RTD("nest.scriprtd",,"nse_cm|891NTPC33-N6","LTT")</f>
        <v>09:40:23</v>
      </c>
      <c r="J535">
        <f>RTD("nest.scriprtd",,"nse_cm|891NTPC33-N6","% Change")</f>
        <v>0.31</v>
      </c>
      <c r="K535">
        <f>RTD("nest.scriprtd",,"nse_cm|891NTPC33-N6","ATP")</f>
        <v>1369.9</v>
      </c>
      <c r="L535">
        <f>RTD("nest.scriprtd",,"nse_cm|891NTPC33-N6","Volume Traded Today")</f>
        <v>1</v>
      </c>
      <c r="M535">
        <f>RTD("nest.scriprtd",,"nse_cm|891NTPC33-N6","Open")</f>
        <v>1369.9</v>
      </c>
      <c r="N535">
        <f>RTD("nest.scriprtd",,"nse_cm|891NTPC33-N6","High")</f>
        <v>1369.9</v>
      </c>
      <c r="O535">
        <f>RTD("nest.scriprtd",,"nse_cm|891NTPC33-N6","Low ")</f>
        <v>1369.9</v>
      </c>
      <c r="P535">
        <f>RTD("nest.scriprtd",,"nse_cm|891NTPC33-N6","Prev Close")</f>
        <v>1365.63</v>
      </c>
      <c r="Q535">
        <f>RTD("nest.scriprtd",,"nse_cm|891NTPC33-N6","Face Value")</f>
        <v>1000</v>
      </c>
      <c r="R535" t="str">
        <f>RTD("nest.scriprtd",,"nse_cm|891NTPC33-N6","Isin code")</f>
        <v>INE733E07JJ9</v>
      </c>
      <c r="S535" s="9">
        <f>Table1[[#This Row],[Ask Rate]]*Table1[[#This Row],[Ask Qty]]</f>
        <v>138000</v>
      </c>
      <c r="T535">
        <f>VLOOKUP(Table1[[#This Row],[Isin code]],Table2[#All],7,FALSE)</f>
        <v>8.91</v>
      </c>
      <c r="U535" s="17" t="str">
        <f>VLOOKUP(Table1[[#This Row],[Isin code]],Table2[#All],8,FALSE)</f>
        <v>16-Dec-2033</v>
      </c>
      <c r="V535" s="10">
        <f ca="1">Table1[[#This Row],[Maturity]]-TODAY()</f>
        <v>3348</v>
      </c>
      <c r="W535" t="str">
        <f>VLOOKUP(Table1[[#This Row],[Isin code]],Table2[#All],10,FALSE)</f>
        <v>Yearly</v>
      </c>
      <c r="X535">
        <f ca="1">_xlfn.DAYS(Table1[[#This Row],[Maturity]],TODAY())-15</f>
        <v>3333</v>
      </c>
      <c r="Y53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35">
        <f>IF(Table1[[#This Row],[Ask Rate]]=0,0,Table1[[#This Row],[Face Value]]-Table1[[#This Row],[Ask Rate]])</f>
        <v>-380</v>
      </c>
      <c r="AA535">
        <f>IF(Table1[[#This Row],[Freq]]="Yearly",Table1[[#This Row],[Coupon_Rate]]/100,IF(Table1[[#This Row],[Freq]]="Monthly",Table1[[#This Row],[Coupon_Rate]]/1200,IF(Table1[[#This Row],[Freq]]="Quarterly",Table1[[#This Row],[Coupon_Rate]]/400,0)))</f>
        <v>8.9099999999999999E-2</v>
      </c>
      <c r="AB535">
        <f ca="1">Table1[[#This Row],[Face Value]]*Table1[[#This Row],[Rate]]*Table1[[#This Row],[Time]]</f>
        <v>891</v>
      </c>
      <c r="AC535">
        <f ca="1">Table1[[#This Row],[SI]]+Table1[[#This Row],[Disc/Prem]]</f>
        <v>511</v>
      </c>
      <c r="AD535" s="3">
        <f ca="1">Table1[[#This Row],[Net Gain]]/Table1[[#This Row],[Ask Rate]]</f>
        <v>0.37028985507246376</v>
      </c>
      <c r="AE535" s="3">
        <f ca="1">IF(Table1[[#This Row],[Ask Qty]]=0,0,Table1[[#This Row],[Gross Yield]]*365/Table1[[#This Row],[Days Left]])</f>
        <v>4.0369115024327745E-2</v>
      </c>
      <c r="AF535" s="9">
        <f ca="1">+Table1[[#This Row],[Net Gain]]*Table1[[#This Row],[Ask Qty]]</f>
        <v>51100</v>
      </c>
      <c r="AG535" t="str">
        <f ca="1">IF(Table1[[#This Row],[YTM]]&gt;0.12,IF(Table1[[#This Row],[Gross Profit]]&gt;10000,"Invest","Review"),"Low YTM")</f>
        <v>Low YTM</v>
      </c>
    </row>
    <row r="536" spans="1:33" x14ac:dyDescent="0.3">
      <c r="A536" t="str">
        <f>RTD("nest.scriprtd",,"nse_cm|886REC34-NG","Symbol")</f>
        <v>886REC34</v>
      </c>
      <c r="B536" t="str">
        <f>RTD("nest.scriprtd",,"nse_cm|886REC34-NG","Trading Symbol")</f>
        <v>886REC34-NG</v>
      </c>
      <c r="C536" t="str">
        <f>RTD("nest.scriprtd",,"nse_cm|886REC34-NG","Exchange")</f>
        <v>NSE</v>
      </c>
      <c r="D536">
        <f>RTD("nest.scriprtd",,"nse_cm|886REC34-NG","Bid Qty")</f>
        <v>100</v>
      </c>
      <c r="E536">
        <f>RTD("nest.scriprtd",,"nse_cm|886REC34-NG","Bid Rate")</f>
        <v>1295.17</v>
      </c>
      <c r="F536">
        <f>RTD("nest.scriprtd",,"nse_cm|886REC34-NG","Ask Rate")</f>
        <v>1374.7</v>
      </c>
      <c r="G536">
        <f>RTD("nest.scriprtd",,"nse_cm|886REC34-NG","Ask Qty")</f>
        <v>1</v>
      </c>
      <c r="H536">
        <f>RTD("nest.scriprtd",,"nse_cm|886REC34-NG","LTP")</f>
        <v>1374</v>
      </c>
      <c r="I536" t="str">
        <f>RTD("nest.scriprtd",,"nse_cm|886REC34-NG","LTT")</f>
        <v/>
      </c>
      <c r="J536">
        <f>RTD("nest.scriprtd",,"nse_cm|886REC34-NG","% Change")</f>
        <v>0</v>
      </c>
      <c r="K536">
        <f>RTD("nest.scriprtd",,"nse_cm|886REC34-NG","ATP")</f>
        <v>0</v>
      </c>
      <c r="L536">
        <f>RTD("nest.scriprtd",,"nse_cm|886REC34-NG","Volume Traded Today")</f>
        <v>0</v>
      </c>
      <c r="M536">
        <f>RTD("nest.scriprtd",,"nse_cm|886REC34-NG","Open")</f>
        <v>0</v>
      </c>
      <c r="N536">
        <f>RTD("nest.scriprtd",,"nse_cm|886REC34-NG","High")</f>
        <v>1374.7</v>
      </c>
      <c r="O536">
        <f>RTD("nest.scriprtd",,"nse_cm|886REC34-NG","Low ")</f>
        <v>1374</v>
      </c>
      <c r="P536">
        <f>RTD("nest.scriprtd",,"nse_cm|886REC34-NG","Prev Close")</f>
        <v>1374</v>
      </c>
      <c r="Q536">
        <f>RTD("nest.scriprtd",,"nse_cm|886REC34-NG","Face Value")</f>
        <v>1000</v>
      </c>
      <c r="R536" t="str">
        <f>RTD("nest.scriprtd",,"nse_cm|886REC34-NG","Isin code")</f>
        <v>INE020B07IH3</v>
      </c>
      <c r="S536" s="9">
        <f>Table1[[#This Row],[Ask Rate]]*Table1[[#This Row],[Ask Qty]]</f>
        <v>1374.7</v>
      </c>
      <c r="T536">
        <f>VLOOKUP(Table1[[#This Row],[Isin code]],Table2[#All],7,FALSE)</f>
        <v>8.86</v>
      </c>
      <c r="U536" s="17">
        <f>VLOOKUP(Table1[[#This Row],[Isin code]],Table2[#All],8,FALSE)</f>
        <v>49027</v>
      </c>
      <c r="V536" s="10">
        <f ca="1">Table1[[#This Row],[Maturity]]-TODAY()</f>
        <v>3446</v>
      </c>
      <c r="W536" t="str">
        <f>VLOOKUP(Table1[[#This Row],[Isin code]],Table2[#All],10,FALSE)</f>
        <v>Yearly</v>
      </c>
      <c r="X536">
        <f ca="1">_xlfn.DAYS(Table1[[#This Row],[Maturity]],TODAY())-15</f>
        <v>3431</v>
      </c>
      <c r="Y5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36">
        <f>IF(Table1[[#This Row],[Ask Rate]]=0,0,Table1[[#This Row],[Face Value]]-Table1[[#This Row],[Ask Rate]])</f>
        <v>-374.70000000000005</v>
      </c>
      <c r="AA536">
        <f>IF(Table1[[#This Row],[Freq]]="Yearly",Table1[[#This Row],[Coupon_Rate]]/100,IF(Table1[[#This Row],[Freq]]="Monthly",Table1[[#This Row],[Coupon_Rate]]/1200,IF(Table1[[#This Row],[Freq]]="Quarterly",Table1[[#This Row],[Coupon_Rate]]/400,0)))</f>
        <v>8.8599999999999998E-2</v>
      </c>
      <c r="AB536">
        <f ca="1">Table1[[#This Row],[Face Value]]*Table1[[#This Row],[Rate]]*Table1[[#This Row],[Time]]</f>
        <v>886</v>
      </c>
      <c r="AC536">
        <f ca="1">Table1[[#This Row],[SI]]+Table1[[#This Row],[Disc/Prem]]</f>
        <v>511.29999999999995</v>
      </c>
      <c r="AD536" s="3">
        <f ca="1">Table1[[#This Row],[Net Gain]]/Table1[[#This Row],[Ask Rate]]</f>
        <v>0.37193569506074048</v>
      </c>
      <c r="AE536" s="3">
        <f ca="1">IF(Table1[[#This Row],[Ask Qty]]=0,0,Table1[[#This Row],[Gross Yield]]*365/Table1[[#This Row],[Days Left]])</f>
        <v>3.9395394282405766E-2</v>
      </c>
      <c r="AF536" s="9">
        <f ca="1">+Table1[[#This Row],[Net Gain]]*Table1[[#This Row],[Ask Qty]]</f>
        <v>511.29999999999995</v>
      </c>
      <c r="AG536" t="str">
        <f ca="1">IF(Table1[[#This Row],[YTM]]&gt;0.12,IF(Table1[[#This Row],[Gross Profit]]&gt;10000,"Invest","Review"),"Low YTM")</f>
        <v>Low YTM</v>
      </c>
    </row>
    <row r="537" spans="1:33" x14ac:dyDescent="0.3">
      <c r="A537" t="str">
        <f>RTD("nest.scriprtd",,"nse_cm|890NHB34-N7","Symbol")</f>
        <v>890NHB34</v>
      </c>
      <c r="B537" t="str">
        <f>RTD("nest.scriprtd",,"nse_cm|890NHB34-N7","Trading Symbol")</f>
        <v>890NHB34-N7</v>
      </c>
      <c r="C537" t="str">
        <f>RTD("nest.scriprtd",,"nse_cm|890NHB34-N7","Exchange")</f>
        <v>NSE</v>
      </c>
      <c r="D537">
        <f>RTD("nest.scriprtd",,"nse_cm|890NHB34-N7","Bid Qty")</f>
        <v>2</v>
      </c>
      <c r="E537">
        <f>RTD("nest.scriprtd",,"nse_cm|890NHB34-N7","Bid Rate")</f>
        <v>6105</v>
      </c>
      <c r="F537">
        <f>RTD("nest.scriprtd",,"nse_cm|890NHB34-N7","Ask Rate")</f>
        <v>6969</v>
      </c>
      <c r="G537">
        <f>RTD("nest.scriprtd",,"nse_cm|890NHB34-N7","Ask Qty")</f>
        <v>3</v>
      </c>
      <c r="H537">
        <f>RTD("nest.scriprtd",,"nse_cm|890NHB34-N7","LTP")</f>
        <v>6000</v>
      </c>
      <c r="I537" t="str">
        <f>RTD("nest.scriprtd",,"nse_cm|890NHB34-N7","LTT")</f>
        <v/>
      </c>
      <c r="J537">
        <f>RTD("nest.scriprtd",,"nse_cm|890NHB34-N7","% Change")</f>
        <v>0</v>
      </c>
      <c r="K537">
        <f>RTD("nest.scriprtd",,"nse_cm|890NHB34-N7","ATP")</f>
        <v>0</v>
      </c>
      <c r="L537">
        <f>RTD("nest.scriprtd",,"nse_cm|890NHB34-N7","Volume Traded Today")</f>
        <v>0</v>
      </c>
      <c r="M537">
        <f>RTD("nest.scriprtd",,"nse_cm|890NHB34-N7","Open")</f>
        <v>0</v>
      </c>
      <c r="N537">
        <f>RTD("nest.scriprtd",,"nse_cm|890NHB34-N7","High")</f>
        <v>6000</v>
      </c>
      <c r="O537">
        <f>RTD("nest.scriprtd",,"nse_cm|890NHB34-N7","Low ")</f>
        <v>6000</v>
      </c>
      <c r="P537">
        <f>RTD("nest.scriprtd",,"nse_cm|890NHB34-N7","Prev Close")</f>
        <v>6000</v>
      </c>
      <c r="Q537">
        <f>RTD("nest.scriprtd",,"nse_cm|890NHB34-N7","Face Value")</f>
        <v>5000</v>
      </c>
      <c r="R537" t="str">
        <f>RTD("nest.scriprtd",,"nse_cm|890NHB34-N7","Isin code")</f>
        <v>INE557F07199</v>
      </c>
      <c r="S537" s="9">
        <f>Table1[[#This Row],[Ask Rate]]*Table1[[#This Row],[Ask Qty]]</f>
        <v>20907</v>
      </c>
      <c r="T537">
        <f>VLOOKUP(Table1[[#This Row],[Isin code]],Table2[#All],7,FALSE)</f>
        <v>8.9</v>
      </c>
      <c r="U537" s="17" t="str">
        <f>VLOOKUP(Table1[[#This Row],[Isin code]],Table2[#All],8,FALSE)</f>
        <v>24-Mar-2034</v>
      </c>
      <c r="V537" s="10">
        <f ca="1">Table1[[#This Row],[Maturity]]-TODAY()</f>
        <v>3446</v>
      </c>
      <c r="W537" t="str">
        <f>VLOOKUP(Table1[[#This Row],[Isin code]],Table2[#All],10,FALSE)</f>
        <v>Yearly</v>
      </c>
      <c r="X537">
        <f ca="1">_xlfn.DAYS(Table1[[#This Row],[Maturity]],TODAY())-15</f>
        <v>3431</v>
      </c>
      <c r="Y5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37">
        <f>IF(Table1[[#This Row],[Ask Rate]]=0,0,Table1[[#This Row],[Face Value]]-Table1[[#This Row],[Ask Rate]])</f>
        <v>-1969</v>
      </c>
      <c r="AA537">
        <f>IF(Table1[[#This Row],[Freq]]="Yearly",Table1[[#This Row],[Coupon_Rate]]/100,IF(Table1[[#This Row],[Freq]]="Monthly",Table1[[#This Row],[Coupon_Rate]]/1200,IF(Table1[[#This Row],[Freq]]="Quarterly",Table1[[#This Row],[Coupon_Rate]]/400,0)))</f>
        <v>8.900000000000001E-2</v>
      </c>
      <c r="AB537">
        <f ca="1">Table1[[#This Row],[Face Value]]*Table1[[#This Row],[Rate]]*Table1[[#This Row],[Time]]</f>
        <v>4450.0000000000009</v>
      </c>
      <c r="AC537">
        <f ca="1">Table1[[#This Row],[SI]]+Table1[[#This Row],[Disc/Prem]]</f>
        <v>2481.0000000000009</v>
      </c>
      <c r="AD537" s="3">
        <f ca="1">Table1[[#This Row],[Net Gain]]/Table1[[#This Row],[Ask Rate]]</f>
        <v>0.35600516573396485</v>
      </c>
      <c r="AE537" s="3">
        <f ca="1">IF(Table1[[#This Row],[Ask Qty]]=0,0,Table1[[#This Row],[Gross Yield]]*365/Table1[[#This Row],[Days Left]])</f>
        <v>3.7708034095443176E-2</v>
      </c>
      <c r="AF537" s="9">
        <f ca="1">+Table1[[#This Row],[Net Gain]]*Table1[[#This Row],[Ask Qty]]</f>
        <v>7443.0000000000027</v>
      </c>
      <c r="AG537" t="str">
        <f ca="1">IF(Table1[[#This Row],[YTM]]&gt;0.12,IF(Table1[[#This Row],[Gross Profit]]&gt;10000,"Invest","Review"),"Low YTM")</f>
        <v>Low YTM</v>
      </c>
    </row>
    <row r="538" spans="1:33" x14ac:dyDescent="0.3">
      <c r="A538" t="str">
        <f>RTD("nest.scriprtd",,"nse_cm|971SCL28-AN","Symbol")</f>
        <v>971SCL28</v>
      </c>
      <c r="B538" t="str">
        <f>RTD("nest.scriprtd",,"nse_cm|971SCL28-AN","Trading Symbol")</f>
        <v>971SCL28-AN</v>
      </c>
      <c r="C538" t="str">
        <f>RTD("nest.scriprtd",,"nse_cm|971SCL28-AN","Exchange")</f>
        <v>NSE</v>
      </c>
      <c r="D538">
        <f>RTD("nest.scriprtd",,"nse_cm|971SCL28-AN","Bid Qty")</f>
        <v>100</v>
      </c>
      <c r="E538">
        <f>RTD("nest.scriprtd",,"nse_cm|971SCL28-AN","Bid Rate")</f>
        <v>851</v>
      </c>
      <c r="F538">
        <f>RTD("nest.scriprtd",,"nse_cm|971SCL28-AN","Ask Rate")</f>
        <v>949</v>
      </c>
      <c r="G538">
        <f>RTD("nest.scriprtd",,"nse_cm|971SCL28-AN","Ask Qty")</f>
        <v>264</v>
      </c>
      <c r="H538">
        <f>RTD("nest.scriprtd",,"nse_cm|971SCL28-AN","LTP")</f>
        <v>900</v>
      </c>
      <c r="I538" t="str">
        <f>RTD("nest.scriprtd",,"nse_cm|971SCL28-AN","LTT")</f>
        <v/>
      </c>
      <c r="J538">
        <f>RTD("nest.scriprtd",,"nse_cm|971SCL28-AN","% Change")</f>
        <v>0</v>
      </c>
      <c r="K538">
        <f>RTD("nest.scriprtd",,"nse_cm|971SCL28-AN","ATP")</f>
        <v>0</v>
      </c>
      <c r="L538">
        <f>RTD("nest.scriprtd",,"nse_cm|971SCL28-AN","Volume Traded Today")</f>
        <v>0</v>
      </c>
      <c r="M538">
        <f>RTD("nest.scriprtd",,"nse_cm|971SCL28-AN","Open")</f>
        <v>0</v>
      </c>
      <c r="N538">
        <f>RTD("nest.scriprtd",,"nse_cm|971SCL28-AN","High")</f>
        <v>900</v>
      </c>
      <c r="O538">
        <f>RTD("nest.scriprtd",,"nse_cm|971SCL28-AN","Low ")</f>
        <v>900</v>
      </c>
      <c r="P538">
        <f>RTD("nest.scriprtd",,"nse_cm|971SCL28-AN","Prev Close")</f>
        <v>900</v>
      </c>
      <c r="Q538">
        <f>RTD("nest.scriprtd",,"nse_cm|971SCL28-AN","Face Value")</f>
        <v>800</v>
      </c>
      <c r="R538" t="str">
        <f>RTD("nest.scriprtd",,"nse_cm|971SCL28-AN","Isin code")</f>
        <v>INE148I07NV8</v>
      </c>
      <c r="S538" s="9">
        <f>Table1[[#This Row],[Ask Rate]]*Table1[[#This Row],[Ask Qty]]</f>
        <v>250536</v>
      </c>
      <c r="T538">
        <f>VLOOKUP(Table1[[#This Row],[Isin code]],Table2[#All],7,FALSE)</f>
        <v>9.7100000000000009</v>
      </c>
      <c r="U538" s="17" t="str">
        <f>VLOOKUP(Table1[[#This Row],[Isin code]],Table2[#All],8,FALSE)</f>
        <v>23-Mar-2028</v>
      </c>
      <c r="V538" s="10">
        <f ca="1">Table1[[#This Row],[Maturity]]-TODAY()</f>
        <v>1254</v>
      </c>
      <c r="W538" t="str">
        <f>VLOOKUP(Table1[[#This Row],[Isin code]],Table2[#All],10,FALSE)</f>
        <v>Monthly</v>
      </c>
      <c r="X538">
        <f ca="1">_xlfn.DAYS(Table1[[#This Row],[Maturity]],TODAY())-15</f>
        <v>1239</v>
      </c>
      <c r="Y5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42</v>
      </c>
      <c r="Z538">
        <f>IF(Table1[[#This Row],[Ask Rate]]=0,0,Table1[[#This Row],[Face Value]]-Table1[[#This Row],[Ask Rate]])</f>
        <v>-149</v>
      </c>
      <c r="AA538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538">
        <f ca="1">Table1[[#This Row],[Face Value]]*Table1[[#This Row],[Rate]]*Table1[[#This Row],[Time]]</f>
        <v>271.88</v>
      </c>
      <c r="AC538">
        <f ca="1">Table1[[#This Row],[SI]]+Table1[[#This Row],[Disc/Prem]]</f>
        <v>122.88</v>
      </c>
      <c r="AD538" s="3">
        <f ca="1">Table1[[#This Row],[Net Gain]]/Table1[[#This Row],[Ask Rate]]</f>
        <v>0.12948366701791358</v>
      </c>
      <c r="AE538" s="3">
        <f ca="1">IF(Table1[[#This Row],[Ask Qty]]=0,0,Table1[[#This Row],[Gross Yield]]*365/Table1[[#This Row],[Days Left]])</f>
        <v>3.7688627162311368E-2</v>
      </c>
      <c r="AF538" s="9">
        <f ca="1">+Table1[[#This Row],[Net Gain]]*Table1[[#This Row],[Ask Qty]]</f>
        <v>32440.32</v>
      </c>
      <c r="AG538" t="str">
        <f ca="1">IF(Table1[[#This Row],[YTM]]&gt;0.12,IF(Table1[[#This Row],[Gross Profit]]&gt;10000,"Invest","Review"),"Low YTM")</f>
        <v>Low YTM</v>
      </c>
    </row>
    <row r="539" spans="1:33" x14ac:dyDescent="0.3">
      <c r="A539" t="str">
        <f>RTD("nest.scriprtd",,"bse_cm|8ABFL26","Symbol")</f>
        <v>8ABFL26</v>
      </c>
      <c r="B539" t="str">
        <f>RTD("nest.scriprtd",,"bse_cm|8ABFL26","Trading Symbol")</f>
        <v>8ABFL26</v>
      </c>
      <c r="C539" t="str">
        <f>RTD("nest.scriprtd",,"bse_cm|8ABFL26","Exchange")</f>
        <v>BSE</v>
      </c>
      <c r="D539">
        <f>RTD("nest.scriprtd",,"bse_cm|8ABFL26","Bid Qty")</f>
        <v>75</v>
      </c>
      <c r="E539">
        <f>RTD("nest.scriprtd",,"bse_cm|8ABFL26","Bid Rate")</f>
        <v>953.02</v>
      </c>
      <c r="F539">
        <f>RTD("nest.scriprtd",,"bse_cm|8ABFL26","Ask Rate")</f>
        <v>1080</v>
      </c>
      <c r="G539">
        <f>RTD("nest.scriprtd",,"bse_cm|8ABFL26","Ask Qty")</f>
        <v>250</v>
      </c>
      <c r="H539">
        <f>RTD("nest.scriprtd",,"bse_cm|8ABFL26","LTP")</f>
        <v>0</v>
      </c>
      <c r="I539" t="str">
        <f>RTD("nest.scriprtd",,"bse_cm|8ABFL26","LTT")</f>
        <v>00:00:00</v>
      </c>
      <c r="J539">
        <f>RTD("nest.scriprtd",,"bse_cm|8ABFL26","% Change")</f>
        <v>-100</v>
      </c>
      <c r="K539">
        <f>RTD("nest.scriprtd",,"bse_cm|8ABFL26","ATP")</f>
        <v>0</v>
      </c>
      <c r="L539">
        <f>RTD("nest.scriprtd",,"bse_cm|8ABFL26","Volume Traded Today")</f>
        <v>0</v>
      </c>
      <c r="M539">
        <f>RTD("nest.scriprtd",,"bse_cm|8ABFL26","Open")</f>
        <v>0</v>
      </c>
      <c r="N539">
        <f>RTD("nest.scriprtd",,"bse_cm|8ABFL26","High")</f>
        <v>900</v>
      </c>
      <c r="O539">
        <f>RTD("nest.scriprtd",,"bse_cm|8ABFL26","Low ")</f>
        <v>900</v>
      </c>
      <c r="P539">
        <f>RTD("nest.scriprtd",,"bse_cm|8ABFL26","Prev Close")</f>
        <v>900</v>
      </c>
      <c r="Q539">
        <f>RTD("nest.scriprtd",,"bse_cm|8ABFL26","Face Value")</f>
        <v>1000</v>
      </c>
      <c r="R539" t="str">
        <f>RTD("nest.scriprtd",,"bse_cm|8ABFL26","Isin code")</f>
        <v>INE860H07IQ0</v>
      </c>
      <c r="S539" s="9">
        <f>Table1[[#This Row],[Ask Rate]]*Table1[[#This Row],[Ask Qty]]</f>
        <v>270000</v>
      </c>
      <c r="T539">
        <f>VLOOKUP(Table1[[#This Row],[Isin code]],Table2[#All],7,FALSE)</f>
        <v>8</v>
      </c>
      <c r="U539" s="17" t="str">
        <f>VLOOKUP(Table1[[#This Row],[Isin code]],Table2[#All],8,FALSE)</f>
        <v>09-Oct-2026</v>
      </c>
      <c r="V539" s="10">
        <f ca="1">Table1[[#This Row],[Maturity]]-TODAY()</f>
        <v>723</v>
      </c>
      <c r="W539" t="str">
        <f>VLOOKUP(Table1[[#This Row],[Isin code]],Table2[#All],10,FALSE)</f>
        <v>Yearly</v>
      </c>
      <c r="X539">
        <f ca="1">_xlfn.DAYS(Table1[[#This Row],[Maturity]],TODAY())-15</f>
        <v>708</v>
      </c>
      <c r="Y5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39">
        <f>IF(Table1[[#This Row],[Ask Rate]]=0,0,Table1[[#This Row],[Face Value]]-Table1[[#This Row],[Ask Rate]])</f>
        <v>-80</v>
      </c>
      <c r="AA539">
        <f>IF(Table1[[#This Row],[Freq]]="Yearly",Table1[[#This Row],[Coupon_Rate]]/100,IF(Table1[[#This Row],[Freq]]="Monthly",Table1[[#This Row],[Coupon_Rate]]/1200,IF(Table1[[#This Row],[Freq]]="Quarterly",Table1[[#This Row],[Coupon_Rate]]/400,0)))</f>
        <v>0.08</v>
      </c>
      <c r="AB539">
        <f ca="1">Table1[[#This Row],[Face Value]]*Table1[[#This Row],[Rate]]*Table1[[#This Row],[Time]]</f>
        <v>160</v>
      </c>
      <c r="AC539">
        <f ca="1">Table1[[#This Row],[SI]]+Table1[[#This Row],[Disc/Prem]]</f>
        <v>80</v>
      </c>
      <c r="AD539" s="3">
        <f ca="1">Table1[[#This Row],[Net Gain]]/Table1[[#This Row],[Ask Rate]]</f>
        <v>7.407407407407407E-2</v>
      </c>
      <c r="AE539" s="3">
        <f ca="1">IF(Table1[[#This Row],[Ask Qty]]=0,0,Table1[[#This Row],[Gross Yield]]*365/Table1[[#This Row],[Days Left]])</f>
        <v>3.7395625224117615E-2</v>
      </c>
      <c r="AF539" s="9">
        <f ca="1">+Table1[[#This Row],[Net Gain]]*Table1[[#This Row],[Ask Qty]]</f>
        <v>20000</v>
      </c>
      <c r="AG539" t="str">
        <f ca="1">IF(Table1[[#This Row],[YTM]]&gt;0.12,IF(Table1[[#This Row],[Gross Profit]]&gt;10000,"Invest","Review"),"Low YTM")</f>
        <v>Low YTM</v>
      </c>
    </row>
    <row r="540" spans="1:33" x14ac:dyDescent="0.3">
      <c r="A540" t="str">
        <f>RTD("nest.scriprtd",,"bse_cm|729NABAR26","Symbol")</f>
        <v>729NABAR26</v>
      </c>
      <c r="B540" t="str">
        <f>RTD("nest.scriprtd",,"bse_cm|729NABAR26","Trading Symbol")</f>
        <v>729NABAR26</v>
      </c>
      <c r="C540" t="str">
        <f>RTD("nest.scriprtd",,"bse_cm|729NABAR26","Exchange")</f>
        <v>BSE</v>
      </c>
      <c r="D540">
        <f>RTD("nest.scriprtd",,"bse_cm|729NABAR26","Bid Qty")</f>
        <v>100</v>
      </c>
      <c r="E540">
        <f>RTD("nest.scriprtd",,"bse_cm|729NABAR26","Bid Rate")</f>
        <v>1055</v>
      </c>
      <c r="F540">
        <f>RTD("nest.scriprtd",,"bse_cm|729NABAR26","Ask Rate")</f>
        <v>1087.96</v>
      </c>
      <c r="G540">
        <f>RTD("nest.scriprtd",,"bse_cm|729NABAR26","Ask Qty")</f>
        <v>25</v>
      </c>
      <c r="H540">
        <f>RTD("nest.scriprtd",,"bse_cm|729NABAR26","LTP")</f>
        <v>0</v>
      </c>
      <c r="I540" t="str">
        <f>RTD("nest.scriprtd",,"bse_cm|729NABAR26","LTT")</f>
        <v>00:00:00</v>
      </c>
      <c r="J540">
        <f>RTD("nest.scriprtd",,"bse_cm|729NABAR26","% Change")</f>
        <v>-100</v>
      </c>
      <c r="K540">
        <f>RTD("nest.scriprtd",,"bse_cm|729NABAR26","ATP")</f>
        <v>0</v>
      </c>
      <c r="L540">
        <f>RTD("nest.scriprtd",,"bse_cm|729NABAR26","Volume Traded Today")</f>
        <v>0</v>
      </c>
      <c r="M540">
        <f>RTD("nest.scriprtd",,"bse_cm|729NABAR26","Open")</f>
        <v>0</v>
      </c>
      <c r="N540">
        <f>RTD("nest.scriprtd",,"bse_cm|729NABAR26","High")</f>
        <v>1080</v>
      </c>
      <c r="O540">
        <f>RTD("nest.scriprtd",,"bse_cm|729NABAR26","Low ")</f>
        <v>1049.2</v>
      </c>
      <c r="P540">
        <f>RTD("nest.scriprtd",,"bse_cm|729NABAR26","Prev Close")</f>
        <v>1055.3499999999999</v>
      </c>
      <c r="Q540">
        <f>RTD("nest.scriprtd",,"bse_cm|729NABAR26","Face Value")</f>
        <v>1000</v>
      </c>
      <c r="R540" t="str">
        <f>RTD("nest.scriprtd",,"bse_cm|729NABAR26","Isin code")</f>
        <v>INE261F07024</v>
      </c>
      <c r="S540" s="9">
        <f>Table1[[#This Row],[Ask Rate]]*Table1[[#This Row],[Ask Qty]]</f>
        <v>27199</v>
      </c>
      <c r="T540">
        <f>VLOOKUP(Table1[[#This Row],[Isin code]],Table2[#All],7,FALSE)</f>
        <v>7.2900000000000009</v>
      </c>
      <c r="U540" s="17" t="str">
        <f>VLOOKUP(Table1[[#This Row],[Isin code]],Table2[#All],8,FALSE)</f>
        <v>23-Mar-2026</v>
      </c>
      <c r="V540" s="10">
        <f ca="1">Table1[[#This Row],[Maturity]]-TODAY()</f>
        <v>523</v>
      </c>
      <c r="W540" t="str">
        <f>VLOOKUP(Table1[[#This Row],[Isin code]],Table2[#All],10,FALSE)</f>
        <v>Yearly</v>
      </c>
      <c r="X540">
        <f ca="1">_xlfn.DAYS(Table1[[#This Row],[Maturity]],TODAY())-15</f>
        <v>508</v>
      </c>
      <c r="Y5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40">
        <f>IF(Table1[[#This Row],[Ask Rate]]=0,0,Table1[[#This Row],[Face Value]]-Table1[[#This Row],[Ask Rate]])</f>
        <v>-87.960000000000036</v>
      </c>
      <c r="AA540">
        <f>IF(Table1[[#This Row],[Freq]]="Yearly",Table1[[#This Row],[Coupon_Rate]]/100,IF(Table1[[#This Row],[Freq]]="Monthly",Table1[[#This Row],[Coupon_Rate]]/1200,IF(Table1[[#This Row],[Freq]]="Quarterly",Table1[[#This Row],[Coupon_Rate]]/400,0)))</f>
        <v>7.2900000000000006E-2</v>
      </c>
      <c r="AB540">
        <f ca="1">Table1[[#This Row],[Face Value]]*Table1[[#This Row],[Rate]]*Table1[[#This Row],[Time]]</f>
        <v>145.80000000000001</v>
      </c>
      <c r="AC540">
        <f ca="1">Table1[[#This Row],[SI]]+Table1[[#This Row],[Disc/Prem]]</f>
        <v>57.839999999999975</v>
      </c>
      <c r="AD540" s="3">
        <f ca="1">Table1[[#This Row],[Net Gain]]/Table1[[#This Row],[Ask Rate]]</f>
        <v>5.3163719254384324E-2</v>
      </c>
      <c r="AE540" s="3">
        <f ca="1">IF(Table1[[#This Row],[Ask Qty]]=0,0,Table1[[#This Row],[Gross Yield]]*365/Table1[[#This Row],[Days Left]])</f>
        <v>3.7102786860134379E-2</v>
      </c>
      <c r="AF540" s="9">
        <f ca="1">+Table1[[#This Row],[Net Gain]]*Table1[[#This Row],[Ask Qty]]</f>
        <v>1445.9999999999993</v>
      </c>
      <c r="AG540" t="str">
        <f ca="1">IF(Table1[[#This Row],[YTM]]&gt;0.12,IF(Table1[[#This Row],[Gross Profit]]&gt;10000,"Invest","Review"),"Low YTM")</f>
        <v>Low YTM</v>
      </c>
    </row>
    <row r="541" spans="1:33" x14ac:dyDescent="0.3">
      <c r="A541" t="str">
        <f>RTD("nest.scriprtd",,"nse_cm|873NTPC28-N5","Symbol")</f>
        <v>873NTPC28</v>
      </c>
      <c r="B541" t="str">
        <f>RTD("nest.scriprtd",,"nse_cm|873NTPC28-N5","Trading Symbol")</f>
        <v>873NTPC28-N5</v>
      </c>
      <c r="C541" t="str">
        <f>RTD("nest.scriprtd",,"nse_cm|873NTPC28-N5","Exchange")</f>
        <v>NSE</v>
      </c>
      <c r="D541">
        <f>RTD("nest.scriprtd",,"nse_cm|873NTPC28-N5","Bid Qty")</f>
        <v>180</v>
      </c>
      <c r="E541">
        <f>RTD("nest.scriprtd",,"nse_cm|873NTPC28-N5","Bid Rate")</f>
        <v>1180</v>
      </c>
      <c r="F541">
        <f>RTD("nest.scriprtd",,"nse_cm|873NTPC28-N5","Ask Rate")</f>
        <v>1245.99</v>
      </c>
      <c r="G541">
        <f>RTD("nest.scriprtd",,"nse_cm|873NTPC28-N5","Ask Qty")</f>
        <v>250</v>
      </c>
      <c r="H541">
        <f>RTD("nest.scriprtd",,"nse_cm|873NTPC28-N5","LTP")</f>
        <v>1182</v>
      </c>
      <c r="I541" t="str">
        <f>RTD("nest.scriprtd",,"nse_cm|873NTPC28-N5","LTT")</f>
        <v/>
      </c>
      <c r="J541">
        <f>RTD("nest.scriprtd",,"nse_cm|873NTPC28-N5","% Change")</f>
        <v>0</v>
      </c>
      <c r="K541">
        <f>RTD("nest.scriprtd",,"nse_cm|873NTPC28-N5","ATP")</f>
        <v>0</v>
      </c>
      <c r="L541">
        <f>RTD("nest.scriprtd",,"nse_cm|873NTPC28-N5","Volume Traded Today")</f>
        <v>0</v>
      </c>
      <c r="M541">
        <f>RTD("nest.scriprtd",,"nse_cm|873NTPC28-N5","Open")</f>
        <v>0</v>
      </c>
      <c r="N541">
        <f>RTD("nest.scriprtd",,"nse_cm|873NTPC28-N5","High")</f>
        <v>1182</v>
      </c>
      <c r="O541">
        <f>RTD("nest.scriprtd",,"nse_cm|873NTPC28-N5","Low ")</f>
        <v>1180</v>
      </c>
      <c r="P541">
        <f>RTD("nest.scriprtd",,"nse_cm|873NTPC28-N5","Prev Close")</f>
        <v>1182</v>
      </c>
      <c r="Q541">
        <f>RTD("nest.scriprtd",,"nse_cm|873NTPC28-N5","Face Value")</f>
        <v>1000</v>
      </c>
      <c r="R541" t="str">
        <f>RTD("nest.scriprtd",,"nse_cm|873NTPC28-N5","Isin code")</f>
        <v>INE733E07JI1</v>
      </c>
      <c r="S541" s="9">
        <f>Table1[[#This Row],[Ask Rate]]*Table1[[#This Row],[Ask Qty]]</f>
        <v>311497.5</v>
      </c>
      <c r="T541">
        <f>VLOOKUP(Table1[[#This Row],[Isin code]],Table2[#All],7,FALSE)</f>
        <v>8.73</v>
      </c>
      <c r="U541" s="17">
        <f>VLOOKUP(Table1[[#This Row],[Isin code]],Table2[#All],8,FALSE)</f>
        <v>47103</v>
      </c>
      <c r="V541" s="10">
        <f ca="1">Table1[[#This Row],[Maturity]]-TODAY()</f>
        <v>1522</v>
      </c>
      <c r="W541" t="str">
        <f>VLOOKUP(Table1[[#This Row],[Isin code]],Table2[#All],10,FALSE)</f>
        <v>Yearly</v>
      </c>
      <c r="X541">
        <f ca="1">_xlfn.DAYS(Table1[[#This Row],[Maturity]],TODAY())-15</f>
        <v>1507</v>
      </c>
      <c r="Y5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41">
        <f>IF(Table1[[#This Row],[Ask Rate]]=0,0,Table1[[#This Row],[Face Value]]-Table1[[#This Row],[Ask Rate]])</f>
        <v>-245.99</v>
      </c>
      <c r="AA541">
        <f>IF(Table1[[#This Row],[Freq]]="Yearly",Table1[[#This Row],[Coupon_Rate]]/100,IF(Table1[[#This Row],[Freq]]="Monthly",Table1[[#This Row],[Coupon_Rate]]/1200,IF(Table1[[#This Row],[Freq]]="Quarterly",Table1[[#This Row],[Coupon_Rate]]/400,0)))</f>
        <v>8.7300000000000003E-2</v>
      </c>
      <c r="AB541">
        <f ca="1">Table1[[#This Row],[Face Value]]*Table1[[#This Row],[Rate]]*Table1[[#This Row],[Time]]</f>
        <v>436.5</v>
      </c>
      <c r="AC541">
        <f ca="1">Table1[[#This Row],[SI]]+Table1[[#This Row],[Disc/Prem]]</f>
        <v>190.51</v>
      </c>
      <c r="AD541" s="3">
        <f ca="1">Table1[[#This Row],[Net Gain]]/Table1[[#This Row],[Ask Rate]]</f>
        <v>0.15289849838281205</v>
      </c>
      <c r="AE541" s="3">
        <f ca="1">IF(Table1[[#This Row],[Ask Qty]]=0,0,Table1[[#This Row],[Gross Yield]]*365/Table1[[#This Row],[Days Left]])</f>
        <v>3.6667511110201313E-2</v>
      </c>
      <c r="AF541" s="9">
        <f ca="1">+Table1[[#This Row],[Net Gain]]*Table1[[#This Row],[Ask Qty]]</f>
        <v>47627.5</v>
      </c>
      <c r="AG541" t="str">
        <f ca="1">IF(Table1[[#This Row],[YTM]]&gt;0.12,IF(Table1[[#This Row],[Gross Profit]]&gt;10000,"Invest","Review"),"Low YTM")</f>
        <v>Low YTM</v>
      </c>
    </row>
    <row r="542" spans="1:33" x14ac:dyDescent="0.3">
      <c r="A542" t="str">
        <f>RTD("nest.scriprtd",,"nse_cm|871REC28-N9","Symbol")</f>
        <v>871REC28</v>
      </c>
      <c r="B542" t="str">
        <f>RTD("nest.scriprtd",,"nse_cm|871REC28-N9","Trading Symbol")</f>
        <v>871REC28-N9</v>
      </c>
      <c r="C542" t="str">
        <f>RTD("nest.scriprtd",,"nse_cm|871REC28-N9","Exchange")</f>
        <v>NSE</v>
      </c>
      <c r="D542">
        <f>RTD("nest.scriprtd",,"nse_cm|871REC28-N9","Bid Qty")</f>
        <v>3</v>
      </c>
      <c r="E542">
        <f>RTD("nest.scriprtd",,"nse_cm|871REC28-N9","Bid Rate")</f>
        <v>1174.53</v>
      </c>
      <c r="F542">
        <f>RTD("nest.scriprtd",,"nse_cm|871REC28-N9","Ask Rate")</f>
        <v>1179.8900000000001</v>
      </c>
      <c r="G542">
        <f>RTD("nest.scriprtd",,"nse_cm|871REC28-N9","Ask Qty")</f>
        <v>2</v>
      </c>
      <c r="H542">
        <f>RTD("nest.scriprtd",,"nse_cm|871REC28-N9","LTP")</f>
        <v>1179</v>
      </c>
      <c r="I542" t="str">
        <f>RTD("nest.scriprtd",,"nse_cm|871REC28-N9","LTT")</f>
        <v/>
      </c>
      <c r="J542">
        <f>RTD("nest.scriprtd",,"nse_cm|871REC28-N9","% Change")</f>
        <v>0</v>
      </c>
      <c r="K542">
        <f>RTD("nest.scriprtd",,"nse_cm|871REC28-N9","ATP")</f>
        <v>0</v>
      </c>
      <c r="L542">
        <f>RTD("nest.scriprtd",,"nse_cm|871REC28-N9","Volume Traded Today")</f>
        <v>0</v>
      </c>
      <c r="M542">
        <f>RTD("nest.scriprtd",,"nse_cm|871REC28-N9","Open")</f>
        <v>0</v>
      </c>
      <c r="N542">
        <f>RTD("nest.scriprtd",,"nse_cm|871REC28-N9","High")</f>
        <v>1179</v>
      </c>
      <c r="O542">
        <f>RTD("nest.scriprtd",,"nse_cm|871REC28-N9","Low ")</f>
        <v>1176.07</v>
      </c>
      <c r="P542">
        <f>RTD("nest.scriprtd",,"nse_cm|871REC28-N9","Prev Close")</f>
        <v>1179</v>
      </c>
      <c r="Q542">
        <f>RTD("nest.scriprtd",,"nse_cm|871REC28-N9","Face Value")</f>
        <v>1000</v>
      </c>
      <c r="R542" t="str">
        <f>RTD("nest.scriprtd",,"nse_cm|871REC28-N9","Isin code")</f>
        <v>INE020B07HS2</v>
      </c>
      <c r="S542" s="9">
        <f>Table1[[#This Row],[Ask Rate]]*Table1[[#This Row],[Ask Qty]]</f>
        <v>2359.7800000000002</v>
      </c>
      <c r="T542">
        <f>VLOOKUP(Table1[[#This Row],[Isin code]],Table2[#All],7,FALSE)</f>
        <v>8.7100000000000009</v>
      </c>
      <c r="U542" s="17" t="str">
        <f>VLOOKUP(Table1[[#This Row],[Isin code]],Table2[#All],8,FALSE)</f>
        <v>24-Sep-2028</v>
      </c>
      <c r="V542" s="10">
        <f ca="1">Table1[[#This Row],[Maturity]]-TODAY()</f>
        <v>1439</v>
      </c>
      <c r="W542" t="str">
        <f>VLOOKUP(Table1[[#This Row],[Isin code]],Table2[#All],10,FALSE)</f>
        <v>Yearly</v>
      </c>
      <c r="X542">
        <f ca="1">_xlfn.DAYS(Table1[[#This Row],[Maturity]],TODAY())-15</f>
        <v>1424</v>
      </c>
      <c r="Y5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42">
        <f>IF(Table1[[#This Row],[Ask Rate]]=0,0,Table1[[#This Row],[Face Value]]-Table1[[#This Row],[Ask Rate]])</f>
        <v>-179.8900000000001</v>
      </c>
      <c r="AA542">
        <f>IF(Table1[[#This Row],[Freq]]="Yearly",Table1[[#This Row],[Coupon_Rate]]/100,IF(Table1[[#This Row],[Freq]]="Monthly",Table1[[#This Row],[Coupon_Rate]]/1200,IF(Table1[[#This Row],[Freq]]="Quarterly",Table1[[#This Row],[Coupon_Rate]]/400,0)))</f>
        <v>8.7100000000000011E-2</v>
      </c>
      <c r="AB542">
        <f ca="1">Table1[[#This Row],[Face Value]]*Table1[[#This Row],[Rate]]*Table1[[#This Row],[Time]]</f>
        <v>348.40000000000003</v>
      </c>
      <c r="AC542">
        <f ca="1">Table1[[#This Row],[SI]]+Table1[[#This Row],[Disc/Prem]]</f>
        <v>168.50999999999993</v>
      </c>
      <c r="AD542" s="3">
        <f ca="1">Table1[[#This Row],[Net Gain]]/Table1[[#This Row],[Ask Rate]]</f>
        <v>0.14281839832526755</v>
      </c>
      <c r="AE542" s="3">
        <f ca="1">IF(Table1[[#This Row],[Ask Qty]]=0,0,Table1[[#This Row],[Gross Yield]]*365/Table1[[#This Row],[Days Left]])</f>
        <v>3.622565350154458E-2</v>
      </c>
      <c r="AF542" s="9">
        <f ca="1">+Table1[[#This Row],[Net Gain]]*Table1[[#This Row],[Ask Qty]]</f>
        <v>337.01999999999987</v>
      </c>
      <c r="AG542" t="str">
        <f ca="1">IF(Table1[[#This Row],[YTM]]&gt;0.12,IF(Table1[[#This Row],[Gross Profit]]&gt;10000,"Invest","Review"),"Low YTM")</f>
        <v>Low YTM</v>
      </c>
    </row>
    <row r="543" spans="1:33" x14ac:dyDescent="0.3">
      <c r="A543" t="str">
        <f>RTD("nest.scriprtd",,"bse_cm|768IREDA36","Symbol")</f>
        <v>768IREDA36</v>
      </c>
      <c r="B543" t="str">
        <f>RTD("nest.scriprtd",,"bse_cm|768IREDA36","Trading Symbol")</f>
        <v>768IREDA36</v>
      </c>
      <c r="C543" t="str">
        <f>RTD("nest.scriprtd",,"bse_cm|768IREDA36","Exchange")</f>
        <v>BSE</v>
      </c>
      <c r="D543">
        <f>RTD("nest.scriprtd",,"bse_cm|768IREDA36","Bid Qty")</f>
        <v>50</v>
      </c>
      <c r="E543">
        <f>RTD("nest.scriprtd",,"bse_cm|768IREDA36","Bid Rate")</f>
        <v>1201.5999999999999</v>
      </c>
      <c r="F543">
        <f>RTD("nest.scriprtd",,"bse_cm|768IREDA36","Ask Rate")</f>
        <v>1384</v>
      </c>
      <c r="G543">
        <f>RTD("nest.scriprtd",,"bse_cm|768IREDA36","Ask Qty")</f>
        <v>100</v>
      </c>
      <c r="H543">
        <f>RTD("nest.scriprtd",,"bse_cm|768IREDA36","LTP")</f>
        <v>0</v>
      </c>
      <c r="I543" t="str">
        <f>RTD("nest.scriprtd",,"bse_cm|768IREDA36","LTT")</f>
        <v>00:00:00</v>
      </c>
      <c r="J543">
        <f>RTD("nest.scriprtd",,"bse_cm|768IREDA36","% Change")</f>
        <v>-100</v>
      </c>
      <c r="K543">
        <f>RTD("nest.scriprtd",,"bse_cm|768IREDA36","ATP")</f>
        <v>0</v>
      </c>
      <c r="L543">
        <f>RTD("nest.scriprtd",,"bse_cm|768IREDA36","Volume Traded Today")</f>
        <v>0</v>
      </c>
      <c r="M543">
        <f>RTD("nest.scriprtd",,"bse_cm|768IREDA36","Open")</f>
        <v>0</v>
      </c>
      <c r="N543">
        <f>RTD("nest.scriprtd",,"bse_cm|768IREDA36","High")</f>
        <v>1205.03</v>
      </c>
      <c r="O543">
        <f>RTD("nest.scriprtd",,"bse_cm|768IREDA36","Low ")</f>
        <v>1205.03</v>
      </c>
      <c r="P543">
        <f>RTD("nest.scriprtd",,"bse_cm|768IREDA36","Prev Close")</f>
        <v>1205.03</v>
      </c>
      <c r="Q543">
        <f>RTD("nest.scriprtd",,"bse_cm|768IREDA36","Face Value")</f>
        <v>1000</v>
      </c>
      <c r="R543" t="str">
        <f>RTD("nest.scriprtd",,"bse_cm|768IREDA36","Isin code")</f>
        <v>INE202E07237</v>
      </c>
      <c r="S543" s="9">
        <f>Table1[[#This Row],[Ask Rate]]*Table1[[#This Row],[Ask Qty]]</f>
        <v>138400</v>
      </c>
      <c r="T543">
        <f>VLOOKUP(Table1[[#This Row],[Isin code]],Table2[#All],7,FALSE)</f>
        <v>7.68</v>
      </c>
      <c r="U543" s="17" t="str">
        <f>VLOOKUP(Table1[[#This Row],[Isin code]],Table2[#All],8,FALSE)</f>
        <v>21-Jan-2036</v>
      </c>
      <c r="V543" s="10">
        <f ca="1">Table1[[#This Row],[Maturity]]-TODAY()</f>
        <v>4114</v>
      </c>
      <c r="W543" t="str">
        <f>VLOOKUP(Table1[[#This Row],[Isin code]],Table2[#All],10,FALSE)</f>
        <v>Yearly</v>
      </c>
      <c r="X543">
        <f ca="1">_xlfn.DAYS(Table1[[#This Row],[Maturity]],TODAY())-15</f>
        <v>4099</v>
      </c>
      <c r="Y5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543">
        <f>IF(Table1[[#This Row],[Ask Rate]]=0,0,Table1[[#This Row],[Face Value]]-Table1[[#This Row],[Ask Rate]])</f>
        <v>-384</v>
      </c>
      <c r="AA543">
        <f>IF(Table1[[#This Row],[Freq]]="Yearly",Table1[[#This Row],[Coupon_Rate]]/100,IF(Table1[[#This Row],[Freq]]="Monthly",Table1[[#This Row],[Coupon_Rate]]/1200,IF(Table1[[#This Row],[Freq]]="Quarterly",Table1[[#This Row],[Coupon_Rate]]/400,0)))</f>
        <v>7.6799999999999993E-2</v>
      </c>
      <c r="AB543">
        <f ca="1">Table1[[#This Row],[Face Value]]*Table1[[#This Row],[Rate]]*Table1[[#This Row],[Time]]</f>
        <v>921.59999999999991</v>
      </c>
      <c r="AC543">
        <f ca="1">Table1[[#This Row],[SI]]+Table1[[#This Row],[Disc/Prem]]</f>
        <v>537.59999999999991</v>
      </c>
      <c r="AD543" s="3">
        <f ca="1">Table1[[#This Row],[Net Gain]]/Table1[[#This Row],[Ask Rate]]</f>
        <v>0.38843930635838142</v>
      </c>
      <c r="AE543" s="3">
        <f ca="1">IF(Table1[[#This Row],[Ask Qty]]=0,0,Table1[[#This Row],[Gross Yield]]*365/Table1[[#This Row],[Days Left]])</f>
        <v>3.4462894219934183E-2</v>
      </c>
      <c r="AF543" s="9">
        <f ca="1">+Table1[[#This Row],[Net Gain]]*Table1[[#This Row],[Ask Qty]]</f>
        <v>53759.999999999993</v>
      </c>
      <c r="AG543" t="str">
        <f ca="1">IF(Table1[[#This Row],[YTM]]&gt;0.12,IF(Table1[[#This Row],[Gross Profit]]&gt;10000,"Invest","Review"),"Low YTM")</f>
        <v>Low YTM</v>
      </c>
    </row>
    <row r="544" spans="1:33" x14ac:dyDescent="0.3">
      <c r="A544" t="str">
        <f>RTD("nest.scriprtd",,"nse_cm|9TCAP28-N9","Symbol")</f>
        <v>9TCAP28</v>
      </c>
      <c r="B544" t="str">
        <f>RTD("nest.scriprtd",,"nse_cm|9TCAP28-N9","Trading Symbol")</f>
        <v>9TCAP28-N9</v>
      </c>
      <c r="C544" t="str">
        <f>RTD("nest.scriprtd",,"nse_cm|9TCAP28-N9","Exchange")</f>
        <v>NSE</v>
      </c>
      <c r="D544">
        <f>RTD("nest.scriprtd",,"nse_cm|9TCAP28-N9","Bid Qty")</f>
        <v>0</v>
      </c>
      <c r="E544">
        <f>RTD("nest.scriprtd",,"nse_cm|9TCAP28-N9","Bid Rate")</f>
        <v>0</v>
      </c>
      <c r="F544">
        <f>RTD("nest.scriprtd",,"nse_cm|9TCAP28-N9","Ask Rate")</f>
        <v>1200</v>
      </c>
      <c r="G544">
        <f>RTD("nest.scriprtd",,"nse_cm|9TCAP28-N9","Ask Qty")</f>
        <v>27</v>
      </c>
      <c r="H544">
        <f>RTD("nest.scriprtd",,"nse_cm|9TCAP28-N9","LTP")</f>
        <v>1200</v>
      </c>
      <c r="I544" t="str">
        <f>RTD("nest.scriprtd",,"nse_cm|9TCAP28-N9","LTT")</f>
        <v/>
      </c>
      <c r="J544">
        <f>RTD("nest.scriprtd",,"nse_cm|9TCAP28-N9","% Change")</f>
        <v>0</v>
      </c>
      <c r="K544">
        <f>RTD("nest.scriprtd",,"nse_cm|9TCAP28-N9","ATP")</f>
        <v>0</v>
      </c>
      <c r="L544">
        <f>RTD("nest.scriprtd",,"nse_cm|9TCAP28-N9","Volume Traded Today")</f>
        <v>0</v>
      </c>
      <c r="M544">
        <f>RTD("nest.scriprtd",,"nse_cm|9TCAP28-N9","Open")</f>
        <v>0</v>
      </c>
      <c r="N544">
        <f>RTD("nest.scriprtd",,"nse_cm|9TCAP28-N9","High")</f>
        <v>1200</v>
      </c>
      <c r="O544">
        <f>RTD("nest.scriprtd",,"nse_cm|9TCAP28-N9","Low ")</f>
        <v>1200</v>
      </c>
      <c r="P544">
        <f>RTD("nest.scriprtd",,"nse_cm|9TCAP28-N9","Prev Close")</f>
        <v>1200</v>
      </c>
      <c r="Q544">
        <f>RTD("nest.scriprtd",,"nse_cm|9TCAP28-N9","Face Value")</f>
        <v>1000</v>
      </c>
      <c r="R544" t="str">
        <f>RTD("nest.scriprtd",,"nse_cm|9TCAP28-N9","Isin code")</f>
        <v>INE306N08284</v>
      </c>
      <c r="S544" s="9">
        <f>Table1[[#This Row],[Ask Rate]]*Table1[[#This Row],[Ask Qty]]</f>
        <v>32400</v>
      </c>
      <c r="T544">
        <f>VLOOKUP(Table1[[#This Row],[Isin code]],Table2[#All],7,FALSE)</f>
        <v>9</v>
      </c>
      <c r="U544" s="17" t="str">
        <f>VLOOKUP(Table1[[#This Row],[Isin code]],Table2[#All],8,FALSE)</f>
        <v>27-Sep-2028</v>
      </c>
      <c r="V544" s="10">
        <f ca="1">Table1[[#This Row],[Maturity]]-TODAY()</f>
        <v>1442</v>
      </c>
      <c r="W544" t="str">
        <f>VLOOKUP(Table1[[#This Row],[Isin code]],Table2[#All],10,FALSE)</f>
        <v>Yearly</v>
      </c>
      <c r="X544">
        <f ca="1">_xlfn.DAYS(Table1[[#This Row],[Maturity]],TODAY())-15</f>
        <v>1427</v>
      </c>
      <c r="Y5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44">
        <f>IF(Table1[[#This Row],[Ask Rate]]=0,0,Table1[[#This Row],[Face Value]]-Table1[[#This Row],[Ask Rate]])</f>
        <v>-200</v>
      </c>
      <c r="AA544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544">
        <f ca="1">Table1[[#This Row],[Face Value]]*Table1[[#This Row],[Rate]]*Table1[[#This Row],[Time]]</f>
        <v>360</v>
      </c>
      <c r="AC544">
        <f ca="1">Table1[[#This Row],[SI]]+Table1[[#This Row],[Disc/Prem]]</f>
        <v>160</v>
      </c>
      <c r="AD544" s="3">
        <f ca="1">Table1[[#This Row],[Net Gain]]/Table1[[#This Row],[Ask Rate]]</f>
        <v>0.13333333333333333</v>
      </c>
      <c r="AE544" s="3">
        <f ca="1">IF(Table1[[#This Row],[Ask Qty]]=0,0,Table1[[#This Row],[Gross Yield]]*365/Table1[[#This Row],[Days Left]])</f>
        <v>3.3749422098936659E-2</v>
      </c>
      <c r="AF544" s="9">
        <f ca="1">+Table1[[#This Row],[Net Gain]]*Table1[[#This Row],[Ask Qty]]</f>
        <v>4320</v>
      </c>
      <c r="AG544" t="str">
        <f ca="1">IF(Table1[[#This Row],[YTM]]&gt;0.12,IF(Table1[[#This Row],[Gross Profit]]&gt;10000,"Invest","Review"),"Low YTM")</f>
        <v>Low YTM</v>
      </c>
    </row>
    <row r="545" spans="1:33" x14ac:dyDescent="0.3">
      <c r="A545" t="str">
        <f>RTD("nest.scriprtd",,"bse_cm|9TCAP28","Symbol")</f>
        <v>9TCAP28</v>
      </c>
      <c r="B545" t="str">
        <f>RTD("nest.scriprtd",,"bse_cm|9TCAP28","Trading Symbol")</f>
        <v>9TCAP28</v>
      </c>
      <c r="C545" t="str">
        <f>RTD("nest.scriprtd",,"bse_cm|9TCAP28","Exchange")</f>
        <v>BSE</v>
      </c>
      <c r="D545">
        <f>RTD("nest.scriprtd",,"bse_cm|9TCAP28","Bid Qty")</f>
        <v>20</v>
      </c>
      <c r="E545">
        <f>RTD("nest.scriprtd",,"bse_cm|9TCAP28","Bid Rate")</f>
        <v>985.2</v>
      </c>
      <c r="F545">
        <f>RTD("nest.scriprtd",,"bse_cm|9TCAP28","Ask Rate")</f>
        <v>1200</v>
      </c>
      <c r="G545">
        <f>RTD("nest.scriprtd",,"bse_cm|9TCAP28","Ask Qty")</f>
        <v>120</v>
      </c>
      <c r="H545">
        <f>RTD("nest.scriprtd",,"bse_cm|9TCAP28","LTP")</f>
        <v>0</v>
      </c>
      <c r="I545" t="str">
        <f>RTD("nest.scriprtd",,"bse_cm|9TCAP28","LTT")</f>
        <v>00:00:00</v>
      </c>
      <c r="J545">
        <f>RTD("nest.scriprtd",,"bse_cm|9TCAP28","% Change")</f>
        <v>-100</v>
      </c>
      <c r="K545">
        <f>RTD("nest.scriprtd",,"bse_cm|9TCAP28","ATP")</f>
        <v>0</v>
      </c>
      <c r="L545">
        <f>RTD("nest.scriprtd",,"bse_cm|9TCAP28","Volume Traded Today")</f>
        <v>0</v>
      </c>
      <c r="M545">
        <f>RTD("nest.scriprtd",,"bse_cm|9TCAP28","Open")</f>
        <v>0</v>
      </c>
      <c r="N545">
        <f>RTD("nest.scriprtd",,"bse_cm|9TCAP28","High")</f>
        <v>1200</v>
      </c>
      <c r="O545">
        <f>RTD("nest.scriprtd",,"bse_cm|9TCAP28","Low ")</f>
        <v>1200</v>
      </c>
      <c r="P545">
        <f>RTD("nest.scriprtd",,"bse_cm|9TCAP28","Prev Close")</f>
        <v>1200</v>
      </c>
      <c r="Q545">
        <f>RTD("nest.scriprtd",,"bse_cm|9TCAP28","Face Value")</f>
        <v>1000</v>
      </c>
      <c r="R545" t="str">
        <f>RTD("nest.scriprtd",,"bse_cm|9TCAP28","Isin code")</f>
        <v>INE306N08284</v>
      </c>
      <c r="S545" s="9">
        <f>Table1[[#This Row],[Ask Rate]]*Table1[[#This Row],[Ask Qty]]</f>
        <v>144000</v>
      </c>
      <c r="T545">
        <f>VLOOKUP(Table1[[#This Row],[Isin code]],Table2[#All],7,FALSE)</f>
        <v>9</v>
      </c>
      <c r="U545" s="17" t="str">
        <f>VLOOKUP(Table1[[#This Row],[Isin code]],Table2[#All],8,FALSE)</f>
        <v>27-Sep-2028</v>
      </c>
      <c r="V545" s="10">
        <f ca="1">Table1[[#This Row],[Maturity]]-TODAY()</f>
        <v>1442</v>
      </c>
      <c r="W545" t="str">
        <f>VLOOKUP(Table1[[#This Row],[Isin code]],Table2[#All],10,FALSE)</f>
        <v>Yearly</v>
      </c>
      <c r="X545">
        <f ca="1">_xlfn.DAYS(Table1[[#This Row],[Maturity]],TODAY())-15</f>
        <v>1427</v>
      </c>
      <c r="Y5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45">
        <f>IF(Table1[[#This Row],[Ask Rate]]=0,0,Table1[[#This Row],[Face Value]]-Table1[[#This Row],[Ask Rate]])</f>
        <v>-200</v>
      </c>
      <c r="AA545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545">
        <f ca="1">Table1[[#This Row],[Face Value]]*Table1[[#This Row],[Rate]]*Table1[[#This Row],[Time]]</f>
        <v>360</v>
      </c>
      <c r="AC545">
        <f ca="1">Table1[[#This Row],[SI]]+Table1[[#This Row],[Disc/Prem]]</f>
        <v>160</v>
      </c>
      <c r="AD545" s="3">
        <f ca="1">Table1[[#This Row],[Net Gain]]/Table1[[#This Row],[Ask Rate]]</f>
        <v>0.13333333333333333</v>
      </c>
      <c r="AE545" s="3">
        <f ca="1">IF(Table1[[#This Row],[Ask Qty]]=0,0,Table1[[#This Row],[Gross Yield]]*365/Table1[[#This Row],[Days Left]])</f>
        <v>3.3749422098936659E-2</v>
      </c>
      <c r="AF545" s="9">
        <f ca="1">+Table1[[#This Row],[Net Gain]]*Table1[[#This Row],[Ask Qty]]</f>
        <v>19200</v>
      </c>
      <c r="AG545" t="str">
        <f ca="1">IF(Table1[[#This Row],[YTM]]&gt;0.12,IF(Table1[[#This Row],[Gross Profit]]&gt;10000,"Invest","Review"),"Low YTM")</f>
        <v>Low YTM</v>
      </c>
    </row>
    <row r="546" spans="1:33" x14ac:dyDescent="0.3">
      <c r="A546" t="str">
        <f>RTD("nest.scriprtd",,"bse_cm|739NHAI31A","Symbol")</f>
        <v>739NHAI31A</v>
      </c>
      <c r="B546" t="str">
        <f>RTD("nest.scriprtd",,"bse_cm|739NHAI31A","Trading Symbol")</f>
        <v>739NHAI31A</v>
      </c>
      <c r="C546" t="str">
        <f>RTD("nest.scriprtd",,"bse_cm|739NHAI31A","Exchange")</f>
        <v>BSE</v>
      </c>
      <c r="D546">
        <f>RTD("nest.scriprtd",,"bse_cm|739NHAI31A","Bid Qty")</f>
        <v>100</v>
      </c>
      <c r="E546">
        <f>RTD("nest.scriprtd",,"bse_cm|739NHAI31A","Bid Rate")</f>
        <v>1095.0999999999999</v>
      </c>
      <c r="F546">
        <f>RTD("nest.scriprtd",,"bse_cm|739NHAI31A","Ask Rate")</f>
        <v>1247.99</v>
      </c>
      <c r="G546">
        <f>RTD("nest.scriprtd",,"bse_cm|739NHAI31A","Ask Qty")</f>
        <v>25</v>
      </c>
      <c r="H546">
        <f>RTD("nest.scriprtd",,"bse_cm|739NHAI31A","LTP")</f>
        <v>1095</v>
      </c>
      <c r="I546" t="str">
        <f>RTD("nest.scriprtd",,"bse_cm|739NHAI31A","LTT")</f>
        <v>09:50:54</v>
      </c>
      <c r="J546">
        <f>RTD("nest.scriprtd",,"bse_cm|739NHAI31A","% Change")</f>
        <v>-7.98</v>
      </c>
      <c r="K546">
        <f>RTD("nest.scriprtd",,"bse_cm|739NHAI31A","ATP")</f>
        <v>1095</v>
      </c>
      <c r="L546">
        <f>RTD("nest.scriprtd",,"bse_cm|739NHAI31A","Volume Traded Today")</f>
        <v>40</v>
      </c>
      <c r="M546">
        <f>RTD("nest.scriprtd",,"bse_cm|739NHAI31A","Open")</f>
        <v>1095</v>
      </c>
      <c r="N546">
        <f>RTD("nest.scriprtd",,"bse_cm|739NHAI31A","High")</f>
        <v>1095</v>
      </c>
      <c r="O546">
        <f>RTD("nest.scriprtd",,"bse_cm|739NHAI31A","Low ")</f>
        <v>1095</v>
      </c>
      <c r="P546">
        <f>RTD("nest.scriprtd",,"bse_cm|739NHAI31A","Prev Close")</f>
        <v>1190</v>
      </c>
      <c r="Q546">
        <f>RTD("nest.scriprtd",,"bse_cm|739NHAI31A","Face Value")</f>
        <v>1000</v>
      </c>
      <c r="R546" t="str">
        <f>RTD("nest.scriprtd",,"bse_cm|739NHAI31A","Isin code")</f>
        <v>INE906B07EO8</v>
      </c>
      <c r="S546" s="9">
        <f>Table1[[#This Row],[Ask Rate]]*Table1[[#This Row],[Ask Qty]]</f>
        <v>31199.75</v>
      </c>
      <c r="T546">
        <f>VLOOKUP(Table1[[#This Row],[Isin code]],Table2[#All],7,FALSE)</f>
        <v>7.39</v>
      </c>
      <c r="U546" s="17" t="str">
        <f>VLOOKUP(Table1[[#This Row],[Isin code]],Table2[#All],8,FALSE)</f>
        <v>09-Mar-2031</v>
      </c>
      <c r="V546" s="10">
        <f ca="1">Table1[[#This Row],[Maturity]]-TODAY()</f>
        <v>2335</v>
      </c>
      <c r="W546" t="str">
        <f>VLOOKUP(Table1[[#This Row],[Isin code]],Table2[#All],10,FALSE)</f>
        <v>Yearly</v>
      </c>
      <c r="X546">
        <f ca="1">_xlfn.DAYS(Table1[[#This Row],[Maturity]],TODAY())-15</f>
        <v>2320</v>
      </c>
      <c r="Y5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546">
        <f>IF(Table1[[#This Row],[Ask Rate]]=0,0,Table1[[#This Row],[Face Value]]-Table1[[#This Row],[Ask Rate]])</f>
        <v>-247.99</v>
      </c>
      <c r="AA546">
        <f>IF(Table1[[#This Row],[Freq]]="Yearly",Table1[[#This Row],[Coupon_Rate]]/100,IF(Table1[[#This Row],[Freq]]="Monthly",Table1[[#This Row],[Coupon_Rate]]/1200,IF(Table1[[#This Row],[Freq]]="Quarterly",Table1[[#This Row],[Coupon_Rate]]/400,0)))</f>
        <v>7.3899999999999993E-2</v>
      </c>
      <c r="AB546">
        <f ca="1">Table1[[#This Row],[Face Value]]*Table1[[#This Row],[Rate]]*Table1[[#This Row],[Time]]</f>
        <v>517.29999999999995</v>
      </c>
      <c r="AC546">
        <f ca="1">Table1[[#This Row],[SI]]+Table1[[#This Row],[Disc/Prem]]</f>
        <v>269.30999999999995</v>
      </c>
      <c r="AD546" s="3">
        <f ca="1">Table1[[#This Row],[Net Gain]]/Table1[[#This Row],[Ask Rate]]</f>
        <v>0.21579499835735858</v>
      </c>
      <c r="AE546" s="3">
        <f ca="1">IF(Table1[[#This Row],[Ask Qty]]=0,0,Table1[[#This Row],[Gross Yield]]*365/Table1[[#This Row],[Days Left]])</f>
        <v>3.3732408736803374E-2</v>
      </c>
      <c r="AF546" s="9">
        <f ca="1">+Table1[[#This Row],[Net Gain]]*Table1[[#This Row],[Ask Qty]]</f>
        <v>6732.7499999999982</v>
      </c>
      <c r="AG546" t="str">
        <f ca="1">IF(Table1[[#This Row],[YTM]]&gt;0.12,IF(Table1[[#This Row],[Gross Profit]]&gt;10000,"Invest","Review"),"Low YTM")</f>
        <v>Low YTM</v>
      </c>
    </row>
    <row r="547" spans="1:33" x14ac:dyDescent="0.3">
      <c r="A547" t="str">
        <f>RTD("nest.scriprtd",,"bse_cm|12ICLFL26","Symbol")</f>
        <v>12ICLFL26</v>
      </c>
      <c r="B547" t="str">
        <f>RTD("nest.scriprtd",,"bse_cm|12ICLFL26","Trading Symbol")</f>
        <v>12ICLFL26</v>
      </c>
      <c r="C547" t="str">
        <f>RTD("nest.scriprtd",,"bse_cm|12ICLFL26","Exchange")</f>
        <v>BSE</v>
      </c>
      <c r="D547">
        <f>RTD("nest.scriprtd",,"bse_cm|12ICLFL26","Bid Qty")</f>
        <v>50</v>
      </c>
      <c r="E547">
        <f>RTD("nest.scriprtd",,"bse_cm|12ICLFL26","Bid Rate")</f>
        <v>950</v>
      </c>
      <c r="F547">
        <f>RTD("nest.scriprtd",,"bse_cm|12ICLFL26","Ask Rate")</f>
        <v>1175</v>
      </c>
      <c r="G547">
        <f>RTD("nest.scriprtd",,"bse_cm|12ICLFL26","Ask Qty")</f>
        <v>1</v>
      </c>
      <c r="H547">
        <f>RTD("nest.scriprtd",,"bse_cm|12ICLFL26","LTP")</f>
        <v>0</v>
      </c>
      <c r="I547" t="str">
        <f>RTD("nest.scriprtd",,"bse_cm|12ICLFL26","LTT")</f>
        <v>00:00:00</v>
      </c>
      <c r="J547">
        <f>RTD("nest.scriprtd",,"bse_cm|12ICLFL26","% Change")</f>
        <v>-100</v>
      </c>
      <c r="K547">
        <f>RTD("nest.scriprtd",,"bse_cm|12ICLFL26","ATP")</f>
        <v>0</v>
      </c>
      <c r="L547">
        <f>RTD("nest.scriprtd",,"bse_cm|12ICLFL26","Volume Traded Today")</f>
        <v>0</v>
      </c>
      <c r="M547">
        <f>RTD("nest.scriprtd",,"bse_cm|12ICLFL26","Open")</f>
        <v>0</v>
      </c>
      <c r="N547">
        <f>RTD("nest.scriprtd",,"bse_cm|12ICLFL26","High")</f>
        <v>979.93</v>
      </c>
      <c r="O547">
        <f>RTD("nest.scriprtd",,"bse_cm|12ICLFL26","Low ")</f>
        <v>979.93</v>
      </c>
      <c r="P547">
        <f>RTD("nest.scriprtd",,"bse_cm|12ICLFL26","Prev Close")</f>
        <v>979.93</v>
      </c>
      <c r="Q547">
        <f>RTD("nest.scriprtd",,"bse_cm|12ICLFL26","Face Value")</f>
        <v>1000</v>
      </c>
      <c r="R547" t="str">
        <f>RTD("nest.scriprtd",,"bse_cm|12ICLFL26","Isin code")</f>
        <v>INE01CY077B7</v>
      </c>
      <c r="S547" s="9">
        <f>Table1[[#This Row],[Ask Rate]]*Table1[[#This Row],[Ask Qty]]</f>
        <v>1175</v>
      </c>
      <c r="T547">
        <f>VLOOKUP(Table1[[#This Row],[Isin code]],Table2[#All],7,FALSE)</f>
        <v>12</v>
      </c>
      <c r="U547" s="17" t="str">
        <f>VLOOKUP(Table1[[#This Row],[Isin code]],Table2[#All],8,FALSE)</f>
        <v>14-Dec-2026</v>
      </c>
      <c r="V547" s="10">
        <f ca="1">Table1[[#This Row],[Maturity]]-TODAY()</f>
        <v>789</v>
      </c>
      <c r="W547" t="str">
        <f>VLOOKUP(Table1[[#This Row],[Isin code]],Table2[#All],10,FALSE)</f>
        <v>MONTHLY</v>
      </c>
      <c r="X547">
        <f ca="1">_xlfn.DAYS(Table1[[#This Row],[Maturity]],TODAY())-15</f>
        <v>774</v>
      </c>
      <c r="Y5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26</v>
      </c>
      <c r="Z547">
        <f>IF(Table1[[#This Row],[Ask Rate]]=0,0,Table1[[#This Row],[Face Value]]-Table1[[#This Row],[Ask Rate]])</f>
        <v>-175</v>
      </c>
      <c r="AA547">
        <f>IF(Table1[[#This Row],[Freq]]="Yearly",Table1[[#This Row],[Coupon_Rate]]/100,IF(Table1[[#This Row],[Freq]]="Monthly",Table1[[#This Row],[Coupon_Rate]]/1200,IF(Table1[[#This Row],[Freq]]="Quarterly",Table1[[#This Row],[Coupon_Rate]]/400,0)))</f>
        <v>0.01</v>
      </c>
      <c r="AB547">
        <f ca="1">Table1[[#This Row],[Face Value]]*Table1[[#This Row],[Rate]]*Table1[[#This Row],[Time]]</f>
        <v>260</v>
      </c>
      <c r="AC547">
        <f ca="1">Table1[[#This Row],[SI]]+Table1[[#This Row],[Disc/Prem]]</f>
        <v>85</v>
      </c>
      <c r="AD547" s="3">
        <f ca="1">Table1[[#This Row],[Net Gain]]/Table1[[#This Row],[Ask Rate]]</f>
        <v>7.2340425531914887E-2</v>
      </c>
      <c r="AE547" s="3">
        <f ca="1">IF(Table1[[#This Row],[Ask Qty]]=0,0,Table1[[#This Row],[Gross Yield]]*365/Table1[[#This Row],[Days Left]])</f>
        <v>3.34654693525335E-2</v>
      </c>
      <c r="AF547" s="9">
        <f ca="1">+Table1[[#This Row],[Net Gain]]*Table1[[#This Row],[Ask Qty]]</f>
        <v>85</v>
      </c>
      <c r="AG547" t="str">
        <f ca="1">IF(Table1[[#This Row],[YTM]]&gt;0.12,IF(Table1[[#This Row],[Gross Profit]]&gt;10000,"Invest","Review"),"Low YTM")</f>
        <v>Low YTM</v>
      </c>
    </row>
    <row r="548" spans="1:33" x14ac:dyDescent="0.3">
      <c r="A548" t="str">
        <f>RTD("nest.scriprtd",,"nse_cm|846REC28-N6","Symbol")</f>
        <v>846REC28</v>
      </c>
      <c r="B548" t="str">
        <f>RTD("nest.scriprtd",,"nse_cm|846REC28-N6","Trading Symbol")</f>
        <v>846REC28-N6</v>
      </c>
      <c r="C548" t="str">
        <f>RTD("nest.scriprtd",,"nse_cm|846REC28-N6","Exchange")</f>
        <v>NSE</v>
      </c>
      <c r="D548">
        <f>RTD("nest.scriprtd",,"nse_cm|846REC28-N6","Bid Qty")</f>
        <v>100</v>
      </c>
      <c r="E548">
        <f>RTD("nest.scriprtd",,"nse_cm|846REC28-N6","Bid Rate")</f>
        <v>1164.3</v>
      </c>
      <c r="F548">
        <f>RTD("nest.scriprtd",,"nse_cm|846REC28-N6","Ask Rate")</f>
        <v>1184</v>
      </c>
      <c r="G548">
        <f>RTD("nest.scriprtd",,"nse_cm|846REC28-N6","Ask Qty")</f>
        <v>500</v>
      </c>
      <c r="H548">
        <f>RTD("nest.scriprtd",,"nse_cm|846REC28-N6","LTP")</f>
        <v>1183.9000000000001</v>
      </c>
      <c r="I548" t="str">
        <f>RTD("nest.scriprtd",,"nse_cm|846REC28-N6","LTT")</f>
        <v/>
      </c>
      <c r="J548">
        <f>RTD("nest.scriprtd",,"nse_cm|846REC28-N6","% Change")</f>
        <v>0</v>
      </c>
      <c r="K548">
        <f>RTD("nest.scriprtd",,"nse_cm|846REC28-N6","ATP")</f>
        <v>0</v>
      </c>
      <c r="L548">
        <f>RTD("nest.scriprtd",,"nse_cm|846REC28-N6","Volume Traded Today")</f>
        <v>0</v>
      </c>
      <c r="M548">
        <f>RTD("nest.scriprtd",,"nse_cm|846REC28-N6","Open")</f>
        <v>0</v>
      </c>
      <c r="N548">
        <f>RTD("nest.scriprtd",,"nse_cm|846REC28-N6","High")</f>
        <v>1183.9000000000001</v>
      </c>
      <c r="O548">
        <f>RTD("nest.scriprtd",,"nse_cm|846REC28-N6","Low ")</f>
        <v>1175</v>
      </c>
      <c r="P548">
        <f>RTD("nest.scriprtd",,"nse_cm|846REC28-N6","Prev Close")</f>
        <v>1183.9000000000001</v>
      </c>
      <c r="Q548">
        <f>RTD("nest.scriprtd",,"nse_cm|846REC28-N6","Face Value")</f>
        <v>1000</v>
      </c>
      <c r="R548" t="str">
        <f>RTD("nest.scriprtd",,"nse_cm|846REC28-N6","Isin code")</f>
        <v>INE020B07HP8</v>
      </c>
      <c r="S548" s="9">
        <f>Table1[[#This Row],[Ask Rate]]*Table1[[#This Row],[Ask Qty]]</f>
        <v>592000</v>
      </c>
      <c r="T548">
        <f>VLOOKUP(Table1[[#This Row],[Isin code]],Table2[#All],7,FALSE)</f>
        <v>8.4600000000000009</v>
      </c>
      <c r="U548" s="17" t="str">
        <f>VLOOKUP(Table1[[#This Row],[Isin code]],Table2[#All],8,FALSE)</f>
        <v>24-Sep-2028</v>
      </c>
      <c r="V548" s="10">
        <f ca="1">Table1[[#This Row],[Maturity]]-TODAY()</f>
        <v>1439</v>
      </c>
      <c r="W548" t="str">
        <f>VLOOKUP(Table1[[#This Row],[Isin code]],Table2[#All],10,FALSE)</f>
        <v>Yearly</v>
      </c>
      <c r="X548">
        <f ca="1">_xlfn.DAYS(Table1[[#This Row],[Maturity]],TODAY())-15</f>
        <v>1424</v>
      </c>
      <c r="Y5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48">
        <f>IF(Table1[[#This Row],[Ask Rate]]=0,0,Table1[[#This Row],[Face Value]]-Table1[[#This Row],[Ask Rate]])</f>
        <v>-184</v>
      </c>
      <c r="AA548">
        <f>IF(Table1[[#This Row],[Freq]]="Yearly",Table1[[#This Row],[Coupon_Rate]]/100,IF(Table1[[#This Row],[Freq]]="Monthly",Table1[[#This Row],[Coupon_Rate]]/1200,IF(Table1[[#This Row],[Freq]]="Quarterly",Table1[[#This Row],[Coupon_Rate]]/400,0)))</f>
        <v>8.4600000000000009E-2</v>
      </c>
      <c r="AB548">
        <f ca="1">Table1[[#This Row],[Face Value]]*Table1[[#This Row],[Rate]]*Table1[[#This Row],[Time]]</f>
        <v>338.40000000000003</v>
      </c>
      <c r="AC548">
        <f ca="1">Table1[[#This Row],[SI]]+Table1[[#This Row],[Disc/Prem]]</f>
        <v>154.40000000000003</v>
      </c>
      <c r="AD548" s="3">
        <f ca="1">Table1[[#This Row],[Net Gain]]/Table1[[#This Row],[Ask Rate]]</f>
        <v>0.13040540540540543</v>
      </c>
      <c r="AE548" s="3">
        <f ca="1">IF(Table1[[#This Row],[Ask Qty]]=0,0,Table1[[#This Row],[Gross Yield]]*365/Table1[[#This Row],[Days Left]])</f>
        <v>3.3077118118813746E-2</v>
      </c>
      <c r="AF548" s="9">
        <f ca="1">+Table1[[#This Row],[Net Gain]]*Table1[[#This Row],[Ask Qty]]</f>
        <v>77200.000000000015</v>
      </c>
      <c r="AG548" t="str">
        <f ca="1">IF(Table1[[#This Row],[YTM]]&gt;0.12,IF(Table1[[#This Row],[Gross Profit]]&gt;10000,"Invest","Review"),"Low YTM")</f>
        <v>Low YTM</v>
      </c>
    </row>
    <row r="549" spans="1:33" x14ac:dyDescent="0.3">
      <c r="A549" t="str">
        <f>RTD("nest.scriprtd",,"bse_cm|718REC35","Symbol")</f>
        <v>718REC35</v>
      </c>
      <c r="B549" t="str">
        <f>RTD("nest.scriprtd",,"bse_cm|718REC35","Trading Symbol")</f>
        <v>718REC35</v>
      </c>
      <c r="C549" t="str">
        <f>RTD("nest.scriprtd",,"bse_cm|718REC35","Exchange")</f>
        <v>BSE</v>
      </c>
      <c r="D549">
        <f>RTD("nest.scriprtd",,"bse_cm|718REC35","Bid Qty")</f>
        <v>100</v>
      </c>
      <c r="E549">
        <f>RTD("nest.scriprtd",,"bse_cm|718REC35","Bid Rate")</f>
        <v>1177.0999999999999</v>
      </c>
      <c r="F549">
        <f>RTD("nest.scriprtd",,"bse_cm|718REC35","Ask Rate")</f>
        <v>1380</v>
      </c>
      <c r="G549">
        <f>RTD("nest.scriprtd",,"bse_cm|718REC35","Ask Qty")</f>
        <v>500</v>
      </c>
      <c r="H549">
        <f>RTD("nest.scriprtd",,"bse_cm|718REC35","LTP")</f>
        <v>0</v>
      </c>
      <c r="I549" t="str">
        <f>RTD("nest.scriprtd",,"bse_cm|718REC35","LTT")</f>
        <v>00:00:00</v>
      </c>
      <c r="J549">
        <f>RTD("nest.scriprtd",,"bse_cm|718REC35","% Change")</f>
        <v>-100</v>
      </c>
      <c r="K549">
        <f>RTD("nest.scriprtd",,"bse_cm|718REC35","ATP")</f>
        <v>0</v>
      </c>
      <c r="L549">
        <f>RTD("nest.scriprtd",,"bse_cm|718REC35","Volume Traded Today")</f>
        <v>0</v>
      </c>
      <c r="M549">
        <f>RTD("nest.scriprtd",,"bse_cm|718REC35","Open")</f>
        <v>0</v>
      </c>
      <c r="N549">
        <f>RTD("nest.scriprtd",,"bse_cm|718REC35","High")</f>
        <v>1150.0999999999999</v>
      </c>
      <c r="O549">
        <f>RTD("nest.scriprtd",,"bse_cm|718REC35","Low ")</f>
        <v>1150.0999999999999</v>
      </c>
      <c r="P549">
        <f>RTD("nest.scriprtd",,"bse_cm|718REC35","Prev Close")</f>
        <v>1150.0999999999999</v>
      </c>
      <c r="Q549">
        <f>RTD("nest.scriprtd",,"bse_cm|718REC35","Face Value")</f>
        <v>1000</v>
      </c>
      <c r="R549" t="str">
        <f>RTD("nest.scriprtd",,"bse_cm|718REC35","Isin code")</f>
        <v>INE020B07JT6</v>
      </c>
      <c r="S549" s="9">
        <f>Table1[[#This Row],[Ask Rate]]*Table1[[#This Row],[Ask Qty]]</f>
        <v>690000</v>
      </c>
      <c r="T549">
        <f>VLOOKUP(Table1[[#This Row],[Isin code]],Table2[#All],7,FALSE)</f>
        <v>7.1800000000000006</v>
      </c>
      <c r="U549" s="17" t="str">
        <f>VLOOKUP(Table1[[#This Row],[Isin code]],Table2[#All],8,FALSE)</f>
        <v>05-Nov-2035</v>
      </c>
      <c r="V549" s="10">
        <f ca="1">Table1[[#This Row],[Maturity]]-TODAY()</f>
        <v>4037</v>
      </c>
      <c r="W549" t="str">
        <f>VLOOKUP(Table1[[#This Row],[Isin code]],Table2[#All],10,FALSE)</f>
        <v>Yearly</v>
      </c>
      <c r="X549">
        <f ca="1">_xlfn.DAYS(Table1[[#This Row],[Maturity]],TODAY())-15</f>
        <v>4022</v>
      </c>
      <c r="Y5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549">
        <f>IF(Table1[[#This Row],[Ask Rate]]=0,0,Table1[[#This Row],[Face Value]]-Table1[[#This Row],[Ask Rate]])</f>
        <v>-380</v>
      </c>
      <c r="AA549">
        <f>IF(Table1[[#This Row],[Freq]]="Yearly",Table1[[#This Row],[Coupon_Rate]]/100,IF(Table1[[#This Row],[Freq]]="Monthly",Table1[[#This Row],[Coupon_Rate]]/1200,IF(Table1[[#This Row],[Freq]]="Quarterly",Table1[[#This Row],[Coupon_Rate]]/400,0)))</f>
        <v>7.1800000000000003E-2</v>
      </c>
      <c r="AB549">
        <f ca="1">Table1[[#This Row],[Face Value]]*Table1[[#This Row],[Rate]]*Table1[[#This Row],[Time]]</f>
        <v>861.59999999999991</v>
      </c>
      <c r="AC549">
        <f ca="1">Table1[[#This Row],[SI]]+Table1[[#This Row],[Disc/Prem]]</f>
        <v>481.59999999999991</v>
      </c>
      <c r="AD549" s="3">
        <f ca="1">Table1[[#This Row],[Net Gain]]/Table1[[#This Row],[Ask Rate]]</f>
        <v>0.34898550724637672</v>
      </c>
      <c r="AE549" s="3">
        <f ca="1">IF(Table1[[#This Row],[Ask Qty]]=0,0,Table1[[#This Row],[Gross Yield]]*365/Table1[[#This Row],[Days Left]])</f>
        <v>3.1553061715364754E-2</v>
      </c>
      <c r="AF549" s="9">
        <f ca="1">+Table1[[#This Row],[Net Gain]]*Table1[[#This Row],[Ask Qty]]</f>
        <v>240799.99999999994</v>
      </c>
      <c r="AG549" t="str">
        <f ca="1">IF(Table1[[#This Row],[YTM]]&gt;0.12,IF(Table1[[#This Row],[Gross Profit]]&gt;10000,"Invest","Review"),"Low YTM")</f>
        <v>Low YTM</v>
      </c>
    </row>
    <row r="550" spans="1:33" x14ac:dyDescent="0.3">
      <c r="A550" t="str">
        <f>RTD("nest.scriprtd",,"nse_cm|867PFCL33-N7","Symbol")</f>
        <v>867PFCL33</v>
      </c>
      <c r="B550" t="str">
        <f>RTD("nest.scriprtd",,"nse_cm|867PFCL33-N7","Trading Symbol")</f>
        <v>867PFCL33-N7</v>
      </c>
      <c r="C550" t="str">
        <f>RTD("nest.scriprtd",,"nse_cm|867PFCL33-N7","Exchange")</f>
        <v>NSE</v>
      </c>
      <c r="D550">
        <f>RTD("nest.scriprtd",,"nse_cm|867PFCL33-N7","Bid Qty")</f>
        <v>100</v>
      </c>
      <c r="E550">
        <f>RTD("nest.scriprtd",,"nse_cm|867PFCL33-N7","Bid Rate")</f>
        <v>1281.0999999999999</v>
      </c>
      <c r="F550">
        <f>RTD("nest.scriprtd",,"nse_cm|867PFCL33-N7","Ask Rate")</f>
        <v>1460</v>
      </c>
      <c r="G550">
        <f>RTD("nest.scriprtd",,"nse_cm|867PFCL33-N7","Ask Qty")</f>
        <v>75</v>
      </c>
      <c r="H550">
        <f>RTD("nest.scriprtd",,"nse_cm|867PFCL33-N7","LTP")</f>
        <v>1217</v>
      </c>
      <c r="I550" t="str">
        <f>RTD("nest.scriprtd",,"nse_cm|867PFCL33-N7","LTT")</f>
        <v/>
      </c>
      <c r="J550">
        <f>RTD("nest.scriprtd",,"nse_cm|867PFCL33-N7","% Change")</f>
        <v>0</v>
      </c>
      <c r="K550">
        <f>RTD("nest.scriprtd",,"nse_cm|867PFCL33-N7","ATP")</f>
        <v>0</v>
      </c>
      <c r="L550">
        <f>RTD("nest.scriprtd",,"nse_cm|867PFCL33-N7","Volume Traded Today")</f>
        <v>0</v>
      </c>
      <c r="M550">
        <f>RTD("nest.scriprtd",,"nse_cm|867PFCL33-N7","Open")</f>
        <v>0</v>
      </c>
      <c r="N550">
        <f>RTD("nest.scriprtd",,"nse_cm|867PFCL33-N7","High")</f>
        <v>1217</v>
      </c>
      <c r="O550">
        <f>RTD("nest.scriprtd",,"nse_cm|867PFCL33-N7","Low ")</f>
        <v>1217</v>
      </c>
      <c r="P550">
        <f>RTD("nest.scriprtd",,"nse_cm|867PFCL33-N7","Prev Close")</f>
        <v>1217</v>
      </c>
      <c r="Q550">
        <f>RTD("nest.scriprtd",,"nse_cm|867PFCL33-N7","Face Value")</f>
        <v>1000</v>
      </c>
      <c r="R550" t="str">
        <f>RTD("nest.scriprtd",,"nse_cm|867PFCL33-N7","Isin code")</f>
        <v>INE134E07455</v>
      </c>
      <c r="S550" s="9">
        <f>Table1[[#This Row],[Ask Rate]]*Table1[[#This Row],[Ask Qty]]</f>
        <v>109500</v>
      </c>
      <c r="T550">
        <f>VLOOKUP(Table1[[#This Row],[Isin code]],Table2[#All],7,FALSE)</f>
        <v>8.67</v>
      </c>
      <c r="U550" s="17">
        <f>VLOOKUP(Table1[[#This Row],[Isin code]],Table2[#All],8,FALSE)</f>
        <v>48899</v>
      </c>
      <c r="V550" s="10">
        <f ca="1">Table1[[#This Row],[Maturity]]-TODAY()</f>
        <v>3318</v>
      </c>
      <c r="W550" t="str">
        <f>VLOOKUP(Table1[[#This Row],[Isin code]],Table2[#All],10,FALSE)</f>
        <v>Yearly</v>
      </c>
      <c r="X550">
        <f ca="1">_xlfn.DAYS(Table1[[#This Row],[Maturity]],TODAY())-15</f>
        <v>3303</v>
      </c>
      <c r="Y5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50">
        <f>IF(Table1[[#This Row],[Ask Rate]]=0,0,Table1[[#This Row],[Face Value]]-Table1[[#This Row],[Ask Rate]])</f>
        <v>-460</v>
      </c>
      <c r="AA550">
        <f>IF(Table1[[#This Row],[Freq]]="Yearly",Table1[[#This Row],[Coupon_Rate]]/100,IF(Table1[[#This Row],[Freq]]="Monthly",Table1[[#This Row],[Coupon_Rate]]/1200,IF(Table1[[#This Row],[Freq]]="Quarterly",Table1[[#This Row],[Coupon_Rate]]/400,0)))</f>
        <v>8.6699999999999999E-2</v>
      </c>
      <c r="AB550">
        <f ca="1">Table1[[#This Row],[Face Value]]*Table1[[#This Row],[Rate]]*Table1[[#This Row],[Time]]</f>
        <v>867</v>
      </c>
      <c r="AC550">
        <f ca="1">Table1[[#This Row],[SI]]+Table1[[#This Row],[Disc/Prem]]</f>
        <v>407</v>
      </c>
      <c r="AD550" s="3">
        <f ca="1">Table1[[#This Row],[Net Gain]]/Table1[[#This Row],[Ask Rate]]</f>
        <v>0.27876712328767123</v>
      </c>
      <c r="AE550" s="3">
        <f ca="1">IF(Table1[[#This Row],[Ask Qty]]=0,0,Table1[[#This Row],[Gross Yield]]*365/Table1[[#This Row],[Days Left]])</f>
        <v>3.0666063893911997E-2</v>
      </c>
      <c r="AF550" s="9">
        <f ca="1">+Table1[[#This Row],[Net Gain]]*Table1[[#This Row],[Ask Qty]]</f>
        <v>30525</v>
      </c>
      <c r="AG550" t="str">
        <f ca="1">IF(Table1[[#This Row],[YTM]]&gt;0.12,IF(Table1[[#This Row],[Gross Profit]]&gt;10000,"Invest","Review"),"Low YTM")</f>
        <v>Low YTM</v>
      </c>
    </row>
    <row r="551" spans="1:33" x14ac:dyDescent="0.3">
      <c r="A551" t="str">
        <f>RTD("nest.scriprtd",,"bse_cm|KFL070824","Symbol")</f>
        <v>KFL070824</v>
      </c>
      <c r="B551" t="str">
        <f>RTD("nest.scriprtd",,"bse_cm|KFL070824","Trading Symbol")</f>
        <v>KFL070824</v>
      </c>
      <c r="C551" t="str">
        <f>RTD("nest.scriprtd",,"bse_cm|KFL070824","Exchange")</f>
        <v>BSE</v>
      </c>
      <c r="D551">
        <f>RTD("nest.scriprtd",,"bse_cm|KFL070824","Bid Qty")</f>
        <v>20</v>
      </c>
      <c r="E551">
        <f>RTD("nest.scriprtd",,"bse_cm|KFL070824","Bid Rate")</f>
        <v>901</v>
      </c>
      <c r="F551">
        <f>RTD("nest.scriprtd",,"bse_cm|KFL070824","Ask Rate")</f>
        <v>963</v>
      </c>
      <c r="G551">
        <f>RTD("nest.scriprtd",,"bse_cm|KFL070824","Ask Qty")</f>
        <v>10</v>
      </c>
      <c r="H551">
        <f>RTD("nest.scriprtd",,"bse_cm|KFL070824","LTP")</f>
        <v>945.01</v>
      </c>
      <c r="I551" t="str">
        <f>RTD("nest.scriprtd",,"bse_cm|KFL070824","LTT")</f>
        <v>09:54:37</v>
      </c>
      <c r="J551">
        <f>RTD("nest.scriprtd",,"bse_cm|KFL070824","% Change")</f>
        <v>0</v>
      </c>
      <c r="K551">
        <f>RTD("nest.scriprtd",,"bse_cm|KFL070824","ATP")</f>
        <v>945.01</v>
      </c>
      <c r="L551">
        <f>RTD("nest.scriprtd",,"bse_cm|KFL070824","Volume Traded Today")</f>
        <v>1</v>
      </c>
      <c r="M551">
        <f>RTD("nest.scriprtd",,"bse_cm|KFL070824","Open")</f>
        <v>945.01</v>
      </c>
      <c r="N551">
        <f>RTD("nest.scriprtd",,"bse_cm|KFL070824","High")</f>
        <v>945.01</v>
      </c>
      <c r="O551">
        <f>RTD("nest.scriprtd",,"bse_cm|KFL070824","Low ")</f>
        <v>945.01</v>
      </c>
      <c r="P551">
        <f>RTD("nest.scriprtd",,"bse_cm|KFL070824","Prev Close")</f>
        <v>945.01</v>
      </c>
      <c r="Q551">
        <f>RTD("nest.scriprtd",,"bse_cm|KFL070824","Face Value")</f>
        <v>1000</v>
      </c>
      <c r="R551" t="str">
        <f>RTD("nest.scriprtd",,"bse_cm|KFL070824","Isin code")</f>
        <v>INE403Q07EN6</v>
      </c>
      <c r="S551" s="9">
        <f>Table1[[#This Row],[Ask Rate]]*Table1[[#This Row],[Ask Qty]]</f>
        <v>9630</v>
      </c>
      <c r="T551" t="str">
        <f>VLOOKUP(Table1[[#This Row],[Isin code]],Table2[#All],7,FALSE)</f>
        <v>--</v>
      </c>
      <c r="U551" s="17" t="str">
        <f>VLOOKUP(Table1[[#This Row],[Isin code]],Table2[#All],8,FALSE)</f>
        <v>06-Feb-2026</v>
      </c>
      <c r="V551" s="10">
        <f ca="1">Table1[[#This Row],[Maturity]]-TODAY()</f>
        <v>478</v>
      </c>
      <c r="W551" t="str">
        <f>VLOOKUP(Table1[[#This Row],[Isin code]],Table2[#All],10,FALSE)</f>
        <v>CUMULATIVE</v>
      </c>
      <c r="X551">
        <f ca="1">_xlfn.DAYS(Table1[[#This Row],[Maturity]],TODAY())-15</f>
        <v>463</v>
      </c>
      <c r="Y55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51">
        <f>IF(Table1[[#This Row],[Ask Rate]]=0,0,Table1[[#This Row],[Face Value]]-Table1[[#This Row],[Ask Rate]])</f>
        <v>37</v>
      </c>
      <c r="AA55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51">
        <f>Table1[[#This Row],[Face Value]]*Table1[[#This Row],[Rate]]*Table1[[#This Row],[Time]]</f>
        <v>0</v>
      </c>
      <c r="AC551">
        <f>Table1[[#This Row],[SI]]+Table1[[#This Row],[Disc/Prem]]</f>
        <v>37</v>
      </c>
      <c r="AD551" s="3">
        <f>Table1[[#This Row],[Net Gain]]/Table1[[#This Row],[Ask Rate]]</f>
        <v>3.8421599169262723E-2</v>
      </c>
      <c r="AE551" s="3">
        <f ca="1">IF(Table1[[#This Row],[Ask Qty]]=0,0,Table1[[#This Row],[Gross Yield]]*365/Table1[[#This Row],[Days Left]])</f>
        <v>2.9338668821717352E-2</v>
      </c>
      <c r="AF551" s="9">
        <f>+Table1[[#This Row],[Net Gain]]*Table1[[#This Row],[Ask Qty]]</f>
        <v>370</v>
      </c>
      <c r="AG551" t="str">
        <f ca="1">IF(Table1[[#This Row],[YTM]]&gt;0.12,IF(Table1[[#This Row],[Gross Profit]]&gt;10000,"Invest","Review"),"Low YTM")</f>
        <v>Low YTM</v>
      </c>
    </row>
    <row r="552" spans="1:33" hidden="1" x14ac:dyDescent="0.3">
      <c r="A552" t="str">
        <f>RTD("nest.scriprtd",,"bse_cm|975MFL24BB","Symbol")</f>
        <v>975MFL24BB</v>
      </c>
      <c r="B552" t="str">
        <f>RTD("nest.scriprtd",,"bse_cm|975MFL24BB","Trading Symbol")</f>
        <v>975MFL24BB</v>
      </c>
      <c r="C552" t="str">
        <f>RTD("nest.scriprtd",,"bse_cm|975MFL24BB","Exchange")</f>
        <v>BSE</v>
      </c>
      <c r="D552">
        <f>RTD("nest.scriprtd",,"bse_cm|975MFL24BB","Bid Qty")</f>
        <v>3</v>
      </c>
      <c r="E552">
        <f>RTD("nest.scriprtd",,"bse_cm|975MFL24BB","Bid Rate")</f>
        <v>995.8</v>
      </c>
      <c r="F552">
        <f>RTD("nest.scriprtd",,"bse_cm|975MFL24BB","Ask Rate")</f>
        <v>1011</v>
      </c>
      <c r="G552">
        <f>RTD("nest.scriprtd",,"bse_cm|975MFL24BB","Ask Qty")</f>
        <v>350</v>
      </c>
      <c r="H552">
        <f>RTD("nest.scriprtd",,"bse_cm|975MFL24BB","LTP")</f>
        <v>0</v>
      </c>
      <c r="I552" t="str">
        <f>RTD("nest.scriprtd",,"bse_cm|975MFL24BB","LTT")</f>
        <v>00:00:00</v>
      </c>
      <c r="J552">
        <f>RTD("nest.scriprtd",,"bse_cm|975MFL24BB","% Change")</f>
        <v>-100</v>
      </c>
      <c r="K552">
        <f>RTD("nest.scriprtd",,"bse_cm|975MFL24BB","ATP")</f>
        <v>0</v>
      </c>
      <c r="L552">
        <f>RTD("nest.scriprtd",,"bse_cm|975MFL24BB","Volume Traded Today")</f>
        <v>0</v>
      </c>
      <c r="M552">
        <f>RTD("nest.scriprtd",,"bse_cm|975MFL24BB","Open")</f>
        <v>0</v>
      </c>
      <c r="N552">
        <f>RTD("nest.scriprtd",,"bse_cm|975MFL24BB","High")</f>
        <v>1000</v>
      </c>
      <c r="O552">
        <f>RTD("nest.scriprtd",,"bse_cm|975MFL24BB","Low ")</f>
        <v>1000</v>
      </c>
      <c r="P552">
        <f>RTD("nest.scriprtd",,"bse_cm|975MFL24BB","Prev Close")</f>
        <v>1000</v>
      </c>
      <c r="Q552">
        <f>RTD("nest.scriprtd",,"bse_cm|975MFL24BB","Face Value")</f>
        <v>1000</v>
      </c>
      <c r="R552" t="str">
        <f>RTD("nest.scriprtd",,"bse_cm|975MFL24BB","Isin code")</f>
        <v>INE414G07EJ2</v>
      </c>
      <c r="S552" s="9">
        <f>Table1[[#This Row],[Ask Rate]]*Table1[[#This Row],[Ask Qty]]</f>
        <v>353850</v>
      </c>
      <c r="T552">
        <f>VLOOKUP(Table1[[#This Row],[Isin code]],Table2[#All],7,FALSE)</f>
        <v>9.75</v>
      </c>
      <c r="U552" s="17" t="str">
        <f>VLOOKUP(Table1[[#This Row],[Isin code]],Table2[#All],8,FALSE)</f>
        <v>27-Dec-2024</v>
      </c>
      <c r="V552" s="10">
        <f ca="1">Table1[[#This Row],[Maturity]]-TODAY()</f>
        <v>72</v>
      </c>
      <c r="W552" t="str">
        <f>VLOOKUP(Table1[[#This Row],[Isin code]],Table2[#All],10,FALSE)</f>
        <v>Monthly</v>
      </c>
      <c r="X552">
        <f ca="1">_xlfn.DAYS(Table1[[#This Row],[Maturity]],TODAY())-15</f>
        <v>57</v>
      </c>
      <c r="Y5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52">
        <f>IF(Table1[[#This Row],[Ask Rate]]=0,0,Table1[[#This Row],[Face Value]]-Table1[[#This Row],[Ask Rate]])</f>
        <v>-11</v>
      </c>
      <c r="AA552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552">
        <f ca="1">Table1[[#This Row],[Face Value]]*Table1[[#This Row],[Rate]]*Table1[[#This Row],[Time]]</f>
        <v>16.25</v>
      </c>
      <c r="AC552">
        <f ca="1">Table1[[#This Row],[SI]]+Table1[[#This Row],[Disc/Prem]]</f>
        <v>5.25</v>
      </c>
      <c r="AD552" s="3">
        <f ca="1">Table1[[#This Row],[Net Gain]]/Table1[[#This Row],[Ask Rate]]</f>
        <v>5.1928783382789315E-3</v>
      </c>
      <c r="AE552" s="3">
        <f ca="1">IF(Table1[[#This Row],[Ask Qty]]=0,0,Table1[[#This Row],[Gross Yield]]*365/Table1[[#This Row],[Days Left]])</f>
        <v>2.6325008242664025E-2</v>
      </c>
      <c r="AF552" s="9">
        <f ca="1">+Table1[[#This Row],[Net Gain]]*Table1[[#This Row],[Ask Qty]]</f>
        <v>1837.5</v>
      </c>
      <c r="AG552" t="str">
        <f ca="1">IF(Table1[[#This Row],[YTM]]&gt;0.12,IF(Table1[[#This Row],[Gross Profit]]&gt;10000,"Invest","Review"),"Low YTM")</f>
        <v>Low YTM</v>
      </c>
    </row>
    <row r="553" spans="1:33" x14ac:dyDescent="0.3">
      <c r="A553" t="str">
        <f>RTD("nest.scriprtd",,"nse_cm|1003ICCL28-NX","Symbol")</f>
        <v>1003ICCL28</v>
      </c>
      <c r="B553" t="str">
        <f>RTD("nest.scriprtd",,"nse_cm|1003ICCL28-NX","Trading Symbol")</f>
        <v>1003ICCL28-NX</v>
      </c>
      <c r="C553" t="str">
        <f>RTD("nest.scriprtd",,"nse_cm|1003ICCL28-NX","Exchange")</f>
        <v>NSE</v>
      </c>
      <c r="D553">
        <f>RTD("nest.scriprtd",,"nse_cm|1003ICCL28-NX","Bid Qty")</f>
        <v>2</v>
      </c>
      <c r="E553">
        <f>RTD("nest.scriprtd",,"nse_cm|1003ICCL28-NX","Bid Rate")</f>
        <v>904</v>
      </c>
      <c r="F553">
        <f>RTD("nest.scriprtd",,"nse_cm|1003ICCL28-NX","Ask Rate")</f>
        <v>1030</v>
      </c>
      <c r="G553">
        <f>RTD("nest.scriprtd",,"nse_cm|1003ICCL28-NX","Ask Qty")</f>
        <v>10</v>
      </c>
      <c r="H553">
        <f>RTD("nest.scriprtd",,"nse_cm|1003ICCL28-NX","LTP")</f>
        <v>970</v>
      </c>
      <c r="I553" t="str">
        <f>RTD("nest.scriprtd",,"nse_cm|1003ICCL28-NX","LTT")</f>
        <v/>
      </c>
      <c r="J553">
        <f>RTD("nest.scriprtd",,"nse_cm|1003ICCL28-NX","% Change")</f>
        <v>0</v>
      </c>
      <c r="K553">
        <f>RTD("nest.scriprtd",,"nse_cm|1003ICCL28-NX","ATP")</f>
        <v>0</v>
      </c>
      <c r="L553">
        <f>RTD("nest.scriprtd",,"nse_cm|1003ICCL28-NX","Volume Traded Today")</f>
        <v>0</v>
      </c>
      <c r="M553">
        <f>RTD("nest.scriprtd",,"nse_cm|1003ICCL28-NX","Open")</f>
        <v>0</v>
      </c>
      <c r="N553">
        <f>RTD("nest.scriprtd",,"nse_cm|1003ICCL28-NX","High")</f>
        <v>970</v>
      </c>
      <c r="O553">
        <f>RTD("nest.scriprtd",,"nse_cm|1003ICCL28-NX","Low ")</f>
        <v>970</v>
      </c>
      <c r="P553">
        <f>RTD("nest.scriprtd",,"nse_cm|1003ICCL28-NX","Prev Close")</f>
        <v>970</v>
      </c>
      <c r="Q553">
        <f>RTD("nest.scriprtd",,"nse_cm|1003ICCL28-NX","Face Value")</f>
        <v>800</v>
      </c>
      <c r="R553" t="str">
        <f>RTD("nest.scriprtd",,"nse_cm|1003ICCL28-NX","Isin code")</f>
        <v>INE244L07556</v>
      </c>
      <c r="S553" s="9">
        <f>Table1[[#This Row],[Ask Rate]]*Table1[[#This Row],[Ask Qty]]</f>
        <v>10300</v>
      </c>
      <c r="T553">
        <f>VLOOKUP(Table1[[#This Row],[Isin code]],Table2[#All],7,FALSE)</f>
        <v>10.5</v>
      </c>
      <c r="U553" s="17" t="str">
        <f>VLOOKUP(Table1[[#This Row],[Isin code]],Table2[#All],8,FALSE)</f>
        <v>25-Apr-2028</v>
      </c>
      <c r="V553" s="10">
        <f ca="1">Table1[[#This Row],[Maturity]]-TODAY()</f>
        <v>1287</v>
      </c>
      <c r="W553" t="str">
        <f>VLOOKUP(Table1[[#This Row],[Isin code]],Table2[#All],10,FALSE)</f>
        <v>Yearly</v>
      </c>
      <c r="X553">
        <f ca="1">_xlfn.DAYS(Table1[[#This Row],[Maturity]],TODAY())-15</f>
        <v>1272</v>
      </c>
      <c r="Y5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53">
        <f>IF(Table1[[#This Row],[Ask Rate]]=0,0,Table1[[#This Row],[Face Value]]-Table1[[#This Row],[Ask Rate]])</f>
        <v>-230</v>
      </c>
      <c r="AA553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553">
        <f ca="1">Table1[[#This Row],[Face Value]]*Table1[[#This Row],[Rate]]*Table1[[#This Row],[Time]]</f>
        <v>336</v>
      </c>
      <c r="AC553">
        <f ca="1">Table1[[#This Row],[SI]]+Table1[[#This Row],[Disc/Prem]]</f>
        <v>106</v>
      </c>
      <c r="AD553" s="3">
        <f ca="1">Table1[[#This Row],[Net Gain]]/Table1[[#This Row],[Ask Rate]]</f>
        <v>0.1029126213592233</v>
      </c>
      <c r="AE553" s="3">
        <f ca="1">IF(Table1[[#This Row],[Ask Qty]]=0,0,Table1[[#This Row],[Gross Yield]]*365/Table1[[#This Row],[Days Left]])</f>
        <v>2.9186563167145692E-2</v>
      </c>
      <c r="AF553" s="9">
        <f ca="1">+Table1[[#This Row],[Net Gain]]*Table1[[#This Row],[Ask Qty]]</f>
        <v>1060</v>
      </c>
      <c r="AG553" t="str">
        <f ca="1">IF(Table1[[#This Row],[YTM]]&gt;0.12,IF(Table1[[#This Row],[Gross Profit]]&gt;10000,"Invest","Review"),"Low YTM")</f>
        <v>Low YTM</v>
      </c>
    </row>
    <row r="554" spans="1:33" x14ac:dyDescent="0.3">
      <c r="A554" t="str">
        <f>RTD("nest.scriprtd",,"nse_cm|863IRFC29-NC","Symbol")</f>
        <v>863IRFC29</v>
      </c>
      <c r="B554" t="str">
        <f>RTD("nest.scriprtd",,"nse_cm|863IRFC29-NC","Trading Symbol")</f>
        <v>863IRFC29-NC</v>
      </c>
      <c r="C554" t="str">
        <f>RTD("nest.scriprtd",,"nse_cm|863IRFC29-NC","Exchange")</f>
        <v>NSE</v>
      </c>
      <c r="D554">
        <f>RTD("nest.scriprtd",,"nse_cm|863IRFC29-NC","Bid Qty")</f>
        <v>100</v>
      </c>
      <c r="E554">
        <f>RTD("nest.scriprtd",,"nse_cm|863IRFC29-NC","Bid Rate")</f>
        <v>1157.0999999999999</v>
      </c>
      <c r="F554">
        <f>RTD("nest.scriprtd",,"nse_cm|863IRFC29-NC","Ask Rate")</f>
        <v>1268.47</v>
      </c>
      <c r="G554">
        <f>RTD("nest.scriprtd",,"nse_cm|863IRFC29-NC","Ask Qty")</f>
        <v>10</v>
      </c>
      <c r="H554">
        <f>RTD("nest.scriprtd",,"nse_cm|863IRFC29-NC","LTP")</f>
        <v>1269.9000000000001</v>
      </c>
      <c r="I554" t="str">
        <f>RTD("nest.scriprtd",,"nse_cm|863IRFC29-NC","LTT")</f>
        <v/>
      </c>
      <c r="J554">
        <f>RTD("nest.scriprtd",,"nse_cm|863IRFC29-NC","% Change")</f>
        <v>0</v>
      </c>
      <c r="K554">
        <f>RTD("nest.scriprtd",,"nse_cm|863IRFC29-NC","ATP")</f>
        <v>0</v>
      </c>
      <c r="L554">
        <f>RTD("nest.scriprtd",,"nse_cm|863IRFC29-NC","Volume Traded Today")</f>
        <v>0</v>
      </c>
      <c r="M554">
        <f>RTD("nest.scriprtd",,"nse_cm|863IRFC29-NC","Open")</f>
        <v>0</v>
      </c>
      <c r="N554">
        <f>RTD("nest.scriprtd",,"nse_cm|863IRFC29-NC","High")</f>
        <v>1269.9000000000001</v>
      </c>
      <c r="O554">
        <f>RTD("nest.scriprtd",,"nse_cm|863IRFC29-NC","Low ")</f>
        <v>1269.9000000000001</v>
      </c>
      <c r="P554">
        <f>RTD("nest.scriprtd",,"nse_cm|863IRFC29-NC","Prev Close")</f>
        <v>1269.9000000000001</v>
      </c>
      <c r="Q554">
        <f>RTD("nest.scriprtd",,"nse_cm|863IRFC29-NC","Face Value")</f>
        <v>1000</v>
      </c>
      <c r="R554" t="str">
        <f>RTD("nest.scriprtd",,"nse_cm|863IRFC29-NC","Isin code")</f>
        <v>INE053F07728</v>
      </c>
      <c r="S554" s="9">
        <f>Table1[[#This Row],[Ask Rate]]*Table1[[#This Row],[Ask Qty]]</f>
        <v>12684.7</v>
      </c>
      <c r="T554">
        <f>VLOOKUP(Table1[[#This Row],[Isin code]],Table2[#All],7,FALSE)</f>
        <v>8.6300000000000008</v>
      </c>
      <c r="U554" s="17" t="str">
        <f>VLOOKUP(Table1[[#This Row],[Isin code]],Table2[#All],8,FALSE)</f>
        <v>26-Mar-2029</v>
      </c>
      <c r="V554" s="10">
        <f ca="1">Table1[[#This Row],[Maturity]]-TODAY()</f>
        <v>1622</v>
      </c>
      <c r="W554" t="str">
        <f>VLOOKUP(Table1[[#This Row],[Isin code]],Table2[#All],10,FALSE)</f>
        <v>Yearly</v>
      </c>
      <c r="X554">
        <f ca="1">_xlfn.DAYS(Table1[[#This Row],[Maturity]],TODAY())-15</f>
        <v>1607</v>
      </c>
      <c r="Y5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54">
        <f>IF(Table1[[#This Row],[Ask Rate]]=0,0,Table1[[#This Row],[Face Value]]-Table1[[#This Row],[Ask Rate]])</f>
        <v>-268.47000000000003</v>
      </c>
      <c r="AA554">
        <f>IF(Table1[[#This Row],[Freq]]="Yearly",Table1[[#This Row],[Coupon_Rate]]/100,IF(Table1[[#This Row],[Freq]]="Monthly",Table1[[#This Row],[Coupon_Rate]]/1200,IF(Table1[[#This Row],[Freq]]="Quarterly",Table1[[#This Row],[Coupon_Rate]]/400,0)))</f>
        <v>8.6300000000000002E-2</v>
      </c>
      <c r="AB554">
        <f ca="1">Table1[[#This Row],[Face Value]]*Table1[[#This Row],[Rate]]*Table1[[#This Row],[Time]]</f>
        <v>431.5</v>
      </c>
      <c r="AC554">
        <f ca="1">Table1[[#This Row],[SI]]+Table1[[#This Row],[Disc/Prem]]</f>
        <v>163.02999999999997</v>
      </c>
      <c r="AD554" s="3">
        <f ca="1">Table1[[#This Row],[Net Gain]]/Table1[[#This Row],[Ask Rate]]</f>
        <v>0.12852491584349648</v>
      </c>
      <c r="AE554" s="3">
        <f ca="1">IF(Table1[[#This Row],[Ask Qty]]=0,0,Table1[[#This Row],[Gross Yield]]*365/Table1[[#This Row],[Days Left]])</f>
        <v>2.8922067991908888E-2</v>
      </c>
      <c r="AF554" s="9">
        <f ca="1">+Table1[[#This Row],[Net Gain]]*Table1[[#This Row],[Ask Qty]]</f>
        <v>1630.2999999999997</v>
      </c>
      <c r="AG554" t="str">
        <f ca="1">IF(Table1[[#This Row],[YTM]]&gt;0.12,IF(Table1[[#This Row],[Gross Profit]]&gt;10000,"Invest","Review"),"Low YTM")</f>
        <v>Low YTM</v>
      </c>
    </row>
    <row r="555" spans="1:33" x14ac:dyDescent="0.3">
      <c r="A555" t="str">
        <f>RTD("nest.scriprtd",,"nse_cm|866NTPC33-N3","Symbol")</f>
        <v>866NTPC33</v>
      </c>
      <c r="B555" t="str">
        <f>RTD("nest.scriprtd",,"nse_cm|866NTPC33-N3","Trading Symbol")</f>
        <v>866NTPC33-N3</v>
      </c>
      <c r="C555" t="str">
        <f>RTD("nest.scriprtd",,"nse_cm|866NTPC33-N3","Exchange")</f>
        <v>NSE</v>
      </c>
      <c r="D555">
        <f>RTD("nest.scriprtd",,"nse_cm|866NTPC33-N3","Bid Qty")</f>
        <v>100</v>
      </c>
      <c r="E555">
        <f>RTD("nest.scriprtd",,"nse_cm|866NTPC33-N3","Bid Rate")</f>
        <v>1241.0999999999999</v>
      </c>
      <c r="F555">
        <f>RTD("nest.scriprtd",,"nse_cm|866NTPC33-N3","Ask Rate")</f>
        <v>1500</v>
      </c>
      <c r="G555">
        <f>RTD("nest.scriprtd",,"nse_cm|866NTPC33-N3","Ask Qty")</f>
        <v>10</v>
      </c>
      <c r="H555">
        <f>RTD("nest.scriprtd",,"nse_cm|866NTPC33-N3","LTP")</f>
        <v>1305</v>
      </c>
      <c r="I555" t="str">
        <f>RTD("nest.scriprtd",,"nse_cm|866NTPC33-N3","LTT")</f>
        <v/>
      </c>
      <c r="J555">
        <f>RTD("nest.scriprtd",,"nse_cm|866NTPC33-N3","% Change")</f>
        <v>0</v>
      </c>
      <c r="K555">
        <f>RTD("nest.scriprtd",,"nse_cm|866NTPC33-N3","ATP")</f>
        <v>0</v>
      </c>
      <c r="L555">
        <f>RTD("nest.scriprtd",,"nse_cm|866NTPC33-N3","Volume Traded Today")</f>
        <v>0</v>
      </c>
      <c r="M555">
        <f>RTD("nest.scriprtd",,"nse_cm|866NTPC33-N3","Open")</f>
        <v>0</v>
      </c>
      <c r="N555">
        <f>RTD("nest.scriprtd",,"nse_cm|866NTPC33-N3","High")</f>
        <v>1305</v>
      </c>
      <c r="O555">
        <f>RTD("nest.scriprtd",,"nse_cm|866NTPC33-N3","Low ")</f>
        <v>1305</v>
      </c>
      <c r="P555">
        <f>RTD("nest.scriprtd",,"nse_cm|866NTPC33-N3","Prev Close")</f>
        <v>1305</v>
      </c>
      <c r="Q555">
        <f>RTD("nest.scriprtd",,"nse_cm|866NTPC33-N3","Face Value")</f>
        <v>1000</v>
      </c>
      <c r="R555" t="str">
        <f>RTD("nest.scriprtd",,"nse_cm|866NTPC33-N3","Isin code")</f>
        <v>INE733E07JG5</v>
      </c>
      <c r="S555" s="9">
        <f>Table1[[#This Row],[Ask Rate]]*Table1[[#This Row],[Ask Qty]]</f>
        <v>15000</v>
      </c>
      <c r="T555">
        <f>VLOOKUP(Table1[[#This Row],[Isin code]],Table2[#All],7,FALSE)</f>
        <v>8.66</v>
      </c>
      <c r="U555" s="17" t="str">
        <f>VLOOKUP(Table1[[#This Row],[Isin code]],Table2[#All],8,FALSE)</f>
        <v>16-Dec-2033</v>
      </c>
      <c r="V555" s="10">
        <f ca="1">Table1[[#This Row],[Maturity]]-TODAY()</f>
        <v>3348</v>
      </c>
      <c r="W555" t="str">
        <f>VLOOKUP(Table1[[#This Row],[Isin code]],Table2[#All],10,FALSE)</f>
        <v>Yearly</v>
      </c>
      <c r="X555">
        <f ca="1">_xlfn.DAYS(Table1[[#This Row],[Maturity]],TODAY())-15</f>
        <v>3333</v>
      </c>
      <c r="Y5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55">
        <f>IF(Table1[[#This Row],[Ask Rate]]=0,0,Table1[[#This Row],[Face Value]]-Table1[[#This Row],[Ask Rate]])</f>
        <v>-500</v>
      </c>
      <c r="AA555">
        <f>IF(Table1[[#This Row],[Freq]]="Yearly",Table1[[#This Row],[Coupon_Rate]]/100,IF(Table1[[#This Row],[Freq]]="Monthly",Table1[[#This Row],[Coupon_Rate]]/1200,IF(Table1[[#This Row],[Freq]]="Quarterly",Table1[[#This Row],[Coupon_Rate]]/400,0)))</f>
        <v>8.6599999999999996E-2</v>
      </c>
      <c r="AB555">
        <f ca="1">Table1[[#This Row],[Face Value]]*Table1[[#This Row],[Rate]]*Table1[[#This Row],[Time]]</f>
        <v>866</v>
      </c>
      <c r="AC555">
        <f ca="1">Table1[[#This Row],[SI]]+Table1[[#This Row],[Disc/Prem]]</f>
        <v>366</v>
      </c>
      <c r="AD555" s="3">
        <f ca="1">Table1[[#This Row],[Net Gain]]/Table1[[#This Row],[Ask Rate]]</f>
        <v>0.24399999999999999</v>
      </c>
      <c r="AE555" s="3">
        <f ca="1">IF(Table1[[#This Row],[Ask Qty]]=0,0,Table1[[#This Row],[Gross Yield]]*365/Table1[[#This Row],[Days Left]])</f>
        <v>2.6600955794504184E-2</v>
      </c>
      <c r="AF555" s="9">
        <f ca="1">+Table1[[#This Row],[Net Gain]]*Table1[[#This Row],[Ask Qty]]</f>
        <v>3660</v>
      </c>
      <c r="AG555" t="str">
        <f ca="1">IF(Table1[[#This Row],[YTM]]&gt;0.12,IF(Table1[[#This Row],[Gross Profit]]&gt;10000,"Invest","Review"),"Low YTM")</f>
        <v>Low YTM</v>
      </c>
    </row>
    <row r="556" spans="1:33" x14ac:dyDescent="0.3">
      <c r="A556" t="str">
        <f>RTD("nest.scriprtd",,"nse_cm|840CIFCL28-N4","Symbol")</f>
        <v>840CIFCL28</v>
      </c>
      <c r="B556" t="str">
        <f>RTD("nest.scriprtd",,"nse_cm|840CIFCL28-N4","Trading Symbol")</f>
        <v>840CIFCL28-N4</v>
      </c>
      <c r="C556" t="str">
        <f>RTD("nest.scriprtd",,"nse_cm|840CIFCL28-N4","Exchange")</f>
        <v>NSE</v>
      </c>
      <c r="D556">
        <f>RTD("nest.scriprtd",,"nse_cm|840CIFCL28-N4","Bid Qty")</f>
        <v>50</v>
      </c>
      <c r="E556">
        <f>RTD("nest.scriprtd",,"nse_cm|840CIFCL28-N4","Bid Rate")</f>
        <v>1016</v>
      </c>
      <c r="F556">
        <f>RTD("nest.scriprtd",,"nse_cm|840CIFCL28-N4","Ask Rate")</f>
        <v>1080</v>
      </c>
      <c r="G556">
        <f>RTD("nest.scriprtd",,"nse_cm|840CIFCL28-N4","Ask Qty")</f>
        <v>50</v>
      </c>
      <c r="H556">
        <f>RTD("nest.scriprtd",,"nse_cm|840CIFCL28-N4","LTP")</f>
        <v>1015</v>
      </c>
      <c r="I556" t="str">
        <f>RTD("nest.scriprtd",,"nse_cm|840CIFCL28-N4","LTT")</f>
        <v>15:11:25</v>
      </c>
      <c r="J556">
        <f>RTD("nest.scriprtd",,"nse_cm|840CIFCL28-N4","% Change")</f>
        <v>-0.5</v>
      </c>
      <c r="K556">
        <f>RTD("nest.scriprtd",,"nse_cm|840CIFCL28-N4","ATP")</f>
        <v>1020.66</v>
      </c>
      <c r="L556">
        <f>RTD("nest.scriprtd",,"nse_cm|840CIFCL28-N4","Volume Traded Today")</f>
        <v>120</v>
      </c>
      <c r="M556">
        <f>RTD("nest.scriprtd",,"nse_cm|840CIFCL28-N4","Open")</f>
        <v>1023</v>
      </c>
      <c r="N556">
        <f>RTD("nest.scriprtd",,"nse_cm|840CIFCL28-N4","High")</f>
        <v>1023</v>
      </c>
      <c r="O556">
        <f>RTD("nest.scriprtd",,"nse_cm|840CIFCL28-N4","Low ")</f>
        <v>1015</v>
      </c>
      <c r="P556">
        <f>RTD("nest.scriprtd",,"nse_cm|840CIFCL28-N4","Prev Close")</f>
        <v>1020.09</v>
      </c>
      <c r="Q556">
        <f>RTD("nest.scriprtd",,"nse_cm|840CIFCL28-N4","Face Value")</f>
        <v>1000</v>
      </c>
      <c r="R556" t="str">
        <f>RTD("nest.scriprtd",,"nse_cm|840CIFCL28-N4","Isin code")</f>
        <v>INE121A07QY9</v>
      </c>
      <c r="S556" s="9">
        <f>Table1[[#This Row],[Ask Rate]]*Table1[[#This Row],[Ask Qty]]</f>
        <v>54000</v>
      </c>
      <c r="T556">
        <f>VLOOKUP(Table1[[#This Row],[Isin code]],Table2[#All],7,FALSE)</f>
        <v>8.4</v>
      </c>
      <c r="U556" s="17" t="str">
        <f>VLOOKUP(Table1[[#This Row],[Isin code]],Table2[#All],8,FALSE)</f>
        <v>04-May-2028</v>
      </c>
      <c r="V556" s="10">
        <f ca="1">Table1[[#This Row],[Maturity]]-TODAY()</f>
        <v>1296</v>
      </c>
      <c r="W556" t="str">
        <f>VLOOKUP(Table1[[#This Row],[Isin code]],Table2[#All],10,FALSE)</f>
        <v>Yearly</v>
      </c>
      <c r="X556">
        <f ca="1">_xlfn.DAYS(Table1[[#This Row],[Maturity]],TODAY())-15</f>
        <v>1281</v>
      </c>
      <c r="Y5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56">
        <f>IF(Table1[[#This Row],[Ask Rate]]=0,0,Table1[[#This Row],[Face Value]]-Table1[[#This Row],[Ask Rate]])</f>
        <v>-80</v>
      </c>
      <c r="AA556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556">
        <f ca="1">Table1[[#This Row],[Face Value]]*Table1[[#This Row],[Rate]]*Table1[[#This Row],[Time]]</f>
        <v>336</v>
      </c>
      <c r="AC556">
        <f ca="1">Table1[[#This Row],[SI]]+Table1[[#This Row],[Disc/Prem]]</f>
        <v>256</v>
      </c>
      <c r="AD556" s="3">
        <f ca="1">Table1[[#This Row],[Net Gain]]/Table1[[#This Row],[Ask Rate]]</f>
        <v>0.23703703703703705</v>
      </c>
      <c r="AE556" s="3">
        <f ca="1">IF(Table1[[#This Row],[Ask Qty]]=0,0,Table1[[#This Row],[Gross Yield]]*365/Table1[[#This Row],[Days Left]])</f>
        <v>6.6758116140832185E-2</v>
      </c>
      <c r="AF556" s="9">
        <f ca="1">+Table1[[#This Row],[Net Gain]]*Table1[[#This Row],[Ask Qty]]</f>
        <v>12800</v>
      </c>
      <c r="AG556" t="str">
        <f ca="1">IF(Table1[[#This Row],[YTM]]&gt;0.12,IF(Table1[[#This Row],[Gross Profit]]&gt;10000,"Invest","Review"),"Low YTM")</f>
        <v>Low YTM</v>
      </c>
    </row>
    <row r="557" spans="1:33" x14ac:dyDescent="0.3">
      <c r="A557" t="str">
        <f>RTD("nest.scriprtd",,"bse_cm|704IRFC26","Symbol")</f>
        <v>704IRFC26</v>
      </c>
      <c r="B557" t="str">
        <f>RTD("nest.scriprtd",,"bse_cm|704IRFC26","Trading Symbol")</f>
        <v>704IRFC26</v>
      </c>
      <c r="C557" t="str">
        <f>RTD("nest.scriprtd",,"bse_cm|704IRFC26","Exchange")</f>
        <v>BSE</v>
      </c>
      <c r="D557">
        <f>RTD("nest.scriprtd",,"bse_cm|704IRFC26","Bid Qty")</f>
        <v>100</v>
      </c>
      <c r="E557">
        <f>RTD("nest.scriprtd",,"bse_cm|704IRFC26","Bid Rate")</f>
        <v>1014.01</v>
      </c>
      <c r="F557">
        <f>RTD("nest.scriprtd",,"bse_cm|704IRFC26","Ask Rate")</f>
        <v>1100</v>
      </c>
      <c r="G557">
        <f>RTD("nest.scriprtd",,"bse_cm|704IRFC26","Ask Qty")</f>
        <v>500</v>
      </c>
      <c r="H557">
        <f>RTD("nest.scriprtd",,"bse_cm|704IRFC26","LTP")</f>
        <v>0</v>
      </c>
      <c r="I557" t="str">
        <f>RTD("nest.scriprtd",,"bse_cm|704IRFC26","LTT")</f>
        <v>00:00:00</v>
      </c>
      <c r="J557">
        <f>RTD("nest.scriprtd",,"bse_cm|704IRFC26","% Change")</f>
        <v>-100</v>
      </c>
      <c r="K557">
        <f>RTD("nest.scriprtd",,"bse_cm|704IRFC26","ATP")</f>
        <v>0</v>
      </c>
      <c r="L557">
        <f>RTD("nest.scriprtd",,"bse_cm|704IRFC26","Volume Traded Today")</f>
        <v>0</v>
      </c>
      <c r="M557">
        <f>RTD("nest.scriprtd",,"bse_cm|704IRFC26","Open")</f>
        <v>0</v>
      </c>
      <c r="N557">
        <f>RTD("nest.scriprtd",,"bse_cm|704IRFC26","High")</f>
        <v>1060.0999999999999</v>
      </c>
      <c r="O557">
        <f>RTD("nest.scriprtd",,"bse_cm|704IRFC26","Low ")</f>
        <v>1060.0999999999999</v>
      </c>
      <c r="P557">
        <f>RTD("nest.scriprtd",,"bse_cm|704IRFC26","Prev Close")</f>
        <v>1060.0999999999999</v>
      </c>
      <c r="Q557">
        <f>RTD("nest.scriprtd",,"bse_cm|704IRFC26","Face Value")</f>
        <v>1000</v>
      </c>
      <c r="R557" t="str">
        <f>RTD("nest.scriprtd",,"bse_cm|704IRFC26","Isin code")</f>
        <v>INE053F07876</v>
      </c>
      <c r="S557" s="9">
        <f>Table1[[#This Row],[Ask Rate]]*Table1[[#This Row],[Ask Qty]]</f>
        <v>550000</v>
      </c>
      <c r="T557">
        <f>VLOOKUP(Table1[[#This Row],[Isin code]],Table2[#All],7,FALSE)</f>
        <v>7.04</v>
      </c>
      <c r="U557" s="17" t="str">
        <f>VLOOKUP(Table1[[#This Row],[Isin code]],Table2[#All],8,FALSE)</f>
        <v>22-Mar-2026</v>
      </c>
      <c r="V557" s="10">
        <f ca="1">Table1[[#This Row],[Maturity]]-TODAY()</f>
        <v>522</v>
      </c>
      <c r="W557" t="str">
        <f>VLOOKUP(Table1[[#This Row],[Isin code]],Table2[#All],10,FALSE)</f>
        <v>Yearly</v>
      </c>
      <c r="X557">
        <f ca="1">_xlfn.DAYS(Table1[[#This Row],[Maturity]],TODAY())-15</f>
        <v>507</v>
      </c>
      <c r="Y5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57">
        <f>IF(Table1[[#This Row],[Ask Rate]]=0,0,Table1[[#This Row],[Face Value]]-Table1[[#This Row],[Ask Rate]])</f>
        <v>-100</v>
      </c>
      <c r="AA557">
        <f>IF(Table1[[#This Row],[Freq]]="Yearly",Table1[[#This Row],[Coupon_Rate]]/100,IF(Table1[[#This Row],[Freq]]="Monthly",Table1[[#This Row],[Coupon_Rate]]/1200,IF(Table1[[#This Row],[Freq]]="Quarterly",Table1[[#This Row],[Coupon_Rate]]/400,0)))</f>
        <v>7.0400000000000004E-2</v>
      </c>
      <c r="AB557">
        <f ca="1">Table1[[#This Row],[Face Value]]*Table1[[#This Row],[Rate]]*Table1[[#This Row],[Time]]</f>
        <v>140.80000000000001</v>
      </c>
      <c r="AC557">
        <f ca="1">Table1[[#This Row],[SI]]+Table1[[#This Row],[Disc/Prem]]</f>
        <v>40.800000000000011</v>
      </c>
      <c r="AD557" s="3">
        <f ca="1">Table1[[#This Row],[Net Gain]]/Table1[[#This Row],[Ask Rate]]</f>
        <v>3.7090909090909098E-2</v>
      </c>
      <c r="AE557" s="3">
        <f ca="1">IF(Table1[[#This Row],[Ask Qty]]=0,0,Table1[[#This Row],[Gross Yield]]*365/Table1[[#This Row],[Days Left]])</f>
        <v>2.5935214211076286E-2</v>
      </c>
      <c r="AF557" s="9">
        <f ca="1">+Table1[[#This Row],[Net Gain]]*Table1[[#This Row],[Ask Qty]]</f>
        <v>20400.000000000007</v>
      </c>
      <c r="AG557" t="str">
        <f ca="1">IF(Table1[[#This Row],[YTM]]&gt;0.12,IF(Table1[[#This Row],[Gross Profit]]&gt;10000,"Invest","Review"),"Low YTM")</f>
        <v>Low YTM</v>
      </c>
    </row>
    <row r="558" spans="1:33" x14ac:dyDescent="0.3">
      <c r="A558" t="str">
        <f>RTD("nest.scriprtd",,"nse_cm|855IREDA34-N3","Symbol")</f>
        <v>855IREDA34</v>
      </c>
      <c r="B558" t="str">
        <f>RTD("nest.scriprtd",,"nse_cm|855IREDA34-N3","Trading Symbol")</f>
        <v>855IREDA34-N3</v>
      </c>
      <c r="C558" t="str">
        <f>RTD("nest.scriprtd",,"nse_cm|855IREDA34-N3","Exchange")</f>
        <v>NSE</v>
      </c>
      <c r="D558">
        <f>RTD("nest.scriprtd",,"nse_cm|855IREDA34-N3","Bid Qty")</f>
        <v>100</v>
      </c>
      <c r="E558">
        <f>RTD("nest.scriprtd",,"nse_cm|855IREDA34-N3","Bid Rate")</f>
        <v>1210.0999999999999</v>
      </c>
      <c r="F558">
        <f>RTD("nest.scriprtd",,"nse_cm|855IREDA34-N3","Ask Rate")</f>
        <v>1494</v>
      </c>
      <c r="G558">
        <f>RTD("nest.scriprtd",,"nse_cm|855IREDA34-N3","Ask Qty")</f>
        <v>9</v>
      </c>
      <c r="H558">
        <f>RTD("nest.scriprtd",,"nse_cm|855IREDA34-N3","LTP")</f>
        <v>1245.72</v>
      </c>
      <c r="I558" t="str">
        <f>RTD("nest.scriprtd",,"nse_cm|855IREDA34-N3","LTT")</f>
        <v/>
      </c>
      <c r="J558">
        <f>RTD("nest.scriprtd",,"nse_cm|855IREDA34-N3","% Change")</f>
        <v>0</v>
      </c>
      <c r="K558">
        <f>RTD("nest.scriprtd",,"nse_cm|855IREDA34-N3","ATP")</f>
        <v>0</v>
      </c>
      <c r="L558">
        <f>RTD("nest.scriprtd",,"nse_cm|855IREDA34-N3","Volume Traded Today")</f>
        <v>0</v>
      </c>
      <c r="M558">
        <f>RTD("nest.scriprtd",,"nse_cm|855IREDA34-N3","Open")</f>
        <v>0</v>
      </c>
      <c r="N558">
        <f>RTD("nest.scriprtd",,"nse_cm|855IREDA34-N3","High")</f>
        <v>1245.72</v>
      </c>
      <c r="O558">
        <f>RTD("nest.scriprtd",,"nse_cm|855IREDA34-N3","Low ")</f>
        <v>1245.72</v>
      </c>
      <c r="P558">
        <f>RTD("nest.scriprtd",,"nse_cm|855IREDA34-N3","Prev Close")</f>
        <v>1245.72</v>
      </c>
      <c r="Q558">
        <f>RTD("nest.scriprtd",,"nse_cm|855IREDA34-N3","Face Value")</f>
        <v>1000</v>
      </c>
      <c r="R558" t="str">
        <f>RTD("nest.scriprtd",,"nse_cm|855IREDA34-N3","Isin code")</f>
        <v>INE202E07146</v>
      </c>
      <c r="S558" s="9">
        <f>Table1[[#This Row],[Ask Rate]]*Table1[[#This Row],[Ask Qty]]</f>
        <v>13446</v>
      </c>
      <c r="T558">
        <f>VLOOKUP(Table1[[#This Row],[Isin code]],Table2[#All],7,FALSE)</f>
        <v>8.5500000000000007</v>
      </c>
      <c r="U558" s="17" t="str">
        <f>VLOOKUP(Table1[[#This Row],[Isin code]],Table2[#All],8,FALSE)</f>
        <v>13-Mar-2034</v>
      </c>
      <c r="V558" s="10">
        <f ca="1">Table1[[#This Row],[Maturity]]-TODAY()</f>
        <v>3435</v>
      </c>
      <c r="W558" t="str">
        <f>VLOOKUP(Table1[[#This Row],[Isin code]],Table2[#All],10,FALSE)</f>
        <v>Yearly</v>
      </c>
      <c r="X558">
        <f ca="1">_xlfn.DAYS(Table1[[#This Row],[Maturity]],TODAY())-15</f>
        <v>3420</v>
      </c>
      <c r="Y5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58">
        <f>IF(Table1[[#This Row],[Ask Rate]]=0,0,Table1[[#This Row],[Face Value]]-Table1[[#This Row],[Ask Rate]])</f>
        <v>-494</v>
      </c>
      <c r="AA558">
        <f>IF(Table1[[#This Row],[Freq]]="Yearly",Table1[[#This Row],[Coupon_Rate]]/100,IF(Table1[[#This Row],[Freq]]="Monthly",Table1[[#This Row],[Coupon_Rate]]/1200,IF(Table1[[#This Row],[Freq]]="Quarterly",Table1[[#This Row],[Coupon_Rate]]/400,0)))</f>
        <v>8.5500000000000007E-2</v>
      </c>
      <c r="AB558">
        <f ca="1">Table1[[#This Row],[Face Value]]*Table1[[#This Row],[Rate]]*Table1[[#This Row],[Time]]</f>
        <v>855</v>
      </c>
      <c r="AC558">
        <f ca="1">Table1[[#This Row],[SI]]+Table1[[#This Row],[Disc/Prem]]</f>
        <v>361</v>
      </c>
      <c r="AD558" s="3">
        <f ca="1">Table1[[#This Row],[Net Gain]]/Table1[[#This Row],[Ask Rate]]</f>
        <v>0.24163319946452477</v>
      </c>
      <c r="AE558" s="3">
        <f ca="1">IF(Table1[[#This Row],[Ask Qty]]=0,0,Table1[[#This Row],[Gross Yield]]*365/Table1[[#This Row],[Days Left]])</f>
        <v>2.5675725707293026E-2</v>
      </c>
      <c r="AF558" s="9">
        <f ca="1">+Table1[[#This Row],[Net Gain]]*Table1[[#This Row],[Ask Qty]]</f>
        <v>3249</v>
      </c>
      <c r="AG558" t="str">
        <f ca="1">IF(Table1[[#This Row],[YTM]]&gt;0.12,IF(Table1[[#This Row],[Gross Profit]]&gt;10000,"Invest","Review"),"Low YTM")</f>
        <v>Low YTM</v>
      </c>
    </row>
    <row r="559" spans="1:33" x14ac:dyDescent="0.3">
      <c r="A559" t="str">
        <f>RTD("nest.scriprtd",,"bse_cm|MFLOPTII24","Symbol")</f>
        <v>MFLOPTII24</v>
      </c>
      <c r="B559" t="str">
        <f>RTD("nest.scriprtd",,"bse_cm|MFLOPTII24","Trading Symbol")</f>
        <v>MFLOPTII24</v>
      </c>
      <c r="C559" t="str">
        <f>RTD("nest.scriprtd",,"bse_cm|MFLOPTII24","Exchange")</f>
        <v>BSE</v>
      </c>
      <c r="D559">
        <f>RTD("nest.scriprtd",,"bse_cm|MFLOPTII24","Bid Qty")</f>
        <v>170</v>
      </c>
      <c r="E559">
        <f>RTD("nest.scriprtd",,"bse_cm|MFLOPTII24","Bid Rate")</f>
        <v>960.2</v>
      </c>
      <c r="F559">
        <f>RTD("nest.scriprtd",,"bse_cm|MFLOPTII24","Ask Rate")</f>
        <v>1053.9000000000001</v>
      </c>
      <c r="G559">
        <f>RTD("nest.scriprtd",,"bse_cm|MFLOPTII24","Ask Qty")</f>
        <v>100</v>
      </c>
      <c r="H559">
        <f>RTD("nest.scriprtd",,"bse_cm|MFLOPTII24","LTP")</f>
        <v>0</v>
      </c>
      <c r="I559" t="str">
        <f>RTD("nest.scriprtd",,"bse_cm|MFLOPTII24","LTT")</f>
        <v>00:00:00</v>
      </c>
      <c r="J559">
        <f>RTD("nest.scriprtd",,"bse_cm|MFLOPTII24","% Change")</f>
        <v>-100</v>
      </c>
      <c r="K559">
        <f>RTD("nest.scriprtd",,"bse_cm|MFLOPTII24","ATP")</f>
        <v>0</v>
      </c>
      <c r="L559">
        <f>RTD("nest.scriprtd",,"bse_cm|MFLOPTII24","Volume Traded Today")</f>
        <v>0</v>
      </c>
      <c r="M559">
        <f>RTD("nest.scriprtd",,"bse_cm|MFLOPTII24","Open")</f>
        <v>0</v>
      </c>
      <c r="N559">
        <f>RTD("nest.scriprtd",,"bse_cm|MFLOPTII24","High")</f>
        <v>980</v>
      </c>
      <c r="O559">
        <f>RTD("nest.scriprtd",,"bse_cm|MFLOPTII24","Low ")</f>
        <v>980</v>
      </c>
      <c r="P559">
        <f>RTD("nest.scriprtd",,"bse_cm|MFLOPTII24","Prev Close")</f>
        <v>980</v>
      </c>
      <c r="Q559">
        <f>RTD("nest.scriprtd",,"bse_cm|MFLOPTII24","Face Value")</f>
        <v>1000</v>
      </c>
      <c r="R559" t="str">
        <f>RTD("nest.scriprtd",,"bse_cm|MFLOPTII24","Isin code")</f>
        <v>INE414G07FE0</v>
      </c>
      <c r="S559" s="9">
        <f>Table1[[#This Row],[Ask Rate]]*Table1[[#This Row],[Ask Qty]]</f>
        <v>105390.00000000001</v>
      </c>
      <c r="T559">
        <f>VLOOKUP(Table1[[#This Row],[Isin code]],Table2[#All],7,FALSE)</f>
        <v>7.5</v>
      </c>
      <c r="U559" s="17" t="str">
        <f>VLOOKUP(Table1[[#This Row],[Isin code]],Table2[#All],8,FALSE)</f>
        <v>05-Nov-2025</v>
      </c>
      <c r="V559" s="10">
        <f ca="1">Table1[[#This Row],[Maturity]]-TODAY()</f>
        <v>385</v>
      </c>
      <c r="W559" t="str">
        <f>VLOOKUP(Table1[[#This Row],[Isin code]],Table2[#All],10,FALSE)</f>
        <v>Monthly</v>
      </c>
      <c r="X559">
        <f ca="1">_xlfn.DAYS(Table1[[#This Row],[Maturity]],TODAY())-15</f>
        <v>370</v>
      </c>
      <c r="Y5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559">
        <f>IF(Table1[[#This Row],[Ask Rate]]=0,0,Table1[[#This Row],[Face Value]]-Table1[[#This Row],[Ask Rate]])</f>
        <v>-53.900000000000091</v>
      </c>
      <c r="AA559">
        <f>IF(Table1[[#This Row],[Freq]]="Yearly",Table1[[#This Row],[Coupon_Rate]]/100,IF(Table1[[#This Row],[Freq]]="Monthly",Table1[[#This Row],[Coupon_Rate]]/1200,IF(Table1[[#This Row],[Freq]]="Quarterly",Table1[[#This Row],[Coupon_Rate]]/400,0)))</f>
        <v>6.2500000000000003E-3</v>
      </c>
      <c r="AB559">
        <f ca="1">Table1[[#This Row],[Face Value]]*Table1[[#This Row],[Rate]]*Table1[[#This Row],[Time]]</f>
        <v>81.25</v>
      </c>
      <c r="AC559">
        <f ca="1">Table1[[#This Row],[SI]]+Table1[[#This Row],[Disc/Prem]]</f>
        <v>27.349999999999909</v>
      </c>
      <c r="AD559" s="3">
        <f ca="1">Table1[[#This Row],[Net Gain]]/Table1[[#This Row],[Ask Rate]]</f>
        <v>2.5951228769332865E-2</v>
      </c>
      <c r="AE559" s="3">
        <f ca="1">IF(Table1[[#This Row],[Ask Qty]]=0,0,Table1[[#This Row],[Gross Yield]]*365/Table1[[#This Row],[Days Left]])</f>
        <v>2.4603112989107782E-2</v>
      </c>
      <c r="AF559" s="9">
        <f ca="1">+Table1[[#This Row],[Net Gain]]*Table1[[#This Row],[Ask Qty]]</f>
        <v>2734.9999999999909</v>
      </c>
      <c r="AG559" t="str">
        <f ca="1">IF(Table1[[#This Row],[YTM]]&gt;0.12,IF(Table1[[#This Row],[Gross Profit]]&gt;10000,"Invest","Review"),"Low YTM")</f>
        <v>Low YTM</v>
      </c>
    </row>
    <row r="560" spans="1:33" x14ac:dyDescent="0.3">
      <c r="A560" t="str">
        <f>RTD("nest.scriprtd",,"bse_cm|725IRFC35","Symbol")</f>
        <v>725IRFC35</v>
      </c>
      <c r="B560" t="str">
        <f>RTD("nest.scriprtd",,"bse_cm|725IRFC35","Trading Symbol")</f>
        <v>725IRFC35</v>
      </c>
      <c r="C560" t="str">
        <f>RTD("nest.scriprtd",,"bse_cm|725IRFC35","Exchange")</f>
        <v>BSE</v>
      </c>
      <c r="D560">
        <f>RTD("nest.scriprtd",,"bse_cm|725IRFC35","Bid Qty")</f>
        <v>0</v>
      </c>
      <c r="E560">
        <f>RTD("nest.scriprtd",,"bse_cm|725IRFC35","Bid Rate")</f>
        <v>0</v>
      </c>
      <c r="F560">
        <f>RTD("nest.scriprtd",,"bse_cm|725IRFC35","Ask Rate")</f>
        <v>1475</v>
      </c>
      <c r="G560">
        <f>RTD("nest.scriprtd",,"bse_cm|725IRFC35","Ask Qty")</f>
        <v>10</v>
      </c>
      <c r="H560">
        <f>RTD("nest.scriprtd",,"bse_cm|725IRFC35","LTP")</f>
        <v>0</v>
      </c>
      <c r="I560" t="str">
        <f>RTD("nest.scriprtd",,"bse_cm|725IRFC35","LTT")</f>
        <v>00:00:00</v>
      </c>
      <c r="J560">
        <f>RTD("nest.scriprtd",,"bse_cm|725IRFC35","% Change")</f>
        <v>-100</v>
      </c>
      <c r="K560">
        <f>RTD("nest.scriprtd",,"bse_cm|725IRFC35","ATP")</f>
        <v>0</v>
      </c>
      <c r="L560">
        <f>RTD("nest.scriprtd",,"bse_cm|725IRFC35","Volume Traded Today")</f>
        <v>0</v>
      </c>
      <c r="M560">
        <f>RTD("nest.scriprtd",,"bse_cm|725IRFC35","Open")</f>
        <v>0</v>
      </c>
      <c r="N560">
        <f>RTD("nest.scriprtd",,"bse_cm|725IRFC35","High")</f>
        <v>1475</v>
      </c>
      <c r="O560">
        <f>RTD("nest.scriprtd",,"bse_cm|725IRFC35","Low ")</f>
        <v>1475</v>
      </c>
      <c r="P560">
        <f>RTD("nest.scriprtd",,"bse_cm|725IRFC35","Prev Close")</f>
        <v>1475</v>
      </c>
      <c r="Q560">
        <f>RTD("nest.scriprtd",,"bse_cm|725IRFC35","Face Value")</f>
        <v>1000</v>
      </c>
      <c r="R560" t="str">
        <f>RTD("nest.scriprtd",,"bse_cm|725IRFC35","Isin code")</f>
        <v>INE053F07819</v>
      </c>
      <c r="S560" s="9">
        <f>Table1[[#This Row],[Ask Rate]]*Table1[[#This Row],[Ask Qty]]</f>
        <v>14750</v>
      </c>
      <c r="T560">
        <f>VLOOKUP(Table1[[#This Row],[Isin code]],Table2[#All],7,FALSE)</f>
        <v>7.25</v>
      </c>
      <c r="U560" s="17" t="str">
        <f>VLOOKUP(Table1[[#This Row],[Isin code]],Table2[#All],8,FALSE)</f>
        <v>21-Dec-2035</v>
      </c>
      <c r="V560" s="10">
        <f ca="1">Table1[[#This Row],[Maturity]]-TODAY()</f>
        <v>4083</v>
      </c>
      <c r="W560" t="str">
        <f>VLOOKUP(Table1[[#This Row],[Isin code]],Table2[#All],10,FALSE)</f>
        <v>Yearly</v>
      </c>
      <c r="X560">
        <f ca="1">_xlfn.DAYS(Table1[[#This Row],[Maturity]],TODAY())-15</f>
        <v>4068</v>
      </c>
      <c r="Y5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560">
        <f>IF(Table1[[#This Row],[Ask Rate]]=0,0,Table1[[#This Row],[Face Value]]-Table1[[#This Row],[Ask Rate]])</f>
        <v>-475</v>
      </c>
      <c r="AA560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7.2499999999999995E-2</v>
      </c>
      <c r="AB560">
        <f ca="1">Table1[[#This Row],[Face Value]]*Table1[[#This Row],[Rate]]*Table1[[#This Row],[Time]]</f>
        <v>870</v>
      </c>
      <c r="AC560">
        <f ca="1">Table1[[#This Row],[SI]]+Table1[[#This Row],[Disc/Prem]]</f>
        <v>395</v>
      </c>
      <c r="AD560" s="3">
        <f ca="1">Table1[[#This Row],[Net Gain]]/Table1[[#This Row],[Ask Rate]]</f>
        <v>0.26779661016949152</v>
      </c>
      <c r="AE560" s="3">
        <f ca="1">IF(Table1[[#This Row],[Ask Qty]]=0,0,Table1[[#This Row],[Gross Yield]]*365/Table1[[#This Row],[Days Left]])</f>
        <v>2.3939692067564144E-2</v>
      </c>
      <c r="AF560" s="9">
        <f ca="1">+Table1[[#This Row],[Net Gain]]*Table1[[#This Row],[Ask Qty]]</f>
        <v>3950</v>
      </c>
      <c r="AG560" t="str">
        <f ca="1">IF(Table1[[#This Row],[YTM]]&gt;0.12,IF(Table1[[#This Row],[Gross Profit]]&gt;10000,"Invest","Review"),"Low YTM")</f>
        <v>Low YTM</v>
      </c>
    </row>
    <row r="561" spans="1:33" x14ac:dyDescent="0.3">
      <c r="A561" t="str">
        <f>RTD("nest.scriprtd",,"nse_cm|925IHFL25E-N8","Symbol")</f>
        <v>925IHFL25E</v>
      </c>
      <c r="B561" t="str">
        <f>RTD("nest.scriprtd",,"nse_cm|925IHFL25E-N8","Trading Symbol")</f>
        <v>925IHFL25E-N8</v>
      </c>
      <c r="C561" t="str">
        <f>RTD("nest.scriprtd",,"nse_cm|925IHFL25E-N8","Exchange")</f>
        <v>NSE</v>
      </c>
      <c r="D561">
        <f>RTD("nest.scriprtd",,"nse_cm|925IHFL25E-N8","Bid Qty")</f>
        <v>5</v>
      </c>
      <c r="E561">
        <f>RTD("nest.scriprtd",,"nse_cm|925IHFL25E-N8","Bid Rate")</f>
        <v>967.1</v>
      </c>
      <c r="F561">
        <f>RTD("nest.scriprtd",,"nse_cm|925IHFL25E-N8","Ask Rate")</f>
        <v>1119</v>
      </c>
      <c r="G561">
        <f>RTD("nest.scriprtd",,"nse_cm|925IHFL25E-N8","Ask Qty")</f>
        <v>13</v>
      </c>
      <c r="H561">
        <f>RTD("nest.scriprtd",,"nse_cm|925IHFL25E-N8","LTP")</f>
        <v>966</v>
      </c>
      <c r="I561" t="str">
        <f>RTD("nest.scriprtd",,"nse_cm|925IHFL25E-N8","LTT")</f>
        <v/>
      </c>
      <c r="J561">
        <f>RTD("nest.scriprtd",,"nse_cm|925IHFL25E-N8","% Change")</f>
        <v>0</v>
      </c>
      <c r="K561">
        <f>RTD("nest.scriprtd",,"nse_cm|925IHFL25E-N8","ATP")</f>
        <v>0</v>
      </c>
      <c r="L561">
        <f>RTD("nest.scriprtd",,"nse_cm|925IHFL25E-N8","Volume Traded Today")</f>
        <v>0</v>
      </c>
      <c r="M561">
        <f>RTD("nest.scriprtd",,"nse_cm|925IHFL25E-N8","Open")</f>
        <v>0</v>
      </c>
      <c r="N561">
        <f>RTD("nest.scriprtd",,"nse_cm|925IHFL25E-N8","High")</f>
        <v>966</v>
      </c>
      <c r="O561">
        <f>RTD("nest.scriprtd",,"nse_cm|925IHFL25E-N8","Low ")</f>
        <v>966</v>
      </c>
      <c r="P561">
        <f>RTD("nest.scriprtd",,"nse_cm|925IHFL25E-N8","Prev Close")</f>
        <v>966</v>
      </c>
      <c r="Q561">
        <f>RTD("nest.scriprtd",,"nse_cm|925IHFL25E-N8","Face Value")</f>
        <v>1000</v>
      </c>
      <c r="R561" t="str">
        <f>RTD("nest.scriprtd",,"nse_cm|925IHFL25E-N8","Isin code")</f>
        <v>INE121A07RF6</v>
      </c>
      <c r="S561" s="9">
        <f>Table1[[#This Row],[Ask Rate]]*Table1[[#This Row],[Ask Qty]]</f>
        <v>14547</v>
      </c>
      <c r="T561">
        <f>VLOOKUP(Table1[[#This Row],[Isin code]],Table2[#All],7,FALSE)</f>
        <v>8.3000000000000007</v>
      </c>
      <c r="U561" s="17" t="str">
        <f>VLOOKUP(Table1[[#This Row],[Isin code]],Table2[#All],8,FALSE)</f>
        <v>09-Sep-2026</v>
      </c>
      <c r="V561" s="10">
        <f ca="1">Table1[[#This Row],[Maturity]]-TODAY()</f>
        <v>693</v>
      </c>
      <c r="W561" t="str">
        <f>VLOOKUP(Table1[[#This Row],[Isin code]],Table2[#All],10,FALSE)</f>
        <v>Yearly</v>
      </c>
      <c r="X561">
        <f ca="1">_xlfn.DAYS(Table1[[#This Row],[Maturity]],TODAY())-15</f>
        <v>678</v>
      </c>
      <c r="Y5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61">
        <f>IF(Table1[[#This Row],[Ask Rate]]=0,0,Table1[[#This Row],[Face Value]]-Table1[[#This Row],[Ask Rate]])</f>
        <v>-119</v>
      </c>
      <c r="AA561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561">
        <f ca="1">Table1[[#This Row],[Face Value]]*Table1[[#This Row],[Rate]]*Table1[[#This Row],[Time]]</f>
        <v>166</v>
      </c>
      <c r="AC561">
        <f ca="1">Table1[[#This Row],[SI]]+Table1[[#This Row],[Disc/Prem]]</f>
        <v>47</v>
      </c>
      <c r="AD561" s="3">
        <f ca="1">Table1[[#This Row],[Net Gain]]/Table1[[#This Row],[Ask Rate]]</f>
        <v>4.20017873100983E-2</v>
      </c>
      <c r="AE561" s="3">
        <f ca="1">IF(Table1[[#This Row],[Ask Qty]]=0,0,Table1[[#This Row],[Gross Yield]]*365/Table1[[#This Row],[Days Left]])</f>
        <v>2.2122153489445712E-2</v>
      </c>
      <c r="AF561" s="9">
        <f ca="1">+Table1[[#This Row],[Net Gain]]*Table1[[#This Row],[Ask Qty]]</f>
        <v>611</v>
      </c>
      <c r="AG561" t="str">
        <f ca="1">IF(Table1[[#This Row],[YTM]]&gt;0.12,IF(Table1[[#This Row],[Gross Profit]]&gt;10000,"Invest","Review"),"Low YTM")</f>
        <v>Low YTM</v>
      </c>
    </row>
    <row r="562" spans="1:33" hidden="1" x14ac:dyDescent="0.3">
      <c r="A562" t="str">
        <f>RTD("nest.scriprtd",,"bse_cm|801TCH25","Symbol")</f>
        <v>801TCH25</v>
      </c>
      <c r="B562" t="str">
        <f>RTD("nest.scriprtd",,"bse_cm|801TCH25","Trading Symbol")</f>
        <v>801TCH25</v>
      </c>
      <c r="C562" t="str">
        <f>RTD("nest.scriprtd",,"bse_cm|801TCH25","Exchange")</f>
        <v>BSE</v>
      </c>
      <c r="D562">
        <f>RTD("nest.scriprtd",,"bse_cm|801TCH25","Bid Qty")</f>
        <v>19</v>
      </c>
      <c r="E562">
        <f>RTD("nest.scriprtd",,"bse_cm|801TCH25","Bid Rate")</f>
        <v>996</v>
      </c>
      <c r="F562">
        <f>RTD("nest.scriprtd",,"bse_cm|801TCH25","Ask Rate")</f>
        <v>1015</v>
      </c>
      <c r="G562">
        <f>RTD("nest.scriprtd",,"bse_cm|801TCH25","Ask Qty")</f>
        <v>10</v>
      </c>
      <c r="H562">
        <f>RTD("nest.scriprtd",,"bse_cm|801TCH25","LTP")</f>
        <v>0</v>
      </c>
      <c r="I562" t="str">
        <f>RTD("nest.scriprtd",,"bse_cm|801TCH25","LTT")</f>
        <v>00:00:00</v>
      </c>
      <c r="J562">
        <f>RTD("nest.scriprtd",,"bse_cm|801TCH25","% Change")</f>
        <v>-100</v>
      </c>
      <c r="K562">
        <f>RTD("nest.scriprtd",,"bse_cm|801TCH25","ATP")</f>
        <v>0</v>
      </c>
      <c r="L562">
        <f>RTD("nest.scriprtd",,"bse_cm|801TCH25","Volume Traded Today")</f>
        <v>0</v>
      </c>
      <c r="M562">
        <f>RTD("nest.scriprtd",,"bse_cm|801TCH25","Open")</f>
        <v>0</v>
      </c>
      <c r="N562">
        <f>RTD("nest.scriprtd",,"bse_cm|801TCH25","High")</f>
        <v>999.95</v>
      </c>
      <c r="O562">
        <f>RTD("nest.scriprtd",,"bse_cm|801TCH25","Low ")</f>
        <v>999.95</v>
      </c>
      <c r="P562">
        <f>RTD("nest.scriprtd",,"bse_cm|801TCH25","Prev Close")</f>
        <v>999.95</v>
      </c>
      <c r="Q562">
        <f>RTD("nest.scriprtd",,"bse_cm|801TCH25","Face Value")</f>
        <v>1000</v>
      </c>
      <c r="R562" t="str">
        <f>RTD("nest.scriprtd",,"bse_cm|801TCH25","Isin code")</f>
        <v>INE033L07GO5</v>
      </c>
      <c r="S562" s="9">
        <f>Table1[[#This Row],[Ask Rate]]*Table1[[#This Row],[Ask Qty]]</f>
        <v>10150</v>
      </c>
      <c r="T562">
        <f>VLOOKUP(Table1[[#This Row],[Isin code]],Table2[#All],7,FALSE)</f>
        <v>8.01</v>
      </c>
      <c r="U562" s="17" t="str">
        <f>VLOOKUP(Table1[[#This Row],[Isin code]],Table2[#All],8,FALSE)</f>
        <v>14-Jan-2025</v>
      </c>
      <c r="V562" s="10">
        <f ca="1">Table1[[#This Row],[Maturity]]-TODAY()</f>
        <v>90</v>
      </c>
      <c r="W562" t="str">
        <f>VLOOKUP(Table1[[#This Row],[Isin code]],Table2[#All],10,FALSE)</f>
        <v>Monthly</v>
      </c>
      <c r="X562">
        <f ca="1">_xlfn.DAYS(Table1[[#This Row],[Maturity]],TODAY())-15</f>
        <v>75</v>
      </c>
      <c r="Y5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562">
        <f>IF(Table1[[#This Row],[Ask Rate]]=0,0,Table1[[#This Row],[Face Value]]-Table1[[#This Row],[Ask Rate]])</f>
        <v>-15</v>
      </c>
      <c r="AA562">
        <f>IF(Table1[[#This Row],[Freq]]="Yearly",Table1[[#This Row],[Coupon_Rate]]/100,IF(Table1[[#This Row],[Freq]]="Monthly",Table1[[#This Row],[Coupon_Rate]]/1200,IF(Table1[[#This Row],[Freq]]="Quarterly",Table1[[#This Row],[Coupon_Rate]]/400,0)))</f>
        <v>6.6749999999999995E-3</v>
      </c>
      <c r="AB562">
        <f ca="1">Table1[[#This Row],[Face Value]]*Table1[[#This Row],[Rate]]*Table1[[#This Row],[Time]]</f>
        <v>20.024999999999999</v>
      </c>
      <c r="AC562">
        <f ca="1">Table1[[#This Row],[SI]]+Table1[[#This Row],[Disc/Prem]]</f>
        <v>5.0249999999999986</v>
      </c>
      <c r="AD562" s="3">
        <f ca="1">Table1[[#This Row],[Net Gain]]/Table1[[#This Row],[Ask Rate]]</f>
        <v>4.9507389162561566E-3</v>
      </c>
      <c r="AE562" s="3">
        <f ca="1">IF(Table1[[#This Row],[Ask Qty]]=0,0,Table1[[#This Row],[Gross Yield]]*365/Table1[[#This Row],[Days Left]])</f>
        <v>2.0077996715927748E-2</v>
      </c>
      <c r="AF562" s="9">
        <f ca="1">+Table1[[#This Row],[Net Gain]]*Table1[[#This Row],[Ask Qty]]</f>
        <v>50.249999999999986</v>
      </c>
      <c r="AG562" t="str">
        <f ca="1">IF(Table1[[#This Row],[YTM]]&gt;0.12,IF(Table1[[#This Row],[Gross Profit]]&gt;10000,"Invest","Review"),"Low YTM")</f>
        <v>Low YTM</v>
      </c>
    </row>
    <row r="563" spans="1:33" x14ac:dyDescent="0.3">
      <c r="A563" t="str">
        <f>RTD("nest.scriprtd",,"nse_cm|862REC33-NA","Symbol")</f>
        <v>862REC33</v>
      </c>
      <c r="B563" t="str">
        <f>RTD("nest.scriprtd",,"nse_cm|862REC33-NA","Trading Symbol")</f>
        <v>862REC33-NA</v>
      </c>
      <c r="C563" t="str">
        <f>RTD("nest.scriprtd",,"nse_cm|862REC33-NA","Exchange")</f>
        <v>NSE</v>
      </c>
      <c r="D563">
        <f>RTD("nest.scriprtd",,"nse_cm|862REC33-NA","Bid Qty")</f>
        <v>1000</v>
      </c>
      <c r="E563">
        <f>RTD("nest.scriprtd",,"nse_cm|862REC33-NA","Bid Rate")</f>
        <v>1259.01</v>
      </c>
      <c r="F563">
        <f>RTD("nest.scriprtd",,"nse_cm|862REC33-NA","Ask Rate")</f>
        <v>1489.9</v>
      </c>
      <c r="G563">
        <f>RTD("nest.scriprtd",,"nse_cm|862REC33-NA","Ask Qty")</f>
        <v>497</v>
      </c>
      <c r="H563">
        <f>RTD("nest.scriprtd",,"nse_cm|862REC33-NA","LTP")</f>
        <v>1242</v>
      </c>
      <c r="I563" t="str">
        <f>RTD("nest.scriprtd",,"nse_cm|862REC33-NA","LTT")</f>
        <v/>
      </c>
      <c r="J563">
        <f>RTD("nest.scriprtd",,"nse_cm|862REC33-NA","% Change")</f>
        <v>0</v>
      </c>
      <c r="K563">
        <f>RTD("nest.scriprtd",,"nse_cm|862REC33-NA","ATP")</f>
        <v>0</v>
      </c>
      <c r="L563">
        <f>RTD("nest.scriprtd",,"nse_cm|862REC33-NA","Volume Traded Today")</f>
        <v>0</v>
      </c>
      <c r="M563">
        <f>RTD("nest.scriprtd",,"nse_cm|862REC33-NA","Open")</f>
        <v>0</v>
      </c>
      <c r="N563">
        <f>RTD("nest.scriprtd",,"nse_cm|862REC33-NA","High")</f>
        <v>1242</v>
      </c>
      <c r="O563">
        <f>RTD("nest.scriprtd",,"nse_cm|862REC33-NA","Low ")</f>
        <v>1242</v>
      </c>
      <c r="P563">
        <f>RTD("nest.scriprtd",,"nse_cm|862REC33-NA","Prev Close")</f>
        <v>1242</v>
      </c>
      <c r="Q563">
        <f>RTD("nest.scriprtd",,"nse_cm|862REC33-NA","Face Value")</f>
        <v>1000</v>
      </c>
      <c r="R563" t="str">
        <f>RTD("nest.scriprtd",,"nse_cm|862REC33-NA","Isin code")</f>
        <v>INE020B07HT0</v>
      </c>
      <c r="S563" s="9">
        <f>Table1[[#This Row],[Ask Rate]]*Table1[[#This Row],[Ask Qty]]</f>
        <v>740480.3</v>
      </c>
      <c r="T563">
        <f>VLOOKUP(Table1[[#This Row],[Isin code]],Table2[#All],7,FALSE)</f>
        <v>8.6199999999999992</v>
      </c>
      <c r="U563" s="17" t="str">
        <f>VLOOKUP(Table1[[#This Row],[Isin code]],Table2[#All],8,FALSE)</f>
        <v>24-Sep-2033</v>
      </c>
      <c r="V563" s="10">
        <f ca="1">Table1[[#This Row],[Maturity]]-TODAY()</f>
        <v>3265</v>
      </c>
      <c r="W563" t="str">
        <f>VLOOKUP(Table1[[#This Row],[Isin code]],Table2[#All],10,FALSE)</f>
        <v>Yearly</v>
      </c>
      <c r="X563">
        <f ca="1">_xlfn.DAYS(Table1[[#This Row],[Maturity]],TODAY())-15</f>
        <v>3250</v>
      </c>
      <c r="Y5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563">
        <f>IF(Table1[[#This Row],[Ask Rate]]=0,0,Table1[[#This Row],[Face Value]]-Table1[[#This Row],[Ask Rate]])</f>
        <v>-489.90000000000009</v>
      </c>
      <c r="AA563">
        <f>IF(Table1[[#This Row],[Freq]]="Yearly",Table1[[#This Row],[Coupon_Rate]]/100,IF(Table1[[#This Row],[Freq]]="Monthly",Table1[[#This Row],[Coupon_Rate]]/1200,IF(Table1[[#This Row],[Freq]]="Quarterly",Table1[[#This Row],[Coupon_Rate]]/400,0)))</f>
        <v>8.6199999999999999E-2</v>
      </c>
      <c r="AB563">
        <f ca="1">Table1[[#This Row],[Face Value]]*Table1[[#This Row],[Rate]]*Table1[[#This Row],[Time]]</f>
        <v>775.80000000000007</v>
      </c>
      <c r="AC563">
        <f ca="1">Table1[[#This Row],[SI]]+Table1[[#This Row],[Disc/Prem]]</f>
        <v>285.89999999999998</v>
      </c>
      <c r="AD563" s="3">
        <f ca="1">Table1[[#This Row],[Net Gain]]/Table1[[#This Row],[Ask Rate]]</f>
        <v>0.1918920732935096</v>
      </c>
      <c r="AE563" s="3">
        <f ca="1">IF(Table1[[#This Row],[Ask Qty]]=0,0,Table1[[#This Row],[Gross Yield]]*365/Table1[[#This Row],[Days Left]])</f>
        <v>2.1451946937865542E-2</v>
      </c>
      <c r="AF563" s="9">
        <f ca="1">+Table1[[#This Row],[Net Gain]]*Table1[[#This Row],[Ask Qty]]</f>
        <v>142092.29999999999</v>
      </c>
      <c r="AG563" t="str">
        <f ca="1">IF(Table1[[#This Row],[YTM]]&gt;0.12,IF(Table1[[#This Row],[Gross Profit]]&gt;10000,"Invest","Review"),"Low YTM")</f>
        <v>Low YTM</v>
      </c>
    </row>
    <row r="564" spans="1:33" x14ac:dyDescent="0.3">
      <c r="A564" t="str">
        <f>RTD("nest.scriprtd",,"bse_cm|709REC30","Symbol")</f>
        <v>709REC30</v>
      </c>
      <c r="B564" t="str">
        <f>RTD("nest.scriprtd",,"bse_cm|709REC30","Trading Symbol")</f>
        <v>709REC30</v>
      </c>
      <c r="C564" t="str">
        <f>RTD("nest.scriprtd",,"bse_cm|709REC30","Exchange")</f>
        <v>BSE</v>
      </c>
      <c r="D564">
        <f>RTD("nest.scriprtd",,"bse_cm|709REC30","Bid Qty")</f>
        <v>100</v>
      </c>
      <c r="E564">
        <f>RTD("nest.scriprtd",,"bse_cm|709REC30","Bid Rate")</f>
        <v>1128.0999999999999</v>
      </c>
      <c r="F564">
        <f>RTD("nest.scriprtd",,"bse_cm|709REC30","Ask Rate")</f>
        <v>1330.6</v>
      </c>
      <c r="G564">
        <f>RTD("nest.scriprtd",,"bse_cm|709REC30","Ask Qty")</f>
        <v>50</v>
      </c>
      <c r="H564">
        <f>RTD("nest.scriprtd",,"bse_cm|709REC30","LTP")</f>
        <v>0</v>
      </c>
      <c r="I564" t="str">
        <f>RTD("nest.scriprtd",,"bse_cm|709REC30","LTT")</f>
        <v>00:00:00</v>
      </c>
      <c r="J564">
        <f>RTD("nest.scriprtd",,"bse_cm|709REC30","% Change")</f>
        <v>-100</v>
      </c>
      <c r="K564">
        <f>RTD("nest.scriprtd",,"bse_cm|709REC30","ATP")</f>
        <v>0</v>
      </c>
      <c r="L564">
        <f>RTD("nest.scriprtd",,"bse_cm|709REC30","Volume Traded Today")</f>
        <v>0</v>
      </c>
      <c r="M564">
        <f>RTD("nest.scriprtd",,"bse_cm|709REC30","Open")</f>
        <v>0</v>
      </c>
      <c r="N564">
        <f>RTD("nest.scriprtd",,"bse_cm|709REC30","High")</f>
        <v>1114.0999999999999</v>
      </c>
      <c r="O564">
        <f>RTD("nest.scriprtd",,"bse_cm|709REC30","Low ")</f>
        <v>1114.0999999999999</v>
      </c>
      <c r="P564">
        <f>RTD("nest.scriprtd",,"bse_cm|709REC30","Prev Close")</f>
        <v>1114.0999999999999</v>
      </c>
      <c r="Q564">
        <f>RTD("nest.scriprtd",,"bse_cm|709REC30","Face Value")</f>
        <v>1000</v>
      </c>
      <c r="R564" t="str">
        <f>RTD("nest.scriprtd",,"bse_cm|709REC30","Isin code")</f>
        <v>INE020B07JR0</v>
      </c>
      <c r="S564" s="9">
        <f>Table1[[#This Row],[Ask Rate]]*Table1[[#This Row],[Ask Qty]]</f>
        <v>66530</v>
      </c>
      <c r="T564">
        <f>VLOOKUP(Table1[[#This Row],[Isin code]],Table2[#All],7,FALSE)</f>
        <v>7.0900000000000007</v>
      </c>
      <c r="U564" s="17" t="str">
        <f>VLOOKUP(Table1[[#This Row],[Isin code]],Table2[#All],8,FALSE)</f>
        <v>05-Nov-2030</v>
      </c>
      <c r="V564" s="10">
        <f ca="1">Table1[[#This Row],[Maturity]]-TODAY()</f>
        <v>2211</v>
      </c>
      <c r="W564" t="str">
        <f>VLOOKUP(Table1[[#This Row],[Isin code]],Table2[#All],10,FALSE)</f>
        <v>Yearly</v>
      </c>
      <c r="X564">
        <f ca="1">_xlfn.DAYS(Table1[[#This Row],[Maturity]],TODAY())-15</f>
        <v>2196</v>
      </c>
      <c r="Y5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564">
        <f>IF(Table1[[#This Row],[Ask Rate]]=0,0,Table1[[#This Row],[Face Value]]-Table1[[#This Row],[Ask Rate]])</f>
        <v>-330.59999999999991</v>
      </c>
      <c r="AA564">
        <f>IF(Table1[[#This Row],[Freq]]="Yearly",Table1[[#This Row],[Coupon_Rate]]/100,IF(Table1[[#This Row],[Freq]]="Monthly",Table1[[#This Row],[Coupon_Rate]]/1200,IF(Table1[[#This Row],[Freq]]="Quarterly",Table1[[#This Row],[Coupon_Rate]]/400,0)))</f>
        <v>7.0900000000000005E-2</v>
      </c>
      <c r="AB564">
        <f ca="1">Table1[[#This Row],[Face Value]]*Table1[[#This Row],[Rate]]*Table1[[#This Row],[Time]]</f>
        <v>496.30000000000007</v>
      </c>
      <c r="AC564">
        <f ca="1">Table1[[#This Row],[SI]]+Table1[[#This Row],[Disc/Prem]]</f>
        <v>165.70000000000016</v>
      </c>
      <c r="AD564" s="3">
        <f ca="1">Table1[[#This Row],[Net Gain]]/Table1[[#This Row],[Ask Rate]]</f>
        <v>0.12453028708853162</v>
      </c>
      <c r="AE564" s="3">
        <f ca="1">IF(Table1[[#This Row],[Ask Qty]]=0,0,Table1[[#This Row],[Gross Yield]]*365/Table1[[#This Row],[Days Left]])</f>
        <v>2.0557917135827247E-2</v>
      </c>
      <c r="AF564" s="9">
        <f ca="1">+Table1[[#This Row],[Net Gain]]*Table1[[#This Row],[Ask Qty]]</f>
        <v>8285.0000000000073</v>
      </c>
      <c r="AG564" t="str">
        <f ca="1">IF(Table1[[#This Row],[YTM]]&gt;0.12,IF(Table1[[#This Row],[Gross Profit]]&gt;10000,"Invest","Review"),"Low YTM")</f>
        <v>Low YTM</v>
      </c>
    </row>
    <row r="565" spans="1:33" x14ac:dyDescent="0.3">
      <c r="A565" t="str">
        <f>RTD("nest.scriprtd",,"bse_cm|735NHAI31","Symbol")</f>
        <v>735NHAI31</v>
      </c>
      <c r="B565" t="str">
        <f>RTD("nest.scriprtd",,"bse_cm|735NHAI31","Trading Symbol")</f>
        <v>735NHAI31</v>
      </c>
      <c r="C565" t="str">
        <f>RTD("nest.scriprtd",,"bse_cm|735NHAI31","Exchange")</f>
        <v>BSE</v>
      </c>
      <c r="D565">
        <f>RTD("nest.scriprtd",,"bse_cm|735NHAI31","Bid Qty")</f>
        <v>250</v>
      </c>
      <c r="E565">
        <f>RTD("nest.scriprtd",,"bse_cm|735NHAI31","Bid Rate")</f>
        <v>1126.01</v>
      </c>
      <c r="F565">
        <f>RTD("nest.scriprtd",,"bse_cm|735NHAI31","Ask Rate")</f>
        <v>1344.9</v>
      </c>
      <c r="G565">
        <f>RTD("nest.scriprtd",,"bse_cm|735NHAI31","Ask Qty")</f>
        <v>439</v>
      </c>
      <c r="H565">
        <f>RTD("nest.scriprtd",,"bse_cm|735NHAI31","LTP")</f>
        <v>0</v>
      </c>
      <c r="I565" t="str">
        <f>RTD("nest.scriprtd",,"bse_cm|735NHAI31","LTT")</f>
        <v>00:00:00</v>
      </c>
      <c r="J565">
        <f>RTD("nest.scriprtd",,"bse_cm|735NHAI31","% Change")</f>
        <v>-100</v>
      </c>
      <c r="K565">
        <f>RTD("nest.scriprtd",,"bse_cm|735NHAI31","ATP")</f>
        <v>0</v>
      </c>
      <c r="L565">
        <f>RTD("nest.scriprtd",,"bse_cm|735NHAI31","Volume Traded Today")</f>
        <v>0</v>
      </c>
      <c r="M565">
        <f>RTD("nest.scriprtd",,"bse_cm|735NHAI31","Open")</f>
        <v>0</v>
      </c>
      <c r="N565">
        <f>RTD("nest.scriprtd",,"bse_cm|735NHAI31","High")</f>
        <v>1124.0999999999999</v>
      </c>
      <c r="O565">
        <f>RTD("nest.scriprtd",,"bse_cm|735NHAI31","Low ")</f>
        <v>1124.0999999999999</v>
      </c>
      <c r="P565">
        <f>RTD("nest.scriprtd",,"bse_cm|735NHAI31","Prev Close")</f>
        <v>1124.0999999999999</v>
      </c>
      <c r="Q565">
        <f>RTD("nest.scriprtd",,"bse_cm|735NHAI31","Face Value")</f>
        <v>1000</v>
      </c>
      <c r="R565" t="str">
        <f>RTD("nest.scriprtd",,"bse_cm|735NHAI31","Isin code")</f>
        <v>INE906B07EI0</v>
      </c>
      <c r="S565" s="9">
        <f>Table1[[#This Row],[Ask Rate]]*Table1[[#This Row],[Ask Qty]]</f>
        <v>590411.10000000009</v>
      </c>
      <c r="T565">
        <f>VLOOKUP(Table1[[#This Row],[Isin code]],Table2[#All],7,FALSE)</f>
        <v>7.35</v>
      </c>
      <c r="U565" s="17" t="str">
        <f>VLOOKUP(Table1[[#This Row],[Isin code]],Table2[#All],8,FALSE)</f>
        <v>11-Jan-2031</v>
      </c>
      <c r="V565" s="10">
        <f ca="1">Table1[[#This Row],[Maturity]]-TODAY()</f>
        <v>2278</v>
      </c>
      <c r="W565" t="str">
        <f>VLOOKUP(Table1[[#This Row],[Isin code]],Table2[#All],10,FALSE)</f>
        <v>Yearly</v>
      </c>
      <c r="X565">
        <f ca="1">_xlfn.DAYS(Table1[[#This Row],[Maturity]],TODAY())-15</f>
        <v>2263</v>
      </c>
      <c r="Y5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565">
        <f>IF(Table1[[#This Row],[Ask Rate]]=0,0,Table1[[#This Row],[Face Value]]-Table1[[#This Row],[Ask Rate]])</f>
        <v>-344.90000000000009</v>
      </c>
      <c r="AA565">
        <f>IF(Table1[[#This Row],[Freq]]="Yearly",Table1[[#This Row],[Coupon_Rate]]/100,IF(Table1[[#This Row],[Freq]]="Monthly",Table1[[#This Row],[Coupon_Rate]]/1200,IF(Table1[[#This Row],[Freq]]="Quarterly",Table1[[#This Row],[Coupon_Rate]]/400,0)))</f>
        <v>7.3499999999999996E-2</v>
      </c>
      <c r="AB565">
        <f ca="1">Table1[[#This Row],[Face Value]]*Table1[[#This Row],[Rate]]*Table1[[#This Row],[Time]]</f>
        <v>514.5</v>
      </c>
      <c r="AC565">
        <f ca="1">Table1[[#This Row],[SI]]+Table1[[#This Row],[Disc/Prem]]</f>
        <v>169.59999999999991</v>
      </c>
      <c r="AD565" s="3">
        <f ca="1">Table1[[#This Row],[Net Gain]]/Table1[[#This Row],[Ask Rate]]</f>
        <v>0.126106030188118</v>
      </c>
      <c r="AE565" s="3">
        <f ca="1">IF(Table1[[#This Row],[Ask Qty]]=0,0,Table1[[#This Row],[Gross Yield]]*365/Table1[[#This Row],[Days Left]])</f>
        <v>2.0205751105646652E-2</v>
      </c>
      <c r="AF565" s="9">
        <f ca="1">+Table1[[#This Row],[Net Gain]]*Table1[[#This Row],[Ask Qty]]</f>
        <v>74454.399999999965</v>
      </c>
      <c r="AG565" t="str">
        <f ca="1">IF(Table1[[#This Row],[YTM]]&gt;0.12,IF(Table1[[#This Row],[Gross Profit]]&gt;10000,"Invest","Review"),"Low YTM")</f>
        <v>Low YTM</v>
      </c>
    </row>
    <row r="566" spans="1:33" hidden="1" x14ac:dyDescent="0.3">
      <c r="A566" t="str">
        <f>RTD("nest.scriprtd",,"bse_cm|945CAGL24","Symbol")</f>
        <v>945CAGL24</v>
      </c>
      <c r="B566" t="str">
        <f>RTD("nest.scriprtd",,"bse_cm|945CAGL24","Trading Symbol")</f>
        <v>945CAGL24</v>
      </c>
      <c r="C566" t="str">
        <f>RTD("nest.scriprtd",,"bse_cm|945CAGL24","Exchange")</f>
        <v>BSE</v>
      </c>
      <c r="D566">
        <f>RTD("nest.scriprtd",,"bse_cm|945CAGL24","Bid Qty")</f>
        <v>97</v>
      </c>
      <c r="E566">
        <f>RTD("nest.scriprtd",,"bse_cm|945CAGL24","Bid Rate")</f>
        <v>981</v>
      </c>
      <c r="F566">
        <f>RTD("nest.scriprtd",,"bse_cm|945CAGL24","Ask Rate")</f>
        <v>1006</v>
      </c>
      <c r="G566">
        <f>RTD("nest.scriprtd",,"bse_cm|945CAGL24","Ask Qty")</f>
        <v>351</v>
      </c>
      <c r="H566">
        <f>RTD("nest.scriprtd",,"bse_cm|945CAGL24","LTP")</f>
        <v>0</v>
      </c>
      <c r="I566" t="str">
        <f>RTD("nest.scriprtd",,"bse_cm|945CAGL24","LTT")</f>
        <v>00:00:00</v>
      </c>
      <c r="J566">
        <f>RTD("nest.scriprtd",,"bse_cm|945CAGL24","% Change")</f>
        <v>-100</v>
      </c>
      <c r="K566">
        <f>RTD("nest.scriprtd",,"bse_cm|945CAGL24","ATP")</f>
        <v>0</v>
      </c>
      <c r="L566">
        <f>RTD("nest.scriprtd",,"bse_cm|945CAGL24","Volume Traded Today")</f>
        <v>0</v>
      </c>
      <c r="M566">
        <f>RTD("nest.scriprtd",,"bse_cm|945CAGL24","Open")</f>
        <v>0</v>
      </c>
      <c r="N566">
        <f>RTD("nest.scriprtd",,"bse_cm|945CAGL24","High")</f>
        <v>995</v>
      </c>
      <c r="O566">
        <f>RTD("nest.scriprtd",,"bse_cm|945CAGL24","Low ")</f>
        <v>965.39</v>
      </c>
      <c r="P566">
        <f>RTD("nest.scriprtd",,"bse_cm|945CAGL24","Prev Close")</f>
        <v>991.63</v>
      </c>
      <c r="Q566">
        <f>RTD("nest.scriprtd",,"bse_cm|945CAGL24","Face Value")</f>
        <v>1000</v>
      </c>
      <c r="R566" t="str">
        <f>RTD("nest.scriprtd",,"bse_cm|945CAGL24","Isin code")</f>
        <v>INE741K07462</v>
      </c>
      <c r="S566" s="9">
        <f>Table1[[#This Row],[Ask Rate]]*Table1[[#This Row],[Ask Qty]]</f>
        <v>353106</v>
      </c>
      <c r="T566">
        <f>VLOOKUP(Table1[[#This Row],[Isin code]],Table2[#All],7,FALSE)</f>
        <v>9.4499999999999993</v>
      </c>
      <c r="U566" s="17" t="str">
        <f>VLOOKUP(Table1[[#This Row],[Isin code]],Table2[#All],8,FALSE)</f>
        <v>23-Nov-2024</v>
      </c>
      <c r="V566" s="10">
        <f ca="1">Table1[[#This Row],[Maturity]]-TODAY()</f>
        <v>38</v>
      </c>
      <c r="W566" t="str">
        <f>VLOOKUP(Table1[[#This Row],[Isin code]],Table2[#All],10,FALSE)</f>
        <v>Monthly</v>
      </c>
      <c r="X566">
        <f ca="1">_xlfn.DAYS(Table1[[#This Row],[Maturity]],TODAY())-15</f>
        <v>23</v>
      </c>
      <c r="Y5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566">
        <f>IF(Table1[[#This Row],[Ask Rate]]=0,0,Table1[[#This Row],[Face Value]]-Table1[[#This Row],[Ask Rate]])</f>
        <v>-6</v>
      </c>
      <c r="AA566">
        <f>IF(Table1[[#This Row],[Freq]]="Yearly",Table1[[#This Row],[Coupon_Rate]]/100,IF(Table1[[#This Row],[Freq]]="Monthly",Table1[[#This Row],[Coupon_Rate]]/1200,IF(Table1[[#This Row],[Freq]]="Quarterly",Table1[[#This Row],[Coupon_Rate]]/400,0)))</f>
        <v>7.8750000000000001E-3</v>
      </c>
      <c r="AB566">
        <f ca="1">Table1[[#This Row],[Face Value]]*Table1[[#This Row],[Rate]]*Table1[[#This Row],[Time]]</f>
        <v>7.875</v>
      </c>
      <c r="AC566">
        <f ca="1">Table1[[#This Row],[SI]]+Table1[[#This Row],[Disc/Prem]]</f>
        <v>1.875</v>
      </c>
      <c r="AD566" s="3">
        <f ca="1">Table1[[#This Row],[Net Gain]]/Table1[[#This Row],[Ask Rate]]</f>
        <v>1.8638170974155069E-3</v>
      </c>
      <c r="AE566" s="3">
        <f ca="1">IF(Table1[[#This Row],[Ask Qty]]=0,0,Table1[[#This Row],[Gross Yield]]*365/Table1[[#This Row],[Days Left]])</f>
        <v>1.7902453698859476E-2</v>
      </c>
      <c r="AF566" s="9">
        <f ca="1">+Table1[[#This Row],[Net Gain]]*Table1[[#This Row],[Ask Qty]]</f>
        <v>658.125</v>
      </c>
      <c r="AG566" t="str">
        <f ca="1">IF(Table1[[#This Row],[YTM]]&gt;0.12,IF(Table1[[#This Row],[Gross Profit]]&gt;10000,"Invest","Review"),"Low YTM")</f>
        <v>Low YTM</v>
      </c>
    </row>
    <row r="567" spans="1:33" x14ac:dyDescent="0.3">
      <c r="A567" t="str">
        <f>RTD("nest.scriprtd",,"bse_cm|1102NFL26","Symbol")</f>
        <v>1102NFL26</v>
      </c>
      <c r="B567" t="str">
        <f>RTD("nest.scriprtd",,"bse_cm|1102NFL26","Trading Symbol")</f>
        <v>1102NFL26</v>
      </c>
      <c r="C567" t="str">
        <f>RTD("nest.scriprtd",,"bse_cm|1102NFL26","Exchange")</f>
        <v>BSE</v>
      </c>
      <c r="D567">
        <f>RTD("nest.scriprtd",,"bse_cm|1102NFL26","Bid Qty")</f>
        <v>38</v>
      </c>
      <c r="E567">
        <f>RTD("nest.scriprtd",,"bse_cm|1102NFL26","Bid Rate")</f>
        <v>952.05</v>
      </c>
      <c r="F567">
        <f>RTD("nest.scriprtd",,"bse_cm|1102NFL26","Ask Rate")</f>
        <v>1180</v>
      </c>
      <c r="G567">
        <f>RTD("nest.scriprtd",,"bse_cm|1102NFL26","Ask Qty")</f>
        <v>34</v>
      </c>
      <c r="H567">
        <f>RTD("nest.scriprtd",,"bse_cm|1102NFL26","LTP")</f>
        <v>0</v>
      </c>
      <c r="I567" t="str">
        <f>RTD("nest.scriprtd",,"bse_cm|1102NFL26","LTT")</f>
        <v>00:00:00</v>
      </c>
      <c r="J567">
        <f>RTD("nest.scriprtd",,"bse_cm|1102NFL26","% Change")</f>
        <v>-100</v>
      </c>
      <c r="K567">
        <f>RTD("nest.scriprtd",,"bse_cm|1102NFL26","ATP")</f>
        <v>0</v>
      </c>
      <c r="L567">
        <f>RTD("nest.scriprtd",,"bse_cm|1102NFL26","Volume Traded Today")</f>
        <v>0</v>
      </c>
      <c r="M567">
        <f>RTD("nest.scriprtd",,"bse_cm|1102NFL26","Open")</f>
        <v>0</v>
      </c>
      <c r="N567">
        <f>RTD("nest.scriprtd",,"bse_cm|1102NFL26","High")</f>
        <v>986</v>
      </c>
      <c r="O567">
        <f>RTD("nest.scriprtd",,"bse_cm|1102NFL26","Low ")</f>
        <v>986</v>
      </c>
      <c r="P567">
        <f>RTD("nest.scriprtd",,"bse_cm|1102NFL26","Prev Close")</f>
        <v>986</v>
      </c>
      <c r="Q567">
        <f>RTD("nest.scriprtd",,"bse_cm|1102NFL26","Face Value")</f>
        <v>1000</v>
      </c>
      <c r="R567" t="str">
        <f>RTD("nest.scriprtd",,"bse_cm|1102NFL26","Isin code")</f>
        <v>INE342T07403</v>
      </c>
      <c r="S567" s="9">
        <f>Table1[[#This Row],[Ask Rate]]*Table1[[#This Row],[Ask Qty]]</f>
        <v>40120</v>
      </c>
      <c r="T567">
        <f>VLOOKUP(Table1[[#This Row],[Isin code]],Table2[#All],7,FALSE)</f>
        <v>11.02</v>
      </c>
      <c r="U567" s="17" t="str">
        <f>VLOOKUP(Table1[[#This Row],[Isin code]],Table2[#All],8,FALSE)</f>
        <v>18-Jul-2026</v>
      </c>
      <c r="V567" s="10">
        <f ca="1">Table1[[#This Row],[Maturity]]-TODAY()</f>
        <v>640</v>
      </c>
      <c r="W567" t="str">
        <f>VLOOKUP(Table1[[#This Row],[Isin code]],Table2[#All],10,FALSE)</f>
        <v>Yearly</v>
      </c>
      <c r="X567">
        <f ca="1">_xlfn.DAYS(Table1[[#This Row],[Maturity]],TODAY())-15</f>
        <v>625</v>
      </c>
      <c r="Y5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67">
        <f>IF(Table1[[#This Row],[Ask Rate]]=0,0,Table1[[#This Row],[Face Value]]-Table1[[#This Row],[Ask Rate]])</f>
        <v>-180</v>
      </c>
      <c r="AA567">
        <f>IF(Table1[[#This Row],[Freq]]="Yearly",Table1[[#This Row],[Coupon_Rate]]/100,IF(Table1[[#This Row],[Freq]]="Monthly",Table1[[#This Row],[Coupon_Rate]]/1200,IF(Table1[[#This Row],[Freq]]="Quarterly",Table1[[#This Row],[Coupon_Rate]]/400,0)))</f>
        <v>0.11019999999999999</v>
      </c>
      <c r="AB567">
        <f ca="1">Table1[[#This Row],[Face Value]]*Table1[[#This Row],[Rate]]*Table1[[#This Row],[Time]]</f>
        <v>220.39999999999998</v>
      </c>
      <c r="AC567">
        <f ca="1">Table1[[#This Row],[SI]]+Table1[[#This Row],[Disc/Prem]]</f>
        <v>40.399999999999977</v>
      </c>
      <c r="AD567" s="3">
        <f ca="1">Table1[[#This Row],[Net Gain]]/Table1[[#This Row],[Ask Rate]]</f>
        <v>3.4237288135593201E-2</v>
      </c>
      <c r="AE567" s="3">
        <f ca="1">IF(Table1[[#This Row],[Ask Qty]]=0,0,Table1[[#This Row],[Gross Yield]]*365/Table1[[#This Row],[Days Left]])</f>
        <v>1.9525953389830496E-2</v>
      </c>
      <c r="AF567" s="9">
        <f ca="1">+Table1[[#This Row],[Net Gain]]*Table1[[#This Row],[Ask Qty]]</f>
        <v>1373.5999999999992</v>
      </c>
      <c r="AG567" t="str">
        <f ca="1">IF(Table1[[#This Row],[YTM]]&gt;0.12,IF(Table1[[#This Row],[Gross Profit]]&gt;10000,"Invest","Review"),"Low YTM")</f>
        <v>Low YTM</v>
      </c>
    </row>
    <row r="568" spans="1:33" x14ac:dyDescent="0.3">
      <c r="A568" t="str">
        <f>RTD("nest.scriprtd",,"bse_cm|749IREDA31","Symbol")</f>
        <v>749IREDA31</v>
      </c>
      <c r="B568" t="str">
        <f>RTD("nest.scriprtd",,"bse_cm|749IREDA31","Trading Symbol")</f>
        <v>749IREDA31</v>
      </c>
      <c r="C568" t="str">
        <f>RTD("nest.scriprtd",,"bse_cm|749IREDA31","Exchange")</f>
        <v>BSE</v>
      </c>
      <c r="D568">
        <f>RTD("nest.scriprtd",,"bse_cm|749IREDA31","Bid Qty")</f>
        <v>100</v>
      </c>
      <c r="E568">
        <f>RTD("nest.scriprtd",,"bse_cm|749IREDA31","Bid Rate")</f>
        <v>1117.0999999999999</v>
      </c>
      <c r="F568">
        <f>RTD("nest.scriprtd",,"bse_cm|749IREDA31","Ask Rate")</f>
        <v>1365.9</v>
      </c>
      <c r="G568">
        <f>RTD("nest.scriprtd",,"bse_cm|749IREDA31","Ask Qty")</f>
        <v>70</v>
      </c>
      <c r="H568">
        <f>RTD("nest.scriprtd",,"bse_cm|749IREDA31","LTP")</f>
        <v>0</v>
      </c>
      <c r="I568" t="str">
        <f>RTD("nest.scriprtd",,"bse_cm|749IREDA31","LTT")</f>
        <v>00:00:00</v>
      </c>
      <c r="J568">
        <f>RTD("nest.scriprtd",,"bse_cm|749IREDA31","% Change")</f>
        <v>-100</v>
      </c>
      <c r="K568">
        <f>RTD("nest.scriprtd",,"bse_cm|749IREDA31","ATP")</f>
        <v>0</v>
      </c>
      <c r="L568">
        <f>RTD("nest.scriprtd",,"bse_cm|749IREDA31","Volume Traded Today")</f>
        <v>0</v>
      </c>
      <c r="M568">
        <f>RTD("nest.scriprtd",,"bse_cm|749IREDA31","Open")</f>
        <v>0</v>
      </c>
      <c r="N568">
        <f>RTD("nest.scriprtd",,"bse_cm|749IREDA31","High")</f>
        <v>1140</v>
      </c>
      <c r="O568">
        <f>RTD("nest.scriprtd",,"bse_cm|749IREDA31","Low ")</f>
        <v>1140</v>
      </c>
      <c r="P568">
        <f>RTD("nest.scriprtd",,"bse_cm|749IREDA31","Prev Close")</f>
        <v>1140</v>
      </c>
      <c r="Q568">
        <f>RTD("nest.scriprtd",,"bse_cm|749IREDA31","Face Value")</f>
        <v>1000</v>
      </c>
      <c r="R568" t="str">
        <f>RTD("nest.scriprtd",,"bse_cm|749IREDA31","Isin code")</f>
        <v>INE202E07195</v>
      </c>
      <c r="S568" s="9">
        <f>Table1[[#This Row],[Ask Rate]]*Table1[[#This Row],[Ask Qty]]</f>
        <v>95613</v>
      </c>
      <c r="T568">
        <f>VLOOKUP(Table1[[#This Row],[Isin code]],Table2[#All],7,FALSE)</f>
        <v>7.4899999999999993</v>
      </c>
      <c r="U568" s="17" t="str">
        <f>VLOOKUP(Table1[[#This Row],[Isin code]],Table2[#All],8,FALSE)</f>
        <v>21-Jan-2031</v>
      </c>
      <c r="V568" s="10">
        <f ca="1">Table1[[#This Row],[Maturity]]-TODAY()</f>
        <v>2288</v>
      </c>
      <c r="W568" t="str">
        <f>VLOOKUP(Table1[[#This Row],[Isin code]],Table2[#All],10,FALSE)</f>
        <v>Yearly</v>
      </c>
      <c r="X568">
        <f ca="1">_xlfn.DAYS(Table1[[#This Row],[Maturity]],TODAY())-15</f>
        <v>2273</v>
      </c>
      <c r="Y5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568">
        <f>IF(Table1[[#This Row],[Ask Rate]]=0,0,Table1[[#This Row],[Face Value]]-Table1[[#This Row],[Ask Rate]])</f>
        <v>-365.90000000000009</v>
      </c>
      <c r="AA568">
        <f>IF(Table1[[#This Row],[Freq]]="Yearly",Table1[[#This Row],[Coupon_Rate]]/100,IF(Table1[[#This Row],[Freq]]="Monthly",Table1[[#This Row],[Coupon_Rate]]/1200,IF(Table1[[#This Row],[Freq]]="Quarterly",Table1[[#This Row],[Coupon_Rate]]/400,0)))</f>
        <v>7.4899999999999994E-2</v>
      </c>
      <c r="AB568">
        <f ca="1">Table1[[#This Row],[Face Value]]*Table1[[#This Row],[Rate]]*Table1[[#This Row],[Time]]</f>
        <v>524.29999999999995</v>
      </c>
      <c r="AC568">
        <f ca="1">Table1[[#This Row],[SI]]+Table1[[#This Row],[Disc/Prem]]</f>
        <v>158.39999999999986</v>
      </c>
      <c r="AD568" s="3">
        <f ca="1">Table1[[#This Row],[Net Gain]]/Table1[[#This Row],[Ask Rate]]</f>
        <v>0.11596749396002624</v>
      </c>
      <c r="AE568" s="3">
        <f ca="1">IF(Table1[[#This Row],[Ask Qty]]=0,0,Table1[[#This Row],[Gross Yield]]*365/Table1[[#This Row],[Days Left]])</f>
        <v>1.8500059132609083E-2</v>
      </c>
      <c r="AF568" s="9">
        <f ca="1">+Table1[[#This Row],[Net Gain]]*Table1[[#This Row],[Ask Qty]]</f>
        <v>11087.999999999991</v>
      </c>
      <c r="AG568" t="str">
        <f ca="1">IF(Table1[[#This Row],[YTM]]&gt;0.12,IF(Table1[[#This Row],[Gross Profit]]&gt;10000,"Invest","Review"),"Low YTM")</f>
        <v>Low YTM</v>
      </c>
    </row>
    <row r="569" spans="1:33" x14ac:dyDescent="0.3">
      <c r="A569" t="str">
        <f>RTD("nest.scriprtd",,"bse_cm|739HUDCO31","Symbol")</f>
        <v>739HUDCO31</v>
      </c>
      <c r="B569" t="str">
        <f>RTD("nest.scriprtd",,"bse_cm|739HUDCO31","Trading Symbol")</f>
        <v>739HUDCO31</v>
      </c>
      <c r="C569" t="str">
        <f>RTD("nest.scriprtd",,"bse_cm|739HUDCO31","Exchange")</f>
        <v>BSE</v>
      </c>
      <c r="D569">
        <f>RTD("nest.scriprtd",,"bse_cm|739HUDCO31","Bid Qty")</f>
        <v>100</v>
      </c>
      <c r="E569">
        <f>RTD("nest.scriprtd",,"bse_cm|739HUDCO31","Bid Rate")</f>
        <v>1120.01</v>
      </c>
      <c r="F569">
        <f>RTD("nest.scriprtd",,"bse_cm|739HUDCO31","Ask Rate")</f>
        <v>1359.9</v>
      </c>
      <c r="G569">
        <f>RTD("nest.scriprtd",,"bse_cm|739HUDCO31","Ask Qty")</f>
        <v>100</v>
      </c>
      <c r="H569">
        <f>RTD("nest.scriprtd",,"bse_cm|739HUDCO31","LTP")</f>
        <v>0</v>
      </c>
      <c r="I569" t="str">
        <f>RTD("nest.scriprtd",,"bse_cm|739HUDCO31","LTT")</f>
        <v>00:00:00</v>
      </c>
      <c r="J569">
        <f>RTD("nest.scriprtd",,"bse_cm|739HUDCO31","% Change")</f>
        <v>-100</v>
      </c>
      <c r="K569">
        <f>RTD("nest.scriprtd",,"bse_cm|739HUDCO31","ATP")</f>
        <v>0</v>
      </c>
      <c r="L569">
        <f>RTD("nest.scriprtd",,"bse_cm|739HUDCO31","Volume Traded Today")</f>
        <v>0</v>
      </c>
      <c r="M569">
        <f>RTD("nest.scriprtd",,"bse_cm|739HUDCO31","Open")</f>
        <v>0</v>
      </c>
      <c r="N569">
        <f>RTD("nest.scriprtd",,"bse_cm|739HUDCO31","High")</f>
        <v>1135</v>
      </c>
      <c r="O569">
        <f>RTD("nest.scriprtd",,"bse_cm|739HUDCO31","Low ")</f>
        <v>1135</v>
      </c>
      <c r="P569">
        <f>RTD("nest.scriprtd",,"bse_cm|739HUDCO31","Prev Close")</f>
        <v>1135</v>
      </c>
      <c r="Q569">
        <f>RTD("nest.scriprtd",,"bse_cm|739HUDCO31","Face Value")</f>
        <v>1000</v>
      </c>
      <c r="R569" t="str">
        <f>RTD("nest.scriprtd",,"bse_cm|739HUDCO31","Isin code")</f>
        <v>INE031A07AR8</v>
      </c>
      <c r="S569" s="9">
        <f>Table1[[#This Row],[Ask Rate]]*Table1[[#This Row],[Ask Qty]]</f>
        <v>135990</v>
      </c>
      <c r="T569">
        <f>VLOOKUP(Table1[[#This Row],[Isin code]],Table2[#All],7,FALSE)</f>
        <v>7.39</v>
      </c>
      <c r="U569" s="17" t="str">
        <f>VLOOKUP(Table1[[#This Row],[Isin code]],Table2[#All],8,FALSE)</f>
        <v>15-Mar-2031</v>
      </c>
      <c r="V569" s="10">
        <f ca="1">Table1[[#This Row],[Maturity]]-TODAY()</f>
        <v>2341</v>
      </c>
      <c r="W569" t="str">
        <f>VLOOKUP(Table1[[#This Row],[Isin code]],Table2[#All],10,FALSE)</f>
        <v>Yearly</v>
      </c>
      <c r="X569">
        <f ca="1">_xlfn.DAYS(Table1[[#This Row],[Maturity]],TODAY())-15</f>
        <v>2326</v>
      </c>
      <c r="Y5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569">
        <f>IF(Table1[[#This Row],[Ask Rate]]=0,0,Table1[[#This Row],[Face Value]]-Table1[[#This Row],[Ask Rate]])</f>
        <v>-359.90000000000009</v>
      </c>
      <c r="AA569">
        <f>IF(Table1[[#This Row],[Freq]]="Yearly",Table1[[#This Row],[Coupon_Rate]]/100,IF(Table1[[#This Row],[Freq]]="Monthly",Table1[[#This Row],[Coupon_Rate]]/1200,IF(Table1[[#This Row],[Freq]]="Quarterly",Table1[[#This Row],[Coupon_Rate]]/400,0)))</f>
        <v>7.3899999999999993E-2</v>
      </c>
      <c r="AB569">
        <f ca="1">Table1[[#This Row],[Face Value]]*Table1[[#This Row],[Rate]]*Table1[[#This Row],[Time]]</f>
        <v>517.29999999999995</v>
      </c>
      <c r="AC569">
        <f ca="1">Table1[[#This Row],[SI]]+Table1[[#This Row],[Disc/Prem]]</f>
        <v>157.39999999999986</v>
      </c>
      <c r="AD569" s="3">
        <f ca="1">Table1[[#This Row],[Net Gain]]/Table1[[#This Row],[Ask Rate]]</f>
        <v>0.11574380469152133</v>
      </c>
      <c r="AE569" s="3">
        <f ca="1">IF(Table1[[#This Row],[Ask Qty]]=0,0,Table1[[#This Row],[Gross Yield]]*365/Table1[[#This Row],[Days Left]])</f>
        <v>1.8046342892953988E-2</v>
      </c>
      <c r="AF569" s="9">
        <f ca="1">+Table1[[#This Row],[Net Gain]]*Table1[[#This Row],[Ask Qty]]</f>
        <v>15739.999999999985</v>
      </c>
      <c r="AG569" t="str">
        <f ca="1">IF(Table1[[#This Row],[YTM]]&gt;0.12,IF(Table1[[#This Row],[Gross Profit]]&gt;10000,"Invest","Review"),"Low YTM")</f>
        <v>Low YTM</v>
      </c>
    </row>
    <row r="570" spans="1:33" x14ac:dyDescent="0.3">
      <c r="A570" t="str">
        <f>RTD("nest.scriprtd",,"bse_cm|EFS290424","Symbol")</f>
        <v>EFS290424</v>
      </c>
      <c r="B570" t="str">
        <f>RTD("nest.scriprtd",,"bse_cm|EFS290424","Trading Symbol")</f>
        <v>EFS290424</v>
      </c>
      <c r="C570" t="str">
        <f>RTD("nest.scriprtd",,"bse_cm|EFS290424","Exchange")</f>
        <v>BSE</v>
      </c>
      <c r="D570">
        <f>RTD("nest.scriprtd",,"bse_cm|EFS290424","Bid Qty")</f>
        <v>10</v>
      </c>
      <c r="E570">
        <f>RTD("nest.scriprtd",,"bse_cm|EFS290424","Bid Rate")</f>
        <v>822</v>
      </c>
      <c r="F570">
        <f>RTD("nest.scriprtd",,"bse_cm|EFS290424","Ask Rate")</f>
        <v>960</v>
      </c>
      <c r="G570">
        <f>RTD("nest.scriprtd",,"bse_cm|EFS290424","Ask Qty")</f>
        <v>1</v>
      </c>
      <c r="H570">
        <f>RTD("nest.scriprtd",,"bse_cm|EFS290424","LTP")</f>
        <v>0</v>
      </c>
      <c r="I570" t="str">
        <f>RTD("nest.scriprtd",,"bse_cm|EFS290424","LTT")</f>
        <v>00:00:00</v>
      </c>
      <c r="J570">
        <f>RTD("nest.scriprtd",,"bse_cm|EFS290424","% Change")</f>
        <v>-100</v>
      </c>
      <c r="K570">
        <f>RTD("nest.scriprtd",,"bse_cm|EFS290424","ATP")</f>
        <v>0</v>
      </c>
      <c r="L570">
        <f>RTD("nest.scriprtd",,"bse_cm|EFS290424","Volume Traded Today")</f>
        <v>0</v>
      </c>
      <c r="M570">
        <f>RTD("nest.scriprtd",,"bse_cm|EFS290424","Open")</f>
        <v>0</v>
      </c>
      <c r="N570">
        <f>RTD("nest.scriprtd",,"bse_cm|EFS290424","High")</f>
        <v>963.51</v>
      </c>
      <c r="O570">
        <f>RTD("nest.scriprtd",,"bse_cm|EFS290424","Low ")</f>
        <v>963.51</v>
      </c>
      <c r="P570">
        <f>RTD("nest.scriprtd",,"bse_cm|EFS290424","Prev Close")</f>
        <v>963.51</v>
      </c>
      <c r="Q570">
        <f>RTD("nest.scriprtd",,"bse_cm|EFS290424","Face Value")</f>
        <v>1000</v>
      </c>
      <c r="R570" t="str">
        <f>RTD("nest.scriprtd",,"bse_cm|EFS290424","Isin code")</f>
        <v>INE532F07FM4</v>
      </c>
      <c r="S570" s="9">
        <f>Table1[[#This Row],[Ask Rate]]*Table1[[#This Row],[Ask Qty]]</f>
        <v>960</v>
      </c>
      <c r="T570" t="str">
        <f>VLOOKUP(Table1[[#This Row],[Isin code]],Table2[#All],7,FALSE)</f>
        <v>--</v>
      </c>
      <c r="U570" s="17" t="str">
        <f>VLOOKUP(Table1[[#This Row],[Isin code]],Table2[#All],8,FALSE)</f>
        <v>29-Apr-2027</v>
      </c>
      <c r="V570" s="10">
        <f ca="1">Table1[[#This Row],[Maturity]]-TODAY()</f>
        <v>925</v>
      </c>
      <c r="W570" t="str">
        <f>VLOOKUP(Table1[[#This Row],[Isin code]],Table2[#All],10,FALSE)</f>
        <v>At the End</v>
      </c>
      <c r="X570">
        <f ca="1">_xlfn.DAYS(Table1[[#This Row],[Maturity]],TODAY())-15</f>
        <v>910</v>
      </c>
      <c r="Y57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70">
        <f>IF(Table1[[#This Row],[Ask Rate]]=0,0,Table1[[#This Row],[Face Value]]-Table1[[#This Row],[Ask Rate]])</f>
        <v>40</v>
      </c>
      <c r="AA57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70">
        <f>Table1[[#This Row],[Face Value]]*Table1[[#This Row],[Rate]]*Table1[[#This Row],[Time]]</f>
        <v>0</v>
      </c>
      <c r="AC570">
        <f>Table1[[#This Row],[SI]]+Table1[[#This Row],[Disc/Prem]]</f>
        <v>40</v>
      </c>
      <c r="AD570" s="3">
        <f>Table1[[#This Row],[Net Gain]]/Table1[[#This Row],[Ask Rate]]</f>
        <v>4.1666666666666664E-2</v>
      </c>
      <c r="AE570" s="3">
        <f ca="1">IF(Table1[[#This Row],[Ask Qty]]=0,0,Table1[[#This Row],[Gross Yield]]*365/Table1[[#This Row],[Days Left]])</f>
        <v>1.644144144144144E-2</v>
      </c>
      <c r="AF570" s="9">
        <f>+Table1[[#This Row],[Net Gain]]*Table1[[#This Row],[Ask Qty]]</f>
        <v>40</v>
      </c>
      <c r="AG570" t="str">
        <f ca="1">IF(Table1[[#This Row],[YTM]]&gt;0.12,IF(Table1[[#This Row],[Gross Profit]]&gt;10000,"Invest","Review"),"Low YTM")</f>
        <v>Low YTM</v>
      </c>
    </row>
    <row r="571" spans="1:33" x14ac:dyDescent="0.3">
      <c r="A571" t="str">
        <f>RTD("nest.scriprtd",,"bse_cm|EFS290424A","Symbol")</f>
        <v>EFS290424A</v>
      </c>
      <c r="B571" t="str">
        <f>RTD("nest.scriprtd",,"bse_cm|EFS290424A","Trading Symbol")</f>
        <v>EFS290424A</v>
      </c>
      <c r="C571" t="str">
        <f>RTD("nest.scriprtd",,"bse_cm|EFS290424A","Exchange")</f>
        <v>BSE</v>
      </c>
      <c r="D571">
        <f>RTD("nest.scriprtd",,"bse_cm|EFS290424A","Bid Qty")</f>
        <v>10</v>
      </c>
      <c r="E571">
        <f>RTD("nest.scriprtd",,"bse_cm|EFS290424A","Bid Rate")</f>
        <v>822</v>
      </c>
      <c r="F571">
        <f>RTD("nest.scriprtd",,"bse_cm|EFS290424A","Ask Rate")</f>
        <v>936.37</v>
      </c>
      <c r="G571">
        <f>RTD("nest.scriprtd",,"bse_cm|EFS290424A","Ask Qty")</f>
        <v>8</v>
      </c>
      <c r="H571">
        <f>RTD("nest.scriprtd",,"bse_cm|EFS290424A","LTP")</f>
        <v>0</v>
      </c>
      <c r="I571" t="str">
        <f>RTD("nest.scriprtd",,"bse_cm|EFS290424A","LTT")</f>
        <v>00:00:00</v>
      </c>
      <c r="J571">
        <f>RTD("nest.scriprtd",,"bse_cm|EFS290424A","% Change")</f>
        <v>-100</v>
      </c>
      <c r="K571">
        <f>RTD("nest.scriprtd",,"bse_cm|EFS290424A","ATP")</f>
        <v>0</v>
      </c>
      <c r="L571">
        <f>RTD("nest.scriprtd",,"bse_cm|EFS290424A","Volume Traded Today")</f>
        <v>0</v>
      </c>
      <c r="M571">
        <f>RTD("nest.scriprtd",,"bse_cm|EFS290424A","Open")</f>
        <v>0</v>
      </c>
      <c r="N571">
        <f>RTD("nest.scriprtd",,"bse_cm|EFS290424A","High")</f>
        <v>936.34</v>
      </c>
      <c r="O571">
        <f>RTD("nest.scriprtd",,"bse_cm|EFS290424A","Low ")</f>
        <v>936.34</v>
      </c>
      <c r="P571">
        <f>RTD("nest.scriprtd",,"bse_cm|EFS290424A","Prev Close")</f>
        <v>936.34</v>
      </c>
      <c r="Q571">
        <f>RTD("nest.scriprtd",,"bse_cm|EFS290424A","Face Value")</f>
        <v>1000</v>
      </c>
      <c r="R571" t="str">
        <f>RTD("nest.scriprtd",,"bse_cm|EFS290424A","Isin code")</f>
        <v>INE532F07FH4</v>
      </c>
      <c r="S571" s="9">
        <f>Table1[[#This Row],[Ask Rate]]*Table1[[#This Row],[Ask Qty]]</f>
        <v>7490.96</v>
      </c>
      <c r="T571" t="str">
        <f>VLOOKUP(Table1[[#This Row],[Isin code]],Table2[#All],7,FALSE)</f>
        <v>--</v>
      </c>
      <c r="U571" s="17" t="str">
        <f>VLOOKUP(Table1[[#This Row],[Isin code]],Table2[#All],8,FALSE)</f>
        <v>29-Apr-2029</v>
      </c>
      <c r="V571" s="10">
        <f ca="1">Table1[[#This Row],[Maturity]]-TODAY()</f>
        <v>1656</v>
      </c>
      <c r="W571" t="str">
        <f>VLOOKUP(Table1[[#This Row],[Isin code]],Table2[#All],10,FALSE)</f>
        <v>At the End</v>
      </c>
      <c r="X571">
        <f ca="1">_xlfn.DAYS(Table1[[#This Row],[Maturity]],TODAY())-15</f>
        <v>1641</v>
      </c>
      <c r="Y57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71">
        <f>IF(Table1[[#This Row],[Ask Rate]]=0,0,Table1[[#This Row],[Face Value]]-Table1[[#This Row],[Ask Rate]])</f>
        <v>63.629999999999995</v>
      </c>
      <c r="AA57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71">
        <f>Table1[[#This Row],[Face Value]]*Table1[[#This Row],[Rate]]*Table1[[#This Row],[Time]]</f>
        <v>0</v>
      </c>
      <c r="AC571">
        <f>Table1[[#This Row],[SI]]+Table1[[#This Row],[Disc/Prem]]</f>
        <v>63.629999999999995</v>
      </c>
      <c r="AD571" s="3">
        <f>Table1[[#This Row],[Net Gain]]/Table1[[#This Row],[Ask Rate]]</f>
        <v>6.795390710936916E-2</v>
      </c>
      <c r="AE571" s="3">
        <f ca="1">IF(Table1[[#This Row],[Ask Qty]]=0,0,Table1[[#This Row],[Gross Yield]]*365/Table1[[#This Row],[Days Left]])</f>
        <v>1.497776334234284E-2</v>
      </c>
      <c r="AF571" s="9">
        <f>+Table1[[#This Row],[Net Gain]]*Table1[[#This Row],[Ask Qty]]</f>
        <v>509.03999999999996</v>
      </c>
      <c r="AG571" t="str">
        <f ca="1">IF(Table1[[#This Row],[YTM]]&gt;0.12,IF(Table1[[#This Row],[Gross Profit]]&gt;10000,"Invest","Review"),"Low YTM")</f>
        <v>Low YTM</v>
      </c>
    </row>
    <row r="572" spans="1:33" x14ac:dyDescent="0.3">
      <c r="A572" t="str">
        <f>RTD("nest.scriprtd",,"bse_cm|MFCL160924","Symbol")</f>
        <v>MFCL160924</v>
      </c>
      <c r="B572" t="str">
        <f>RTD("nest.scriprtd",,"bse_cm|MFCL160924","Trading Symbol")</f>
        <v>MFCL160924</v>
      </c>
      <c r="C572" t="str">
        <f>RTD("nest.scriprtd",,"bse_cm|MFCL160924","Exchange")</f>
        <v>BSE</v>
      </c>
      <c r="D572">
        <f>RTD("nest.scriprtd",,"bse_cm|MFCL160924","Bid Qty")</f>
        <v>8</v>
      </c>
      <c r="E572">
        <f>RTD("nest.scriprtd",,"bse_cm|MFCL160924","Bid Rate")</f>
        <v>952.02</v>
      </c>
      <c r="F572">
        <f>RTD("nest.scriprtd",,"bse_cm|MFCL160924","Ask Rate")</f>
        <v>973.8</v>
      </c>
      <c r="G572">
        <f>RTD("nest.scriprtd",,"bse_cm|MFCL160924","Ask Qty")</f>
        <v>20</v>
      </c>
      <c r="H572">
        <f>RTD("nest.scriprtd",,"bse_cm|MFCL160924","LTP")</f>
        <v>952.02</v>
      </c>
      <c r="I572" t="str">
        <f>RTD("nest.scriprtd",,"bse_cm|MFCL160924","LTT")</f>
        <v>15:07:06</v>
      </c>
      <c r="J572">
        <f>RTD("nest.scriprtd",,"bse_cm|MFCL160924","% Change")</f>
        <v>-0.31</v>
      </c>
      <c r="K572">
        <f>RTD("nest.scriprtd",,"bse_cm|MFCL160924","ATP")</f>
        <v>957.81</v>
      </c>
      <c r="L572">
        <f>RTD("nest.scriprtd",,"bse_cm|MFCL160924","Volume Traded Today")</f>
        <v>86</v>
      </c>
      <c r="M572">
        <f>RTD("nest.scriprtd",,"bse_cm|MFCL160924","Open")</f>
        <v>974.5</v>
      </c>
      <c r="N572">
        <f>RTD("nest.scriprtd",,"bse_cm|MFCL160924","High")</f>
        <v>974.5</v>
      </c>
      <c r="O572">
        <f>RTD("nest.scriprtd",,"bse_cm|MFCL160924","Low ")</f>
        <v>952</v>
      </c>
      <c r="P572">
        <f>RTD("nest.scriprtd",,"bse_cm|MFCL160924","Prev Close")</f>
        <v>955.02</v>
      </c>
      <c r="Q572">
        <f>RTD("nest.scriprtd",,"bse_cm|MFCL160924","Face Value")</f>
        <v>1000</v>
      </c>
      <c r="R572" t="str">
        <f>RTD("nest.scriprtd",,"bse_cm|MFCL160924","Isin code")</f>
        <v>INE549K07EL3</v>
      </c>
      <c r="S572" s="9">
        <f>Table1[[#This Row],[Ask Rate]]*Table1[[#This Row],[Ask Qty]]</f>
        <v>19476</v>
      </c>
      <c r="T572" t="str">
        <f>VLOOKUP(Table1[[#This Row],[Isin code]],Table2[#All],7,FALSE)</f>
        <v>--</v>
      </c>
      <c r="U572" s="17" t="str">
        <f>VLOOKUP(Table1[[#This Row],[Isin code]],Table2[#All],8,FALSE)</f>
        <v>16-Sep-2026</v>
      </c>
      <c r="V572" s="10">
        <f ca="1">Table1[[#This Row],[Maturity]]-TODAY()</f>
        <v>700</v>
      </c>
      <c r="W572" t="str">
        <f>VLOOKUP(Table1[[#This Row],[Isin code]],Table2[#All],10,FALSE)</f>
        <v>At the End</v>
      </c>
      <c r="X572">
        <f ca="1">_xlfn.DAYS(Table1[[#This Row],[Maturity]],TODAY())-15</f>
        <v>685</v>
      </c>
      <c r="Y57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72">
        <f>IF(Table1[[#This Row],[Ask Rate]]=0,0,Table1[[#This Row],[Face Value]]-Table1[[#This Row],[Ask Rate]])</f>
        <v>26.200000000000045</v>
      </c>
      <c r="AA57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72">
        <f>Table1[[#This Row],[Face Value]]*Table1[[#This Row],[Rate]]*Table1[[#This Row],[Time]]</f>
        <v>0</v>
      </c>
      <c r="AC572">
        <f>Table1[[#This Row],[SI]]+Table1[[#This Row],[Disc/Prem]]</f>
        <v>26.200000000000045</v>
      </c>
      <c r="AD572" s="3">
        <f>Table1[[#This Row],[Net Gain]]/Table1[[#This Row],[Ask Rate]]</f>
        <v>2.6904908605463181E-2</v>
      </c>
      <c r="AE572" s="3">
        <f ca="1">IF(Table1[[#This Row],[Ask Qty]]=0,0,Table1[[#This Row],[Gross Yield]]*365/Table1[[#This Row],[Days Left]])</f>
        <v>1.4028988058562944E-2</v>
      </c>
      <c r="AF572" s="9">
        <f>+Table1[[#This Row],[Net Gain]]*Table1[[#This Row],[Ask Qty]]</f>
        <v>524.00000000000091</v>
      </c>
      <c r="AG572" t="str">
        <f ca="1">IF(Table1[[#This Row],[YTM]]&gt;0.12,IF(Table1[[#This Row],[Gross Profit]]&gt;10000,"Invest","Review"),"Low YTM")</f>
        <v>Low YTM</v>
      </c>
    </row>
    <row r="573" spans="1:33" hidden="1" x14ac:dyDescent="0.3">
      <c r="A573" t="str">
        <f>RTD("nest.scriprtd",,"bse_cm|905SC24","Symbol")</f>
        <v>905SC24</v>
      </c>
      <c r="B573" t="str">
        <f>RTD("nest.scriprtd",,"bse_cm|905SC24","Trading Symbol")</f>
        <v>905SC24</v>
      </c>
      <c r="C573" t="str">
        <f>RTD("nest.scriprtd",,"bse_cm|905SC24","Exchange")</f>
        <v>BSE</v>
      </c>
      <c r="D573">
        <f>RTD("nest.scriprtd",,"bse_cm|905SC24","Bid Qty")</f>
        <v>0</v>
      </c>
      <c r="E573">
        <f>RTD("nest.scriprtd",,"bse_cm|905SC24","Bid Rate")</f>
        <v>0</v>
      </c>
      <c r="F573">
        <f>RTD("nest.scriprtd",,"bse_cm|905SC24","Ask Rate")</f>
        <v>1090</v>
      </c>
      <c r="G573">
        <f>RTD("nest.scriprtd",,"bse_cm|905SC24","Ask Qty")</f>
        <v>26</v>
      </c>
      <c r="H573">
        <f>RTD("nest.scriprtd",,"bse_cm|905SC24","LTP")</f>
        <v>0</v>
      </c>
      <c r="I573" t="str">
        <f>RTD("nest.scriprtd",,"bse_cm|905SC24","LTT")</f>
        <v>00:00:00</v>
      </c>
      <c r="J573">
        <f>RTD("nest.scriprtd",,"bse_cm|905SC24","% Change")</f>
        <v>-100</v>
      </c>
      <c r="K573">
        <f>RTD("nest.scriprtd",,"bse_cm|905SC24","ATP")</f>
        <v>0</v>
      </c>
      <c r="L573">
        <f>RTD("nest.scriprtd",,"bse_cm|905SC24","Volume Traded Today")</f>
        <v>0</v>
      </c>
      <c r="M573">
        <f>RTD("nest.scriprtd",,"bse_cm|905SC24","Open")</f>
        <v>0</v>
      </c>
      <c r="N573">
        <f>RTD("nest.scriprtd",,"bse_cm|905SC24","High")</f>
        <v>1099</v>
      </c>
      <c r="O573">
        <f>RTD("nest.scriprtd",,"bse_cm|905SC24","Low ")</f>
        <v>1079</v>
      </c>
      <c r="P573">
        <f>RTD("nest.scriprtd",,"bse_cm|905SC24","Prev Close")</f>
        <v>1079</v>
      </c>
      <c r="Q573">
        <f>RTD("nest.scriprtd",,"bse_cm|905SC24","Face Value")</f>
        <v>1000</v>
      </c>
      <c r="R573" t="str">
        <f>RTD("nest.scriprtd",,"bse_cm|905SC24","Isin code")</f>
        <v>INE148I07MN7</v>
      </c>
      <c r="S573" s="9">
        <f>Table1[[#This Row],[Ask Rate]]*Table1[[#This Row],[Ask Qty]]</f>
        <v>28340</v>
      </c>
      <c r="T573">
        <f>VLOOKUP(Table1[[#This Row],[Isin code]],Table2[#All],7,FALSE)</f>
        <v>9.0499999999999989</v>
      </c>
      <c r="U573" s="17" t="str">
        <f>VLOOKUP(Table1[[#This Row],[Isin code]],Table2[#All],8,FALSE)</f>
        <v>03-Nov-2024</v>
      </c>
      <c r="V573" s="10">
        <f ca="1">Table1[[#This Row],[Maturity]]-TODAY()</f>
        <v>18</v>
      </c>
      <c r="W573" t="str">
        <f>VLOOKUP(Table1[[#This Row],[Isin code]],Table2[#All],10,FALSE)</f>
        <v>Yearly</v>
      </c>
      <c r="X573">
        <f ca="1">_xlfn.DAYS(Table1[[#This Row],[Maturity]],TODAY())-15</f>
        <v>3</v>
      </c>
      <c r="Y5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573">
        <f>IF(Table1[[#This Row],[Ask Rate]]=0,0,Table1[[#This Row],[Face Value]]-Table1[[#This Row],[Ask Rate]])</f>
        <v>-90</v>
      </c>
      <c r="AA573">
        <f>IF(Table1[[#This Row],[Freq]]="Yearly",Table1[[#This Row],[Coupon_Rate]]/100,IF(Table1[[#This Row],[Freq]]="Monthly",Table1[[#This Row],[Coupon_Rate]]/1200,IF(Table1[[#This Row],[Freq]]="Quarterly",Table1[[#This Row],[Coupon_Rate]]/400,0)))</f>
        <v>9.0499999999999983E-2</v>
      </c>
      <c r="AB573">
        <f ca="1">Table1[[#This Row],[Face Value]]*Table1[[#This Row],[Rate]]*Table1[[#This Row],[Time]]</f>
        <v>90.499999999999986</v>
      </c>
      <c r="AC573">
        <f ca="1">Table1[[#This Row],[SI]]+Table1[[#This Row],[Disc/Prem]]</f>
        <v>0.49999999999998579</v>
      </c>
      <c r="AD573" s="3">
        <f ca="1">Table1[[#This Row],[Net Gain]]/Table1[[#This Row],[Ask Rate]]</f>
        <v>4.5871559633026219E-4</v>
      </c>
      <c r="AE573" s="3">
        <f ca="1">IF(Table1[[#This Row],[Ask Qty]]=0,0,Table1[[#This Row],[Gross Yield]]*365/Table1[[#This Row],[Days Left]])</f>
        <v>9.3017329255858719E-3</v>
      </c>
      <c r="AF573" s="9">
        <f ca="1">+Table1[[#This Row],[Net Gain]]*Table1[[#This Row],[Ask Qty]]</f>
        <v>12.999999999999631</v>
      </c>
      <c r="AG573" t="str">
        <f ca="1">IF(Table1[[#This Row],[YTM]]&gt;0.12,IF(Table1[[#This Row],[Gross Profit]]&gt;10000,"Invest","Review"),"Low YTM")</f>
        <v>Low YTM</v>
      </c>
    </row>
    <row r="574" spans="1:33" x14ac:dyDescent="0.3">
      <c r="A574" t="str">
        <f>RTD("nest.scriprtd",,"bse_cm|91SFL27","Symbol")</f>
        <v>91SFL27</v>
      </c>
      <c r="B574" t="str">
        <f>RTD("nest.scriprtd",,"bse_cm|91SFL27","Trading Symbol")</f>
        <v>91SFL27</v>
      </c>
      <c r="C574" t="str">
        <f>RTD("nest.scriprtd",,"bse_cm|91SFL27","Exchange")</f>
        <v>BSE</v>
      </c>
      <c r="D574">
        <f>RTD("nest.scriprtd",,"bse_cm|91SFL27","Bid Qty")</f>
        <v>50</v>
      </c>
      <c r="E574">
        <f>RTD("nest.scriprtd",,"bse_cm|91SFL27","Bid Rate")</f>
        <v>964.5</v>
      </c>
      <c r="F574">
        <f>RTD("nest.scriprtd",,"bse_cm|91SFL27","Ask Rate")</f>
        <v>1233.5</v>
      </c>
      <c r="G574">
        <f>RTD("nest.scriprtd",,"bse_cm|91SFL27","Ask Qty")</f>
        <v>50</v>
      </c>
      <c r="H574">
        <f>RTD("nest.scriprtd",,"bse_cm|91SFL27","LTP")</f>
        <v>0</v>
      </c>
      <c r="I574" t="str">
        <f>RTD("nest.scriprtd",,"bse_cm|91SFL27","LTT")</f>
        <v>00:00:00</v>
      </c>
      <c r="J574">
        <f>RTD("nest.scriprtd",,"bse_cm|91SFL27","% Change")</f>
        <v>-100</v>
      </c>
      <c r="K574">
        <f>RTD("nest.scriprtd",,"bse_cm|91SFL27","ATP")</f>
        <v>0</v>
      </c>
      <c r="L574">
        <f>RTD("nest.scriprtd",,"bse_cm|91SFL27","Volume Traded Today")</f>
        <v>0</v>
      </c>
      <c r="M574">
        <f>RTD("nest.scriprtd",,"bse_cm|91SFL27","Open")</f>
        <v>0</v>
      </c>
      <c r="N574">
        <f>RTD("nest.scriprtd",,"bse_cm|91SFL27","High")</f>
        <v>1028.2</v>
      </c>
      <c r="O574">
        <f>RTD("nest.scriprtd",,"bse_cm|91SFL27","Low ")</f>
        <v>1028.2</v>
      </c>
      <c r="P574">
        <f>RTD("nest.scriprtd",,"bse_cm|91SFL27","Prev Close")</f>
        <v>1028.2</v>
      </c>
      <c r="Q574">
        <f>RTD("nest.scriprtd",,"bse_cm|91SFL27","Face Value")</f>
        <v>1000</v>
      </c>
      <c r="R574" t="str">
        <f>RTD("nest.scriprtd",,"bse_cm|91SFL27","Isin code")</f>
        <v>INE721A07PN1</v>
      </c>
      <c r="S574" s="9">
        <f>Table1[[#This Row],[Ask Rate]]*Table1[[#This Row],[Ask Qty]]</f>
        <v>61675</v>
      </c>
      <c r="T574">
        <f>VLOOKUP(Table1[[#This Row],[Isin code]],Table2[#All],7,FALSE)</f>
        <v>9.1</v>
      </c>
      <c r="U574" s="17" t="str">
        <f>VLOOKUP(Table1[[#This Row],[Isin code]],Table2[#All],8,FALSE)</f>
        <v>28-Jan-2027</v>
      </c>
      <c r="V574" s="10">
        <f ca="1">Table1[[#This Row],[Maturity]]-TODAY()</f>
        <v>834</v>
      </c>
      <c r="W574" t="str">
        <f>VLOOKUP(Table1[[#This Row],[Isin code]],Table2[#All],10,FALSE)</f>
        <v>Yearly</v>
      </c>
      <c r="X574">
        <f ca="1">_xlfn.DAYS(Table1[[#This Row],[Maturity]],TODAY())-15</f>
        <v>819</v>
      </c>
      <c r="Y5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574">
        <f>IF(Table1[[#This Row],[Ask Rate]]=0,0,Table1[[#This Row],[Face Value]]-Table1[[#This Row],[Ask Rate]])</f>
        <v>-233.5</v>
      </c>
      <c r="AA574">
        <f>IF(Table1[[#This Row],[Freq]]="Yearly",Table1[[#This Row],[Coupon_Rate]]/100,IF(Table1[[#This Row],[Freq]]="Monthly",Table1[[#This Row],[Coupon_Rate]]/1200,IF(Table1[[#This Row],[Freq]]="Quarterly",Table1[[#This Row],[Coupon_Rate]]/400,0)))</f>
        <v>9.0999999999999998E-2</v>
      </c>
      <c r="AB574">
        <f ca="1">Table1[[#This Row],[Face Value]]*Table1[[#This Row],[Rate]]*Table1[[#This Row],[Time]]</f>
        <v>273</v>
      </c>
      <c r="AC574">
        <f ca="1">Table1[[#This Row],[SI]]+Table1[[#This Row],[Disc/Prem]]</f>
        <v>39.5</v>
      </c>
      <c r="AD574" s="3">
        <f ca="1">Table1[[#This Row],[Net Gain]]/Table1[[#This Row],[Ask Rate]]</f>
        <v>3.2022699635184435E-2</v>
      </c>
      <c r="AE574" s="3">
        <f ca="1">IF(Table1[[#This Row],[Ask Qty]]=0,0,Table1[[#This Row],[Gross Yield]]*365/Table1[[#This Row],[Days Left]])</f>
        <v>1.4014730655686234E-2</v>
      </c>
      <c r="AF574" s="9">
        <f ca="1">+Table1[[#This Row],[Net Gain]]*Table1[[#This Row],[Ask Qty]]</f>
        <v>1975</v>
      </c>
      <c r="AG574" t="str">
        <f ca="1">IF(Table1[[#This Row],[YTM]]&gt;0.12,IF(Table1[[#This Row],[Gross Profit]]&gt;10000,"Invest","Review"),"Low YTM")</f>
        <v>Low YTM</v>
      </c>
    </row>
    <row r="575" spans="1:33" x14ac:dyDescent="0.3">
      <c r="A575" t="str">
        <f>RTD("nest.scriprtd",,"nse_cm|925IHFL25D-N6","Symbol")</f>
        <v>925IHFL25D</v>
      </c>
      <c r="B575" t="str">
        <f>RTD("nest.scriprtd",,"nse_cm|925IHFL25D-N6","Trading Symbol")</f>
        <v>925IHFL25D-N6</v>
      </c>
      <c r="C575" t="str">
        <f>RTD("nest.scriprtd",,"nse_cm|925IHFL25D-N6","Exchange")</f>
        <v>NSE</v>
      </c>
      <c r="D575">
        <f>RTD("nest.scriprtd",,"nse_cm|925IHFL25D-N6","Bid Qty")</f>
        <v>2</v>
      </c>
      <c r="E575">
        <f>RTD("nest.scriprtd",,"nse_cm|925IHFL25D-N6","Bid Rate")</f>
        <v>990</v>
      </c>
      <c r="F575">
        <f>RTD("nest.scriprtd",,"nse_cm|925IHFL25D-N6","Ask Rate")</f>
        <v>1074</v>
      </c>
      <c r="G575">
        <f>RTD("nest.scriprtd",,"nse_cm|925IHFL25D-N6","Ask Qty")</f>
        <v>60</v>
      </c>
      <c r="H575">
        <f>RTD("nest.scriprtd",,"nse_cm|925IHFL25D-N6","LTP")</f>
        <v>995</v>
      </c>
      <c r="I575" t="str">
        <f>RTD("nest.scriprtd",,"nse_cm|925IHFL25D-N6","LTT")</f>
        <v/>
      </c>
      <c r="J575">
        <f>RTD("nest.scriprtd",,"nse_cm|925IHFL25D-N6","% Change")</f>
        <v>0</v>
      </c>
      <c r="K575">
        <f>RTD("nest.scriprtd",,"nse_cm|925IHFL25D-N6","ATP")</f>
        <v>0</v>
      </c>
      <c r="L575">
        <f>RTD("nest.scriprtd",,"nse_cm|925IHFL25D-N6","Volume Traded Today")</f>
        <v>0</v>
      </c>
      <c r="M575">
        <f>RTD("nest.scriprtd",,"nse_cm|925IHFL25D-N6","Open")</f>
        <v>0</v>
      </c>
      <c r="N575">
        <f>RTD("nest.scriprtd",,"nse_cm|925IHFL25D-N6","High")</f>
        <v>995</v>
      </c>
      <c r="O575">
        <f>RTD("nest.scriprtd",,"nse_cm|925IHFL25D-N6","Low ")</f>
        <v>901</v>
      </c>
      <c r="P575">
        <f>RTD("nest.scriprtd",,"nse_cm|925IHFL25D-N6","Prev Close")</f>
        <v>995</v>
      </c>
      <c r="Q575">
        <f>RTD("nest.scriprtd",,"nse_cm|925IHFL25D-N6","Face Value")</f>
        <v>1000</v>
      </c>
      <c r="R575" t="str">
        <f>RTD("nest.scriprtd",,"nse_cm|925IHFL25D-N6","Isin code")</f>
        <v>INE121A07RH2</v>
      </c>
      <c r="S575" s="9">
        <f>Table1[[#This Row],[Ask Rate]]*Table1[[#This Row],[Ask Qty]]</f>
        <v>64440</v>
      </c>
      <c r="T575">
        <f>VLOOKUP(Table1[[#This Row],[Isin code]],Table2[#All],7,FALSE)</f>
        <v>8.25</v>
      </c>
      <c r="U575" s="17" t="str">
        <f>VLOOKUP(Table1[[#This Row],[Isin code]],Table2[#All],8,FALSE)</f>
        <v>09-Jun-2025</v>
      </c>
      <c r="V575" s="10">
        <f ca="1">Table1[[#This Row],[Maturity]]-TODAY()</f>
        <v>236</v>
      </c>
      <c r="W575" t="str">
        <f>VLOOKUP(Table1[[#This Row],[Isin code]],Table2[#All],10,FALSE)</f>
        <v>Yearly</v>
      </c>
      <c r="X575">
        <f ca="1">_xlfn.DAYS(Table1[[#This Row],[Maturity]],TODAY())-15</f>
        <v>221</v>
      </c>
      <c r="Y5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575">
        <f>IF(Table1[[#This Row],[Ask Rate]]=0,0,Table1[[#This Row],[Face Value]]-Table1[[#This Row],[Ask Rate]])</f>
        <v>-74</v>
      </c>
      <c r="AA575">
        <f>IF(Table1[[#This Row],[Freq]]="Yearly",Table1[[#This Row],[Coupon_Rate]]/100,IF(Table1[[#This Row],[Freq]]="Monthly",Table1[[#This Row],[Coupon_Rate]]/1200,IF(Table1[[#This Row],[Freq]]="Quarterly",Table1[[#This Row],[Coupon_Rate]]/400,0)))</f>
        <v>8.2500000000000004E-2</v>
      </c>
      <c r="AB575">
        <f ca="1">Table1[[#This Row],[Face Value]]*Table1[[#This Row],[Rate]]*Table1[[#This Row],[Time]]</f>
        <v>82.5</v>
      </c>
      <c r="AC575">
        <f ca="1">Table1[[#This Row],[SI]]+Table1[[#This Row],[Disc/Prem]]</f>
        <v>8.5</v>
      </c>
      <c r="AD575" s="3">
        <f ca="1">Table1[[#This Row],[Net Gain]]/Table1[[#This Row],[Ask Rate]]</f>
        <v>7.9143389199255124E-3</v>
      </c>
      <c r="AE575" s="3">
        <f ca="1">IF(Table1[[#This Row],[Ask Qty]]=0,0,Table1[[#This Row],[Gross Yield]]*365/Table1[[#This Row],[Days Left]])</f>
        <v>1.2240397058359373E-2</v>
      </c>
      <c r="AF575" s="9">
        <f ca="1">+Table1[[#This Row],[Net Gain]]*Table1[[#This Row],[Ask Qty]]</f>
        <v>510</v>
      </c>
      <c r="AG575" t="str">
        <f ca="1">IF(Table1[[#This Row],[YTM]]&gt;0.12,IF(Table1[[#This Row],[Gross Profit]]&gt;10000,"Invest","Review"),"Low YTM")</f>
        <v>Low YTM</v>
      </c>
    </row>
    <row r="576" spans="1:33" x14ac:dyDescent="0.3">
      <c r="A576" t="str">
        <f>RTD("nest.scriprtd",,"bse_cm|957EFSL27","Symbol")</f>
        <v>957EFSL27</v>
      </c>
      <c r="B576" t="str">
        <f>RTD("nest.scriprtd",,"bse_cm|957EFSL27","Trading Symbol")</f>
        <v>957EFSL27</v>
      </c>
      <c r="C576" t="str">
        <f>RTD("nest.scriprtd",,"bse_cm|957EFSL27","Exchange")</f>
        <v>BSE</v>
      </c>
      <c r="D576">
        <f>RTD("nest.scriprtd",,"bse_cm|957EFSL27","Bid Qty")</f>
        <v>25</v>
      </c>
      <c r="E576">
        <f>RTD("nest.scriprtd",,"bse_cm|957EFSL27","Bid Rate")</f>
        <v>960</v>
      </c>
      <c r="F576">
        <f>RTD("nest.scriprtd",,"bse_cm|957EFSL27","Ask Rate")</f>
        <v>970</v>
      </c>
      <c r="G576">
        <f>RTD("nest.scriprtd",,"bse_cm|957EFSL27","Ask Qty")</f>
        <v>100</v>
      </c>
      <c r="H576">
        <f>RTD("nest.scriprtd",,"bse_cm|957EFSL27","LTP")</f>
        <v>0</v>
      </c>
      <c r="I576" t="str">
        <f>RTD("nest.scriprtd",,"bse_cm|957EFSL27","LTT")</f>
        <v>00:00:00</v>
      </c>
      <c r="J576">
        <f>RTD("nest.scriprtd",,"bse_cm|957EFSL27","% Change")</f>
        <v>-100</v>
      </c>
      <c r="K576">
        <f>RTD("nest.scriprtd",,"bse_cm|957EFSL27","ATP")</f>
        <v>0</v>
      </c>
      <c r="L576">
        <f>RTD("nest.scriprtd",,"bse_cm|957EFSL27","Volume Traded Today")</f>
        <v>0</v>
      </c>
      <c r="M576">
        <f>RTD("nest.scriprtd",,"bse_cm|957EFSL27","Open")</f>
        <v>0</v>
      </c>
      <c r="N576">
        <f>RTD("nest.scriprtd",,"bse_cm|957EFSL27","High")</f>
        <v>980</v>
      </c>
      <c r="O576">
        <f>RTD("nest.scriprtd",,"bse_cm|957EFSL27","Low ")</f>
        <v>980</v>
      </c>
      <c r="P576">
        <f>RTD("nest.scriprtd",,"bse_cm|957EFSL27","Prev Close")</f>
        <v>980</v>
      </c>
      <c r="Q576">
        <f>RTD("nest.scriprtd",,"bse_cm|957EFSL27","Face Value")</f>
        <v>1000</v>
      </c>
      <c r="R576" t="str">
        <f>RTD("nest.scriprtd",,"bse_cm|957EFSL27","Isin code")</f>
        <v>INE532F07FR3</v>
      </c>
      <c r="S576" s="9">
        <f>Table1[[#This Row],[Ask Rate]]*Table1[[#This Row],[Ask Qty]]</f>
        <v>97000</v>
      </c>
      <c r="T576">
        <f>VLOOKUP(Table1[[#This Row],[Isin code]],Table2[#All],7,FALSE)</f>
        <v>9.5699999999999985</v>
      </c>
      <c r="U576" s="17" t="str">
        <f>VLOOKUP(Table1[[#This Row],[Isin code]],Table2[#All],8,FALSE)</f>
        <v>26-Jul-2027</v>
      </c>
      <c r="V576" s="10">
        <f ca="1">Table1[[#This Row],[Maturity]]-TODAY()</f>
        <v>1013</v>
      </c>
      <c r="W576" t="str">
        <f>VLOOKUP(Table1[[#This Row],[Isin code]],Table2[#All],10,FALSE)</f>
        <v>--</v>
      </c>
      <c r="X576">
        <f ca="1">_xlfn.DAYS(Table1[[#This Row],[Maturity]],TODAY())-15</f>
        <v>998</v>
      </c>
      <c r="Y57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76">
        <f>IF(Table1[[#This Row],[Ask Rate]]=0,0,Table1[[#This Row],[Face Value]]-Table1[[#This Row],[Ask Rate]])</f>
        <v>30</v>
      </c>
      <c r="AA57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76">
        <f>Table1[[#This Row],[Face Value]]*Table1[[#This Row],[Rate]]*Table1[[#This Row],[Time]]</f>
        <v>0</v>
      </c>
      <c r="AC576">
        <f>Table1[[#This Row],[SI]]+Table1[[#This Row],[Disc/Prem]]</f>
        <v>30</v>
      </c>
      <c r="AD576" s="3">
        <f>Table1[[#This Row],[Net Gain]]/Table1[[#This Row],[Ask Rate]]</f>
        <v>3.0927835051546393E-2</v>
      </c>
      <c r="AE576" s="3">
        <f ca="1">IF(Table1[[#This Row],[Ask Qty]]=0,0,Table1[[#This Row],[Gross Yield]]*365/Table1[[#This Row],[Days Left]])</f>
        <v>1.1143790517092234E-2</v>
      </c>
      <c r="AF576" s="9">
        <f>+Table1[[#This Row],[Net Gain]]*Table1[[#This Row],[Ask Qty]]</f>
        <v>3000</v>
      </c>
      <c r="AG576" t="str">
        <f ca="1">IF(Table1[[#This Row],[YTM]]&gt;0.12,IF(Table1[[#This Row],[Gross Profit]]&gt;10000,"Invest","Review"),"Low YTM")</f>
        <v>Low YTM</v>
      </c>
    </row>
    <row r="577" spans="1:33" hidden="1" x14ac:dyDescent="0.3">
      <c r="A577" t="str">
        <f>RTD("nest.scriprtd",,"bse_cm|10MFL25","Symbol")</f>
        <v>10MFL25</v>
      </c>
      <c r="B577" t="str">
        <f>RTD("nest.scriprtd",,"bse_cm|10MFL25","Trading Symbol")</f>
        <v>10MFL25</v>
      </c>
      <c r="C577" t="str">
        <f>RTD("nest.scriprtd",,"bse_cm|10MFL25","Exchange")</f>
        <v>BSE</v>
      </c>
      <c r="D577">
        <f>RTD("nest.scriprtd",,"bse_cm|10MFL25","Bid Qty")</f>
        <v>190</v>
      </c>
      <c r="E577">
        <f>RTD("nest.scriprtd",,"bse_cm|10MFL25","Bid Rate")</f>
        <v>1050.5</v>
      </c>
      <c r="F577">
        <f>RTD("nest.scriprtd",,"bse_cm|10MFL25","Ask Rate")</f>
        <v>1098</v>
      </c>
      <c r="G577">
        <f>RTD("nest.scriprtd",,"bse_cm|10MFL25","Ask Qty")</f>
        <v>50</v>
      </c>
      <c r="H577">
        <f>RTD("nest.scriprtd",,"bse_cm|10MFL25","LTP")</f>
        <v>0</v>
      </c>
      <c r="I577" t="str">
        <f>RTD("nest.scriprtd",,"bse_cm|10MFL25","LTT")</f>
        <v>00:00:00</v>
      </c>
      <c r="J577">
        <f>RTD("nest.scriprtd",,"bse_cm|10MFL25","% Change")</f>
        <v>-100</v>
      </c>
      <c r="K577">
        <f>RTD("nest.scriprtd",,"bse_cm|10MFL25","ATP")</f>
        <v>0</v>
      </c>
      <c r="L577">
        <f>RTD("nest.scriprtd",,"bse_cm|10MFL25","Volume Traded Today")</f>
        <v>0</v>
      </c>
      <c r="M577">
        <f>RTD("nest.scriprtd",,"bse_cm|10MFL25","Open")</f>
        <v>0</v>
      </c>
      <c r="N577">
        <f>RTD("nest.scriprtd",,"bse_cm|10MFL25","High")</f>
        <v>1048</v>
      </c>
      <c r="O577">
        <f>RTD("nest.scriprtd",,"bse_cm|10MFL25","Low ")</f>
        <v>1048</v>
      </c>
      <c r="P577">
        <f>RTD("nest.scriprtd",,"bse_cm|10MFL25","Prev Close")</f>
        <v>1048</v>
      </c>
      <c r="Q577">
        <f>RTD("nest.scriprtd",,"bse_cm|10MFL25","Face Value")</f>
        <v>1000</v>
      </c>
      <c r="R577" t="str">
        <f>RTD("nest.scriprtd",,"bse_cm|10MFL25","Isin code")</f>
        <v>INE549K07576</v>
      </c>
      <c r="S577" s="9">
        <f>Table1[[#This Row],[Ask Rate]]*Table1[[#This Row],[Ask Qty]]</f>
        <v>54900</v>
      </c>
      <c r="T577">
        <f>VLOOKUP(Table1[[#This Row],[Isin code]],Table2[#All],7,FALSE)</f>
        <v>10</v>
      </c>
      <c r="U577" s="17" t="str">
        <f>VLOOKUP(Table1[[#This Row],[Isin code]],Table2[#All],8,FALSE)</f>
        <v>07-Feb-2025</v>
      </c>
      <c r="V577" s="10">
        <f ca="1">Table1[[#This Row],[Maturity]]-TODAY()</f>
        <v>114</v>
      </c>
      <c r="W577" t="str">
        <f>VLOOKUP(Table1[[#This Row],[Isin code]],Table2[#All],10,FALSE)</f>
        <v>Yearly</v>
      </c>
      <c r="X577">
        <f ca="1">_xlfn.DAYS(Table1[[#This Row],[Maturity]],TODAY())-15</f>
        <v>99</v>
      </c>
      <c r="Y5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577">
        <f>IF(Table1[[#This Row],[Ask Rate]]=0,0,Table1[[#This Row],[Face Value]]-Table1[[#This Row],[Ask Rate]])</f>
        <v>-98</v>
      </c>
      <c r="AA577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577">
        <f ca="1">Table1[[#This Row],[Face Value]]*Table1[[#This Row],[Rate]]*Table1[[#This Row],[Time]]</f>
        <v>100</v>
      </c>
      <c r="AC577">
        <f ca="1">Table1[[#This Row],[SI]]+Table1[[#This Row],[Disc/Prem]]</f>
        <v>2</v>
      </c>
      <c r="AD577" s="3">
        <f ca="1">Table1[[#This Row],[Net Gain]]/Table1[[#This Row],[Ask Rate]]</f>
        <v>1.8214936247723133E-3</v>
      </c>
      <c r="AE577" s="3">
        <f ca="1">IF(Table1[[#This Row],[Ask Qty]]=0,0,Table1[[#This Row],[Gross Yield]]*365/Table1[[#This Row],[Days Left]])</f>
        <v>5.8319752021218805E-3</v>
      </c>
      <c r="AF577" s="9">
        <f ca="1">+Table1[[#This Row],[Net Gain]]*Table1[[#This Row],[Ask Qty]]</f>
        <v>100</v>
      </c>
      <c r="AG577" t="str">
        <f ca="1">IF(Table1[[#This Row],[YTM]]&gt;0.12,IF(Table1[[#This Row],[Gross Profit]]&gt;10000,"Invest","Review"),"Low YTM")</f>
        <v>Low YTM</v>
      </c>
    </row>
    <row r="578" spans="1:33" x14ac:dyDescent="0.3">
      <c r="A578" t="str">
        <f>RTD("nest.scriprtd",,"bse_cm|875SFL27","Symbol")</f>
        <v>875SFL27</v>
      </c>
      <c r="B578" t="str">
        <f>RTD("nest.scriprtd",,"bse_cm|875SFL27","Trading Symbol")</f>
        <v>875SFL27</v>
      </c>
      <c r="C578" t="str">
        <f>RTD("nest.scriprtd",,"bse_cm|875SFL27","Exchange")</f>
        <v>BSE</v>
      </c>
      <c r="D578">
        <f>RTD("nest.scriprtd",,"bse_cm|875SFL27","Bid Qty")</f>
        <v>50</v>
      </c>
      <c r="E578">
        <f>RTD("nest.scriprtd",,"bse_cm|875SFL27","Bid Rate")</f>
        <v>978.63</v>
      </c>
      <c r="F578">
        <f>RTD("nest.scriprtd",,"bse_cm|875SFL27","Ask Rate")</f>
        <v>1180</v>
      </c>
      <c r="G578">
        <f>RTD("nest.scriprtd",,"bse_cm|875SFL27","Ask Qty")</f>
        <v>50</v>
      </c>
      <c r="H578">
        <f>RTD("nest.scriprtd",,"bse_cm|875SFL27","LTP")</f>
        <v>0</v>
      </c>
      <c r="I578" t="str">
        <f>RTD("nest.scriprtd",,"bse_cm|875SFL27","LTT")</f>
        <v>00:00:00</v>
      </c>
      <c r="J578">
        <f>RTD("nest.scriprtd",,"bse_cm|875SFL27","% Change")</f>
        <v>-100</v>
      </c>
      <c r="K578">
        <f>RTD("nest.scriprtd",,"bse_cm|875SFL27","ATP")</f>
        <v>0</v>
      </c>
      <c r="L578">
        <f>RTD("nest.scriprtd",,"bse_cm|875SFL27","Volume Traded Today")</f>
        <v>0</v>
      </c>
      <c r="M578">
        <f>RTD("nest.scriprtd",,"bse_cm|875SFL27","Open")</f>
        <v>0</v>
      </c>
      <c r="N578">
        <f>RTD("nest.scriprtd",,"bse_cm|875SFL27","High")</f>
        <v>1014</v>
      </c>
      <c r="O578">
        <f>RTD("nest.scriprtd",,"bse_cm|875SFL27","Low ")</f>
        <v>1014</v>
      </c>
      <c r="P578">
        <f>RTD("nest.scriprtd",,"bse_cm|875SFL27","Prev Close")</f>
        <v>1014</v>
      </c>
      <c r="Q578">
        <f>RTD("nest.scriprtd",,"bse_cm|875SFL27","Face Value")</f>
        <v>1000</v>
      </c>
      <c r="R578" t="str">
        <f>RTD("nest.scriprtd",,"bse_cm|875SFL27","Isin code")</f>
        <v>INE721A07PK7</v>
      </c>
      <c r="S578" s="9">
        <f>Table1[[#This Row],[Ask Rate]]*Table1[[#This Row],[Ask Qty]]</f>
        <v>59000</v>
      </c>
      <c r="T578">
        <f>VLOOKUP(Table1[[#This Row],[Isin code]],Table2[#All],7,FALSE)</f>
        <v>8.75</v>
      </c>
      <c r="U578" s="17" t="str">
        <f>VLOOKUP(Table1[[#This Row],[Isin code]],Table2[#All],8,FALSE)</f>
        <v>28-Jan-2027</v>
      </c>
      <c r="V578" s="10">
        <f ca="1">Table1[[#This Row],[Maturity]]-TODAY()</f>
        <v>834</v>
      </c>
      <c r="W578" t="str">
        <f>VLOOKUP(Table1[[#This Row],[Isin code]],Table2[#All],10,FALSE)</f>
        <v>Monthly</v>
      </c>
      <c r="X578">
        <f ca="1">_xlfn.DAYS(Table1[[#This Row],[Maturity]],TODAY())-15</f>
        <v>819</v>
      </c>
      <c r="Y5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28</v>
      </c>
      <c r="Z578">
        <f>IF(Table1[[#This Row],[Ask Rate]]=0,0,Table1[[#This Row],[Face Value]]-Table1[[#This Row],[Ask Rate]])</f>
        <v>-180</v>
      </c>
      <c r="AA578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578">
        <f ca="1">Table1[[#This Row],[Face Value]]*Table1[[#This Row],[Rate]]*Table1[[#This Row],[Time]]</f>
        <v>204.16666666666669</v>
      </c>
      <c r="AC578">
        <f ca="1">Table1[[#This Row],[SI]]+Table1[[#This Row],[Disc/Prem]]</f>
        <v>24.166666666666686</v>
      </c>
      <c r="AD578" s="3">
        <f ca="1">Table1[[#This Row],[Net Gain]]/Table1[[#This Row],[Ask Rate]]</f>
        <v>2.0480225988700581E-2</v>
      </c>
      <c r="AE578" s="3">
        <f ca="1">IF(Table1[[#This Row],[Ask Qty]]=0,0,Table1[[#This Row],[Gross Yield]]*365/Table1[[#This Row],[Days Left]])</f>
        <v>8.9631684482922216E-3</v>
      </c>
      <c r="AF578" s="9">
        <f ca="1">+Table1[[#This Row],[Net Gain]]*Table1[[#This Row],[Ask Qty]]</f>
        <v>1208.3333333333344</v>
      </c>
      <c r="AG578" t="str">
        <f ca="1">IF(Table1[[#This Row],[YTM]]&gt;0.12,IF(Table1[[#This Row],[Gross Profit]]&gt;10000,"Invest","Review"),"Low YTM")</f>
        <v>Low YTM</v>
      </c>
    </row>
    <row r="579" spans="1:33" x14ac:dyDescent="0.3">
      <c r="A579" t="str">
        <f>RTD("nest.scriprtd",,"bse_cm|MFCL16924","Symbol")</f>
        <v>MFCL16924</v>
      </c>
      <c r="B579" t="str">
        <f>RTD("nest.scriprtd",,"bse_cm|MFCL16924","Trading Symbol")</f>
        <v>MFCL16924</v>
      </c>
      <c r="C579" t="str">
        <f>RTD("nest.scriprtd",,"bse_cm|MFCL16924","Exchange")</f>
        <v>BSE</v>
      </c>
      <c r="D579">
        <f>RTD("nest.scriprtd",,"bse_cm|MFCL16924","Bid Qty")</f>
        <v>30</v>
      </c>
      <c r="E579">
        <f>RTD("nest.scriprtd",,"bse_cm|MFCL16924","Bid Rate")</f>
        <v>961.1</v>
      </c>
      <c r="F579">
        <f>RTD("nest.scriprtd",,"bse_cm|MFCL16924","Ask Rate")</f>
        <v>980</v>
      </c>
      <c r="G579">
        <f>RTD("nest.scriprtd",,"bse_cm|MFCL16924","Ask Qty")</f>
        <v>200</v>
      </c>
      <c r="H579">
        <f>RTD("nest.scriprtd",,"bse_cm|MFCL16924","LTP")</f>
        <v>0</v>
      </c>
      <c r="I579" t="str">
        <f>RTD("nest.scriprtd",,"bse_cm|MFCL16924","LTT")</f>
        <v>00:00:00</v>
      </c>
      <c r="J579">
        <f>RTD("nest.scriprtd",,"bse_cm|MFCL16924","% Change")</f>
        <v>-100</v>
      </c>
      <c r="K579">
        <f>RTD("nest.scriprtd",,"bse_cm|MFCL16924","ATP")</f>
        <v>0</v>
      </c>
      <c r="L579">
        <f>RTD("nest.scriprtd",,"bse_cm|MFCL16924","Volume Traded Today")</f>
        <v>0</v>
      </c>
      <c r="M579">
        <f>RTD("nest.scriprtd",,"bse_cm|MFCL16924","Open")</f>
        <v>0</v>
      </c>
      <c r="N579">
        <f>RTD("nest.scriprtd",,"bse_cm|MFCL16924","High")</f>
        <v>980</v>
      </c>
      <c r="O579">
        <f>RTD("nest.scriprtd",,"bse_cm|MFCL16924","Low ")</f>
        <v>980</v>
      </c>
      <c r="P579">
        <f>RTD("nest.scriprtd",,"bse_cm|MFCL16924","Prev Close")</f>
        <v>980</v>
      </c>
      <c r="Q579">
        <f>RTD("nest.scriprtd",,"bse_cm|MFCL16924","Face Value")</f>
        <v>1000</v>
      </c>
      <c r="R579" t="str">
        <f>RTD("nest.scriprtd",,"bse_cm|MFCL16924","Isin code")</f>
        <v>INE549K07EA6</v>
      </c>
      <c r="S579" s="9">
        <f>Table1[[#This Row],[Ask Rate]]*Table1[[#This Row],[Ask Qty]]</f>
        <v>196000</v>
      </c>
      <c r="T579" t="str">
        <f>VLOOKUP(Table1[[#This Row],[Isin code]],Table2[#All],7,FALSE)</f>
        <v>--</v>
      </c>
      <c r="U579" s="17" t="str">
        <f>VLOOKUP(Table1[[#This Row],[Isin code]],Table2[#All],8,FALSE)</f>
        <v>16-Sep-2027</v>
      </c>
      <c r="V579" s="10">
        <f ca="1">Table1[[#This Row],[Maturity]]-TODAY()</f>
        <v>1065</v>
      </c>
      <c r="W579" t="str">
        <f>VLOOKUP(Table1[[#This Row],[Isin code]],Table2[#All],10,FALSE)</f>
        <v>At the End</v>
      </c>
      <c r="X579">
        <f ca="1">_xlfn.DAYS(Table1[[#This Row],[Maturity]],TODAY())-15</f>
        <v>1050</v>
      </c>
      <c r="Y57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79">
        <f>IF(Table1[[#This Row],[Ask Rate]]=0,0,Table1[[#This Row],[Face Value]]-Table1[[#This Row],[Ask Rate]])</f>
        <v>20</v>
      </c>
      <c r="AA57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79">
        <f>Table1[[#This Row],[Face Value]]*Table1[[#This Row],[Rate]]*Table1[[#This Row],[Time]]</f>
        <v>0</v>
      </c>
      <c r="AC579">
        <f>Table1[[#This Row],[SI]]+Table1[[#This Row],[Disc/Prem]]</f>
        <v>20</v>
      </c>
      <c r="AD579" s="3">
        <f>Table1[[#This Row],[Net Gain]]/Table1[[#This Row],[Ask Rate]]</f>
        <v>2.0408163265306121E-2</v>
      </c>
      <c r="AE579" s="3">
        <f ca="1">IF(Table1[[#This Row],[Ask Qty]]=0,0,Table1[[#This Row],[Gross Yield]]*365/Table1[[#This Row],[Days Left]])</f>
        <v>6.9943470345884828E-3</v>
      </c>
      <c r="AF579" s="9">
        <f>+Table1[[#This Row],[Net Gain]]*Table1[[#This Row],[Ask Qty]]</f>
        <v>4000</v>
      </c>
      <c r="AG579" t="str">
        <f ca="1">IF(Table1[[#This Row],[YTM]]&gt;0.12,IF(Table1[[#This Row],[Gross Profit]]&gt;10000,"Invest","Review"),"Low YTM")</f>
        <v>Low YTM</v>
      </c>
    </row>
    <row r="580" spans="1:33" x14ac:dyDescent="0.3">
      <c r="A580" t="str">
        <f>RTD("nest.scriprtd",,"bse_cm|850NHAI29","Symbol")</f>
        <v>850NHAI29</v>
      </c>
      <c r="B580" t="str">
        <f>RTD("nest.scriprtd",,"bse_cm|850NHAI29","Trading Symbol")</f>
        <v>850NHAI29</v>
      </c>
      <c r="C580" t="str">
        <f>RTD("nest.scriprtd",,"bse_cm|850NHAI29","Exchange")</f>
        <v>BSE</v>
      </c>
      <c r="D580">
        <f>RTD("nest.scriprtd",,"bse_cm|850NHAI29","Bid Qty")</f>
        <v>1000</v>
      </c>
      <c r="E580">
        <f>RTD("nest.scriprtd",,"bse_cm|850NHAI29","Bid Rate")</f>
        <v>1156.01</v>
      </c>
      <c r="F580">
        <f>RTD("nest.scriprtd",,"bse_cm|850NHAI29","Ask Rate")</f>
        <v>1383.9</v>
      </c>
      <c r="G580">
        <f>RTD("nest.scriprtd",,"bse_cm|850NHAI29","Ask Qty")</f>
        <v>100</v>
      </c>
      <c r="H580">
        <f>RTD("nest.scriprtd",,"bse_cm|850NHAI29","LTP")</f>
        <v>0</v>
      </c>
      <c r="I580" t="str">
        <f>RTD("nest.scriprtd",,"bse_cm|850NHAI29","LTT")</f>
        <v>00:00:00</v>
      </c>
      <c r="J580">
        <f>RTD("nest.scriprtd",,"bse_cm|850NHAI29","% Change")</f>
        <v>-100</v>
      </c>
      <c r="K580">
        <f>RTD("nest.scriprtd",,"bse_cm|850NHAI29","ATP")</f>
        <v>0</v>
      </c>
      <c r="L580">
        <f>RTD("nest.scriprtd",,"bse_cm|850NHAI29","Volume Traded Today")</f>
        <v>0</v>
      </c>
      <c r="M580">
        <f>RTD("nest.scriprtd",,"bse_cm|850NHAI29","Open")</f>
        <v>0</v>
      </c>
      <c r="N580">
        <f>RTD("nest.scriprtd",,"bse_cm|850NHAI29","High")</f>
        <v>1153.51</v>
      </c>
      <c r="O580">
        <f>RTD("nest.scriprtd",,"bse_cm|850NHAI29","Low ")</f>
        <v>1153.51</v>
      </c>
      <c r="P580">
        <f>RTD("nest.scriprtd",,"bse_cm|850NHAI29","Prev Close")</f>
        <v>1153.51</v>
      </c>
      <c r="Q580">
        <f>RTD("nest.scriprtd",,"bse_cm|850NHAI29","Face Value")</f>
        <v>1000</v>
      </c>
      <c r="R580" t="str">
        <f>RTD("nest.scriprtd",,"bse_cm|850NHAI29","Isin code")</f>
        <v>INE906B07DE1</v>
      </c>
      <c r="S580" s="9">
        <f>Table1[[#This Row],[Ask Rate]]*Table1[[#This Row],[Ask Qty]]</f>
        <v>138390</v>
      </c>
      <c r="T580">
        <f>VLOOKUP(Table1[[#This Row],[Isin code]],Table2[#All],7,FALSE)</f>
        <v>8.5</v>
      </c>
      <c r="U580" s="17" t="str">
        <f>VLOOKUP(Table1[[#This Row],[Isin code]],Table2[#All],8,FALSE)</f>
        <v>05-Feb-2029</v>
      </c>
      <c r="V580" s="10">
        <f ca="1">Table1[[#This Row],[Maturity]]-TODAY()</f>
        <v>1573</v>
      </c>
      <c r="W580" t="str">
        <f>VLOOKUP(Table1[[#This Row],[Isin code]],Table2[#All],10,FALSE)</f>
        <v>Yearly</v>
      </c>
      <c r="X580">
        <f ca="1">_xlfn.DAYS(Table1[[#This Row],[Maturity]],TODAY())-15</f>
        <v>1558</v>
      </c>
      <c r="Y5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580">
        <f>IF(Table1[[#This Row],[Ask Rate]]=0,0,Table1[[#This Row],[Face Value]]-Table1[[#This Row],[Ask Rate]])</f>
        <v>-383.90000000000009</v>
      </c>
      <c r="AA580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580">
        <f ca="1">Table1[[#This Row],[Face Value]]*Table1[[#This Row],[Rate]]*Table1[[#This Row],[Time]]</f>
        <v>425</v>
      </c>
      <c r="AC580">
        <f ca="1">Table1[[#This Row],[SI]]+Table1[[#This Row],[Disc/Prem]]</f>
        <v>41.099999999999909</v>
      </c>
      <c r="AD580" s="3">
        <f ca="1">Table1[[#This Row],[Net Gain]]/Table1[[#This Row],[Ask Rate]]</f>
        <v>2.969867765011916E-2</v>
      </c>
      <c r="AE580" s="3">
        <f ca="1">IF(Table1[[#This Row],[Ask Qty]]=0,0,Table1[[#This Row],[Gross Yield]]*365/Table1[[#This Row],[Days Left]])</f>
        <v>6.8913015526341336E-3</v>
      </c>
      <c r="AF580" s="9">
        <f ca="1">+Table1[[#This Row],[Net Gain]]*Table1[[#This Row],[Ask Qty]]</f>
        <v>4109.9999999999909</v>
      </c>
      <c r="AG580" t="str">
        <f ca="1">IF(Table1[[#This Row],[YTM]]&gt;0.12,IF(Table1[[#This Row],[Gross Profit]]&gt;10000,"Invest","Review"),"Low YTM")</f>
        <v>Low YTM</v>
      </c>
    </row>
    <row r="581" spans="1:33" x14ac:dyDescent="0.3">
      <c r="A581" t="str">
        <f>RTD("nest.scriprtd",,"bse_cm|9EFSL26","Symbol")</f>
        <v>9EFSL26</v>
      </c>
      <c r="B581" t="str">
        <f>RTD("nest.scriprtd",,"bse_cm|9EFSL26","Trading Symbol")</f>
        <v>9EFSL26</v>
      </c>
      <c r="C581" t="str">
        <f>RTD("nest.scriprtd",,"bse_cm|9EFSL26","Exchange")</f>
        <v>BSE</v>
      </c>
      <c r="D581">
        <f>RTD("nest.scriprtd",,"bse_cm|9EFSL26","Bid Qty")</f>
        <v>15</v>
      </c>
      <c r="E581">
        <f>RTD("nest.scriprtd",,"bse_cm|9EFSL26","Bid Rate")</f>
        <v>988</v>
      </c>
      <c r="F581">
        <f>RTD("nest.scriprtd",,"bse_cm|9EFSL26","Ask Rate")</f>
        <v>992.8</v>
      </c>
      <c r="G581">
        <f>RTD("nest.scriprtd",,"bse_cm|9EFSL26","Ask Qty")</f>
        <v>170</v>
      </c>
      <c r="H581">
        <f>RTD("nest.scriprtd",,"bse_cm|9EFSL26","LTP")</f>
        <v>987.57</v>
      </c>
      <c r="I581" t="str">
        <f>RTD("nest.scriprtd",,"bse_cm|9EFSL26","LTT")</f>
        <v>09:38:38</v>
      </c>
      <c r="J581">
        <f>RTD("nest.scriprtd",,"bse_cm|9EFSL26","% Change")</f>
        <v>0</v>
      </c>
      <c r="K581">
        <f>RTD("nest.scriprtd",,"bse_cm|9EFSL26","ATP")</f>
        <v>987.57</v>
      </c>
      <c r="L581">
        <f>RTD("nest.scriprtd",,"bse_cm|9EFSL26","Volume Traded Today")</f>
        <v>10</v>
      </c>
      <c r="M581">
        <f>RTD("nest.scriprtd",,"bse_cm|9EFSL26","Open")</f>
        <v>987.57</v>
      </c>
      <c r="N581">
        <f>RTD("nest.scriprtd",,"bse_cm|9EFSL26","High")</f>
        <v>987.57</v>
      </c>
      <c r="O581">
        <f>RTD("nest.scriprtd",,"bse_cm|9EFSL26","Low ")</f>
        <v>987.57</v>
      </c>
      <c r="P581">
        <f>RTD("nest.scriprtd",,"bse_cm|9EFSL26","Prev Close")</f>
        <v>987.57</v>
      </c>
      <c r="Q581">
        <f>RTD("nest.scriprtd",,"bse_cm|9EFSL26","Face Value")</f>
        <v>1000</v>
      </c>
      <c r="R581" t="str">
        <f>RTD("nest.scriprtd",,"bse_cm|9EFSL26","Isin code")</f>
        <v>INE532F07FF8</v>
      </c>
      <c r="S581" s="9">
        <f>Table1[[#This Row],[Ask Rate]]*Table1[[#This Row],[Ask Qty]]</f>
        <v>168776</v>
      </c>
      <c r="T581">
        <f>VLOOKUP(Table1[[#This Row],[Isin code]],Table2[#All],7,FALSE)</f>
        <v>9</v>
      </c>
      <c r="U581" s="17" t="str">
        <f>VLOOKUP(Table1[[#This Row],[Isin code]],Table2[#All],8,FALSE)</f>
        <v>29-Apr-2026</v>
      </c>
      <c r="V581" s="10">
        <f ca="1">Table1[[#This Row],[Maturity]]-TODAY()</f>
        <v>560</v>
      </c>
      <c r="W581" t="str">
        <f>VLOOKUP(Table1[[#This Row],[Isin code]],Table2[#All],10,FALSE)</f>
        <v>Annual</v>
      </c>
      <c r="X581">
        <f ca="1">_xlfn.DAYS(Table1[[#This Row],[Maturity]],TODAY())-15</f>
        <v>545</v>
      </c>
      <c r="Y58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81">
        <f>IF(Table1[[#This Row],[Ask Rate]]=0,0,Table1[[#This Row],[Face Value]]-Table1[[#This Row],[Ask Rate]])</f>
        <v>7.2000000000000455</v>
      </c>
      <c r="AA58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81">
        <f>Table1[[#This Row],[Face Value]]*Table1[[#This Row],[Rate]]*Table1[[#This Row],[Time]]</f>
        <v>0</v>
      </c>
      <c r="AC581">
        <f>Table1[[#This Row],[SI]]+Table1[[#This Row],[Disc/Prem]]</f>
        <v>7.2000000000000455</v>
      </c>
      <c r="AD581" s="3">
        <f>Table1[[#This Row],[Net Gain]]/Table1[[#This Row],[Ask Rate]]</f>
        <v>7.2522159548751471E-3</v>
      </c>
      <c r="AE581" s="3">
        <f ca="1">IF(Table1[[#This Row],[Ask Qty]]=0,0,Table1[[#This Row],[Gross Yield]]*365/Table1[[#This Row],[Days Left]])</f>
        <v>4.7268907563025511E-3</v>
      </c>
      <c r="AF581" s="9">
        <f>+Table1[[#This Row],[Net Gain]]*Table1[[#This Row],[Ask Qty]]</f>
        <v>1224.0000000000077</v>
      </c>
      <c r="AG581" t="str">
        <f ca="1">IF(Table1[[#This Row],[YTM]]&gt;0.12,IF(Table1[[#This Row],[Gross Profit]]&gt;10000,"Invest","Review"),"Low YTM")</f>
        <v>Low YTM</v>
      </c>
    </row>
    <row r="582" spans="1:33" x14ac:dyDescent="0.3">
      <c r="A582" t="str">
        <f>RTD("nest.scriprtd",,"bse_cm|950NHFL26","Symbol")</f>
        <v>950NHFL26</v>
      </c>
      <c r="B582" t="str">
        <f>RTD("nest.scriprtd",,"bse_cm|950NHFL26","Trading Symbol")</f>
        <v>950NHFL26</v>
      </c>
      <c r="C582" t="str">
        <f>RTD("nest.scriprtd",,"bse_cm|950NHFL26","Exchange")</f>
        <v>BSE</v>
      </c>
      <c r="D582">
        <f>RTD("nest.scriprtd",,"bse_cm|950NHFL26","Bid Qty")</f>
        <v>25</v>
      </c>
      <c r="E582">
        <f>RTD("nest.scriprtd",,"bse_cm|950NHFL26","Bid Rate")</f>
        <v>968</v>
      </c>
      <c r="F582">
        <f>RTD("nest.scriprtd",,"bse_cm|950NHFL26","Ask Rate")</f>
        <v>993</v>
      </c>
      <c r="G582">
        <f>RTD("nest.scriprtd",,"bse_cm|950NHFL26","Ask Qty")</f>
        <v>120</v>
      </c>
      <c r="H582">
        <f>RTD("nest.scriprtd",,"bse_cm|950NHFL26","LTP")</f>
        <v>0</v>
      </c>
      <c r="I582" t="str">
        <f>RTD("nest.scriprtd",,"bse_cm|950NHFL26","LTT")</f>
        <v>00:00:00</v>
      </c>
      <c r="J582">
        <f>RTD("nest.scriprtd",,"bse_cm|950NHFL26","% Change")</f>
        <v>-100</v>
      </c>
      <c r="K582">
        <f>RTD("nest.scriprtd",,"bse_cm|950NHFL26","ATP")</f>
        <v>0</v>
      </c>
      <c r="L582">
        <f>RTD("nest.scriprtd",,"bse_cm|950NHFL26","Volume Traded Today")</f>
        <v>0</v>
      </c>
      <c r="M582">
        <f>RTD("nest.scriprtd",,"bse_cm|950NHFL26","Open")</f>
        <v>0</v>
      </c>
      <c r="N582">
        <f>RTD("nest.scriprtd",,"bse_cm|950NHFL26","High")</f>
        <v>974</v>
      </c>
      <c r="O582">
        <f>RTD("nest.scriprtd",,"bse_cm|950NHFL26","Low ")</f>
        <v>974</v>
      </c>
      <c r="P582">
        <f>RTD("nest.scriprtd",,"bse_cm|950NHFL26","Prev Close")</f>
        <v>974</v>
      </c>
      <c r="Q582">
        <f>RTD("nest.scriprtd",,"bse_cm|950NHFL26","Face Value")</f>
        <v>1000</v>
      </c>
      <c r="R582" t="str">
        <f>RTD("nest.scriprtd",,"bse_cm|950NHFL26","Isin code")</f>
        <v>INE530L07749</v>
      </c>
      <c r="S582" s="9">
        <f>Table1[[#This Row],[Ask Rate]]*Table1[[#This Row],[Ask Qty]]</f>
        <v>119160</v>
      </c>
      <c r="T582">
        <f>VLOOKUP(Table1[[#This Row],[Isin code]],Table2[#All],7,FALSE)</f>
        <v>9.5</v>
      </c>
      <c r="U582" s="17" t="str">
        <f>VLOOKUP(Table1[[#This Row],[Isin code]],Table2[#All],8,FALSE)</f>
        <v>03-Jul-2026</v>
      </c>
      <c r="V582" s="10">
        <f ca="1">Table1[[#This Row],[Maturity]]-TODAY()</f>
        <v>625</v>
      </c>
      <c r="W582" t="str">
        <f>VLOOKUP(Table1[[#This Row],[Isin code]],Table2[#All],10,FALSE)</f>
        <v>Annual</v>
      </c>
      <c r="X582">
        <f ca="1">_xlfn.DAYS(Table1[[#This Row],[Maturity]],TODAY())-15</f>
        <v>610</v>
      </c>
      <c r="Y58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82">
        <f>IF(Table1[[#This Row],[Ask Rate]]=0,0,Table1[[#This Row],[Face Value]]-Table1[[#This Row],[Ask Rate]])</f>
        <v>7</v>
      </c>
      <c r="AA58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82">
        <f>Table1[[#This Row],[Face Value]]*Table1[[#This Row],[Rate]]*Table1[[#This Row],[Time]]</f>
        <v>0</v>
      </c>
      <c r="AC582">
        <f>Table1[[#This Row],[SI]]+Table1[[#This Row],[Disc/Prem]]</f>
        <v>7</v>
      </c>
      <c r="AD582" s="3">
        <f>Table1[[#This Row],[Net Gain]]/Table1[[#This Row],[Ask Rate]]</f>
        <v>7.0493454179254783E-3</v>
      </c>
      <c r="AE582" s="3">
        <f ca="1">IF(Table1[[#This Row],[Ask Qty]]=0,0,Table1[[#This Row],[Gross Yield]]*365/Table1[[#This Row],[Days Left]])</f>
        <v>4.1168177240684788E-3</v>
      </c>
      <c r="AF582" s="9">
        <f>+Table1[[#This Row],[Net Gain]]*Table1[[#This Row],[Ask Qty]]</f>
        <v>840</v>
      </c>
      <c r="AG582" t="str">
        <f ca="1">IF(Table1[[#This Row],[YTM]]&gt;0.12,IF(Table1[[#This Row],[Gross Profit]]&gt;10000,"Invest","Review"),"Low YTM")</f>
        <v>Low YTM</v>
      </c>
    </row>
    <row r="583" spans="1:33" x14ac:dyDescent="0.3">
      <c r="A583" t="str">
        <f>RTD("nest.scriprtd",,"nse_cm|861REC34-ND","Symbol")</f>
        <v>861REC34</v>
      </c>
      <c r="B583" t="str">
        <f>RTD("nest.scriprtd",,"nse_cm|861REC34-ND","Trading Symbol")</f>
        <v>861REC34-ND</v>
      </c>
      <c r="C583" t="str">
        <f>RTD("nest.scriprtd",,"nse_cm|861REC34-ND","Exchange")</f>
        <v>NSE</v>
      </c>
      <c r="D583">
        <f>RTD("nest.scriprtd",,"nse_cm|861REC34-ND","Bid Qty")</f>
        <v>1000</v>
      </c>
      <c r="E583">
        <f>RTD("nest.scriprtd",,"nse_cm|861REC34-ND","Bid Rate")</f>
        <v>1279</v>
      </c>
      <c r="F583">
        <f>RTD("nest.scriprtd",,"nse_cm|861REC34-ND","Ask Rate")</f>
        <v>1800</v>
      </c>
      <c r="G583">
        <f>RTD("nest.scriprtd",,"nse_cm|861REC34-ND","Ask Qty")</f>
        <v>24</v>
      </c>
      <c r="H583">
        <f>RTD("nest.scriprtd",,"nse_cm|861REC34-ND","LTP")</f>
        <v>1500</v>
      </c>
      <c r="I583" t="str">
        <f>RTD("nest.scriprtd",,"nse_cm|861REC34-ND","LTT")</f>
        <v/>
      </c>
      <c r="J583">
        <f>RTD("nest.scriprtd",,"nse_cm|861REC34-ND","% Change")</f>
        <v>0</v>
      </c>
      <c r="K583">
        <f>RTD("nest.scriprtd",,"nse_cm|861REC34-ND","ATP")</f>
        <v>0</v>
      </c>
      <c r="L583">
        <f>RTD("nest.scriprtd",,"nse_cm|861REC34-ND","Volume Traded Today")</f>
        <v>0</v>
      </c>
      <c r="M583">
        <f>RTD("nest.scriprtd",,"nse_cm|861REC34-ND","Open")</f>
        <v>0</v>
      </c>
      <c r="N583">
        <f>RTD("nest.scriprtd",,"nse_cm|861REC34-ND","High")</f>
        <v>1500</v>
      </c>
      <c r="O583">
        <f>RTD("nest.scriprtd",,"nse_cm|861REC34-ND","Low ")</f>
        <v>1500</v>
      </c>
      <c r="P583">
        <f>RTD("nest.scriprtd",,"nse_cm|861REC34-ND","Prev Close")</f>
        <v>1500</v>
      </c>
      <c r="Q583">
        <f>RTD("nest.scriprtd",,"nse_cm|861REC34-ND","Face Value")</f>
        <v>1000</v>
      </c>
      <c r="R583" t="str">
        <f>RTD("nest.scriprtd",,"nse_cm|861REC34-ND","Isin code")</f>
        <v>INE020B07IE0</v>
      </c>
      <c r="S583" s="9">
        <f>Table1[[#This Row],[Ask Rate]]*Table1[[#This Row],[Ask Qty]]</f>
        <v>43200</v>
      </c>
      <c r="T583">
        <f>VLOOKUP(Table1[[#This Row],[Isin code]],Table2[#All],7,FALSE)</f>
        <v>8.61</v>
      </c>
      <c r="U583" s="17" t="str">
        <f>VLOOKUP(Table1[[#This Row],[Isin code]],Table2[#All],8,FALSE)</f>
        <v>24-Mar-2034</v>
      </c>
      <c r="V583" s="10">
        <f ca="1">Table1[[#This Row],[Maturity]]-TODAY()</f>
        <v>3446</v>
      </c>
      <c r="W583" t="str">
        <f>VLOOKUP(Table1[[#This Row],[Isin code]],Table2[#All],10,FALSE)</f>
        <v>Yearly</v>
      </c>
      <c r="X583">
        <f ca="1">_xlfn.DAYS(Table1[[#This Row],[Maturity]],TODAY())-15</f>
        <v>3431</v>
      </c>
      <c r="Y5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583">
        <f>IF(Table1[[#This Row],[Ask Rate]]=0,0,Table1[[#This Row],[Face Value]]-Table1[[#This Row],[Ask Rate]])</f>
        <v>-800</v>
      </c>
      <c r="AA583">
        <f>IF(Table1[[#This Row],[Freq]]="Yearly",Table1[[#This Row],[Coupon_Rate]]/100,IF(Table1[[#This Row],[Freq]]="Monthly",Table1[[#This Row],[Coupon_Rate]]/1200,IF(Table1[[#This Row],[Freq]]="Quarterly",Table1[[#This Row],[Coupon_Rate]]/400,0)))</f>
        <v>8.6099999999999996E-2</v>
      </c>
      <c r="AB583">
        <f ca="1">Table1[[#This Row],[Face Value]]*Table1[[#This Row],[Rate]]*Table1[[#This Row],[Time]]</f>
        <v>861</v>
      </c>
      <c r="AC583">
        <f ca="1">Table1[[#This Row],[SI]]+Table1[[#This Row],[Disc/Prem]]</f>
        <v>61</v>
      </c>
      <c r="AD583" s="3">
        <f ca="1">Table1[[#This Row],[Net Gain]]/Table1[[#This Row],[Ask Rate]]</f>
        <v>3.3888888888888892E-2</v>
      </c>
      <c r="AE583" s="3">
        <f ca="1">IF(Table1[[#This Row],[Ask Qty]]=0,0,Table1[[#This Row],[Gross Yield]]*365/Table1[[#This Row],[Days Left]])</f>
        <v>3.5895079641452251E-3</v>
      </c>
      <c r="AF583" s="9">
        <f ca="1">+Table1[[#This Row],[Net Gain]]*Table1[[#This Row],[Ask Qty]]</f>
        <v>1464</v>
      </c>
      <c r="AG583" t="str">
        <f ca="1">IF(Table1[[#This Row],[YTM]]&gt;0.12,IF(Table1[[#This Row],[Gross Profit]]&gt;10000,"Invest","Review"),"Low YTM")</f>
        <v>Low YTM</v>
      </c>
    </row>
    <row r="584" spans="1:33" x14ac:dyDescent="0.3">
      <c r="A584" t="str">
        <f>RTD("nest.scriprtd",,"bse_cm|MML28","Symbol")</f>
        <v>MML28</v>
      </c>
      <c r="B584" t="str">
        <f>RTD("nest.scriprtd",,"bse_cm|MML28","Trading Symbol")</f>
        <v>MML28</v>
      </c>
      <c r="C584" t="str">
        <f>RTD("nest.scriprtd",,"bse_cm|MML28","Exchange")</f>
        <v>BSE</v>
      </c>
      <c r="D584">
        <f>RTD("nest.scriprtd",,"bse_cm|MML28","Bid Qty")</f>
        <v>18</v>
      </c>
      <c r="E584">
        <f>RTD("nest.scriprtd",,"bse_cm|MML28","Bid Rate")</f>
        <v>835.2</v>
      </c>
      <c r="F584">
        <f>RTD("nest.scriprtd",,"bse_cm|MML28","Ask Rate")</f>
        <v>989.8</v>
      </c>
      <c r="G584">
        <f>RTD("nest.scriprtd",,"bse_cm|MML28","Ask Qty")</f>
        <v>10</v>
      </c>
      <c r="H584">
        <f>RTD("nest.scriprtd",,"bse_cm|MML28","LTP")</f>
        <v>0</v>
      </c>
      <c r="I584" t="str">
        <f>RTD("nest.scriprtd",,"bse_cm|MML28","LTT")</f>
        <v>00:00:00</v>
      </c>
      <c r="J584">
        <f>RTD("nest.scriprtd",,"bse_cm|MML28","% Change")</f>
        <v>-100</v>
      </c>
      <c r="K584">
        <f>RTD("nest.scriprtd",,"bse_cm|MML28","ATP")</f>
        <v>0</v>
      </c>
      <c r="L584">
        <f>RTD("nest.scriprtd",,"bse_cm|MML28","Volume Traded Today")</f>
        <v>0</v>
      </c>
      <c r="M584">
        <f>RTD("nest.scriprtd",,"bse_cm|MML28","Open")</f>
        <v>0</v>
      </c>
      <c r="N584">
        <f>RTD("nest.scriprtd",,"bse_cm|MML28","High")</f>
        <v>826.45</v>
      </c>
      <c r="O584">
        <f>RTD("nest.scriprtd",,"bse_cm|MML28","Low ")</f>
        <v>826.45</v>
      </c>
      <c r="P584">
        <f>RTD("nest.scriprtd",,"bse_cm|MML28","Prev Close")</f>
        <v>826.45</v>
      </c>
      <c r="Q584">
        <f>RTD("nest.scriprtd",,"bse_cm|MML28","Face Value")</f>
        <v>1000</v>
      </c>
      <c r="R584" t="str">
        <f>RTD("nest.scriprtd",,"bse_cm|MML28","Isin code")</f>
        <v>INE05F407BJ9</v>
      </c>
      <c r="S584" s="9">
        <f>Table1[[#This Row],[Ask Rate]]*Table1[[#This Row],[Ask Qty]]</f>
        <v>9898</v>
      </c>
      <c r="T584" t="str">
        <f>VLOOKUP(Table1[[#This Row],[Isin code]],Table2[#All],7,FALSE)</f>
        <v>--</v>
      </c>
      <c r="U584" s="17" t="str">
        <f>VLOOKUP(Table1[[#This Row],[Isin code]],Table2[#All],8,FALSE)</f>
        <v>21-Dec-2028</v>
      </c>
      <c r="V584" s="10">
        <f ca="1">Table1[[#This Row],[Maturity]]-TODAY()</f>
        <v>1527</v>
      </c>
      <c r="W584" t="str">
        <f>VLOOKUP(Table1[[#This Row],[Isin code]],Table2[#All],10,FALSE)</f>
        <v>At the End</v>
      </c>
      <c r="X584">
        <f ca="1">_xlfn.DAYS(Table1[[#This Row],[Maturity]],TODAY())-15</f>
        <v>1512</v>
      </c>
      <c r="Y58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84">
        <f>IF(Table1[[#This Row],[Ask Rate]]=0,0,Table1[[#This Row],[Face Value]]-Table1[[#This Row],[Ask Rate]])</f>
        <v>10.200000000000045</v>
      </c>
      <c r="AA58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84">
        <f>Table1[[#This Row],[Face Value]]*Table1[[#This Row],[Rate]]*Table1[[#This Row],[Time]]</f>
        <v>0</v>
      </c>
      <c r="AC584">
        <f>Table1[[#This Row],[SI]]+Table1[[#This Row],[Disc/Prem]]</f>
        <v>10.200000000000045</v>
      </c>
      <c r="AD584" s="3">
        <f>Table1[[#This Row],[Net Gain]]/Table1[[#This Row],[Ask Rate]]</f>
        <v>1.0305112143867494E-2</v>
      </c>
      <c r="AE584" s="3">
        <f ca="1">IF(Table1[[#This Row],[Ask Qty]]=0,0,Table1[[#This Row],[Gross Yield]]*365/Table1[[#This Row],[Days Left]])</f>
        <v>2.4632389865826033E-3</v>
      </c>
      <c r="AF584" s="9">
        <f>+Table1[[#This Row],[Net Gain]]*Table1[[#This Row],[Ask Qty]]</f>
        <v>102.00000000000045</v>
      </c>
      <c r="AG584" t="str">
        <f ca="1">IF(Table1[[#This Row],[YTM]]&gt;0.12,IF(Table1[[#This Row],[Gross Profit]]&gt;10000,"Invest","Review"),"Low YTM")</f>
        <v>Low YTM</v>
      </c>
    </row>
    <row r="585" spans="1:33" x14ac:dyDescent="0.3">
      <c r="A585" t="str">
        <f>RTD("nest.scriprtd",,"nse_cm|1050IIFL29-ND","Symbol")</f>
        <v>1050IIFL29</v>
      </c>
      <c r="B585" t="str">
        <f>RTD("nest.scriprtd",,"nse_cm|1050IIFL29-ND","Trading Symbol")</f>
        <v>1050IIFL29-ND</v>
      </c>
      <c r="C585" t="str">
        <f>RTD("nest.scriprtd",,"nse_cm|1050IIFL29-ND","Exchange")</f>
        <v>NSE</v>
      </c>
      <c r="D585">
        <f>RTD("nest.scriprtd",,"nse_cm|1050IIFL29-ND","Bid Qty")</f>
        <v>100</v>
      </c>
      <c r="E585">
        <f>RTD("nest.scriprtd",,"nse_cm|1050IIFL29-ND","Bid Rate")</f>
        <v>889</v>
      </c>
      <c r="F585">
        <f>RTD("nest.scriprtd",,"nse_cm|1050IIFL29-ND","Ask Rate")</f>
        <v>990</v>
      </c>
      <c r="G585">
        <f>RTD("nest.scriprtd",,"nse_cm|1050IIFL29-ND","Ask Qty")</f>
        <v>25</v>
      </c>
      <c r="H585">
        <f>RTD("nest.scriprtd",,"nse_cm|1050IIFL29-ND","LTP")</f>
        <v>980</v>
      </c>
      <c r="I585" t="str">
        <f>RTD("nest.scriprtd",,"nse_cm|1050IIFL29-ND","LTT")</f>
        <v/>
      </c>
      <c r="J585">
        <f>RTD("nest.scriprtd",,"nse_cm|1050IIFL29-ND","% Change")</f>
        <v>0</v>
      </c>
      <c r="K585">
        <f>RTD("nest.scriprtd",,"nse_cm|1050IIFL29-ND","ATP")</f>
        <v>0</v>
      </c>
      <c r="L585">
        <f>RTD("nest.scriprtd",,"nse_cm|1050IIFL29-ND","Volume Traded Today")</f>
        <v>0</v>
      </c>
      <c r="M585">
        <f>RTD("nest.scriprtd",,"nse_cm|1050IIFL29-ND","Open")</f>
        <v>0</v>
      </c>
      <c r="N585">
        <f>RTD("nest.scriprtd",,"nse_cm|1050IIFL29-ND","High")</f>
        <v>980</v>
      </c>
      <c r="O585">
        <f>RTD("nest.scriprtd",,"nse_cm|1050IIFL29-ND","Low ")</f>
        <v>909</v>
      </c>
      <c r="P585">
        <f>RTD("nest.scriprtd",,"nse_cm|1050IIFL29-ND","Prev Close")</f>
        <v>980</v>
      </c>
      <c r="Q585">
        <f>RTD("nest.scriprtd",,"nse_cm|1050IIFL29-ND","Face Value")</f>
        <v>1000</v>
      </c>
      <c r="R585" t="str">
        <f>RTD("nest.scriprtd",,"nse_cm|1050IIFL29-ND","Isin code")</f>
        <v>INE413U07319</v>
      </c>
      <c r="S585" s="9">
        <f>Table1[[#This Row],[Ask Rate]]*Table1[[#This Row],[Ask Qty]]</f>
        <v>24750</v>
      </c>
      <c r="T585">
        <f>VLOOKUP(Table1[[#This Row],[Isin code]],Table2[#All],7,FALSE)</f>
        <v>10.5</v>
      </c>
      <c r="U585" s="17" t="str">
        <f>VLOOKUP(Table1[[#This Row],[Isin code]],Table2[#All],8,FALSE)</f>
        <v>21-Jun-2029</v>
      </c>
      <c r="V585" s="10">
        <f ca="1">Table1[[#This Row],[Maturity]]-TODAY()</f>
        <v>1709</v>
      </c>
      <c r="W585" t="str">
        <f>VLOOKUP(Table1[[#This Row],[Isin code]],Table2[#All],10,FALSE)</f>
        <v>Annual</v>
      </c>
      <c r="X585">
        <f ca="1">_xlfn.DAYS(Table1[[#This Row],[Maturity]],TODAY())-15</f>
        <v>1694</v>
      </c>
      <c r="Y58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85">
        <f>IF(Table1[[#This Row],[Ask Rate]]=0,0,Table1[[#This Row],[Face Value]]-Table1[[#This Row],[Ask Rate]])</f>
        <v>10</v>
      </c>
      <c r="AA58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85">
        <f>Table1[[#This Row],[Face Value]]*Table1[[#This Row],[Rate]]*Table1[[#This Row],[Time]]</f>
        <v>0</v>
      </c>
      <c r="AC585">
        <f>Table1[[#This Row],[SI]]+Table1[[#This Row],[Disc/Prem]]</f>
        <v>10</v>
      </c>
      <c r="AD585" s="3">
        <f>Table1[[#This Row],[Net Gain]]/Table1[[#This Row],[Ask Rate]]</f>
        <v>1.0101010101010102E-2</v>
      </c>
      <c r="AE585" s="3">
        <f ca="1">IF(Table1[[#This Row],[Ask Qty]]=0,0,Table1[[#This Row],[Gross Yield]]*365/Table1[[#This Row],[Days Left]])</f>
        <v>2.1573251532291909E-3</v>
      </c>
      <c r="AF585" s="9">
        <f>+Table1[[#This Row],[Net Gain]]*Table1[[#This Row],[Ask Qty]]</f>
        <v>250</v>
      </c>
      <c r="AG585" t="str">
        <f ca="1">IF(Table1[[#This Row],[YTM]]&gt;0.12,IF(Table1[[#This Row],[Gross Profit]]&gt;10000,"Invest","Review"),"Low YTM")</f>
        <v>Low YTM</v>
      </c>
    </row>
    <row r="586" spans="1:33" x14ac:dyDescent="0.3">
      <c r="A586" t="str">
        <f>RTD("nest.scriprtd",,"bse_cm|EFSL260724","Symbol")</f>
        <v>EFSL260724</v>
      </c>
      <c r="B586" t="str">
        <f>RTD("nest.scriprtd",,"bse_cm|EFSL260724","Trading Symbol")</f>
        <v>EFSL260724</v>
      </c>
      <c r="C586" t="str">
        <f>RTD("nest.scriprtd",,"bse_cm|EFSL260724","Exchange")</f>
        <v>BSE</v>
      </c>
      <c r="D586">
        <f>RTD("nest.scriprtd",,"bse_cm|EFSL260724","Bid Qty")</f>
        <v>11</v>
      </c>
      <c r="E586">
        <f>RTD("nest.scriprtd",,"bse_cm|EFSL260724","Bid Rate")</f>
        <v>850.2</v>
      </c>
      <c r="F586">
        <f>RTD("nest.scriprtd",,"bse_cm|EFSL260724","Ask Rate")</f>
        <v>998</v>
      </c>
      <c r="G586">
        <f>RTD("nest.scriprtd",,"bse_cm|EFSL260724","Ask Qty")</f>
        <v>15</v>
      </c>
      <c r="H586">
        <f>RTD("nest.scriprtd",,"bse_cm|EFSL260724","LTP")</f>
        <v>0</v>
      </c>
      <c r="I586" t="str">
        <f>RTD("nest.scriprtd",,"bse_cm|EFSL260724","LTT")</f>
        <v>00:00:00</v>
      </c>
      <c r="J586">
        <f>RTD("nest.scriprtd",,"bse_cm|EFSL260724","% Change")</f>
        <v>-100</v>
      </c>
      <c r="K586">
        <f>RTD("nest.scriprtd",,"bse_cm|EFSL260724","ATP")</f>
        <v>0</v>
      </c>
      <c r="L586">
        <f>RTD("nest.scriprtd",,"bse_cm|EFSL260724","Volume Traded Today")</f>
        <v>0</v>
      </c>
      <c r="M586">
        <f>RTD("nest.scriprtd",,"bse_cm|EFSL260724","Open")</f>
        <v>0</v>
      </c>
      <c r="N586">
        <f>RTD("nest.scriprtd",,"bse_cm|EFSL260724","High")</f>
        <v>900.01</v>
      </c>
      <c r="O586">
        <f>RTD("nest.scriprtd",,"bse_cm|EFSL260724","Low ")</f>
        <v>874.8</v>
      </c>
      <c r="P586">
        <f>RTD("nest.scriprtd",,"bse_cm|EFSL260724","Prev Close")</f>
        <v>900.01</v>
      </c>
      <c r="Q586">
        <f>RTD("nest.scriprtd",,"bse_cm|EFSL260724","Face Value")</f>
        <v>1000</v>
      </c>
      <c r="R586" t="str">
        <f>RTD("nest.scriprtd",,"bse_cm|EFSL260724","Isin code")</f>
        <v>INE532F07FT9</v>
      </c>
      <c r="S586" s="9">
        <f>Table1[[#This Row],[Ask Rate]]*Table1[[#This Row],[Ask Qty]]</f>
        <v>14970</v>
      </c>
      <c r="T586" t="str">
        <f>VLOOKUP(Table1[[#This Row],[Isin code]],Table2[#All],7,FALSE)</f>
        <v>--</v>
      </c>
      <c r="U586" s="17" t="str">
        <f>VLOOKUP(Table1[[#This Row],[Isin code]],Table2[#All],8,FALSE)</f>
        <v>26-Jul-2027</v>
      </c>
      <c r="V586" s="10">
        <f ca="1">Table1[[#This Row],[Maturity]]-TODAY()</f>
        <v>1013</v>
      </c>
      <c r="W586" t="str">
        <f>VLOOKUP(Table1[[#This Row],[Isin code]],Table2[#All],10,FALSE)</f>
        <v>--</v>
      </c>
      <c r="X586">
        <f ca="1">_xlfn.DAYS(Table1[[#This Row],[Maturity]],TODAY())-15</f>
        <v>998</v>
      </c>
      <c r="Y58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86">
        <f>IF(Table1[[#This Row],[Ask Rate]]=0,0,Table1[[#This Row],[Face Value]]-Table1[[#This Row],[Ask Rate]])</f>
        <v>2</v>
      </c>
      <c r="AA58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86">
        <f>Table1[[#This Row],[Face Value]]*Table1[[#This Row],[Rate]]*Table1[[#This Row],[Time]]</f>
        <v>0</v>
      </c>
      <c r="AC586">
        <f>Table1[[#This Row],[SI]]+Table1[[#This Row],[Disc/Prem]]</f>
        <v>2</v>
      </c>
      <c r="AD586" s="3">
        <f>Table1[[#This Row],[Net Gain]]/Table1[[#This Row],[Ask Rate]]</f>
        <v>2.004008016032064E-3</v>
      </c>
      <c r="AE586" s="3">
        <f ca="1">IF(Table1[[#This Row],[Ask Qty]]=0,0,Table1[[#This Row],[Gross Yield]]*365/Table1[[#This Row],[Days Left]])</f>
        <v>7.2207593864926289E-4</v>
      </c>
      <c r="AF586" s="9">
        <f>+Table1[[#This Row],[Net Gain]]*Table1[[#This Row],[Ask Qty]]</f>
        <v>30</v>
      </c>
      <c r="AG586" t="str">
        <f ca="1">IF(Table1[[#This Row],[YTM]]&gt;0.12,IF(Table1[[#This Row],[Gross Profit]]&gt;10000,"Invest","Review"),"Low YTM")</f>
        <v>Low YTM</v>
      </c>
    </row>
    <row r="587" spans="1:33" x14ac:dyDescent="0.3">
      <c r="A587" t="str">
        <f>RTD("nest.scriprtd",,"nse_cm|1102NFL26-N8","Symbol")</f>
        <v>1102NFL26</v>
      </c>
      <c r="B587" t="str">
        <f>RTD("nest.scriprtd",,"nse_cm|1102NFL26-N8","Trading Symbol")</f>
        <v>1102NFL26-N8</v>
      </c>
      <c r="C587" t="str">
        <f>RTD("nest.scriprtd",,"nse_cm|1102NFL26-N8","Exchange")</f>
        <v>NSE</v>
      </c>
      <c r="D587">
        <f>RTD("nest.scriprtd",,"nse_cm|1102NFL26-N8","Bid Qty")</f>
        <v>6</v>
      </c>
      <c r="E587">
        <f>RTD("nest.scriprtd",,"nse_cm|1102NFL26-N8","Bid Rate")</f>
        <v>1001</v>
      </c>
      <c r="F587">
        <f>RTD("nest.scriprtd",,"nse_cm|1102NFL26-N8","Ask Rate")</f>
        <v>1220</v>
      </c>
      <c r="G587">
        <f>RTD("nest.scriprtd",,"nse_cm|1102NFL26-N8","Ask Qty")</f>
        <v>35</v>
      </c>
      <c r="H587">
        <f>RTD("nest.scriprtd",,"nse_cm|1102NFL26-N8","LTP")</f>
        <v>1020</v>
      </c>
      <c r="I587" t="str">
        <f>RTD("nest.scriprtd",,"nse_cm|1102NFL26-N8","LTT")</f>
        <v>11:16:10</v>
      </c>
      <c r="J587">
        <f>RTD("nest.scriprtd",,"nse_cm|1102NFL26-N8","% Change")</f>
        <v>0</v>
      </c>
      <c r="K587">
        <f>RTD("nest.scriprtd",,"nse_cm|1102NFL26-N8","ATP")</f>
        <v>1019.88</v>
      </c>
      <c r="L587">
        <f>RTD("nest.scriprtd",,"nse_cm|1102NFL26-N8","Volume Traded Today")</f>
        <v>130</v>
      </c>
      <c r="M587">
        <f>RTD("nest.scriprtd",,"nse_cm|1102NFL26-N8","Open")</f>
        <v>1019.5</v>
      </c>
      <c r="N587">
        <f>RTD("nest.scriprtd",,"nse_cm|1102NFL26-N8","High")</f>
        <v>1020</v>
      </c>
      <c r="O587">
        <f>RTD("nest.scriprtd",,"nse_cm|1102NFL26-N8","Low ")</f>
        <v>1019.5</v>
      </c>
      <c r="P587">
        <f>RTD("nest.scriprtd",,"nse_cm|1102NFL26-N8","Prev Close")</f>
        <v>1020</v>
      </c>
      <c r="Q587">
        <f>RTD("nest.scriprtd",,"nse_cm|1102NFL26-N8","Face Value")</f>
        <v>1000</v>
      </c>
      <c r="R587" t="str">
        <f>RTD("nest.scriprtd",,"nse_cm|1102NFL26-N8","Isin code")</f>
        <v>INE342T07403</v>
      </c>
      <c r="S587" s="9">
        <f>Table1[[#This Row],[Ask Rate]]*Table1[[#This Row],[Ask Qty]]</f>
        <v>42700</v>
      </c>
      <c r="T587">
        <f>VLOOKUP(Table1[[#This Row],[Isin code]],Table2[#All],7,FALSE)</f>
        <v>11.02</v>
      </c>
      <c r="U587" s="17" t="str">
        <f>VLOOKUP(Table1[[#This Row],[Isin code]],Table2[#All],8,FALSE)</f>
        <v>18-Jul-2026</v>
      </c>
      <c r="V587" s="10">
        <f ca="1">Table1[[#This Row],[Maturity]]-TODAY()</f>
        <v>640</v>
      </c>
      <c r="W587" t="str">
        <f>VLOOKUP(Table1[[#This Row],[Isin code]],Table2[#All],10,FALSE)</f>
        <v>Yearly</v>
      </c>
      <c r="X587">
        <f ca="1">_xlfn.DAYS(Table1[[#This Row],[Maturity]],TODAY())-15</f>
        <v>625</v>
      </c>
      <c r="Y5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587">
        <f>IF(Table1[[#This Row],[Ask Rate]]=0,0,Table1[[#This Row],[Face Value]]-Table1[[#This Row],[Ask Rate]])</f>
        <v>-220</v>
      </c>
      <c r="AA587">
        <f>IF(Table1[[#This Row],[Freq]]="Yearly",Table1[[#This Row],[Coupon_Rate]]/100,IF(Table1[[#This Row],[Freq]]="Monthly",Table1[[#This Row],[Coupon_Rate]]/1200,IF(Table1[[#This Row],[Freq]]="Quarterly",Table1[[#This Row],[Coupon_Rate]]/400,0)))</f>
        <v>0.11019999999999999</v>
      </c>
      <c r="AB587">
        <f ca="1">Table1[[#This Row],[Face Value]]*Table1[[#This Row],[Rate]]*Table1[[#This Row],[Time]]</f>
        <v>220.39999999999998</v>
      </c>
      <c r="AC587">
        <f ca="1">Table1[[#This Row],[SI]]+Table1[[#This Row],[Disc/Prem]]</f>
        <v>0.39999999999997726</v>
      </c>
      <c r="AD587" s="3">
        <f ca="1">Table1[[#This Row],[Net Gain]]/Table1[[#This Row],[Ask Rate]]</f>
        <v>3.2786885245899774E-4</v>
      </c>
      <c r="AE587" s="3">
        <f ca="1">IF(Table1[[#This Row],[Ask Qty]]=0,0,Table1[[#This Row],[Gross Yield]]*365/Table1[[#This Row],[Days Left]])</f>
        <v>1.8698770491802215E-4</v>
      </c>
      <c r="AF587" s="9">
        <f ca="1">+Table1[[#This Row],[Net Gain]]*Table1[[#This Row],[Ask Qty]]</f>
        <v>13.999999999999204</v>
      </c>
      <c r="AG587" t="str">
        <f ca="1">IF(Table1[[#This Row],[YTM]]&gt;0.12,IF(Table1[[#This Row],[Gross Profit]]&gt;10000,"Invest","Review"),"Low YTM")</f>
        <v>Low YTM</v>
      </c>
    </row>
    <row r="588" spans="1:33" hidden="1" x14ac:dyDescent="0.3">
      <c r="A588" t="str">
        <f>RTD("nest.scriprtd",,"bse_cm|9IML25","Symbol")</f>
        <v>9IML25</v>
      </c>
      <c r="B588" t="str">
        <f>RTD("nest.scriprtd",,"bse_cm|9IML25","Trading Symbol")</f>
        <v>9IML25</v>
      </c>
      <c r="C588" t="str">
        <f>RTD("nest.scriprtd",,"bse_cm|9IML25","Exchange")</f>
        <v>BSE</v>
      </c>
      <c r="D588">
        <f>RTD("nest.scriprtd",,"bse_cm|9IML25","Bid Qty")</f>
        <v>50</v>
      </c>
      <c r="E588">
        <f>RTD("nest.scriprtd",,"bse_cm|9IML25","Bid Rate")</f>
        <v>960</v>
      </c>
      <c r="F588">
        <f>RTD("nest.scriprtd",,"bse_cm|9IML25","Ask Rate")</f>
        <v>0</v>
      </c>
      <c r="G588">
        <f>RTD("nest.scriprtd",,"bse_cm|9IML25","Ask Qty")</f>
        <v>0</v>
      </c>
      <c r="H588">
        <f>RTD("nest.scriprtd",,"bse_cm|9IML25","LTP")</f>
        <v>979.15</v>
      </c>
      <c r="I588" t="str">
        <f>RTD("nest.scriprtd",,"bse_cm|9IML25","LTT")</f>
        <v>10:27:13</v>
      </c>
      <c r="J588">
        <f>RTD("nest.scriprtd",,"bse_cm|9IML25","% Change")</f>
        <v>-3.05</v>
      </c>
      <c r="K588">
        <f>RTD("nest.scriprtd",,"bse_cm|9IML25","ATP")</f>
        <v>979.15</v>
      </c>
      <c r="L588">
        <f>RTD("nest.scriprtd",,"bse_cm|9IML25","Volume Traded Today")</f>
        <v>1</v>
      </c>
      <c r="M588">
        <f>RTD("nest.scriprtd",,"bse_cm|9IML25","Open")</f>
        <v>979.15</v>
      </c>
      <c r="N588">
        <f>RTD("nest.scriprtd",,"bse_cm|9IML25","High")</f>
        <v>979.15</v>
      </c>
      <c r="O588">
        <f>RTD("nest.scriprtd",,"bse_cm|9IML25","Low ")</f>
        <v>979.15</v>
      </c>
      <c r="P588">
        <f>RTD("nest.scriprtd",,"bse_cm|9IML25","Prev Close")</f>
        <v>1010</v>
      </c>
      <c r="Q588">
        <f>RTD("nest.scriprtd",,"bse_cm|9IML25","Face Value")</f>
        <v>1000</v>
      </c>
      <c r="R588" t="str">
        <f>RTD("nest.scriprtd",,"bse_cm|9IML25","Isin code")</f>
        <v>INE0BUS07AY5</v>
      </c>
      <c r="S588" s="9">
        <f>Table1[[#This Row],[Ask Rate]]*Table1[[#This Row],[Ask Qty]]</f>
        <v>0</v>
      </c>
      <c r="T588">
        <f>VLOOKUP(Table1[[#This Row],[Isin code]],Table2[#All],7,FALSE)</f>
        <v>9</v>
      </c>
      <c r="U588" s="17" t="str">
        <f>VLOOKUP(Table1[[#This Row],[Isin code]],Table2[#All],8,FALSE)</f>
        <v>16-Feb-2025</v>
      </c>
      <c r="V588" s="10">
        <f ca="1">Table1[[#This Row],[Maturity]]-TODAY()</f>
        <v>123</v>
      </c>
      <c r="W588" t="str">
        <f>VLOOKUP(Table1[[#This Row],[Isin code]],Table2[#All],10,FALSE)</f>
        <v>Monthly</v>
      </c>
      <c r="X588">
        <f ca="1">_xlfn.DAYS(Table1[[#This Row],[Maturity]],TODAY())-15</f>
        <v>108</v>
      </c>
      <c r="Y5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588">
        <f>IF(Table1[[#This Row],[Ask Rate]]=0,0,Table1[[#This Row],[Face Value]]-Table1[[#This Row],[Ask Rate]])</f>
        <v>0</v>
      </c>
      <c r="AA588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588">
        <f ca="1">Table1[[#This Row],[Face Value]]*Table1[[#This Row],[Rate]]*Table1[[#This Row],[Time]]</f>
        <v>30</v>
      </c>
      <c r="AC588">
        <f ca="1">Table1[[#This Row],[SI]]+Table1[[#This Row],[Disc/Prem]]</f>
        <v>30</v>
      </c>
      <c r="AD588" s="3" t="e">
        <f ca="1">Table1[[#This Row],[Net Gain]]/Table1[[#This Row],[Ask Rate]]</f>
        <v>#DIV/0!</v>
      </c>
      <c r="AE588" s="3">
        <f>IF(Table1[[#This Row],[Ask Qty]]=0,0,Table1[[#This Row],[Gross Yield]]*365/Table1[[#This Row],[Days Left]])</f>
        <v>0</v>
      </c>
      <c r="AF588" s="9">
        <f ca="1">+Table1[[#This Row],[Net Gain]]*Table1[[#This Row],[Ask Qty]]</f>
        <v>0</v>
      </c>
      <c r="AG588" t="str">
        <f>IF(Table1[[#This Row],[YTM]]&gt;0.12,IF(Table1[[#This Row],[Gross Profit]]&gt;10000,"Invest","Review"),"Low YTM")</f>
        <v>Low YTM</v>
      </c>
    </row>
    <row r="589" spans="1:33" x14ac:dyDescent="0.3">
      <c r="A589" t="str">
        <f>RTD("nest.scriprtd",,"bse_cm|0SMCGSL26","Symbol")</f>
        <v>0SMCGSL26</v>
      </c>
      <c r="B589" t="str">
        <f>RTD("nest.scriprtd",,"bse_cm|0SMCGSL26","Trading Symbol")</f>
        <v>0SMCGSL26</v>
      </c>
      <c r="C589" t="str">
        <f>RTD("nest.scriprtd",,"bse_cm|0SMCGSL26","Exchange")</f>
        <v>BSE</v>
      </c>
      <c r="D589">
        <f>RTD("nest.scriprtd",,"bse_cm|0SMCGSL26","Bid Qty")</f>
        <v>3</v>
      </c>
      <c r="E589">
        <f>RTD("nest.scriprtd",,"bse_cm|0SMCGSL26","Bid Rate")</f>
        <v>989</v>
      </c>
      <c r="F589">
        <f>RTD("nest.scriprtd",,"bse_cm|0SMCGSL26","Ask Rate")</f>
        <v>999.8</v>
      </c>
      <c r="G589">
        <f>RTD("nest.scriprtd",,"bse_cm|0SMCGSL26","Ask Qty")</f>
        <v>50</v>
      </c>
      <c r="H589">
        <f>RTD("nest.scriprtd",,"bse_cm|0SMCGSL26","LTP")</f>
        <v>0</v>
      </c>
      <c r="I589" t="str">
        <f>RTD("nest.scriprtd",,"bse_cm|0SMCGSL26","LTT")</f>
        <v>00:00:00</v>
      </c>
      <c r="J589">
        <f>RTD("nest.scriprtd",,"bse_cm|0SMCGSL26","% Change")</f>
        <v>-100</v>
      </c>
      <c r="K589">
        <f>RTD("nest.scriprtd",,"bse_cm|0SMCGSL26","ATP")</f>
        <v>0</v>
      </c>
      <c r="L589">
        <f>RTD("nest.scriprtd",,"bse_cm|0SMCGSL26","Volume Traded Today")</f>
        <v>0</v>
      </c>
      <c r="M589">
        <f>RTD("nest.scriprtd",,"bse_cm|0SMCGSL26","Open")</f>
        <v>0</v>
      </c>
      <c r="N589">
        <f>RTD("nest.scriprtd",,"bse_cm|0SMCGSL26","High")</f>
        <v>990</v>
      </c>
      <c r="O589">
        <f>RTD("nest.scriprtd",,"bse_cm|0SMCGSL26","Low ")</f>
        <v>987.5</v>
      </c>
      <c r="P589">
        <f>RTD("nest.scriprtd",,"bse_cm|0SMCGSL26","Prev Close")</f>
        <v>988.5</v>
      </c>
      <c r="Q589">
        <f>RTD("nest.scriprtd",,"bse_cm|0SMCGSL26","Face Value")</f>
        <v>1000</v>
      </c>
      <c r="R589" t="str">
        <f>RTD("nest.scriprtd",,"bse_cm|0SMCGSL26","Isin code")</f>
        <v>INE103C07033</v>
      </c>
      <c r="S589" s="9">
        <f>Table1[[#This Row],[Ask Rate]]*Table1[[#This Row],[Ask Qty]]</f>
        <v>49990</v>
      </c>
      <c r="T589" t="str">
        <f>VLOOKUP(Table1[[#This Row],[Isin code]],Table2[#All],7,FALSE)</f>
        <v>--</v>
      </c>
      <c r="U589" s="17" t="str">
        <f>VLOOKUP(Table1[[#This Row],[Isin code]],Table2[#All],8,FALSE)</f>
        <v>07-Aug-2026</v>
      </c>
      <c r="V589" s="10">
        <f ca="1">Table1[[#This Row],[Maturity]]-TODAY()</f>
        <v>660</v>
      </c>
      <c r="W589" t="str">
        <f>VLOOKUP(Table1[[#This Row],[Isin code]],Table2[#All],10,FALSE)</f>
        <v>CUMULATIVE</v>
      </c>
      <c r="X589">
        <f ca="1">_xlfn.DAYS(Table1[[#This Row],[Maturity]],TODAY())-15</f>
        <v>645</v>
      </c>
      <c r="Y58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89">
        <f>IF(Table1[[#This Row],[Ask Rate]]=0,0,Table1[[#This Row],[Face Value]]-Table1[[#This Row],[Ask Rate]])</f>
        <v>0.20000000000004547</v>
      </c>
      <c r="AA58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89">
        <f>Table1[[#This Row],[Face Value]]*Table1[[#This Row],[Rate]]*Table1[[#This Row],[Time]]</f>
        <v>0</v>
      </c>
      <c r="AC589">
        <f>Table1[[#This Row],[SI]]+Table1[[#This Row],[Disc/Prem]]</f>
        <v>0.20000000000004547</v>
      </c>
      <c r="AD589" s="3">
        <f>Table1[[#This Row],[Net Gain]]/Table1[[#This Row],[Ask Rate]]</f>
        <v>2.000400080016458E-4</v>
      </c>
      <c r="AE589" s="3">
        <f ca="1">IF(Table1[[#This Row],[Ask Qty]]=0,0,Table1[[#This Row],[Gross Yield]]*365/Table1[[#This Row],[Days Left]])</f>
        <v>1.1062818624333442E-4</v>
      </c>
      <c r="AF589" s="9">
        <f>+Table1[[#This Row],[Net Gain]]*Table1[[#This Row],[Ask Qty]]</f>
        <v>10.000000000002274</v>
      </c>
      <c r="AG589" t="str">
        <f ca="1">IF(Table1[[#This Row],[YTM]]&gt;0.12,IF(Table1[[#This Row],[Gross Profit]]&gt;10000,"Invest","Review"),"Low YTM")</f>
        <v>Low YTM</v>
      </c>
    </row>
    <row r="590" spans="1:33" x14ac:dyDescent="0.3">
      <c r="A590" t="str">
        <f>RTD("nest.scriprtd",,"bse_cm|CCIL14824A","Symbol")</f>
        <v>CCIL14824A</v>
      </c>
      <c r="B590" t="str">
        <f>RTD("nest.scriprtd",,"bse_cm|CCIL14824A","Trading Symbol")</f>
        <v>CCIL14824A</v>
      </c>
      <c r="C590" t="str">
        <f>RTD("nest.scriprtd",,"bse_cm|CCIL14824A","Exchange")</f>
        <v>BSE</v>
      </c>
      <c r="D590">
        <f>RTD("nest.scriprtd",,"bse_cm|CCIL14824A","Bid Qty")</f>
        <v>20</v>
      </c>
      <c r="E590">
        <f>RTD("nest.scriprtd",,"bse_cm|CCIL14824A","Bid Rate")</f>
        <v>850.2</v>
      </c>
      <c r="F590">
        <f>RTD("nest.scriprtd",,"bse_cm|CCIL14824A","Ask Rate")</f>
        <v>999.8</v>
      </c>
      <c r="G590">
        <f>RTD("nest.scriprtd",,"bse_cm|CCIL14824A","Ask Qty")</f>
        <v>25</v>
      </c>
      <c r="H590">
        <f>RTD("nest.scriprtd",,"bse_cm|CCIL14824A","LTP")</f>
        <v>0</v>
      </c>
      <c r="I590" t="str">
        <f>RTD("nest.scriprtd",,"bse_cm|CCIL14824A","LTT")</f>
        <v>00:00:00</v>
      </c>
      <c r="J590">
        <f>RTD("nest.scriprtd",,"bse_cm|CCIL14824A","% Change")</f>
        <v>-100</v>
      </c>
      <c r="K590">
        <f>RTD("nest.scriprtd",,"bse_cm|CCIL14824A","ATP")</f>
        <v>0</v>
      </c>
      <c r="L590">
        <f>RTD("nest.scriprtd",,"bse_cm|CCIL14824A","Volume Traded Today")</f>
        <v>0</v>
      </c>
      <c r="M590">
        <f>RTD("nest.scriprtd",,"bse_cm|CCIL14824A","Open")</f>
        <v>0</v>
      </c>
      <c r="N590">
        <f>RTD("nest.scriprtd",,"bse_cm|CCIL14824A","High")</f>
        <v>950</v>
      </c>
      <c r="O590">
        <f>RTD("nest.scriprtd",,"bse_cm|CCIL14824A","Low ")</f>
        <v>950</v>
      </c>
      <c r="P590">
        <f>RTD("nest.scriprtd",,"bse_cm|CCIL14824A","Prev Close")</f>
        <v>950</v>
      </c>
      <c r="Q590">
        <f>RTD("nest.scriprtd",,"bse_cm|CCIL14824A","Face Value")</f>
        <v>1000</v>
      </c>
      <c r="R590" t="str">
        <f>RTD("nest.scriprtd",,"bse_cm|CCIL14824A","Isin code")</f>
        <v>INE051307BE0</v>
      </c>
      <c r="S590" s="9">
        <f>Table1[[#This Row],[Ask Rate]]*Table1[[#This Row],[Ask Qty]]</f>
        <v>24995</v>
      </c>
      <c r="T590" t="str">
        <f>VLOOKUP(Table1[[#This Row],[Isin code]],Table2[#All],7,FALSE)</f>
        <v>--</v>
      </c>
      <c r="U590" s="17" t="str">
        <f>VLOOKUP(Table1[[#This Row],[Isin code]],Table2[#All],8,FALSE)</f>
        <v>13-Aug-2026</v>
      </c>
      <c r="V590" s="10">
        <f ca="1">Table1[[#This Row],[Maturity]]-TODAY()</f>
        <v>666</v>
      </c>
      <c r="W590" t="str">
        <f>VLOOKUP(Table1[[#This Row],[Isin code]],Table2[#All],10,FALSE)</f>
        <v>At the End</v>
      </c>
      <c r="X590">
        <f ca="1">_xlfn.DAYS(Table1[[#This Row],[Maturity]],TODAY())-15</f>
        <v>651</v>
      </c>
      <c r="Y59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90">
        <f>IF(Table1[[#This Row],[Ask Rate]]=0,0,Table1[[#This Row],[Face Value]]-Table1[[#This Row],[Ask Rate]])</f>
        <v>0.20000000000004547</v>
      </c>
      <c r="AA59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90">
        <f>Table1[[#This Row],[Face Value]]*Table1[[#This Row],[Rate]]*Table1[[#This Row],[Time]]</f>
        <v>0</v>
      </c>
      <c r="AC590">
        <f>Table1[[#This Row],[SI]]+Table1[[#This Row],[Disc/Prem]]</f>
        <v>0.20000000000004547</v>
      </c>
      <c r="AD590" s="3">
        <f>Table1[[#This Row],[Net Gain]]/Table1[[#This Row],[Ask Rate]]</f>
        <v>2.000400080016458E-4</v>
      </c>
      <c r="AE590" s="3">
        <f ca="1">IF(Table1[[#This Row],[Ask Qty]]=0,0,Table1[[#This Row],[Gross Yield]]*365/Table1[[#This Row],[Days Left]])</f>
        <v>1.0963153591681789E-4</v>
      </c>
      <c r="AF590" s="9">
        <f>+Table1[[#This Row],[Net Gain]]*Table1[[#This Row],[Ask Qty]]</f>
        <v>5.0000000000011369</v>
      </c>
      <c r="AG590" t="str">
        <f ca="1">IF(Table1[[#This Row],[YTM]]&gt;0.12,IF(Table1[[#This Row],[Gross Profit]]&gt;10000,"Invest","Review"),"Low YTM")</f>
        <v>Low YTM</v>
      </c>
    </row>
    <row r="591" spans="1:33" hidden="1" x14ac:dyDescent="0.3">
      <c r="A591" t="str">
        <f>RTD("nest.scriprtd",,"nse_cm|1035UCL24-N6","Symbol")</f>
        <v>1035UCL24</v>
      </c>
      <c r="B591" t="str">
        <f>RTD("nest.scriprtd",,"nse_cm|1035UCL24-N6","Trading Symbol")</f>
        <v>1035UCL24-N6</v>
      </c>
      <c r="C591" t="str">
        <f>RTD("nest.scriprtd",,"nse_cm|1035UCL24-N6","Exchange")</f>
        <v>NSE</v>
      </c>
      <c r="D591">
        <f>RTD("nest.scriprtd",,"nse_cm|1035UCL24-N6","Bid Qty")</f>
        <v>45</v>
      </c>
      <c r="E591">
        <f>RTD("nest.scriprtd",,"nse_cm|1035UCL24-N6","Bid Rate")</f>
        <v>972</v>
      </c>
      <c r="F591">
        <f>RTD("nest.scriprtd",,"nse_cm|1035UCL24-N6","Ask Rate")</f>
        <v>0</v>
      </c>
      <c r="G591">
        <f>RTD("nest.scriprtd",,"nse_cm|1035UCL24-N6","Ask Qty")</f>
        <v>0</v>
      </c>
      <c r="H591">
        <f>RTD("nest.scriprtd",,"nse_cm|1035UCL24-N6","LTP")</f>
        <v>995</v>
      </c>
      <c r="I591" t="str">
        <f>RTD("nest.scriprtd",,"nse_cm|1035UCL24-N6","LTT")</f>
        <v/>
      </c>
      <c r="J591">
        <f>RTD("nest.scriprtd",,"nse_cm|1035UCL24-N6","% Change")</f>
        <v>0</v>
      </c>
      <c r="K591">
        <f>RTD("nest.scriprtd",,"nse_cm|1035UCL24-N6","ATP")</f>
        <v>0</v>
      </c>
      <c r="L591">
        <f>RTD("nest.scriprtd",,"nse_cm|1035UCL24-N6","Volume Traded Today")</f>
        <v>0</v>
      </c>
      <c r="M591">
        <f>RTD("nest.scriprtd",,"nse_cm|1035UCL24-N6","Open")</f>
        <v>0</v>
      </c>
      <c r="N591">
        <f>RTD("nest.scriprtd",,"nse_cm|1035UCL24-N6","High")</f>
        <v>995</v>
      </c>
      <c r="O591">
        <f>RTD("nest.scriprtd",,"nse_cm|1035UCL24-N6","Low ")</f>
        <v>990</v>
      </c>
      <c r="P591">
        <f>RTD("nest.scriprtd",,"nse_cm|1035UCL24-N6","Prev Close")</f>
        <v>995</v>
      </c>
      <c r="Q591">
        <f>RTD("nest.scriprtd",,"nse_cm|1035UCL24-N6","Face Value")</f>
        <v>1000</v>
      </c>
      <c r="R591" t="str">
        <f>RTD("nest.scriprtd",,"nse_cm|1035UCL24-N6","Isin code")</f>
        <v>INE583D07307</v>
      </c>
      <c r="S591" s="9">
        <f>Table1[[#This Row],[Ask Rate]]*Table1[[#This Row],[Ask Qty]]</f>
        <v>0</v>
      </c>
      <c r="T591">
        <f>VLOOKUP(Table1[[#This Row],[Isin code]],Table2[#All],7,FALSE)</f>
        <v>10.35</v>
      </c>
      <c r="U591" s="17" t="str">
        <f>VLOOKUP(Table1[[#This Row],[Isin code]],Table2[#All],8,FALSE)</f>
        <v>26-Dec-2024</v>
      </c>
      <c r="V591" s="10">
        <f ca="1">Table1[[#This Row],[Maturity]]-TODAY()</f>
        <v>71</v>
      </c>
      <c r="W591" t="str">
        <f>VLOOKUP(Table1[[#This Row],[Isin code]],Table2[#All],10,FALSE)</f>
        <v>Quarterly</v>
      </c>
      <c r="X591">
        <f ca="1">_xlfn.DAYS(Table1[[#This Row],[Maturity]],TODAY())-15</f>
        <v>56</v>
      </c>
      <c r="Y5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591">
        <f>IF(Table1[[#This Row],[Ask Rate]]=0,0,Table1[[#This Row],[Face Value]]-Table1[[#This Row],[Ask Rate]])</f>
        <v>0</v>
      </c>
      <c r="AA591">
        <f>IF(Table1[[#This Row],[Freq]]="Yearly",Table1[[#This Row],[Coupon_Rate]]/100,IF(Table1[[#This Row],[Freq]]="Monthly",Table1[[#This Row],[Coupon_Rate]]/1200,IF(Table1[[#This Row],[Freq]]="Quarterly",Table1[[#This Row],[Coupon_Rate]]/400,0)))</f>
        <v>2.5874999999999999E-2</v>
      </c>
      <c r="AB591">
        <f ca="1">Table1[[#This Row],[Face Value]]*Table1[[#This Row],[Rate]]*Table1[[#This Row],[Time]]</f>
        <v>25.875</v>
      </c>
      <c r="AC591">
        <f ca="1">Table1[[#This Row],[SI]]+Table1[[#This Row],[Disc/Prem]]</f>
        <v>25.875</v>
      </c>
      <c r="AD591" s="3" t="e">
        <f ca="1">Table1[[#This Row],[Net Gain]]/Table1[[#This Row],[Ask Rate]]</f>
        <v>#DIV/0!</v>
      </c>
      <c r="AE591" s="3">
        <f>IF(Table1[[#This Row],[Ask Qty]]=0,0,Table1[[#This Row],[Gross Yield]]*365/Table1[[#This Row],[Days Left]])</f>
        <v>0</v>
      </c>
      <c r="AF591" s="9">
        <f ca="1">+Table1[[#This Row],[Net Gain]]*Table1[[#This Row],[Ask Qty]]</f>
        <v>0</v>
      </c>
      <c r="AG591" t="str">
        <f>IF(Table1[[#This Row],[YTM]]&gt;0.12,IF(Table1[[#This Row],[Gross Profit]]&gt;10000,"Invest","Review"),"Low YTM")</f>
        <v>Low YTM</v>
      </c>
    </row>
    <row r="592" spans="1:33" x14ac:dyDescent="0.3">
      <c r="A592" t="str">
        <f>RTD("nest.scriprtd",,"bse_cm|1125MML27","Symbol")</f>
        <v>1125MML27</v>
      </c>
      <c r="B592" t="str">
        <f>RTD("nest.scriprtd",,"bse_cm|1125MML27","Trading Symbol")</f>
        <v>1125MML27</v>
      </c>
      <c r="C592" t="str">
        <f>RTD("nest.scriprtd",,"bse_cm|1125MML27","Exchange")</f>
        <v>BSE</v>
      </c>
      <c r="D592">
        <f>RTD("nest.scriprtd",,"bse_cm|1125MML27","Bid Qty")</f>
        <v>1</v>
      </c>
      <c r="E592">
        <f>RTD("nest.scriprtd",,"bse_cm|1125MML27","Bid Rate")</f>
        <v>995</v>
      </c>
      <c r="F592">
        <f>RTD("nest.scriprtd",,"bse_cm|1125MML27","Ask Rate")</f>
        <v>1000</v>
      </c>
      <c r="G592">
        <f>RTD("nest.scriprtd",,"bse_cm|1125MML27","Ask Qty")</f>
        <v>0</v>
      </c>
      <c r="H592">
        <f>RTD("nest.scriprtd",,"bse_cm|1125MML27","LTP")</f>
        <v>1000</v>
      </c>
      <c r="I592" t="str">
        <f>RTD("nest.scriprtd",,"bse_cm|1125MML27","LTT")</f>
        <v>15:07:29</v>
      </c>
      <c r="J592">
        <f>RTD("nest.scriprtd",,"bse_cm|1125MML27","% Change")</f>
        <v>0.5</v>
      </c>
      <c r="K592">
        <f>RTD("nest.scriprtd",,"bse_cm|1125MML27","ATP")</f>
        <v>996.42</v>
      </c>
      <c r="L592">
        <f>RTD("nest.scriprtd",,"bse_cm|1125MML27","Volume Traded Today")</f>
        <v>140</v>
      </c>
      <c r="M592">
        <f>RTD("nest.scriprtd",,"bse_cm|1125MML27","Open")</f>
        <v>995</v>
      </c>
      <c r="N592">
        <f>RTD("nest.scriprtd",,"bse_cm|1125MML27","High")</f>
        <v>1000</v>
      </c>
      <c r="O592">
        <f>RTD("nest.scriprtd",,"bse_cm|1125MML27","Low ")</f>
        <v>995</v>
      </c>
      <c r="P592">
        <f>RTD("nest.scriprtd",,"bse_cm|1125MML27","Prev Close")</f>
        <v>995</v>
      </c>
      <c r="Q592">
        <f>RTD("nest.scriprtd",,"bse_cm|1125MML27","Face Value")</f>
        <v>1000</v>
      </c>
      <c r="R592" t="str">
        <f>RTD("nest.scriprtd",,"bse_cm|1125MML27","Isin code")</f>
        <v>INE05F407CM1</v>
      </c>
      <c r="S592" s="9">
        <f>Table1[[#This Row],[Ask Rate]]*Table1[[#This Row],[Ask Qty]]</f>
        <v>0</v>
      </c>
      <c r="T592">
        <f>VLOOKUP(Table1[[#This Row],[Isin code]],Table2[#All],7,FALSE)</f>
        <v>11.25</v>
      </c>
      <c r="U592" s="17" t="str">
        <f>VLOOKUP(Table1[[#This Row],[Isin code]],Table2[#All],8,FALSE)</f>
        <v>11-Sep-2027</v>
      </c>
      <c r="V592" s="10">
        <f ca="1">Table1[[#This Row],[Maturity]]-TODAY()</f>
        <v>1060</v>
      </c>
      <c r="W592" t="str">
        <f>VLOOKUP(Table1[[#This Row],[Isin code]],Table2[#All],10,FALSE)</f>
        <v>Monthly</v>
      </c>
      <c r="X592">
        <f ca="1">_xlfn.DAYS(Table1[[#This Row],[Maturity]],TODAY())-15</f>
        <v>1045</v>
      </c>
      <c r="Y5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35</v>
      </c>
      <c r="Z592">
        <f>IF(Table1[[#This Row],[Ask Rate]]=0,0,Table1[[#This Row],[Face Value]]-Table1[[#This Row],[Ask Rate]])</f>
        <v>0</v>
      </c>
      <c r="AA592">
        <f>IF(Table1[[#This Row],[Freq]]="Yearly",Table1[[#This Row],[Coupon_Rate]]/100,IF(Table1[[#This Row],[Freq]]="Monthly",Table1[[#This Row],[Coupon_Rate]]/1200,IF(Table1[[#This Row],[Freq]]="Quarterly",Table1[[#This Row],[Coupon_Rate]]/400,0)))</f>
        <v>9.3749999999999997E-3</v>
      </c>
      <c r="AB592">
        <f ca="1">Table1[[#This Row],[Face Value]]*Table1[[#This Row],[Rate]]*Table1[[#This Row],[Time]]</f>
        <v>328.125</v>
      </c>
      <c r="AC592">
        <f ca="1">Table1[[#This Row],[SI]]+Table1[[#This Row],[Disc/Prem]]</f>
        <v>328.125</v>
      </c>
      <c r="AD592" s="3">
        <f ca="1">Table1[[#This Row],[Net Gain]]/Table1[[#This Row],[Ask Rate]]</f>
        <v>0.328125</v>
      </c>
      <c r="AE592" s="3">
        <f>IF(Table1[[#This Row],[Ask Qty]]=0,0,Table1[[#This Row],[Gross Yield]]*365/Table1[[#This Row],[Days Left]])</f>
        <v>0</v>
      </c>
      <c r="AF592" s="9">
        <f ca="1">+Table1[[#This Row],[Net Gain]]*Table1[[#This Row],[Ask Qty]]</f>
        <v>0</v>
      </c>
      <c r="AG592" t="str">
        <f>IF(Table1[[#This Row],[YTM]]&gt;0.12,IF(Table1[[#This Row],[Gross Profit]]&gt;10000,"Invest","Review"),"Low YTM")</f>
        <v>Low YTM</v>
      </c>
    </row>
    <row r="593" spans="1:33" x14ac:dyDescent="0.3">
      <c r="A593" t="str">
        <f>RTD("nest.scriprtd",,"nse_cm|SCL310524-ZF","Symbol")</f>
        <v>SCL310524</v>
      </c>
      <c r="B593" t="str">
        <f>RTD("nest.scriprtd",,"nse_cm|SCL310524-ZF","Trading Symbol")</f>
        <v>SCL310524-ZF</v>
      </c>
      <c r="C593" t="str">
        <f>RTD("nest.scriprtd",,"nse_cm|SCL310524-ZF","Exchange")</f>
        <v>NSE</v>
      </c>
      <c r="D593">
        <f>RTD("nest.scriprtd",,"nse_cm|SCL310524-ZF","Bid Qty")</f>
        <v>10</v>
      </c>
      <c r="E593">
        <f>RTD("nest.scriprtd",,"nse_cm|SCL310524-ZF","Bid Rate")</f>
        <v>972.27</v>
      </c>
      <c r="F593">
        <f>RTD("nest.scriprtd",,"nse_cm|SCL310524-ZF","Ask Rate")</f>
        <v>0</v>
      </c>
      <c r="G593">
        <f>RTD("nest.scriprtd",,"nse_cm|SCL310524-ZF","Ask Qty")</f>
        <v>0</v>
      </c>
      <c r="H593">
        <f>RTD("nest.scriprtd",,"nse_cm|SCL310524-ZF","LTP")</f>
        <v>985.79</v>
      </c>
      <c r="I593" t="str">
        <f>RTD("nest.scriprtd",,"nse_cm|SCL310524-ZF","LTT")</f>
        <v>11:11:34</v>
      </c>
      <c r="J593">
        <f>RTD("nest.scriprtd",,"nse_cm|SCL310524-ZF","% Change")</f>
        <v>0</v>
      </c>
      <c r="K593">
        <f>RTD("nest.scriprtd",,"nse_cm|SCL310524-ZF","ATP")</f>
        <v>985.79</v>
      </c>
      <c r="L593">
        <f>RTD("nest.scriprtd",,"nse_cm|SCL310524-ZF","Volume Traded Today")</f>
        <v>10</v>
      </c>
      <c r="M593">
        <f>RTD("nest.scriprtd",,"nse_cm|SCL310524-ZF","Open")</f>
        <v>985.79</v>
      </c>
      <c r="N593">
        <f>RTD("nest.scriprtd",,"nse_cm|SCL310524-ZF","High")</f>
        <v>985.79</v>
      </c>
      <c r="O593">
        <f>RTD("nest.scriprtd",,"nse_cm|SCL310524-ZF","Low ")</f>
        <v>985.79</v>
      </c>
      <c r="P593">
        <f>RTD("nest.scriprtd",,"nse_cm|SCL310524-ZF","Prev Close")</f>
        <v>985.79</v>
      </c>
      <c r="Q593">
        <f>RTD("nest.scriprtd",,"nse_cm|SCL310524-ZF","Face Value")</f>
        <v>1000</v>
      </c>
      <c r="R593" t="str">
        <f>RTD("nest.scriprtd",,"nse_cm|SCL310524-ZF","Isin code")</f>
        <v>INE148I07TA9</v>
      </c>
      <c r="S593" s="9">
        <f>Table1[[#This Row],[Ask Rate]]*Table1[[#This Row],[Ask Qty]]</f>
        <v>0</v>
      </c>
      <c r="T593" t="str">
        <f>VLOOKUP(Table1[[#This Row],[Isin code]],Table2[#All],7,FALSE)</f>
        <v>--</v>
      </c>
      <c r="U593" s="17" t="str">
        <f>VLOOKUP(Table1[[#This Row],[Isin code]],Table2[#All],8,FALSE)</f>
        <v>31-May-2026</v>
      </c>
      <c r="V593" s="10">
        <f ca="1">Table1[[#This Row],[Maturity]]-TODAY()</f>
        <v>592</v>
      </c>
      <c r="W593" t="str">
        <f>VLOOKUP(Table1[[#This Row],[Isin code]],Table2[#All],10,FALSE)</f>
        <v>At the End</v>
      </c>
      <c r="X593">
        <f ca="1">_xlfn.DAYS(Table1[[#This Row],[Maturity]],TODAY())-15</f>
        <v>577</v>
      </c>
      <c r="Y59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593">
        <f>IF(Table1[[#This Row],[Ask Rate]]=0,0,Table1[[#This Row],[Face Value]]-Table1[[#This Row],[Ask Rate]])</f>
        <v>0</v>
      </c>
      <c r="AA59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593">
        <f>Table1[[#This Row],[Face Value]]*Table1[[#This Row],[Rate]]*Table1[[#This Row],[Time]]</f>
        <v>0</v>
      </c>
      <c r="AC593">
        <f>Table1[[#This Row],[SI]]+Table1[[#This Row],[Disc/Prem]]</f>
        <v>0</v>
      </c>
      <c r="AD593" s="3" t="e">
        <f>Table1[[#This Row],[Net Gain]]/Table1[[#This Row],[Ask Rate]]</f>
        <v>#DIV/0!</v>
      </c>
      <c r="AE593" s="3">
        <f>IF(Table1[[#This Row],[Ask Qty]]=0,0,Table1[[#This Row],[Gross Yield]]*365/Table1[[#This Row],[Days Left]])</f>
        <v>0</v>
      </c>
      <c r="AF593" s="9">
        <f>+Table1[[#This Row],[Net Gain]]*Table1[[#This Row],[Ask Qty]]</f>
        <v>0</v>
      </c>
      <c r="AG593" t="str">
        <f>IF(Table1[[#This Row],[YTM]]&gt;0.12,IF(Table1[[#This Row],[Gross Profit]]&gt;10000,"Invest","Review"),"Low YTM")</f>
        <v>Low YTM</v>
      </c>
    </row>
    <row r="594" spans="1:33" x14ac:dyDescent="0.3">
      <c r="A594" t="str">
        <f>RTD("nest.scriprtd",,"bse_cm|895EFSL25A","Symbol")</f>
        <v>895EFSL25A</v>
      </c>
      <c r="B594" t="str">
        <f>RTD("nest.scriprtd",,"bse_cm|895EFSL25A","Trading Symbol")</f>
        <v>895EFSL25A</v>
      </c>
      <c r="C594" t="str">
        <f>RTD("nest.scriprtd",,"bse_cm|895EFSL25A","Exchange")</f>
        <v>BSE</v>
      </c>
      <c r="D594">
        <f>RTD("nest.scriprtd",,"bse_cm|895EFSL25A","Bid Qty")</f>
        <v>9</v>
      </c>
      <c r="E594">
        <f>RTD("nest.scriprtd",,"bse_cm|895EFSL25A","Bid Rate")</f>
        <v>952.5</v>
      </c>
      <c r="F594">
        <f>RTD("nest.scriprtd",,"bse_cm|895EFSL25A","Ask Rate")</f>
        <v>0</v>
      </c>
      <c r="G594">
        <f>RTD("nest.scriprtd",,"bse_cm|895EFSL25A","Ask Qty")</f>
        <v>0</v>
      </c>
      <c r="H594">
        <f>RTD("nest.scriprtd",,"bse_cm|895EFSL25A","LTP")</f>
        <v>0</v>
      </c>
      <c r="I594" t="str">
        <f>RTD("nest.scriprtd",,"bse_cm|895EFSL25A","LTT")</f>
        <v>00:00:00</v>
      </c>
      <c r="J594">
        <f>RTD("nest.scriprtd",,"bse_cm|895EFSL25A","% Change")</f>
        <v>-100</v>
      </c>
      <c r="K594">
        <f>RTD("nest.scriprtd",,"bse_cm|895EFSL25A","ATP")</f>
        <v>0</v>
      </c>
      <c r="L594">
        <f>RTD("nest.scriprtd",,"bse_cm|895EFSL25A","Volume Traded Today")</f>
        <v>0</v>
      </c>
      <c r="M594">
        <f>RTD("nest.scriprtd",,"bse_cm|895EFSL25A","Open")</f>
        <v>0</v>
      </c>
      <c r="N594">
        <f>RTD("nest.scriprtd",,"bse_cm|895EFSL25A","High")</f>
        <v>965</v>
      </c>
      <c r="O594">
        <f>RTD("nest.scriprtd",,"bse_cm|895EFSL25A","Low ")</f>
        <v>965</v>
      </c>
      <c r="P594">
        <f>RTD("nest.scriprtd",,"bse_cm|895EFSL25A","Prev Close")</f>
        <v>965</v>
      </c>
      <c r="Q594">
        <f>RTD("nest.scriprtd",,"bse_cm|895EFSL25A","Face Value")</f>
        <v>1000</v>
      </c>
      <c r="R594" t="str">
        <f>RTD("nest.scriprtd",,"bse_cm|895EFSL25A","Isin code")</f>
        <v>INE532F07EJ3</v>
      </c>
      <c r="S594" s="9">
        <f>Table1[[#This Row],[Ask Rate]]*Table1[[#This Row],[Ask Qty]]</f>
        <v>0</v>
      </c>
      <c r="T594">
        <f>VLOOKUP(Table1[[#This Row],[Isin code]],Table2[#All],7,FALSE)</f>
        <v>8.9499999999999993</v>
      </c>
      <c r="U594" s="17" t="str">
        <f>VLOOKUP(Table1[[#This Row],[Isin code]],Table2[#All],8,FALSE)</f>
        <v>26-Oct-2025</v>
      </c>
      <c r="V594" s="10">
        <f ca="1">Table1[[#This Row],[Maturity]]-TODAY()</f>
        <v>375</v>
      </c>
      <c r="W594" t="str">
        <f>VLOOKUP(Table1[[#This Row],[Isin code]],Table2[#All],10,FALSE)</f>
        <v>Yearly</v>
      </c>
      <c r="X594">
        <f ca="1">_xlfn.DAYS(Table1[[#This Row],[Maturity]],TODAY())-15</f>
        <v>360</v>
      </c>
      <c r="Y5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594">
        <f>IF(Table1[[#This Row],[Ask Rate]]=0,0,Table1[[#This Row],[Face Value]]-Table1[[#This Row],[Ask Rate]])</f>
        <v>0</v>
      </c>
      <c r="AA594">
        <f>IF(Table1[[#This Row],[Freq]]="Yearly",Table1[[#This Row],[Coupon_Rate]]/100,IF(Table1[[#This Row],[Freq]]="Monthly",Table1[[#This Row],[Coupon_Rate]]/1200,IF(Table1[[#This Row],[Freq]]="Quarterly",Table1[[#This Row],[Coupon_Rate]]/400,0)))</f>
        <v>8.9499999999999996E-2</v>
      </c>
      <c r="AB594">
        <f ca="1">Table1[[#This Row],[Face Value]]*Table1[[#This Row],[Rate]]*Table1[[#This Row],[Time]]</f>
        <v>89.5</v>
      </c>
      <c r="AC594">
        <f ca="1">Table1[[#This Row],[SI]]+Table1[[#This Row],[Disc/Prem]]</f>
        <v>89.5</v>
      </c>
      <c r="AD594" t="e">
        <f ca="1">Table1[[#This Row],[Net Gain]]/Table1[[#This Row],[Ask Rate]]</f>
        <v>#DIV/0!</v>
      </c>
      <c r="AE594" s="3">
        <f>IF(Table1[[#This Row],[Ask Qty]]=0,0,Table1[[#This Row],[Gross Yield]]*365/Table1[[#This Row],[Days Left]])</f>
        <v>0</v>
      </c>
      <c r="AF594" s="9">
        <f ca="1">+Table1[[#This Row],[Net Gain]]*Table1[[#This Row],[Ask Qty]]</f>
        <v>0</v>
      </c>
      <c r="AG594" t="str">
        <f>IF(Table1[[#This Row],[YTM]]&gt;0.12,IF(Table1[[#This Row],[Gross Profit]]&gt;10000,"Invest","Review"),"Low YTM")</f>
        <v>Low YTM</v>
      </c>
    </row>
    <row r="595" spans="1:33" x14ac:dyDescent="0.3">
      <c r="A595" t="str">
        <f>RTD("nest.scriprtd",,"nse_cm|889SCFL27-YC","Symbol")</f>
        <v>889SCFL27</v>
      </c>
      <c r="B595" t="str">
        <f>RTD("nest.scriprtd",,"nse_cm|889SCFL27-YC","Trading Symbol")</f>
        <v>889SCFL27-YC</v>
      </c>
      <c r="C595" t="str">
        <f>RTD("nest.scriprtd",,"nse_cm|889SCFL27-YC","Exchange")</f>
        <v>NSE</v>
      </c>
      <c r="D595">
        <f>RTD("nest.scriprtd",,"nse_cm|889SCFL27-YC","Bid Qty")</f>
        <v>12</v>
      </c>
      <c r="E595">
        <f>RTD("nest.scriprtd",,"nse_cm|889SCFL27-YC","Bid Rate")</f>
        <v>900.3</v>
      </c>
      <c r="F595">
        <f>RTD("nest.scriprtd",,"nse_cm|889SCFL27-YC","Ask Rate")</f>
        <v>0</v>
      </c>
      <c r="G595">
        <f>RTD("nest.scriprtd",,"nse_cm|889SCFL27-YC","Ask Qty")</f>
        <v>0</v>
      </c>
      <c r="H595">
        <f>RTD("nest.scriprtd",,"nse_cm|889SCFL27-YC","LTP")</f>
        <v>940.35</v>
      </c>
      <c r="I595" t="str">
        <f>RTD("nest.scriprtd",,"nse_cm|889SCFL27-YC","LTT")</f>
        <v/>
      </c>
      <c r="J595">
        <f>RTD("nest.scriprtd",,"nse_cm|889SCFL27-YC","% Change")</f>
        <v>0</v>
      </c>
      <c r="K595">
        <f>RTD("nest.scriprtd",,"nse_cm|889SCFL27-YC","ATP")</f>
        <v>0</v>
      </c>
      <c r="L595">
        <f>RTD("nest.scriprtd",,"nse_cm|889SCFL27-YC","Volume Traded Today")</f>
        <v>0</v>
      </c>
      <c r="M595">
        <f>RTD("nest.scriprtd",,"nse_cm|889SCFL27-YC","Open")</f>
        <v>0</v>
      </c>
      <c r="N595">
        <f>RTD("nest.scriprtd",,"nse_cm|889SCFL27-YC","High")</f>
        <v>940.35</v>
      </c>
      <c r="O595">
        <f>RTD("nest.scriprtd",,"nse_cm|889SCFL27-YC","Low ")</f>
        <v>940.35</v>
      </c>
      <c r="P595">
        <f>RTD("nest.scriprtd",,"nse_cm|889SCFL27-YC","Prev Close")</f>
        <v>940.35</v>
      </c>
      <c r="Q595">
        <f>RTD("nest.scriprtd",,"nse_cm|889SCFL27-YC","Face Value")</f>
        <v>1000</v>
      </c>
      <c r="R595" t="str">
        <f>RTD("nest.scriprtd",,"nse_cm|889SCFL27-YC","Isin code")</f>
        <v>INE148I07LE8</v>
      </c>
      <c r="S595" s="9">
        <f>Table1[[#This Row],[Ask Rate]]*Table1[[#This Row],[Ask Qty]]</f>
        <v>0</v>
      </c>
      <c r="T595">
        <f>VLOOKUP(Table1[[#This Row],[Isin code]],Table2[#All],7,FALSE)</f>
        <v>8.89</v>
      </c>
      <c r="U595" s="17" t="str">
        <f>VLOOKUP(Table1[[#This Row],[Isin code]],Table2[#All],8,FALSE)</f>
        <v>06-Jan-2027</v>
      </c>
      <c r="V595" s="10">
        <f ca="1">Table1[[#This Row],[Maturity]]-TODAY()</f>
        <v>812</v>
      </c>
      <c r="W595" t="str">
        <f>VLOOKUP(Table1[[#This Row],[Isin code]],Table2[#All],10,FALSE)</f>
        <v>Monthly</v>
      </c>
      <c r="X595">
        <f ca="1">_xlfn.DAYS(Table1[[#This Row],[Maturity]],TODAY())-15</f>
        <v>797</v>
      </c>
      <c r="Y5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595">
        <f>IF(Table1[[#This Row],[Ask Rate]]=0,0,Table1[[#This Row],[Face Value]]-Table1[[#This Row],[Ask Rate]])</f>
        <v>0</v>
      </c>
      <c r="AA595">
        <f>IF(Table1[[#This Row],[Freq]]="Yearly",Table1[[#This Row],[Coupon_Rate]]/100,IF(Table1[[#This Row],[Freq]]="Monthly",Table1[[#This Row],[Coupon_Rate]]/1200,IF(Table1[[#This Row],[Freq]]="Quarterly",Table1[[#This Row],[Coupon_Rate]]/400,0)))</f>
        <v>7.4083333333333336E-3</v>
      </c>
      <c r="AB595">
        <f ca="1">Table1[[#This Row],[Face Value]]*Table1[[#This Row],[Rate]]*Table1[[#This Row],[Time]]</f>
        <v>200.02500000000001</v>
      </c>
      <c r="AC595">
        <f ca="1">Table1[[#This Row],[SI]]+Table1[[#This Row],[Disc/Prem]]</f>
        <v>200.02500000000001</v>
      </c>
      <c r="AD595" s="3" t="e">
        <f ca="1">Table1[[#This Row],[Net Gain]]/Table1[[#This Row],[Ask Rate]]</f>
        <v>#DIV/0!</v>
      </c>
      <c r="AE595" s="3">
        <f>IF(Table1[[#This Row],[Ask Qty]]=0,0,Table1[[#This Row],[Gross Yield]]*365/Table1[[#This Row],[Days Left]])</f>
        <v>0</v>
      </c>
      <c r="AF595" s="9">
        <f ca="1">+Table1[[#This Row],[Net Gain]]*Table1[[#This Row],[Ask Qty]]</f>
        <v>0</v>
      </c>
      <c r="AG595" t="str">
        <f>IF(Table1[[#This Row],[YTM]]&gt;0.12,IF(Table1[[#This Row],[Gross Profit]]&gt;10000,"Invest","Review"),"Low YTM")</f>
        <v>Low YTM</v>
      </c>
    </row>
    <row r="596" spans="1:33" x14ac:dyDescent="0.3">
      <c r="A596" t="str">
        <f>RTD("nest.scriprtd",,"bse_cm|825MFL25","Symbol")</f>
        <v>825MFL25</v>
      </c>
      <c r="B596" t="str">
        <f>RTD("nest.scriprtd",,"bse_cm|825MFL25","Trading Symbol")</f>
        <v>825MFL25</v>
      </c>
      <c r="C596" t="str">
        <f>RTD("nest.scriprtd",,"bse_cm|825MFL25","Exchange")</f>
        <v>BSE</v>
      </c>
      <c r="D596">
        <f>RTD("nest.scriprtd",,"bse_cm|825MFL25","Bid Qty")</f>
        <v>180</v>
      </c>
      <c r="E596">
        <f>RTD("nest.scriprtd",,"bse_cm|825MFL25","Bid Rate")</f>
        <v>970.2</v>
      </c>
      <c r="F596">
        <f>RTD("nest.scriprtd",,"bse_cm|825MFL25","Ask Rate")</f>
        <v>0</v>
      </c>
      <c r="G596">
        <f>RTD("nest.scriprtd",,"bse_cm|825MFL25","Ask Qty")</f>
        <v>0</v>
      </c>
      <c r="H596">
        <f>RTD("nest.scriprtd",,"bse_cm|825MFL25","LTP")</f>
        <v>0</v>
      </c>
      <c r="I596" t="str">
        <f>RTD("nest.scriprtd",,"bse_cm|825MFL25","LTT")</f>
        <v>00:00:00</v>
      </c>
      <c r="J596">
        <f>RTD("nest.scriprtd",,"bse_cm|825MFL25","% Change")</f>
        <v>-100</v>
      </c>
      <c r="K596">
        <f>RTD("nest.scriprtd",,"bse_cm|825MFL25","ATP")</f>
        <v>0</v>
      </c>
      <c r="L596">
        <f>RTD("nest.scriprtd",,"bse_cm|825MFL25","Volume Traded Today")</f>
        <v>0</v>
      </c>
      <c r="M596">
        <f>RTD("nest.scriprtd",,"bse_cm|825MFL25","Open")</f>
        <v>0</v>
      </c>
      <c r="N596">
        <f>RTD("nest.scriprtd",,"bse_cm|825MFL25","High")</f>
        <v>984.8</v>
      </c>
      <c r="O596">
        <f>RTD("nest.scriprtd",,"bse_cm|825MFL25","Low ")</f>
        <v>984.8</v>
      </c>
      <c r="P596">
        <f>RTD("nest.scriprtd",,"bse_cm|825MFL25","Prev Close")</f>
        <v>984.8</v>
      </c>
      <c r="Q596">
        <f>RTD("nest.scriprtd",,"bse_cm|825MFL25","Face Value")</f>
        <v>1000</v>
      </c>
      <c r="R596" t="str">
        <f>RTD("nest.scriprtd",,"bse_cm|825MFL25","Isin code")</f>
        <v>INE549K07BA2</v>
      </c>
      <c r="S596" s="9">
        <f>Table1[[#This Row],[Ask Rate]]*Table1[[#This Row],[Ask Qty]]</f>
        <v>0</v>
      </c>
      <c r="T596">
        <f>VLOOKUP(Table1[[#This Row],[Isin code]],Table2[#All],7,FALSE)</f>
        <v>8.25</v>
      </c>
      <c r="U596" s="17" t="str">
        <f>VLOOKUP(Table1[[#This Row],[Isin code]],Table2[#All],8,FALSE)</f>
        <v>03-Apr-2025</v>
      </c>
      <c r="V596" s="10">
        <f ca="1">Table1[[#This Row],[Maturity]]-TODAY()</f>
        <v>169</v>
      </c>
      <c r="W596" t="str">
        <f>VLOOKUP(Table1[[#This Row],[Isin code]],Table2[#All],10,FALSE)</f>
        <v>Monthly</v>
      </c>
      <c r="X596">
        <f ca="1">_xlfn.DAYS(Table1[[#This Row],[Maturity]],TODAY())-15</f>
        <v>154</v>
      </c>
      <c r="Y5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596">
        <f>IF(Table1[[#This Row],[Ask Rate]]=0,0,Table1[[#This Row],[Face Value]]-Table1[[#This Row],[Ask Rate]])</f>
        <v>0</v>
      </c>
      <c r="AA596">
        <f>IF(Table1[[#This Row],[Freq]]="Yearly",Table1[[#This Row],[Coupon_Rate]]/100,IF(Table1[[#This Row],[Freq]]="Monthly",Table1[[#This Row],[Coupon_Rate]]/1200,IF(Table1[[#This Row],[Freq]]="Quarterly",Table1[[#This Row],[Coupon_Rate]]/400,0)))</f>
        <v>6.875E-3</v>
      </c>
      <c r="AB596">
        <f ca="1">Table1[[#This Row],[Face Value]]*Table1[[#This Row],[Rate]]*Table1[[#This Row],[Time]]</f>
        <v>41.25</v>
      </c>
      <c r="AC596">
        <f ca="1">Table1[[#This Row],[SI]]+Table1[[#This Row],[Disc/Prem]]</f>
        <v>41.25</v>
      </c>
      <c r="AD596" s="3" t="e">
        <f ca="1">Table1[[#This Row],[Net Gain]]/Table1[[#This Row],[Ask Rate]]</f>
        <v>#DIV/0!</v>
      </c>
      <c r="AE596" s="3">
        <f>IF(Table1[[#This Row],[Ask Qty]]=0,0,Table1[[#This Row],[Gross Yield]]*365/Table1[[#This Row],[Days Left]])</f>
        <v>0</v>
      </c>
      <c r="AF596" s="9">
        <f ca="1">+Table1[[#This Row],[Net Gain]]*Table1[[#This Row],[Ask Qty]]</f>
        <v>0</v>
      </c>
      <c r="AG596" t="str">
        <f>IF(Table1[[#This Row],[YTM]]&gt;0.12,IF(Table1[[#This Row],[Gross Profit]]&gt;10000,"Invest","Review"),"Low YTM")</f>
        <v>Low YTM</v>
      </c>
    </row>
    <row r="597" spans="1:33" x14ac:dyDescent="0.3">
      <c r="A597" t="str">
        <f>RTD("nest.scriprtd",,"bse_cm|10NIDO27","Symbol")</f>
        <v>10NIDO27</v>
      </c>
      <c r="B597" t="str">
        <f>RTD("nest.scriprtd",,"bse_cm|10NIDO27","Trading Symbol")</f>
        <v>10NIDO27</v>
      </c>
      <c r="C597" t="str">
        <f>RTD("nest.scriprtd",,"bse_cm|10NIDO27","Exchange")</f>
        <v>BSE</v>
      </c>
      <c r="D597">
        <f>RTD("nest.scriprtd",,"bse_cm|10NIDO27","Bid Qty")</f>
        <v>25</v>
      </c>
      <c r="E597">
        <f>RTD("nest.scriprtd",,"bse_cm|10NIDO27","Bid Rate")</f>
        <v>1003</v>
      </c>
      <c r="F597">
        <f>RTD("nest.scriprtd",,"bse_cm|10NIDO27","Ask Rate")</f>
        <v>0</v>
      </c>
      <c r="G597">
        <f>RTD("nest.scriprtd",,"bse_cm|10NIDO27","Ask Qty")</f>
        <v>0</v>
      </c>
      <c r="H597">
        <f>RTD("nest.scriprtd",,"bse_cm|10NIDO27","LTP")</f>
        <v>0</v>
      </c>
      <c r="I597" t="str">
        <f>RTD("nest.scriprtd",,"bse_cm|10NIDO27","LTT")</f>
        <v>00:00:00</v>
      </c>
      <c r="J597">
        <f>RTD("nest.scriprtd",,"bse_cm|10NIDO27","% Change")</f>
        <v>-100</v>
      </c>
      <c r="K597">
        <f>RTD("nest.scriprtd",,"bse_cm|10NIDO27","ATP")</f>
        <v>0</v>
      </c>
      <c r="L597">
        <f>RTD("nest.scriprtd",,"bse_cm|10NIDO27","Volume Traded Today")</f>
        <v>0</v>
      </c>
      <c r="M597">
        <f>RTD("nest.scriprtd",,"bse_cm|10NIDO27","Open")</f>
        <v>0</v>
      </c>
      <c r="N597">
        <f>RTD("nest.scriprtd",,"bse_cm|10NIDO27","High")</f>
        <v>999.33</v>
      </c>
      <c r="O597">
        <f>RTD("nest.scriprtd",,"bse_cm|10NIDO27","Low ")</f>
        <v>996</v>
      </c>
      <c r="P597">
        <f>RTD("nest.scriprtd",,"bse_cm|10NIDO27","Prev Close")</f>
        <v>999.33</v>
      </c>
      <c r="Q597">
        <f>RTD("nest.scriprtd",,"bse_cm|10NIDO27","Face Value")</f>
        <v>1000</v>
      </c>
      <c r="R597" t="str">
        <f>RTD("nest.scriprtd",,"bse_cm|10NIDO27","Isin code")</f>
        <v>INE530L07715</v>
      </c>
      <c r="S597" s="9">
        <f>Table1[[#This Row],[Ask Rate]]*Table1[[#This Row],[Ask Qty]]</f>
        <v>0</v>
      </c>
      <c r="T597">
        <f>VLOOKUP(Table1[[#This Row],[Isin code]],Table2[#All],7,FALSE)</f>
        <v>10</v>
      </c>
      <c r="U597" s="17" t="str">
        <f>VLOOKUP(Table1[[#This Row],[Isin code]],Table2[#All],8,FALSE)</f>
        <v>01-Mar-2027</v>
      </c>
      <c r="V597" s="10">
        <f ca="1">Table1[[#This Row],[Maturity]]-TODAY()</f>
        <v>866</v>
      </c>
      <c r="W597" t="str">
        <f>VLOOKUP(Table1[[#This Row],[Isin code]],Table2[#All],10,FALSE)</f>
        <v>Yearly</v>
      </c>
      <c r="X597">
        <f ca="1">_xlfn.DAYS(Table1[[#This Row],[Maturity]],TODAY())-15</f>
        <v>851</v>
      </c>
      <c r="Y5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597">
        <f>IF(Table1[[#This Row],[Ask Rate]]=0,0,Table1[[#This Row],[Face Value]]-Table1[[#This Row],[Ask Rate]])</f>
        <v>0</v>
      </c>
      <c r="AA597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597">
        <f ca="1">Table1[[#This Row],[Face Value]]*Table1[[#This Row],[Rate]]*Table1[[#This Row],[Time]]</f>
        <v>300</v>
      </c>
      <c r="AC597">
        <f ca="1">Table1[[#This Row],[SI]]+Table1[[#This Row],[Disc/Prem]]</f>
        <v>300</v>
      </c>
      <c r="AD597" s="3" t="e">
        <f ca="1">Table1[[#This Row],[Net Gain]]/Table1[[#This Row],[Ask Rate]]</f>
        <v>#DIV/0!</v>
      </c>
      <c r="AE597" s="3">
        <f>IF(Table1[[#This Row],[Ask Qty]]=0,0,Table1[[#This Row],[Gross Yield]]*365/Table1[[#This Row],[Days Left]])</f>
        <v>0</v>
      </c>
      <c r="AF597" s="9">
        <f ca="1">+Table1[[#This Row],[Net Gain]]*Table1[[#This Row],[Ask Qty]]</f>
        <v>0</v>
      </c>
      <c r="AG597" t="str">
        <f>IF(Table1[[#This Row],[YTM]]&gt;0.12,IF(Table1[[#This Row],[Gross Profit]]&gt;10000,"Invest","Review"),"Low YTM")</f>
        <v>Low YTM</v>
      </c>
    </row>
    <row r="598" spans="1:33" x14ac:dyDescent="0.3">
      <c r="A598" t="str">
        <f>RTD("nest.scriprtd",,"bse_cm|97EFSL31A","Symbol")</f>
        <v>97EFSL31A</v>
      </c>
      <c r="B598" t="str">
        <f>RTD("nest.scriprtd",,"bse_cm|97EFSL31A","Trading Symbol")</f>
        <v>97EFSL31A</v>
      </c>
      <c r="C598" t="str">
        <f>RTD("nest.scriprtd",,"bse_cm|97EFSL31A","Exchange")</f>
        <v>BSE</v>
      </c>
      <c r="D598">
        <f>RTD("nest.scriprtd",,"bse_cm|97EFSL31A","Bid Qty")</f>
        <v>9</v>
      </c>
      <c r="E598">
        <f>RTD("nest.scriprtd",,"bse_cm|97EFSL31A","Bid Rate")</f>
        <v>948</v>
      </c>
      <c r="F598">
        <f>RTD("nest.scriprtd",,"bse_cm|97EFSL31A","Ask Rate")</f>
        <v>0</v>
      </c>
      <c r="G598">
        <f>RTD("nest.scriprtd",,"bse_cm|97EFSL31A","Ask Qty")</f>
        <v>0</v>
      </c>
      <c r="H598">
        <f>RTD("nest.scriprtd",,"bse_cm|97EFSL31A","LTP")</f>
        <v>0</v>
      </c>
      <c r="I598" t="str">
        <f>RTD("nest.scriprtd",,"bse_cm|97EFSL31A","LTT")</f>
        <v>00:00:00</v>
      </c>
      <c r="J598">
        <f>RTD("nest.scriprtd",,"bse_cm|97EFSL31A","% Change")</f>
        <v>-100</v>
      </c>
      <c r="K598">
        <f>RTD("nest.scriprtd",,"bse_cm|97EFSL31A","ATP")</f>
        <v>0</v>
      </c>
      <c r="L598">
        <f>RTD("nest.scriprtd",,"bse_cm|97EFSL31A","Volume Traded Today")</f>
        <v>0</v>
      </c>
      <c r="M598">
        <f>RTD("nest.scriprtd",,"bse_cm|97EFSL31A","Open")</f>
        <v>0</v>
      </c>
      <c r="N598">
        <f>RTD("nest.scriprtd",,"bse_cm|97EFSL31A","High")</f>
        <v>947.2</v>
      </c>
      <c r="O598">
        <f>RTD("nest.scriprtd",,"bse_cm|97EFSL31A","Low ")</f>
        <v>947.2</v>
      </c>
      <c r="P598">
        <f>RTD("nest.scriprtd",,"bse_cm|97EFSL31A","Prev Close")</f>
        <v>947.2</v>
      </c>
      <c r="Q598">
        <f>RTD("nest.scriprtd",,"bse_cm|97EFSL31A","Face Value")</f>
        <v>1000</v>
      </c>
      <c r="R598" t="str">
        <f>RTD("nest.scriprtd",,"bse_cm|97EFSL31A","Isin code")</f>
        <v>INE532F07CU4</v>
      </c>
      <c r="S598" s="9">
        <f>Table1[[#This Row],[Ask Rate]]*Table1[[#This Row],[Ask Qty]]</f>
        <v>0</v>
      </c>
      <c r="T598">
        <f>VLOOKUP(Table1[[#This Row],[Isin code]],Table2[#All],7,FALSE)</f>
        <v>9.7000000000000011</v>
      </c>
      <c r="U598" s="17" t="str">
        <f>VLOOKUP(Table1[[#This Row],[Isin code]],Table2[#All],8,FALSE)</f>
        <v>28-Dec-2031</v>
      </c>
      <c r="V598" s="10">
        <f ca="1">Table1[[#This Row],[Maturity]]-TODAY()</f>
        <v>2629</v>
      </c>
      <c r="W598" t="str">
        <f>VLOOKUP(Table1[[#This Row],[Isin code]],Table2[#All],10,FALSE)</f>
        <v>Yearly</v>
      </c>
      <c r="X598">
        <f ca="1">_xlfn.DAYS(Table1[[#This Row],[Maturity]],TODAY())-15</f>
        <v>2614</v>
      </c>
      <c r="Y5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598">
        <f>IF(Table1[[#This Row],[Ask Rate]]=0,0,Table1[[#This Row],[Face Value]]-Table1[[#This Row],[Ask Rate]])</f>
        <v>0</v>
      </c>
      <c r="AA598">
        <f>IF(Table1[[#This Row],[Freq]]="Yearly",Table1[[#This Row],[Coupon_Rate]]/100,IF(Table1[[#This Row],[Freq]]="Monthly",Table1[[#This Row],[Coupon_Rate]]/1200,IF(Table1[[#This Row],[Freq]]="Quarterly",Table1[[#This Row],[Coupon_Rate]]/400,0)))</f>
        <v>9.7000000000000017E-2</v>
      </c>
      <c r="AB598">
        <f ca="1">Table1[[#This Row],[Face Value]]*Table1[[#This Row],[Rate]]*Table1[[#This Row],[Time]]</f>
        <v>776.00000000000011</v>
      </c>
      <c r="AC598">
        <f ca="1">Table1[[#This Row],[SI]]+Table1[[#This Row],[Disc/Prem]]</f>
        <v>776.00000000000011</v>
      </c>
      <c r="AD598" s="3" t="e">
        <f ca="1">Table1[[#This Row],[Net Gain]]/Table1[[#This Row],[Ask Rate]]</f>
        <v>#DIV/0!</v>
      </c>
      <c r="AE598" s="3">
        <f>IF(Table1[[#This Row],[Ask Qty]]=0,0,Table1[[#This Row],[Gross Yield]]*365/Table1[[#This Row],[Days Left]])</f>
        <v>0</v>
      </c>
      <c r="AF598" s="9">
        <f ca="1">+Table1[[#This Row],[Net Gain]]*Table1[[#This Row],[Ask Qty]]</f>
        <v>0</v>
      </c>
      <c r="AG598" t="str">
        <f>IF(Table1[[#This Row],[YTM]]&gt;0.12,IF(Table1[[#This Row],[Gross Profit]]&gt;10000,"Invest","Review"),"Low YTM")</f>
        <v>Low YTM</v>
      </c>
    </row>
    <row r="599" spans="1:33" x14ac:dyDescent="0.3">
      <c r="A599" t="str">
        <f>RTD("nest.scriprtd",,"bse_cm|948IFSL25B","Symbol")</f>
        <v>948IFSL25B</v>
      </c>
      <c r="B599" t="str">
        <f>RTD("nest.scriprtd",,"bse_cm|948IFSL25B","Trading Symbol")</f>
        <v>948IFSL25B</v>
      </c>
      <c r="C599" t="str">
        <f>RTD("nest.scriprtd",,"bse_cm|948IFSL25B","Exchange")</f>
        <v>BSE</v>
      </c>
      <c r="D599">
        <f>RTD("nest.scriprtd",,"bse_cm|948IFSL25B","Bid Qty")</f>
        <v>2</v>
      </c>
      <c r="E599">
        <f>RTD("nest.scriprtd",,"bse_cm|948IFSL25B","Bid Rate")</f>
        <v>985</v>
      </c>
      <c r="F599">
        <f>RTD("nest.scriprtd",,"bse_cm|948IFSL25B","Ask Rate")</f>
        <v>0</v>
      </c>
      <c r="G599">
        <f>RTD("nest.scriprtd",,"bse_cm|948IFSL25B","Ask Qty")</f>
        <v>0</v>
      </c>
      <c r="H599">
        <f>RTD("nest.scriprtd",,"bse_cm|948IFSL25B","LTP")</f>
        <v>990</v>
      </c>
      <c r="I599" t="str">
        <f>RTD("nest.scriprtd",,"bse_cm|948IFSL25B","LTT")</f>
        <v>09:38:24</v>
      </c>
      <c r="J599">
        <f>RTD("nest.scriprtd",,"bse_cm|948IFSL25B","% Change")</f>
        <v>2.0499999999999998</v>
      </c>
      <c r="K599">
        <f>RTD("nest.scriprtd",,"bse_cm|948IFSL25B","ATP")</f>
        <v>990</v>
      </c>
      <c r="L599">
        <f>RTD("nest.scriprtd",,"bse_cm|948IFSL25B","Volume Traded Today")</f>
        <v>4</v>
      </c>
      <c r="M599">
        <f>RTD("nest.scriprtd",,"bse_cm|948IFSL25B","Open")</f>
        <v>990</v>
      </c>
      <c r="N599">
        <f>RTD("nest.scriprtd",,"bse_cm|948IFSL25B","High")</f>
        <v>990</v>
      </c>
      <c r="O599">
        <f>RTD("nest.scriprtd",,"bse_cm|948IFSL25B","Low ")</f>
        <v>990</v>
      </c>
      <c r="P599">
        <f>RTD("nest.scriprtd",,"bse_cm|948IFSL25B","Prev Close")</f>
        <v>970.13</v>
      </c>
      <c r="Q599">
        <f>RTD("nest.scriprtd",,"bse_cm|948IFSL25B","Face Value")</f>
        <v>1000</v>
      </c>
      <c r="R599" t="str">
        <f>RTD("nest.scriprtd",,"bse_cm|948IFSL25B","Isin code")</f>
        <v>INE321N07343</v>
      </c>
      <c r="S599" s="9">
        <f>Table1[[#This Row],[Ask Rate]]*Table1[[#This Row],[Ask Qty]]</f>
        <v>0</v>
      </c>
      <c r="T599">
        <f>VLOOKUP(Table1[[#This Row],[Isin code]],Table2[#All],7,FALSE)</f>
        <v>9.48</v>
      </c>
      <c r="U599" s="17" t="str">
        <f>VLOOKUP(Table1[[#This Row],[Isin code]],Table2[#All],8,FALSE)</f>
        <v>10-May-2025</v>
      </c>
      <c r="V599" s="10">
        <f ca="1">Table1[[#This Row],[Maturity]]-TODAY()</f>
        <v>206</v>
      </c>
      <c r="W599" t="str">
        <f>VLOOKUP(Table1[[#This Row],[Isin code]],Table2[#All],10,FALSE)</f>
        <v>Monthly</v>
      </c>
      <c r="X599">
        <f ca="1">_xlfn.DAYS(Table1[[#This Row],[Maturity]],TODAY())-15</f>
        <v>191</v>
      </c>
      <c r="Y5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599">
        <f>IF(Table1[[#This Row],[Ask Rate]]=0,0,Table1[[#This Row],[Face Value]]-Table1[[#This Row],[Ask Rate]])</f>
        <v>0</v>
      </c>
      <c r="AA599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599">
        <f ca="1">Table1[[#This Row],[Face Value]]*Table1[[#This Row],[Rate]]*Table1[[#This Row],[Time]]</f>
        <v>55.300000000000004</v>
      </c>
      <c r="AC599">
        <f ca="1">Table1[[#This Row],[SI]]+Table1[[#This Row],[Disc/Prem]]</f>
        <v>55.300000000000004</v>
      </c>
      <c r="AD599" s="3" t="e">
        <f ca="1">Table1[[#This Row],[Net Gain]]/Table1[[#This Row],[Ask Rate]]</f>
        <v>#DIV/0!</v>
      </c>
      <c r="AE599" s="3">
        <f>IF(Table1[[#This Row],[Ask Qty]]=0,0,Table1[[#This Row],[Gross Yield]]*365/Table1[[#This Row],[Days Left]])</f>
        <v>0</v>
      </c>
      <c r="AF599" s="9">
        <f ca="1">+Table1[[#This Row],[Net Gain]]*Table1[[#This Row],[Ask Qty]]</f>
        <v>0</v>
      </c>
      <c r="AG599" t="str">
        <f>IF(Table1[[#This Row],[YTM]]&gt;0.12,IF(Table1[[#This Row],[Gross Profit]]&gt;10000,"Invest","Review"),"Low YTM")</f>
        <v>Low YTM</v>
      </c>
    </row>
    <row r="600" spans="1:33" x14ac:dyDescent="0.3">
      <c r="A600" t="str">
        <f>RTD("nest.scriprtd",,"nse_cm|925SCL25B-Y3","Symbol")</f>
        <v>925SCL25B</v>
      </c>
      <c r="B600" t="str">
        <f>RTD("nest.scriprtd",,"nse_cm|925SCL25B-Y3","Trading Symbol")</f>
        <v>925SCL25B-Y3</v>
      </c>
      <c r="C600" t="str">
        <f>RTD("nest.scriprtd",,"nse_cm|925SCL25B-Y3","Exchange")</f>
        <v>NSE</v>
      </c>
      <c r="D600">
        <f>RTD("nest.scriprtd",,"nse_cm|925SCL25B-Y3","Bid Qty")</f>
        <v>9</v>
      </c>
      <c r="E600">
        <f>RTD("nest.scriprtd",,"nse_cm|925SCL25B-Y3","Bid Rate")</f>
        <v>958</v>
      </c>
      <c r="F600">
        <f>RTD("nest.scriprtd",,"nse_cm|925SCL25B-Y3","Ask Rate")</f>
        <v>0</v>
      </c>
      <c r="G600">
        <f>RTD("nest.scriprtd",,"nse_cm|925SCL25B-Y3","Ask Qty")</f>
        <v>0</v>
      </c>
      <c r="H600">
        <f>RTD("nest.scriprtd",,"nse_cm|925SCL25B-Y3","LTP")</f>
        <v>960</v>
      </c>
      <c r="I600" t="str">
        <f>RTD("nest.scriprtd",,"nse_cm|925SCL25B-Y3","LTT")</f>
        <v/>
      </c>
      <c r="J600">
        <f>RTD("nest.scriprtd",,"nse_cm|925SCL25B-Y3","% Change")</f>
        <v>0</v>
      </c>
      <c r="K600">
        <f>RTD("nest.scriprtd",,"nse_cm|925SCL25B-Y3","ATP")</f>
        <v>0</v>
      </c>
      <c r="L600">
        <f>RTD("nest.scriprtd",,"nse_cm|925SCL25B-Y3","Volume Traded Today")</f>
        <v>0</v>
      </c>
      <c r="M600">
        <f>RTD("nest.scriprtd",,"nse_cm|925SCL25B-Y3","Open")</f>
        <v>0</v>
      </c>
      <c r="N600">
        <f>RTD("nest.scriprtd",,"nse_cm|925SCL25B-Y3","High")</f>
        <v>960</v>
      </c>
      <c r="O600">
        <f>RTD("nest.scriprtd",,"nse_cm|925SCL25B-Y3","Low ")</f>
        <v>960</v>
      </c>
      <c r="P600">
        <f>RTD("nest.scriprtd",,"nse_cm|925SCL25B-Y3","Prev Close")</f>
        <v>960</v>
      </c>
      <c r="Q600">
        <f>RTD("nest.scriprtd",,"nse_cm|925SCL25B-Y3","Face Value")</f>
        <v>1000</v>
      </c>
      <c r="R600" t="str">
        <f>RTD("nest.scriprtd",,"nse_cm|925SCL25B-Y3","Isin code")</f>
        <v>INE148I07RI6</v>
      </c>
      <c r="S600" s="9">
        <f>Table1[[#This Row],[Ask Rate]]*Table1[[#This Row],[Ask Qty]]</f>
        <v>0</v>
      </c>
      <c r="T600">
        <f>VLOOKUP(Table1[[#This Row],[Isin code]],Table2[#All],7,FALSE)</f>
        <v>9.25</v>
      </c>
      <c r="U600" s="17" t="str">
        <f>VLOOKUP(Table1[[#This Row],[Isin code]],Table2[#All],8,FALSE)</f>
        <v>27-Dec-2025</v>
      </c>
      <c r="V600" s="10">
        <f ca="1">Table1[[#This Row],[Maturity]]-TODAY()</f>
        <v>437</v>
      </c>
      <c r="W600" t="str">
        <f>VLOOKUP(Table1[[#This Row],[Isin code]],Table2[#All],10,FALSE)</f>
        <v>Monthly</v>
      </c>
      <c r="X600">
        <f ca="1">_xlfn.DAYS(Table1[[#This Row],[Maturity]],TODAY())-15</f>
        <v>422</v>
      </c>
      <c r="Y6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600">
        <f>IF(Table1[[#This Row],[Ask Rate]]=0,0,Table1[[#This Row],[Face Value]]-Table1[[#This Row],[Ask Rate]])</f>
        <v>0</v>
      </c>
      <c r="AA600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600">
        <f ca="1">Table1[[#This Row],[Face Value]]*Table1[[#This Row],[Rate]]*Table1[[#This Row],[Time]]</f>
        <v>115.62500000000001</v>
      </c>
      <c r="AC600">
        <f ca="1">Table1[[#This Row],[SI]]+Table1[[#This Row],[Disc/Prem]]</f>
        <v>115.62500000000001</v>
      </c>
      <c r="AD600" s="3" t="e">
        <f ca="1">Table1[[#This Row],[Net Gain]]/Table1[[#This Row],[Ask Rate]]</f>
        <v>#DIV/0!</v>
      </c>
      <c r="AE600" s="3">
        <f>IF(Table1[[#This Row],[Ask Qty]]=0,0,Table1[[#This Row],[Gross Yield]]*365/Table1[[#This Row],[Days Left]])</f>
        <v>0</v>
      </c>
      <c r="AF600" s="9">
        <f ca="1">+Table1[[#This Row],[Net Gain]]*Table1[[#This Row],[Ask Qty]]</f>
        <v>0</v>
      </c>
      <c r="AG600" t="str">
        <f>IF(Table1[[#This Row],[YTM]]&gt;0.12,IF(Table1[[#This Row],[Gross Profit]]&gt;10000,"Invest","Review"),"Low YTM")</f>
        <v>Low YTM</v>
      </c>
    </row>
    <row r="601" spans="1:33" x14ac:dyDescent="0.3">
      <c r="A601" t="str">
        <f>RTD("nest.scriprtd",,"bse_cm|1150IML29","Symbol")</f>
        <v>1150IML29</v>
      </c>
      <c r="B601" t="str">
        <f>RTD("nest.scriprtd",,"bse_cm|1150IML29","Trading Symbol")</f>
        <v>1150IML29</v>
      </c>
      <c r="C601" t="str">
        <f>RTD("nest.scriprtd",,"bse_cm|1150IML29","Exchange")</f>
        <v>BSE</v>
      </c>
      <c r="D601">
        <f>RTD("nest.scriprtd",,"bse_cm|1150IML29","Bid Qty")</f>
        <v>20</v>
      </c>
      <c r="E601">
        <f>RTD("nest.scriprtd",,"bse_cm|1150IML29","Bid Rate")</f>
        <v>993</v>
      </c>
      <c r="F601">
        <f>RTD("nest.scriprtd",,"bse_cm|1150IML29","Ask Rate")</f>
        <v>0</v>
      </c>
      <c r="G601">
        <f>RTD("nest.scriprtd",,"bse_cm|1150IML29","Ask Qty")</f>
        <v>0</v>
      </c>
      <c r="H601">
        <f>RTD("nest.scriprtd",,"bse_cm|1150IML29","LTP")</f>
        <v>0</v>
      </c>
      <c r="I601" t="str">
        <f>RTD("nest.scriprtd",,"bse_cm|1150IML29","LTT")</f>
        <v>00:00:00</v>
      </c>
      <c r="J601">
        <f>RTD("nest.scriprtd",,"bse_cm|1150IML29","% Change")</f>
        <v>-100</v>
      </c>
      <c r="K601">
        <f>RTD("nest.scriprtd",,"bse_cm|1150IML29","ATP")</f>
        <v>0</v>
      </c>
      <c r="L601">
        <f>RTD("nest.scriprtd",,"bse_cm|1150IML29","Volume Traded Today")</f>
        <v>0</v>
      </c>
      <c r="M601">
        <f>RTD("nest.scriprtd",,"bse_cm|1150IML29","Open")</f>
        <v>0</v>
      </c>
      <c r="N601">
        <f>RTD("nest.scriprtd",,"bse_cm|1150IML29","High")</f>
        <v>1010</v>
      </c>
      <c r="O601">
        <f>RTD("nest.scriprtd",,"bse_cm|1150IML29","Low ")</f>
        <v>1010</v>
      </c>
      <c r="P601">
        <f>RTD("nest.scriprtd",,"bse_cm|1150IML29","Prev Close")</f>
        <v>1010</v>
      </c>
      <c r="Q601">
        <f>RTD("nest.scriprtd",,"bse_cm|1150IML29","Face Value")</f>
        <v>1000</v>
      </c>
      <c r="R601" t="str">
        <f>RTD("nest.scriprtd",,"bse_cm|1150IML29","Isin code")</f>
        <v>INE0BUS07AT5</v>
      </c>
      <c r="S601" s="9">
        <f>Table1[[#This Row],[Ask Rate]]*Table1[[#This Row],[Ask Qty]]</f>
        <v>0</v>
      </c>
      <c r="T601">
        <f>VLOOKUP(Table1[[#This Row],[Isin code]],Table2[#All],7,FALSE)</f>
        <v>11.5</v>
      </c>
      <c r="U601" s="17" t="str">
        <f>VLOOKUP(Table1[[#This Row],[Isin code]],Table2[#All],8,FALSE)</f>
        <v>15-Feb-2029</v>
      </c>
      <c r="V601" s="10">
        <f ca="1">Table1[[#This Row],[Maturity]]-TODAY()</f>
        <v>1583</v>
      </c>
      <c r="W601" t="str">
        <f>VLOOKUP(Table1[[#This Row],[Isin code]],Table2[#All],10,FALSE)</f>
        <v>Monthly</v>
      </c>
      <c r="X601">
        <f ca="1">_xlfn.DAYS(Table1[[#This Row],[Maturity]],TODAY())-15</f>
        <v>1568</v>
      </c>
      <c r="Y60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53</v>
      </c>
      <c r="Z601">
        <f>IF(Table1[[#This Row],[Ask Rate]]=0,0,Table1[[#This Row],[Face Value]]-Table1[[#This Row],[Ask Rate]])</f>
        <v>0</v>
      </c>
      <c r="AA601">
        <f>IF(Table1[[#This Row],[Freq]]="Yearly",Table1[[#This Row],[Coupon_Rate]]/100,IF(Table1[[#This Row],[Freq]]="Monthly",Table1[[#This Row],[Coupon_Rate]]/1200,IF(Table1[[#This Row],[Freq]]="Quarterly",Table1[[#This Row],[Coupon_Rate]]/400,0)))</f>
        <v>9.5833333333333326E-3</v>
      </c>
      <c r="AB601">
        <f ca="1">Table1[[#This Row],[Face Value]]*Table1[[#This Row],[Rate]]*Table1[[#This Row],[Time]]</f>
        <v>507.91666666666663</v>
      </c>
      <c r="AC601">
        <f ca="1">Table1[[#This Row],[SI]]+Table1[[#This Row],[Disc/Prem]]</f>
        <v>507.91666666666663</v>
      </c>
      <c r="AD601" s="3" t="e">
        <f ca="1">Table1[[#This Row],[Net Gain]]/Table1[[#This Row],[Ask Rate]]</f>
        <v>#DIV/0!</v>
      </c>
      <c r="AE601" s="3">
        <f>IF(Table1[[#This Row],[Ask Qty]]=0,0,Table1[[#This Row],[Gross Yield]]*365/Table1[[#This Row],[Days Left]])</f>
        <v>0</v>
      </c>
      <c r="AF601" s="9">
        <f ca="1">+Table1[[#This Row],[Net Gain]]*Table1[[#This Row],[Ask Qty]]</f>
        <v>0</v>
      </c>
      <c r="AG601" t="str">
        <f>IF(Table1[[#This Row],[YTM]]&gt;0.12,IF(Table1[[#This Row],[Gross Profit]]&gt;10000,"Invest","Review"),"Low YTM")</f>
        <v>Low YTM</v>
      </c>
    </row>
    <row r="602" spans="1:33" x14ac:dyDescent="0.3">
      <c r="A602" t="str">
        <f>RTD("nest.scriprtd",,"bse_cm|950KFIL26","Symbol")</f>
        <v>950KFIL26</v>
      </c>
      <c r="B602" t="str">
        <f>RTD("nest.scriprtd",,"bse_cm|950KFIL26","Trading Symbol")</f>
        <v>950KFIL26</v>
      </c>
      <c r="C602" t="str">
        <f>RTD("nest.scriprtd",,"bse_cm|950KFIL26","Exchange")</f>
        <v>BSE</v>
      </c>
      <c r="D602">
        <f>RTD("nest.scriprtd",,"bse_cm|950KFIL26","Bid Qty")</f>
        <v>40</v>
      </c>
      <c r="E602">
        <f>RTD("nest.scriprtd",,"bse_cm|950KFIL26","Bid Rate")</f>
        <v>955</v>
      </c>
      <c r="F602">
        <f>RTD("nest.scriprtd",,"bse_cm|950KFIL26","Ask Rate")</f>
        <v>975</v>
      </c>
      <c r="G602">
        <f>RTD("nest.scriprtd",,"bse_cm|950KFIL26","Ask Qty")</f>
        <v>20</v>
      </c>
      <c r="H602">
        <f>RTD("nest.scriprtd",,"bse_cm|950KFIL26","LTP")</f>
        <v>955</v>
      </c>
      <c r="I602" t="str">
        <f>RTD("nest.scriprtd",,"bse_cm|950KFIL26","LTT")</f>
        <v>00:00:00</v>
      </c>
      <c r="J602">
        <f>RTD("nest.scriprtd",,"bse_cm|950KFIL26","% Change")</f>
        <v>-2.0499999999999998</v>
      </c>
      <c r="K602">
        <f>RTD("nest.scriprtd",,"bse_cm|950KFIL26","ATP")</f>
        <v>0</v>
      </c>
      <c r="L602">
        <f>RTD("nest.scriprtd",,"bse_cm|950KFIL26","Volume Traded Today")</f>
        <v>0</v>
      </c>
      <c r="M602">
        <f>RTD("nest.scriprtd",,"bse_cm|950KFIL26","Open")</f>
        <v>0</v>
      </c>
      <c r="N602">
        <f>RTD("nest.scriprtd",,"bse_cm|950KFIL26","High")</f>
        <v>960</v>
      </c>
      <c r="O602">
        <f>RTD("nest.scriprtd",,"bse_cm|950KFIL26","Low ")</f>
        <v>955</v>
      </c>
      <c r="P602">
        <f>RTD("nest.scriprtd",,"bse_cm|950KFIL26","Prev Close")</f>
        <v>975</v>
      </c>
      <c r="Q602">
        <f>RTD("nest.scriprtd",,"bse_cm|950KFIL26","Face Value")</f>
        <v>1000</v>
      </c>
      <c r="R602" t="str">
        <f>RTD("nest.scriprtd",,"bse_cm|950KFIL26","Isin code")</f>
        <v>INE403Q07CM2</v>
      </c>
      <c r="S602" s="9">
        <f>Table1[[#This Row],[Ask Rate]]*Table1[[#This Row],[Ask Qty]]</f>
        <v>19500</v>
      </c>
      <c r="T602">
        <f>VLOOKUP(Table1[[#This Row],[Isin code]],Table2[#All],7,FALSE)</f>
        <v>9.5</v>
      </c>
      <c r="U602" s="17" t="str">
        <f>VLOOKUP(Table1[[#This Row],[Isin code]],Table2[#All],8,FALSE)</f>
        <v>17-Apr-2026</v>
      </c>
      <c r="V602" s="10">
        <f ca="1">Table1[[#This Row],[Maturity]]-TODAY()</f>
        <v>548</v>
      </c>
      <c r="W602" t="str">
        <f>VLOOKUP(Table1[[#This Row],[Isin code]],Table2[#All],10,FALSE)</f>
        <v>Monthly</v>
      </c>
      <c r="X602">
        <f ca="1">_xlfn.DAYS(Table1[[#This Row],[Maturity]],TODAY())-15</f>
        <v>533</v>
      </c>
      <c r="Y6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602">
        <f>IF(Table1[[#This Row],[Ask Rate]]=0,0,Table1[[#This Row],[Face Value]]-Table1[[#This Row],[Ask Rate]])</f>
        <v>25</v>
      </c>
      <c r="AA602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602">
        <f ca="1">Table1[[#This Row],[Face Value]]*Table1[[#This Row],[Rate]]*Table1[[#This Row],[Time]]</f>
        <v>142.5</v>
      </c>
      <c r="AC602">
        <f ca="1">Table1[[#This Row],[SI]]+Table1[[#This Row],[Disc/Prem]]</f>
        <v>167.5</v>
      </c>
      <c r="AD602" s="3">
        <f ca="1">Table1[[#This Row],[Net Gain]]/Table1[[#This Row],[Ask Rate]]</f>
        <v>0.1717948717948718</v>
      </c>
      <c r="AE602" s="3">
        <f ca="1">IF(Table1[[#This Row],[Ask Qty]]=0,0,Table1[[#This Row],[Gross Yield]]*365/Table1[[#This Row],[Days Left]])</f>
        <v>0.1144254164327157</v>
      </c>
      <c r="AF602" s="9">
        <f ca="1">+Table1[[#This Row],[Net Gain]]*Table1[[#This Row],[Ask Qty]]</f>
        <v>3350</v>
      </c>
      <c r="AG602" t="str">
        <f ca="1">IF(Table1[[#This Row],[YTM]]&gt;0.12,IF(Table1[[#This Row],[Gross Profit]]&gt;10000,"Invest","Review"),"Low YTM")</f>
        <v>Low YTM</v>
      </c>
    </row>
    <row r="603" spans="1:33" x14ac:dyDescent="0.3">
      <c r="A603" t="str">
        <f>RTD("nest.scriprtd",,"bse_cm|866SCL25","Symbol")</f>
        <v>866SCL25</v>
      </c>
      <c r="B603" t="str">
        <f>RTD("nest.scriprtd",,"bse_cm|866SCL25","Trading Symbol")</f>
        <v>866SCL25</v>
      </c>
      <c r="C603" t="str">
        <f>RTD("nest.scriprtd",,"bse_cm|866SCL25","Exchange")</f>
        <v>BSE</v>
      </c>
      <c r="D603">
        <f>RTD("nest.scriprtd",,"bse_cm|866SCL25","Bid Qty")</f>
        <v>12</v>
      </c>
      <c r="E603">
        <f>RTD("nest.scriprtd",,"bse_cm|866SCL25","Bid Rate")</f>
        <v>950.2</v>
      </c>
      <c r="F603">
        <f>RTD("nest.scriprtd",,"bse_cm|866SCL25","Ask Rate")</f>
        <v>0</v>
      </c>
      <c r="G603">
        <f>RTD("nest.scriprtd",,"bse_cm|866SCL25","Ask Qty")</f>
        <v>0</v>
      </c>
      <c r="H603">
        <f>RTD("nest.scriprtd",,"bse_cm|866SCL25","LTP")</f>
        <v>984</v>
      </c>
      <c r="I603" t="str">
        <f>RTD("nest.scriprtd",,"bse_cm|866SCL25","LTT")</f>
        <v>09:36:32</v>
      </c>
      <c r="J603">
        <f>RTD("nest.scriprtd",,"bse_cm|866SCL25","% Change")</f>
        <v>-0.01</v>
      </c>
      <c r="K603">
        <f>RTD("nest.scriprtd",,"bse_cm|866SCL25","ATP")</f>
        <v>984</v>
      </c>
      <c r="L603">
        <f>RTD("nest.scriprtd",,"bse_cm|866SCL25","Volume Traded Today")</f>
        <v>10</v>
      </c>
      <c r="M603">
        <f>RTD("nest.scriprtd",,"bse_cm|866SCL25","Open")</f>
        <v>984</v>
      </c>
      <c r="N603">
        <f>RTD("nest.scriprtd",,"bse_cm|866SCL25","High")</f>
        <v>984</v>
      </c>
      <c r="O603">
        <f>RTD("nest.scriprtd",,"bse_cm|866SCL25","Low ")</f>
        <v>984</v>
      </c>
      <c r="P603">
        <f>RTD("nest.scriprtd",,"bse_cm|866SCL25","Prev Close")</f>
        <v>984.08</v>
      </c>
      <c r="Q603">
        <f>RTD("nest.scriprtd",,"bse_cm|866SCL25","Face Value")</f>
        <v>1000</v>
      </c>
      <c r="R603" t="str">
        <f>RTD("nest.scriprtd",,"bse_cm|866SCL25","Isin code")</f>
        <v>INE148I07LR0</v>
      </c>
      <c r="S603" s="9">
        <f>Table1[[#This Row],[Ask Rate]]*Table1[[#This Row],[Ask Qty]]</f>
        <v>0</v>
      </c>
      <c r="T603">
        <f>VLOOKUP(Table1[[#This Row],[Isin code]],Table2[#All],7,FALSE)</f>
        <v>8.66</v>
      </c>
      <c r="U603" s="17" t="str">
        <f>VLOOKUP(Table1[[#This Row],[Isin code]],Table2[#All],8,FALSE)</f>
        <v>28-Apr-2025</v>
      </c>
      <c r="V603" s="10">
        <f ca="1">Table1[[#This Row],[Maturity]]-TODAY()</f>
        <v>194</v>
      </c>
      <c r="W603" t="str">
        <f>VLOOKUP(Table1[[#This Row],[Isin code]],Table2[#All],10,FALSE)</f>
        <v>Monthly</v>
      </c>
      <c r="X603">
        <f ca="1">_xlfn.DAYS(Table1[[#This Row],[Maturity]],TODAY())-15</f>
        <v>179</v>
      </c>
      <c r="Y6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603">
        <f>IF(Table1[[#This Row],[Ask Rate]]=0,0,Table1[[#This Row],[Face Value]]-Table1[[#This Row],[Ask Rate]])</f>
        <v>0</v>
      </c>
      <c r="AA603">
        <f>IF(Table1[[#This Row],[Freq]]="Yearly",Table1[[#This Row],[Coupon_Rate]]/100,IF(Table1[[#This Row],[Freq]]="Monthly",Table1[[#This Row],[Coupon_Rate]]/1200,IF(Table1[[#This Row],[Freq]]="Quarterly",Table1[[#This Row],[Coupon_Rate]]/400,0)))</f>
        <v>7.2166666666666664E-3</v>
      </c>
      <c r="AB603">
        <f ca="1">Table1[[#This Row],[Face Value]]*Table1[[#This Row],[Rate]]*Table1[[#This Row],[Time]]</f>
        <v>43.3</v>
      </c>
      <c r="AC603">
        <f ca="1">Table1[[#This Row],[SI]]+Table1[[#This Row],[Disc/Prem]]</f>
        <v>43.3</v>
      </c>
      <c r="AD603" s="3" t="e">
        <f ca="1">Table1[[#This Row],[Net Gain]]/Table1[[#This Row],[Ask Rate]]</f>
        <v>#DIV/0!</v>
      </c>
      <c r="AE603" s="3">
        <f>IF(Table1[[#This Row],[Ask Qty]]=0,0,Table1[[#This Row],[Gross Yield]]*365/Table1[[#This Row],[Days Left]])</f>
        <v>0</v>
      </c>
      <c r="AF603" s="9">
        <f ca="1">+Table1[[#This Row],[Net Gain]]*Table1[[#This Row],[Ask Qty]]</f>
        <v>0</v>
      </c>
      <c r="AG603" t="str">
        <f>IF(Table1[[#This Row],[YTM]]&gt;0.12,IF(Table1[[#This Row],[Gross Profit]]&gt;10000,"Invest","Review"),"Low YTM")</f>
        <v>Low YTM</v>
      </c>
    </row>
    <row r="604" spans="1:33" x14ac:dyDescent="0.3">
      <c r="A604" t="str">
        <f>RTD("nest.scriprtd",,"nse_cm|925SFCL25-AC","Symbol")</f>
        <v>925SFCL25</v>
      </c>
      <c r="B604" t="str">
        <f>RTD("nest.scriprtd",,"nse_cm|925SFCL25-AC","Trading Symbol")</f>
        <v>925SFCL25-AC</v>
      </c>
      <c r="C604" t="str">
        <f>RTD("nest.scriprtd",,"nse_cm|925SFCL25-AC","Exchange")</f>
        <v>NSE</v>
      </c>
      <c r="D604">
        <f>RTD("nest.scriprtd",,"nse_cm|925SFCL25-AC","Bid Qty")</f>
        <v>1</v>
      </c>
      <c r="E604">
        <f>RTD("nest.scriprtd",,"nse_cm|925SFCL25-AC","Bid Rate")</f>
        <v>975</v>
      </c>
      <c r="F604">
        <f>RTD("nest.scriprtd",,"nse_cm|925SFCL25-AC","Ask Rate")</f>
        <v>0</v>
      </c>
      <c r="G604">
        <f>RTD("nest.scriprtd",,"nse_cm|925SFCL25-AC","Ask Qty")</f>
        <v>0</v>
      </c>
      <c r="H604">
        <f>RTD("nest.scriprtd",,"nse_cm|925SFCL25-AC","LTP")</f>
        <v>998</v>
      </c>
      <c r="I604" t="str">
        <f>RTD("nest.scriprtd",,"nse_cm|925SFCL25-AC","LTT")</f>
        <v/>
      </c>
      <c r="J604">
        <f>RTD("nest.scriprtd",,"nse_cm|925SFCL25-AC","% Change")</f>
        <v>0</v>
      </c>
      <c r="K604">
        <f>RTD("nest.scriprtd",,"nse_cm|925SFCL25-AC","ATP")</f>
        <v>0</v>
      </c>
      <c r="L604">
        <f>RTD("nest.scriprtd",,"nse_cm|925SFCL25-AC","Volume Traded Today")</f>
        <v>0</v>
      </c>
      <c r="M604">
        <f>RTD("nest.scriprtd",,"nse_cm|925SFCL25-AC","Open")</f>
        <v>0</v>
      </c>
      <c r="N604">
        <f>RTD("nest.scriprtd",,"nse_cm|925SFCL25-AC","High")</f>
        <v>998</v>
      </c>
      <c r="O604">
        <f>RTD("nest.scriprtd",,"nse_cm|925SFCL25-AC","Low ")</f>
        <v>998</v>
      </c>
      <c r="P604">
        <f>RTD("nest.scriprtd",,"nse_cm|925SFCL25-AC","Prev Close")</f>
        <v>998</v>
      </c>
      <c r="Q604">
        <f>RTD("nest.scriprtd",,"nse_cm|925SFCL25-AC","Face Value")</f>
        <v>1000</v>
      </c>
      <c r="R604" t="str">
        <f>RTD("nest.scriprtd",,"nse_cm|925SFCL25-AC","Isin code")</f>
        <v>INE148I07OF9</v>
      </c>
      <c r="S604" s="9">
        <f>Table1[[#This Row],[Ask Rate]]*Table1[[#This Row],[Ask Qty]]</f>
        <v>0</v>
      </c>
      <c r="T604">
        <f>VLOOKUP(Table1[[#This Row],[Isin code]],Table2[#All],7,FALSE)</f>
        <v>9.25</v>
      </c>
      <c r="U604" s="17" t="str">
        <f>VLOOKUP(Table1[[#This Row],[Isin code]],Table2[#All],8,FALSE)</f>
        <v>23-Mar-2025</v>
      </c>
      <c r="V604" s="10">
        <f ca="1">Table1[[#This Row],[Maturity]]-TODAY()</f>
        <v>158</v>
      </c>
      <c r="W604" t="str">
        <f>VLOOKUP(Table1[[#This Row],[Isin code]],Table2[#All],10,FALSE)</f>
        <v>Monthly</v>
      </c>
      <c r="X604">
        <f ca="1">_xlfn.DAYS(Table1[[#This Row],[Maturity]],TODAY())-15</f>
        <v>143</v>
      </c>
      <c r="Y6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604">
        <f>IF(Table1[[#This Row],[Ask Rate]]=0,0,Table1[[#This Row],[Face Value]]-Table1[[#This Row],[Ask Rate]])</f>
        <v>0</v>
      </c>
      <c r="AA604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604">
        <f ca="1">Table1[[#This Row],[Face Value]]*Table1[[#This Row],[Rate]]*Table1[[#This Row],[Time]]</f>
        <v>38.541666666666671</v>
      </c>
      <c r="AC604">
        <f ca="1">Table1[[#This Row],[SI]]+Table1[[#This Row],[Disc/Prem]]</f>
        <v>38.541666666666671</v>
      </c>
      <c r="AD604" s="3" t="e">
        <f ca="1">Table1[[#This Row],[Net Gain]]/Table1[[#This Row],[Ask Rate]]</f>
        <v>#DIV/0!</v>
      </c>
      <c r="AE604" s="3">
        <f>IF(Table1[[#This Row],[Ask Qty]]=0,0,Table1[[#This Row],[Gross Yield]]*365/Table1[[#This Row],[Days Left]])</f>
        <v>0</v>
      </c>
      <c r="AF604" s="9">
        <f ca="1">+Table1[[#This Row],[Net Gain]]*Table1[[#This Row],[Ask Qty]]</f>
        <v>0</v>
      </c>
      <c r="AG604" t="str">
        <f>IF(Table1[[#This Row],[YTM]]&gt;0.12,IF(Table1[[#This Row],[Gross Profit]]&gt;10000,"Invest","Review"),"Low YTM")</f>
        <v>Low YTM</v>
      </c>
    </row>
    <row r="605" spans="1:33" x14ac:dyDescent="0.3">
      <c r="A605" t="str">
        <f>RTD("nest.scriprtd",,"bse_cm|1003NHFL29","Symbol")</f>
        <v>1003NHFL29</v>
      </c>
      <c r="B605" t="str">
        <f>RTD("nest.scriprtd",,"bse_cm|1003NHFL29","Trading Symbol")</f>
        <v>1003NHFL29</v>
      </c>
      <c r="C605" t="str">
        <f>RTD("nest.scriprtd",,"bse_cm|1003NHFL29","Exchange")</f>
        <v>BSE</v>
      </c>
      <c r="D605">
        <f>RTD("nest.scriprtd",,"bse_cm|1003NHFL29","Bid Qty")</f>
        <v>14</v>
      </c>
      <c r="E605">
        <f>RTD("nest.scriprtd",,"bse_cm|1003NHFL29","Bid Rate")</f>
        <v>830.2</v>
      </c>
      <c r="F605">
        <f>RTD("nest.scriprtd",,"bse_cm|1003NHFL29","Ask Rate")</f>
        <v>0</v>
      </c>
      <c r="G605">
        <f>RTD("nest.scriprtd",,"bse_cm|1003NHFL29","Ask Qty")</f>
        <v>0</v>
      </c>
      <c r="H605">
        <f>RTD("nest.scriprtd",,"bse_cm|1003NHFL29","LTP")</f>
        <v>0</v>
      </c>
      <c r="I605" t="str">
        <f>RTD("nest.scriprtd",,"bse_cm|1003NHFL29","LTT")</f>
        <v>00:00:00</v>
      </c>
      <c r="J605">
        <f>RTD("nest.scriprtd",,"bse_cm|1003NHFL29","% Change")</f>
        <v>-100</v>
      </c>
      <c r="K605">
        <f>RTD("nest.scriprtd",,"bse_cm|1003NHFL29","ATP")</f>
        <v>0</v>
      </c>
      <c r="L605">
        <f>RTD("nest.scriprtd",,"bse_cm|1003NHFL29","Volume Traded Today")</f>
        <v>0</v>
      </c>
      <c r="M605">
        <f>RTD("nest.scriprtd",,"bse_cm|1003NHFL29","Open")</f>
        <v>0</v>
      </c>
      <c r="N605">
        <f>RTD("nest.scriprtd",,"bse_cm|1003NHFL29","High")</f>
        <v>964</v>
      </c>
      <c r="O605">
        <f>RTD("nest.scriprtd",,"bse_cm|1003NHFL29","Low ")</f>
        <v>964</v>
      </c>
      <c r="P605">
        <f>RTD("nest.scriprtd",,"bse_cm|1003NHFL29","Prev Close")</f>
        <v>964</v>
      </c>
      <c r="Q605">
        <f>RTD("nest.scriprtd",,"bse_cm|1003NHFL29","Face Value")</f>
        <v>1000</v>
      </c>
      <c r="R605" t="str">
        <f>RTD("nest.scriprtd",,"bse_cm|1003NHFL29","Isin code")</f>
        <v>INE530L07764</v>
      </c>
      <c r="S605" s="9">
        <f>Table1[[#This Row],[Ask Rate]]*Table1[[#This Row],[Ask Qty]]</f>
        <v>0</v>
      </c>
      <c r="T605">
        <f>VLOOKUP(Table1[[#This Row],[Isin code]],Table2[#All],7,FALSE)</f>
        <v>10.029999999999999</v>
      </c>
      <c r="U605" s="17" t="str">
        <f>VLOOKUP(Table1[[#This Row],[Isin code]],Table2[#All],8,FALSE)</f>
        <v>03-Jul-2029</v>
      </c>
      <c r="V605" s="10">
        <f ca="1">Table1[[#This Row],[Maturity]]-TODAY()</f>
        <v>1721</v>
      </c>
      <c r="W605" t="str">
        <f>VLOOKUP(Table1[[#This Row],[Isin code]],Table2[#All],10,FALSE)</f>
        <v>Monthly</v>
      </c>
      <c r="X605">
        <f ca="1">_xlfn.DAYS(Table1[[#This Row],[Maturity]],TODAY())-15</f>
        <v>1706</v>
      </c>
      <c r="Y6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57</v>
      </c>
      <c r="Z605">
        <f>IF(Table1[[#This Row],[Ask Rate]]=0,0,Table1[[#This Row],[Face Value]]-Table1[[#This Row],[Ask Rate]])</f>
        <v>0</v>
      </c>
      <c r="AA605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605">
        <f ca="1">Table1[[#This Row],[Face Value]]*Table1[[#This Row],[Rate]]*Table1[[#This Row],[Time]]</f>
        <v>476.42499999999995</v>
      </c>
      <c r="AC605">
        <f ca="1">Table1[[#This Row],[SI]]+Table1[[#This Row],[Disc/Prem]]</f>
        <v>476.42499999999995</v>
      </c>
      <c r="AD605" s="3" t="e">
        <f ca="1">Table1[[#This Row],[Net Gain]]/Table1[[#This Row],[Ask Rate]]</f>
        <v>#DIV/0!</v>
      </c>
      <c r="AE605" s="3">
        <f>IF(Table1[[#This Row],[Ask Qty]]=0,0,Table1[[#This Row],[Gross Yield]]*365/Table1[[#This Row],[Days Left]])</f>
        <v>0</v>
      </c>
      <c r="AF605" s="9">
        <f ca="1">+Table1[[#This Row],[Net Gain]]*Table1[[#This Row],[Ask Qty]]</f>
        <v>0</v>
      </c>
      <c r="AG605" t="str">
        <f>IF(Table1[[#This Row],[YTM]]&gt;0.12,IF(Table1[[#This Row],[Gross Profit]]&gt;10000,"Invest","Review"),"Low YTM")</f>
        <v>Low YTM</v>
      </c>
    </row>
    <row r="606" spans="1:33" hidden="1" x14ac:dyDescent="0.3">
      <c r="A606" t="str">
        <f>RTD("nest.scriprtd",,"bse_cm|9EFSL25","Symbol")</f>
        <v>9EFSL25</v>
      </c>
      <c r="B606" t="str">
        <f>RTD("nest.scriprtd",,"bse_cm|9EFSL25","Trading Symbol")</f>
        <v>9EFSL25</v>
      </c>
      <c r="C606" t="str">
        <f>RTD("nest.scriprtd",,"bse_cm|9EFSL25","Exchange")</f>
        <v>BSE</v>
      </c>
      <c r="D606">
        <f>RTD("nest.scriprtd",,"bse_cm|9EFSL25","Bid Qty")</f>
        <v>19</v>
      </c>
      <c r="E606">
        <f>RTD("nest.scriprtd",,"bse_cm|9EFSL25","Bid Rate")</f>
        <v>1046</v>
      </c>
      <c r="F606">
        <f>RTD("nest.scriprtd",,"bse_cm|9EFSL25","Ask Rate")</f>
        <v>0</v>
      </c>
      <c r="G606">
        <f>RTD("nest.scriprtd",,"bse_cm|9EFSL25","Ask Qty")</f>
        <v>0</v>
      </c>
      <c r="H606">
        <f>RTD("nest.scriprtd",,"bse_cm|9EFSL25","LTP")</f>
        <v>0</v>
      </c>
      <c r="I606" t="str">
        <f>RTD("nest.scriprtd",,"bse_cm|9EFSL25","LTT")</f>
        <v>00:00:00</v>
      </c>
      <c r="J606">
        <f>RTD("nest.scriprtd",,"bse_cm|9EFSL25","% Change")</f>
        <v>-100</v>
      </c>
      <c r="K606">
        <f>RTD("nest.scriprtd",,"bse_cm|9EFSL25","ATP")</f>
        <v>0</v>
      </c>
      <c r="L606">
        <f>RTD("nest.scriprtd",,"bse_cm|9EFSL25","Volume Traded Today")</f>
        <v>0</v>
      </c>
      <c r="M606">
        <f>RTD("nest.scriprtd",,"bse_cm|9EFSL25","Open")</f>
        <v>0</v>
      </c>
      <c r="N606">
        <f>RTD("nest.scriprtd",,"bse_cm|9EFSL25","High")</f>
        <v>1057.8</v>
      </c>
      <c r="O606">
        <f>RTD("nest.scriprtd",,"bse_cm|9EFSL25","Low ")</f>
        <v>1045.2</v>
      </c>
      <c r="P606">
        <f>RTD("nest.scriprtd",,"bse_cm|9EFSL25","Prev Close")</f>
        <v>1057.8</v>
      </c>
      <c r="Q606">
        <f>RTD("nest.scriprtd",,"bse_cm|9EFSL25","Face Value")</f>
        <v>1000</v>
      </c>
      <c r="R606" t="str">
        <f>RTD("nest.scriprtd",,"bse_cm|9EFSL25","Isin code")</f>
        <v>INE532F07DF3</v>
      </c>
      <c r="S606" s="9">
        <f>Table1[[#This Row],[Ask Rate]]*Table1[[#This Row],[Ask Qty]]</f>
        <v>0</v>
      </c>
      <c r="T606">
        <f>VLOOKUP(Table1[[#This Row],[Isin code]],Table2[#All],7,FALSE)</f>
        <v>9</v>
      </c>
      <c r="U606" s="17" t="str">
        <f>VLOOKUP(Table1[[#This Row],[Isin code]],Table2[#All],8,FALSE)</f>
        <v>20-Jan-2025</v>
      </c>
      <c r="V606" s="10">
        <f ca="1">Table1[[#This Row],[Maturity]]-TODAY()</f>
        <v>96</v>
      </c>
      <c r="W606" t="str">
        <f>VLOOKUP(Table1[[#This Row],[Isin code]],Table2[#All],10,FALSE)</f>
        <v>Yearly</v>
      </c>
      <c r="X606">
        <f ca="1">_xlfn.DAYS(Table1[[#This Row],[Maturity]],TODAY())-15</f>
        <v>81</v>
      </c>
      <c r="Y6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06">
        <f>IF(Table1[[#This Row],[Ask Rate]]=0,0,Table1[[#This Row],[Face Value]]-Table1[[#This Row],[Ask Rate]])</f>
        <v>0</v>
      </c>
      <c r="AA606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606">
        <f ca="1">Table1[[#This Row],[Face Value]]*Table1[[#This Row],[Rate]]*Table1[[#This Row],[Time]]</f>
        <v>90</v>
      </c>
      <c r="AC606">
        <f ca="1">Table1[[#This Row],[SI]]+Table1[[#This Row],[Disc/Prem]]</f>
        <v>90</v>
      </c>
      <c r="AD606" s="3" t="e">
        <f ca="1">Table1[[#This Row],[Net Gain]]/Table1[[#This Row],[Ask Rate]]</f>
        <v>#DIV/0!</v>
      </c>
      <c r="AE606" s="3">
        <f>IF(Table1[[#This Row],[Ask Qty]]=0,0,Table1[[#This Row],[Gross Yield]]*365/Table1[[#This Row],[Days Left]])</f>
        <v>0</v>
      </c>
      <c r="AF606" s="9">
        <f ca="1">+Table1[[#This Row],[Net Gain]]*Table1[[#This Row],[Ask Qty]]</f>
        <v>0</v>
      </c>
      <c r="AG606" t="str">
        <f>IF(Table1[[#This Row],[YTM]]&gt;0.12,IF(Table1[[#This Row],[Gross Profit]]&gt;10000,"Invest","Review"),"Low YTM")</f>
        <v>Low YTM</v>
      </c>
    </row>
    <row r="607" spans="1:33" x14ac:dyDescent="0.3">
      <c r="A607" t="str">
        <f>RTD("nest.scriprtd",,"bse_cm|95KFL27","Symbol")</f>
        <v>95KFL27</v>
      </c>
      <c r="B607" t="str">
        <f>RTD("nest.scriprtd",,"bse_cm|95KFL27","Trading Symbol")</f>
        <v>95KFL27</v>
      </c>
      <c r="C607" t="str">
        <f>RTD("nest.scriprtd",,"bse_cm|95KFL27","Exchange")</f>
        <v>BSE</v>
      </c>
      <c r="D607">
        <f>RTD("nest.scriprtd",,"bse_cm|95KFL27","Bid Qty")</f>
        <v>15</v>
      </c>
      <c r="E607">
        <f>RTD("nest.scriprtd",,"bse_cm|95KFL27","Bid Rate")</f>
        <v>819.65</v>
      </c>
      <c r="F607">
        <f>RTD("nest.scriprtd",,"bse_cm|95KFL27","Ask Rate")</f>
        <v>0</v>
      </c>
      <c r="G607">
        <f>RTD("nest.scriprtd",,"bse_cm|95KFL27","Ask Qty")</f>
        <v>0</v>
      </c>
      <c r="H607">
        <f>RTD("nest.scriprtd",,"bse_cm|95KFL27","LTP")</f>
        <v>0</v>
      </c>
      <c r="I607" t="str">
        <f>RTD("nest.scriprtd",,"bse_cm|95KFL27","LTT")</f>
        <v>00:00:00</v>
      </c>
      <c r="J607">
        <f>RTD("nest.scriprtd",,"bse_cm|95KFL27","% Change")</f>
        <v>-100</v>
      </c>
      <c r="K607">
        <f>RTD("nest.scriprtd",,"bse_cm|95KFL27","ATP")</f>
        <v>0</v>
      </c>
      <c r="L607">
        <f>RTD("nest.scriprtd",,"bse_cm|95KFL27","Volume Traded Today")</f>
        <v>0</v>
      </c>
      <c r="M607">
        <f>RTD("nest.scriprtd",,"bse_cm|95KFL27","Open")</f>
        <v>0</v>
      </c>
      <c r="N607">
        <f>RTD("nest.scriprtd",,"bse_cm|95KFL27","High")</f>
        <v>970</v>
      </c>
      <c r="O607">
        <f>RTD("nest.scriprtd",,"bse_cm|95KFL27","Low ")</f>
        <v>970</v>
      </c>
      <c r="P607">
        <f>RTD("nest.scriprtd",,"bse_cm|95KFL27","Prev Close")</f>
        <v>970</v>
      </c>
      <c r="Q607">
        <f>RTD("nest.scriprtd",,"bse_cm|95KFL27","Face Value")</f>
        <v>1000</v>
      </c>
      <c r="R607" t="str">
        <f>RTD("nest.scriprtd",,"bse_cm|95KFL27","Isin code")</f>
        <v>INE403Q07DF4</v>
      </c>
      <c r="S607" s="9">
        <f>Table1[[#This Row],[Ask Rate]]*Table1[[#This Row],[Ask Qty]]</f>
        <v>0</v>
      </c>
      <c r="T607">
        <f>VLOOKUP(Table1[[#This Row],[Isin code]],Table2[#All],7,FALSE)</f>
        <v>9.5</v>
      </c>
      <c r="U607" s="17" t="str">
        <f>VLOOKUP(Table1[[#This Row],[Isin code]],Table2[#All],8,FALSE)</f>
        <v>15-Jan-2027</v>
      </c>
      <c r="V607" s="10">
        <f ca="1">Table1[[#This Row],[Maturity]]-TODAY()</f>
        <v>821</v>
      </c>
      <c r="W607" t="str">
        <f>VLOOKUP(Table1[[#This Row],[Isin code]],Table2[#All],10,FALSE)</f>
        <v>Monthly</v>
      </c>
      <c r="X607">
        <f ca="1">_xlfn.DAYS(Table1[[#This Row],[Maturity]],TODAY())-15</f>
        <v>806</v>
      </c>
      <c r="Y6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607">
        <f>IF(Table1[[#This Row],[Ask Rate]]=0,0,Table1[[#This Row],[Face Value]]-Table1[[#This Row],[Ask Rate]])</f>
        <v>0</v>
      </c>
      <c r="AA607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607">
        <f ca="1">Table1[[#This Row],[Face Value]]*Table1[[#This Row],[Rate]]*Table1[[#This Row],[Time]]</f>
        <v>213.75</v>
      </c>
      <c r="AC607">
        <f ca="1">Table1[[#This Row],[SI]]+Table1[[#This Row],[Disc/Prem]]</f>
        <v>213.75</v>
      </c>
      <c r="AD607" s="3" t="e">
        <f ca="1">Table1[[#This Row],[Net Gain]]/Table1[[#This Row],[Ask Rate]]</f>
        <v>#DIV/0!</v>
      </c>
      <c r="AE607" s="3">
        <f>IF(Table1[[#This Row],[Ask Qty]]=0,0,Table1[[#This Row],[Gross Yield]]*365/Table1[[#This Row],[Days Left]])</f>
        <v>0</v>
      </c>
      <c r="AF607" s="9">
        <f ca="1">+Table1[[#This Row],[Net Gain]]*Table1[[#This Row],[Ask Qty]]</f>
        <v>0</v>
      </c>
      <c r="AG607" t="str">
        <f>IF(Table1[[#This Row],[YTM]]&gt;0.12,IF(Table1[[#This Row],[Gross Profit]]&gt;10000,"Invest","Review"),"Low YTM")</f>
        <v>Low YTM</v>
      </c>
    </row>
    <row r="608" spans="1:33" x14ac:dyDescent="0.3">
      <c r="A608" t="str">
        <f>RTD("nest.scriprtd",,"nse_cm|850IIFL27-NA","Symbol")</f>
        <v>850IIFL27</v>
      </c>
      <c r="B608" t="str">
        <f>RTD("nest.scriprtd",,"nse_cm|850IIFL27-NA","Trading Symbol")</f>
        <v>850IIFL27-NA</v>
      </c>
      <c r="C608" t="str">
        <f>RTD("nest.scriprtd",,"nse_cm|850IIFL27-NA","Exchange")</f>
        <v>NSE</v>
      </c>
      <c r="D608">
        <f>RTD("nest.scriprtd",,"nse_cm|850IIFL27-NA","Bid Qty")</f>
        <v>3</v>
      </c>
      <c r="E608">
        <f>RTD("nest.scriprtd",,"nse_cm|850IIFL27-NA","Bid Rate")</f>
        <v>990</v>
      </c>
      <c r="F608">
        <f>RTD("nest.scriprtd",,"nse_cm|850IIFL27-NA","Ask Rate")</f>
        <v>0</v>
      </c>
      <c r="G608">
        <f>RTD("nest.scriprtd",,"nse_cm|850IIFL27-NA","Ask Qty")</f>
        <v>0</v>
      </c>
      <c r="H608">
        <f>RTD("nest.scriprtd",,"nse_cm|850IIFL27-NA","LTP")</f>
        <v>991</v>
      </c>
      <c r="I608" t="str">
        <f>RTD("nest.scriprtd",,"nse_cm|850IIFL27-NA","LTT")</f>
        <v/>
      </c>
      <c r="J608">
        <f>RTD("nest.scriprtd",,"nse_cm|850IIFL27-NA","% Change")</f>
        <v>0</v>
      </c>
      <c r="K608">
        <f>RTD("nest.scriprtd",,"nse_cm|850IIFL27-NA","ATP")</f>
        <v>0</v>
      </c>
      <c r="L608">
        <f>RTD("nest.scriprtd",,"nse_cm|850IIFL27-NA","Volume Traded Today")</f>
        <v>0</v>
      </c>
      <c r="M608">
        <f>RTD("nest.scriprtd",,"nse_cm|850IIFL27-NA","Open")</f>
        <v>0</v>
      </c>
      <c r="N608">
        <f>RTD("nest.scriprtd",,"nse_cm|850IIFL27-NA","High")</f>
        <v>991</v>
      </c>
      <c r="O608">
        <f>RTD("nest.scriprtd",,"nse_cm|850IIFL27-NA","Low ")</f>
        <v>990.01</v>
      </c>
      <c r="P608">
        <f>RTD("nest.scriprtd",,"nse_cm|850IIFL27-NA","Prev Close")</f>
        <v>991</v>
      </c>
      <c r="Q608">
        <f>RTD("nest.scriprtd",,"nse_cm|850IIFL27-NA","Face Value")</f>
        <v>1000</v>
      </c>
      <c r="R608" t="str">
        <f>RTD("nest.scriprtd",,"nse_cm|850IIFL27-NA","Isin code")</f>
        <v>INE477L07AO7</v>
      </c>
      <c r="S608" s="9">
        <f>Table1[[#This Row],[Ask Rate]]*Table1[[#This Row],[Ask Qty]]</f>
        <v>0</v>
      </c>
      <c r="T608">
        <f>VLOOKUP(Table1[[#This Row],[Isin code]],Table2[#All],7,FALSE)</f>
        <v>8.5</v>
      </c>
      <c r="U608" s="17" t="str">
        <f>VLOOKUP(Table1[[#This Row],[Isin code]],Table2[#All],8,FALSE)</f>
        <v>03-Jan-2027</v>
      </c>
      <c r="V608" s="10">
        <f ca="1">Table1[[#This Row],[Maturity]]-TODAY()</f>
        <v>809</v>
      </c>
      <c r="W608" t="str">
        <f>VLOOKUP(Table1[[#This Row],[Isin code]],Table2[#All],10,FALSE)</f>
        <v>Yearly</v>
      </c>
      <c r="X608">
        <f ca="1">_xlfn.DAYS(Table1[[#This Row],[Maturity]],TODAY())-15</f>
        <v>794</v>
      </c>
      <c r="Y6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608">
        <f>IF(Table1[[#This Row],[Ask Rate]]=0,0,Table1[[#This Row],[Face Value]]-Table1[[#This Row],[Ask Rate]])</f>
        <v>0</v>
      </c>
      <c r="AA608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608">
        <f ca="1">Table1[[#This Row],[Face Value]]*Table1[[#This Row],[Rate]]*Table1[[#This Row],[Time]]</f>
        <v>255</v>
      </c>
      <c r="AC608">
        <f ca="1">Table1[[#This Row],[SI]]+Table1[[#This Row],[Disc/Prem]]</f>
        <v>255</v>
      </c>
      <c r="AD608" s="3" t="e">
        <f ca="1">Table1[[#This Row],[Net Gain]]/Table1[[#This Row],[Ask Rate]]</f>
        <v>#DIV/0!</v>
      </c>
      <c r="AE608" s="3">
        <f>IF(Table1[[#This Row],[Ask Qty]]=0,0,Table1[[#This Row],[Gross Yield]]*365/Table1[[#This Row],[Days Left]])</f>
        <v>0</v>
      </c>
      <c r="AF608" s="9">
        <f ca="1">+Table1[[#This Row],[Net Gain]]*Table1[[#This Row],[Ask Qty]]</f>
        <v>0</v>
      </c>
      <c r="AG608" t="str">
        <f>IF(Table1[[#This Row],[YTM]]&gt;0.12,IF(Table1[[#This Row],[Gross Profit]]&gt;10000,"Invest","Review"),"Low YTM")</f>
        <v>Low YTM</v>
      </c>
    </row>
    <row r="609" spans="1:33" x14ac:dyDescent="0.3">
      <c r="A609" t="str">
        <f>RTD("nest.scriprtd",,"bse_cm|1050KLM27","Symbol")</f>
        <v>1050KLM27</v>
      </c>
      <c r="B609" t="str">
        <f>RTD("nest.scriprtd",,"bse_cm|1050KLM27","Trading Symbol")</f>
        <v>1050KLM27</v>
      </c>
      <c r="C609" t="str">
        <f>RTD("nest.scriprtd",,"bse_cm|1050KLM27","Exchange")</f>
        <v>BSE</v>
      </c>
      <c r="D609">
        <f>RTD("nest.scriprtd",,"bse_cm|1050KLM27","Bid Qty")</f>
        <v>1</v>
      </c>
      <c r="E609">
        <f>RTD("nest.scriprtd",,"bse_cm|1050KLM27","Bid Rate")</f>
        <v>962.5</v>
      </c>
      <c r="F609">
        <f>RTD("nest.scriprtd",,"bse_cm|1050KLM27","Ask Rate")</f>
        <v>0</v>
      </c>
      <c r="G609">
        <f>RTD("nest.scriprtd",,"bse_cm|1050KLM27","Ask Qty")</f>
        <v>0</v>
      </c>
      <c r="H609">
        <f>RTD("nest.scriprtd",,"bse_cm|1050KLM27","LTP")</f>
        <v>0</v>
      </c>
      <c r="I609" t="str">
        <f>RTD("nest.scriprtd",,"bse_cm|1050KLM27","LTT")</f>
        <v>00:00:00</v>
      </c>
      <c r="J609">
        <f>RTD("nest.scriprtd",,"bse_cm|1050KLM27","% Change")</f>
        <v>-100</v>
      </c>
      <c r="K609">
        <f>RTD("nest.scriprtd",,"bse_cm|1050KLM27","ATP")</f>
        <v>0</v>
      </c>
      <c r="L609">
        <f>RTD("nest.scriprtd",,"bse_cm|1050KLM27","Volume Traded Today")</f>
        <v>0</v>
      </c>
      <c r="M609">
        <f>RTD("nest.scriprtd",,"bse_cm|1050KLM27","Open")</f>
        <v>0</v>
      </c>
      <c r="N609">
        <f>RTD("nest.scriprtd",,"bse_cm|1050KLM27","High")</f>
        <v>1000</v>
      </c>
      <c r="O609">
        <f>RTD("nest.scriprtd",,"bse_cm|1050KLM27","Low ")</f>
        <v>1000</v>
      </c>
      <c r="P609">
        <f>RTD("nest.scriprtd",,"bse_cm|1050KLM27","Prev Close")</f>
        <v>1000</v>
      </c>
      <c r="Q609">
        <f>RTD("nest.scriprtd",,"bse_cm|1050KLM27","Face Value")</f>
        <v>1000</v>
      </c>
      <c r="R609" t="str">
        <f>RTD("nest.scriprtd",,"bse_cm|1050KLM27","Isin code")</f>
        <v>INE01I507653</v>
      </c>
      <c r="S609" s="9">
        <f>Table1[[#This Row],[Ask Rate]]*Table1[[#This Row],[Ask Qty]]</f>
        <v>0</v>
      </c>
      <c r="T609">
        <f>VLOOKUP(Table1[[#This Row],[Isin code]],Table2[#All],7,FALSE)</f>
        <v>10.5</v>
      </c>
      <c r="U609" s="17" t="str">
        <f>VLOOKUP(Table1[[#This Row],[Isin code]],Table2[#All],8,FALSE)</f>
        <v>16-Oct-2027</v>
      </c>
      <c r="V609" s="10">
        <f ca="1">Table1[[#This Row],[Maturity]]-TODAY()</f>
        <v>1095</v>
      </c>
      <c r="W609" t="str">
        <f>VLOOKUP(Table1[[#This Row],[Isin code]],Table2[#All],10,FALSE)</f>
        <v>Monthly</v>
      </c>
      <c r="X609">
        <f ca="1">_xlfn.DAYS(Table1[[#This Row],[Maturity]],TODAY())-15</f>
        <v>1080</v>
      </c>
      <c r="Y6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36</v>
      </c>
      <c r="Z609">
        <f>IF(Table1[[#This Row],[Ask Rate]]=0,0,Table1[[#This Row],[Face Value]]-Table1[[#This Row],[Ask Rate]])</f>
        <v>0</v>
      </c>
      <c r="AA609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609">
        <f ca="1">Table1[[#This Row],[Face Value]]*Table1[[#This Row],[Rate]]*Table1[[#This Row],[Time]]</f>
        <v>315</v>
      </c>
      <c r="AC609">
        <f ca="1">Table1[[#This Row],[SI]]+Table1[[#This Row],[Disc/Prem]]</f>
        <v>315</v>
      </c>
      <c r="AD609" s="3" t="e">
        <f ca="1">Table1[[#This Row],[Net Gain]]/Table1[[#This Row],[Ask Rate]]</f>
        <v>#DIV/0!</v>
      </c>
      <c r="AE609" s="3">
        <f>IF(Table1[[#This Row],[Ask Qty]]=0,0,Table1[[#This Row],[Gross Yield]]*365/Table1[[#This Row],[Days Left]])</f>
        <v>0</v>
      </c>
      <c r="AF609" s="9">
        <f ca="1">+Table1[[#This Row],[Net Gain]]*Table1[[#This Row],[Ask Qty]]</f>
        <v>0</v>
      </c>
      <c r="AG609" t="str">
        <f>IF(Table1[[#This Row],[YTM]]&gt;0.12,IF(Table1[[#This Row],[Gross Profit]]&gt;10000,"Invest","Review"),"Low YTM")</f>
        <v>Low YTM</v>
      </c>
    </row>
    <row r="610" spans="1:33" x14ac:dyDescent="0.3">
      <c r="A610" t="str">
        <f>RTD("nest.scriprtd",,"bse_cm|1050KAFL28","Symbol")</f>
        <v>1050KAFL28</v>
      </c>
      <c r="B610" t="str">
        <f>RTD("nest.scriprtd",,"bse_cm|1050KAFL28","Trading Symbol")</f>
        <v>1050KAFL28</v>
      </c>
      <c r="C610" t="str">
        <f>RTD("nest.scriprtd",,"bse_cm|1050KAFL28","Exchange")</f>
        <v>BSE</v>
      </c>
      <c r="D610">
        <f>RTD("nest.scriprtd",,"bse_cm|1050KAFL28","Bid Qty")</f>
        <v>20</v>
      </c>
      <c r="E610">
        <f>RTD("nest.scriprtd",,"bse_cm|1050KAFL28","Bid Rate")</f>
        <v>901.7</v>
      </c>
      <c r="F610">
        <f>RTD("nest.scriprtd",,"bse_cm|1050KAFL28","Ask Rate")</f>
        <v>0</v>
      </c>
      <c r="G610">
        <f>RTD("nest.scriprtd",,"bse_cm|1050KAFL28","Ask Qty")</f>
        <v>0</v>
      </c>
      <c r="H610">
        <f>RTD("nest.scriprtd",,"bse_cm|1050KAFL28","LTP")</f>
        <v>0</v>
      </c>
      <c r="I610" t="str">
        <f>RTD("nest.scriprtd",,"bse_cm|1050KAFL28","LTT")</f>
        <v>00:00:00</v>
      </c>
      <c r="J610">
        <f>RTD("nest.scriprtd",,"bse_cm|1050KAFL28","% Change")</f>
        <v>-100</v>
      </c>
      <c r="K610">
        <f>RTD("nest.scriprtd",,"bse_cm|1050KAFL28","ATP")</f>
        <v>0</v>
      </c>
      <c r="L610">
        <f>RTD("nest.scriprtd",,"bse_cm|1050KAFL28","Volume Traded Today")</f>
        <v>0</v>
      </c>
      <c r="M610">
        <f>RTD("nest.scriprtd",,"bse_cm|1050KAFL28","Open")</f>
        <v>0</v>
      </c>
      <c r="N610">
        <f>RTD("nest.scriprtd",,"bse_cm|1050KAFL28","High")</f>
        <v>960</v>
      </c>
      <c r="O610">
        <f>RTD("nest.scriprtd",,"bse_cm|1050KAFL28","Low ")</f>
        <v>960</v>
      </c>
      <c r="P610">
        <f>RTD("nest.scriprtd",,"bse_cm|1050KAFL28","Prev Close")</f>
        <v>960</v>
      </c>
      <c r="Q610">
        <f>RTD("nest.scriprtd",,"bse_cm|1050KAFL28","Face Value")</f>
        <v>1000</v>
      </c>
      <c r="R610" t="str">
        <f>RTD("nest.scriprtd",,"bse_cm|1050KAFL28","Isin code")</f>
        <v>INE01I507885</v>
      </c>
      <c r="S610" s="9">
        <f>Table1[[#This Row],[Ask Rate]]*Table1[[#This Row],[Ask Qty]]</f>
        <v>0</v>
      </c>
      <c r="T610">
        <f>VLOOKUP(Table1[[#This Row],[Isin code]],Table2[#All],7,FALSE)</f>
        <v>10.5</v>
      </c>
      <c r="U610" s="17" t="str">
        <f>VLOOKUP(Table1[[#This Row],[Isin code]],Table2[#All],8,FALSE)</f>
        <v>12-Sep-2028</v>
      </c>
      <c r="V610" s="10">
        <f ca="1">Table1[[#This Row],[Maturity]]-TODAY()</f>
        <v>1427</v>
      </c>
      <c r="W610" t="str">
        <f>VLOOKUP(Table1[[#This Row],[Isin code]],Table2[#All],10,FALSE)</f>
        <v>Monthly</v>
      </c>
      <c r="X610">
        <f ca="1">_xlfn.DAYS(Table1[[#This Row],[Maturity]],TODAY())-15</f>
        <v>1412</v>
      </c>
      <c r="Y6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610">
        <f>IF(Table1[[#This Row],[Ask Rate]]=0,0,Table1[[#This Row],[Face Value]]-Table1[[#This Row],[Ask Rate]])</f>
        <v>0</v>
      </c>
      <c r="AA610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610">
        <f ca="1">Table1[[#This Row],[Face Value]]*Table1[[#This Row],[Rate]]*Table1[[#This Row],[Time]]</f>
        <v>420</v>
      </c>
      <c r="AC610">
        <f ca="1">Table1[[#This Row],[SI]]+Table1[[#This Row],[Disc/Prem]]</f>
        <v>420</v>
      </c>
      <c r="AD610" s="3" t="e">
        <f ca="1">Table1[[#This Row],[Net Gain]]/Table1[[#This Row],[Ask Rate]]</f>
        <v>#DIV/0!</v>
      </c>
      <c r="AE610" s="3">
        <f>IF(Table1[[#This Row],[Ask Qty]]=0,0,Table1[[#This Row],[Gross Yield]]*365/Table1[[#This Row],[Days Left]])</f>
        <v>0</v>
      </c>
      <c r="AF610" s="9">
        <f ca="1">+Table1[[#This Row],[Net Gain]]*Table1[[#This Row],[Ask Qty]]</f>
        <v>0</v>
      </c>
      <c r="AG610" t="str">
        <f>IF(Table1[[#This Row],[YTM]]&gt;0.12,IF(Table1[[#This Row],[Gross Profit]]&gt;10000,"Invest","Review"),"Low YTM")</f>
        <v>Low YTM</v>
      </c>
    </row>
    <row r="611" spans="1:33" x14ac:dyDescent="0.3">
      <c r="A611" t="str">
        <f>RTD("nest.scriprtd",,"bse_cm|1050KLMA28","Symbol")</f>
        <v>1050KLMA28</v>
      </c>
      <c r="B611" t="str">
        <f>RTD("nest.scriprtd",,"bse_cm|1050KLMA28","Trading Symbol")</f>
        <v>1050KLMA28</v>
      </c>
      <c r="C611" t="str">
        <f>RTD("nest.scriprtd",,"bse_cm|1050KLMA28","Exchange")</f>
        <v>BSE</v>
      </c>
      <c r="D611">
        <f>RTD("nest.scriprtd",,"bse_cm|1050KLMA28","Bid Qty")</f>
        <v>35</v>
      </c>
      <c r="E611">
        <f>RTD("nest.scriprtd",,"bse_cm|1050KLMA28","Bid Rate")</f>
        <v>975</v>
      </c>
      <c r="F611">
        <f>RTD("nest.scriprtd",,"bse_cm|1050KLMA28","Ask Rate")</f>
        <v>0</v>
      </c>
      <c r="G611">
        <f>RTD("nest.scriprtd",,"bse_cm|1050KLMA28","Ask Qty")</f>
        <v>0</v>
      </c>
      <c r="H611">
        <f>RTD("nest.scriprtd",,"bse_cm|1050KLMA28","LTP")</f>
        <v>0</v>
      </c>
      <c r="I611" t="str">
        <f>RTD("nest.scriprtd",,"bse_cm|1050KLMA28","LTT")</f>
        <v>00:00:00</v>
      </c>
      <c r="J611">
        <f>RTD("nest.scriprtd",,"bse_cm|1050KLMA28","% Change")</f>
        <v>-100</v>
      </c>
      <c r="K611">
        <f>RTD("nest.scriprtd",,"bse_cm|1050KLMA28","ATP")</f>
        <v>0</v>
      </c>
      <c r="L611">
        <f>RTD("nest.scriprtd",,"bse_cm|1050KLMA28","Volume Traded Today")</f>
        <v>0</v>
      </c>
      <c r="M611">
        <f>RTD("nest.scriprtd",,"bse_cm|1050KLMA28","Open")</f>
        <v>0</v>
      </c>
      <c r="N611">
        <f>RTD("nest.scriprtd",,"bse_cm|1050KLMA28","High")</f>
        <v>970</v>
      </c>
      <c r="O611">
        <f>RTD("nest.scriprtd",,"bse_cm|1050KLMA28","Low ")</f>
        <v>970</v>
      </c>
      <c r="P611">
        <f>RTD("nest.scriprtd",,"bse_cm|1050KLMA28","Prev Close")</f>
        <v>970</v>
      </c>
      <c r="Q611">
        <f>RTD("nest.scriprtd",,"bse_cm|1050KLMA28","Face Value")</f>
        <v>1000</v>
      </c>
      <c r="R611" t="str">
        <f>RTD("nest.scriprtd",,"bse_cm|1050KLMA28","Isin code")</f>
        <v>INE01I507737</v>
      </c>
      <c r="S611" s="9">
        <f>Table1[[#This Row],[Ask Rate]]*Table1[[#This Row],[Ask Qty]]</f>
        <v>0</v>
      </c>
      <c r="T611">
        <f>VLOOKUP(Table1[[#This Row],[Isin code]],Table2[#All],7,FALSE)</f>
        <v>10.5</v>
      </c>
      <c r="U611" s="17" t="str">
        <f>VLOOKUP(Table1[[#This Row],[Isin code]],Table2[#All],8,FALSE)</f>
        <v>09-Mar-2028</v>
      </c>
      <c r="V611" s="10">
        <f ca="1">Table1[[#This Row],[Maturity]]-TODAY()</f>
        <v>1240</v>
      </c>
      <c r="W611" t="str">
        <f>VLOOKUP(Table1[[#This Row],[Isin code]],Table2[#All],10,FALSE)</f>
        <v>Monthly</v>
      </c>
      <c r="X611">
        <f ca="1">_xlfn.DAYS(Table1[[#This Row],[Maturity]],TODAY())-15</f>
        <v>1225</v>
      </c>
      <c r="Y6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41</v>
      </c>
      <c r="Z611">
        <f>IF(Table1[[#This Row],[Ask Rate]]=0,0,Table1[[#This Row],[Face Value]]-Table1[[#This Row],[Ask Rate]])</f>
        <v>0</v>
      </c>
      <c r="AA611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611">
        <f ca="1">Table1[[#This Row],[Face Value]]*Table1[[#This Row],[Rate]]*Table1[[#This Row],[Time]]</f>
        <v>358.75</v>
      </c>
      <c r="AC611">
        <f ca="1">Table1[[#This Row],[SI]]+Table1[[#This Row],[Disc/Prem]]</f>
        <v>358.75</v>
      </c>
      <c r="AD611" s="3" t="e">
        <f ca="1">Table1[[#This Row],[Net Gain]]/Table1[[#This Row],[Ask Rate]]</f>
        <v>#DIV/0!</v>
      </c>
      <c r="AE611" s="3">
        <f>IF(Table1[[#This Row],[Ask Qty]]=0,0,Table1[[#This Row],[Gross Yield]]*365/Table1[[#This Row],[Days Left]])</f>
        <v>0</v>
      </c>
      <c r="AF611" s="9">
        <f ca="1">+Table1[[#This Row],[Net Gain]]*Table1[[#This Row],[Ask Qty]]</f>
        <v>0</v>
      </c>
      <c r="AG611" t="str">
        <f>IF(Table1[[#This Row],[YTM]]&gt;0.12,IF(Table1[[#This Row],[Gross Profit]]&gt;10000,"Invest","Review"),"Low YTM")</f>
        <v>Low YTM</v>
      </c>
    </row>
    <row r="612" spans="1:33" hidden="1" x14ac:dyDescent="0.3">
      <c r="A612" t="str">
        <f>RTD("nest.scriprtd",,"bse_cm|925KLMAF25","Symbol")</f>
        <v>925KLMAF25</v>
      </c>
      <c r="B612" t="str">
        <f>RTD("nest.scriprtd",,"bse_cm|925KLMAF25","Trading Symbol")</f>
        <v>925KLMAF25</v>
      </c>
      <c r="C612" t="str">
        <f>RTD("nest.scriprtd",,"bse_cm|925KLMAF25","Exchange")</f>
        <v>BSE</v>
      </c>
      <c r="D612">
        <f>RTD("nest.scriprtd",,"bse_cm|925KLMAF25","Bid Qty")</f>
        <v>12</v>
      </c>
      <c r="E612">
        <f>RTD("nest.scriprtd",,"bse_cm|925KLMAF25","Bid Rate")</f>
        <v>825.8</v>
      </c>
      <c r="F612">
        <f>RTD("nest.scriprtd",,"bse_cm|925KLMAF25","Ask Rate")</f>
        <v>0</v>
      </c>
      <c r="G612">
        <f>RTD("nest.scriprtd",,"bse_cm|925KLMAF25","Ask Qty")</f>
        <v>0</v>
      </c>
      <c r="H612">
        <f>RTD("nest.scriprtd",,"bse_cm|925KLMAF25","LTP")</f>
        <v>0</v>
      </c>
      <c r="I612" t="str">
        <f>RTD("nest.scriprtd",,"bse_cm|925KLMAF25","LTT")</f>
        <v>00:00:00</v>
      </c>
      <c r="J612">
        <f>RTD("nest.scriprtd",,"bse_cm|925KLMAF25","% Change")</f>
        <v>-100</v>
      </c>
      <c r="K612">
        <f>RTD("nest.scriprtd",,"bse_cm|925KLMAF25","ATP")</f>
        <v>0</v>
      </c>
      <c r="L612">
        <f>RTD("nest.scriprtd",,"bse_cm|925KLMAF25","Volume Traded Today")</f>
        <v>0</v>
      </c>
      <c r="M612">
        <f>RTD("nest.scriprtd",,"bse_cm|925KLMAF25","Open")</f>
        <v>0</v>
      </c>
      <c r="N612">
        <f>RTD("nest.scriprtd",,"bse_cm|925KLMAF25","High")</f>
        <v>975</v>
      </c>
      <c r="O612">
        <f>RTD("nest.scriprtd",,"bse_cm|925KLMAF25","Low ")</f>
        <v>975</v>
      </c>
      <c r="P612">
        <f>RTD("nest.scriprtd",,"bse_cm|925KLMAF25","Prev Close")</f>
        <v>975</v>
      </c>
      <c r="Q612">
        <f>RTD("nest.scriprtd",,"bse_cm|925KLMAF25","Face Value")</f>
        <v>1000</v>
      </c>
      <c r="R612" t="str">
        <f>RTD("nest.scriprtd",,"bse_cm|925KLMAF25","Isin code")</f>
        <v>INE01I507778</v>
      </c>
      <c r="S612" s="9">
        <f>Table1[[#This Row],[Ask Rate]]*Table1[[#This Row],[Ask Qty]]</f>
        <v>0</v>
      </c>
      <c r="T612">
        <f>VLOOKUP(Table1[[#This Row],[Isin code]],Table2[#All],7,FALSE)</f>
        <v>9.25</v>
      </c>
      <c r="U612" s="17" t="str">
        <f>VLOOKUP(Table1[[#This Row],[Isin code]],Table2[#All],8,FALSE)</f>
        <v>07-Mar-2025</v>
      </c>
      <c r="V612" s="10">
        <f ca="1">Table1[[#This Row],[Maturity]]-TODAY()</f>
        <v>142</v>
      </c>
      <c r="W612" t="str">
        <f>VLOOKUP(Table1[[#This Row],[Isin code]],Table2[#All],10,FALSE)</f>
        <v>Monthly</v>
      </c>
      <c r="X612">
        <f ca="1">_xlfn.DAYS(Table1[[#This Row],[Maturity]],TODAY())-15</f>
        <v>127</v>
      </c>
      <c r="Y6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612">
        <f>IF(Table1[[#This Row],[Ask Rate]]=0,0,Table1[[#This Row],[Face Value]]-Table1[[#This Row],[Ask Rate]])</f>
        <v>0</v>
      </c>
      <c r="AA612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612">
        <f ca="1">Table1[[#This Row],[Face Value]]*Table1[[#This Row],[Rate]]*Table1[[#This Row],[Time]]</f>
        <v>38.541666666666671</v>
      </c>
      <c r="AC612">
        <f ca="1">Table1[[#This Row],[SI]]+Table1[[#This Row],[Disc/Prem]]</f>
        <v>38.541666666666671</v>
      </c>
      <c r="AD612" s="3" t="e">
        <f ca="1">Table1[[#This Row],[Net Gain]]/Table1[[#This Row],[Ask Rate]]</f>
        <v>#DIV/0!</v>
      </c>
      <c r="AE612" s="3">
        <f>IF(Table1[[#This Row],[Ask Qty]]=0,0,Table1[[#This Row],[Gross Yield]]*365/Table1[[#This Row],[Days Left]])</f>
        <v>0</v>
      </c>
      <c r="AF612" s="9">
        <f ca="1">+Table1[[#This Row],[Net Gain]]*Table1[[#This Row],[Ask Qty]]</f>
        <v>0</v>
      </c>
      <c r="AG612" t="str">
        <f>IF(Table1[[#This Row],[YTM]]&gt;0.12,IF(Table1[[#This Row],[Gross Profit]]&gt;10000,"Invest","Review"),"Low YTM")</f>
        <v>Low YTM</v>
      </c>
    </row>
    <row r="613" spans="1:33" x14ac:dyDescent="0.3">
      <c r="A613" t="str">
        <f>RTD("nest.scriprtd",,"bse_cm|920IIFLS26","Symbol")</f>
        <v>920IIFLS26</v>
      </c>
      <c r="B613" t="str">
        <f>RTD("nest.scriprtd",,"bse_cm|920IIFLS26","Trading Symbol")</f>
        <v>920IIFLS26</v>
      </c>
      <c r="C613" t="str">
        <f>RTD("nest.scriprtd",,"bse_cm|920IIFLS26","Exchange")</f>
        <v>BSE</v>
      </c>
      <c r="D613">
        <f>RTD("nest.scriprtd",,"bse_cm|920IIFLS26","Bid Qty")</f>
        <v>10</v>
      </c>
      <c r="E613">
        <f>RTD("nest.scriprtd",,"bse_cm|920IIFLS26","Bid Rate")</f>
        <v>901</v>
      </c>
      <c r="F613">
        <f>RTD("nest.scriprtd",,"bse_cm|920IIFLS26","Ask Rate")</f>
        <v>0</v>
      </c>
      <c r="G613">
        <f>RTD("nest.scriprtd",,"bse_cm|920IIFLS26","Ask Qty")</f>
        <v>0</v>
      </c>
      <c r="H613">
        <f>RTD("nest.scriprtd",,"bse_cm|920IIFLS26","LTP")</f>
        <v>0</v>
      </c>
      <c r="I613" t="str">
        <f>RTD("nest.scriprtd",,"bse_cm|920IIFLS26","LTT")</f>
        <v>00:00:00</v>
      </c>
      <c r="J613">
        <f>RTD("nest.scriprtd",,"bse_cm|920IIFLS26","% Change")</f>
        <v>-100</v>
      </c>
      <c r="K613">
        <f>RTD("nest.scriprtd",,"bse_cm|920IIFLS26","ATP")</f>
        <v>0</v>
      </c>
      <c r="L613">
        <f>RTD("nest.scriprtd",,"bse_cm|920IIFLS26","Volume Traded Today")</f>
        <v>0</v>
      </c>
      <c r="M613">
        <f>RTD("nest.scriprtd",,"bse_cm|920IIFLS26","Open")</f>
        <v>0</v>
      </c>
      <c r="N613">
        <f>RTD("nest.scriprtd",,"bse_cm|920IIFLS26","High")</f>
        <v>826</v>
      </c>
      <c r="O613">
        <f>RTD("nest.scriprtd",,"bse_cm|920IIFLS26","Low ")</f>
        <v>826</v>
      </c>
      <c r="P613">
        <f>RTD("nest.scriprtd",,"bse_cm|920IIFLS26","Prev Close")</f>
        <v>826</v>
      </c>
      <c r="Q613">
        <f>RTD("nest.scriprtd",,"bse_cm|920IIFLS26","Face Value")</f>
        <v>1000</v>
      </c>
      <c r="R613" t="str">
        <f>RTD("nest.scriprtd",,"bse_cm|920IIFLS26","Isin code")</f>
        <v>INE413U07285</v>
      </c>
      <c r="S613" s="9">
        <f>Table1[[#This Row],[Ask Rate]]*Table1[[#This Row],[Ask Qty]]</f>
        <v>0</v>
      </c>
      <c r="T613">
        <f>VLOOKUP(Table1[[#This Row],[Isin code]],Table2[#All],7,FALSE)</f>
        <v>9.1999999999999993</v>
      </c>
      <c r="U613" s="17" t="str">
        <f>VLOOKUP(Table1[[#This Row],[Isin code]],Table2[#All],8,FALSE)</f>
        <v>21-Jun-2026</v>
      </c>
      <c r="V613" s="10">
        <f ca="1">Table1[[#This Row],[Maturity]]-TODAY()</f>
        <v>613</v>
      </c>
      <c r="W613" t="str">
        <f>VLOOKUP(Table1[[#This Row],[Isin code]],Table2[#All],10,FALSE)</f>
        <v>Monthly</v>
      </c>
      <c r="X613">
        <f ca="1">_xlfn.DAYS(Table1[[#This Row],[Maturity]],TODAY())-15</f>
        <v>598</v>
      </c>
      <c r="Y6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613">
        <f>IF(Table1[[#This Row],[Ask Rate]]=0,0,Table1[[#This Row],[Face Value]]-Table1[[#This Row],[Ask Rate]])</f>
        <v>0</v>
      </c>
      <c r="AA613">
        <f>IF(Table1[[#This Row],[Freq]]="Yearly",Table1[[#This Row],[Coupon_Rate]]/100,IF(Table1[[#This Row],[Freq]]="Monthly",Table1[[#This Row],[Coupon_Rate]]/1200,IF(Table1[[#This Row],[Freq]]="Quarterly",Table1[[#This Row],[Coupon_Rate]]/400,0)))</f>
        <v>7.6666666666666662E-3</v>
      </c>
      <c r="AB613">
        <f ca="1">Table1[[#This Row],[Face Value]]*Table1[[#This Row],[Rate]]*Table1[[#This Row],[Time]]</f>
        <v>153.33333333333331</v>
      </c>
      <c r="AC613">
        <f ca="1">Table1[[#This Row],[SI]]+Table1[[#This Row],[Disc/Prem]]</f>
        <v>153.33333333333331</v>
      </c>
      <c r="AD613" s="3" t="e">
        <f ca="1">Table1[[#This Row],[Net Gain]]/Table1[[#This Row],[Ask Rate]]</f>
        <v>#DIV/0!</v>
      </c>
      <c r="AE613" s="3">
        <f>IF(Table1[[#This Row],[Ask Qty]]=0,0,Table1[[#This Row],[Gross Yield]]*365/Table1[[#This Row],[Days Left]])</f>
        <v>0</v>
      </c>
      <c r="AF613" s="9">
        <f ca="1">+Table1[[#This Row],[Net Gain]]*Table1[[#This Row],[Ask Qty]]</f>
        <v>0</v>
      </c>
      <c r="AG613" t="str">
        <f>IF(Table1[[#This Row],[YTM]]&gt;0.12,IF(Table1[[#This Row],[Gross Profit]]&gt;10000,"Invest","Review"),"Low YTM")</f>
        <v>Low YTM</v>
      </c>
    </row>
    <row r="614" spans="1:33" x14ac:dyDescent="0.3">
      <c r="A614" t="str">
        <f>RTD("nest.scriprtd",,"bse_cm|915MFL27","Symbol")</f>
        <v>915MFL27</v>
      </c>
      <c r="B614" t="str">
        <f>RTD("nest.scriprtd",,"bse_cm|915MFL27","Trading Symbol")</f>
        <v>915MFL27</v>
      </c>
      <c r="C614" t="str">
        <f>RTD("nest.scriprtd",,"bse_cm|915MFL27","Exchange")</f>
        <v>BSE</v>
      </c>
      <c r="D614">
        <f>RTD("nest.scriprtd",,"bse_cm|915MFL27","Bid Qty")</f>
        <v>15</v>
      </c>
      <c r="E614">
        <f>RTD("nest.scriprtd",,"bse_cm|915MFL27","Bid Rate")</f>
        <v>825.15</v>
      </c>
      <c r="F614">
        <f>RTD("nest.scriprtd",,"bse_cm|915MFL27","Ask Rate")</f>
        <v>0</v>
      </c>
      <c r="G614">
        <f>RTD("nest.scriprtd",,"bse_cm|915MFL27","Ask Qty")</f>
        <v>0</v>
      </c>
      <c r="H614">
        <f>RTD("nest.scriprtd",,"bse_cm|915MFL27","LTP")</f>
        <v>0</v>
      </c>
      <c r="I614" t="str">
        <f>RTD("nest.scriprtd",,"bse_cm|915MFL27","LTT")</f>
        <v>00:00:00</v>
      </c>
      <c r="J614">
        <f>RTD("nest.scriprtd",,"bse_cm|915MFL27","% Change")</f>
        <v>-100</v>
      </c>
      <c r="K614">
        <f>RTD("nest.scriprtd",,"bse_cm|915MFL27","ATP")</f>
        <v>0</v>
      </c>
      <c r="L614">
        <f>RTD("nest.scriprtd",,"bse_cm|915MFL27","Volume Traded Today")</f>
        <v>0</v>
      </c>
      <c r="M614">
        <f>RTD("nest.scriprtd",,"bse_cm|915MFL27","Open")</f>
        <v>0</v>
      </c>
      <c r="N614">
        <f>RTD("nest.scriprtd",,"bse_cm|915MFL27","High")</f>
        <v>990</v>
      </c>
      <c r="O614">
        <f>RTD("nest.scriprtd",,"bse_cm|915MFL27","Low ")</f>
        <v>990</v>
      </c>
      <c r="P614">
        <f>RTD("nest.scriprtd",,"bse_cm|915MFL27","Prev Close")</f>
        <v>990</v>
      </c>
      <c r="Q614">
        <f>RTD("nest.scriprtd",,"bse_cm|915MFL27","Face Value")</f>
        <v>1000</v>
      </c>
      <c r="R614" t="str">
        <f>RTD("nest.scriprtd",,"bse_cm|915MFL27","Isin code")</f>
        <v>INE549K07DH3</v>
      </c>
      <c r="S614" s="9">
        <f>Table1[[#This Row],[Ask Rate]]*Table1[[#This Row],[Ask Qty]]</f>
        <v>0</v>
      </c>
      <c r="T614">
        <f>VLOOKUP(Table1[[#This Row],[Isin code]],Table2[#All],7,FALSE)</f>
        <v>9.15</v>
      </c>
      <c r="U614" s="17" t="str">
        <f>VLOOKUP(Table1[[#This Row],[Isin code]],Table2[#All],8,FALSE)</f>
        <v>31-Jan-2027</v>
      </c>
      <c r="V614" s="10">
        <f ca="1">Table1[[#This Row],[Maturity]]-TODAY()</f>
        <v>837</v>
      </c>
      <c r="W614" t="str">
        <f>VLOOKUP(Table1[[#This Row],[Isin code]],Table2[#All],10,FALSE)</f>
        <v>Monthly</v>
      </c>
      <c r="X614">
        <f ca="1">_xlfn.DAYS(Table1[[#This Row],[Maturity]],TODAY())-15</f>
        <v>822</v>
      </c>
      <c r="Y6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28</v>
      </c>
      <c r="Z614">
        <f>IF(Table1[[#This Row],[Ask Rate]]=0,0,Table1[[#This Row],[Face Value]]-Table1[[#This Row],[Ask Rate]])</f>
        <v>0</v>
      </c>
      <c r="AA614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614">
        <f ca="1">Table1[[#This Row],[Face Value]]*Table1[[#This Row],[Rate]]*Table1[[#This Row],[Time]]</f>
        <v>213.50000000000003</v>
      </c>
      <c r="AC614">
        <f ca="1">Table1[[#This Row],[SI]]+Table1[[#This Row],[Disc/Prem]]</f>
        <v>213.50000000000003</v>
      </c>
      <c r="AD614" s="3" t="e">
        <f ca="1">Table1[[#This Row],[Net Gain]]/Table1[[#This Row],[Ask Rate]]</f>
        <v>#DIV/0!</v>
      </c>
      <c r="AE614" s="3">
        <f>IF(Table1[[#This Row],[Ask Qty]]=0,0,Table1[[#This Row],[Gross Yield]]*365/Table1[[#This Row],[Days Left]])</f>
        <v>0</v>
      </c>
      <c r="AF614" s="9">
        <f ca="1">+Table1[[#This Row],[Net Gain]]*Table1[[#This Row],[Ask Qty]]</f>
        <v>0</v>
      </c>
      <c r="AG614" t="str">
        <f>IF(Table1[[#This Row],[YTM]]&gt;0.12,IF(Table1[[#This Row],[Gross Profit]]&gt;10000,"Invest","Review"),"Low YTM")</f>
        <v>Low YTM</v>
      </c>
    </row>
    <row r="615" spans="1:33" x14ac:dyDescent="0.3">
      <c r="A615" t="str">
        <f>RTD("nest.scriprtd",,"bse_cm|925FL27","Symbol")</f>
        <v>925FL27</v>
      </c>
      <c r="B615" t="str">
        <f>RTD("nest.scriprtd",,"bse_cm|925FL27","Trading Symbol")</f>
        <v>925FL27</v>
      </c>
      <c r="C615" t="str">
        <f>RTD("nest.scriprtd",,"bse_cm|925FL27","Exchange")</f>
        <v>BSE</v>
      </c>
      <c r="D615">
        <f>RTD("nest.scriprtd",,"bse_cm|925FL27","Bid Qty")</f>
        <v>20</v>
      </c>
      <c r="E615">
        <f>RTD("nest.scriprtd",,"bse_cm|925FL27","Bid Rate")</f>
        <v>827.8</v>
      </c>
      <c r="F615">
        <f>RTD("nest.scriprtd",,"bse_cm|925FL27","Ask Rate")</f>
        <v>0</v>
      </c>
      <c r="G615">
        <f>RTD("nest.scriprtd",,"bse_cm|925FL27","Ask Qty")</f>
        <v>0</v>
      </c>
      <c r="H615">
        <f>RTD("nest.scriprtd",,"bse_cm|925FL27","LTP")</f>
        <v>0</v>
      </c>
      <c r="I615" t="str">
        <f>RTD("nest.scriprtd",,"bse_cm|925FL27","LTT")</f>
        <v>00:00:00</v>
      </c>
      <c r="J615">
        <f>RTD("nest.scriprtd",,"bse_cm|925FL27","% Change")</f>
        <v>-100</v>
      </c>
      <c r="K615">
        <f>RTD("nest.scriprtd",,"bse_cm|925FL27","ATP")</f>
        <v>0</v>
      </c>
      <c r="L615">
        <f>RTD("nest.scriprtd",,"bse_cm|925FL27","Volume Traded Today")</f>
        <v>0</v>
      </c>
      <c r="M615">
        <f>RTD("nest.scriprtd",,"bse_cm|925FL27","Open")</f>
        <v>0</v>
      </c>
      <c r="N615">
        <f>RTD("nest.scriprtd",,"bse_cm|925FL27","High")</f>
        <v>950</v>
      </c>
      <c r="O615">
        <f>RTD("nest.scriprtd",,"bse_cm|925FL27","Low ")</f>
        <v>950</v>
      </c>
      <c r="P615">
        <f>RTD("nest.scriprtd",,"bse_cm|925FL27","Prev Close")</f>
        <v>950</v>
      </c>
      <c r="Q615">
        <f>RTD("nest.scriprtd",,"bse_cm|925FL27","Face Value")</f>
        <v>1000</v>
      </c>
      <c r="R615" t="str">
        <f>RTD("nest.scriprtd",,"bse_cm|925FL27","Isin code")</f>
        <v>INE403Q07DY5</v>
      </c>
      <c r="S615" s="9">
        <f>Table1[[#This Row],[Ask Rate]]*Table1[[#This Row],[Ask Qty]]</f>
        <v>0</v>
      </c>
      <c r="T615">
        <f>VLOOKUP(Table1[[#This Row],[Isin code]],Table2[#All],7,FALSE)</f>
        <v>9.25</v>
      </c>
      <c r="U615" s="17" t="str">
        <f>VLOOKUP(Table1[[#This Row],[Isin code]],Table2[#All],8,FALSE)</f>
        <v>17-Jan-2027</v>
      </c>
      <c r="V615" s="10">
        <f ca="1">Table1[[#This Row],[Maturity]]-TODAY()</f>
        <v>823</v>
      </c>
      <c r="W615" t="str">
        <f>VLOOKUP(Table1[[#This Row],[Isin code]],Table2[#All],10,FALSE)</f>
        <v>Monthly</v>
      </c>
      <c r="X615">
        <f ca="1">_xlfn.DAYS(Table1[[#This Row],[Maturity]],TODAY())-15</f>
        <v>808</v>
      </c>
      <c r="Y6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615">
        <f>IF(Table1[[#This Row],[Ask Rate]]=0,0,Table1[[#This Row],[Face Value]]-Table1[[#This Row],[Ask Rate]])</f>
        <v>0</v>
      </c>
      <c r="AA615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615">
        <f ca="1">Table1[[#This Row],[Face Value]]*Table1[[#This Row],[Rate]]*Table1[[#This Row],[Time]]</f>
        <v>208.12500000000003</v>
      </c>
      <c r="AC615">
        <f ca="1">Table1[[#This Row],[SI]]+Table1[[#This Row],[Disc/Prem]]</f>
        <v>208.12500000000003</v>
      </c>
      <c r="AD615" s="3" t="e">
        <f ca="1">Table1[[#This Row],[Net Gain]]/Table1[[#This Row],[Ask Rate]]</f>
        <v>#DIV/0!</v>
      </c>
      <c r="AE615" s="3">
        <f>IF(Table1[[#This Row],[Ask Qty]]=0,0,Table1[[#This Row],[Gross Yield]]*365/Table1[[#This Row],[Days Left]])</f>
        <v>0</v>
      </c>
      <c r="AF615" s="9">
        <f ca="1">+Table1[[#This Row],[Net Gain]]*Table1[[#This Row],[Ask Qty]]</f>
        <v>0</v>
      </c>
      <c r="AG615" t="str">
        <f>IF(Table1[[#This Row],[YTM]]&gt;0.12,IF(Table1[[#This Row],[Gross Profit]]&gt;10000,"Invest","Review"),"Low YTM")</f>
        <v>Low YTM</v>
      </c>
    </row>
    <row r="616" spans="1:33" x14ac:dyDescent="0.3">
      <c r="A616" t="str">
        <f>RTD("nest.scriprtd",,"bse_cm|958NHFL27","Symbol")</f>
        <v>958NHFL27</v>
      </c>
      <c r="B616" t="str">
        <f>RTD("nest.scriprtd",,"bse_cm|958NHFL27","Trading Symbol")</f>
        <v>958NHFL27</v>
      </c>
      <c r="C616" t="str">
        <f>RTD("nest.scriprtd",,"bse_cm|958NHFL27","Exchange")</f>
        <v>BSE</v>
      </c>
      <c r="D616">
        <f>RTD("nest.scriprtd",,"bse_cm|958NHFL27","Bid Qty")</f>
        <v>25</v>
      </c>
      <c r="E616">
        <f>RTD("nest.scriprtd",,"bse_cm|958NHFL27","Bid Rate")</f>
        <v>934</v>
      </c>
      <c r="F616">
        <f>RTD("nest.scriprtd",,"bse_cm|958NHFL27","Ask Rate")</f>
        <v>0</v>
      </c>
      <c r="G616">
        <f>RTD("nest.scriprtd",,"bse_cm|958NHFL27","Ask Qty")</f>
        <v>0</v>
      </c>
      <c r="H616">
        <f>RTD("nest.scriprtd",,"bse_cm|958NHFL27","LTP")</f>
        <v>0</v>
      </c>
      <c r="I616" t="str">
        <f>RTD("nest.scriprtd",,"bse_cm|958NHFL27","LTT")</f>
        <v>00:00:00</v>
      </c>
      <c r="J616">
        <f>RTD("nest.scriprtd",,"bse_cm|958NHFL27","% Change")</f>
        <v>-100</v>
      </c>
      <c r="K616">
        <f>RTD("nest.scriprtd",,"bse_cm|958NHFL27","ATP")</f>
        <v>0</v>
      </c>
      <c r="L616">
        <f>RTD("nest.scriprtd",,"bse_cm|958NHFL27","Volume Traded Today")</f>
        <v>0</v>
      </c>
      <c r="M616">
        <f>RTD("nest.scriprtd",,"bse_cm|958NHFL27","Open")</f>
        <v>0</v>
      </c>
      <c r="N616">
        <f>RTD("nest.scriprtd",,"bse_cm|958NHFL27","High")</f>
        <v>999</v>
      </c>
      <c r="O616">
        <f>RTD("nest.scriprtd",,"bse_cm|958NHFL27","Low ")</f>
        <v>970</v>
      </c>
      <c r="P616">
        <f>RTD("nest.scriprtd",,"bse_cm|958NHFL27","Prev Close")</f>
        <v>998.99</v>
      </c>
      <c r="Q616">
        <f>RTD("nest.scriprtd",,"bse_cm|958NHFL27","Face Value")</f>
        <v>1000</v>
      </c>
      <c r="R616" t="str">
        <f>RTD("nest.scriprtd",,"bse_cm|958NHFL27","Isin code")</f>
        <v>INE530L07806</v>
      </c>
      <c r="S616" s="9">
        <f>Table1[[#This Row],[Ask Rate]]*Table1[[#This Row],[Ask Qty]]</f>
        <v>0</v>
      </c>
      <c r="T616">
        <f>VLOOKUP(Table1[[#This Row],[Isin code]],Table2[#All],7,FALSE)</f>
        <v>9.58</v>
      </c>
      <c r="U616" s="17" t="str">
        <f>VLOOKUP(Table1[[#This Row],[Isin code]],Table2[#All],8,FALSE)</f>
        <v>03-Jul-2027</v>
      </c>
      <c r="V616" s="10">
        <f ca="1">Table1[[#This Row],[Maturity]]-TODAY()</f>
        <v>990</v>
      </c>
      <c r="W616" t="str">
        <f>VLOOKUP(Table1[[#This Row],[Isin code]],Table2[#All],10,FALSE)</f>
        <v>Monthly</v>
      </c>
      <c r="X616">
        <f ca="1">_xlfn.DAYS(Table1[[#This Row],[Maturity]],TODAY())-15</f>
        <v>975</v>
      </c>
      <c r="Y6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33</v>
      </c>
      <c r="Z616">
        <f>IF(Table1[[#This Row],[Ask Rate]]=0,0,Table1[[#This Row],[Face Value]]-Table1[[#This Row],[Ask Rate]])</f>
        <v>0</v>
      </c>
      <c r="AA616">
        <f>IF(Table1[[#This Row],[Freq]]="Yearly",Table1[[#This Row],[Coupon_Rate]]/100,IF(Table1[[#This Row],[Freq]]="Monthly",Table1[[#This Row],[Coupon_Rate]]/1200,IF(Table1[[#This Row],[Freq]]="Quarterly",Table1[[#This Row],[Coupon_Rate]]/400,0)))</f>
        <v>7.9833333333333336E-3</v>
      </c>
      <c r="AB616">
        <f ca="1">Table1[[#This Row],[Face Value]]*Table1[[#This Row],[Rate]]*Table1[[#This Row],[Time]]</f>
        <v>263.45</v>
      </c>
      <c r="AC616">
        <f ca="1">Table1[[#This Row],[SI]]+Table1[[#This Row],[Disc/Prem]]</f>
        <v>263.45</v>
      </c>
      <c r="AD616" s="3" t="e">
        <f ca="1">Table1[[#This Row],[Net Gain]]/Table1[[#This Row],[Ask Rate]]</f>
        <v>#DIV/0!</v>
      </c>
      <c r="AE616" s="3">
        <f>IF(Table1[[#This Row],[Ask Qty]]=0,0,Table1[[#This Row],[Gross Yield]]*365/Table1[[#This Row],[Days Left]])</f>
        <v>0</v>
      </c>
      <c r="AF616" s="9">
        <f ca="1">+Table1[[#This Row],[Net Gain]]*Table1[[#This Row],[Ask Qty]]</f>
        <v>0</v>
      </c>
      <c r="AG616" t="str">
        <f>IF(Table1[[#This Row],[YTM]]&gt;0.12,IF(Table1[[#This Row],[Gross Profit]]&gt;10000,"Invest","Review"),"Low YTM")</f>
        <v>Low YTM</v>
      </c>
    </row>
    <row r="617" spans="1:33" x14ac:dyDescent="0.3">
      <c r="A617" t="str">
        <f>RTD("nest.scriprtd",,"bse_cm|927MFL26A","Symbol")</f>
        <v>927MFL26A</v>
      </c>
      <c r="B617" t="str">
        <f>RTD("nest.scriprtd",,"bse_cm|927MFL26A","Trading Symbol")</f>
        <v>927MFL26A</v>
      </c>
      <c r="C617" t="str">
        <f>RTD("nest.scriprtd",,"bse_cm|927MFL26A","Exchange")</f>
        <v>BSE</v>
      </c>
      <c r="D617">
        <f>RTD("nest.scriprtd",,"bse_cm|927MFL26A","Bid Qty")</f>
        <v>13</v>
      </c>
      <c r="E617">
        <f>RTD("nest.scriprtd",,"bse_cm|927MFL26A","Bid Rate")</f>
        <v>840.2</v>
      </c>
      <c r="F617">
        <f>RTD("nest.scriprtd",,"bse_cm|927MFL26A","Ask Rate")</f>
        <v>0</v>
      </c>
      <c r="G617">
        <f>RTD("nest.scriprtd",,"bse_cm|927MFL26A","Ask Qty")</f>
        <v>0</v>
      </c>
      <c r="H617">
        <f>RTD("nest.scriprtd",,"bse_cm|927MFL26A","LTP")</f>
        <v>0</v>
      </c>
      <c r="I617" t="str">
        <f>RTD("nest.scriprtd",,"bse_cm|927MFL26A","LTT")</f>
        <v>00:00:00</v>
      </c>
      <c r="J617">
        <f>RTD("nest.scriprtd",,"bse_cm|927MFL26A","% Change")</f>
        <v>-100</v>
      </c>
      <c r="K617">
        <f>RTD("nest.scriprtd",,"bse_cm|927MFL26A","ATP")</f>
        <v>0</v>
      </c>
      <c r="L617">
        <f>RTD("nest.scriprtd",,"bse_cm|927MFL26A","Volume Traded Today")</f>
        <v>0</v>
      </c>
      <c r="M617">
        <f>RTD("nest.scriprtd",,"bse_cm|927MFL26A","Open")</f>
        <v>0</v>
      </c>
      <c r="N617">
        <f>RTD("nest.scriprtd",,"bse_cm|927MFL26A","High")</f>
        <v>999</v>
      </c>
      <c r="O617">
        <f>RTD("nest.scriprtd",,"bse_cm|927MFL26A","Low ")</f>
        <v>999</v>
      </c>
      <c r="P617">
        <f>RTD("nest.scriprtd",,"bse_cm|927MFL26A","Prev Close")</f>
        <v>999</v>
      </c>
      <c r="Q617">
        <f>RTD("nest.scriprtd",,"bse_cm|927MFL26A","Face Value")</f>
        <v>1000</v>
      </c>
      <c r="R617" t="str">
        <f>RTD("nest.scriprtd",,"bse_cm|927MFL26A","Isin code")</f>
        <v>INE549K07CN3</v>
      </c>
      <c r="S617" s="9">
        <f>Table1[[#This Row],[Ask Rate]]*Table1[[#This Row],[Ask Qty]]</f>
        <v>0</v>
      </c>
      <c r="T617">
        <f>VLOOKUP(Table1[[#This Row],[Isin code]],Table2[#All],7,FALSE)</f>
        <v>9.27</v>
      </c>
      <c r="U617" s="17" t="str">
        <f>VLOOKUP(Table1[[#This Row],[Isin code]],Table2[#All],8,FALSE)</f>
        <v>20-Sep-2026</v>
      </c>
      <c r="V617" s="10">
        <f ca="1">Table1[[#This Row],[Maturity]]-TODAY()</f>
        <v>704</v>
      </c>
      <c r="W617" t="str">
        <f>VLOOKUP(Table1[[#This Row],[Isin code]],Table2[#All],10,FALSE)</f>
        <v>Yearly</v>
      </c>
      <c r="X617">
        <f ca="1">_xlfn.DAYS(Table1[[#This Row],[Maturity]],TODAY())-15</f>
        <v>689</v>
      </c>
      <c r="Y6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17">
        <f>IF(Table1[[#This Row],[Ask Rate]]=0,0,Table1[[#This Row],[Face Value]]-Table1[[#This Row],[Ask Rate]])</f>
        <v>0</v>
      </c>
      <c r="AA617">
        <f>IF(Table1[[#This Row],[Freq]]="Yearly",Table1[[#This Row],[Coupon_Rate]]/100,IF(Table1[[#This Row],[Freq]]="Monthly",Table1[[#This Row],[Coupon_Rate]]/1200,IF(Table1[[#This Row],[Freq]]="Quarterly",Table1[[#This Row],[Coupon_Rate]]/400,0)))</f>
        <v>9.2699999999999991E-2</v>
      </c>
      <c r="AB617">
        <f ca="1">Table1[[#This Row],[Face Value]]*Table1[[#This Row],[Rate]]*Table1[[#This Row],[Time]]</f>
        <v>185.39999999999998</v>
      </c>
      <c r="AC617">
        <f ca="1">Table1[[#This Row],[SI]]+Table1[[#This Row],[Disc/Prem]]</f>
        <v>185.39999999999998</v>
      </c>
      <c r="AD617" s="3" t="e">
        <f ca="1">Table1[[#This Row],[Net Gain]]/Table1[[#This Row],[Ask Rate]]</f>
        <v>#DIV/0!</v>
      </c>
      <c r="AE617" s="3">
        <f>IF(Table1[[#This Row],[Ask Qty]]=0,0,Table1[[#This Row],[Gross Yield]]*365/Table1[[#This Row],[Days Left]])</f>
        <v>0</v>
      </c>
      <c r="AF617" s="9">
        <f ca="1">+Table1[[#This Row],[Net Gain]]*Table1[[#This Row],[Ask Qty]]</f>
        <v>0</v>
      </c>
      <c r="AG617" t="str">
        <f>IF(Table1[[#This Row],[YTM]]&gt;0.12,IF(Table1[[#This Row],[Gross Profit]]&gt;10000,"Invest","Review"),"Low YTM")</f>
        <v>Low YTM</v>
      </c>
    </row>
    <row r="618" spans="1:33" x14ac:dyDescent="0.3">
      <c r="A618" t="str">
        <f>RTD("nest.scriprtd",,"bse_cm|965MFCL27","Symbol")</f>
        <v>965MFCL27</v>
      </c>
      <c r="B618" t="str">
        <f>RTD("nest.scriprtd",,"bse_cm|965MFCL27","Trading Symbol")</f>
        <v>965MFCL27</v>
      </c>
      <c r="C618" t="str">
        <f>RTD("nest.scriprtd",,"bse_cm|965MFCL27","Exchange")</f>
        <v>BSE</v>
      </c>
      <c r="D618">
        <f>RTD("nest.scriprtd",,"bse_cm|965MFCL27","Bid Qty")</f>
        <v>30</v>
      </c>
      <c r="E618">
        <f>RTD("nest.scriprtd",,"bse_cm|965MFCL27","Bid Rate")</f>
        <v>960</v>
      </c>
      <c r="F618">
        <f>RTD("nest.scriprtd",,"bse_cm|965MFCL27","Ask Rate")</f>
        <v>0</v>
      </c>
      <c r="G618">
        <f>RTD("nest.scriprtd",,"bse_cm|965MFCL27","Ask Qty")</f>
        <v>0</v>
      </c>
      <c r="H618">
        <f>RTD("nest.scriprtd",,"bse_cm|965MFCL27","LTP")</f>
        <v>0</v>
      </c>
      <c r="I618" t="str">
        <f>RTD("nest.scriprtd",,"bse_cm|965MFCL27","LTT")</f>
        <v>00:00:00</v>
      </c>
      <c r="J618">
        <f>RTD("nest.scriprtd",,"bse_cm|965MFCL27","% Change")</f>
        <v>-100</v>
      </c>
      <c r="K618">
        <f>RTD("nest.scriprtd",,"bse_cm|965MFCL27","ATP")</f>
        <v>0</v>
      </c>
      <c r="L618">
        <f>RTD("nest.scriprtd",,"bse_cm|965MFCL27","Volume Traded Today")</f>
        <v>0</v>
      </c>
      <c r="M618">
        <f>RTD("nest.scriprtd",,"bse_cm|965MFCL27","Open")</f>
        <v>0</v>
      </c>
      <c r="N618">
        <f>RTD("nest.scriprtd",,"bse_cm|965MFCL27","High")</f>
        <v>1007.93</v>
      </c>
      <c r="O618">
        <f>RTD("nest.scriprtd",,"bse_cm|965MFCL27","Low ")</f>
        <v>1007.93</v>
      </c>
      <c r="P618">
        <f>RTD("nest.scriprtd",,"bse_cm|965MFCL27","Prev Close")</f>
        <v>1007.93</v>
      </c>
      <c r="Q618">
        <f>RTD("nest.scriprtd",,"bse_cm|965MFCL27","Face Value")</f>
        <v>1000</v>
      </c>
      <c r="R618" t="str">
        <f>RTD("nest.scriprtd",,"bse_cm|965MFCL27","Isin code")</f>
        <v>INE549K07EE8</v>
      </c>
      <c r="S618" s="9">
        <f>Table1[[#This Row],[Ask Rate]]*Table1[[#This Row],[Ask Qty]]</f>
        <v>0</v>
      </c>
      <c r="T618">
        <f>VLOOKUP(Table1[[#This Row],[Isin code]],Table2[#All],7,FALSE)</f>
        <v>9.65</v>
      </c>
      <c r="U618" s="17" t="str">
        <f>VLOOKUP(Table1[[#This Row],[Isin code]],Table2[#All],8,FALSE)</f>
        <v>16-Sep-2027</v>
      </c>
      <c r="V618" s="10">
        <f ca="1">Table1[[#This Row],[Maturity]]-TODAY()</f>
        <v>1065</v>
      </c>
      <c r="W618" t="str">
        <f>VLOOKUP(Table1[[#This Row],[Isin code]],Table2[#All],10,FALSE)</f>
        <v>Yearly</v>
      </c>
      <c r="X618">
        <f ca="1">_xlfn.DAYS(Table1[[#This Row],[Maturity]],TODAY())-15</f>
        <v>1050</v>
      </c>
      <c r="Y6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618">
        <f>IF(Table1[[#This Row],[Ask Rate]]=0,0,Table1[[#This Row],[Face Value]]-Table1[[#This Row],[Ask Rate]])</f>
        <v>0</v>
      </c>
      <c r="AA618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618">
        <f ca="1">Table1[[#This Row],[Face Value]]*Table1[[#This Row],[Rate]]*Table1[[#This Row],[Time]]</f>
        <v>289.5</v>
      </c>
      <c r="AC618">
        <f ca="1">Table1[[#This Row],[SI]]+Table1[[#This Row],[Disc/Prem]]</f>
        <v>289.5</v>
      </c>
      <c r="AD618" s="3" t="e">
        <f ca="1">Table1[[#This Row],[Net Gain]]/Table1[[#This Row],[Ask Rate]]</f>
        <v>#DIV/0!</v>
      </c>
      <c r="AE618" s="3">
        <f>IF(Table1[[#This Row],[Ask Qty]]=0,0,Table1[[#This Row],[Gross Yield]]*365/Table1[[#This Row],[Days Left]])</f>
        <v>0</v>
      </c>
      <c r="AF618" s="9">
        <f ca="1">+Table1[[#This Row],[Net Gain]]*Table1[[#This Row],[Ask Qty]]</f>
        <v>0</v>
      </c>
      <c r="AG618" t="str">
        <f>IF(Table1[[#This Row],[YTM]]&gt;0.12,IF(Table1[[#This Row],[Gross Profit]]&gt;10000,"Invest","Review"),"Low YTM")</f>
        <v>Low YTM</v>
      </c>
    </row>
    <row r="619" spans="1:33" x14ac:dyDescent="0.3">
      <c r="A619" t="str">
        <f>RTD("nest.scriprtd",,"bse_cm|925SCL26D","Symbol")</f>
        <v>925SCL26D</v>
      </c>
      <c r="B619" t="str">
        <f>RTD("nest.scriprtd",,"bse_cm|925SCL26D","Trading Symbol")</f>
        <v>925SCL26D</v>
      </c>
      <c r="C619" t="str">
        <f>RTD("nest.scriprtd",,"bse_cm|925SCL26D","Exchange")</f>
        <v>BSE</v>
      </c>
      <c r="D619">
        <f>RTD("nest.scriprtd",,"bse_cm|925SCL26D","Bid Qty")</f>
        <v>12</v>
      </c>
      <c r="E619">
        <f>RTD("nest.scriprtd",,"bse_cm|925SCL26D","Bid Rate")</f>
        <v>925</v>
      </c>
      <c r="F619">
        <f>RTD("nest.scriprtd",,"bse_cm|925SCL26D","Ask Rate")</f>
        <v>0</v>
      </c>
      <c r="G619">
        <f>RTD("nest.scriprtd",,"bse_cm|925SCL26D","Ask Qty")</f>
        <v>0</v>
      </c>
      <c r="H619">
        <f>RTD("nest.scriprtd",,"bse_cm|925SCL26D","LTP")</f>
        <v>0</v>
      </c>
      <c r="I619" t="str">
        <f>RTD("nest.scriprtd",,"bse_cm|925SCL26D","LTT")</f>
        <v>00:00:00</v>
      </c>
      <c r="J619">
        <f>RTD("nest.scriprtd",,"bse_cm|925SCL26D","% Change")</f>
        <v>-100</v>
      </c>
      <c r="K619">
        <f>RTD("nest.scriprtd",,"bse_cm|925SCL26D","ATP")</f>
        <v>0</v>
      </c>
      <c r="L619">
        <f>RTD("nest.scriprtd",,"bse_cm|925SCL26D","Volume Traded Today")</f>
        <v>0</v>
      </c>
      <c r="M619">
        <f>RTD("nest.scriprtd",,"bse_cm|925SCL26D","Open")</f>
        <v>0</v>
      </c>
      <c r="N619">
        <f>RTD("nest.scriprtd",,"bse_cm|925SCL26D","High")</f>
        <v>960</v>
      </c>
      <c r="O619">
        <f>RTD("nest.scriprtd",,"bse_cm|925SCL26D","Low ")</f>
        <v>960</v>
      </c>
      <c r="P619">
        <f>RTD("nest.scriprtd",,"bse_cm|925SCL26D","Prev Close")</f>
        <v>960</v>
      </c>
      <c r="Q619">
        <f>RTD("nest.scriprtd",,"bse_cm|925SCL26D","Face Value")</f>
        <v>1000</v>
      </c>
      <c r="R619" t="str">
        <f>RTD("nest.scriprtd",,"bse_cm|925SCL26D","Isin code")</f>
        <v>INE148I07TC5</v>
      </c>
      <c r="S619" s="9">
        <f>Table1[[#This Row],[Ask Rate]]*Table1[[#This Row],[Ask Qty]]</f>
        <v>0</v>
      </c>
      <c r="T619">
        <f>VLOOKUP(Table1[[#This Row],[Isin code]],Table2[#All],7,FALSE)</f>
        <v>9.25</v>
      </c>
      <c r="U619" s="17" t="str">
        <f>VLOOKUP(Table1[[#This Row],[Isin code]],Table2[#All],8,FALSE)</f>
        <v>31-May-2026</v>
      </c>
      <c r="V619" s="10">
        <f ca="1">Table1[[#This Row],[Maturity]]-TODAY()</f>
        <v>592</v>
      </c>
      <c r="W619" t="str">
        <f>VLOOKUP(Table1[[#This Row],[Isin code]],Table2[#All],10,FALSE)</f>
        <v>Monthly</v>
      </c>
      <c r="X619">
        <f ca="1">_xlfn.DAYS(Table1[[#This Row],[Maturity]],TODAY())-15</f>
        <v>577</v>
      </c>
      <c r="Y6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619">
        <f>IF(Table1[[#This Row],[Ask Rate]]=0,0,Table1[[#This Row],[Face Value]]-Table1[[#This Row],[Ask Rate]])</f>
        <v>0</v>
      </c>
      <c r="AA619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619">
        <f ca="1">Table1[[#This Row],[Face Value]]*Table1[[#This Row],[Rate]]*Table1[[#This Row],[Time]]</f>
        <v>154.16666666666669</v>
      </c>
      <c r="AC619">
        <f ca="1">Table1[[#This Row],[SI]]+Table1[[#This Row],[Disc/Prem]]</f>
        <v>154.16666666666669</v>
      </c>
      <c r="AD619" s="3" t="e">
        <f ca="1">Table1[[#This Row],[Net Gain]]/Table1[[#This Row],[Ask Rate]]</f>
        <v>#DIV/0!</v>
      </c>
      <c r="AE619" s="3">
        <f>IF(Table1[[#This Row],[Ask Qty]]=0,0,Table1[[#This Row],[Gross Yield]]*365/Table1[[#This Row],[Days Left]])</f>
        <v>0</v>
      </c>
      <c r="AF619" s="9">
        <f ca="1">+Table1[[#This Row],[Net Gain]]*Table1[[#This Row],[Ask Qty]]</f>
        <v>0</v>
      </c>
      <c r="AG619" t="str">
        <f>IF(Table1[[#This Row],[YTM]]&gt;0.12,IF(Table1[[#This Row],[Gross Profit]]&gt;10000,"Invest","Review"),"Low YTM")</f>
        <v>Low YTM</v>
      </c>
    </row>
    <row r="620" spans="1:33" x14ac:dyDescent="0.3">
      <c r="A620" t="str">
        <f>RTD("nest.scriprtd",,"bse_cm|915NWIL25","Symbol")</f>
        <v>915NWIL25</v>
      </c>
      <c r="B620" t="str">
        <f>RTD("nest.scriprtd",,"bse_cm|915NWIL25","Trading Symbol")</f>
        <v>915NWIL25</v>
      </c>
      <c r="C620" t="str">
        <f>RTD("nest.scriprtd",,"bse_cm|915NWIL25","Exchange")</f>
        <v>BSE</v>
      </c>
      <c r="D620">
        <f>RTD("nest.scriprtd",,"bse_cm|915NWIL25","Bid Qty")</f>
        <v>180</v>
      </c>
      <c r="E620">
        <f>RTD("nest.scriprtd",,"bse_cm|915NWIL25","Bid Rate")</f>
        <v>996.2</v>
      </c>
      <c r="F620">
        <f>RTD("nest.scriprtd",,"bse_cm|915NWIL25","Ask Rate")</f>
        <v>0</v>
      </c>
      <c r="G620">
        <f>RTD("nest.scriprtd",,"bse_cm|915NWIL25","Ask Qty")</f>
        <v>0</v>
      </c>
      <c r="H620">
        <f>RTD("nest.scriprtd",,"bse_cm|915NWIL25","LTP")</f>
        <v>0</v>
      </c>
      <c r="I620" t="str">
        <f>RTD("nest.scriprtd",,"bse_cm|915NWIL25","LTT")</f>
        <v>00:00:00</v>
      </c>
      <c r="J620">
        <f>RTD("nest.scriprtd",,"bse_cm|915NWIL25","% Change")</f>
        <v>-100</v>
      </c>
      <c r="K620">
        <f>RTD("nest.scriprtd",,"bse_cm|915NWIL25","ATP")</f>
        <v>0</v>
      </c>
      <c r="L620">
        <f>RTD("nest.scriprtd",,"bse_cm|915NWIL25","Volume Traded Today")</f>
        <v>0</v>
      </c>
      <c r="M620">
        <f>RTD("nest.scriprtd",,"bse_cm|915NWIL25","Open")</f>
        <v>0</v>
      </c>
      <c r="N620">
        <f>RTD("nest.scriprtd",,"bse_cm|915NWIL25","High")</f>
        <v>1000</v>
      </c>
      <c r="O620">
        <f>RTD("nest.scriprtd",,"bse_cm|915NWIL25","Low ")</f>
        <v>1000</v>
      </c>
      <c r="P620">
        <f>RTD("nest.scriprtd",,"bse_cm|915NWIL25","Prev Close")</f>
        <v>1000</v>
      </c>
      <c r="Q620">
        <f>RTD("nest.scriprtd",,"bse_cm|915NWIL25","Face Value")</f>
        <v>1000</v>
      </c>
      <c r="R620" t="str">
        <f>RTD("nest.scriprtd",,"bse_cm|915NWIL25","Isin code")</f>
        <v>INE523L07694</v>
      </c>
      <c r="S620" s="9">
        <f>Table1[[#This Row],[Ask Rate]]*Table1[[#This Row],[Ask Qty]]</f>
        <v>0</v>
      </c>
      <c r="T620">
        <f>VLOOKUP(Table1[[#This Row],[Isin code]],Table2[#All],7,FALSE)</f>
        <v>9.15</v>
      </c>
      <c r="U620" s="17" t="str">
        <f>VLOOKUP(Table1[[#This Row],[Isin code]],Table2[#All],8,FALSE)</f>
        <v>15-Jul-2025</v>
      </c>
      <c r="V620" s="10">
        <f ca="1">Table1[[#This Row],[Maturity]]-TODAY()</f>
        <v>272</v>
      </c>
      <c r="W620" t="str">
        <f>VLOOKUP(Table1[[#This Row],[Isin code]],Table2[#All],10,FALSE)</f>
        <v>Yearly</v>
      </c>
      <c r="X620">
        <f ca="1">_xlfn.DAYS(Table1[[#This Row],[Maturity]],TODAY())-15</f>
        <v>257</v>
      </c>
      <c r="Y6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20">
        <f>IF(Table1[[#This Row],[Ask Rate]]=0,0,Table1[[#This Row],[Face Value]]-Table1[[#This Row],[Ask Rate]])</f>
        <v>0</v>
      </c>
      <c r="AA620">
        <f>IF(Table1[[#This Row],[Freq]]="Yearly",Table1[[#This Row],[Coupon_Rate]]/100,IF(Table1[[#This Row],[Freq]]="Monthly",Table1[[#This Row],[Coupon_Rate]]/1200,IF(Table1[[#This Row],[Freq]]="Quarterly",Table1[[#This Row],[Coupon_Rate]]/400,0)))</f>
        <v>9.1499999999999998E-2</v>
      </c>
      <c r="AB620">
        <f ca="1">Table1[[#This Row],[Face Value]]*Table1[[#This Row],[Rate]]*Table1[[#This Row],[Time]]</f>
        <v>91.5</v>
      </c>
      <c r="AC620">
        <f ca="1">Table1[[#This Row],[SI]]+Table1[[#This Row],[Disc/Prem]]</f>
        <v>91.5</v>
      </c>
      <c r="AD620" s="3" t="e">
        <f ca="1">Table1[[#This Row],[Net Gain]]/Table1[[#This Row],[Ask Rate]]</f>
        <v>#DIV/0!</v>
      </c>
      <c r="AE620" s="3">
        <f>IF(Table1[[#This Row],[Ask Qty]]=0,0,Table1[[#This Row],[Gross Yield]]*365/Table1[[#This Row],[Days Left]])</f>
        <v>0</v>
      </c>
      <c r="AF620" s="9">
        <f ca="1">+Table1[[#This Row],[Net Gain]]*Table1[[#This Row],[Ask Qty]]</f>
        <v>0</v>
      </c>
      <c r="AG620" t="str">
        <f>IF(Table1[[#This Row],[YTM]]&gt;0.12,IF(Table1[[#This Row],[Gross Profit]]&gt;10000,"Invest","Review"),"Low YTM")</f>
        <v>Low YTM</v>
      </c>
    </row>
    <row r="621" spans="1:33" x14ac:dyDescent="0.3">
      <c r="A621" t="str">
        <f>RTD("nest.scriprtd",,"bse_cm|955SCL27","Symbol")</f>
        <v>955SCL27</v>
      </c>
      <c r="B621" t="str">
        <f>RTD("nest.scriprtd",,"bse_cm|955SCL27","Trading Symbol")</f>
        <v>955SCL27</v>
      </c>
      <c r="C621" t="str">
        <f>RTD("nest.scriprtd",,"bse_cm|955SCL27","Exchange")</f>
        <v>BSE</v>
      </c>
      <c r="D621">
        <f>RTD("nest.scriprtd",,"bse_cm|955SCL27","Bid Qty")</f>
        <v>10</v>
      </c>
      <c r="E621">
        <f>RTD("nest.scriprtd",,"bse_cm|955SCL27","Bid Rate")</f>
        <v>930.45</v>
      </c>
      <c r="F621">
        <f>RTD("nest.scriprtd",,"bse_cm|955SCL27","Ask Rate")</f>
        <v>0</v>
      </c>
      <c r="G621">
        <f>RTD("nest.scriprtd",,"bse_cm|955SCL27","Ask Qty")</f>
        <v>0</v>
      </c>
      <c r="H621">
        <f>RTD("nest.scriprtd",,"bse_cm|955SCL27","LTP")</f>
        <v>0</v>
      </c>
      <c r="I621" t="str">
        <f>RTD("nest.scriprtd",,"bse_cm|955SCL27","LTT")</f>
        <v>00:00:00</v>
      </c>
      <c r="J621">
        <f>RTD("nest.scriprtd",,"bse_cm|955SCL27","% Change")</f>
        <v>-100</v>
      </c>
      <c r="K621">
        <f>RTD("nest.scriprtd",,"bse_cm|955SCL27","ATP")</f>
        <v>0</v>
      </c>
      <c r="L621">
        <f>RTD("nest.scriprtd",,"bse_cm|955SCL27","Volume Traded Today")</f>
        <v>0</v>
      </c>
      <c r="M621">
        <f>RTD("nest.scriprtd",,"bse_cm|955SCL27","Open")</f>
        <v>0</v>
      </c>
      <c r="N621">
        <f>RTD("nest.scriprtd",,"bse_cm|955SCL27","High")</f>
        <v>970</v>
      </c>
      <c r="O621">
        <f>RTD("nest.scriprtd",,"bse_cm|955SCL27","Low ")</f>
        <v>970</v>
      </c>
      <c r="P621">
        <f>RTD("nest.scriprtd",,"bse_cm|955SCL27","Prev Close")</f>
        <v>970</v>
      </c>
      <c r="Q621">
        <f>RTD("nest.scriprtd",,"bse_cm|955SCL27","Face Value")</f>
        <v>1000</v>
      </c>
      <c r="R621" t="str">
        <f>RTD("nest.scriprtd",,"bse_cm|955SCL27","Isin code")</f>
        <v>INE148I07MJ5</v>
      </c>
      <c r="S621" s="9">
        <f>Table1[[#This Row],[Ask Rate]]*Table1[[#This Row],[Ask Qty]]</f>
        <v>0</v>
      </c>
      <c r="T621">
        <f>VLOOKUP(Table1[[#This Row],[Isin code]],Table2[#All],7,FALSE)</f>
        <v>8.94</v>
      </c>
      <c r="U621" s="17" t="str">
        <f>VLOOKUP(Table1[[#This Row],[Isin code]],Table2[#All],8,FALSE)</f>
        <v>28-Sep-2025</v>
      </c>
      <c r="V621" s="10">
        <f ca="1">Table1[[#This Row],[Maturity]]-TODAY()</f>
        <v>347</v>
      </c>
      <c r="W621" t="str">
        <f>VLOOKUP(Table1[[#This Row],[Isin code]],Table2[#All],10,FALSE)</f>
        <v>Monthly</v>
      </c>
      <c r="X621">
        <f ca="1">_xlfn.DAYS(Table1[[#This Row],[Maturity]],TODAY())-15</f>
        <v>332</v>
      </c>
      <c r="Y6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621">
        <f>IF(Table1[[#This Row],[Ask Rate]]=0,0,Table1[[#This Row],[Face Value]]-Table1[[#This Row],[Ask Rate]])</f>
        <v>0</v>
      </c>
      <c r="AA621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7.4499999999999992E-3</v>
      </c>
      <c r="AB621">
        <f ca="1">Table1[[#This Row],[Face Value]]*Table1[[#This Row],[Rate]]*Table1[[#This Row],[Time]]</f>
        <v>89.399999999999991</v>
      </c>
      <c r="AC621">
        <f ca="1">Table1[[#This Row],[SI]]+Table1[[#This Row],[Disc/Prem]]</f>
        <v>89.399999999999991</v>
      </c>
      <c r="AD621" s="3" t="e">
        <f ca="1">Table1[[#This Row],[Net Gain]]/Table1[[#This Row],[Ask Rate]]</f>
        <v>#DIV/0!</v>
      </c>
      <c r="AE621" s="3">
        <f>IF(Table1[[#This Row],[Ask Qty]]=0,0,Table1[[#This Row],[Gross Yield]]*365/Table1[[#This Row],[Days Left]])</f>
        <v>0</v>
      </c>
      <c r="AF621" s="9">
        <f ca="1">+Table1[[#This Row],[Net Gain]]*Table1[[#This Row],[Ask Qty]]</f>
        <v>0</v>
      </c>
      <c r="AG621" t="str">
        <f>IF(Table1[[#This Row],[YTM]]&gt;0.12,IF(Table1[[#This Row],[Gross Profit]]&gt;10000,"Invest","Review"),"Low YTM")</f>
        <v>Low YTM</v>
      </c>
    </row>
    <row r="622" spans="1:33" x14ac:dyDescent="0.3">
      <c r="A622" t="str">
        <f>RTD("nest.scriprtd",,"nse_cm|910CAGL25-N7","Symbol")</f>
        <v>910CAGL25</v>
      </c>
      <c r="B622" t="str">
        <f>RTD("nest.scriprtd",,"nse_cm|910CAGL25-N7","Trading Symbol")</f>
        <v>910CAGL25-N7</v>
      </c>
      <c r="C622" t="str">
        <f>RTD("nest.scriprtd",,"nse_cm|910CAGL25-N7","Exchange")</f>
        <v>NSE</v>
      </c>
      <c r="D622">
        <f>RTD("nest.scriprtd",,"nse_cm|910CAGL25-N7","Bid Qty")</f>
        <v>180</v>
      </c>
      <c r="E622">
        <f>RTD("nest.scriprtd",,"nse_cm|910CAGL25-N7","Bid Rate")</f>
        <v>976.2</v>
      </c>
      <c r="F622">
        <f>RTD("nest.scriprtd",,"nse_cm|910CAGL25-N7","Ask Rate")</f>
        <v>0</v>
      </c>
      <c r="G622">
        <f>RTD("nest.scriprtd",,"nse_cm|910CAGL25-N7","Ask Qty")</f>
        <v>0</v>
      </c>
      <c r="H622">
        <f>RTD("nest.scriprtd",,"nse_cm|910CAGL25-N7","LTP")</f>
        <v>989.95</v>
      </c>
      <c r="I622" t="str">
        <f>RTD("nest.scriprtd",,"nse_cm|910CAGL25-N7","LTT")</f>
        <v/>
      </c>
      <c r="J622">
        <f>RTD("nest.scriprtd",,"nse_cm|910CAGL25-N7","% Change")</f>
        <v>0</v>
      </c>
      <c r="K622">
        <f>RTD("nest.scriprtd",,"nse_cm|910CAGL25-N7","ATP")</f>
        <v>0</v>
      </c>
      <c r="L622">
        <f>RTD("nest.scriprtd",,"nse_cm|910CAGL25-N7","Volume Traded Today")</f>
        <v>0</v>
      </c>
      <c r="M622">
        <f>RTD("nest.scriprtd",,"nse_cm|910CAGL25-N7","Open")</f>
        <v>0</v>
      </c>
      <c r="N622">
        <f>RTD("nest.scriprtd",,"nse_cm|910CAGL25-N7","High")</f>
        <v>990</v>
      </c>
      <c r="O622">
        <f>RTD("nest.scriprtd",,"nse_cm|910CAGL25-N7","Low ")</f>
        <v>989</v>
      </c>
      <c r="P622">
        <f>RTD("nest.scriprtd",,"nse_cm|910CAGL25-N7","Prev Close")</f>
        <v>989.95</v>
      </c>
      <c r="Q622">
        <f>RTD("nest.scriprtd",,"nse_cm|910CAGL25-N7","Face Value")</f>
        <v>1000</v>
      </c>
      <c r="R622" t="str">
        <f>RTD("nest.scriprtd",,"nse_cm|910CAGL25-N7","Isin code")</f>
        <v>INE741K07520</v>
      </c>
      <c r="S622" s="9">
        <f>Table1[[#This Row],[Ask Rate]]*Table1[[#This Row],[Ask Qty]]</f>
        <v>0</v>
      </c>
      <c r="T622">
        <f>VLOOKUP(Table1[[#This Row],[Isin code]],Table2[#All],7,FALSE)</f>
        <v>9.1</v>
      </c>
      <c r="U622" s="17" t="str">
        <f>VLOOKUP(Table1[[#This Row],[Isin code]],Table2[#All],8,FALSE)</f>
        <v>07-Sep-2025</v>
      </c>
      <c r="V622" s="10">
        <f ca="1">Table1[[#This Row],[Maturity]]-TODAY()</f>
        <v>326</v>
      </c>
      <c r="W622" t="str">
        <f>VLOOKUP(Table1[[#This Row],[Isin code]],Table2[#All],10,FALSE)</f>
        <v>MONTHLY</v>
      </c>
      <c r="X622">
        <f ca="1">_xlfn.DAYS(Table1[[#This Row],[Maturity]],TODAY())-15</f>
        <v>311</v>
      </c>
      <c r="Y6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622">
        <f>IF(Table1[[#This Row],[Ask Rate]]=0,0,Table1[[#This Row],[Face Value]]-Table1[[#This Row],[Ask Rate]])</f>
        <v>0</v>
      </c>
      <c r="AA622">
        <f>IF(Table1[[#This Row],[Freq]]="Yearly",Table1[[#This Row],[Coupon_Rate]]/100,IF(Table1[[#This Row],[Freq]]="Monthly",Table1[[#This Row],[Coupon_Rate]]/1200,IF(Table1[[#This Row],[Freq]]="Quarterly",Table1[[#This Row],[Coupon_Rate]]/400,0)))</f>
        <v>7.5833333333333334E-3</v>
      </c>
      <c r="AB622">
        <f ca="1">Table1[[#This Row],[Face Value]]*Table1[[#This Row],[Rate]]*Table1[[#This Row],[Time]]</f>
        <v>83.416666666666657</v>
      </c>
      <c r="AC622">
        <f ca="1">Table1[[#This Row],[SI]]+Table1[[#This Row],[Disc/Prem]]</f>
        <v>83.416666666666657</v>
      </c>
      <c r="AD622" s="3" t="e">
        <f ca="1">Table1[[#This Row],[Net Gain]]/Table1[[#This Row],[Ask Rate]]</f>
        <v>#DIV/0!</v>
      </c>
      <c r="AE622" s="3">
        <f>IF(Table1[[#This Row],[Ask Qty]]=0,0,Table1[[#This Row],[Gross Yield]]*365/Table1[[#This Row],[Days Left]])</f>
        <v>0</v>
      </c>
      <c r="AF622" s="9">
        <f ca="1">+Table1[[#This Row],[Net Gain]]*Table1[[#This Row],[Ask Qty]]</f>
        <v>0</v>
      </c>
      <c r="AG622" t="str">
        <f>IF(Table1[[#This Row],[YTM]]&gt;0.12,IF(Table1[[#This Row],[Gross Profit]]&gt;10000,"Invest","Review"),"Low YTM")</f>
        <v>Low YTM</v>
      </c>
    </row>
    <row r="623" spans="1:33" hidden="1" x14ac:dyDescent="0.3">
      <c r="A623" t="str">
        <f>RTD("nest.scriprtd",,"bse_cm|975NFL25","Symbol")</f>
        <v>975NFL25</v>
      </c>
      <c r="B623" t="str">
        <f>RTD("nest.scriprtd",,"bse_cm|975NFL25","Trading Symbol")</f>
        <v>975NFL25</v>
      </c>
      <c r="C623" t="str">
        <f>RTD("nest.scriprtd",,"bse_cm|975NFL25","Exchange")</f>
        <v>BSE</v>
      </c>
      <c r="D623">
        <f>RTD("nest.scriprtd",,"bse_cm|975NFL25","Bid Qty")</f>
        <v>50</v>
      </c>
      <c r="E623">
        <f>RTD("nest.scriprtd",,"bse_cm|975NFL25","Bid Rate")</f>
        <v>987</v>
      </c>
      <c r="F623">
        <f>RTD("nest.scriprtd",,"bse_cm|975NFL25","Ask Rate")</f>
        <v>0</v>
      </c>
      <c r="G623">
        <f>RTD("nest.scriprtd",,"bse_cm|975NFL25","Ask Qty")</f>
        <v>0</v>
      </c>
      <c r="H623">
        <f>RTD("nest.scriprtd",,"bse_cm|975NFL25","LTP")</f>
        <v>0</v>
      </c>
      <c r="I623" t="str">
        <f>RTD("nest.scriprtd",,"bse_cm|975NFL25","LTT")</f>
        <v>00:00:00</v>
      </c>
      <c r="J623">
        <f>RTD("nest.scriprtd",,"bse_cm|975NFL25","% Change")</f>
        <v>-100</v>
      </c>
      <c r="K623">
        <f>RTD("nest.scriprtd",,"bse_cm|975NFL25","ATP")</f>
        <v>0</v>
      </c>
      <c r="L623">
        <f>RTD("nest.scriprtd",,"bse_cm|975NFL25","Volume Traded Today")</f>
        <v>0</v>
      </c>
      <c r="M623">
        <f>RTD("nest.scriprtd",,"bse_cm|975NFL25","Open")</f>
        <v>0</v>
      </c>
      <c r="N623">
        <f>RTD("nest.scriprtd",,"bse_cm|975NFL25","High")</f>
        <v>985</v>
      </c>
      <c r="O623">
        <f>RTD("nest.scriprtd",,"bse_cm|975NFL25","Low ")</f>
        <v>985</v>
      </c>
      <c r="P623">
        <f>RTD("nest.scriprtd",,"bse_cm|975NFL25","Prev Close")</f>
        <v>985</v>
      </c>
      <c r="Q623">
        <f>RTD("nest.scriprtd",,"bse_cm|975NFL25","Face Value")</f>
        <v>1000</v>
      </c>
      <c r="R623" t="str">
        <f>RTD("nest.scriprtd",,"bse_cm|975NFL25","Isin code")</f>
        <v>INE342T07411</v>
      </c>
      <c r="S623" s="9">
        <f>Table1[[#This Row],[Ask Rate]]*Table1[[#This Row],[Ask Qty]]</f>
        <v>0</v>
      </c>
      <c r="T623">
        <f>VLOOKUP(Table1[[#This Row],[Isin code]],Table2[#All],7,FALSE)</f>
        <v>9.75</v>
      </c>
      <c r="U623" s="17" t="str">
        <f>VLOOKUP(Table1[[#This Row],[Isin code]],Table2[#All],8,FALSE)</f>
        <v>18-Jan-2025</v>
      </c>
      <c r="V623" s="10">
        <f ca="1">Table1[[#This Row],[Maturity]]-TODAY()</f>
        <v>94</v>
      </c>
      <c r="W623" t="str">
        <f>VLOOKUP(Table1[[#This Row],[Isin code]],Table2[#All],10,FALSE)</f>
        <v>Monthly</v>
      </c>
      <c r="X623">
        <f ca="1">_xlfn.DAYS(Table1[[#This Row],[Maturity]],TODAY())-15</f>
        <v>79</v>
      </c>
      <c r="Y6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623">
        <f>IF(Table1[[#This Row],[Ask Rate]]=0,0,Table1[[#This Row],[Face Value]]-Table1[[#This Row],[Ask Rate]])</f>
        <v>0</v>
      </c>
      <c r="AA623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623">
        <f ca="1">Table1[[#This Row],[Face Value]]*Table1[[#This Row],[Rate]]*Table1[[#This Row],[Time]]</f>
        <v>24.375</v>
      </c>
      <c r="AC623">
        <f ca="1">Table1[[#This Row],[SI]]+Table1[[#This Row],[Disc/Prem]]</f>
        <v>24.375</v>
      </c>
      <c r="AD623" s="3" t="e">
        <f ca="1">Table1[[#This Row],[Net Gain]]/Table1[[#This Row],[Ask Rate]]</f>
        <v>#DIV/0!</v>
      </c>
      <c r="AE623" s="3">
        <f>IF(Table1[[#This Row],[Ask Qty]]=0,0,Table1[[#This Row],[Gross Yield]]*365/Table1[[#This Row],[Days Left]])</f>
        <v>0</v>
      </c>
      <c r="AF623" s="9">
        <f ca="1">+Table1[[#This Row],[Net Gain]]*Table1[[#This Row],[Ask Qty]]</f>
        <v>0</v>
      </c>
      <c r="AG623" t="str">
        <f>IF(Table1[[#This Row],[YTM]]&gt;0.12,IF(Table1[[#This Row],[Gross Profit]]&gt;10000,"Invest","Review"),"Low YTM")</f>
        <v>Low YTM</v>
      </c>
    </row>
    <row r="624" spans="1:33" x14ac:dyDescent="0.3">
      <c r="A624" t="str">
        <f>RTD("nest.scriprtd",,"bse_cm|1025NFL25","Symbol")</f>
        <v>1025NFL25</v>
      </c>
      <c r="B624" t="str">
        <f>RTD("nest.scriprtd",,"bse_cm|1025NFL25","Trading Symbol")</f>
        <v>1025NFL25</v>
      </c>
      <c r="C624" t="str">
        <f>RTD("nest.scriprtd",,"bse_cm|1025NFL25","Exchange")</f>
        <v>BSE</v>
      </c>
      <c r="D624">
        <f>RTD("nest.scriprtd",,"bse_cm|1025NFL25","Bid Qty")</f>
        <v>9</v>
      </c>
      <c r="E624">
        <f>RTD("nest.scriprtd",,"bse_cm|1025NFL25","Bid Rate")</f>
        <v>981</v>
      </c>
      <c r="F624">
        <f>RTD("nest.scriprtd",,"bse_cm|1025NFL25","Ask Rate")</f>
        <v>0</v>
      </c>
      <c r="G624">
        <f>RTD("nest.scriprtd",,"bse_cm|1025NFL25","Ask Qty")</f>
        <v>0</v>
      </c>
      <c r="H624">
        <f>RTD("nest.scriprtd",,"bse_cm|1025NFL25","LTP")</f>
        <v>0</v>
      </c>
      <c r="I624" t="str">
        <f>RTD("nest.scriprtd",,"bse_cm|1025NFL25","LTT")</f>
        <v>00:00:00</v>
      </c>
      <c r="J624">
        <f>RTD("nest.scriprtd",,"bse_cm|1025NFL25","% Change")</f>
        <v>-100</v>
      </c>
      <c r="K624">
        <f>RTD("nest.scriprtd",,"bse_cm|1025NFL25","ATP")</f>
        <v>0</v>
      </c>
      <c r="L624">
        <f>RTD("nest.scriprtd",,"bse_cm|1025NFL25","Volume Traded Today")</f>
        <v>0</v>
      </c>
      <c r="M624">
        <f>RTD("nest.scriprtd",,"bse_cm|1025NFL25","Open")</f>
        <v>0</v>
      </c>
      <c r="N624">
        <f>RTD("nest.scriprtd",,"bse_cm|1025NFL25","High")</f>
        <v>996.72</v>
      </c>
      <c r="O624">
        <f>RTD("nest.scriprtd",,"bse_cm|1025NFL25","Low ")</f>
        <v>996.72</v>
      </c>
      <c r="P624">
        <f>RTD("nest.scriprtd",,"bse_cm|1025NFL25","Prev Close")</f>
        <v>996.72</v>
      </c>
      <c r="Q624">
        <f>RTD("nest.scriprtd",,"bse_cm|1025NFL25","Face Value")</f>
        <v>1000</v>
      </c>
      <c r="R624" t="str">
        <f>RTD("nest.scriprtd",,"bse_cm|1025NFL25","Isin code")</f>
        <v>INE342T07379</v>
      </c>
      <c r="S624" s="9">
        <f>Table1[[#This Row],[Ask Rate]]*Table1[[#This Row],[Ask Qty]]</f>
        <v>0</v>
      </c>
      <c r="T624">
        <f>VLOOKUP(Table1[[#This Row],[Isin code]],Table2[#All],7,FALSE)</f>
        <v>10.25</v>
      </c>
      <c r="U624" s="17" t="str">
        <f>VLOOKUP(Table1[[#This Row],[Isin code]],Table2[#All],8,FALSE)</f>
        <v>18-Oct-2025</v>
      </c>
      <c r="V624" s="10">
        <f ca="1">Table1[[#This Row],[Maturity]]-TODAY()</f>
        <v>367</v>
      </c>
      <c r="W624" t="str">
        <f>VLOOKUP(Table1[[#This Row],[Isin code]],Table2[#All],10,FALSE)</f>
        <v>Monthly</v>
      </c>
      <c r="X624">
        <f ca="1">_xlfn.DAYS(Table1[[#This Row],[Maturity]],TODAY())-15</f>
        <v>352</v>
      </c>
      <c r="Y6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624">
        <f>IF(Table1[[#This Row],[Ask Rate]]=0,0,Table1[[#This Row],[Face Value]]-Table1[[#This Row],[Ask Rate]])</f>
        <v>0</v>
      </c>
      <c r="AA624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624">
        <f ca="1">Table1[[#This Row],[Face Value]]*Table1[[#This Row],[Rate]]*Table1[[#This Row],[Time]]</f>
        <v>102.5</v>
      </c>
      <c r="AC624">
        <f ca="1">Table1[[#This Row],[SI]]+Table1[[#This Row],[Disc/Prem]]</f>
        <v>102.5</v>
      </c>
      <c r="AD624" s="3" t="e">
        <f ca="1">Table1[[#This Row],[Net Gain]]/Table1[[#This Row],[Ask Rate]]</f>
        <v>#DIV/0!</v>
      </c>
      <c r="AE624" s="3">
        <f>IF(Table1[[#This Row],[Ask Qty]]=0,0,Table1[[#This Row],[Gross Yield]]*365/Table1[[#This Row],[Days Left]])</f>
        <v>0</v>
      </c>
      <c r="AF624" s="9">
        <f ca="1">+Table1[[#This Row],[Net Gain]]*Table1[[#This Row],[Ask Qty]]</f>
        <v>0</v>
      </c>
      <c r="AG624" t="str">
        <f>IF(Table1[[#This Row],[YTM]]&gt;0.12,IF(Table1[[#This Row],[Gross Profit]]&gt;10000,"Invest","Review"),"Low YTM")</f>
        <v>Low YTM</v>
      </c>
    </row>
    <row r="625" spans="1:33" x14ac:dyDescent="0.3">
      <c r="A625" t="str">
        <f>RTD("nest.scriprtd",,"bse_cm|11CCIL26","Symbol")</f>
        <v>11CCIL26</v>
      </c>
      <c r="B625" t="str">
        <f>RTD("nest.scriprtd",,"bse_cm|11CCIL26","Trading Symbol")</f>
        <v>11CCIL26</v>
      </c>
      <c r="C625" t="str">
        <f>RTD("nest.scriprtd",,"bse_cm|11CCIL26","Exchange")</f>
        <v>BSE</v>
      </c>
      <c r="D625">
        <f>RTD("nest.scriprtd",,"bse_cm|11CCIL26","Bid Qty")</f>
        <v>30</v>
      </c>
      <c r="E625">
        <f>RTD("nest.scriprtd",,"bse_cm|11CCIL26","Bid Rate")</f>
        <v>941.8</v>
      </c>
      <c r="F625">
        <f>RTD("nest.scriprtd",,"bse_cm|11CCIL26","Ask Rate")</f>
        <v>0</v>
      </c>
      <c r="G625">
        <f>RTD("nest.scriprtd",,"bse_cm|11CCIL26","Ask Qty")</f>
        <v>0</v>
      </c>
      <c r="H625">
        <f>RTD("nest.scriprtd",,"bse_cm|11CCIL26","LTP")</f>
        <v>0</v>
      </c>
      <c r="I625" t="str">
        <f>RTD("nest.scriprtd",,"bse_cm|11CCIL26","LTT")</f>
        <v>00:00:00</v>
      </c>
      <c r="J625">
        <f>RTD("nest.scriprtd",,"bse_cm|11CCIL26","% Change")</f>
        <v>-100</v>
      </c>
      <c r="K625">
        <f>RTD("nest.scriprtd",,"bse_cm|11CCIL26","ATP")</f>
        <v>0</v>
      </c>
      <c r="L625">
        <f>RTD("nest.scriprtd",,"bse_cm|11CCIL26","Volume Traded Today")</f>
        <v>0</v>
      </c>
      <c r="M625">
        <f>RTD("nest.scriprtd",,"bse_cm|11CCIL26","Open")</f>
        <v>0</v>
      </c>
      <c r="N625">
        <f>RTD("nest.scriprtd",,"bse_cm|11CCIL26","High")</f>
        <v>1000</v>
      </c>
      <c r="O625">
        <f>RTD("nest.scriprtd",,"bse_cm|11CCIL26","Low ")</f>
        <v>1000</v>
      </c>
      <c r="P625">
        <f>RTD("nest.scriprtd",,"bse_cm|11CCIL26","Prev Close")</f>
        <v>1000</v>
      </c>
      <c r="Q625">
        <f>RTD("nest.scriprtd",,"bse_cm|11CCIL26","Face Value")</f>
        <v>1000</v>
      </c>
      <c r="R625" t="str">
        <f>RTD("nest.scriprtd",,"bse_cm|11CCIL26","Isin code")</f>
        <v>INE051307AA0</v>
      </c>
      <c r="S625" s="9">
        <f>Table1[[#This Row],[Ask Rate]]*Table1[[#This Row],[Ask Qty]]</f>
        <v>0</v>
      </c>
      <c r="T625">
        <f>VLOOKUP(Table1[[#This Row],[Isin code]],Table2[#All],7,FALSE)</f>
        <v>11</v>
      </c>
      <c r="U625" s="17" t="str">
        <f>VLOOKUP(Table1[[#This Row],[Isin code]],Table2[#All],8,FALSE)</f>
        <v>09-Jan-2026</v>
      </c>
      <c r="V625" s="10">
        <f ca="1">Table1[[#This Row],[Maturity]]-TODAY()</f>
        <v>450</v>
      </c>
      <c r="W625" t="str">
        <f>VLOOKUP(Table1[[#This Row],[Isin code]],Table2[#All],10,FALSE)</f>
        <v>Monthly</v>
      </c>
      <c r="X625">
        <f ca="1">_xlfn.DAYS(Table1[[#This Row],[Maturity]],TODAY())-15</f>
        <v>435</v>
      </c>
      <c r="Y6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625">
        <f>IF(Table1[[#This Row],[Ask Rate]]=0,0,Table1[[#This Row],[Face Value]]-Table1[[#This Row],[Ask Rate]])</f>
        <v>0</v>
      </c>
      <c r="AA625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625">
        <f ca="1">Table1[[#This Row],[Face Value]]*Table1[[#This Row],[Rate]]*Table1[[#This Row],[Time]]</f>
        <v>137.5</v>
      </c>
      <c r="AC625">
        <f ca="1">Table1[[#This Row],[SI]]+Table1[[#This Row],[Disc/Prem]]</f>
        <v>137.5</v>
      </c>
      <c r="AD625" s="3" t="e">
        <f ca="1">Table1[[#This Row],[Net Gain]]/Table1[[#This Row],[Ask Rate]]</f>
        <v>#DIV/0!</v>
      </c>
      <c r="AE625" s="3">
        <f>IF(Table1[[#This Row],[Ask Qty]]=0,0,Table1[[#This Row],[Gross Yield]]*365/Table1[[#This Row],[Days Left]])</f>
        <v>0</v>
      </c>
      <c r="AF625" s="9">
        <f ca="1">+Table1[[#This Row],[Net Gain]]*Table1[[#This Row],[Ask Qty]]</f>
        <v>0</v>
      </c>
      <c r="AG625" t="str">
        <f>IF(Table1[[#This Row],[YTM]]&gt;0.12,IF(Table1[[#This Row],[Gross Profit]]&gt;10000,"Invest","Review"),"Low YTM")</f>
        <v>Low YTM</v>
      </c>
    </row>
    <row r="626" spans="1:33" x14ac:dyDescent="0.3">
      <c r="A626" t="str">
        <f>RTD("nest.scriprtd",,"bse_cm|1025KFL28","Symbol")</f>
        <v>1025KFL28</v>
      </c>
      <c r="B626" t="str">
        <f>RTD("nest.scriprtd",,"bse_cm|1025KFL28","Trading Symbol")</f>
        <v>1025KFL28</v>
      </c>
      <c r="C626" t="str">
        <f>RTD("nest.scriprtd",,"bse_cm|1025KFL28","Exchange")</f>
        <v>BSE</v>
      </c>
      <c r="D626">
        <f>RTD("nest.scriprtd",,"bse_cm|1025KFL28","Bid Qty")</f>
        <v>20</v>
      </c>
      <c r="E626">
        <f>RTD("nest.scriprtd",,"bse_cm|1025KFL28","Bid Rate")</f>
        <v>871.7</v>
      </c>
      <c r="F626">
        <f>RTD("nest.scriprtd",,"bse_cm|1025KFL28","Ask Rate")</f>
        <v>0</v>
      </c>
      <c r="G626">
        <f>RTD("nest.scriprtd",,"bse_cm|1025KFL28","Ask Qty")</f>
        <v>0</v>
      </c>
      <c r="H626">
        <f>RTD("nest.scriprtd",,"bse_cm|1025KFL28","LTP")</f>
        <v>0</v>
      </c>
      <c r="I626" t="str">
        <f>RTD("nest.scriprtd",,"bse_cm|1025KFL28","LTT")</f>
        <v>00:00:00</v>
      </c>
      <c r="J626">
        <f>RTD("nest.scriprtd",,"bse_cm|1025KFL28","% Change")</f>
        <v>-100</v>
      </c>
      <c r="K626">
        <f>RTD("nest.scriprtd",,"bse_cm|1025KFL28","ATP")</f>
        <v>0</v>
      </c>
      <c r="L626">
        <f>RTD("nest.scriprtd",,"bse_cm|1025KFL28","Volume Traded Today")</f>
        <v>0</v>
      </c>
      <c r="M626">
        <f>RTD("nest.scriprtd",,"bse_cm|1025KFL28","Open")</f>
        <v>0</v>
      </c>
      <c r="N626">
        <f>RTD("nest.scriprtd",,"bse_cm|1025KFL28","High")</f>
        <v>1000</v>
      </c>
      <c r="O626">
        <f>RTD("nest.scriprtd",,"bse_cm|1025KFL28","Low ")</f>
        <v>1000</v>
      </c>
      <c r="P626">
        <f>RTD("nest.scriprtd",,"bse_cm|1025KFL28","Prev Close")</f>
        <v>1000</v>
      </c>
      <c r="Q626">
        <f>RTD("nest.scriprtd",,"bse_cm|1025KFL28","Face Value")</f>
        <v>1000</v>
      </c>
      <c r="R626" t="str">
        <f>RTD("nest.scriprtd",,"bse_cm|1025KFL28","Isin code")</f>
        <v>INE403Q08217</v>
      </c>
      <c r="S626" s="9">
        <f>Table1[[#This Row],[Ask Rate]]*Table1[[#This Row],[Ask Qty]]</f>
        <v>0</v>
      </c>
      <c r="T626">
        <f>VLOOKUP(Table1[[#This Row],[Isin code]],Table2[#All],7,FALSE)</f>
        <v>10.25</v>
      </c>
      <c r="U626" s="17" t="str">
        <f>VLOOKUP(Table1[[#This Row],[Isin code]],Table2[#All],8,FALSE)</f>
        <v>22-Jan-2028</v>
      </c>
      <c r="V626" s="10">
        <f ca="1">Table1[[#This Row],[Maturity]]-TODAY()</f>
        <v>1193</v>
      </c>
      <c r="W626" t="str">
        <f>VLOOKUP(Table1[[#This Row],[Isin code]],Table2[#All],10,FALSE)</f>
        <v>Monthly</v>
      </c>
      <c r="X626">
        <f ca="1">_xlfn.DAYS(Table1[[#This Row],[Maturity]],TODAY())-15</f>
        <v>1178</v>
      </c>
      <c r="Y6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626">
        <f>IF(Table1[[#This Row],[Ask Rate]]=0,0,Table1[[#This Row],[Face Value]]-Table1[[#This Row],[Ask Rate]])</f>
        <v>0</v>
      </c>
      <c r="AA626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626">
        <f ca="1">Table1[[#This Row],[Face Value]]*Table1[[#This Row],[Rate]]*Table1[[#This Row],[Time]]</f>
        <v>341.66666666666663</v>
      </c>
      <c r="AC626">
        <f ca="1">Table1[[#This Row],[SI]]+Table1[[#This Row],[Disc/Prem]]</f>
        <v>341.66666666666663</v>
      </c>
      <c r="AD626" s="3" t="e">
        <f ca="1">Table1[[#This Row],[Net Gain]]/Table1[[#This Row],[Ask Rate]]</f>
        <v>#DIV/0!</v>
      </c>
      <c r="AE626" s="3">
        <f>IF(Table1[[#This Row],[Ask Qty]]=0,0,Table1[[#This Row],[Gross Yield]]*365/Table1[[#This Row],[Days Left]])</f>
        <v>0</v>
      </c>
      <c r="AF626" s="9">
        <f ca="1">+Table1[[#This Row],[Net Gain]]*Table1[[#This Row],[Ask Qty]]</f>
        <v>0</v>
      </c>
      <c r="AG626" t="str">
        <f>IF(Table1[[#This Row],[YTM]]&gt;0.12,IF(Table1[[#This Row],[Gross Profit]]&gt;10000,"Invest","Review"),"Low YTM")</f>
        <v>Low YTM</v>
      </c>
    </row>
    <row r="627" spans="1:33" x14ac:dyDescent="0.3">
      <c r="A627" t="str">
        <f>RTD("nest.scriprtd",,"bse_cm|865SCL26","Symbol")</f>
        <v>865SCL26</v>
      </c>
      <c r="B627" t="str">
        <f>RTD("nest.scriprtd",,"bse_cm|865SCL26","Trading Symbol")</f>
        <v>865SCL26</v>
      </c>
      <c r="C627" t="str">
        <f>RTD("nest.scriprtd",,"bse_cm|865SCL26","Exchange")</f>
        <v>BSE</v>
      </c>
      <c r="D627">
        <f>RTD("nest.scriprtd",,"bse_cm|865SCL26","Bid Qty")</f>
        <v>25</v>
      </c>
      <c r="E627">
        <f>RTD("nest.scriprtd",,"bse_cm|865SCL26","Bid Rate")</f>
        <v>940</v>
      </c>
      <c r="F627">
        <f>RTD("nest.scriprtd",,"bse_cm|865SCL26","Ask Rate")</f>
        <v>0</v>
      </c>
      <c r="G627">
        <f>RTD("nest.scriprtd",,"bse_cm|865SCL26","Ask Qty")</f>
        <v>0</v>
      </c>
      <c r="H627">
        <f>RTD("nest.scriprtd",,"bse_cm|865SCL26","LTP")</f>
        <v>0</v>
      </c>
      <c r="I627" t="str">
        <f>RTD("nest.scriprtd",,"bse_cm|865SCL26","LTT")</f>
        <v>00:00:00</v>
      </c>
      <c r="J627">
        <f>RTD("nest.scriprtd",,"bse_cm|865SCL26","% Change")</f>
        <v>-100</v>
      </c>
      <c r="K627">
        <f>RTD("nest.scriprtd",,"bse_cm|865SCL26","ATP")</f>
        <v>0</v>
      </c>
      <c r="L627">
        <f>RTD("nest.scriprtd",,"bse_cm|865SCL26","Volume Traded Today")</f>
        <v>0</v>
      </c>
      <c r="M627">
        <f>RTD("nest.scriprtd",,"bse_cm|865SCL26","Open")</f>
        <v>0</v>
      </c>
      <c r="N627">
        <f>RTD("nest.scriprtd",,"bse_cm|865SCL26","High")</f>
        <v>965</v>
      </c>
      <c r="O627">
        <f>RTD("nest.scriprtd",,"bse_cm|865SCL26","Low ")</f>
        <v>965</v>
      </c>
      <c r="P627">
        <f>RTD("nest.scriprtd",,"bse_cm|865SCL26","Prev Close")</f>
        <v>965</v>
      </c>
      <c r="Q627">
        <f>RTD("nest.scriprtd",,"bse_cm|865SCL26","Face Value")</f>
        <v>1000</v>
      </c>
      <c r="R627" t="str">
        <f>RTD("nest.scriprtd",,"bse_cm|865SCL26","Isin code")</f>
        <v>INE148I07GJ7</v>
      </c>
      <c r="S627" s="9">
        <f>Table1[[#This Row],[Ask Rate]]*Table1[[#This Row],[Ask Qty]]</f>
        <v>0</v>
      </c>
      <c r="T627">
        <f>VLOOKUP(Table1[[#This Row],[Isin code]],Table2[#All],7,FALSE)</f>
        <v>8.65</v>
      </c>
      <c r="U627" s="17" t="str">
        <f>VLOOKUP(Table1[[#This Row],[Isin code]],Table2[#All],8,FALSE)</f>
        <v>26-Sep-2026</v>
      </c>
      <c r="V627" s="10">
        <f ca="1">Table1[[#This Row],[Maturity]]-TODAY()</f>
        <v>710</v>
      </c>
      <c r="W627" t="str">
        <f>VLOOKUP(Table1[[#This Row],[Isin code]],Table2[#All],10,FALSE)</f>
        <v>Monthly</v>
      </c>
      <c r="X627">
        <f ca="1">_xlfn.DAYS(Table1[[#This Row],[Maturity]],TODAY())-15</f>
        <v>695</v>
      </c>
      <c r="Y6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627">
        <f>IF(Table1[[#This Row],[Ask Rate]]=0,0,Table1[[#This Row],[Face Value]]-Table1[[#This Row],[Ask Rate]])</f>
        <v>0</v>
      </c>
      <c r="AA627">
        <f>IF(Table1[[#This Row],[Freq]]="Yearly",Table1[[#This Row],[Coupon_Rate]]/100,IF(Table1[[#This Row],[Freq]]="Monthly",Table1[[#This Row],[Coupon_Rate]]/1200,IF(Table1[[#This Row],[Freq]]="Quarterly",Table1[[#This Row],[Coupon_Rate]]/400,0)))</f>
        <v>7.208333333333334E-3</v>
      </c>
      <c r="AB627">
        <f ca="1">Table1[[#This Row],[Face Value]]*Table1[[#This Row],[Rate]]*Table1[[#This Row],[Time]]</f>
        <v>173</v>
      </c>
      <c r="AC627">
        <f ca="1">Table1[[#This Row],[SI]]+Table1[[#This Row],[Disc/Prem]]</f>
        <v>173</v>
      </c>
      <c r="AD627" s="3" t="e">
        <f ca="1">Table1[[#This Row],[Net Gain]]/Table1[[#This Row],[Ask Rate]]</f>
        <v>#DIV/0!</v>
      </c>
      <c r="AE627" s="3">
        <f>IF(Table1[[#This Row],[Ask Qty]]=0,0,Table1[[#This Row],[Gross Yield]]*365/Table1[[#This Row],[Days Left]])</f>
        <v>0</v>
      </c>
      <c r="AF627" s="9">
        <f ca="1">+Table1[[#This Row],[Net Gain]]*Table1[[#This Row],[Ask Qty]]</f>
        <v>0</v>
      </c>
      <c r="AG627" t="str">
        <f>IF(Table1[[#This Row],[YTM]]&gt;0.12,IF(Table1[[#This Row],[Gross Profit]]&gt;10000,"Invest","Review"),"Low YTM")</f>
        <v>Low YTM</v>
      </c>
    </row>
    <row r="628" spans="1:33" x14ac:dyDescent="0.3">
      <c r="A628" t="str">
        <f>RTD("nest.scriprtd",,"bse_cm|961ONE27","Symbol")</f>
        <v>961ONE27</v>
      </c>
      <c r="B628" t="str">
        <f>RTD("nest.scriprtd",,"bse_cm|961ONE27","Trading Symbol")</f>
        <v>961ONE27</v>
      </c>
      <c r="C628" t="str">
        <f>RTD("nest.scriprtd",,"bse_cm|961ONE27","Exchange")</f>
        <v>BSE</v>
      </c>
      <c r="D628">
        <f>RTD("nest.scriprtd",,"bse_cm|961ONE27","Bid Qty")</f>
        <v>10</v>
      </c>
      <c r="E628">
        <f>RTD("nest.scriprtd",,"bse_cm|961ONE27","Bid Rate")</f>
        <v>1070.1099999999999</v>
      </c>
      <c r="F628">
        <f>RTD("nest.scriprtd",,"bse_cm|961ONE27","Ask Rate")</f>
        <v>0</v>
      </c>
      <c r="G628">
        <f>RTD("nest.scriprtd",,"bse_cm|961ONE27","Ask Qty")</f>
        <v>0</v>
      </c>
      <c r="H628">
        <f>RTD("nest.scriprtd",,"bse_cm|961ONE27","LTP")</f>
        <v>0</v>
      </c>
      <c r="I628" t="str">
        <f>RTD("nest.scriprtd",,"bse_cm|961ONE27","LTT")</f>
        <v>00:00:00</v>
      </c>
      <c r="J628">
        <f>RTD("nest.scriprtd",,"bse_cm|961ONE27","% Change")</f>
        <v>-100</v>
      </c>
      <c r="K628">
        <f>RTD("nest.scriprtd",,"bse_cm|961ONE27","ATP")</f>
        <v>0</v>
      </c>
      <c r="L628">
        <f>RTD("nest.scriprtd",,"bse_cm|961ONE27","Volume Traded Today")</f>
        <v>0</v>
      </c>
      <c r="M628">
        <f>RTD("nest.scriprtd",,"bse_cm|961ONE27","Open")</f>
        <v>0</v>
      </c>
      <c r="N628">
        <f>RTD("nest.scriprtd",,"bse_cm|961ONE27","High")</f>
        <v>1070.1099999999999</v>
      </c>
      <c r="O628">
        <f>RTD("nest.scriprtd",,"bse_cm|961ONE27","Low ")</f>
        <v>1070.1099999999999</v>
      </c>
      <c r="P628">
        <f>RTD("nest.scriprtd",,"bse_cm|961ONE27","Prev Close")</f>
        <v>1070.1099999999999</v>
      </c>
      <c r="Q628">
        <f>RTD("nest.scriprtd",,"bse_cm|961ONE27","Face Value")</f>
        <v>1000</v>
      </c>
      <c r="R628" t="str">
        <f>RTD("nest.scriprtd",,"bse_cm|961ONE27","Isin code")</f>
        <v>INE248U07EW8</v>
      </c>
      <c r="S628" s="9">
        <f>Table1[[#This Row],[Ask Rate]]*Table1[[#This Row],[Ask Qty]]</f>
        <v>0</v>
      </c>
      <c r="T628">
        <f>VLOOKUP(Table1[[#This Row],[Isin code]],Table2[#All],7,FALSE)</f>
        <v>9.6100000000000012</v>
      </c>
      <c r="U628" s="17" t="str">
        <f>VLOOKUP(Table1[[#This Row],[Isin code]],Table2[#All],8,FALSE)</f>
        <v>18-Jan-2027</v>
      </c>
      <c r="V628" s="10">
        <f ca="1">Table1[[#This Row],[Maturity]]-TODAY()</f>
        <v>824</v>
      </c>
      <c r="W628" t="str">
        <f>VLOOKUP(Table1[[#This Row],[Isin code]],Table2[#All],10,FALSE)</f>
        <v>Yearly</v>
      </c>
      <c r="X628">
        <f ca="1">_xlfn.DAYS(Table1[[#This Row],[Maturity]],TODAY())-15</f>
        <v>809</v>
      </c>
      <c r="Y6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628">
        <f>IF(Table1[[#This Row],[Ask Rate]]=0,0,Table1[[#This Row],[Face Value]]-Table1[[#This Row],[Ask Rate]])</f>
        <v>0</v>
      </c>
      <c r="AA628">
        <f>IF(Table1[[#This Row],[Freq]]="Yearly",Table1[[#This Row],[Coupon_Rate]]/100,IF(Table1[[#This Row],[Freq]]="Monthly",Table1[[#This Row],[Coupon_Rate]]/1200,IF(Table1[[#This Row],[Freq]]="Quarterly",Table1[[#This Row],[Coupon_Rate]]/400,0)))</f>
        <v>9.6100000000000019E-2</v>
      </c>
      <c r="AB628">
        <f ca="1">Table1[[#This Row],[Face Value]]*Table1[[#This Row],[Rate]]*Table1[[#This Row],[Time]]</f>
        <v>288.30000000000007</v>
      </c>
      <c r="AC628">
        <f ca="1">Table1[[#This Row],[SI]]+Table1[[#This Row],[Disc/Prem]]</f>
        <v>288.30000000000007</v>
      </c>
      <c r="AD628" s="3" t="e">
        <f ca="1">Table1[[#This Row],[Net Gain]]/Table1[[#This Row],[Ask Rate]]</f>
        <v>#DIV/0!</v>
      </c>
      <c r="AE628" s="3">
        <f>IF(Table1[[#This Row],[Ask Qty]]=0,0,Table1[[#This Row],[Gross Yield]]*365/Table1[[#This Row],[Days Left]])</f>
        <v>0</v>
      </c>
      <c r="AF628" s="9">
        <f ca="1">+Table1[[#This Row],[Net Gain]]*Table1[[#This Row],[Ask Qty]]</f>
        <v>0</v>
      </c>
      <c r="AG628" t="str">
        <f>IF(Table1[[#This Row],[YTM]]&gt;0.12,IF(Table1[[#This Row],[Gross Profit]]&gt;10000,"Invest","Review"),"Low YTM")</f>
        <v>Low YTM</v>
      </c>
    </row>
    <row r="629" spans="1:33" x14ac:dyDescent="0.3">
      <c r="A629" t="str">
        <f>RTD("nest.scriprtd",,"bse_cm|1075SCL33A","Symbol")</f>
        <v>1075SCL33A</v>
      </c>
      <c r="B629" t="str">
        <f>RTD("nest.scriprtd",,"bse_cm|1075SCL33A","Trading Symbol")</f>
        <v>1075SCL33A</v>
      </c>
      <c r="C629" t="str">
        <f>RTD("nest.scriprtd",,"bse_cm|1075SCL33A","Exchange")</f>
        <v>BSE</v>
      </c>
      <c r="D629">
        <f>RTD("nest.scriprtd",,"bse_cm|1075SCL33A","Bid Qty")</f>
        <v>0</v>
      </c>
      <c r="E629">
        <f>RTD("nest.scriprtd",,"bse_cm|1075SCL33A","Bid Rate")</f>
        <v>0</v>
      </c>
      <c r="F629">
        <f>RTD("nest.scriprtd",,"bse_cm|1075SCL33A","Ask Rate")</f>
        <v>0</v>
      </c>
      <c r="G629">
        <f>RTD("nest.scriprtd",,"bse_cm|1075SCL33A","Ask Qty")</f>
        <v>0</v>
      </c>
      <c r="H629">
        <f>RTD("nest.scriprtd",,"bse_cm|1075SCL33A","LTP")</f>
        <v>0</v>
      </c>
      <c r="I629" t="str">
        <f>RTD("nest.scriprtd",,"bse_cm|1075SCL33A","LTT")</f>
        <v>00:00:00</v>
      </c>
      <c r="J629">
        <f>RTD("nest.scriprtd",,"bse_cm|1075SCL33A","% Change")</f>
        <v>-100</v>
      </c>
      <c r="K629">
        <f>RTD("nest.scriprtd",,"bse_cm|1075SCL33A","ATP")</f>
        <v>0</v>
      </c>
      <c r="L629">
        <f>RTD("nest.scriprtd",,"bse_cm|1075SCL33A","Volume Traded Today")</f>
        <v>0</v>
      </c>
      <c r="M629">
        <f>RTD("nest.scriprtd",,"bse_cm|1075SCL33A","Open")</f>
        <v>0</v>
      </c>
      <c r="N629">
        <f>RTD("nest.scriprtd",,"bse_cm|1075SCL33A","High")</f>
        <v>950</v>
      </c>
      <c r="O629">
        <f>RTD("nest.scriprtd",,"bse_cm|1075SCL33A","Low ")</f>
        <v>950</v>
      </c>
      <c r="P629">
        <f>RTD("nest.scriprtd",,"bse_cm|1075SCL33A","Prev Close")</f>
        <v>950</v>
      </c>
      <c r="Q629">
        <f>RTD("nest.scriprtd",,"bse_cm|1075SCL33A","Face Value")</f>
        <v>900</v>
      </c>
      <c r="R629" t="str">
        <f>RTD("nest.scriprtd",,"bse_cm|1075SCL33A","Isin code")</f>
        <v>INE148I07PT7</v>
      </c>
      <c r="S629" s="9">
        <f>Table1[[#This Row],[Ask Rate]]*Table1[[#This Row],[Ask Qty]]</f>
        <v>0</v>
      </c>
      <c r="T629">
        <f>VLOOKUP(Table1[[#This Row],[Isin code]],Table2[#All],7,FALSE)</f>
        <v>10.75</v>
      </c>
      <c r="U629" s="17" t="str">
        <f>VLOOKUP(Table1[[#This Row],[Isin code]],Table2[#All],8,FALSE)</f>
        <v>26-Sep-2033</v>
      </c>
      <c r="V629" s="10">
        <f ca="1">Table1[[#This Row],[Maturity]]-TODAY()</f>
        <v>3267</v>
      </c>
      <c r="W629" t="str">
        <f>VLOOKUP(Table1[[#This Row],[Isin code]],Table2[#All],10,FALSE)</f>
        <v>Yearly</v>
      </c>
      <c r="X629">
        <f ca="1">_xlfn.DAYS(Table1[[#This Row],[Maturity]],TODAY())-15</f>
        <v>3252</v>
      </c>
      <c r="Y6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629">
        <f>IF(Table1[[#This Row],[Ask Rate]]=0,0,Table1[[#This Row],[Face Value]]-Table1[[#This Row],[Ask Rate]])</f>
        <v>0</v>
      </c>
      <c r="AA629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629">
        <f ca="1">Table1[[#This Row],[Face Value]]*Table1[[#This Row],[Rate]]*Table1[[#This Row],[Time]]</f>
        <v>870.75</v>
      </c>
      <c r="AC629">
        <f ca="1">Table1[[#This Row],[SI]]+Table1[[#This Row],[Disc/Prem]]</f>
        <v>870.75</v>
      </c>
      <c r="AD629" s="3" t="e">
        <f ca="1">Table1[[#This Row],[Net Gain]]/Table1[[#This Row],[Ask Rate]]</f>
        <v>#DIV/0!</v>
      </c>
      <c r="AE629" s="3">
        <f>IF(Table1[[#This Row],[Ask Qty]]=0,0,Table1[[#This Row],[Gross Yield]]*365/Table1[[#This Row],[Days Left]])</f>
        <v>0</v>
      </c>
      <c r="AF629" s="9">
        <f ca="1">+Table1[[#This Row],[Net Gain]]*Table1[[#This Row],[Ask Qty]]</f>
        <v>0</v>
      </c>
      <c r="AG629" t="str">
        <f>IF(Table1[[#This Row],[YTM]]&gt;0.12,IF(Table1[[#This Row],[Gross Profit]]&gt;10000,"Invest","Review"),"Low YTM")</f>
        <v>Low YTM</v>
      </c>
    </row>
    <row r="630" spans="1:33" x14ac:dyDescent="0.3">
      <c r="A630" t="str">
        <f>RTD("nest.scriprtd",,"nse_cm|1075SCL33A-N2","Symbol")</f>
        <v>1075SCL33A</v>
      </c>
      <c r="B630" t="str">
        <f>RTD("nest.scriprtd",,"nse_cm|1075SCL33A-N2","Trading Symbol")</f>
        <v>1075SCL33A-N2</v>
      </c>
      <c r="C630" t="str">
        <f>RTD("nest.scriprtd",,"nse_cm|1075SCL33A-N2","Exchange")</f>
        <v>NSE</v>
      </c>
      <c r="D630">
        <f>RTD("nest.scriprtd",,"nse_cm|1075SCL33A-N2","Bid Qty")</f>
        <v>100</v>
      </c>
      <c r="E630">
        <f>RTD("nest.scriprtd",,"nse_cm|1075SCL33A-N2","Bid Rate")</f>
        <v>810</v>
      </c>
      <c r="F630">
        <f>RTD("nest.scriprtd",,"nse_cm|1075SCL33A-N2","Ask Rate")</f>
        <v>0</v>
      </c>
      <c r="G630">
        <f>RTD("nest.scriprtd",,"nse_cm|1075SCL33A-N2","Ask Qty")</f>
        <v>0</v>
      </c>
      <c r="H630">
        <f>RTD("nest.scriprtd",,"nse_cm|1075SCL33A-N2","LTP")</f>
        <v>950.05</v>
      </c>
      <c r="I630" t="str">
        <f>RTD("nest.scriprtd",,"nse_cm|1075SCL33A-N2","LTT")</f>
        <v/>
      </c>
      <c r="J630">
        <f>RTD("nest.scriprtd",,"nse_cm|1075SCL33A-N2","% Change")</f>
        <v>0</v>
      </c>
      <c r="K630">
        <f>RTD("nest.scriprtd",,"nse_cm|1075SCL33A-N2","ATP")</f>
        <v>0</v>
      </c>
      <c r="L630">
        <f>RTD("nest.scriprtd",,"nse_cm|1075SCL33A-N2","Volume Traded Today")</f>
        <v>0</v>
      </c>
      <c r="M630">
        <f>RTD("nest.scriprtd",,"nse_cm|1075SCL33A-N2","Open")</f>
        <v>0</v>
      </c>
      <c r="N630">
        <f>RTD("nest.scriprtd",,"nse_cm|1075SCL33A-N2","High")</f>
        <v>950.05</v>
      </c>
      <c r="O630">
        <f>RTD("nest.scriprtd",,"nse_cm|1075SCL33A-N2","Low ")</f>
        <v>950.05</v>
      </c>
      <c r="P630">
        <f>RTD("nest.scriprtd",,"nse_cm|1075SCL33A-N2","Prev Close")</f>
        <v>950.05</v>
      </c>
      <c r="Q630">
        <f>RTD("nest.scriprtd",,"nse_cm|1075SCL33A-N2","Face Value")</f>
        <v>900</v>
      </c>
      <c r="R630" t="str">
        <f>RTD("nest.scriprtd",,"nse_cm|1075SCL33A-N2","Isin code")</f>
        <v>INE148I07PT7</v>
      </c>
      <c r="S630" s="9">
        <f>Table1[[#This Row],[Ask Rate]]*Table1[[#This Row],[Ask Qty]]</f>
        <v>0</v>
      </c>
      <c r="T630">
        <f>VLOOKUP(Table1[[#This Row],[Isin code]],Table2[#All],7,FALSE)</f>
        <v>10.75</v>
      </c>
      <c r="U630" s="17" t="str">
        <f>VLOOKUP(Table1[[#This Row],[Isin code]],Table2[#All],8,FALSE)</f>
        <v>26-Sep-2033</v>
      </c>
      <c r="V630" s="10">
        <f ca="1">Table1[[#This Row],[Maturity]]-TODAY()</f>
        <v>3267</v>
      </c>
      <c r="W630" t="str">
        <f>VLOOKUP(Table1[[#This Row],[Isin code]],Table2[#All],10,FALSE)</f>
        <v>Yearly</v>
      </c>
      <c r="X630">
        <f ca="1">_xlfn.DAYS(Table1[[#This Row],[Maturity]],TODAY())-15</f>
        <v>3252</v>
      </c>
      <c r="Y6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630">
        <f>IF(Table1[[#This Row],[Ask Rate]]=0,0,Table1[[#This Row],[Face Value]]-Table1[[#This Row],[Ask Rate]])</f>
        <v>0</v>
      </c>
      <c r="AA630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630">
        <f ca="1">Table1[[#This Row],[Face Value]]*Table1[[#This Row],[Rate]]*Table1[[#This Row],[Time]]</f>
        <v>870.75</v>
      </c>
      <c r="AC630">
        <f ca="1">Table1[[#This Row],[SI]]+Table1[[#This Row],[Disc/Prem]]</f>
        <v>870.75</v>
      </c>
      <c r="AD630" s="3" t="e">
        <f ca="1">Table1[[#This Row],[Net Gain]]/Table1[[#This Row],[Ask Rate]]</f>
        <v>#DIV/0!</v>
      </c>
      <c r="AE630" s="3">
        <f>IF(Table1[[#This Row],[Ask Qty]]=0,0,Table1[[#This Row],[Gross Yield]]*365/Table1[[#This Row],[Days Left]])</f>
        <v>0</v>
      </c>
      <c r="AF630" s="9">
        <f ca="1">+Table1[[#This Row],[Net Gain]]*Table1[[#This Row],[Ask Qty]]</f>
        <v>0</v>
      </c>
      <c r="AG630" t="str">
        <f>IF(Table1[[#This Row],[YTM]]&gt;0.12,IF(Table1[[#This Row],[Gross Profit]]&gt;10000,"Invest","Review"),"Low YTM")</f>
        <v>Low YTM</v>
      </c>
    </row>
    <row r="631" spans="1:33" x14ac:dyDescent="0.3">
      <c r="A631" t="str">
        <f>RTD("nest.scriprtd",,"bse_cm|1010EFSL32","Symbol")</f>
        <v>1010EFSL32</v>
      </c>
      <c r="B631" t="str">
        <f>RTD("nest.scriprtd",,"bse_cm|1010EFSL32","Trading Symbol")</f>
        <v>1010EFSL32</v>
      </c>
      <c r="C631" t="str">
        <f>RTD("nest.scriprtd",,"bse_cm|1010EFSL32","Exchange")</f>
        <v>BSE</v>
      </c>
      <c r="D631">
        <f>RTD("nest.scriprtd",,"bse_cm|1010EFSL32","Bid Qty")</f>
        <v>20</v>
      </c>
      <c r="E631">
        <f>RTD("nest.scriprtd",,"bse_cm|1010EFSL32","Bid Rate")</f>
        <v>835.2</v>
      </c>
      <c r="F631">
        <f>RTD("nest.scriprtd",,"bse_cm|1010EFSL32","Ask Rate")</f>
        <v>0</v>
      </c>
      <c r="G631">
        <f>RTD("nest.scriprtd",,"bse_cm|1010EFSL32","Ask Qty")</f>
        <v>0</v>
      </c>
      <c r="H631">
        <f>RTD("nest.scriprtd",,"bse_cm|1010EFSL32","LTP")</f>
        <v>0</v>
      </c>
      <c r="I631" t="str">
        <f>RTD("nest.scriprtd",,"bse_cm|1010EFSL32","LTT")</f>
        <v>00:00:00</v>
      </c>
      <c r="J631">
        <f>RTD("nest.scriprtd",,"bse_cm|1010EFSL32","% Change")</f>
        <v>-100</v>
      </c>
      <c r="K631">
        <f>RTD("nest.scriprtd",,"bse_cm|1010EFSL32","ATP")</f>
        <v>0</v>
      </c>
      <c r="L631">
        <f>RTD("nest.scriprtd",,"bse_cm|1010EFSL32","Volume Traded Today")</f>
        <v>0</v>
      </c>
      <c r="M631">
        <f>RTD("nest.scriprtd",,"bse_cm|1010EFSL32","Open")</f>
        <v>0</v>
      </c>
      <c r="N631">
        <f>RTD("nest.scriprtd",,"bse_cm|1010EFSL32","High")</f>
        <v>893.01</v>
      </c>
      <c r="O631">
        <f>RTD("nest.scriprtd",,"bse_cm|1010EFSL32","Low ")</f>
        <v>888</v>
      </c>
      <c r="P631">
        <f>RTD("nest.scriprtd",,"bse_cm|1010EFSL32","Prev Close")</f>
        <v>888</v>
      </c>
      <c r="Q631">
        <f>RTD("nest.scriprtd",,"bse_cm|1010EFSL32","Face Value")</f>
        <v>1000</v>
      </c>
      <c r="R631" t="str">
        <f>RTD("nest.scriprtd",,"bse_cm|1010EFSL32","Isin code")</f>
        <v>INE532F07DE6</v>
      </c>
      <c r="S631" s="9">
        <f>Table1[[#This Row],[Ask Rate]]*Table1[[#This Row],[Ask Qty]]</f>
        <v>0</v>
      </c>
      <c r="T631">
        <f>VLOOKUP(Table1[[#This Row],[Isin code]],Table2[#All],7,FALSE)</f>
        <v>10.100000000000001</v>
      </c>
      <c r="U631" s="17" t="str">
        <f>VLOOKUP(Table1[[#This Row],[Isin code]],Table2[#All],8,FALSE)</f>
        <v>20-Oct-2032</v>
      </c>
      <c r="V631" s="10">
        <f ca="1">Table1[[#This Row],[Maturity]]-TODAY()</f>
        <v>2926</v>
      </c>
      <c r="W631" t="str">
        <f>VLOOKUP(Table1[[#This Row],[Isin code]],Table2[#All],10,FALSE)</f>
        <v>Yearly</v>
      </c>
      <c r="X631">
        <f ca="1">_xlfn.DAYS(Table1[[#This Row],[Maturity]],TODAY())-15</f>
        <v>2911</v>
      </c>
      <c r="Y6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631">
        <f>IF(Table1[[#This Row],[Ask Rate]]=0,0,Table1[[#This Row],[Face Value]]-Table1[[#This Row],[Ask Rate]])</f>
        <v>0</v>
      </c>
      <c r="AA631">
        <f>IF(Table1[[#This Row],[Freq]]="Yearly",Table1[[#This Row],[Coupon_Rate]]/100,IF(Table1[[#This Row],[Freq]]="Monthly",Table1[[#This Row],[Coupon_Rate]]/1200,IF(Table1[[#This Row],[Freq]]="Quarterly",Table1[[#This Row],[Coupon_Rate]]/400,0)))</f>
        <v>0.10100000000000002</v>
      </c>
      <c r="AB631">
        <f ca="1">Table1[[#This Row],[Face Value]]*Table1[[#This Row],[Rate]]*Table1[[#This Row],[Time]]</f>
        <v>808.00000000000011</v>
      </c>
      <c r="AC631">
        <f ca="1">Table1[[#This Row],[SI]]+Table1[[#This Row],[Disc/Prem]]</f>
        <v>808.00000000000011</v>
      </c>
      <c r="AD631" s="3" t="e">
        <f ca="1">Table1[[#This Row],[Net Gain]]/Table1[[#This Row],[Ask Rate]]</f>
        <v>#DIV/0!</v>
      </c>
      <c r="AE631" s="3">
        <f>IF(Table1[[#This Row],[Ask Qty]]=0,0,Table1[[#This Row],[Gross Yield]]*365/Table1[[#This Row],[Days Left]])</f>
        <v>0</v>
      </c>
      <c r="AF631" s="9">
        <f ca="1">+Table1[[#This Row],[Net Gain]]*Table1[[#This Row],[Ask Qty]]</f>
        <v>0</v>
      </c>
      <c r="AG631" t="str">
        <f>IF(Table1[[#This Row],[YTM]]&gt;0.12,IF(Table1[[#This Row],[Gross Profit]]&gt;10000,"Invest","Review"),"Low YTM")</f>
        <v>Low YTM</v>
      </c>
    </row>
    <row r="632" spans="1:33" x14ac:dyDescent="0.3">
      <c r="A632" t="str">
        <f>RTD("nest.scriprtd",,"bse_cm|925EFSL25","Symbol")</f>
        <v>925EFSL25</v>
      </c>
      <c r="B632" t="str">
        <f>RTD("nest.scriprtd",,"bse_cm|925EFSL25","Trading Symbol")</f>
        <v>925EFSL25</v>
      </c>
      <c r="C632" t="str">
        <f>RTD("nest.scriprtd",,"bse_cm|925EFSL25","Exchange")</f>
        <v>BSE</v>
      </c>
      <c r="D632">
        <f>RTD("nest.scriprtd",,"bse_cm|925EFSL25","Bid Qty")</f>
        <v>1</v>
      </c>
      <c r="E632">
        <f>RTD("nest.scriprtd",,"bse_cm|925EFSL25","Bid Rate")</f>
        <v>956.5</v>
      </c>
      <c r="F632">
        <f>RTD("nest.scriprtd",,"bse_cm|925EFSL25","Ask Rate")</f>
        <v>0</v>
      </c>
      <c r="G632">
        <f>RTD("nest.scriprtd",,"bse_cm|925EFSL25","Ask Qty")</f>
        <v>0</v>
      </c>
      <c r="H632">
        <f>RTD("nest.scriprtd",,"bse_cm|925EFSL25","LTP")</f>
        <v>0</v>
      </c>
      <c r="I632" t="str">
        <f>RTD("nest.scriprtd",,"bse_cm|925EFSL25","LTT")</f>
        <v>00:00:00</v>
      </c>
      <c r="J632">
        <f>RTD("nest.scriprtd",,"bse_cm|925EFSL25","% Change")</f>
        <v>-100</v>
      </c>
      <c r="K632">
        <f>RTD("nest.scriprtd",,"bse_cm|925EFSL25","ATP")</f>
        <v>0</v>
      </c>
      <c r="L632">
        <f>RTD("nest.scriprtd",,"bse_cm|925EFSL25","Volume Traded Today")</f>
        <v>0</v>
      </c>
      <c r="M632">
        <f>RTD("nest.scriprtd",,"bse_cm|925EFSL25","Open")</f>
        <v>0</v>
      </c>
      <c r="N632">
        <f>RTD("nest.scriprtd",,"bse_cm|925EFSL25","High")</f>
        <v>970</v>
      </c>
      <c r="O632">
        <f>RTD("nest.scriprtd",,"bse_cm|925EFSL25","Low ")</f>
        <v>970</v>
      </c>
      <c r="P632">
        <f>RTD("nest.scriprtd",,"bse_cm|925EFSL25","Prev Close")</f>
        <v>970</v>
      </c>
      <c r="Q632">
        <f>RTD("nest.scriprtd",,"bse_cm|925EFSL25","Face Value")</f>
        <v>1000</v>
      </c>
      <c r="R632" t="str">
        <f>RTD("nest.scriprtd",,"bse_cm|925EFSL25","Isin code")</f>
        <v>INE532F07CY6</v>
      </c>
      <c r="S632" s="9">
        <f>Table1[[#This Row],[Ask Rate]]*Table1[[#This Row],[Ask Qty]]</f>
        <v>0</v>
      </c>
      <c r="T632">
        <f>VLOOKUP(Table1[[#This Row],[Isin code]],Table2[#All],7,FALSE)</f>
        <v>9.25</v>
      </c>
      <c r="U632" s="17" t="str">
        <f>VLOOKUP(Table1[[#This Row],[Isin code]],Table2[#All],8,FALSE)</f>
        <v>20-Oct-2025</v>
      </c>
      <c r="V632" s="10">
        <f ca="1">Table1[[#This Row],[Maturity]]-TODAY()</f>
        <v>369</v>
      </c>
      <c r="W632" t="str">
        <f>VLOOKUP(Table1[[#This Row],[Isin code]],Table2[#All],10,FALSE)</f>
        <v>Yearly</v>
      </c>
      <c r="X632">
        <f ca="1">_xlfn.DAYS(Table1[[#This Row],[Maturity]],TODAY())-15</f>
        <v>354</v>
      </c>
      <c r="Y6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32">
        <f>IF(Table1[[#This Row],[Ask Rate]]=0,0,Table1[[#This Row],[Face Value]]-Table1[[#This Row],[Ask Rate]])</f>
        <v>0</v>
      </c>
      <c r="AA632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632">
        <f ca="1">Table1[[#This Row],[Face Value]]*Table1[[#This Row],[Rate]]*Table1[[#This Row],[Time]]</f>
        <v>92.5</v>
      </c>
      <c r="AC632">
        <f ca="1">Table1[[#This Row],[SI]]+Table1[[#This Row],[Disc/Prem]]</f>
        <v>92.5</v>
      </c>
      <c r="AD632" s="3" t="e">
        <f ca="1">Table1[[#This Row],[Net Gain]]/Table1[[#This Row],[Ask Rate]]</f>
        <v>#DIV/0!</v>
      </c>
      <c r="AE632" s="3">
        <f>IF(Table1[[#This Row],[Ask Qty]]=0,0,Table1[[#This Row],[Gross Yield]]*365/Table1[[#This Row],[Days Left]])</f>
        <v>0</v>
      </c>
      <c r="AF632" s="9">
        <f ca="1">+Table1[[#This Row],[Net Gain]]*Table1[[#This Row],[Ask Qty]]</f>
        <v>0</v>
      </c>
      <c r="AG632" t="str">
        <f>IF(Table1[[#This Row],[YTM]]&gt;0.12,IF(Table1[[#This Row],[Gross Profit]]&gt;10000,"Invest","Review"),"Low YTM")</f>
        <v>Low YTM</v>
      </c>
    </row>
    <row r="633" spans="1:33" x14ac:dyDescent="0.3">
      <c r="A633" t="str">
        <f>RTD("nest.scriprtd",,"bse_cm|96SFL24A","Symbol")</f>
        <v>96SFL24A</v>
      </c>
      <c r="B633" t="str">
        <f>RTD("nest.scriprtd",,"bse_cm|96SFL24A","Trading Symbol")</f>
        <v>96SFL24A</v>
      </c>
      <c r="C633" t="str">
        <f>RTD("nest.scriprtd",,"bse_cm|96SFL24A","Exchange")</f>
        <v>BSE</v>
      </c>
      <c r="D633">
        <f>RTD("nest.scriprtd",,"bse_cm|96SFL24A","Bid Qty")</f>
        <v>1</v>
      </c>
      <c r="E633">
        <f>RTD("nest.scriprtd",,"bse_cm|96SFL24A","Bid Rate")</f>
        <v>874</v>
      </c>
      <c r="F633">
        <f>RTD("nest.scriprtd",,"bse_cm|96SFL24A","Ask Rate")</f>
        <v>0</v>
      </c>
      <c r="G633">
        <f>RTD("nest.scriprtd",,"bse_cm|96SFL24A","Ask Qty")</f>
        <v>0</v>
      </c>
      <c r="H633">
        <f>RTD("nest.scriprtd",,"bse_cm|96SFL24A","LTP")</f>
        <v>875</v>
      </c>
      <c r="I633" t="str">
        <f>RTD("nest.scriprtd",,"bse_cm|96SFL24A","LTT")</f>
        <v>11:08:54</v>
      </c>
      <c r="J633">
        <f>RTD("nest.scriprtd",,"bse_cm|96SFL24A","% Change")</f>
        <v>4.67</v>
      </c>
      <c r="K633">
        <f>RTD("nest.scriprtd",,"bse_cm|96SFL24A","ATP")</f>
        <v>0</v>
      </c>
      <c r="L633">
        <f>RTD("nest.scriprtd",,"bse_cm|96SFL24A","Volume Traded Today")</f>
        <v>30</v>
      </c>
      <c r="M633">
        <f>RTD("nest.scriprtd",,"bse_cm|96SFL24A","Open")</f>
        <v>0</v>
      </c>
      <c r="N633">
        <f>RTD("nest.scriprtd",,"bse_cm|96SFL24A","High")</f>
        <v>875</v>
      </c>
      <c r="O633">
        <f>RTD("nest.scriprtd",,"bse_cm|96SFL24A","Low ")</f>
        <v>875</v>
      </c>
      <c r="P633">
        <f>RTD("nest.scriprtd",,"bse_cm|96SFL24A","Prev Close")</f>
        <v>836</v>
      </c>
      <c r="Q633">
        <f>RTD("nest.scriprtd",,"bse_cm|96SFL24A","Face Value")</f>
        <v>1000</v>
      </c>
      <c r="R633" t="str">
        <f>RTD("nest.scriprtd",,"bse_cm|96SFL24A","Isin code")</f>
        <v>INE244L07168</v>
      </c>
      <c r="S633" s="9">
        <f>Table1[[#This Row],[Ask Rate]]*Table1[[#This Row],[Ask Qty]]</f>
        <v>0</v>
      </c>
      <c r="T633">
        <f>VLOOKUP(Table1[[#This Row],[Isin code]],Table2[#All],7,FALSE)</f>
        <v>8.84</v>
      </c>
      <c r="U633" s="17" t="str">
        <f>VLOOKUP(Table1[[#This Row],[Isin code]],Table2[#All],8,FALSE)</f>
        <v>25-Sep-2028</v>
      </c>
      <c r="V633" s="10">
        <f ca="1">Table1[[#This Row],[Maturity]]-TODAY()</f>
        <v>1440</v>
      </c>
      <c r="W633" t="str">
        <f>VLOOKUP(Table1[[#This Row],[Isin code]],Table2[#All],10,FALSE)</f>
        <v>Monthly</v>
      </c>
      <c r="X633">
        <f ca="1">_xlfn.DAYS(Table1[[#This Row],[Maturity]],TODAY())-15</f>
        <v>1425</v>
      </c>
      <c r="Y63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633">
        <f>IF(Table1[[#This Row],[Ask Rate]]=0,0,Table1[[#This Row],[Face Value]]-Table1[[#This Row],[Ask Rate]])</f>
        <v>0</v>
      </c>
      <c r="AA633">
        <f>IF(Table1[[#This Row],[Freq]]="Yearly",Table1[[#This Row],[Coupon_Rate]]/100,IF(Table1[[#This Row],[Freq]]="Monthly",Table1[[#This Row],[Coupon_Rate]]/1200,IF(Table1[[#This Row],[Freq]]="Quarterly",Table1[[#This Row],[Coupon_Rate]]/400,0)))</f>
        <v>7.3666666666666663E-3</v>
      </c>
      <c r="AB633">
        <f ca="1">Table1[[#This Row],[Face Value]]*Table1[[#This Row],[Rate]]*Table1[[#This Row],[Time]]</f>
        <v>353.59999999999997</v>
      </c>
      <c r="AC633">
        <f ca="1">Table1[[#This Row],[SI]]+Table1[[#This Row],[Disc/Prem]]</f>
        <v>353.59999999999997</v>
      </c>
      <c r="AD633" s="3" t="e">
        <f ca="1">Table1[[#This Row],[Net Gain]]/Table1[[#This Row],[Ask Rate]]</f>
        <v>#DIV/0!</v>
      </c>
      <c r="AE633" s="3">
        <f>IF(Table1[[#This Row],[Ask Qty]]=0,0,Table1[[#This Row],[Gross Yield]]*365/Table1[[#This Row],[Days Left]])</f>
        <v>0</v>
      </c>
      <c r="AF633" s="9">
        <f ca="1">+Table1[[#This Row],[Net Gain]]*Table1[[#This Row],[Ask Qty]]</f>
        <v>0</v>
      </c>
      <c r="AG633" t="str">
        <f>IF(Table1[[#This Row],[YTM]]&gt;0.12,IF(Table1[[#This Row],[Gross Profit]]&gt;10000,"Invest","Review"),"Low YTM")</f>
        <v>Low YTM</v>
      </c>
    </row>
    <row r="634" spans="1:33" x14ac:dyDescent="0.3">
      <c r="A634" t="str">
        <f>RTD("nest.scriprtd",,"nse_cm|875IIFL26A-NQ","Symbol")</f>
        <v>875IIFL26A</v>
      </c>
      <c r="B634" t="str">
        <f>RTD("nest.scriprtd",,"nse_cm|875IIFL26A-NQ","Trading Symbol")</f>
        <v>875IIFL26A-NQ</v>
      </c>
      <c r="C634" t="str">
        <f>RTD("nest.scriprtd",,"nse_cm|875IIFL26A-NQ","Exchange")</f>
        <v>NSE</v>
      </c>
      <c r="D634">
        <f>RTD("nest.scriprtd",,"nse_cm|875IIFL26A-NQ","Bid Qty")</f>
        <v>25</v>
      </c>
      <c r="E634">
        <f>RTD("nest.scriprtd",,"nse_cm|875IIFL26A-NQ","Bid Rate")</f>
        <v>1029.81</v>
      </c>
      <c r="F634">
        <f>RTD("nest.scriprtd",,"nse_cm|875IIFL26A-NQ","Ask Rate")</f>
        <v>0</v>
      </c>
      <c r="G634">
        <f>RTD("nest.scriprtd",,"nse_cm|875IIFL26A-NQ","Ask Qty")</f>
        <v>0</v>
      </c>
      <c r="H634">
        <f>RTD("nest.scriprtd",,"nse_cm|875IIFL26A-NQ","LTP")</f>
        <v>1011.8</v>
      </c>
      <c r="I634" t="str">
        <f>RTD("nest.scriprtd",,"nse_cm|875IIFL26A-NQ","LTT")</f>
        <v/>
      </c>
      <c r="J634">
        <f>RTD("nest.scriprtd",,"nse_cm|875IIFL26A-NQ","% Change")</f>
        <v>0</v>
      </c>
      <c r="K634">
        <f>RTD("nest.scriprtd",,"nse_cm|875IIFL26A-NQ","ATP")</f>
        <v>0</v>
      </c>
      <c r="L634">
        <f>RTD("nest.scriprtd",,"nse_cm|875IIFL26A-NQ","Volume Traded Today")</f>
        <v>0</v>
      </c>
      <c r="M634">
        <f>RTD("nest.scriprtd",,"nse_cm|875IIFL26A-NQ","Open")</f>
        <v>0</v>
      </c>
      <c r="N634">
        <f>RTD("nest.scriprtd",,"nse_cm|875IIFL26A-NQ","High")</f>
        <v>1055</v>
      </c>
      <c r="O634">
        <f>RTD("nest.scriprtd",,"nse_cm|875IIFL26A-NQ","Low ")</f>
        <v>1011.8</v>
      </c>
      <c r="P634">
        <f>RTD("nest.scriprtd",,"nse_cm|875IIFL26A-NQ","Prev Close")</f>
        <v>1011.8</v>
      </c>
      <c r="Q634">
        <f>RTD("nest.scriprtd",,"nse_cm|875IIFL26A-NQ","Face Value")</f>
        <v>1000</v>
      </c>
      <c r="R634" t="str">
        <f>RTD("nest.scriprtd",,"nse_cm|875IIFL26A-NQ","Isin code")</f>
        <v>INE530B07294</v>
      </c>
      <c r="S634" s="9">
        <f>Table1[[#This Row],[Ask Rate]]*Table1[[#This Row],[Ask Qty]]</f>
        <v>0</v>
      </c>
      <c r="T634">
        <f>VLOOKUP(Table1[[#This Row],[Isin code]],Table2[#All],7,FALSE)</f>
        <v>8.75</v>
      </c>
      <c r="U634" s="17" t="str">
        <f>VLOOKUP(Table1[[#This Row],[Isin code]],Table2[#All],8,FALSE)</f>
        <v>24-Jan-2026</v>
      </c>
      <c r="V634" s="10">
        <f ca="1">Table1[[#This Row],[Maturity]]-TODAY()</f>
        <v>465</v>
      </c>
      <c r="W634" t="str">
        <f>VLOOKUP(Table1[[#This Row],[Isin code]],Table2[#All],10,FALSE)</f>
        <v>Yearly</v>
      </c>
      <c r="X634">
        <f ca="1">_xlfn.DAYS(Table1[[#This Row],[Maturity]],TODAY())-15</f>
        <v>450</v>
      </c>
      <c r="Y6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34">
        <f>IF(Table1[[#This Row],[Ask Rate]]=0,0,Table1[[#This Row],[Face Value]]-Table1[[#This Row],[Ask Rate]])</f>
        <v>0</v>
      </c>
      <c r="AA634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634">
        <f ca="1">Table1[[#This Row],[Face Value]]*Table1[[#This Row],[Rate]]*Table1[[#This Row],[Time]]</f>
        <v>175</v>
      </c>
      <c r="AC634">
        <f ca="1">Table1[[#This Row],[SI]]+Table1[[#This Row],[Disc/Prem]]</f>
        <v>175</v>
      </c>
      <c r="AD634" s="3" t="e">
        <f ca="1">Table1[[#This Row],[Net Gain]]/Table1[[#This Row],[Ask Rate]]</f>
        <v>#DIV/0!</v>
      </c>
      <c r="AE634" s="3">
        <f>IF(Table1[[#This Row],[Ask Qty]]=0,0,Table1[[#This Row],[Gross Yield]]*365/Table1[[#This Row],[Days Left]])</f>
        <v>0</v>
      </c>
      <c r="AF634" s="9">
        <f ca="1">+Table1[[#This Row],[Net Gain]]*Table1[[#This Row],[Ask Qty]]</f>
        <v>0</v>
      </c>
      <c r="AG634" t="str">
        <f>IF(Table1[[#This Row],[YTM]]&gt;0.12,IF(Table1[[#This Row],[Gross Profit]]&gt;10000,"Invest","Review"),"Low YTM")</f>
        <v>Low YTM</v>
      </c>
    </row>
    <row r="635" spans="1:33" x14ac:dyDescent="0.3">
      <c r="A635" t="str">
        <f>RTD("nest.scriprtd",,"bse_cm|97EFSL31","Symbol")</f>
        <v>97EFSL31</v>
      </c>
      <c r="B635" t="str">
        <f>RTD("nest.scriprtd",,"bse_cm|97EFSL31","Trading Symbol")</f>
        <v>97EFSL31</v>
      </c>
      <c r="C635" t="str">
        <f>RTD("nest.scriprtd",,"bse_cm|97EFSL31","Exchange")</f>
        <v>BSE</v>
      </c>
      <c r="D635">
        <f>RTD("nest.scriprtd",,"bse_cm|97EFSL31","Bid Qty")</f>
        <v>20</v>
      </c>
      <c r="E635">
        <f>RTD("nest.scriprtd",,"bse_cm|97EFSL31","Bid Rate")</f>
        <v>835.2</v>
      </c>
      <c r="F635">
        <f>RTD("nest.scriprtd",,"bse_cm|97EFSL31","Ask Rate")</f>
        <v>0</v>
      </c>
      <c r="G635">
        <f>RTD("nest.scriprtd",,"bse_cm|97EFSL31","Ask Qty")</f>
        <v>0</v>
      </c>
      <c r="H635">
        <f>RTD("nest.scriprtd",,"bse_cm|97EFSL31","LTP")</f>
        <v>0</v>
      </c>
      <c r="I635" t="str">
        <f>RTD("nest.scriprtd",,"bse_cm|97EFSL31","LTT")</f>
        <v>00:00:00</v>
      </c>
      <c r="J635">
        <f>RTD("nest.scriprtd",,"bse_cm|97EFSL31","% Change")</f>
        <v>-100</v>
      </c>
      <c r="K635">
        <f>RTD("nest.scriprtd",,"bse_cm|97EFSL31","ATP")</f>
        <v>0</v>
      </c>
      <c r="L635">
        <f>RTD("nest.scriprtd",,"bse_cm|97EFSL31","Volume Traded Today")</f>
        <v>0</v>
      </c>
      <c r="M635">
        <f>RTD("nest.scriprtd",,"bse_cm|97EFSL31","Open")</f>
        <v>0</v>
      </c>
      <c r="N635">
        <f>RTD("nest.scriprtd",,"bse_cm|97EFSL31","High")</f>
        <v>940</v>
      </c>
      <c r="O635">
        <f>RTD("nest.scriprtd",,"bse_cm|97EFSL31","Low ")</f>
        <v>897</v>
      </c>
      <c r="P635">
        <f>RTD("nest.scriprtd",,"bse_cm|97EFSL31","Prev Close")</f>
        <v>940</v>
      </c>
      <c r="Q635">
        <f>RTD("nest.scriprtd",,"bse_cm|97EFSL31","Face Value")</f>
        <v>1000</v>
      </c>
      <c r="R635" t="str">
        <f>RTD("nest.scriprtd",,"bse_cm|97EFSL31","Isin code")</f>
        <v>INE532F07CJ7</v>
      </c>
      <c r="S635" s="9">
        <f>Table1[[#This Row],[Ask Rate]]*Table1[[#This Row],[Ask Qty]]</f>
        <v>0</v>
      </c>
      <c r="T635">
        <f>VLOOKUP(Table1[[#This Row],[Isin code]],Table2[#All],7,FALSE)</f>
        <v>9.7000000000000011</v>
      </c>
      <c r="U635" s="17" t="str">
        <f>VLOOKUP(Table1[[#This Row],[Isin code]],Table2[#All],8,FALSE)</f>
        <v>10-Sep-2031</v>
      </c>
      <c r="V635" s="10">
        <f ca="1">Table1[[#This Row],[Maturity]]-TODAY()</f>
        <v>2520</v>
      </c>
      <c r="W635" t="str">
        <f>VLOOKUP(Table1[[#This Row],[Isin code]],Table2[#All],10,FALSE)</f>
        <v>Yearly</v>
      </c>
      <c r="X635">
        <f ca="1">_xlfn.DAYS(Table1[[#This Row],[Maturity]],TODAY())-15</f>
        <v>2505</v>
      </c>
      <c r="Y63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635">
        <f>IF(Table1[[#This Row],[Ask Rate]]=0,0,Table1[[#This Row],[Face Value]]-Table1[[#This Row],[Ask Rate]])</f>
        <v>0</v>
      </c>
      <c r="AA635">
        <f>IF(Table1[[#This Row],[Freq]]="Yearly",Table1[[#This Row],[Coupon_Rate]]/100,IF(Table1[[#This Row],[Freq]]="Monthly",Table1[[#This Row],[Coupon_Rate]]/1200,IF(Table1[[#This Row],[Freq]]="Quarterly",Table1[[#This Row],[Coupon_Rate]]/400,0)))</f>
        <v>9.7000000000000017E-2</v>
      </c>
      <c r="AB635">
        <f ca="1">Table1[[#This Row],[Face Value]]*Table1[[#This Row],[Rate]]*Table1[[#This Row],[Time]]</f>
        <v>679.00000000000011</v>
      </c>
      <c r="AC635">
        <f ca="1">Table1[[#This Row],[SI]]+Table1[[#This Row],[Disc/Prem]]</f>
        <v>679.00000000000011</v>
      </c>
      <c r="AD635" s="3" t="e">
        <f ca="1">Table1[[#This Row],[Net Gain]]/Table1[[#This Row],[Ask Rate]]</f>
        <v>#DIV/0!</v>
      </c>
      <c r="AE635" s="3">
        <f>IF(Table1[[#This Row],[Ask Qty]]=0,0,Table1[[#This Row],[Gross Yield]]*365/Table1[[#This Row],[Days Left]])</f>
        <v>0</v>
      </c>
      <c r="AF635" s="9">
        <f ca="1">+Table1[[#This Row],[Net Gain]]*Table1[[#This Row],[Ask Qty]]</f>
        <v>0</v>
      </c>
      <c r="AG635" t="str">
        <f>IF(Table1[[#This Row],[YTM]]&gt;0.12,IF(Table1[[#This Row],[Gross Profit]]&gt;10000,"Invest","Review"),"Low YTM")</f>
        <v>Low YTM</v>
      </c>
    </row>
    <row r="636" spans="1:33" x14ac:dyDescent="0.3">
      <c r="A636" t="str">
        <f>RTD("nest.scriprtd",,"nse_cm|1090NFL26-NB","Symbol")</f>
        <v>1090NFL26</v>
      </c>
      <c r="B636" t="str">
        <f>RTD("nest.scriprtd",,"nse_cm|1090NFL26-NB","Trading Symbol")</f>
        <v>1090NFL26-NB</v>
      </c>
      <c r="C636" t="str">
        <f>RTD("nest.scriprtd",,"nse_cm|1090NFL26-NB","Exchange")</f>
        <v>NSE</v>
      </c>
      <c r="D636">
        <f>RTD("nest.scriprtd",,"nse_cm|1090NFL26-NB","Bid Qty")</f>
        <v>300</v>
      </c>
      <c r="E636">
        <f>RTD("nest.scriprtd",,"nse_cm|1090NFL26-NB","Bid Rate")</f>
        <v>1060</v>
      </c>
      <c r="F636">
        <f>RTD("nest.scriprtd",,"nse_cm|1090NFL26-NB","Ask Rate")</f>
        <v>1061.73</v>
      </c>
      <c r="G636">
        <f>RTD("nest.scriprtd",,"nse_cm|1090NFL26-NB","Ask Qty")</f>
        <v>0</v>
      </c>
      <c r="H636">
        <f>RTD("nest.scriprtd",,"nse_cm|1090NFL26-NB","LTP")</f>
        <v>1044.3399999999999</v>
      </c>
      <c r="I636" t="str">
        <f>RTD("nest.scriprtd",,"nse_cm|1090NFL26-NB","LTT")</f>
        <v/>
      </c>
      <c r="J636">
        <f>RTD("nest.scriprtd",,"nse_cm|1090NFL26-NB","% Change")</f>
        <v>0</v>
      </c>
      <c r="K636">
        <f>RTD("nest.scriprtd",,"nse_cm|1090NFL26-NB","ATP")</f>
        <v>0</v>
      </c>
      <c r="L636">
        <f>RTD("nest.scriprtd",,"nse_cm|1090NFL26-NB","Volume Traded Today")</f>
        <v>0</v>
      </c>
      <c r="M636">
        <f>RTD("nest.scriprtd",,"nse_cm|1090NFL26-NB","Open")</f>
        <v>0</v>
      </c>
      <c r="N636">
        <f>RTD("nest.scriprtd",,"nse_cm|1090NFL26-NB","High")</f>
        <v>1044.3399999999999</v>
      </c>
      <c r="O636">
        <f>RTD("nest.scriprtd",,"nse_cm|1090NFL26-NB","Low ")</f>
        <v>1044.3399999999999</v>
      </c>
      <c r="P636">
        <f>RTD("nest.scriprtd",,"nse_cm|1090NFL26-NB","Prev Close")</f>
        <v>1044.3399999999999</v>
      </c>
      <c r="Q636">
        <f>RTD("nest.scriprtd",,"nse_cm|1090NFL26-NB","Face Value")</f>
        <v>1000</v>
      </c>
      <c r="R636" t="str">
        <f>RTD("nest.scriprtd",,"nse_cm|1090NFL26-NB","Isin code")</f>
        <v>INE342T07452</v>
      </c>
      <c r="S636" s="9">
        <f>Table1[[#This Row],[Ask Rate]]*Table1[[#This Row],[Ask Qty]]</f>
        <v>0</v>
      </c>
      <c r="T636">
        <f>VLOOKUP(Table1[[#This Row],[Isin code]],Table2[#All],7,FALSE)</f>
        <v>10.9</v>
      </c>
      <c r="U636" s="17" t="str">
        <f>VLOOKUP(Table1[[#This Row],[Isin code]],Table2[#All],8,FALSE)</f>
        <v>13-Jun-2026</v>
      </c>
      <c r="V636" s="10">
        <f ca="1">Table1[[#This Row],[Maturity]]-TODAY()</f>
        <v>605</v>
      </c>
      <c r="W636" t="str">
        <f>VLOOKUP(Table1[[#This Row],[Isin code]],Table2[#All],10,FALSE)</f>
        <v>Yearly</v>
      </c>
      <c r="X636">
        <f ca="1">_xlfn.DAYS(Table1[[#This Row],[Maturity]],TODAY())-15</f>
        <v>590</v>
      </c>
      <c r="Y6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36">
        <f>IF(Table1[[#This Row],[Ask Rate]]=0,0,Table1[[#This Row],[Face Value]]-Table1[[#This Row],[Ask Rate]])</f>
        <v>-61.730000000000018</v>
      </c>
      <c r="AA636">
        <f>IF(Table1[[#This Row],[Freq]]="Yearly",Table1[[#This Row],[Coupon_Rate]]/100,IF(Table1[[#This Row],[Freq]]="Monthly",Table1[[#This Row],[Coupon_Rate]]/1200,IF(Table1[[#This Row],[Freq]]="Quarterly",Table1[[#This Row],[Coupon_Rate]]/400,0)))</f>
        <v>0.109</v>
      </c>
      <c r="AB636">
        <f ca="1">Table1[[#This Row],[Face Value]]*Table1[[#This Row],[Rate]]*Table1[[#This Row],[Time]]</f>
        <v>218</v>
      </c>
      <c r="AC636">
        <f ca="1">Table1[[#This Row],[SI]]+Table1[[#This Row],[Disc/Prem]]</f>
        <v>156.26999999999998</v>
      </c>
      <c r="AD636" s="3">
        <f ca="1">Table1[[#This Row],[Net Gain]]/Table1[[#This Row],[Ask Rate]]</f>
        <v>0.14718431239580682</v>
      </c>
      <c r="AE636" s="3">
        <f>IF(Table1[[#This Row],[Ask Qty]]=0,0,Table1[[#This Row],[Gross Yield]]*365/Table1[[#This Row],[Days Left]])</f>
        <v>0</v>
      </c>
      <c r="AF636" s="9">
        <f ca="1">+Table1[[#This Row],[Net Gain]]*Table1[[#This Row],[Ask Qty]]</f>
        <v>0</v>
      </c>
      <c r="AG636" t="str">
        <f>IF(Table1[[#This Row],[YTM]]&gt;0.12,IF(Table1[[#This Row],[Gross Profit]]&gt;10000,"Invest","Review"),"Low YTM")</f>
        <v>Low YTM</v>
      </c>
    </row>
    <row r="637" spans="1:33" x14ac:dyDescent="0.3">
      <c r="A637" t="str">
        <f>RTD("nest.scriprtd",,"nse_cm|905SC24B-Z9","Symbol")</f>
        <v>905SC24B</v>
      </c>
      <c r="B637" t="str">
        <f>RTD("nest.scriprtd",,"nse_cm|905SC24B-Z9","Trading Symbol")</f>
        <v>905SC24B-Z9</v>
      </c>
      <c r="C637" t="str">
        <f>RTD("nest.scriprtd",,"nse_cm|905SC24B-Z9","Exchange")</f>
        <v>NSE</v>
      </c>
      <c r="D637">
        <f>RTD("nest.scriprtd",,"nse_cm|905SC24B-Z9","Bid Qty")</f>
        <v>3</v>
      </c>
      <c r="E637">
        <f>RTD("nest.scriprtd",,"nse_cm|905SC24B-Z9","Bid Rate")</f>
        <v>900.3</v>
      </c>
      <c r="F637">
        <f>RTD("nest.scriprtd",,"nse_cm|905SC24B-Z9","Ask Rate")</f>
        <v>0</v>
      </c>
      <c r="G637">
        <f>RTD("nest.scriprtd",,"nse_cm|905SC24B-Z9","Ask Qty")</f>
        <v>0</v>
      </c>
      <c r="H637">
        <f>RTD("nest.scriprtd",,"nse_cm|905SC24B-Z9","LTP")</f>
        <v>945</v>
      </c>
      <c r="I637" t="str">
        <f>RTD("nest.scriprtd",,"nse_cm|905SC24B-Z9","LTT")</f>
        <v/>
      </c>
      <c r="J637">
        <f>RTD("nest.scriprtd",,"nse_cm|905SC24B-Z9","% Change")</f>
        <v>0</v>
      </c>
      <c r="K637">
        <f>RTD("nest.scriprtd",,"nse_cm|905SC24B-Z9","ATP")</f>
        <v>0</v>
      </c>
      <c r="L637">
        <f>RTD("nest.scriprtd",,"nse_cm|905SC24B-Z9","Volume Traded Today")</f>
        <v>0</v>
      </c>
      <c r="M637">
        <f>RTD("nest.scriprtd",,"nse_cm|905SC24B-Z9","Open")</f>
        <v>0</v>
      </c>
      <c r="N637">
        <f>RTD("nest.scriprtd",,"nse_cm|905SC24B-Z9","High")</f>
        <v>945</v>
      </c>
      <c r="O637">
        <f>RTD("nest.scriprtd",,"nse_cm|905SC24B-Z9","Low ")</f>
        <v>945</v>
      </c>
      <c r="P637">
        <f>RTD("nest.scriprtd",,"nse_cm|905SC24B-Z9","Prev Close")</f>
        <v>945</v>
      </c>
      <c r="Q637">
        <f>RTD("nest.scriprtd",,"nse_cm|905SC24B-Z9","Face Value")</f>
        <v>1000</v>
      </c>
      <c r="R637" t="str">
        <f>RTD("nest.scriprtd",,"nse_cm|905SC24B-Z9","Isin code")</f>
        <v>INE148I07ML1</v>
      </c>
      <c r="S637" s="9">
        <f>Table1[[#This Row],[Ask Rate]]*Table1[[#This Row],[Ask Qty]]</f>
        <v>0</v>
      </c>
      <c r="T637">
        <f>VLOOKUP(Table1[[#This Row],[Isin code]],Table2[#All],7,FALSE)</f>
        <v>9.15</v>
      </c>
      <c r="U637" s="17">
        <f>VLOOKUP(Table1[[#This Row],[Isin code]],Table2[#All],8,FALSE)</f>
        <v>46658</v>
      </c>
      <c r="V637" s="10">
        <f ca="1">Table1[[#This Row],[Maturity]]-TODAY()</f>
        <v>1077</v>
      </c>
      <c r="W637" t="str">
        <f>VLOOKUP(Table1[[#This Row],[Isin code]],Table2[#All],10,FALSE)</f>
        <v>Monthly</v>
      </c>
      <c r="X637">
        <f ca="1">_xlfn.DAYS(Table1[[#This Row],[Maturity]],TODAY())-15</f>
        <v>1062</v>
      </c>
      <c r="Y6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36</v>
      </c>
      <c r="Z637">
        <f>IF(Table1[[#This Row],[Ask Rate]]=0,0,Table1[[#This Row],[Face Value]]-Table1[[#This Row],[Ask Rate]])</f>
        <v>0</v>
      </c>
      <c r="AA637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637">
        <f ca="1">Table1[[#This Row],[Face Value]]*Table1[[#This Row],[Rate]]*Table1[[#This Row],[Time]]</f>
        <v>274.50000000000006</v>
      </c>
      <c r="AC637">
        <f ca="1">Table1[[#This Row],[SI]]+Table1[[#This Row],[Disc/Prem]]</f>
        <v>274.50000000000006</v>
      </c>
      <c r="AD637" s="3" t="e">
        <f ca="1">Table1[[#This Row],[Net Gain]]/Table1[[#This Row],[Ask Rate]]</f>
        <v>#DIV/0!</v>
      </c>
      <c r="AE637" s="3">
        <f>IF(Table1[[#This Row],[Ask Qty]]=0,0,Table1[[#This Row],[Gross Yield]]*365/Table1[[#This Row],[Days Left]])</f>
        <v>0</v>
      </c>
      <c r="AF637" s="9">
        <f ca="1">+Table1[[#This Row],[Net Gain]]*Table1[[#This Row],[Ask Qty]]</f>
        <v>0</v>
      </c>
      <c r="AG637" t="str">
        <f>IF(Table1[[#This Row],[YTM]]&gt;0.12,IF(Table1[[#This Row],[Gross Profit]]&gt;10000,"Invest","Review"),"Low YTM")</f>
        <v>Low YTM</v>
      </c>
    </row>
    <row r="638" spans="1:33" x14ac:dyDescent="0.3">
      <c r="A638" t="str">
        <f>RTD("nest.scriprtd",,"bse_cm|1025KFL25","Symbol")</f>
        <v>1025KFL25</v>
      </c>
      <c r="B638" t="str">
        <f>RTD("nest.scriprtd",,"bse_cm|1025KFL25","Trading Symbol")</f>
        <v>1025KFL25</v>
      </c>
      <c r="C638" t="str">
        <f>RTD("nest.scriprtd",,"bse_cm|1025KFL25","Exchange")</f>
        <v>BSE</v>
      </c>
      <c r="D638">
        <f>RTD("nest.scriprtd",,"bse_cm|1025KFL25","Bid Qty")</f>
        <v>10</v>
      </c>
      <c r="E638">
        <f>RTD("nest.scriprtd",,"bse_cm|1025KFL25","Bid Rate")</f>
        <v>850.2</v>
      </c>
      <c r="F638">
        <f>RTD("nest.scriprtd",,"bse_cm|1025KFL25","Ask Rate")</f>
        <v>0</v>
      </c>
      <c r="G638">
        <f>RTD("nest.scriprtd",,"bse_cm|1025KFL25","Ask Qty")</f>
        <v>0</v>
      </c>
      <c r="H638">
        <f>RTD("nest.scriprtd",,"bse_cm|1025KFL25","LTP")</f>
        <v>0</v>
      </c>
      <c r="I638" t="str">
        <f>RTD("nest.scriprtd",,"bse_cm|1025KFL25","LTT")</f>
        <v>00:00:00</v>
      </c>
      <c r="J638">
        <f>RTD("nest.scriprtd",,"bse_cm|1025KFL25","% Change")</f>
        <v>-100</v>
      </c>
      <c r="K638">
        <f>RTD("nest.scriprtd",,"bse_cm|1025KFL25","ATP")</f>
        <v>0</v>
      </c>
      <c r="L638">
        <f>RTD("nest.scriprtd",,"bse_cm|1025KFL25","Volume Traded Today")</f>
        <v>0</v>
      </c>
      <c r="M638">
        <f>RTD("nest.scriprtd",,"bse_cm|1025KFL25","Open")</f>
        <v>0</v>
      </c>
      <c r="N638">
        <f>RTD("nest.scriprtd",,"bse_cm|1025KFL25","High")</f>
        <v>990</v>
      </c>
      <c r="O638">
        <f>RTD("nest.scriprtd",,"bse_cm|1025KFL25","Low ")</f>
        <v>990</v>
      </c>
      <c r="P638">
        <f>RTD("nest.scriprtd",,"bse_cm|1025KFL25","Prev Close")</f>
        <v>990</v>
      </c>
      <c r="Q638">
        <f>RTD("nest.scriprtd",,"bse_cm|1025KFL25","Face Value")</f>
        <v>1000</v>
      </c>
      <c r="R638" t="str">
        <f>RTD("nest.scriprtd",,"bse_cm|1025KFL25","Isin code")</f>
        <v>INE403Q08118</v>
      </c>
      <c r="S638" s="9">
        <f>Table1[[#This Row],[Ask Rate]]*Table1[[#This Row],[Ask Qty]]</f>
        <v>0</v>
      </c>
      <c r="T638">
        <f>VLOOKUP(Table1[[#This Row],[Isin code]],Table2[#All],7,FALSE)</f>
        <v>10.25</v>
      </c>
      <c r="U638" s="17" t="str">
        <f>VLOOKUP(Table1[[#This Row],[Isin code]],Table2[#All],8,FALSE)</f>
        <v>23-Sep-2025</v>
      </c>
      <c r="V638" s="10">
        <f ca="1">Table1[[#This Row],[Maturity]]-TODAY()</f>
        <v>342</v>
      </c>
      <c r="W638" t="str">
        <f>VLOOKUP(Table1[[#This Row],[Isin code]],Table2[#All],10,FALSE)</f>
        <v>Monthly</v>
      </c>
      <c r="X638">
        <f ca="1">_xlfn.DAYS(Table1[[#This Row],[Maturity]],TODAY())-15</f>
        <v>327</v>
      </c>
      <c r="Y6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638">
        <f>IF(Table1[[#This Row],[Ask Rate]]=0,0,Table1[[#This Row],[Face Value]]-Table1[[#This Row],[Ask Rate]])</f>
        <v>0</v>
      </c>
      <c r="AA638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638">
        <f ca="1">Table1[[#This Row],[Face Value]]*Table1[[#This Row],[Rate]]*Table1[[#This Row],[Time]]</f>
        <v>93.958333333333329</v>
      </c>
      <c r="AC638">
        <f ca="1">Table1[[#This Row],[SI]]+Table1[[#This Row],[Disc/Prem]]</f>
        <v>93.958333333333329</v>
      </c>
      <c r="AD638" s="3" t="e">
        <f ca="1">Table1[[#This Row],[Net Gain]]/Table1[[#This Row],[Ask Rate]]</f>
        <v>#DIV/0!</v>
      </c>
      <c r="AE638" s="3">
        <f>IF(Table1[[#This Row],[Ask Qty]]=0,0,Table1[[#This Row],[Gross Yield]]*365/Table1[[#This Row],[Days Left]])</f>
        <v>0</v>
      </c>
      <c r="AF638" s="9">
        <f ca="1">+Table1[[#This Row],[Net Gain]]*Table1[[#This Row],[Ask Qty]]</f>
        <v>0</v>
      </c>
      <c r="AG638" t="str">
        <f>IF(Table1[[#This Row],[YTM]]&gt;0.12,IF(Table1[[#This Row],[Gross Profit]]&gt;10000,"Invest","Review"),"Low YTM")</f>
        <v>Low YTM</v>
      </c>
    </row>
    <row r="639" spans="1:33" x14ac:dyDescent="0.3">
      <c r="A639" t="str">
        <f>RTD("nest.scriprtd",,"nse_cm|925CAGL26-N9","Symbol")</f>
        <v>925CAGL26</v>
      </c>
      <c r="B639" t="str">
        <f>RTD("nest.scriprtd",,"nse_cm|925CAGL26-N9","Trading Symbol")</f>
        <v>925CAGL26-N9</v>
      </c>
      <c r="C639" t="str">
        <f>RTD("nest.scriprtd",,"nse_cm|925CAGL26-N9","Exchange")</f>
        <v>NSE</v>
      </c>
      <c r="D639">
        <f>RTD("nest.scriprtd",,"nse_cm|925CAGL26-N9","Bid Qty")</f>
        <v>1000</v>
      </c>
      <c r="E639">
        <f>RTD("nest.scriprtd",,"nse_cm|925CAGL26-N9","Bid Rate")</f>
        <v>992.53</v>
      </c>
      <c r="F639">
        <f>RTD("nest.scriprtd",,"nse_cm|925CAGL26-N9","Ask Rate")</f>
        <v>1005</v>
      </c>
      <c r="G639">
        <f>RTD("nest.scriprtd",,"nse_cm|925CAGL26-N9","Ask Qty")</f>
        <v>0</v>
      </c>
      <c r="H639">
        <f>RTD("nest.scriprtd",,"nse_cm|925CAGL26-N9","LTP")</f>
        <v>991.01</v>
      </c>
      <c r="I639" t="str">
        <f>RTD("nest.scriprtd",,"nse_cm|925CAGL26-N9","LTT")</f>
        <v/>
      </c>
      <c r="J639">
        <f>RTD("nest.scriprtd",,"nse_cm|925CAGL26-N9","% Change")</f>
        <v>0</v>
      </c>
      <c r="K639">
        <f>RTD("nest.scriprtd",,"nse_cm|925CAGL26-N9","ATP")</f>
        <v>0</v>
      </c>
      <c r="L639">
        <f>RTD("nest.scriprtd",,"nse_cm|925CAGL26-N9","Volume Traded Today")</f>
        <v>0</v>
      </c>
      <c r="M639">
        <f>RTD("nest.scriprtd",,"nse_cm|925CAGL26-N9","Open")</f>
        <v>0</v>
      </c>
      <c r="N639">
        <f>RTD("nest.scriprtd",,"nse_cm|925CAGL26-N9","High")</f>
        <v>991.01</v>
      </c>
      <c r="O639">
        <f>RTD("nest.scriprtd",,"nse_cm|925CAGL26-N9","Low ")</f>
        <v>991.01</v>
      </c>
      <c r="P639">
        <f>RTD("nest.scriprtd",,"nse_cm|925CAGL26-N9","Prev Close")</f>
        <v>991.01</v>
      </c>
      <c r="Q639">
        <f>RTD("nest.scriprtd",,"nse_cm|925CAGL26-N9","Face Value")</f>
        <v>1000</v>
      </c>
      <c r="R639" t="str">
        <f>RTD("nest.scriprtd",,"nse_cm|925CAGL26-N9","Isin code")</f>
        <v>INE741K07595</v>
      </c>
      <c r="S639" s="9">
        <f>Table1[[#This Row],[Ask Rate]]*Table1[[#This Row],[Ask Qty]]</f>
        <v>0</v>
      </c>
      <c r="T639">
        <f>VLOOKUP(Table1[[#This Row],[Isin code]],Table2[#All],7,FALSE)</f>
        <v>9.25</v>
      </c>
      <c r="U639" s="17" t="str">
        <f>VLOOKUP(Table1[[#This Row],[Isin code]],Table2[#All],8,FALSE)</f>
        <v>07-Jun-2026</v>
      </c>
      <c r="V639" s="10">
        <f ca="1">Table1[[#This Row],[Maturity]]-TODAY()</f>
        <v>599</v>
      </c>
      <c r="W639" t="str">
        <f>VLOOKUP(Table1[[#This Row],[Isin code]],Table2[#All],10,FALSE)</f>
        <v>MONTHLY</v>
      </c>
      <c r="X639">
        <f ca="1">_xlfn.DAYS(Table1[[#This Row],[Maturity]],TODAY())-15</f>
        <v>584</v>
      </c>
      <c r="Y6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639">
        <f>IF(Table1[[#This Row],[Ask Rate]]=0,0,Table1[[#This Row],[Face Value]]-Table1[[#This Row],[Ask Rate]])</f>
        <v>-5</v>
      </c>
      <c r="AA639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639">
        <f ca="1">Table1[[#This Row],[Face Value]]*Table1[[#This Row],[Rate]]*Table1[[#This Row],[Time]]</f>
        <v>154.16666666666669</v>
      </c>
      <c r="AC639">
        <f ca="1">Table1[[#This Row],[SI]]+Table1[[#This Row],[Disc/Prem]]</f>
        <v>149.16666666666669</v>
      </c>
      <c r="AD639" s="3">
        <f ca="1">Table1[[#This Row],[Net Gain]]/Table1[[#This Row],[Ask Rate]]</f>
        <v>0.14842454394693202</v>
      </c>
      <c r="AE639" s="3">
        <f>IF(Table1[[#This Row],[Ask Qty]]=0,0,Table1[[#This Row],[Gross Yield]]*365/Table1[[#This Row],[Days Left]])</f>
        <v>0</v>
      </c>
      <c r="AF639" s="9">
        <f ca="1">+Table1[[#This Row],[Net Gain]]*Table1[[#This Row],[Ask Qty]]</f>
        <v>0</v>
      </c>
      <c r="AG639" t="str">
        <f>IF(Table1[[#This Row],[YTM]]&gt;0.12,IF(Table1[[#This Row],[Gross Profit]]&gt;10000,"Invest","Review"),"Low YTM")</f>
        <v>Low YTM</v>
      </c>
    </row>
    <row r="640" spans="1:33" x14ac:dyDescent="0.3">
      <c r="A640" t="str">
        <f>RTD("nest.scriprtd",,"nse_cm|875IIFL26-NM","Symbol")</f>
        <v>875IIFL26</v>
      </c>
      <c r="B640" t="str">
        <f>RTD("nest.scriprtd",,"nse_cm|875IIFL26-NM","Trading Symbol")</f>
        <v>875IIFL26-NM</v>
      </c>
      <c r="C640" t="str">
        <f>RTD("nest.scriprtd",,"nse_cm|875IIFL26-NM","Exchange")</f>
        <v>NSE</v>
      </c>
      <c r="D640">
        <f>RTD("nest.scriprtd",,"nse_cm|875IIFL26-NM","Bid Qty")</f>
        <v>9</v>
      </c>
      <c r="E640">
        <f>RTD("nest.scriprtd",,"nse_cm|875IIFL26-NM","Bid Rate")</f>
        <v>915</v>
      </c>
      <c r="F640">
        <f>RTD("nest.scriprtd",,"nse_cm|875IIFL26-NM","Ask Rate")</f>
        <v>1040</v>
      </c>
      <c r="G640">
        <f>RTD("nest.scriprtd",,"nse_cm|875IIFL26-NM","Ask Qty")</f>
        <v>0</v>
      </c>
      <c r="H640">
        <f>RTD("nest.scriprtd",,"nse_cm|875IIFL26-NM","LTP")</f>
        <v>979</v>
      </c>
      <c r="I640" t="str">
        <f>RTD("nest.scriprtd",,"nse_cm|875IIFL26-NM","LTT")</f>
        <v/>
      </c>
      <c r="J640">
        <f>RTD("nest.scriprtd",,"nse_cm|875IIFL26-NM","% Change")</f>
        <v>0</v>
      </c>
      <c r="K640">
        <f>RTD("nest.scriprtd",,"nse_cm|875IIFL26-NM","ATP")</f>
        <v>0</v>
      </c>
      <c r="L640">
        <f>RTD("nest.scriprtd",,"nse_cm|875IIFL26-NM","Volume Traded Today")</f>
        <v>0</v>
      </c>
      <c r="M640">
        <f>RTD("nest.scriprtd",,"nse_cm|875IIFL26-NM","Open")</f>
        <v>0</v>
      </c>
      <c r="N640">
        <f>RTD("nest.scriprtd",,"nse_cm|875IIFL26-NM","High")</f>
        <v>979</v>
      </c>
      <c r="O640">
        <f>RTD("nest.scriprtd",,"nse_cm|875IIFL26-NM","Low ")</f>
        <v>979</v>
      </c>
      <c r="P640">
        <f>RTD("nest.scriprtd",,"nse_cm|875IIFL26-NM","Prev Close")</f>
        <v>979</v>
      </c>
      <c r="Q640">
        <f>RTD("nest.scriprtd",,"nse_cm|875IIFL26-NM","Face Value")</f>
        <v>1000</v>
      </c>
      <c r="R640" t="str">
        <f>RTD("nest.scriprtd",,"nse_cm|875IIFL26-NM","Isin code")</f>
        <v>INE530B07179</v>
      </c>
      <c r="S640" s="9">
        <f>Table1[[#This Row],[Ask Rate]]*Table1[[#This Row],[Ask Qty]]</f>
        <v>0</v>
      </c>
      <c r="T640">
        <f>VLOOKUP(Table1[[#This Row],[Isin code]],Table2[#All],7,FALSE)</f>
        <v>8.75</v>
      </c>
      <c r="U640" s="17" t="str">
        <f>VLOOKUP(Table1[[#This Row],[Isin code]],Table2[#All],8,FALSE)</f>
        <v>14-Oct-2026</v>
      </c>
      <c r="V640" s="10">
        <f ca="1">Table1[[#This Row],[Maturity]]-TODAY()</f>
        <v>728</v>
      </c>
      <c r="W640" t="str">
        <f>VLOOKUP(Table1[[#This Row],[Isin code]],Table2[#All],10,FALSE)</f>
        <v>Yearly</v>
      </c>
      <c r="X640">
        <f ca="1">_xlfn.DAYS(Table1[[#This Row],[Maturity]],TODAY())-15</f>
        <v>713</v>
      </c>
      <c r="Y6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40">
        <f>IF(Table1[[#This Row],[Ask Rate]]=0,0,Table1[[#This Row],[Face Value]]-Table1[[#This Row],[Ask Rate]])</f>
        <v>-40</v>
      </c>
      <c r="AA640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640">
        <f ca="1">Table1[[#This Row],[Face Value]]*Table1[[#This Row],[Rate]]*Table1[[#This Row],[Time]]</f>
        <v>175</v>
      </c>
      <c r="AC640">
        <f ca="1">Table1[[#This Row],[SI]]+Table1[[#This Row],[Disc/Prem]]</f>
        <v>135</v>
      </c>
      <c r="AD640" s="3">
        <f ca="1">Table1[[#This Row],[Net Gain]]/Table1[[#This Row],[Ask Rate]]</f>
        <v>0.12980769230769232</v>
      </c>
      <c r="AE640" s="3">
        <f>IF(Table1[[#This Row],[Ask Qty]]=0,0,Table1[[#This Row],[Gross Yield]]*365/Table1[[#This Row],[Days Left]])</f>
        <v>0</v>
      </c>
      <c r="AF640" s="9">
        <f ca="1">+Table1[[#This Row],[Net Gain]]*Table1[[#This Row],[Ask Qty]]</f>
        <v>0</v>
      </c>
      <c r="AG640" t="str">
        <f>IF(Table1[[#This Row],[YTM]]&gt;0.12,IF(Table1[[#This Row],[Gross Profit]]&gt;10000,"Invest","Review"),"Low YTM")</f>
        <v>Low YTM</v>
      </c>
    </row>
    <row r="641" spans="1:33" x14ac:dyDescent="0.3">
      <c r="A641" t="str">
        <f>RTD("nest.scriprtd",,"bse_cm|85KFL25","Symbol")</f>
        <v>85KFL25</v>
      </c>
      <c r="B641" t="str">
        <f>RTD("nest.scriprtd",,"bse_cm|85KFL25","Trading Symbol")</f>
        <v>85KFL25</v>
      </c>
      <c r="C641" t="str">
        <f>RTD("nest.scriprtd",,"bse_cm|85KFL25","Exchange")</f>
        <v>BSE</v>
      </c>
      <c r="D641">
        <f>RTD("nest.scriprtd",,"bse_cm|85KFL25","Bid Qty")</f>
        <v>20</v>
      </c>
      <c r="E641">
        <f>RTD("nest.scriprtd",,"bse_cm|85KFL25","Bid Rate")</f>
        <v>860.2</v>
      </c>
      <c r="F641">
        <f>RTD("nest.scriprtd",,"bse_cm|85KFL25","Ask Rate")</f>
        <v>0</v>
      </c>
      <c r="G641">
        <f>RTD("nest.scriprtd",,"bse_cm|85KFL25","Ask Qty")</f>
        <v>0</v>
      </c>
      <c r="H641">
        <f>RTD("nest.scriprtd",,"bse_cm|85KFL25","LTP")</f>
        <v>0</v>
      </c>
      <c r="I641" t="str">
        <f>RTD("nest.scriprtd",,"bse_cm|85KFL25","LTT")</f>
        <v>00:00:00</v>
      </c>
      <c r="J641">
        <f>RTD("nest.scriprtd",,"bse_cm|85KFL25","% Change")</f>
        <v>-100</v>
      </c>
      <c r="K641">
        <f>RTD("nest.scriprtd",,"bse_cm|85KFL25","ATP")</f>
        <v>0</v>
      </c>
      <c r="L641">
        <f>RTD("nest.scriprtd",,"bse_cm|85KFL25","Volume Traded Today")</f>
        <v>0</v>
      </c>
      <c r="M641">
        <f>RTD("nest.scriprtd",,"bse_cm|85KFL25","Open")</f>
        <v>0</v>
      </c>
      <c r="N641">
        <f>RTD("nest.scriprtd",,"bse_cm|85KFL25","High")</f>
        <v>970</v>
      </c>
      <c r="O641">
        <f>RTD("nest.scriprtd",,"bse_cm|85KFL25","Low ")</f>
        <v>970</v>
      </c>
      <c r="P641">
        <f>RTD("nest.scriprtd",,"bse_cm|85KFL25","Prev Close")</f>
        <v>970</v>
      </c>
      <c r="Q641">
        <f>RTD("nest.scriprtd",,"bse_cm|85KFL25","Face Value")</f>
        <v>1000</v>
      </c>
      <c r="R641" t="str">
        <f>RTD("nest.scriprtd",,"bse_cm|85KFL25","Isin code")</f>
        <v>INE403Q07CR1</v>
      </c>
      <c r="S641" s="9">
        <f>Table1[[#This Row],[Ask Rate]]*Table1[[#This Row],[Ask Qty]]</f>
        <v>0</v>
      </c>
      <c r="T641">
        <f>VLOOKUP(Table1[[#This Row],[Isin code]],Table2[#All],7,FALSE)</f>
        <v>8.5</v>
      </c>
      <c r="U641" s="17" t="str">
        <f>VLOOKUP(Table1[[#This Row],[Isin code]],Table2[#All],8,FALSE)</f>
        <v>10-Aug-2025</v>
      </c>
      <c r="V641" s="10">
        <f ca="1">Table1[[#This Row],[Maturity]]-TODAY()</f>
        <v>298</v>
      </c>
      <c r="W641" t="str">
        <f>VLOOKUP(Table1[[#This Row],[Isin code]],Table2[#All],10,FALSE)</f>
        <v>Monthly</v>
      </c>
      <c r="X641">
        <f ca="1">_xlfn.DAYS(Table1[[#This Row],[Maturity]],TODAY())-15</f>
        <v>283</v>
      </c>
      <c r="Y6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641">
        <f>IF(Table1[[#This Row],[Ask Rate]]=0,0,Table1[[#This Row],[Face Value]]-Table1[[#This Row],[Ask Rate]])</f>
        <v>0</v>
      </c>
      <c r="AA641">
        <f>IF(Table1[[#This Row],[Freq]]="Yearly",Table1[[#This Row],[Coupon_Rate]]/100,IF(Table1[[#This Row],[Freq]]="Monthly",Table1[[#This Row],[Coupon_Rate]]/1200,IF(Table1[[#This Row],[Freq]]="Quarterly",Table1[[#This Row],[Coupon_Rate]]/400,0)))</f>
        <v>7.083333333333333E-3</v>
      </c>
      <c r="AB641">
        <f ca="1">Table1[[#This Row],[Face Value]]*Table1[[#This Row],[Rate]]*Table1[[#This Row],[Time]]</f>
        <v>70.833333333333329</v>
      </c>
      <c r="AC641">
        <f ca="1">Table1[[#This Row],[SI]]+Table1[[#This Row],[Disc/Prem]]</f>
        <v>70.833333333333329</v>
      </c>
      <c r="AD641" s="3" t="e">
        <f ca="1">Table1[[#This Row],[Net Gain]]/Table1[[#This Row],[Ask Rate]]</f>
        <v>#DIV/0!</v>
      </c>
      <c r="AE641" s="3">
        <f>IF(Table1[[#This Row],[Ask Qty]]=0,0,Table1[[#This Row],[Gross Yield]]*365/Table1[[#This Row],[Days Left]])</f>
        <v>0</v>
      </c>
      <c r="AF641" s="9">
        <f ca="1">+Table1[[#This Row],[Net Gain]]*Table1[[#This Row],[Ask Qty]]</f>
        <v>0</v>
      </c>
      <c r="AG641" t="str">
        <f>IF(Table1[[#This Row],[YTM]]&gt;0.12,IF(Table1[[#This Row],[Gross Profit]]&gt;10000,"Invest","Review"),"Low YTM")</f>
        <v>Low YTM</v>
      </c>
    </row>
    <row r="642" spans="1:33" x14ac:dyDescent="0.3">
      <c r="A642" t="str">
        <f>RTD("nest.scriprtd",,"bse_cm|875IIFL26","Symbol")</f>
        <v>875IIFL26</v>
      </c>
      <c r="B642" t="str">
        <f>RTD("nest.scriprtd",,"bse_cm|875IIFL26","Trading Symbol")</f>
        <v>875IIFL26</v>
      </c>
      <c r="C642" t="str">
        <f>RTD("nest.scriprtd",,"bse_cm|875IIFL26","Exchange")</f>
        <v>BSE</v>
      </c>
      <c r="D642">
        <f>RTD("nest.scriprtd",,"bse_cm|875IIFL26","Bid Qty")</f>
        <v>9</v>
      </c>
      <c r="E642">
        <f>RTD("nest.scriprtd",,"bse_cm|875IIFL26","Bid Rate")</f>
        <v>912</v>
      </c>
      <c r="F642">
        <f>RTD("nest.scriprtd",,"bse_cm|875IIFL26","Ask Rate")</f>
        <v>0</v>
      </c>
      <c r="G642">
        <f>RTD("nest.scriprtd",,"bse_cm|875IIFL26","Ask Qty")</f>
        <v>0</v>
      </c>
      <c r="H642">
        <f>RTD("nest.scriprtd",,"bse_cm|875IIFL26","LTP")</f>
        <v>0</v>
      </c>
      <c r="I642" t="str">
        <f>RTD("nest.scriprtd",,"bse_cm|875IIFL26","LTT")</f>
        <v>00:00:00</v>
      </c>
      <c r="J642">
        <f>RTD("nest.scriprtd",,"bse_cm|875IIFL26","% Change")</f>
        <v>-100</v>
      </c>
      <c r="K642">
        <f>RTD("nest.scriprtd",,"bse_cm|875IIFL26","ATP")</f>
        <v>0</v>
      </c>
      <c r="L642">
        <f>RTD("nest.scriprtd",,"bse_cm|875IIFL26","Volume Traded Today")</f>
        <v>0</v>
      </c>
      <c r="M642">
        <f>RTD("nest.scriprtd",,"bse_cm|875IIFL26","Open")</f>
        <v>0</v>
      </c>
      <c r="N642">
        <f>RTD("nest.scriprtd",,"bse_cm|875IIFL26","High")</f>
        <v>965</v>
      </c>
      <c r="O642">
        <f>RTD("nest.scriprtd",,"bse_cm|875IIFL26","Low ")</f>
        <v>964.8</v>
      </c>
      <c r="P642">
        <f>RTD("nest.scriprtd",,"bse_cm|875IIFL26","Prev Close")</f>
        <v>964.8</v>
      </c>
      <c r="Q642">
        <f>RTD("nest.scriprtd",,"bse_cm|875IIFL26","Face Value")</f>
        <v>1000</v>
      </c>
      <c r="R642" t="str">
        <f>RTD("nest.scriprtd",,"bse_cm|875IIFL26","Isin code")</f>
        <v>INE530B07179</v>
      </c>
      <c r="S642" s="9">
        <f>Table1[[#This Row],[Ask Rate]]*Table1[[#This Row],[Ask Qty]]</f>
        <v>0</v>
      </c>
      <c r="T642">
        <f>VLOOKUP(Table1[[#This Row],[Isin code]],Table2[#All],7,FALSE)</f>
        <v>8.75</v>
      </c>
      <c r="U642" s="17" t="str">
        <f>VLOOKUP(Table1[[#This Row],[Isin code]],Table2[#All],8,FALSE)</f>
        <v>14-Oct-2026</v>
      </c>
      <c r="V642" s="10">
        <f ca="1">Table1[[#This Row],[Maturity]]-TODAY()</f>
        <v>728</v>
      </c>
      <c r="W642" t="str">
        <f>VLOOKUP(Table1[[#This Row],[Isin code]],Table2[#All],10,FALSE)</f>
        <v>Yearly</v>
      </c>
      <c r="X642">
        <f ca="1">_xlfn.DAYS(Table1[[#This Row],[Maturity]],TODAY())-15</f>
        <v>713</v>
      </c>
      <c r="Y6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42">
        <f>IF(Table1[[#This Row],[Ask Rate]]=0,0,Table1[[#This Row],[Face Value]]-Table1[[#This Row],[Ask Rate]])</f>
        <v>0</v>
      </c>
      <c r="AA642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642">
        <f ca="1">Table1[[#This Row],[Face Value]]*Table1[[#This Row],[Rate]]*Table1[[#This Row],[Time]]</f>
        <v>175</v>
      </c>
      <c r="AC642">
        <f ca="1">Table1[[#This Row],[SI]]+Table1[[#This Row],[Disc/Prem]]</f>
        <v>175</v>
      </c>
      <c r="AD642" s="3" t="e">
        <f ca="1">Table1[[#This Row],[Net Gain]]/Table1[[#This Row],[Ask Rate]]</f>
        <v>#DIV/0!</v>
      </c>
      <c r="AE642" s="3">
        <f>IF(Table1[[#This Row],[Ask Qty]]=0,0,Table1[[#This Row],[Gross Yield]]*365/Table1[[#This Row],[Days Left]])</f>
        <v>0</v>
      </c>
      <c r="AF642" s="9">
        <f ca="1">+Table1[[#This Row],[Net Gain]]*Table1[[#This Row],[Ask Qty]]</f>
        <v>0</v>
      </c>
      <c r="AG642" t="str">
        <f>IF(Table1[[#This Row],[YTM]]&gt;0.12,IF(Table1[[#This Row],[Gross Profit]]&gt;10000,"Invest","Review"),"Low YTM")</f>
        <v>Low YTM</v>
      </c>
    </row>
    <row r="643" spans="1:33" x14ac:dyDescent="0.3">
      <c r="A643" t="str">
        <f>RTD("nest.scriprtd",,"bse_cm|1075NFL25","Symbol")</f>
        <v>1075NFL25</v>
      </c>
      <c r="B643" t="str">
        <f>RTD("nest.scriprtd",,"bse_cm|1075NFL25","Trading Symbol")</f>
        <v>1075NFL25</v>
      </c>
      <c r="C643" t="str">
        <f>RTD("nest.scriprtd",,"bse_cm|1075NFL25","Exchange")</f>
        <v>BSE</v>
      </c>
      <c r="D643">
        <f>RTD("nest.scriprtd",,"bse_cm|1075NFL25","Bid Qty")</f>
        <v>170</v>
      </c>
      <c r="E643">
        <f>RTD("nest.scriprtd",,"bse_cm|1075NFL25","Bid Rate")</f>
        <v>1001.2</v>
      </c>
      <c r="F643">
        <f>RTD("nest.scriprtd",,"bse_cm|1075NFL25","Ask Rate")</f>
        <v>0</v>
      </c>
      <c r="G643">
        <f>RTD("nest.scriprtd",,"bse_cm|1075NFL25","Ask Qty")</f>
        <v>0</v>
      </c>
      <c r="H643">
        <f>RTD("nest.scriprtd",,"bse_cm|1075NFL25","LTP")</f>
        <v>0</v>
      </c>
      <c r="I643" t="str">
        <f>RTD("nest.scriprtd",,"bse_cm|1075NFL25","LTT")</f>
        <v>00:00:00</v>
      </c>
      <c r="J643">
        <f>RTD("nest.scriprtd",,"bse_cm|1075NFL25","% Change")</f>
        <v>-100</v>
      </c>
      <c r="K643">
        <f>RTD("nest.scriprtd",,"bse_cm|1075NFL25","ATP")</f>
        <v>0</v>
      </c>
      <c r="L643">
        <f>RTD("nest.scriprtd",,"bse_cm|1075NFL25","Volume Traded Today")</f>
        <v>0</v>
      </c>
      <c r="M643">
        <f>RTD("nest.scriprtd",,"bse_cm|1075NFL25","Open")</f>
        <v>0</v>
      </c>
      <c r="N643">
        <f>RTD("nest.scriprtd",,"bse_cm|1075NFL25","High")</f>
        <v>1019</v>
      </c>
      <c r="O643">
        <f>RTD("nest.scriprtd",,"bse_cm|1075NFL25","Low ")</f>
        <v>1019</v>
      </c>
      <c r="P643">
        <f>RTD("nest.scriprtd",,"bse_cm|1075NFL25","Prev Close")</f>
        <v>1019</v>
      </c>
      <c r="Q643">
        <f>RTD("nest.scriprtd",,"bse_cm|1075NFL25","Face Value")</f>
        <v>1000</v>
      </c>
      <c r="R643" t="str">
        <f>RTD("nest.scriprtd",,"bse_cm|1075NFL25","Isin code")</f>
        <v>INE342T07395</v>
      </c>
      <c r="S643" s="9">
        <f>Table1[[#This Row],[Ask Rate]]*Table1[[#This Row],[Ask Qty]]</f>
        <v>0</v>
      </c>
      <c r="T643">
        <f>VLOOKUP(Table1[[#This Row],[Isin code]],Table2[#All],7,FALSE)</f>
        <v>10.75</v>
      </c>
      <c r="U643" s="17" t="str">
        <f>VLOOKUP(Table1[[#This Row],[Isin code]],Table2[#All],8,FALSE)</f>
        <v>18-Oct-2025</v>
      </c>
      <c r="V643" s="10">
        <f ca="1">Table1[[#This Row],[Maturity]]-TODAY()</f>
        <v>367</v>
      </c>
      <c r="W643" t="str">
        <f>VLOOKUP(Table1[[#This Row],[Isin code]],Table2[#All],10,FALSE)</f>
        <v>Yearly</v>
      </c>
      <c r="X643">
        <f ca="1">_xlfn.DAYS(Table1[[#This Row],[Maturity]],TODAY())-15</f>
        <v>352</v>
      </c>
      <c r="Y6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43">
        <f>IF(Table1[[#This Row],[Ask Rate]]=0,0,Table1[[#This Row],[Face Value]]-Table1[[#This Row],[Ask Rate]])</f>
        <v>0</v>
      </c>
      <c r="AA643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643">
        <f ca="1">Table1[[#This Row],[Face Value]]*Table1[[#This Row],[Rate]]*Table1[[#This Row],[Time]]</f>
        <v>107.5</v>
      </c>
      <c r="AC643">
        <f ca="1">Table1[[#This Row],[SI]]+Table1[[#This Row],[Disc/Prem]]</f>
        <v>107.5</v>
      </c>
      <c r="AD643" s="3" t="e">
        <f ca="1">Table1[[#This Row],[Net Gain]]/Table1[[#This Row],[Ask Rate]]</f>
        <v>#DIV/0!</v>
      </c>
      <c r="AE643" s="3">
        <f>IF(Table1[[#This Row],[Ask Qty]]=0,0,Table1[[#This Row],[Gross Yield]]*365/Table1[[#This Row],[Days Left]])</f>
        <v>0</v>
      </c>
      <c r="AF643" s="9">
        <f ca="1">+Table1[[#This Row],[Net Gain]]*Table1[[#This Row],[Ask Qty]]</f>
        <v>0</v>
      </c>
      <c r="AG643" t="str">
        <f>IF(Table1[[#This Row],[YTM]]&gt;0.12,IF(Table1[[#This Row],[Gross Profit]]&gt;10000,"Invest","Review"),"Low YTM")</f>
        <v>Low YTM</v>
      </c>
    </row>
    <row r="644" spans="1:33" x14ac:dyDescent="0.3">
      <c r="A644" t="str">
        <f>RTD("nest.scriprtd",,"bse_cm|87SCL27A","Symbol")</f>
        <v>87SCL27A</v>
      </c>
      <c r="B644" t="str">
        <f>RTD("nest.scriprtd",,"bse_cm|87SCL27A","Trading Symbol")</f>
        <v>87SCL27A</v>
      </c>
      <c r="C644" t="str">
        <f>RTD("nest.scriprtd",,"bse_cm|87SCL27A","Exchange")</f>
        <v>BSE</v>
      </c>
      <c r="D644">
        <f>RTD("nest.scriprtd",,"bse_cm|87SCL27A","Bid Qty")</f>
        <v>12</v>
      </c>
      <c r="E644">
        <f>RTD("nest.scriprtd",,"bse_cm|87SCL27A","Bid Rate")</f>
        <v>950.2</v>
      </c>
      <c r="F644">
        <f>RTD("nest.scriprtd",,"bse_cm|87SCL27A","Ask Rate")</f>
        <v>0</v>
      </c>
      <c r="G644">
        <f>RTD("nest.scriprtd",,"bse_cm|87SCL27A","Ask Qty")</f>
        <v>0</v>
      </c>
      <c r="H644">
        <f>RTD("nest.scriprtd",,"bse_cm|87SCL27A","LTP")</f>
        <v>0</v>
      </c>
      <c r="I644" t="str">
        <f>RTD("nest.scriprtd",,"bse_cm|87SCL27A","LTT")</f>
        <v>00:00:00</v>
      </c>
      <c r="J644">
        <f>RTD("nest.scriprtd",,"bse_cm|87SCL27A","% Change")</f>
        <v>-100</v>
      </c>
      <c r="K644">
        <f>RTD("nest.scriprtd",,"bse_cm|87SCL27A","ATP")</f>
        <v>0</v>
      </c>
      <c r="L644">
        <f>RTD("nest.scriprtd",,"bse_cm|87SCL27A","Volume Traded Today")</f>
        <v>0</v>
      </c>
      <c r="M644">
        <f>RTD("nest.scriprtd",,"bse_cm|87SCL27A","Open")</f>
        <v>0</v>
      </c>
      <c r="N644">
        <f>RTD("nest.scriprtd",,"bse_cm|87SCL27A","High")</f>
        <v>970</v>
      </c>
      <c r="O644">
        <f>RTD("nest.scriprtd",,"bse_cm|87SCL27A","Low ")</f>
        <v>970</v>
      </c>
      <c r="P644">
        <f>RTD("nest.scriprtd",,"bse_cm|87SCL27A","Prev Close")</f>
        <v>970</v>
      </c>
      <c r="Q644">
        <f>RTD("nest.scriprtd",,"bse_cm|87SCL27A","Face Value")</f>
        <v>1000</v>
      </c>
      <c r="R644" t="str">
        <f>RTD("nest.scriprtd",,"bse_cm|87SCL27A","Isin code")</f>
        <v>INE148I07MY4</v>
      </c>
      <c r="S644" s="9">
        <f>Table1[[#This Row],[Ask Rate]]*Table1[[#This Row],[Ask Qty]]</f>
        <v>0</v>
      </c>
      <c r="T644">
        <f>VLOOKUP(Table1[[#This Row],[Isin code]],Table2[#All],7,FALSE)</f>
        <v>8.94</v>
      </c>
      <c r="U644" s="17">
        <f>VLOOKUP(Table1[[#This Row],[Isin code]],Table2[#All],8,FALSE)</f>
        <v>45964</v>
      </c>
      <c r="V644" s="10">
        <f ca="1">Table1[[#This Row],[Maturity]]-TODAY()</f>
        <v>383</v>
      </c>
      <c r="W644" t="str">
        <f>VLOOKUP(Table1[[#This Row],[Isin code]],Table2[#All],10,FALSE)</f>
        <v>Monthly</v>
      </c>
      <c r="X644">
        <f ca="1">_xlfn.DAYS(Table1[[#This Row],[Maturity]],TODAY())-15</f>
        <v>368</v>
      </c>
      <c r="Y6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644">
        <f>IF(Table1[[#This Row],[Ask Rate]]=0,0,Table1[[#This Row],[Face Value]]-Table1[[#This Row],[Ask Rate]])</f>
        <v>0</v>
      </c>
      <c r="AA644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7.4499999999999992E-3</v>
      </c>
      <c r="AB644">
        <f ca="1">Table1[[#This Row],[Face Value]]*Table1[[#This Row],[Rate]]*Table1[[#This Row],[Time]]</f>
        <v>96.85</v>
      </c>
      <c r="AC644">
        <f ca="1">Table1[[#This Row],[SI]]+Table1[[#This Row],[Disc/Prem]]</f>
        <v>96.85</v>
      </c>
      <c r="AD644" s="3" t="e">
        <f ca="1">Table1[[#This Row],[Net Gain]]/Table1[[#This Row],[Ask Rate]]</f>
        <v>#DIV/0!</v>
      </c>
      <c r="AE644" s="3">
        <f>IF(Table1[[#This Row],[Ask Qty]]=0,0,Table1[[#This Row],[Gross Yield]]*365/Table1[[#This Row],[Days Left]])</f>
        <v>0</v>
      </c>
      <c r="AF644" s="9">
        <f ca="1">+Table1[[#This Row],[Net Gain]]*Table1[[#This Row],[Ask Qty]]</f>
        <v>0</v>
      </c>
      <c r="AG644" t="str">
        <f>IF(Table1[[#This Row],[YTM]]&gt;0.12,IF(Table1[[#This Row],[Gross Profit]]&gt;10000,"Invest","Review"),"Low YTM")</f>
        <v>Low YTM</v>
      </c>
    </row>
    <row r="645" spans="1:33" hidden="1" x14ac:dyDescent="0.3">
      <c r="A645" t="str">
        <f>RTD("nest.scriprtd",,"bse_cm|894SCL24","Symbol")</f>
        <v>894SCL24</v>
      </c>
      <c r="B645" t="str">
        <f>RTD("nest.scriprtd",,"bse_cm|894SCL24","Trading Symbol")</f>
        <v>894SCL24</v>
      </c>
      <c r="C645" t="str">
        <f>RTD("nest.scriprtd",,"bse_cm|894SCL24","Exchange")</f>
        <v>BSE</v>
      </c>
      <c r="D645">
        <f>RTD("nest.scriprtd",,"bse_cm|894SCL24","Bid Qty")</f>
        <v>7</v>
      </c>
      <c r="E645">
        <f>RTD("nest.scriprtd",,"bse_cm|894SCL24","Bid Rate")</f>
        <v>954</v>
      </c>
      <c r="F645">
        <f>RTD("nest.scriprtd",,"bse_cm|894SCL24","Ask Rate")</f>
        <v>0</v>
      </c>
      <c r="G645">
        <f>RTD("nest.scriprtd",,"bse_cm|894SCL24","Ask Qty")</f>
        <v>0</v>
      </c>
      <c r="H645">
        <f>RTD("nest.scriprtd",,"bse_cm|894SCL24","LTP")</f>
        <v>0</v>
      </c>
      <c r="I645" t="str">
        <f>RTD("nest.scriprtd",,"bse_cm|894SCL24","LTT")</f>
        <v>00:00:00</v>
      </c>
      <c r="J645">
        <f>RTD("nest.scriprtd",,"bse_cm|894SCL24","% Change")</f>
        <v>-100</v>
      </c>
      <c r="K645">
        <f>RTD("nest.scriprtd",,"bse_cm|894SCL24","ATP")</f>
        <v>0</v>
      </c>
      <c r="L645">
        <f>RTD("nest.scriprtd",,"bse_cm|894SCL24","Volume Traded Today")</f>
        <v>0</v>
      </c>
      <c r="M645">
        <f>RTD("nest.scriprtd",,"bse_cm|894SCL24","Open")</f>
        <v>0</v>
      </c>
      <c r="N645">
        <f>RTD("nest.scriprtd",,"bse_cm|894SCL24","High")</f>
        <v>950.2</v>
      </c>
      <c r="O645">
        <f>RTD("nest.scriprtd",,"bse_cm|894SCL24","Low ")</f>
        <v>950.2</v>
      </c>
      <c r="P645">
        <f>RTD("nest.scriprtd",,"bse_cm|894SCL24","Prev Close")</f>
        <v>950.2</v>
      </c>
      <c r="Q645">
        <f>RTD("nest.scriprtd",,"bse_cm|894SCL24","Face Value")</f>
        <v>1000</v>
      </c>
      <c r="R645" t="str">
        <f>RTD("nest.scriprtd",,"bse_cm|894SCL24","Isin code")</f>
        <v>INE148I07NQ8</v>
      </c>
      <c r="S645" s="9">
        <f>Table1[[#This Row],[Ask Rate]]*Table1[[#This Row],[Ask Qty]]</f>
        <v>0</v>
      </c>
      <c r="T645">
        <f>VLOOKUP(Table1[[#This Row],[Isin code]],Table2[#All],7,FALSE)</f>
        <v>8.94</v>
      </c>
      <c r="U645" s="17" t="str">
        <f>VLOOKUP(Table1[[#This Row],[Isin code]],Table2[#All],8,FALSE)</f>
        <v>28-Dec-2024</v>
      </c>
      <c r="V645" s="10">
        <f ca="1">Table1[[#This Row],[Maturity]]-TODAY()</f>
        <v>73</v>
      </c>
      <c r="W645" t="str">
        <f>VLOOKUP(Table1[[#This Row],[Isin code]],Table2[#All],10,FALSE)</f>
        <v>Monthly</v>
      </c>
      <c r="X645">
        <f ca="1">_xlfn.DAYS(Table1[[#This Row],[Maturity]],TODAY())-15</f>
        <v>58</v>
      </c>
      <c r="Y6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45">
        <f>IF(Table1[[#This Row],[Ask Rate]]=0,0,Table1[[#This Row],[Face Value]]-Table1[[#This Row],[Ask Rate]])</f>
        <v>0</v>
      </c>
      <c r="AA645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7.4499999999999992E-3</v>
      </c>
      <c r="AB645">
        <f ca="1">Table1[[#This Row],[Face Value]]*Table1[[#This Row],[Rate]]*Table1[[#This Row],[Time]]</f>
        <v>14.899999999999999</v>
      </c>
      <c r="AC645">
        <f ca="1">Table1[[#This Row],[SI]]+Table1[[#This Row],[Disc/Prem]]</f>
        <v>14.899999999999999</v>
      </c>
      <c r="AD645" s="3" t="e">
        <f ca="1">Table1[[#This Row],[Net Gain]]/Table1[[#This Row],[Ask Rate]]</f>
        <v>#DIV/0!</v>
      </c>
      <c r="AE645" s="3">
        <f>IF(Table1[[#This Row],[Ask Qty]]=0,0,Table1[[#This Row],[Gross Yield]]*365/Table1[[#This Row],[Days Left]])</f>
        <v>0</v>
      </c>
      <c r="AF645" s="9">
        <f ca="1">+Table1[[#This Row],[Net Gain]]*Table1[[#This Row],[Ask Qty]]</f>
        <v>0</v>
      </c>
      <c r="AG645" t="str">
        <f>IF(Table1[[#This Row],[YTM]]&gt;0.12,IF(Table1[[#This Row],[Gross Profit]]&gt;10000,"Invest","Review"),"Low YTM")</f>
        <v>Low YTM</v>
      </c>
    </row>
    <row r="646" spans="1:33" x14ac:dyDescent="0.3">
      <c r="A646" t="str">
        <f>RTD("nest.scriprtd",,"bse_cm|975IML26","Symbol")</f>
        <v>975IML26</v>
      </c>
      <c r="B646" t="str">
        <f>RTD("nest.scriprtd",,"bse_cm|975IML26","Trading Symbol")</f>
        <v>975IML26</v>
      </c>
      <c r="C646" t="str">
        <f>RTD("nest.scriprtd",,"bse_cm|975IML26","Exchange")</f>
        <v>BSE</v>
      </c>
      <c r="D646">
        <f>RTD("nest.scriprtd",,"bse_cm|975IML26","Bid Qty")</f>
        <v>10</v>
      </c>
      <c r="E646">
        <f>RTD("nest.scriprtd",,"bse_cm|975IML26","Bid Rate")</f>
        <v>861.7</v>
      </c>
      <c r="F646">
        <f>RTD("nest.scriprtd",,"bse_cm|975IML26","Ask Rate")</f>
        <v>0</v>
      </c>
      <c r="G646">
        <f>RTD("nest.scriprtd",,"bse_cm|975IML26","Ask Qty")</f>
        <v>0</v>
      </c>
      <c r="H646">
        <f>RTD("nest.scriprtd",,"bse_cm|975IML26","LTP")</f>
        <v>0</v>
      </c>
      <c r="I646" t="str">
        <f>RTD("nest.scriprtd",,"bse_cm|975IML26","LTT")</f>
        <v>00:00:00</v>
      </c>
      <c r="J646">
        <f>RTD("nest.scriprtd",,"bse_cm|975IML26","% Change")</f>
        <v>-100</v>
      </c>
      <c r="K646">
        <f>RTD("nest.scriprtd",,"bse_cm|975IML26","ATP")</f>
        <v>0</v>
      </c>
      <c r="L646">
        <f>RTD("nest.scriprtd",,"bse_cm|975IML26","Volume Traded Today")</f>
        <v>0</v>
      </c>
      <c r="M646">
        <f>RTD("nest.scriprtd",,"bse_cm|975IML26","Open")</f>
        <v>0</v>
      </c>
      <c r="N646">
        <f>RTD("nest.scriprtd",,"bse_cm|975IML26","High")</f>
        <v>970</v>
      </c>
      <c r="O646">
        <f>RTD("nest.scriprtd",,"bse_cm|975IML26","Low ")</f>
        <v>970</v>
      </c>
      <c r="P646">
        <f>RTD("nest.scriprtd",,"bse_cm|975IML26","Prev Close")</f>
        <v>970</v>
      </c>
      <c r="Q646">
        <f>RTD("nest.scriprtd",,"bse_cm|975IML26","Face Value")</f>
        <v>1000</v>
      </c>
      <c r="R646" t="str">
        <f>RTD("nest.scriprtd",,"bse_cm|975IML26","Isin code")</f>
        <v>INE0BUS07AX7</v>
      </c>
      <c r="S646" s="9">
        <f>Table1[[#This Row],[Ask Rate]]*Table1[[#This Row],[Ask Qty]]</f>
        <v>0</v>
      </c>
      <c r="T646">
        <f>VLOOKUP(Table1[[#This Row],[Isin code]],Table2[#All],7,FALSE)</f>
        <v>9.75</v>
      </c>
      <c r="U646" s="17" t="str">
        <f>VLOOKUP(Table1[[#This Row],[Isin code]],Table2[#All],8,FALSE)</f>
        <v>13-Feb-2026</v>
      </c>
      <c r="V646" s="10">
        <f ca="1">Table1[[#This Row],[Maturity]]-TODAY()</f>
        <v>485</v>
      </c>
      <c r="W646" t="str">
        <f>VLOOKUP(Table1[[#This Row],[Isin code]],Table2[#All],10,FALSE)</f>
        <v>Monthly</v>
      </c>
      <c r="X646">
        <f ca="1">_xlfn.DAYS(Table1[[#This Row],[Maturity]],TODAY())-15</f>
        <v>470</v>
      </c>
      <c r="Y6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16</v>
      </c>
      <c r="Z646">
        <f>IF(Table1[[#This Row],[Ask Rate]]=0,0,Table1[[#This Row],[Face Value]]-Table1[[#This Row],[Ask Rate]])</f>
        <v>0</v>
      </c>
      <c r="AA646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646">
        <f ca="1">Table1[[#This Row],[Face Value]]*Table1[[#This Row],[Rate]]*Table1[[#This Row],[Time]]</f>
        <v>130</v>
      </c>
      <c r="AC646">
        <f ca="1">Table1[[#This Row],[SI]]+Table1[[#This Row],[Disc/Prem]]</f>
        <v>130</v>
      </c>
      <c r="AD646" s="3" t="e">
        <f ca="1">Table1[[#This Row],[Net Gain]]/Table1[[#This Row],[Ask Rate]]</f>
        <v>#DIV/0!</v>
      </c>
      <c r="AE646" s="3">
        <f>IF(Table1[[#This Row],[Ask Qty]]=0,0,Table1[[#This Row],[Gross Yield]]*365/Table1[[#This Row],[Days Left]])</f>
        <v>0</v>
      </c>
      <c r="AF646" s="9">
        <f ca="1">+Table1[[#This Row],[Net Gain]]*Table1[[#This Row],[Ask Qty]]</f>
        <v>0</v>
      </c>
      <c r="AG646" t="str">
        <f>IF(Table1[[#This Row],[YTM]]&gt;0.12,IF(Table1[[#This Row],[Gross Profit]]&gt;10000,"Invest","Review"),"Low YTM")</f>
        <v>Low YTM</v>
      </c>
    </row>
    <row r="647" spans="1:33" x14ac:dyDescent="0.3">
      <c r="A647" t="str">
        <f>RTD("nest.scriprtd",,"nse_cm|860CIFCL28-NG","Symbol")</f>
        <v>860CIFCL28</v>
      </c>
      <c r="B647" t="str">
        <f>RTD("nest.scriprtd",,"nse_cm|860CIFCL28-NG","Trading Symbol")</f>
        <v>860CIFCL28-NG</v>
      </c>
      <c r="C647" t="str">
        <f>RTD("nest.scriprtd",,"nse_cm|860CIFCL28-NG","Exchange")</f>
        <v>NSE</v>
      </c>
      <c r="D647">
        <f>RTD("nest.scriprtd",,"nse_cm|860CIFCL28-NG","Bid Qty")</f>
        <v>1500</v>
      </c>
      <c r="E647">
        <f>RTD("nest.scriprtd",,"nse_cm|860CIFCL28-NG","Bid Rate")</f>
        <v>1054.02</v>
      </c>
      <c r="F647">
        <f>RTD("nest.scriprtd",,"nse_cm|860CIFCL28-NG","Ask Rate")</f>
        <v>0</v>
      </c>
      <c r="G647">
        <f>RTD("nest.scriprtd",,"nse_cm|860CIFCL28-NG","Ask Qty")</f>
        <v>0</v>
      </c>
      <c r="H647">
        <f>RTD("nest.scriprtd",,"nse_cm|860CIFCL28-NG","LTP")</f>
        <v>1053</v>
      </c>
      <c r="I647" t="str">
        <f>RTD("nest.scriprtd",,"nse_cm|860CIFCL28-NG","LTT")</f>
        <v/>
      </c>
      <c r="J647">
        <f>RTD("nest.scriprtd",,"nse_cm|860CIFCL28-NG","% Change")</f>
        <v>0</v>
      </c>
      <c r="K647">
        <f>RTD("nest.scriprtd",,"nse_cm|860CIFCL28-NG","ATP")</f>
        <v>0</v>
      </c>
      <c r="L647">
        <f>RTD("nest.scriprtd",,"nse_cm|860CIFCL28-NG","Volume Traded Today")</f>
        <v>0</v>
      </c>
      <c r="M647">
        <f>RTD("nest.scriprtd",,"nse_cm|860CIFCL28-NG","Open")</f>
        <v>0</v>
      </c>
      <c r="N647">
        <f>RTD("nest.scriprtd",,"nse_cm|860CIFCL28-NG","High")</f>
        <v>1053</v>
      </c>
      <c r="O647">
        <f>RTD("nest.scriprtd",,"nse_cm|860CIFCL28-NG","Low ")</f>
        <v>1052</v>
      </c>
      <c r="P647">
        <f>RTD("nest.scriprtd",,"nse_cm|860CIFCL28-NG","Prev Close")</f>
        <v>1053</v>
      </c>
      <c r="Q647">
        <f>RTD("nest.scriprtd",,"nse_cm|860CIFCL28-NG","Face Value")</f>
        <v>1000</v>
      </c>
      <c r="R647" t="str">
        <f>RTD("nest.scriprtd",,"nse_cm|860CIFCL28-NG","Isin code")</f>
        <v>INE121A07RM2</v>
      </c>
      <c r="S647" s="9">
        <f>Table1[[#This Row],[Ask Rate]]*Table1[[#This Row],[Ask Qty]]</f>
        <v>0</v>
      </c>
      <c r="T647">
        <f>VLOOKUP(Table1[[#This Row],[Isin code]],Table2[#All],7,FALSE)</f>
        <v>8.6</v>
      </c>
      <c r="U647" s="17" t="str">
        <f>VLOOKUP(Table1[[#This Row],[Isin code]],Table2[#All],8,FALSE)</f>
        <v>07-Dec-2028</v>
      </c>
      <c r="V647" s="10">
        <f ca="1">Table1[[#This Row],[Maturity]]-TODAY()</f>
        <v>1513</v>
      </c>
      <c r="W647" t="str">
        <f>VLOOKUP(Table1[[#This Row],[Isin code]],Table2[#All],10,FALSE)</f>
        <v>Yearly</v>
      </c>
      <c r="X647">
        <f ca="1">_xlfn.DAYS(Table1[[#This Row],[Maturity]],TODAY())-15</f>
        <v>1498</v>
      </c>
      <c r="Y6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647">
        <f>IF(Table1[[#This Row],[Ask Rate]]=0,0,Table1[[#This Row],[Face Value]]-Table1[[#This Row],[Ask Rate]])</f>
        <v>0</v>
      </c>
      <c r="AA647">
        <f>IF(Table1[[#This Row],[Freq]]="Yearly",Table1[[#This Row],[Coupon_Rate]]/100,IF(Table1[[#This Row],[Freq]]="Monthly",Table1[[#This Row],[Coupon_Rate]]/1200,IF(Table1[[#This Row],[Freq]]="Quarterly",Table1[[#This Row],[Coupon_Rate]]/400,0)))</f>
        <v>8.5999999999999993E-2</v>
      </c>
      <c r="AB647">
        <f ca="1">Table1[[#This Row],[Face Value]]*Table1[[#This Row],[Rate]]*Table1[[#This Row],[Time]]</f>
        <v>430</v>
      </c>
      <c r="AC647">
        <f ca="1">Table1[[#This Row],[SI]]+Table1[[#This Row],[Disc/Prem]]</f>
        <v>430</v>
      </c>
      <c r="AD647" s="3" t="e">
        <f ca="1">Table1[[#This Row],[Net Gain]]/Table1[[#This Row],[Ask Rate]]</f>
        <v>#DIV/0!</v>
      </c>
      <c r="AE647" s="3">
        <f>IF(Table1[[#This Row],[Ask Qty]]=0,0,Table1[[#This Row],[Gross Yield]]*365/Table1[[#This Row],[Days Left]])</f>
        <v>0</v>
      </c>
      <c r="AF647" s="9">
        <f ca="1">+Table1[[#This Row],[Net Gain]]*Table1[[#This Row],[Ask Qty]]</f>
        <v>0</v>
      </c>
      <c r="AG647" t="str">
        <f>IF(Table1[[#This Row],[YTM]]&gt;0.12,IF(Table1[[#This Row],[Gross Profit]]&gt;10000,"Invest","Review"),"Low YTM")</f>
        <v>Low YTM</v>
      </c>
    </row>
    <row r="648" spans="1:33" x14ac:dyDescent="0.3">
      <c r="A648" t="str">
        <f>RTD("nest.scriprtd",,"bse_cm|MFLII27","Symbol")</f>
        <v>MFLII27</v>
      </c>
      <c r="B648" t="str">
        <f>RTD("nest.scriprtd",,"bse_cm|MFLII27","Trading Symbol")</f>
        <v>MFLII27</v>
      </c>
      <c r="C648" t="str">
        <f>RTD("nest.scriprtd",,"bse_cm|MFLII27","Exchange")</f>
        <v>BSE</v>
      </c>
      <c r="D648">
        <f>RTD("nest.scriprtd",,"bse_cm|MFLII27","Bid Qty")</f>
        <v>180</v>
      </c>
      <c r="E648">
        <f>RTD("nest.scriprtd",,"bse_cm|MFLII27","Bid Rate")</f>
        <v>931.2</v>
      </c>
      <c r="F648">
        <f>RTD("nest.scriprtd",,"bse_cm|MFLII27","Ask Rate")</f>
        <v>0</v>
      </c>
      <c r="G648">
        <f>RTD("nest.scriprtd",,"bse_cm|MFLII27","Ask Qty")</f>
        <v>0</v>
      </c>
      <c r="H648">
        <f>RTD("nest.scriprtd",,"bse_cm|MFLII27","LTP")</f>
        <v>0</v>
      </c>
      <c r="I648" t="str">
        <f>RTD("nest.scriprtd",,"bse_cm|MFLII27","LTT")</f>
        <v>00:00:00</v>
      </c>
      <c r="J648">
        <f>RTD("nest.scriprtd",,"bse_cm|MFLII27","% Change")</f>
        <v>-100</v>
      </c>
      <c r="K648">
        <f>RTD("nest.scriprtd",,"bse_cm|MFLII27","ATP")</f>
        <v>0</v>
      </c>
      <c r="L648">
        <f>RTD("nest.scriprtd",,"bse_cm|MFLII27","Volume Traded Today")</f>
        <v>0</v>
      </c>
      <c r="M648">
        <f>RTD("nest.scriprtd",,"bse_cm|MFLII27","Open")</f>
        <v>0</v>
      </c>
      <c r="N648">
        <f>RTD("nest.scriprtd",,"bse_cm|MFLII27","High")</f>
        <v>956</v>
      </c>
      <c r="O648">
        <f>RTD("nest.scriprtd",,"bse_cm|MFLII27","Low ")</f>
        <v>956</v>
      </c>
      <c r="P648">
        <f>RTD("nest.scriprtd",,"bse_cm|MFLII27","Prev Close")</f>
        <v>956</v>
      </c>
      <c r="Q648">
        <f>RTD("nest.scriprtd",,"bse_cm|MFLII27","Face Value")</f>
        <v>1000</v>
      </c>
      <c r="R648" t="str">
        <f>RTD("nest.scriprtd",,"bse_cm|MFLII27","Isin code")</f>
        <v>INE414G07GM1</v>
      </c>
      <c r="S648" s="9">
        <f>Table1[[#This Row],[Ask Rate]]*Table1[[#This Row],[Ask Qty]]</f>
        <v>0</v>
      </c>
      <c r="T648">
        <f>VLOOKUP(Table1[[#This Row],[Isin code]],Table2[#All],7,FALSE)</f>
        <v>7.0000000000000009</v>
      </c>
      <c r="U648" s="17" t="str">
        <f>VLOOKUP(Table1[[#This Row],[Isin code]],Table2[#All],8,FALSE)</f>
        <v>23-Jun-2027</v>
      </c>
      <c r="V648" s="10">
        <f ca="1">Table1[[#This Row],[Maturity]]-TODAY()</f>
        <v>980</v>
      </c>
      <c r="W648" t="str">
        <f>VLOOKUP(Table1[[#This Row],[Isin code]],Table2[#All],10,FALSE)</f>
        <v>Monthly</v>
      </c>
      <c r="X648">
        <f ca="1">_xlfn.DAYS(Table1[[#This Row],[Maturity]],TODAY())-15</f>
        <v>965</v>
      </c>
      <c r="Y6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33</v>
      </c>
      <c r="Z648">
        <f>IF(Table1[[#This Row],[Ask Rate]]=0,0,Table1[[#This Row],[Face Value]]-Table1[[#This Row],[Ask Rate]])</f>
        <v>0</v>
      </c>
      <c r="AA648">
        <f>IF(Table1[[#This Row],[Freq]]="Yearly",Table1[[#This Row],[Coupon_Rate]]/100,IF(Table1[[#This Row],[Freq]]="Monthly",Table1[[#This Row],[Coupon_Rate]]/1200,IF(Table1[[#This Row],[Freq]]="Quarterly",Table1[[#This Row],[Coupon_Rate]]/400,0)))</f>
        <v>5.8333333333333345E-3</v>
      </c>
      <c r="AB648">
        <f ca="1">Table1[[#This Row],[Face Value]]*Table1[[#This Row],[Rate]]*Table1[[#This Row],[Time]]</f>
        <v>192.50000000000006</v>
      </c>
      <c r="AC648">
        <f ca="1">Table1[[#This Row],[SI]]+Table1[[#This Row],[Disc/Prem]]</f>
        <v>192.50000000000006</v>
      </c>
      <c r="AD648" s="3" t="e">
        <f ca="1">Table1[[#This Row],[Net Gain]]/Table1[[#This Row],[Ask Rate]]</f>
        <v>#DIV/0!</v>
      </c>
      <c r="AE648" s="3">
        <f>IF(Table1[[#This Row],[Ask Qty]]=0,0,Table1[[#This Row],[Gross Yield]]*365/Table1[[#This Row],[Days Left]])</f>
        <v>0</v>
      </c>
      <c r="AF648" s="9">
        <f ca="1">+Table1[[#This Row],[Net Gain]]*Table1[[#This Row],[Ask Qty]]</f>
        <v>0</v>
      </c>
      <c r="AG648" t="str">
        <f>IF(Table1[[#This Row],[YTM]]&gt;0.12,IF(Table1[[#This Row],[Gross Profit]]&gt;10000,"Invest","Review"),"Low YTM")</f>
        <v>Low YTM</v>
      </c>
    </row>
    <row r="649" spans="1:33" x14ac:dyDescent="0.3">
      <c r="A649" t="str">
        <f>RTD("nest.scriprtd",,"bse_cm|775MFLTD25","Symbol")</f>
        <v>775MFLTD25</v>
      </c>
      <c r="B649" t="str">
        <f>RTD("nest.scriprtd",,"bse_cm|775MFLTD25","Trading Symbol")</f>
        <v>775MFLTD25</v>
      </c>
      <c r="C649" t="str">
        <f>RTD("nest.scriprtd",,"bse_cm|775MFLTD25","Exchange")</f>
        <v>BSE</v>
      </c>
      <c r="D649">
        <f>RTD("nest.scriprtd",,"bse_cm|775MFLTD25","Bid Qty")</f>
        <v>190</v>
      </c>
      <c r="E649">
        <f>RTD("nest.scriprtd",,"bse_cm|775MFLTD25","Bid Rate")</f>
        <v>960.2</v>
      </c>
      <c r="F649">
        <f>RTD("nest.scriprtd",,"bse_cm|775MFLTD25","Ask Rate")</f>
        <v>0</v>
      </c>
      <c r="G649">
        <f>RTD("nest.scriprtd",,"bse_cm|775MFLTD25","Ask Qty")</f>
        <v>0</v>
      </c>
      <c r="H649">
        <f>RTD("nest.scriprtd",,"bse_cm|775MFLTD25","LTP")</f>
        <v>0</v>
      </c>
      <c r="I649" t="str">
        <f>RTD("nest.scriprtd",,"bse_cm|775MFLTD25","LTT")</f>
        <v>00:00:00</v>
      </c>
      <c r="J649">
        <f>RTD("nest.scriprtd",,"bse_cm|775MFLTD25","% Change")</f>
        <v>-100</v>
      </c>
      <c r="K649">
        <f>RTD("nest.scriprtd",,"bse_cm|775MFLTD25","ATP")</f>
        <v>0</v>
      </c>
      <c r="L649">
        <f>RTD("nest.scriprtd",,"bse_cm|775MFLTD25","Volume Traded Today")</f>
        <v>0</v>
      </c>
      <c r="M649">
        <f>RTD("nest.scriprtd",,"bse_cm|775MFLTD25","Open")</f>
        <v>0</v>
      </c>
      <c r="N649">
        <f>RTD("nest.scriprtd",,"bse_cm|775MFLTD25","High")</f>
        <v>1057.8599999999999</v>
      </c>
      <c r="O649">
        <f>RTD("nest.scriprtd",,"bse_cm|775MFLTD25","Low ")</f>
        <v>1057.8599999999999</v>
      </c>
      <c r="P649">
        <f>RTD("nest.scriprtd",,"bse_cm|775MFLTD25","Prev Close")</f>
        <v>1057.8599999999999</v>
      </c>
      <c r="Q649">
        <f>RTD("nest.scriprtd",,"bse_cm|775MFLTD25","Face Value")</f>
        <v>1000</v>
      </c>
      <c r="R649" t="str">
        <f>RTD("nest.scriprtd",,"bse_cm|775MFLTD25","Isin code")</f>
        <v>INE414G07IM7</v>
      </c>
      <c r="S649" s="9">
        <f>Table1[[#This Row],[Ask Rate]]*Table1[[#This Row],[Ask Qty]]</f>
        <v>0</v>
      </c>
      <c r="T649">
        <f>VLOOKUP(Table1[[#This Row],[Isin code]],Table2[#All],7,FALSE)</f>
        <v>7.75</v>
      </c>
      <c r="U649" s="17" t="str">
        <f>VLOOKUP(Table1[[#This Row],[Isin code]],Table2[#All],8,FALSE)</f>
        <v>04-Oct-2025</v>
      </c>
      <c r="V649" s="10">
        <f ca="1">Table1[[#This Row],[Maturity]]-TODAY()</f>
        <v>353</v>
      </c>
      <c r="W649" t="str">
        <f>VLOOKUP(Table1[[#This Row],[Isin code]],Table2[#All],10,FALSE)</f>
        <v>Yearly</v>
      </c>
      <c r="X649">
        <f ca="1">_xlfn.DAYS(Table1[[#This Row],[Maturity]],TODAY())-15</f>
        <v>338</v>
      </c>
      <c r="Y6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49">
        <f>IF(Table1[[#This Row],[Ask Rate]]=0,0,Table1[[#This Row],[Face Value]]-Table1[[#This Row],[Ask Rate]])</f>
        <v>0</v>
      </c>
      <c r="AA649">
        <f>IF(Table1[[#This Row],[Freq]]="Yearly",Table1[[#This Row],[Coupon_Rate]]/100,IF(Table1[[#This Row],[Freq]]="Monthly",Table1[[#This Row],[Coupon_Rate]]/1200,IF(Table1[[#This Row],[Freq]]="Quarterly",Table1[[#This Row],[Coupon_Rate]]/400,0)))</f>
        <v>7.7499999999999999E-2</v>
      </c>
      <c r="AB649">
        <f ca="1">Table1[[#This Row],[Face Value]]*Table1[[#This Row],[Rate]]*Table1[[#This Row],[Time]]</f>
        <v>77.5</v>
      </c>
      <c r="AC649">
        <f ca="1">Table1[[#This Row],[SI]]+Table1[[#This Row],[Disc/Prem]]</f>
        <v>77.5</v>
      </c>
      <c r="AD649" s="3" t="e">
        <f ca="1">Table1[[#This Row],[Net Gain]]/Table1[[#This Row],[Ask Rate]]</f>
        <v>#DIV/0!</v>
      </c>
      <c r="AE649" s="3">
        <f>IF(Table1[[#This Row],[Ask Qty]]=0,0,Table1[[#This Row],[Gross Yield]]*365/Table1[[#This Row],[Days Left]])</f>
        <v>0</v>
      </c>
      <c r="AF649" s="9">
        <f ca="1">+Table1[[#This Row],[Net Gain]]*Table1[[#This Row],[Ask Qty]]</f>
        <v>0</v>
      </c>
      <c r="AG649" t="str">
        <f>IF(Table1[[#This Row],[YTM]]&gt;0.12,IF(Table1[[#This Row],[Gross Profit]]&gt;10000,"Invest","Review"),"Low YTM")</f>
        <v>Low YTM</v>
      </c>
    </row>
    <row r="650" spans="1:33" x14ac:dyDescent="0.3">
      <c r="A650" t="str">
        <f>RTD("nest.scriprtd",,"bse_cm|MFLV29E","Symbol")</f>
        <v>MFLV29E</v>
      </c>
      <c r="B650" t="str">
        <f>RTD("nest.scriprtd",,"bse_cm|MFLV29E","Trading Symbol")</f>
        <v>MFLV29E</v>
      </c>
      <c r="C650" t="str">
        <f>RTD("nest.scriprtd",,"bse_cm|MFLV29E","Exchange")</f>
        <v>BSE</v>
      </c>
      <c r="D650">
        <f>RTD("nest.scriprtd",,"bse_cm|MFLV29E","Bid Qty")</f>
        <v>20</v>
      </c>
      <c r="E650">
        <f>RTD("nest.scriprtd",,"bse_cm|MFLV29E","Bid Rate")</f>
        <v>825.2</v>
      </c>
      <c r="F650">
        <f>RTD("nest.scriprtd",,"bse_cm|MFLV29E","Ask Rate")</f>
        <v>0</v>
      </c>
      <c r="G650">
        <f>RTD("nest.scriprtd",,"bse_cm|MFLV29E","Ask Qty")</f>
        <v>0</v>
      </c>
      <c r="H650">
        <f>RTD("nest.scriprtd",,"bse_cm|MFLV29E","LTP")</f>
        <v>0</v>
      </c>
      <c r="I650" t="str">
        <f>RTD("nest.scriprtd",,"bse_cm|MFLV29E","LTT")</f>
        <v>00:00:00</v>
      </c>
      <c r="J650">
        <f>RTD("nest.scriprtd",,"bse_cm|MFLV29E","% Change")</f>
        <v>-100</v>
      </c>
      <c r="K650">
        <f>RTD("nest.scriprtd",,"bse_cm|MFLV29E","ATP")</f>
        <v>0</v>
      </c>
      <c r="L650">
        <f>RTD("nest.scriprtd",,"bse_cm|MFLV29E","Volume Traded Today")</f>
        <v>0</v>
      </c>
      <c r="M650">
        <f>RTD("nest.scriprtd",,"bse_cm|MFLV29E","Open")</f>
        <v>0</v>
      </c>
      <c r="N650">
        <f>RTD("nest.scriprtd",,"bse_cm|MFLV29E","High")</f>
        <v>900</v>
      </c>
      <c r="O650">
        <f>RTD("nest.scriprtd",,"bse_cm|MFLV29E","Low ")</f>
        <v>825.2</v>
      </c>
      <c r="P650">
        <f>RTD("nest.scriprtd",,"bse_cm|MFLV29E","Prev Close")</f>
        <v>862.6</v>
      </c>
      <c r="Q650">
        <f>RTD("nest.scriprtd",,"bse_cm|MFLV29E","Face Value")</f>
        <v>1000</v>
      </c>
      <c r="R650" t="str">
        <f>RTD("nest.scriprtd",,"bse_cm|MFLV29E","Isin code")</f>
        <v>INE414G07GH1</v>
      </c>
      <c r="S650" s="9">
        <f>Table1[[#This Row],[Ask Rate]]*Table1[[#This Row],[Ask Qty]]</f>
        <v>0</v>
      </c>
      <c r="T650">
        <f>VLOOKUP(Table1[[#This Row],[Isin code]],Table2[#All],7,FALSE)</f>
        <v>7.2499999999999991</v>
      </c>
      <c r="U650" s="17" t="str">
        <f>VLOOKUP(Table1[[#This Row],[Isin code]],Table2[#All],8,FALSE)</f>
        <v>05-May-2029</v>
      </c>
      <c r="V650" s="10">
        <f ca="1">Table1[[#This Row],[Maturity]]-TODAY()</f>
        <v>1662</v>
      </c>
      <c r="W650" t="str">
        <f>VLOOKUP(Table1[[#This Row],[Isin code]],Table2[#All],10,FALSE)</f>
        <v>Yearly</v>
      </c>
      <c r="X650">
        <f ca="1">_xlfn.DAYS(Table1[[#This Row],[Maturity]],TODAY())-15</f>
        <v>1647</v>
      </c>
      <c r="Y6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650">
        <f>IF(Table1[[#This Row],[Ask Rate]]=0,0,Table1[[#This Row],[Face Value]]-Table1[[#This Row],[Ask Rate]])</f>
        <v>0</v>
      </c>
      <c r="AA650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7.2499999999999995E-2</v>
      </c>
      <c r="AB650">
        <f ca="1">Table1[[#This Row],[Face Value]]*Table1[[#This Row],[Rate]]*Table1[[#This Row],[Time]]</f>
        <v>362.5</v>
      </c>
      <c r="AC650">
        <f ca="1">Table1[[#This Row],[SI]]+Table1[[#This Row],[Disc/Prem]]</f>
        <v>362.5</v>
      </c>
      <c r="AD650" s="3" t="e">
        <f ca="1">Table1[[#This Row],[Net Gain]]/Table1[[#This Row],[Ask Rate]]</f>
        <v>#DIV/0!</v>
      </c>
      <c r="AE650" s="3">
        <f>IF(Table1[[#This Row],[Ask Qty]]=0,0,Table1[[#This Row],[Gross Yield]]*365/Table1[[#This Row],[Days Left]])</f>
        <v>0</v>
      </c>
      <c r="AF650" s="9">
        <f ca="1">+Table1[[#This Row],[Net Gain]]*Table1[[#This Row],[Ask Qty]]</f>
        <v>0</v>
      </c>
      <c r="AG650" t="str">
        <f>IF(Table1[[#This Row],[YTM]]&gt;0.12,IF(Table1[[#This Row],[Gross Profit]]&gt;10000,"Invest","Review"),"Low YTM")</f>
        <v>Low YTM</v>
      </c>
    </row>
    <row r="651" spans="1:33" x14ac:dyDescent="0.3">
      <c r="A651" t="str">
        <f>RTD("nest.scriprtd",,"bse_cm|810MFL2028","Symbol")</f>
        <v>810MFL2028</v>
      </c>
      <c r="B651" t="str">
        <f>RTD("nest.scriprtd",,"bse_cm|810MFL2028","Trading Symbol")</f>
        <v>810MFL2028</v>
      </c>
      <c r="C651" t="str">
        <f>RTD("nest.scriprtd",,"bse_cm|810MFL2028","Exchange")</f>
        <v>BSE</v>
      </c>
      <c r="D651">
        <f>RTD("nest.scriprtd",,"bse_cm|810MFL2028","Bid Qty")</f>
        <v>20</v>
      </c>
      <c r="E651">
        <f>RTD("nest.scriprtd",,"bse_cm|810MFL2028","Bid Rate")</f>
        <v>950</v>
      </c>
      <c r="F651">
        <f>RTD("nest.scriprtd",,"bse_cm|810MFL2028","Ask Rate")</f>
        <v>0</v>
      </c>
      <c r="G651">
        <f>RTD("nest.scriprtd",,"bse_cm|810MFL2028","Ask Qty")</f>
        <v>0</v>
      </c>
      <c r="H651">
        <f>RTD("nest.scriprtd",,"bse_cm|810MFL2028","LTP")</f>
        <v>0</v>
      </c>
      <c r="I651" t="str">
        <f>RTD("nest.scriprtd",,"bse_cm|810MFL2028","LTT")</f>
        <v>00:00:00</v>
      </c>
      <c r="J651">
        <f>RTD("nest.scriprtd",,"bse_cm|810MFL2028","% Change")</f>
        <v>-100</v>
      </c>
      <c r="K651">
        <f>RTD("nest.scriprtd",,"bse_cm|810MFL2028","ATP")</f>
        <v>0</v>
      </c>
      <c r="L651">
        <f>RTD("nest.scriprtd",,"bse_cm|810MFL2028","Volume Traded Today")</f>
        <v>0</v>
      </c>
      <c r="M651">
        <f>RTD("nest.scriprtd",,"bse_cm|810MFL2028","Open")</f>
        <v>0</v>
      </c>
      <c r="N651">
        <f>RTD("nest.scriprtd",,"bse_cm|810MFL2028","High")</f>
        <v>950</v>
      </c>
      <c r="O651">
        <f>RTD("nest.scriprtd",,"bse_cm|810MFL2028","Low ")</f>
        <v>950</v>
      </c>
      <c r="P651">
        <f>RTD("nest.scriprtd",,"bse_cm|810MFL2028","Prev Close")</f>
        <v>950</v>
      </c>
      <c r="Q651">
        <f>RTD("nest.scriprtd",,"bse_cm|810MFL2028","Face Value")</f>
        <v>1000</v>
      </c>
      <c r="R651" t="str">
        <f>RTD("nest.scriprtd",,"bse_cm|810MFL2028","Isin code")</f>
        <v>INE414G07IC8</v>
      </c>
      <c r="S651" s="9">
        <f>Table1[[#This Row],[Ask Rate]]*Table1[[#This Row],[Ask Qty]]</f>
        <v>0</v>
      </c>
      <c r="T651">
        <f>VLOOKUP(Table1[[#This Row],[Isin code]],Table2[#All],7,FALSE)</f>
        <v>8.1</v>
      </c>
      <c r="U651" s="17" t="str">
        <f>VLOOKUP(Table1[[#This Row],[Isin code]],Table2[#All],8,FALSE)</f>
        <v>03-Jun-2028</v>
      </c>
      <c r="V651" s="10">
        <f ca="1">Table1[[#This Row],[Maturity]]-TODAY()</f>
        <v>1326</v>
      </c>
      <c r="W651" t="str">
        <f>VLOOKUP(Table1[[#This Row],[Isin code]],Table2[#All],10,FALSE)</f>
        <v>Yearly</v>
      </c>
      <c r="X651">
        <f ca="1">_xlfn.DAYS(Table1[[#This Row],[Maturity]],TODAY())-15</f>
        <v>1311</v>
      </c>
      <c r="Y6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651">
        <f>IF(Table1[[#This Row],[Ask Rate]]=0,0,Table1[[#This Row],[Face Value]]-Table1[[#This Row],[Ask Rate]])</f>
        <v>0</v>
      </c>
      <c r="AA651">
        <f>IF(Table1[[#This Row],[Freq]]="Yearly",Table1[[#This Row],[Coupon_Rate]]/100,IF(Table1[[#This Row],[Freq]]="Monthly",Table1[[#This Row],[Coupon_Rate]]/1200,IF(Table1[[#This Row],[Freq]]="Quarterly",Table1[[#This Row],[Coupon_Rate]]/400,0)))</f>
        <v>8.1000000000000003E-2</v>
      </c>
      <c r="AB651">
        <f ca="1">Table1[[#This Row],[Face Value]]*Table1[[#This Row],[Rate]]*Table1[[#This Row],[Time]]</f>
        <v>324</v>
      </c>
      <c r="AC651">
        <f ca="1">Table1[[#This Row],[SI]]+Table1[[#This Row],[Disc/Prem]]</f>
        <v>324</v>
      </c>
      <c r="AD651" s="3" t="e">
        <f ca="1">Table1[[#This Row],[Net Gain]]/Table1[[#This Row],[Ask Rate]]</f>
        <v>#DIV/0!</v>
      </c>
      <c r="AE651" s="3">
        <f>IF(Table1[[#This Row],[Ask Qty]]=0,0,Table1[[#This Row],[Gross Yield]]*365/Table1[[#This Row],[Days Left]])</f>
        <v>0</v>
      </c>
      <c r="AF651" s="9">
        <f ca="1">+Table1[[#This Row],[Net Gain]]*Table1[[#This Row],[Ask Qty]]</f>
        <v>0</v>
      </c>
      <c r="AG651" t="str">
        <f>IF(Table1[[#This Row],[YTM]]&gt;0.12,IF(Table1[[#This Row],[Gross Profit]]&gt;10000,"Invest","Review"),"Low YTM")</f>
        <v>Low YTM</v>
      </c>
    </row>
    <row r="652" spans="1:33" x14ac:dyDescent="0.3">
      <c r="A652" t="str">
        <f>RTD("nest.scriprtd",,"bse_cm|775MFLTD26","Symbol")</f>
        <v>775MFLTD26</v>
      </c>
      <c r="B652" t="str">
        <f>RTD("nest.scriprtd",,"bse_cm|775MFLTD26","Trading Symbol")</f>
        <v>775MFLTD26</v>
      </c>
      <c r="C652" t="str">
        <f>RTD("nest.scriprtd",,"bse_cm|775MFLTD26","Exchange")</f>
        <v>BSE</v>
      </c>
      <c r="D652">
        <f>RTD("nest.scriprtd",,"bse_cm|775MFLTD26","Bid Qty")</f>
        <v>150</v>
      </c>
      <c r="E652">
        <f>RTD("nest.scriprtd",,"bse_cm|775MFLTD26","Bid Rate")</f>
        <v>965.2</v>
      </c>
      <c r="F652">
        <f>RTD("nest.scriprtd",,"bse_cm|775MFLTD26","Ask Rate")</f>
        <v>0</v>
      </c>
      <c r="G652">
        <f>RTD("nest.scriprtd",,"bse_cm|775MFLTD26","Ask Qty")</f>
        <v>0</v>
      </c>
      <c r="H652">
        <f>RTD("nest.scriprtd",,"bse_cm|775MFLTD26","LTP")</f>
        <v>0</v>
      </c>
      <c r="I652" t="str">
        <f>RTD("nest.scriprtd",,"bse_cm|775MFLTD26","LTT")</f>
        <v>00:00:00</v>
      </c>
      <c r="J652">
        <f>RTD("nest.scriprtd",,"bse_cm|775MFLTD26","% Change")</f>
        <v>-100</v>
      </c>
      <c r="K652">
        <f>RTD("nest.scriprtd",,"bse_cm|775MFLTD26","ATP")</f>
        <v>0</v>
      </c>
      <c r="L652">
        <f>RTD("nest.scriprtd",,"bse_cm|775MFLTD26","Volume Traded Today")</f>
        <v>0</v>
      </c>
      <c r="M652">
        <f>RTD("nest.scriprtd",,"bse_cm|775MFLTD26","Open")</f>
        <v>0</v>
      </c>
      <c r="N652">
        <f>RTD("nest.scriprtd",,"bse_cm|775MFLTD26","High")</f>
        <v>999.95</v>
      </c>
      <c r="O652">
        <f>RTD("nest.scriprtd",,"bse_cm|775MFLTD26","Low ")</f>
        <v>985</v>
      </c>
      <c r="P652">
        <f>RTD("nest.scriprtd",,"bse_cm|775MFLTD26","Prev Close")</f>
        <v>999.95</v>
      </c>
      <c r="Q652">
        <f>RTD("nest.scriprtd",,"bse_cm|775MFLTD26","Face Value")</f>
        <v>1000</v>
      </c>
      <c r="R652" t="str">
        <f>RTD("nest.scriprtd",,"bse_cm|775MFLTD26","Isin code")</f>
        <v>INE414G07IK1</v>
      </c>
      <c r="S652" s="9">
        <f>Table1[[#This Row],[Ask Rate]]*Table1[[#This Row],[Ask Qty]]</f>
        <v>0</v>
      </c>
      <c r="T652">
        <f>VLOOKUP(Table1[[#This Row],[Isin code]],Table2[#All],7,FALSE)</f>
        <v>7.75</v>
      </c>
      <c r="U652" s="17" t="str">
        <f>VLOOKUP(Table1[[#This Row],[Isin code]],Table2[#All],8,FALSE)</f>
        <v>04-Oct-2026</v>
      </c>
      <c r="V652" s="10">
        <f ca="1">Table1[[#This Row],[Maturity]]-TODAY()</f>
        <v>718</v>
      </c>
      <c r="W652" t="str">
        <f>VLOOKUP(Table1[[#This Row],[Isin code]],Table2[#All],10,FALSE)</f>
        <v>Monthly</v>
      </c>
      <c r="X652">
        <f ca="1">_xlfn.DAYS(Table1[[#This Row],[Maturity]],TODAY())-15</f>
        <v>703</v>
      </c>
      <c r="Y6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652">
        <f>IF(Table1[[#This Row],[Ask Rate]]=0,0,Table1[[#This Row],[Face Value]]-Table1[[#This Row],[Ask Rate]])</f>
        <v>0</v>
      </c>
      <c r="AA652">
        <f>IF(Table1[[#This Row],[Freq]]="Yearly",Table1[[#This Row],[Coupon_Rate]]/100,IF(Table1[[#This Row],[Freq]]="Monthly",Table1[[#This Row],[Coupon_Rate]]/1200,IF(Table1[[#This Row],[Freq]]="Quarterly",Table1[[#This Row],[Coupon_Rate]]/400,0)))</f>
        <v>6.4583333333333333E-3</v>
      </c>
      <c r="AB652">
        <f ca="1">Table1[[#This Row],[Face Value]]*Table1[[#This Row],[Rate]]*Table1[[#This Row],[Time]]</f>
        <v>155</v>
      </c>
      <c r="AC652">
        <f ca="1">Table1[[#This Row],[SI]]+Table1[[#This Row],[Disc/Prem]]</f>
        <v>155</v>
      </c>
      <c r="AD652" s="3" t="e">
        <f ca="1">Table1[[#This Row],[Net Gain]]/Table1[[#This Row],[Ask Rate]]</f>
        <v>#DIV/0!</v>
      </c>
      <c r="AE652" s="3">
        <f>IF(Table1[[#This Row],[Ask Qty]]=0,0,Table1[[#This Row],[Gross Yield]]*365/Table1[[#This Row],[Days Left]])</f>
        <v>0</v>
      </c>
      <c r="AF652" s="9">
        <f ca="1">+Table1[[#This Row],[Net Gain]]*Table1[[#This Row],[Ask Qty]]</f>
        <v>0</v>
      </c>
      <c r="AG652" t="str">
        <f>IF(Table1[[#This Row],[YTM]]&gt;0.12,IF(Table1[[#This Row],[Gross Profit]]&gt;10000,"Invest","Review"),"Low YTM")</f>
        <v>Low YTM</v>
      </c>
    </row>
    <row r="653" spans="1:33" x14ac:dyDescent="0.3">
      <c r="A653" t="str">
        <f>RTD("nest.scriprtd",,"bse_cm|9SCL25","Symbol")</f>
        <v>9SCL25</v>
      </c>
      <c r="B653" t="str">
        <f>RTD("nest.scriprtd",,"bse_cm|9SCL25","Trading Symbol")</f>
        <v>9SCL25</v>
      </c>
      <c r="C653" t="str">
        <f>RTD("nest.scriprtd",,"bse_cm|9SCL25","Exchange")</f>
        <v>BSE</v>
      </c>
      <c r="D653">
        <f>RTD("nest.scriprtd",,"bse_cm|9SCL25","Bid Qty")</f>
        <v>5</v>
      </c>
      <c r="E653">
        <f>RTD("nest.scriprtd",,"bse_cm|9SCL25","Bid Rate")</f>
        <v>980.25</v>
      </c>
      <c r="F653">
        <f>RTD("nest.scriprtd",,"bse_cm|9SCL25","Ask Rate")</f>
        <v>0</v>
      </c>
      <c r="G653">
        <f>RTD("nest.scriprtd",,"bse_cm|9SCL25","Ask Qty")</f>
        <v>0</v>
      </c>
      <c r="H653">
        <f>RTD("nest.scriprtd",,"bse_cm|9SCL25","LTP")</f>
        <v>0</v>
      </c>
      <c r="I653" t="str">
        <f>RTD("nest.scriprtd",,"bse_cm|9SCL25","LTT")</f>
        <v>00:00:00</v>
      </c>
      <c r="J653">
        <f>RTD("nest.scriprtd",,"bse_cm|9SCL25","% Change")</f>
        <v>-100</v>
      </c>
      <c r="K653">
        <f>RTD("nest.scriprtd",,"bse_cm|9SCL25","ATP")</f>
        <v>0</v>
      </c>
      <c r="L653">
        <f>RTD("nest.scriprtd",,"bse_cm|9SCL25","Volume Traded Today")</f>
        <v>0</v>
      </c>
      <c r="M653">
        <f>RTD("nest.scriprtd",,"bse_cm|9SCL25","Open")</f>
        <v>0</v>
      </c>
      <c r="N653">
        <f>RTD("nest.scriprtd",,"bse_cm|9SCL25","High")</f>
        <v>980.15</v>
      </c>
      <c r="O653">
        <f>RTD("nest.scriprtd",,"bse_cm|9SCL25","Low ")</f>
        <v>980.15</v>
      </c>
      <c r="P653">
        <f>RTD("nest.scriprtd",,"bse_cm|9SCL25","Prev Close")</f>
        <v>980.15</v>
      </c>
      <c r="Q653">
        <f>RTD("nest.scriprtd",,"bse_cm|9SCL25","Face Value")</f>
        <v>1000</v>
      </c>
      <c r="R653" t="str">
        <f>RTD("nest.scriprtd",,"bse_cm|9SCL25","Isin code")</f>
        <v>INE148I07LN9</v>
      </c>
      <c r="S653" s="9">
        <f>Table1[[#This Row],[Ask Rate]]*Table1[[#This Row],[Ask Qty]]</f>
        <v>0</v>
      </c>
      <c r="T653">
        <f>VLOOKUP(Table1[[#This Row],[Isin code]],Table2[#All],7,FALSE)</f>
        <v>9</v>
      </c>
      <c r="U653" s="17" t="str">
        <f>VLOOKUP(Table1[[#This Row],[Isin code]],Table2[#All],8,FALSE)</f>
        <v>28-Apr-2025</v>
      </c>
      <c r="V653" s="10">
        <f ca="1">Table1[[#This Row],[Maturity]]-TODAY()</f>
        <v>194</v>
      </c>
      <c r="W653" t="str">
        <f>VLOOKUP(Table1[[#This Row],[Isin code]],Table2[#All],10,FALSE)</f>
        <v>Yearly</v>
      </c>
      <c r="X653">
        <f ca="1">_xlfn.DAYS(Table1[[#This Row],[Maturity]],TODAY())-15</f>
        <v>179</v>
      </c>
      <c r="Y6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53">
        <f>IF(Table1[[#This Row],[Ask Rate]]=0,0,Table1[[#This Row],[Face Value]]-Table1[[#This Row],[Ask Rate]])</f>
        <v>0</v>
      </c>
      <c r="AA653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653">
        <f ca="1">Table1[[#This Row],[Face Value]]*Table1[[#This Row],[Rate]]*Table1[[#This Row],[Time]]</f>
        <v>90</v>
      </c>
      <c r="AC653">
        <f ca="1">Table1[[#This Row],[SI]]+Table1[[#This Row],[Disc/Prem]]</f>
        <v>90</v>
      </c>
      <c r="AD653" s="3" t="e">
        <f ca="1">Table1[[#This Row],[Net Gain]]/Table1[[#This Row],[Ask Rate]]</f>
        <v>#DIV/0!</v>
      </c>
      <c r="AE653" s="3">
        <f>IF(Table1[[#This Row],[Ask Qty]]=0,0,Table1[[#This Row],[Gross Yield]]*365/Table1[[#This Row],[Days Left]])</f>
        <v>0</v>
      </c>
      <c r="AF653" s="9">
        <f ca="1">+Table1[[#This Row],[Net Gain]]*Table1[[#This Row],[Ask Qty]]</f>
        <v>0</v>
      </c>
      <c r="AG653" t="str">
        <f>IF(Table1[[#This Row],[YTM]]&gt;0.12,IF(Table1[[#This Row],[Gross Profit]]&gt;10000,"Invest","Review"),"Low YTM")</f>
        <v>Low YTM</v>
      </c>
    </row>
    <row r="654" spans="1:33" x14ac:dyDescent="0.3">
      <c r="A654" t="str">
        <f>RTD("nest.scriprtd",,"bse_cm|8MFL26","Symbol")</f>
        <v>8MFL26</v>
      </c>
      <c r="B654" t="str">
        <f>RTD("nest.scriprtd",,"bse_cm|8MFL26","Trading Symbol")</f>
        <v>8MFL26</v>
      </c>
      <c r="C654" t="str">
        <f>RTD("nest.scriprtd",,"bse_cm|8MFL26","Exchange")</f>
        <v>BSE</v>
      </c>
      <c r="D654">
        <f>RTD("nest.scriprtd",,"bse_cm|8MFL26","Bid Qty")</f>
        <v>180</v>
      </c>
      <c r="E654">
        <f>RTD("nest.scriprtd",,"bse_cm|8MFL26","Bid Rate")</f>
        <v>1016.2</v>
      </c>
      <c r="F654">
        <f>RTD("nest.scriprtd",,"bse_cm|8MFL26","Ask Rate")</f>
        <v>0</v>
      </c>
      <c r="G654">
        <f>RTD("nest.scriprtd",,"bse_cm|8MFL26","Ask Qty")</f>
        <v>0</v>
      </c>
      <c r="H654">
        <f>RTD("nest.scriprtd",,"bse_cm|8MFL26","LTP")</f>
        <v>0</v>
      </c>
      <c r="I654" t="str">
        <f>RTD("nest.scriprtd",,"bse_cm|8MFL26","LTT")</f>
        <v>00:00:00</v>
      </c>
      <c r="J654">
        <f>RTD("nest.scriprtd",,"bse_cm|8MFL26","% Change")</f>
        <v>-100</v>
      </c>
      <c r="K654">
        <f>RTD("nest.scriprtd",,"bse_cm|8MFL26","ATP")</f>
        <v>0</v>
      </c>
      <c r="L654">
        <f>RTD("nest.scriprtd",,"bse_cm|8MFL26","Volume Traded Today")</f>
        <v>0</v>
      </c>
      <c r="M654">
        <f>RTD("nest.scriprtd",,"bse_cm|8MFL26","Open")</f>
        <v>0</v>
      </c>
      <c r="N654">
        <f>RTD("nest.scriprtd",,"bse_cm|8MFL26","High")</f>
        <v>1017</v>
      </c>
      <c r="O654">
        <f>RTD("nest.scriprtd",,"bse_cm|8MFL26","Low ")</f>
        <v>1017</v>
      </c>
      <c r="P654">
        <f>RTD("nest.scriprtd",,"bse_cm|8MFL26","Prev Close")</f>
        <v>1017</v>
      </c>
      <c r="Q654">
        <f>RTD("nest.scriprtd",,"bse_cm|8MFL26","Face Value")</f>
        <v>1000</v>
      </c>
      <c r="R654" t="str">
        <f>RTD("nest.scriprtd",,"bse_cm|8MFL26","Isin code")</f>
        <v>INE414G07HR8</v>
      </c>
      <c r="S654" s="9">
        <f>Table1[[#This Row],[Ask Rate]]*Table1[[#This Row],[Ask Qty]]</f>
        <v>0</v>
      </c>
      <c r="T654">
        <f>VLOOKUP(Table1[[#This Row],[Isin code]],Table2[#All],7,FALSE)</f>
        <v>8</v>
      </c>
      <c r="U654" s="17" t="str">
        <f>VLOOKUP(Table1[[#This Row],[Isin code]],Table2[#All],8,FALSE)</f>
        <v>10-Apr-2026</v>
      </c>
      <c r="V654" s="10">
        <f ca="1">Table1[[#This Row],[Maturity]]-TODAY()</f>
        <v>541</v>
      </c>
      <c r="W654" t="str">
        <f>VLOOKUP(Table1[[#This Row],[Isin code]],Table2[#All],10,FALSE)</f>
        <v>Yearly</v>
      </c>
      <c r="X654">
        <f ca="1">_xlfn.DAYS(Table1[[#This Row],[Maturity]],TODAY())-15</f>
        <v>526</v>
      </c>
      <c r="Y6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54">
        <f>IF(Table1[[#This Row],[Ask Rate]]=0,0,Table1[[#This Row],[Face Value]]-Table1[[#This Row],[Ask Rate]])</f>
        <v>0</v>
      </c>
      <c r="AA654">
        <f>IF(Table1[[#This Row],[Freq]]="Yearly",Table1[[#This Row],[Coupon_Rate]]/100,IF(Table1[[#This Row],[Freq]]="Monthly",Table1[[#This Row],[Coupon_Rate]]/1200,IF(Table1[[#This Row],[Freq]]="Quarterly",Table1[[#This Row],[Coupon_Rate]]/400,0)))</f>
        <v>0.08</v>
      </c>
      <c r="AB654">
        <f ca="1">Table1[[#This Row],[Face Value]]*Table1[[#This Row],[Rate]]*Table1[[#This Row],[Time]]</f>
        <v>160</v>
      </c>
      <c r="AC654">
        <f ca="1">Table1[[#This Row],[SI]]+Table1[[#This Row],[Disc/Prem]]</f>
        <v>160</v>
      </c>
      <c r="AD654" s="3" t="e">
        <f ca="1">Table1[[#This Row],[Net Gain]]/Table1[[#This Row],[Ask Rate]]</f>
        <v>#DIV/0!</v>
      </c>
      <c r="AE654" s="3">
        <f>IF(Table1[[#This Row],[Ask Qty]]=0,0,Table1[[#This Row],[Gross Yield]]*365/Table1[[#This Row],[Days Left]])</f>
        <v>0</v>
      </c>
      <c r="AF654" s="9">
        <f ca="1">+Table1[[#This Row],[Net Gain]]*Table1[[#This Row],[Ask Qty]]</f>
        <v>0</v>
      </c>
      <c r="AG654" t="str">
        <f>IF(Table1[[#This Row],[YTM]]&gt;0.12,IF(Table1[[#This Row],[Gross Profit]]&gt;10000,"Invest","Review"),"Low YTM")</f>
        <v>Low YTM</v>
      </c>
    </row>
    <row r="655" spans="1:33" x14ac:dyDescent="0.3">
      <c r="A655" t="str">
        <f>RTD("nest.scriprtd",,"bse_cm|1003ICCL28","Symbol")</f>
        <v>1003ICCL28</v>
      </c>
      <c r="B655" t="str">
        <f>RTD("nest.scriprtd",,"bse_cm|1003ICCL28","Trading Symbol")</f>
        <v>1003ICCL28</v>
      </c>
      <c r="C655" t="str">
        <f>RTD("nest.scriprtd",,"bse_cm|1003ICCL28","Exchange")</f>
        <v>BSE</v>
      </c>
      <c r="D655">
        <f>RTD("nest.scriprtd",,"bse_cm|1003ICCL28","Bid Qty")</f>
        <v>5</v>
      </c>
      <c r="E655">
        <f>RTD("nest.scriprtd",,"bse_cm|1003ICCL28","Bid Rate")</f>
        <v>812.5</v>
      </c>
      <c r="F655">
        <f>RTD("nest.scriprtd",,"bse_cm|1003ICCL28","Ask Rate")</f>
        <v>0</v>
      </c>
      <c r="G655">
        <f>RTD("nest.scriprtd",,"bse_cm|1003ICCL28","Ask Qty")</f>
        <v>0</v>
      </c>
      <c r="H655">
        <f>RTD("nest.scriprtd",,"bse_cm|1003ICCL28","LTP")</f>
        <v>0</v>
      </c>
      <c r="I655" t="str">
        <f>RTD("nest.scriprtd",,"bse_cm|1003ICCL28","LTT")</f>
        <v>00:00:00</v>
      </c>
      <c r="J655">
        <f>RTD("nest.scriprtd",,"bse_cm|1003ICCL28","% Change")</f>
        <v>-100</v>
      </c>
      <c r="K655">
        <f>RTD("nest.scriprtd",,"bse_cm|1003ICCL28","ATP")</f>
        <v>0</v>
      </c>
      <c r="L655">
        <f>RTD("nest.scriprtd",,"bse_cm|1003ICCL28","Volume Traded Today")</f>
        <v>0</v>
      </c>
      <c r="M655">
        <f>RTD("nest.scriprtd",,"bse_cm|1003ICCL28","Open")</f>
        <v>0</v>
      </c>
      <c r="N655">
        <f>RTD("nest.scriprtd",,"bse_cm|1003ICCL28","High")</f>
        <v>942</v>
      </c>
      <c r="O655">
        <f>RTD("nest.scriprtd",,"bse_cm|1003ICCL28","Low ")</f>
        <v>942</v>
      </c>
      <c r="P655">
        <f>RTD("nest.scriprtd",,"bse_cm|1003ICCL28","Prev Close")</f>
        <v>942</v>
      </c>
      <c r="Q655">
        <f>RTD("nest.scriprtd",,"bse_cm|1003ICCL28","Face Value")</f>
        <v>800</v>
      </c>
      <c r="R655" t="str">
        <f>RTD("nest.scriprtd",,"bse_cm|1003ICCL28","Isin code")</f>
        <v>INE244L07556</v>
      </c>
      <c r="S655" s="9">
        <f>Table1[[#This Row],[Ask Rate]]*Table1[[#This Row],[Ask Qty]]</f>
        <v>0</v>
      </c>
      <c r="T655">
        <f>VLOOKUP(Table1[[#This Row],[Isin code]],Table2[#All],7,FALSE)</f>
        <v>10.5</v>
      </c>
      <c r="U655" s="17" t="str">
        <f>VLOOKUP(Table1[[#This Row],[Isin code]],Table2[#All],8,FALSE)</f>
        <v>25-Apr-2028</v>
      </c>
      <c r="V655" s="10">
        <f ca="1">Table1[[#This Row],[Maturity]]-TODAY()</f>
        <v>1287</v>
      </c>
      <c r="W655" t="str">
        <f>VLOOKUP(Table1[[#This Row],[Isin code]],Table2[#All],10,FALSE)</f>
        <v>Yearly</v>
      </c>
      <c r="X655">
        <f ca="1">_xlfn.DAYS(Table1[[#This Row],[Maturity]],TODAY())-15</f>
        <v>1272</v>
      </c>
      <c r="Y6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655">
        <f>IF(Table1[[#This Row],[Ask Rate]]=0,0,Table1[[#This Row],[Face Value]]-Table1[[#This Row],[Ask Rate]])</f>
        <v>0</v>
      </c>
      <c r="AA655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655">
        <f ca="1">Table1[[#This Row],[Face Value]]*Table1[[#This Row],[Rate]]*Table1[[#This Row],[Time]]</f>
        <v>336</v>
      </c>
      <c r="AC655">
        <f ca="1">Table1[[#This Row],[SI]]+Table1[[#This Row],[Disc/Prem]]</f>
        <v>336</v>
      </c>
      <c r="AD655" s="3" t="e">
        <f ca="1">Table1[[#This Row],[Net Gain]]/Table1[[#This Row],[Ask Rate]]</f>
        <v>#DIV/0!</v>
      </c>
      <c r="AE655" s="3">
        <f>IF(Table1[[#This Row],[Ask Qty]]=0,0,Table1[[#This Row],[Gross Yield]]*365/Table1[[#This Row],[Days Left]])</f>
        <v>0</v>
      </c>
      <c r="AF655" s="9">
        <f ca="1">+Table1[[#This Row],[Net Gain]]*Table1[[#This Row],[Ask Qty]]</f>
        <v>0</v>
      </c>
      <c r="AG655" t="str">
        <f>IF(Table1[[#This Row],[YTM]]&gt;0.12,IF(Table1[[#This Row],[Gross Profit]]&gt;10000,"Invest","Review"),"Low YTM")</f>
        <v>Low YTM</v>
      </c>
    </row>
    <row r="656" spans="1:33" x14ac:dyDescent="0.3">
      <c r="A656" t="str">
        <f>RTD("nest.scriprtd",,"bse_cm|1050VCL25","Symbol")</f>
        <v>1050VCL25</v>
      </c>
      <c r="B656" t="str">
        <f>RTD("nest.scriprtd",,"bse_cm|1050VCL25","Trading Symbol")</f>
        <v>1050VCL25</v>
      </c>
      <c r="C656" t="str">
        <f>RTD("nest.scriprtd",,"bse_cm|1050VCL25","Exchange")</f>
        <v>BSE</v>
      </c>
      <c r="D656">
        <f>RTD("nest.scriprtd",,"bse_cm|1050VCL25","Bid Qty")</f>
        <v>18</v>
      </c>
      <c r="E656">
        <f>RTD("nest.scriprtd",,"bse_cm|1050VCL25","Bid Rate")</f>
        <v>970</v>
      </c>
      <c r="F656">
        <f>RTD("nest.scriprtd",,"bse_cm|1050VCL25","Ask Rate")</f>
        <v>0</v>
      </c>
      <c r="G656">
        <f>RTD("nest.scriprtd",,"bse_cm|1050VCL25","Ask Qty")</f>
        <v>0</v>
      </c>
      <c r="H656">
        <f>RTD("nest.scriprtd",,"bse_cm|1050VCL25","LTP")</f>
        <v>0</v>
      </c>
      <c r="I656" t="str">
        <f>RTD("nest.scriprtd",,"bse_cm|1050VCL25","LTT")</f>
        <v>00:00:00</v>
      </c>
      <c r="J656">
        <f>RTD("nest.scriprtd",,"bse_cm|1050VCL25","% Change")</f>
        <v>-100</v>
      </c>
      <c r="K656">
        <f>RTD("nest.scriprtd",,"bse_cm|1050VCL25","ATP")</f>
        <v>0</v>
      </c>
      <c r="L656">
        <f>RTD("nest.scriprtd",,"bse_cm|1050VCL25","Volume Traded Today")</f>
        <v>0</v>
      </c>
      <c r="M656">
        <f>RTD("nest.scriprtd",,"bse_cm|1050VCL25","Open")</f>
        <v>0</v>
      </c>
      <c r="N656">
        <f>RTD("nest.scriprtd",,"bse_cm|1050VCL25","High")</f>
        <v>991</v>
      </c>
      <c r="O656">
        <f>RTD("nest.scriprtd",,"bse_cm|1050VCL25","Low ")</f>
        <v>949</v>
      </c>
      <c r="P656">
        <f>RTD("nest.scriprtd",,"bse_cm|1050VCL25","Prev Close")</f>
        <v>991</v>
      </c>
      <c r="Q656">
        <f>RTD("nest.scriprtd",,"bse_cm|1050VCL25","Face Value")</f>
        <v>1000</v>
      </c>
      <c r="R656" t="str">
        <f>RTD("nest.scriprtd",,"bse_cm|1050VCL25","Isin code")</f>
        <v>INE01HV07445</v>
      </c>
      <c r="S656" s="9">
        <f>Table1[[#This Row],[Ask Rate]]*Table1[[#This Row],[Ask Qty]]</f>
        <v>0</v>
      </c>
      <c r="T656">
        <f>VLOOKUP(Table1[[#This Row],[Isin code]],Table2[#All],7,FALSE)</f>
        <v>10.5</v>
      </c>
      <c r="U656" s="17" t="str">
        <f>VLOOKUP(Table1[[#This Row],[Isin code]],Table2[#All],8,FALSE)</f>
        <v>06-Sep-2025</v>
      </c>
      <c r="V656" s="10">
        <f ca="1">Table1[[#This Row],[Maturity]]-TODAY()</f>
        <v>325</v>
      </c>
      <c r="W656" t="str">
        <f>VLOOKUP(Table1[[#This Row],[Isin code]],Table2[#All],10,FALSE)</f>
        <v>At the End</v>
      </c>
      <c r="X656">
        <f ca="1">_xlfn.DAYS(Table1[[#This Row],[Maturity]],TODAY())-15</f>
        <v>310</v>
      </c>
      <c r="Y65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656">
        <f>IF(Table1[[#This Row],[Ask Rate]]=0,0,Table1[[#This Row],[Face Value]]-Table1[[#This Row],[Ask Rate]])</f>
        <v>0</v>
      </c>
      <c r="AA65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656">
        <f>Table1[[#This Row],[Face Value]]*Table1[[#This Row],[Rate]]*Table1[[#This Row],[Time]]</f>
        <v>0</v>
      </c>
      <c r="AC656">
        <f>Table1[[#This Row],[SI]]+Table1[[#This Row],[Disc/Prem]]</f>
        <v>0</v>
      </c>
      <c r="AD656" s="3" t="e">
        <f>Table1[[#This Row],[Net Gain]]/Table1[[#This Row],[Ask Rate]]</f>
        <v>#DIV/0!</v>
      </c>
      <c r="AE656" s="3">
        <f>IF(Table1[[#This Row],[Ask Qty]]=0,0,Table1[[#This Row],[Gross Yield]]*365/Table1[[#This Row],[Days Left]])</f>
        <v>0</v>
      </c>
      <c r="AF656" s="9">
        <f>+Table1[[#This Row],[Net Gain]]*Table1[[#This Row],[Ask Qty]]</f>
        <v>0</v>
      </c>
      <c r="AG656" t="str">
        <f>IF(Table1[[#This Row],[YTM]]&gt;0.12,IF(Table1[[#This Row],[Gross Profit]]&gt;10000,"Invest","Review"),"Low YTM")</f>
        <v>Low YTM</v>
      </c>
    </row>
    <row r="657" spans="1:33" hidden="1" x14ac:dyDescent="0.3">
      <c r="A657" t="str">
        <f>RTD("nest.scriprtd",,"nse_cm|9ICCL23A-N0","Symbol")</f>
        <v>9ICCL23A</v>
      </c>
      <c r="B657" t="str">
        <f>RTD("nest.scriprtd",,"nse_cm|9ICCL23A-N0","Trading Symbol")</f>
        <v>9ICCL23A-N0</v>
      </c>
      <c r="C657" t="str">
        <f>RTD("nest.scriprtd",,"nse_cm|9ICCL23A-N0","Exchange")</f>
        <v>NSE</v>
      </c>
      <c r="D657">
        <f>RTD("nest.scriprtd",,"nse_cm|9ICCL23A-N0","Bid Qty")</f>
        <v>9</v>
      </c>
      <c r="E657">
        <f>RTD("nest.scriprtd",,"nse_cm|9ICCL23A-N0","Bid Rate")</f>
        <v>1010</v>
      </c>
      <c r="F657">
        <f>RTD("nest.scriprtd",,"nse_cm|9ICCL23A-N0","Ask Rate")</f>
        <v>0</v>
      </c>
      <c r="G657">
        <f>RTD("nest.scriprtd",,"nse_cm|9ICCL23A-N0","Ask Qty")</f>
        <v>0</v>
      </c>
      <c r="H657">
        <f>RTD("nest.scriprtd",,"nse_cm|9ICCL23A-N0","LTP")</f>
        <v>1020</v>
      </c>
      <c r="I657" t="str">
        <f>RTD("nest.scriprtd",,"nse_cm|9ICCL23A-N0","LTT")</f>
        <v>09:20:15</v>
      </c>
      <c r="J657">
        <f>RTD("nest.scriprtd",,"nse_cm|9ICCL23A-N0","% Change")</f>
        <v>0</v>
      </c>
      <c r="K657">
        <f>RTD("nest.scriprtd",,"nse_cm|9ICCL23A-N0","ATP")</f>
        <v>1020</v>
      </c>
      <c r="L657">
        <f>RTD("nest.scriprtd",,"nse_cm|9ICCL23A-N0","Volume Traded Today")</f>
        <v>200</v>
      </c>
      <c r="M657">
        <f>RTD("nest.scriprtd",,"nse_cm|9ICCL23A-N0","Open")</f>
        <v>1020</v>
      </c>
      <c r="N657">
        <f>RTD("nest.scriprtd",,"nse_cm|9ICCL23A-N0","High")</f>
        <v>1020</v>
      </c>
      <c r="O657">
        <f>RTD("nest.scriprtd",,"nse_cm|9ICCL23A-N0","Low ")</f>
        <v>1020</v>
      </c>
      <c r="P657">
        <f>RTD("nest.scriprtd",,"nse_cm|9ICCL23A-N0","Prev Close")</f>
        <v>1020</v>
      </c>
      <c r="Q657">
        <f>RTD("nest.scriprtd",,"nse_cm|9ICCL23A-N0","Face Value")</f>
        <v>1000</v>
      </c>
      <c r="R657" t="str">
        <f>RTD("nest.scriprtd",,"nse_cm|9ICCL23A-N0","Isin code")</f>
        <v>INE121A07RB5</v>
      </c>
      <c r="S657" s="9">
        <f>Table1[[#This Row],[Ask Rate]]*Table1[[#This Row],[Ask Qty]]</f>
        <v>0</v>
      </c>
      <c r="T657">
        <f>VLOOKUP(Table1[[#This Row],[Isin code]],Table2[#All],7,FALSE)</f>
        <v>8.25</v>
      </c>
      <c r="U657" s="17" t="str">
        <f>VLOOKUP(Table1[[#This Row],[Isin code]],Table2[#All],8,FALSE)</f>
        <v>04-Mar-2025</v>
      </c>
      <c r="V657" s="10">
        <f ca="1">Table1[[#This Row],[Maturity]]-TODAY()</f>
        <v>139</v>
      </c>
      <c r="W657" t="str">
        <f>VLOOKUP(Table1[[#This Row],[Isin code]],Table2[#All],10,FALSE)</f>
        <v>Yearly</v>
      </c>
      <c r="X657">
        <f ca="1">_xlfn.DAYS(Table1[[#This Row],[Maturity]],TODAY())-15</f>
        <v>124</v>
      </c>
      <c r="Y6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57">
        <f>IF(Table1[[#This Row],[Ask Rate]]=0,0,Table1[[#This Row],[Face Value]]-Table1[[#This Row],[Ask Rate]])</f>
        <v>0</v>
      </c>
      <c r="AA657">
        <f>IF(Table1[[#This Row],[Freq]]="Yearly",Table1[[#This Row],[Coupon_Rate]]/100,IF(Table1[[#This Row],[Freq]]="Monthly",Table1[[#This Row],[Coupon_Rate]]/1200,IF(Table1[[#This Row],[Freq]]="Quarterly",Table1[[#This Row],[Coupon_Rate]]/400,0)))</f>
        <v>8.2500000000000004E-2</v>
      </c>
      <c r="AB657">
        <f ca="1">Table1[[#This Row],[Face Value]]*Table1[[#This Row],[Rate]]*Table1[[#This Row],[Time]]</f>
        <v>82.5</v>
      </c>
      <c r="AC657">
        <f ca="1">Table1[[#This Row],[SI]]+Table1[[#This Row],[Disc/Prem]]</f>
        <v>82.5</v>
      </c>
      <c r="AD657" s="3" t="e">
        <f ca="1">Table1[[#This Row],[Net Gain]]/Table1[[#This Row],[Ask Rate]]</f>
        <v>#DIV/0!</v>
      </c>
      <c r="AE657" s="3">
        <f>IF(Table1[[#This Row],[Ask Qty]]=0,0,Table1[[#This Row],[Gross Yield]]*365/Table1[[#This Row],[Days Left]])</f>
        <v>0</v>
      </c>
      <c r="AF657" s="9">
        <f ca="1">+Table1[[#This Row],[Net Gain]]*Table1[[#This Row],[Ask Qty]]</f>
        <v>0</v>
      </c>
      <c r="AG657" t="str">
        <f>IF(Table1[[#This Row],[YTM]]&gt;0.12,IF(Table1[[#This Row],[Gross Profit]]&gt;10000,"Invest","Review"),"Low YTM")</f>
        <v>Low YTM</v>
      </c>
    </row>
    <row r="658" spans="1:33" x14ac:dyDescent="0.3">
      <c r="A658" t="str">
        <f>RTD("nest.scriprtd",,"bse_cm|10NHFL27","Symbol")</f>
        <v>10NHFL27</v>
      </c>
      <c r="B658" t="str">
        <f>RTD("nest.scriprtd",,"bse_cm|10NHFL27","Trading Symbol")</f>
        <v>10NHFL27</v>
      </c>
      <c r="C658" t="str">
        <f>RTD("nest.scriprtd",,"bse_cm|10NHFL27","Exchange")</f>
        <v>BSE</v>
      </c>
      <c r="D658">
        <f>RTD("nest.scriprtd",,"bse_cm|10NHFL27","Bid Qty")</f>
        <v>25</v>
      </c>
      <c r="E658">
        <f>RTD("nest.scriprtd",,"bse_cm|10NHFL27","Bid Rate")</f>
        <v>963</v>
      </c>
      <c r="F658">
        <f>RTD("nest.scriprtd",,"bse_cm|10NHFL27","Ask Rate")</f>
        <v>0</v>
      </c>
      <c r="G658">
        <f>RTD("nest.scriprtd",,"bse_cm|10NHFL27","Ask Qty")</f>
        <v>0</v>
      </c>
      <c r="H658">
        <f>RTD("nest.scriprtd",,"bse_cm|10NHFL27","LTP")</f>
        <v>0</v>
      </c>
      <c r="I658" t="str">
        <f>RTD("nest.scriprtd",,"bse_cm|10NHFL27","LTT")</f>
        <v>00:00:00</v>
      </c>
      <c r="J658">
        <f>RTD("nest.scriprtd",,"bse_cm|10NHFL27","% Change")</f>
        <v>-100</v>
      </c>
      <c r="K658">
        <f>RTD("nest.scriprtd",,"bse_cm|10NHFL27","ATP")</f>
        <v>0</v>
      </c>
      <c r="L658">
        <f>RTD("nest.scriprtd",,"bse_cm|10NHFL27","Volume Traded Today")</f>
        <v>0</v>
      </c>
      <c r="M658">
        <f>RTD("nest.scriprtd",,"bse_cm|10NHFL27","Open")</f>
        <v>0</v>
      </c>
      <c r="N658">
        <f>RTD("nest.scriprtd",,"bse_cm|10NHFL27","High")</f>
        <v>950</v>
      </c>
      <c r="O658">
        <f>RTD("nest.scriprtd",,"bse_cm|10NHFL27","Low ")</f>
        <v>950</v>
      </c>
      <c r="P658">
        <f>RTD("nest.scriprtd",,"bse_cm|10NHFL27","Prev Close")</f>
        <v>950</v>
      </c>
      <c r="Q658">
        <f>RTD("nest.scriprtd",,"bse_cm|10NHFL27","Face Value")</f>
        <v>1000</v>
      </c>
      <c r="R658" t="str">
        <f>RTD("nest.scriprtd",,"bse_cm|10NHFL27","Isin code")</f>
        <v>INE530L07772</v>
      </c>
      <c r="S658" s="9">
        <f>Table1[[#This Row],[Ask Rate]]*Table1[[#This Row],[Ask Qty]]</f>
        <v>0</v>
      </c>
      <c r="T658">
        <f>VLOOKUP(Table1[[#This Row],[Isin code]],Table2[#All],7,FALSE)</f>
        <v>10</v>
      </c>
      <c r="U658" s="17" t="str">
        <f>VLOOKUP(Table1[[#This Row],[Isin code]],Table2[#All],8,FALSE)</f>
        <v>03-Jul-2027</v>
      </c>
      <c r="V658" s="10">
        <f ca="1">Table1[[#This Row],[Maturity]]-TODAY()</f>
        <v>990</v>
      </c>
      <c r="W658" t="str">
        <f>VLOOKUP(Table1[[#This Row],[Isin code]],Table2[#All],10,FALSE)</f>
        <v>Annual</v>
      </c>
      <c r="X658">
        <f ca="1">_xlfn.DAYS(Table1[[#This Row],[Maturity]],TODAY())-15</f>
        <v>975</v>
      </c>
      <c r="Y65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658">
        <f>IF(Table1[[#This Row],[Ask Rate]]=0,0,Table1[[#This Row],[Face Value]]-Table1[[#This Row],[Ask Rate]])</f>
        <v>0</v>
      </c>
      <c r="AA65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658">
        <f>Table1[[#This Row],[Face Value]]*Table1[[#This Row],[Rate]]*Table1[[#This Row],[Time]]</f>
        <v>0</v>
      </c>
      <c r="AC658">
        <f>Table1[[#This Row],[SI]]+Table1[[#This Row],[Disc/Prem]]</f>
        <v>0</v>
      </c>
      <c r="AD658" s="3" t="e">
        <f>Table1[[#This Row],[Net Gain]]/Table1[[#This Row],[Ask Rate]]</f>
        <v>#DIV/0!</v>
      </c>
      <c r="AE658" s="3">
        <f>IF(Table1[[#This Row],[Ask Qty]]=0,0,Table1[[#This Row],[Gross Yield]]*365/Table1[[#This Row],[Days Left]])</f>
        <v>0</v>
      </c>
      <c r="AF658" s="9">
        <f>+Table1[[#This Row],[Net Gain]]*Table1[[#This Row],[Ask Qty]]</f>
        <v>0</v>
      </c>
      <c r="AG658" t="str">
        <f>IF(Table1[[#This Row],[YTM]]&gt;0.12,IF(Table1[[#This Row],[Gross Profit]]&gt;10000,"Invest","Review"),"Low YTM")</f>
        <v>Low YTM</v>
      </c>
    </row>
    <row r="659" spans="1:33" x14ac:dyDescent="0.3">
      <c r="A659" t="str">
        <f>RTD("nest.scriprtd",,"bse_cm|EFSL29","Symbol")</f>
        <v>EFSL29</v>
      </c>
      <c r="B659" t="str">
        <f>RTD("nest.scriprtd",,"bse_cm|EFSL29","Trading Symbol")</f>
        <v>EFSL29</v>
      </c>
      <c r="C659" t="str">
        <f>RTD("nest.scriprtd",,"bse_cm|EFSL29","Exchange")</f>
        <v>BSE</v>
      </c>
      <c r="D659">
        <f>RTD("nest.scriprtd",,"bse_cm|EFSL29","Bid Qty")</f>
        <v>10</v>
      </c>
      <c r="E659">
        <f>RTD("nest.scriprtd",,"bse_cm|EFSL29","Bid Rate")</f>
        <v>833</v>
      </c>
      <c r="F659">
        <f>RTD("nest.scriprtd",,"bse_cm|EFSL29","Ask Rate")</f>
        <v>0</v>
      </c>
      <c r="G659">
        <f>RTD("nest.scriprtd",,"bse_cm|EFSL29","Ask Qty")</f>
        <v>0</v>
      </c>
      <c r="H659">
        <f>RTD("nest.scriprtd",,"bse_cm|EFSL29","LTP")</f>
        <v>0</v>
      </c>
      <c r="I659" t="str">
        <f>RTD("nest.scriprtd",,"bse_cm|EFSL29","LTT")</f>
        <v>00:00:00</v>
      </c>
      <c r="J659">
        <f>RTD("nest.scriprtd",,"bse_cm|EFSL29","% Change")</f>
        <v>-100</v>
      </c>
      <c r="K659">
        <f>RTD("nest.scriprtd",,"bse_cm|EFSL29","ATP")</f>
        <v>0</v>
      </c>
      <c r="L659">
        <f>RTD("nest.scriprtd",,"bse_cm|EFSL29","Volume Traded Today")</f>
        <v>0</v>
      </c>
      <c r="M659">
        <f>RTD("nest.scriprtd",,"bse_cm|EFSL29","Open")</f>
        <v>0</v>
      </c>
      <c r="N659">
        <f>RTD("nest.scriprtd",,"bse_cm|EFSL29","High")</f>
        <v>925</v>
      </c>
      <c r="O659">
        <f>RTD("nest.scriprtd",,"bse_cm|EFSL29","Low ")</f>
        <v>925</v>
      </c>
      <c r="P659">
        <f>RTD("nest.scriprtd",,"bse_cm|EFSL29","Prev Close")</f>
        <v>925</v>
      </c>
      <c r="Q659">
        <f>RTD("nest.scriprtd",,"bse_cm|EFSL29","Face Value")</f>
        <v>1000</v>
      </c>
      <c r="R659" t="str">
        <f>RTD("nest.scriprtd",,"bse_cm|EFSL29","Isin code")</f>
        <v>INE532F07FA9</v>
      </c>
      <c r="S659" s="9">
        <f>Table1[[#This Row],[Ask Rate]]*Table1[[#This Row],[Ask Qty]]</f>
        <v>0</v>
      </c>
      <c r="T659" t="str">
        <f>VLOOKUP(Table1[[#This Row],[Isin code]],Table2[#All],7,FALSE)</f>
        <v>--</v>
      </c>
      <c r="U659" s="17" t="str">
        <f>VLOOKUP(Table1[[#This Row],[Isin code]],Table2[#All],8,FALSE)</f>
        <v>29-Jan-2029</v>
      </c>
      <c r="V659" s="10">
        <f ca="1">Table1[[#This Row],[Maturity]]-TODAY()</f>
        <v>1566</v>
      </c>
      <c r="W659" t="str">
        <f>VLOOKUP(Table1[[#This Row],[Isin code]],Table2[#All],10,FALSE)</f>
        <v>At the End</v>
      </c>
      <c r="X659">
        <f ca="1">_xlfn.DAYS(Table1[[#This Row],[Maturity]],TODAY())-15</f>
        <v>1551</v>
      </c>
      <c r="Y65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659">
        <f>IF(Table1[[#This Row],[Ask Rate]]=0,0,Table1[[#This Row],[Face Value]]-Table1[[#This Row],[Ask Rate]])</f>
        <v>0</v>
      </c>
      <c r="AA65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659">
        <f>Table1[[#This Row],[Face Value]]*Table1[[#This Row],[Rate]]*Table1[[#This Row],[Time]]</f>
        <v>0</v>
      </c>
      <c r="AC659">
        <f>Table1[[#This Row],[SI]]+Table1[[#This Row],[Disc/Prem]]</f>
        <v>0</v>
      </c>
      <c r="AD659" s="3" t="e">
        <f>Table1[[#This Row],[Net Gain]]/Table1[[#This Row],[Ask Rate]]</f>
        <v>#DIV/0!</v>
      </c>
      <c r="AE659" s="3">
        <f>IF(Table1[[#This Row],[Ask Qty]]=0,0,Table1[[#This Row],[Gross Yield]]*365/Table1[[#This Row],[Days Left]])</f>
        <v>0</v>
      </c>
      <c r="AF659" s="9">
        <f>+Table1[[#This Row],[Net Gain]]*Table1[[#This Row],[Ask Qty]]</f>
        <v>0</v>
      </c>
      <c r="AG659" t="str">
        <f>IF(Table1[[#This Row],[YTM]]&gt;0.12,IF(Table1[[#This Row],[Gross Profit]]&gt;10000,"Invest","Review"),"Low YTM")</f>
        <v>Low YTM</v>
      </c>
    </row>
    <row r="660" spans="1:33" x14ac:dyDescent="0.3">
      <c r="A660" t="str">
        <f>RTD("nest.scriprtd",,"bse_cm|MFCL16924C","Symbol")</f>
        <v>MFCL16924C</v>
      </c>
      <c r="B660" t="str">
        <f>RTD("nest.scriprtd",,"bse_cm|MFCL16924C","Trading Symbol")</f>
        <v>MFCL16924C</v>
      </c>
      <c r="C660" t="str">
        <f>RTD("nest.scriprtd",,"bse_cm|MFCL16924C","Exchange")</f>
        <v>BSE</v>
      </c>
      <c r="D660">
        <f>RTD("nest.scriprtd",,"bse_cm|MFCL16924C","Bid Qty")</f>
        <v>30</v>
      </c>
      <c r="E660">
        <f>RTD("nest.scriprtd",,"bse_cm|MFCL16924C","Bid Rate")</f>
        <v>960</v>
      </c>
      <c r="F660">
        <f>RTD("nest.scriprtd",,"bse_cm|MFCL16924C","Ask Rate")</f>
        <v>981</v>
      </c>
      <c r="G660">
        <f>RTD("nest.scriprtd",,"bse_cm|MFCL16924C","Ask Qty")</f>
        <v>0</v>
      </c>
      <c r="H660">
        <f>RTD("nest.scriprtd",,"bse_cm|MFCL16924C","LTP")</f>
        <v>0</v>
      </c>
      <c r="I660" t="str">
        <f>RTD("nest.scriprtd",,"bse_cm|MFCL16924C","LTT")</f>
        <v>00:00:00</v>
      </c>
      <c r="J660">
        <f>RTD("nest.scriprtd",,"bse_cm|MFCL16924C","% Change")</f>
        <v>-100</v>
      </c>
      <c r="K660">
        <f>RTD("nest.scriprtd",,"bse_cm|MFCL16924C","ATP")</f>
        <v>0</v>
      </c>
      <c r="L660">
        <f>RTD("nest.scriprtd",,"bse_cm|MFCL16924C","Volume Traded Today")</f>
        <v>0</v>
      </c>
      <c r="M660">
        <f>RTD("nest.scriprtd",,"bse_cm|MFCL16924C","Open")</f>
        <v>0</v>
      </c>
      <c r="N660">
        <f>RTD("nest.scriprtd",,"bse_cm|MFCL16924C","High")</f>
        <v>980</v>
      </c>
      <c r="O660">
        <f>RTD("nest.scriprtd",,"bse_cm|MFCL16924C","Low ")</f>
        <v>980</v>
      </c>
      <c r="P660">
        <f>RTD("nest.scriprtd",,"bse_cm|MFCL16924C","Prev Close")</f>
        <v>980</v>
      </c>
      <c r="Q660">
        <f>RTD("nest.scriprtd",,"bse_cm|MFCL16924C","Face Value")</f>
        <v>1000</v>
      </c>
      <c r="R660" t="str">
        <f>RTD("nest.scriprtd",,"bse_cm|MFCL16924C","Isin code")</f>
        <v>INE549K07EJ7</v>
      </c>
      <c r="S660" s="9">
        <f>Table1[[#This Row],[Ask Rate]]*Table1[[#This Row],[Ask Qty]]</f>
        <v>0</v>
      </c>
      <c r="T660" t="str">
        <f>VLOOKUP(Table1[[#This Row],[Isin code]],Table2[#All],7,FALSE)</f>
        <v>--</v>
      </c>
      <c r="U660" s="17" t="str">
        <f>VLOOKUP(Table1[[#This Row],[Isin code]],Table2[#All],8,FALSE)</f>
        <v>16-Sep-2032</v>
      </c>
      <c r="V660" s="10">
        <f ca="1">Table1[[#This Row],[Maturity]]-TODAY()</f>
        <v>2892</v>
      </c>
      <c r="W660" t="str">
        <f>VLOOKUP(Table1[[#This Row],[Isin code]],Table2[#All],10,FALSE)</f>
        <v>At the End</v>
      </c>
      <c r="X660">
        <f ca="1">_xlfn.DAYS(Table1[[#This Row],[Maturity]],TODAY())-15</f>
        <v>2877</v>
      </c>
      <c r="Y66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660">
        <f>IF(Table1[[#This Row],[Ask Rate]]=0,0,Table1[[#This Row],[Face Value]]-Table1[[#This Row],[Ask Rate]])</f>
        <v>19</v>
      </c>
      <c r="AA66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660">
        <f>Table1[[#This Row],[Face Value]]*Table1[[#This Row],[Rate]]*Table1[[#This Row],[Time]]</f>
        <v>0</v>
      </c>
      <c r="AC660">
        <f>Table1[[#This Row],[SI]]+Table1[[#This Row],[Disc/Prem]]</f>
        <v>19</v>
      </c>
      <c r="AD660" s="3">
        <f>Table1[[#This Row],[Net Gain]]/Table1[[#This Row],[Ask Rate]]</f>
        <v>1.9367991845056064E-2</v>
      </c>
      <c r="AE660" s="3">
        <f>IF(Table1[[#This Row],[Ask Qty]]=0,0,Table1[[#This Row],[Gross Yield]]*365/Table1[[#This Row],[Days Left]])</f>
        <v>0</v>
      </c>
      <c r="AF660" s="9">
        <f>+Table1[[#This Row],[Net Gain]]*Table1[[#This Row],[Ask Qty]]</f>
        <v>0</v>
      </c>
      <c r="AG660" t="str">
        <f>IF(Table1[[#This Row],[YTM]]&gt;0.12,IF(Table1[[#This Row],[Gross Profit]]&gt;10000,"Invest","Review"),"Low YTM")</f>
        <v>Low YTM</v>
      </c>
    </row>
    <row r="661" spans="1:33" hidden="1" x14ac:dyDescent="0.3">
      <c r="A661" t="str">
        <f>RTD("nest.scriprtd",,"nse_cm|894SCL24-ZR","Symbol")</f>
        <v>894SCL24</v>
      </c>
      <c r="B661" t="str">
        <f>RTD("nest.scriprtd",,"nse_cm|894SCL24-ZR","Trading Symbol")</f>
        <v>894SCL24-ZR</v>
      </c>
      <c r="C661" t="str">
        <f>RTD("nest.scriprtd",,"nse_cm|894SCL24-ZR","Exchange")</f>
        <v>NSE</v>
      </c>
      <c r="D661">
        <f>RTD("nest.scriprtd",,"nse_cm|894SCL24-ZR","Bid Qty")</f>
        <v>7</v>
      </c>
      <c r="E661">
        <f>RTD("nest.scriprtd",,"nse_cm|894SCL24-ZR","Bid Rate")</f>
        <v>954</v>
      </c>
      <c r="F661">
        <f>RTD("nest.scriprtd",,"nse_cm|894SCL24-ZR","Ask Rate")</f>
        <v>0</v>
      </c>
      <c r="G661">
        <f>RTD("nest.scriprtd",,"nse_cm|894SCL24-ZR","Ask Qty")</f>
        <v>0</v>
      </c>
      <c r="H661">
        <f>RTD("nest.scriprtd",,"nse_cm|894SCL24-ZR","LTP")</f>
        <v>993</v>
      </c>
      <c r="I661" t="str">
        <f>RTD("nest.scriprtd",,"nse_cm|894SCL24-ZR","LTT")</f>
        <v/>
      </c>
      <c r="J661">
        <f>RTD("nest.scriprtd",,"nse_cm|894SCL24-ZR","% Change")</f>
        <v>0</v>
      </c>
      <c r="K661">
        <f>RTD("nest.scriprtd",,"nse_cm|894SCL24-ZR","ATP")</f>
        <v>0</v>
      </c>
      <c r="L661">
        <f>RTD("nest.scriprtd",,"nse_cm|894SCL24-ZR","Volume Traded Today")</f>
        <v>0</v>
      </c>
      <c r="M661">
        <f>RTD("nest.scriprtd",,"nse_cm|894SCL24-ZR","Open")</f>
        <v>0</v>
      </c>
      <c r="N661">
        <f>RTD("nest.scriprtd",,"nse_cm|894SCL24-ZR","High")</f>
        <v>993</v>
      </c>
      <c r="O661">
        <f>RTD("nest.scriprtd",,"nse_cm|894SCL24-ZR","Low ")</f>
        <v>993</v>
      </c>
      <c r="P661">
        <f>RTD("nest.scriprtd",,"nse_cm|894SCL24-ZR","Prev Close")</f>
        <v>993</v>
      </c>
      <c r="Q661">
        <f>RTD("nest.scriprtd",,"nse_cm|894SCL24-ZR","Face Value")</f>
        <v>1000</v>
      </c>
      <c r="R661" t="str">
        <f>RTD("nest.scriprtd",,"nse_cm|894SCL24-ZR","Isin code")</f>
        <v>INE148I07NQ8</v>
      </c>
      <c r="S661" s="9">
        <f>Table1[[#This Row],[Ask Rate]]*Table1[[#This Row],[Ask Qty]]</f>
        <v>0</v>
      </c>
      <c r="T661">
        <f>VLOOKUP(Table1[[#This Row],[Isin code]],Table2[#All],7,FALSE)</f>
        <v>8.94</v>
      </c>
      <c r="U661" t="str">
        <f>VLOOKUP(Table1[[#This Row],[Isin code]],Table2[#All],8,FALSE)</f>
        <v>28-Dec-2024</v>
      </c>
      <c r="V661" s="10">
        <f ca="1">Table1[[#This Row],[Maturity]]-TODAY()</f>
        <v>73</v>
      </c>
      <c r="W661" t="str">
        <f>VLOOKUP(Table1[[#This Row],[Isin code]],Table2[#All],10,FALSE)</f>
        <v>Monthly</v>
      </c>
      <c r="X661">
        <f ca="1">_xlfn.DAYS(Table1[[#This Row],[Maturity]],TODAY())-15</f>
        <v>58</v>
      </c>
      <c r="Y6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61">
        <f>IF(Table1[[#This Row],[Ask Rate]]=0,0,Table1[[#This Row],[Face Value]]-Table1[[#This Row],[Ask Rate]])</f>
        <v>0</v>
      </c>
      <c r="AA661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7.4499999999999992E-3</v>
      </c>
      <c r="AB661">
        <f ca="1">Table1[[#This Row],[Face Value]]*Table1[[#This Row],[Rate]]*Table1[[#This Row],[Time]]</f>
        <v>14.899999999999999</v>
      </c>
      <c r="AC661">
        <f ca="1">Table1[[#This Row],[SI]]+Table1[[#This Row],[Disc/Prem]]</f>
        <v>14.899999999999999</v>
      </c>
      <c r="AD661" s="3" t="e">
        <f ca="1">Table1[[#This Row],[Net Gain]]/Table1[[#This Row],[Ask Rate]]</f>
        <v>#DIV/0!</v>
      </c>
      <c r="AE661" s="3">
        <f>IF(Table1[[#This Row],[Ask Qty]]=0,0,Table1[[#This Row],[Gross Yield]]*365/Table1[[#This Row],[Days Left]])</f>
        <v>0</v>
      </c>
      <c r="AF661" s="9">
        <f ca="1">+Table1[[#This Row],[Net Gain]]*Table1[[#This Row],[Ask Qty]]</f>
        <v>0</v>
      </c>
      <c r="AG661" t="str">
        <f>IF(Table1[[#This Row],[YTM]]&gt;0.12,IF(Table1[[#This Row],[Gross Profit]]&gt;10000,"Invest","Review"),"Low YTM")</f>
        <v>Low YTM</v>
      </c>
    </row>
    <row r="662" spans="1:33" x14ac:dyDescent="0.3">
      <c r="A662" t="str">
        <f>RTD("nest.scriprtd",,"bse_cm|11KAFL29","Symbol")</f>
        <v>11KAFL29</v>
      </c>
      <c r="B662" t="str">
        <f>RTD("nest.scriprtd",,"bse_cm|11KAFL29","Trading Symbol")</f>
        <v>11KAFL29</v>
      </c>
      <c r="C662" t="str">
        <f>RTD("nest.scriprtd",,"bse_cm|11KAFL29","Exchange")</f>
        <v>BSE</v>
      </c>
      <c r="D662">
        <f>RTD("nest.scriprtd",,"bse_cm|11KAFL29","Bid Qty")</f>
        <v>19</v>
      </c>
      <c r="E662">
        <f>RTD("nest.scriprtd",,"bse_cm|11KAFL29","Bid Rate")</f>
        <v>825.55</v>
      </c>
      <c r="F662">
        <f>RTD("nest.scriprtd",,"bse_cm|11KAFL29","Ask Rate")</f>
        <v>0</v>
      </c>
      <c r="G662">
        <f>RTD("nest.scriprtd",,"bse_cm|11KAFL29","Ask Qty")</f>
        <v>0</v>
      </c>
      <c r="H662">
        <f>RTD("nest.scriprtd",,"bse_cm|11KAFL29","LTP")</f>
        <v>0</v>
      </c>
      <c r="I662" t="str">
        <f>RTD("nest.scriprtd",,"bse_cm|11KAFL29","LTT")</f>
        <v>00:00:00</v>
      </c>
      <c r="J662">
        <f>RTD("nest.scriprtd",,"bse_cm|11KAFL29","% Change")</f>
        <v>-100</v>
      </c>
      <c r="K662">
        <f>RTD("nest.scriprtd",,"bse_cm|11KAFL29","ATP")</f>
        <v>0</v>
      </c>
      <c r="L662">
        <f>RTD("nest.scriprtd",,"bse_cm|11KAFL29","Volume Traded Today")</f>
        <v>0</v>
      </c>
      <c r="M662">
        <f>RTD("nest.scriprtd",,"bse_cm|11KAFL29","Open")</f>
        <v>0</v>
      </c>
      <c r="N662">
        <f>RTD("nest.scriprtd",,"bse_cm|11KAFL29","High")</f>
        <v>0</v>
      </c>
      <c r="O662">
        <f>RTD("nest.scriprtd",,"bse_cm|11KAFL29","Low ")</f>
        <v>0</v>
      </c>
      <c r="P662">
        <f>RTD("nest.scriprtd",,"bse_cm|11KAFL29","Prev Close")</f>
        <v>1000</v>
      </c>
      <c r="Q662">
        <f>RTD("nest.scriprtd",,"bse_cm|11KAFL29","Face Value")</f>
        <v>1000</v>
      </c>
      <c r="R662" t="str">
        <f>RTD("nest.scriprtd",,"bse_cm|11KAFL29","Isin code")</f>
        <v>INE01I507992</v>
      </c>
      <c r="S662" s="9">
        <f>Table1[[#This Row],[Ask Rate]]*Table1[[#This Row],[Ask Qty]]</f>
        <v>0</v>
      </c>
      <c r="T662">
        <f>VLOOKUP(Table1[[#This Row],[Isin code]],Table2[#All],7,FALSE)</f>
        <v>11</v>
      </c>
      <c r="U662" s="17" t="str">
        <f>VLOOKUP(Table1[[#This Row],[Isin code]],Table2[#All],8,FALSE)</f>
        <v>07-Aug-2029</v>
      </c>
      <c r="V662" s="10">
        <f ca="1">Table1[[#This Row],[Maturity]]-TODAY()</f>
        <v>1756</v>
      </c>
      <c r="W662" t="str">
        <f>VLOOKUP(Table1[[#This Row],[Isin code]],Table2[#All],10,FALSE)</f>
        <v>ANNUALY</v>
      </c>
      <c r="X662">
        <f ca="1">_xlfn.DAYS(Table1[[#This Row],[Maturity]],TODAY())-15</f>
        <v>1741</v>
      </c>
      <c r="Y66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662">
        <f>IF(Table1[[#This Row],[Ask Rate]]=0,0,Table1[[#This Row],[Face Value]]-Table1[[#This Row],[Ask Rate]])</f>
        <v>0</v>
      </c>
      <c r="AA66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662">
        <f>Table1[[#This Row],[Face Value]]*Table1[[#This Row],[Rate]]*Table1[[#This Row],[Time]]</f>
        <v>0</v>
      </c>
      <c r="AC662">
        <f>Table1[[#This Row],[SI]]+Table1[[#This Row],[Disc/Prem]]</f>
        <v>0</v>
      </c>
      <c r="AD662" s="3" t="e">
        <f>Table1[[#This Row],[Net Gain]]/Table1[[#This Row],[Ask Rate]]</f>
        <v>#DIV/0!</v>
      </c>
      <c r="AE662" s="3">
        <f>IF(Table1[[#This Row],[Ask Qty]]=0,0,Table1[[#This Row],[Gross Yield]]*365/Table1[[#This Row],[Days Left]])</f>
        <v>0</v>
      </c>
      <c r="AF662" s="9">
        <f>+Table1[[#This Row],[Net Gain]]*Table1[[#This Row],[Ask Qty]]</f>
        <v>0</v>
      </c>
      <c r="AG662" t="str">
        <f>IF(Table1[[#This Row],[YTM]]&gt;0.12,IF(Table1[[#This Row],[Gross Profit]]&gt;10000,"Invest","Review"),"Low YTM")</f>
        <v>Low YTM</v>
      </c>
    </row>
    <row r="663" spans="1:33" x14ac:dyDescent="0.3">
      <c r="A663" t="str">
        <f>RTD("nest.scriprtd",,"bse_cm|1010EFSL28","Symbol")</f>
        <v>1010EFSL28</v>
      </c>
      <c r="B663" t="str">
        <f>RTD("nest.scriprtd",,"bse_cm|1010EFSL28","Trading Symbol")</f>
        <v>1010EFSL28</v>
      </c>
      <c r="C663" t="str">
        <f>RTD("nest.scriprtd",,"bse_cm|1010EFSL28","Exchange")</f>
        <v>BSE</v>
      </c>
      <c r="D663">
        <f>RTD("nest.scriprtd",,"bse_cm|1010EFSL28","Bid Qty")</f>
        <v>20</v>
      </c>
      <c r="E663">
        <f>RTD("nest.scriprtd",,"bse_cm|1010EFSL28","Bid Rate")</f>
        <v>829</v>
      </c>
      <c r="F663">
        <f>RTD("nest.scriprtd",,"bse_cm|1010EFSL28","Ask Rate")</f>
        <v>0</v>
      </c>
      <c r="G663">
        <f>RTD("nest.scriprtd",,"bse_cm|1010EFSL28","Ask Qty")</f>
        <v>0</v>
      </c>
      <c r="H663">
        <f>RTD("nest.scriprtd",,"bse_cm|1010EFSL28","LTP")</f>
        <v>0</v>
      </c>
      <c r="I663" t="str">
        <f>RTD("nest.scriprtd",,"bse_cm|1010EFSL28","LTT")</f>
        <v>00:00:00</v>
      </c>
      <c r="J663">
        <f>RTD("nest.scriprtd",,"bse_cm|1010EFSL28","% Change")</f>
        <v>-100</v>
      </c>
      <c r="K663">
        <f>RTD("nest.scriprtd",,"bse_cm|1010EFSL28","ATP")</f>
        <v>0</v>
      </c>
      <c r="L663">
        <f>RTD("nest.scriprtd",,"bse_cm|1010EFSL28","Volume Traded Today")</f>
        <v>0</v>
      </c>
      <c r="M663">
        <f>RTD("nest.scriprtd",,"bse_cm|1010EFSL28","Open")</f>
        <v>0</v>
      </c>
      <c r="N663">
        <f>RTD("nest.scriprtd",,"bse_cm|1010EFSL28","High")</f>
        <v>940.2</v>
      </c>
      <c r="O663">
        <f>RTD("nest.scriprtd",,"bse_cm|1010EFSL28","Low ")</f>
        <v>940.2</v>
      </c>
      <c r="P663">
        <f>RTD("nest.scriprtd",,"bse_cm|1010EFSL28","Prev Close")</f>
        <v>940.2</v>
      </c>
      <c r="Q663">
        <f>RTD("nest.scriprtd",,"bse_cm|1010EFSL28","Face Value")</f>
        <v>1000</v>
      </c>
      <c r="R663" t="str">
        <f>RTD("nest.scriprtd",,"bse_cm|1010EFSL28","Isin code")</f>
        <v>INE532F07EM7</v>
      </c>
      <c r="S663" s="9">
        <f>Table1[[#This Row],[Ask Rate]]*Table1[[#This Row],[Ask Qty]]</f>
        <v>0</v>
      </c>
      <c r="T663">
        <f>VLOOKUP(Table1[[#This Row],[Isin code]],Table2[#All],7,FALSE)</f>
        <v>10.100000000000001</v>
      </c>
      <c r="U663" s="17" t="str">
        <f>VLOOKUP(Table1[[#This Row],[Isin code]],Table2[#All],8,FALSE)</f>
        <v>26-Oct-2028</v>
      </c>
      <c r="V663" s="10">
        <f ca="1">Table1[[#This Row],[Maturity]]-TODAY()</f>
        <v>1471</v>
      </c>
      <c r="W663" t="str">
        <f>VLOOKUP(Table1[[#This Row],[Isin code]],Table2[#All],10,FALSE)</f>
        <v>Yearly</v>
      </c>
      <c r="X663">
        <f ca="1">_xlfn.DAYS(Table1[[#This Row],[Maturity]],TODAY())-15</f>
        <v>1456</v>
      </c>
      <c r="Y6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663">
        <f>IF(Table1[[#This Row],[Ask Rate]]=0,0,Table1[[#This Row],[Face Value]]-Table1[[#This Row],[Ask Rate]])</f>
        <v>0</v>
      </c>
      <c r="AA663">
        <f>IF(Table1[[#This Row],[Freq]]="Yearly",Table1[[#This Row],[Coupon_Rate]]/100,IF(Table1[[#This Row],[Freq]]="Monthly",Table1[[#This Row],[Coupon_Rate]]/1200,IF(Table1[[#This Row],[Freq]]="Quarterly",Table1[[#This Row],[Coupon_Rate]]/400,0)))</f>
        <v>0.10100000000000002</v>
      </c>
      <c r="AB663">
        <f ca="1">Table1[[#This Row],[Face Value]]*Table1[[#This Row],[Rate]]*Table1[[#This Row],[Time]]</f>
        <v>404.00000000000006</v>
      </c>
      <c r="AC663">
        <f ca="1">Table1[[#This Row],[SI]]+Table1[[#This Row],[Disc/Prem]]</f>
        <v>404.00000000000006</v>
      </c>
      <c r="AD663" s="3" t="e">
        <f ca="1">Table1[[#This Row],[Net Gain]]/Table1[[#This Row],[Ask Rate]]</f>
        <v>#DIV/0!</v>
      </c>
      <c r="AE663" s="3">
        <f>IF(Table1[[#This Row],[Ask Qty]]=0,0,Table1[[#This Row],[Gross Yield]]*365/Table1[[#This Row],[Days Left]])</f>
        <v>0</v>
      </c>
      <c r="AF663" s="9">
        <f ca="1">+Table1[[#This Row],[Net Gain]]*Table1[[#This Row],[Ask Qty]]</f>
        <v>0</v>
      </c>
      <c r="AG663" t="str">
        <f>IF(Table1[[#This Row],[YTM]]&gt;0.12,IF(Table1[[#This Row],[Gross Profit]]&gt;10000,"Invest","Review"),"Low YTM")</f>
        <v>Low YTM</v>
      </c>
    </row>
    <row r="664" spans="1:33" x14ac:dyDescent="0.3">
      <c r="A664" t="str">
        <f>RTD("nest.scriprtd",,"nse_cm|965SCFL25-AB","Symbol")</f>
        <v>965SCFL25</v>
      </c>
      <c r="B664" t="str">
        <f>RTD("nest.scriprtd",,"nse_cm|965SCFL25-AB","Trading Symbol")</f>
        <v>965SCFL25-AB</v>
      </c>
      <c r="C664" t="str">
        <f>RTD("nest.scriprtd",,"nse_cm|965SCFL25-AB","Exchange")</f>
        <v>NSE</v>
      </c>
      <c r="D664">
        <f>RTD("nest.scriprtd",,"nse_cm|965SCFL25-AB","Bid Qty")</f>
        <v>9</v>
      </c>
      <c r="E664">
        <f>RTD("nest.scriprtd",,"nse_cm|965SCFL25-AB","Bid Rate")</f>
        <v>1010.7</v>
      </c>
      <c r="F664">
        <f>RTD("nest.scriprtd",,"nse_cm|965SCFL25-AB","Ask Rate")</f>
        <v>0</v>
      </c>
      <c r="G664">
        <f>RTD("nest.scriprtd",,"nse_cm|965SCFL25-AB","Ask Qty")</f>
        <v>0</v>
      </c>
      <c r="H664">
        <f>RTD("nest.scriprtd",,"nse_cm|965SCFL25-AB","LTP")</f>
        <v>1033.8</v>
      </c>
      <c r="I664" t="str">
        <f>RTD("nest.scriprtd",,"nse_cm|965SCFL25-AB","LTT")</f>
        <v/>
      </c>
      <c r="J664">
        <f>RTD("nest.scriprtd",,"nse_cm|965SCFL25-AB","% Change")</f>
        <v>0</v>
      </c>
      <c r="K664">
        <f>RTD("nest.scriprtd",,"nse_cm|965SCFL25-AB","ATP")</f>
        <v>0</v>
      </c>
      <c r="L664">
        <f>RTD("nest.scriprtd",,"nse_cm|965SCFL25-AB","Volume Traded Today")</f>
        <v>0</v>
      </c>
      <c r="M664">
        <f>RTD("nest.scriprtd",,"nse_cm|965SCFL25-AB","Open")</f>
        <v>0</v>
      </c>
      <c r="N664">
        <f>RTD("nest.scriprtd",,"nse_cm|965SCFL25-AB","High")</f>
        <v>1033.8</v>
      </c>
      <c r="O664">
        <f>RTD("nest.scriprtd",,"nse_cm|965SCFL25-AB","Low ")</f>
        <v>1033.8</v>
      </c>
      <c r="P664">
        <f>RTD("nest.scriprtd",,"nse_cm|965SCFL25-AB","Prev Close")</f>
        <v>1033.8</v>
      </c>
      <c r="Q664">
        <f>RTD("nest.scriprtd",,"nse_cm|965SCFL25-AB","Face Value")</f>
        <v>1000</v>
      </c>
      <c r="R664" t="str">
        <f>RTD("nest.scriprtd",,"nse_cm|965SCFL25-AB","Isin code")</f>
        <v>INE148I07NT2</v>
      </c>
      <c r="S664" s="9">
        <f>Table1[[#This Row],[Ask Rate]]*Table1[[#This Row],[Ask Qty]]</f>
        <v>0</v>
      </c>
      <c r="T664">
        <f>VLOOKUP(Table1[[#This Row],[Isin code]],Table2[#All],7,FALSE)</f>
        <v>9.65</v>
      </c>
      <c r="U664" s="17" t="str">
        <f>VLOOKUP(Table1[[#This Row],[Isin code]],Table2[#All],8,FALSE)</f>
        <v>23-Mar-2025</v>
      </c>
      <c r="V664" s="10">
        <f ca="1">Table1[[#This Row],[Maturity]]-TODAY()</f>
        <v>158</v>
      </c>
      <c r="W664" t="str">
        <f>VLOOKUP(Table1[[#This Row],[Isin code]],Table2[#All],10,FALSE)</f>
        <v>Yearly</v>
      </c>
      <c r="X664">
        <f ca="1">_xlfn.DAYS(Table1[[#This Row],[Maturity]],TODAY())-15</f>
        <v>143</v>
      </c>
      <c r="Y6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64">
        <f>IF(Table1[[#This Row],[Ask Rate]]=0,0,Table1[[#This Row],[Face Value]]-Table1[[#This Row],[Ask Rate]])</f>
        <v>0</v>
      </c>
      <c r="AA664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664">
        <f ca="1">Table1[[#This Row],[Face Value]]*Table1[[#This Row],[Rate]]*Table1[[#This Row],[Time]]</f>
        <v>96.5</v>
      </c>
      <c r="AC664">
        <f ca="1">Table1[[#This Row],[SI]]+Table1[[#This Row],[Disc/Prem]]</f>
        <v>96.5</v>
      </c>
      <c r="AD664" s="3" t="e">
        <f ca="1">Table1[[#This Row],[Net Gain]]/Table1[[#This Row],[Ask Rate]]</f>
        <v>#DIV/0!</v>
      </c>
      <c r="AE664" s="3">
        <f>IF(Table1[[#This Row],[Ask Qty]]=0,0,Table1[[#This Row],[Gross Yield]]*365/Table1[[#This Row],[Days Left]])</f>
        <v>0</v>
      </c>
      <c r="AF664" s="9">
        <f ca="1">+Table1[[#This Row],[Net Gain]]*Table1[[#This Row],[Ask Qty]]</f>
        <v>0</v>
      </c>
      <c r="AG664" t="str">
        <f>IF(Table1[[#This Row],[YTM]]&gt;0.12,IF(Table1[[#This Row],[Gross Profit]]&gt;10000,"Invest","Review"),"Low YTM")</f>
        <v>Low YTM</v>
      </c>
    </row>
    <row r="665" spans="1:33" x14ac:dyDescent="0.3">
      <c r="A665" t="str">
        <f>RTD("nest.scriprtd",,"bse_cm|965SCL26","Symbol")</f>
        <v>965SCL26</v>
      </c>
      <c r="B665" t="str">
        <f>RTD("nest.scriprtd",,"bse_cm|965SCL26","Trading Symbol")</f>
        <v>965SCL26</v>
      </c>
      <c r="C665" t="str">
        <f>RTD("nest.scriprtd",,"bse_cm|965SCL26","Exchange")</f>
        <v>BSE</v>
      </c>
      <c r="D665">
        <f>RTD("nest.scriprtd",,"bse_cm|965SCL26","Bid Qty")</f>
        <v>12</v>
      </c>
      <c r="E665">
        <f>RTD("nest.scriprtd",,"bse_cm|965SCL26","Bid Rate")</f>
        <v>930.2</v>
      </c>
      <c r="F665">
        <f>RTD("nest.scriprtd",,"bse_cm|965SCL26","Ask Rate")</f>
        <v>0</v>
      </c>
      <c r="G665">
        <f>RTD("nest.scriprtd",,"bse_cm|965SCL26","Ask Qty")</f>
        <v>0</v>
      </c>
      <c r="H665">
        <f>RTD("nest.scriprtd",,"bse_cm|965SCL26","LTP")</f>
        <v>0</v>
      </c>
      <c r="I665" t="str">
        <f>RTD("nest.scriprtd",,"bse_cm|965SCL26","LTT")</f>
        <v>00:00:00</v>
      </c>
      <c r="J665">
        <f>RTD("nest.scriprtd",,"bse_cm|965SCL26","% Change")</f>
        <v>-100</v>
      </c>
      <c r="K665">
        <f>RTD("nest.scriprtd",,"bse_cm|965SCL26","ATP")</f>
        <v>0</v>
      </c>
      <c r="L665">
        <f>RTD("nest.scriprtd",,"bse_cm|965SCL26","Volume Traded Today")</f>
        <v>0</v>
      </c>
      <c r="M665">
        <f>RTD("nest.scriprtd",,"bse_cm|965SCL26","Open")</f>
        <v>0</v>
      </c>
      <c r="N665">
        <f>RTD("nest.scriprtd",,"bse_cm|965SCL26","High")</f>
        <v>1009.8</v>
      </c>
      <c r="O665">
        <f>RTD("nest.scriprtd",,"bse_cm|965SCL26","Low ")</f>
        <v>1009.8</v>
      </c>
      <c r="P665">
        <f>RTD("nest.scriprtd",,"bse_cm|965SCL26","Prev Close")</f>
        <v>1009.8</v>
      </c>
      <c r="Q665">
        <f>RTD("nest.scriprtd",,"bse_cm|965SCL26","Face Value")</f>
        <v>1000</v>
      </c>
      <c r="R665" t="str">
        <f>RTD("nest.scriprtd",,"bse_cm|965SCL26","Isin code")</f>
        <v>INE148I07SD5</v>
      </c>
      <c r="S665" s="9">
        <f>Table1[[#This Row],[Ask Rate]]*Table1[[#This Row],[Ask Qty]]</f>
        <v>0</v>
      </c>
      <c r="T665">
        <f>VLOOKUP(Table1[[#This Row],[Isin code]],Table2[#All],7,FALSE)</f>
        <v>9.65</v>
      </c>
      <c r="U665" s="17" t="str">
        <f>VLOOKUP(Table1[[#This Row],[Isin code]],Table2[#All],8,FALSE)</f>
        <v>26-Mar-2026</v>
      </c>
      <c r="V665" s="10">
        <f ca="1">Table1[[#This Row],[Maturity]]-TODAY()</f>
        <v>526</v>
      </c>
      <c r="W665" t="str">
        <f>VLOOKUP(Table1[[#This Row],[Isin code]],Table2[#All],10,FALSE)</f>
        <v>Yearly</v>
      </c>
      <c r="X665">
        <f ca="1">_xlfn.DAYS(Table1[[#This Row],[Maturity]],TODAY())-15</f>
        <v>511</v>
      </c>
      <c r="Y6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65">
        <f>IF(Table1[[#This Row],[Ask Rate]]=0,0,Table1[[#This Row],[Face Value]]-Table1[[#This Row],[Ask Rate]])</f>
        <v>0</v>
      </c>
      <c r="AA665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665">
        <f ca="1">Table1[[#This Row],[Face Value]]*Table1[[#This Row],[Rate]]*Table1[[#This Row],[Time]]</f>
        <v>193</v>
      </c>
      <c r="AC665">
        <f ca="1">Table1[[#This Row],[SI]]+Table1[[#This Row],[Disc/Prem]]</f>
        <v>193</v>
      </c>
      <c r="AD665" s="3" t="e">
        <f ca="1">Table1[[#This Row],[Net Gain]]/Table1[[#This Row],[Ask Rate]]</f>
        <v>#DIV/0!</v>
      </c>
      <c r="AE665" s="3">
        <f>IF(Table1[[#This Row],[Ask Qty]]=0,0,Table1[[#This Row],[Gross Yield]]*365/Table1[[#This Row],[Days Left]])</f>
        <v>0</v>
      </c>
      <c r="AF665" s="9">
        <f ca="1">+Table1[[#This Row],[Net Gain]]*Table1[[#This Row],[Ask Qty]]</f>
        <v>0</v>
      </c>
      <c r="AG665" t="str">
        <f>IF(Table1[[#This Row],[YTM]]&gt;0.12,IF(Table1[[#This Row],[Gross Profit]]&gt;10000,"Invest","Review"),"Low YTM")</f>
        <v>Low YTM</v>
      </c>
    </row>
    <row r="666" spans="1:33" x14ac:dyDescent="0.3">
      <c r="A666" t="str">
        <f>RTD("nest.scriprtd",,"bse_cm|955EFSL26B","Symbol")</f>
        <v>955EFSL26B</v>
      </c>
      <c r="B666" t="str">
        <f>RTD("nest.scriprtd",,"bse_cm|955EFSL26B","Trading Symbol")</f>
        <v>955EFSL26B</v>
      </c>
      <c r="C666" t="str">
        <f>RTD("nest.scriprtd",,"bse_cm|955EFSL26B","Exchange")</f>
        <v>BSE</v>
      </c>
      <c r="D666">
        <f>RTD("nest.scriprtd",,"bse_cm|955EFSL26B","Bid Qty")</f>
        <v>180</v>
      </c>
      <c r="E666">
        <f>RTD("nest.scriprtd",,"bse_cm|955EFSL26B","Bid Rate")</f>
        <v>1000.2</v>
      </c>
      <c r="F666">
        <f>RTD("nest.scriprtd",,"bse_cm|955EFSL26B","Ask Rate")</f>
        <v>0</v>
      </c>
      <c r="G666">
        <f>RTD("nest.scriprtd",,"bse_cm|955EFSL26B","Ask Qty")</f>
        <v>0</v>
      </c>
      <c r="H666">
        <f>RTD("nest.scriprtd",,"bse_cm|955EFSL26B","LTP")</f>
        <v>0</v>
      </c>
      <c r="I666" t="str">
        <f>RTD("nest.scriprtd",,"bse_cm|955EFSL26B","LTT")</f>
        <v>00:00:00</v>
      </c>
      <c r="J666">
        <f>RTD("nest.scriprtd",,"bse_cm|955EFSL26B","% Change")</f>
        <v>-100</v>
      </c>
      <c r="K666">
        <f>RTD("nest.scriprtd",,"bse_cm|955EFSL26B","ATP")</f>
        <v>0</v>
      </c>
      <c r="L666">
        <f>RTD("nest.scriprtd",,"bse_cm|955EFSL26B","Volume Traded Today")</f>
        <v>0</v>
      </c>
      <c r="M666">
        <f>RTD("nest.scriprtd",,"bse_cm|955EFSL26B","Open")</f>
        <v>0</v>
      </c>
      <c r="N666">
        <f>RTD("nest.scriprtd",,"bse_cm|955EFSL26B","High")</f>
        <v>1011.8</v>
      </c>
      <c r="O666">
        <f>RTD("nest.scriprtd",,"bse_cm|955EFSL26B","Low ")</f>
        <v>1011.8</v>
      </c>
      <c r="P666">
        <f>RTD("nest.scriprtd",,"bse_cm|955EFSL26B","Prev Close")</f>
        <v>1011.8</v>
      </c>
      <c r="Q666">
        <f>RTD("nest.scriprtd",,"bse_cm|955EFSL26B","Face Value")</f>
        <v>1000</v>
      </c>
      <c r="R666" t="str">
        <f>RTD("nest.scriprtd",,"bse_cm|955EFSL26B","Isin code")</f>
        <v>INE532F07CR0</v>
      </c>
      <c r="S666" s="9">
        <f>Table1[[#This Row],[Ask Rate]]*Table1[[#This Row],[Ask Qty]]</f>
        <v>0</v>
      </c>
      <c r="T666">
        <f>VLOOKUP(Table1[[#This Row],[Isin code]],Table2[#All],7,FALSE)</f>
        <v>9.5500000000000007</v>
      </c>
      <c r="U666" s="17" t="str">
        <f>VLOOKUP(Table1[[#This Row],[Isin code]],Table2[#All],8,FALSE)</f>
        <v>28-Dec-2026</v>
      </c>
      <c r="V666" s="10">
        <f ca="1">Table1[[#This Row],[Maturity]]-TODAY()</f>
        <v>803</v>
      </c>
      <c r="W666" t="str">
        <f>VLOOKUP(Table1[[#This Row],[Isin code]],Table2[#All],10,FALSE)</f>
        <v>Yearly</v>
      </c>
      <c r="X666">
        <f ca="1">_xlfn.DAYS(Table1[[#This Row],[Maturity]],TODAY())-15</f>
        <v>788</v>
      </c>
      <c r="Y6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666">
        <f>IF(Table1[[#This Row],[Ask Rate]]=0,0,Table1[[#This Row],[Face Value]]-Table1[[#This Row],[Ask Rate]])</f>
        <v>0</v>
      </c>
      <c r="AA666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666">
        <f ca="1">Table1[[#This Row],[Face Value]]*Table1[[#This Row],[Rate]]*Table1[[#This Row],[Time]]</f>
        <v>286.5</v>
      </c>
      <c r="AC666">
        <f ca="1">Table1[[#This Row],[SI]]+Table1[[#This Row],[Disc/Prem]]</f>
        <v>286.5</v>
      </c>
      <c r="AD666" s="3" t="e">
        <f ca="1">Table1[[#This Row],[Net Gain]]/Table1[[#This Row],[Ask Rate]]</f>
        <v>#DIV/0!</v>
      </c>
      <c r="AE666" s="3">
        <f>IF(Table1[[#This Row],[Ask Qty]]=0,0,Table1[[#This Row],[Gross Yield]]*365/Table1[[#This Row],[Days Left]])</f>
        <v>0</v>
      </c>
      <c r="AF666" s="9">
        <f ca="1">+Table1[[#This Row],[Net Gain]]*Table1[[#This Row],[Ask Qty]]</f>
        <v>0</v>
      </c>
      <c r="AG666" t="str">
        <f>IF(Table1[[#This Row],[YTM]]&gt;0.12,IF(Table1[[#This Row],[Gross Profit]]&gt;10000,"Invest","Review"),"Low YTM")</f>
        <v>Low YTM</v>
      </c>
    </row>
    <row r="667" spans="1:33" x14ac:dyDescent="0.3">
      <c r="A667" t="str">
        <f>RTD("nest.scriprtd",,"bse_cm|9KFL26B","Symbol")</f>
        <v>9KFL26B</v>
      </c>
      <c r="B667" t="str">
        <f>RTD("nest.scriprtd",,"bse_cm|9KFL26B","Trading Symbol")</f>
        <v>9KFL26B</v>
      </c>
      <c r="C667" t="str">
        <f>RTD("nest.scriprtd",,"bse_cm|9KFL26B","Exchange")</f>
        <v>BSE</v>
      </c>
      <c r="D667">
        <f>RTD("nest.scriprtd",,"bse_cm|9KFL26B","Bid Qty")</f>
        <v>12</v>
      </c>
      <c r="E667">
        <f>RTD("nest.scriprtd",,"bse_cm|9KFL26B","Bid Rate")</f>
        <v>815.9</v>
      </c>
      <c r="F667">
        <f>RTD("nest.scriprtd",,"bse_cm|9KFL26B","Ask Rate")</f>
        <v>0</v>
      </c>
      <c r="G667">
        <f>RTD("nest.scriprtd",,"bse_cm|9KFL26B","Ask Qty")</f>
        <v>0</v>
      </c>
      <c r="H667">
        <f>RTD("nest.scriprtd",,"bse_cm|9KFL26B","LTP")</f>
        <v>0</v>
      </c>
      <c r="I667" t="str">
        <f>RTD("nest.scriprtd",,"bse_cm|9KFL26B","LTT")</f>
        <v>00:00:00</v>
      </c>
      <c r="J667">
        <f>RTD("nest.scriprtd",,"bse_cm|9KFL26B","% Change")</f>
        <v>-100</v>
      </c>
      <c r="K667">
        <f>RTD("nest.scriprtd",,"bse_cm|9KFL26B","ATP")</f>
        <v>0</v>
      </c>
      <c r="L667">
        <f>RTD("nest.scriprtd",,"bse_cm|9KFL26B","Volume Traded Today")</f>
        <v>0</v>
      </c>
      <c r="M667">
        <f>RTD("nest.scriprtd",,"bse_cm|9KFL26B","Open")</f>
        <v>0</v>
      </c>
      <c r="N667">
        <f>RTD("nest.scriprtd",,"bse_cm|9KFL26B","High")</f>
        <v>960</v>
      </c>
      <c r="O667">
        <f>RTD("nest.scriprtd",,"bse_cm|9KFL26B","Low ")</f>
        <v>960</v>
      </c>
      <c r="P667">
        <f>RTD("nest.scriprtd",,"bse_cm|9KFL26B","Prev Close")</f>
        <v>960</v>
      </c>
      <c r="Q667">
        <f>RTD("nest.scriprtd",,"bse_cm|9KFL26B","Face Value")</f>
        <v>1000</v>
      </c>
      <c r="R667" t="str">
        <f>RTD("nest.scriprtd",,"bse_cm|9KFL26B","Isin code")</f>
        <v>INE403Q07DN8</v>
      </c>
      <c r="S667" s="9">
        <f>Table1[[#This Row],[Ask Rate]]*Table1[[#This Row],[Ask Qty]]</f>
        <v>0</v>
      </c>
      <c r="T667">
        <f>VLOOKUP(Table1[[#This Row],[Isin code]],Table2[#All],7,FALSE)</f>
        <v>9</v>
      </c>
      <c r="U667" s="17" t="str">
        <f>VLOOKUP(Table1[[#This Row],[Isin code]],Table2[#All],8,FALSE)</f>
        <v>28-Apr-2026</v>
      </c>
      <c r="V667" s="10">
        <f ca="1">Table1[[#This Row],[Maturity]]-TODAY()</f>
        <v>559</v>
      </c>
      <c r="W667" t="str">
        <f>VLOOKUP(Table1[[#This Row],[Isin code]],Table2[#All],10,FALSE)</f>
        <v>Monthly</v>
      </c>
      <c r="X667">
        <f ca="1">_xlfn.DAYS(Table1[[#This Row],[Maturity]],TODAY())-15</f>
        <v>544</v>
      </c>
      <c r="Y6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667">
        <f>IF(Table1[[#This Row],[Ask Rate]]=0,0,Table1[[#This Row],[Face Value]]-Table1[[#This Row],[Ask Rate]])</f>
        <v>0</v>
      </c>
      <c r="AA667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667">
        <f ca="1">Table1[[#This Row],[Face Value]]*Table1[[#This Row],[Rate]]*Table1[[#This Row],[Time]]</f>
        <v>142.5</v>
      </c>
      <c r="AC667">
        <f ca="1">Table1[[#This Row],[SI]]+Table1[[#This Row],[Disc/Prem]]</f>
        <v>142.5</v>
      </c>
      <c r="AD667" s="3" t="e">
        <f ca="1">Table1[[#This Row],[Net Gain]]/Table1[[#This Row],[Ask Rate]]</f>
        <v>#DIV/0!</v>
      </c>
      <c r="AE667" s="3">
        <f>IF(Table1[[#This Row],[Ask Qty]]=0,0,Table1[[#This Row],[Gross Yield]]*365/Table1[[#This Row],[Days Left]])</f>
        <v>0</v>
      </c>
      <c r="AF667" s="9">
        <f ca="1">+Table1[[#This Row],[Net Gain]]*Table1[[#This Row],[Ask Qty]]</f>
        <v>0</v>
      </c>
      <c r="AG667" t="str">
        <f>IF(Table1[[#This Row],[YTM]]&gt;0.12,IF(Table1[[#This Row],[Gross Profit]]&gt;10000,"Invest","Review"),"Low YTM")</f>
        <v>Low YTM</v>
      </c>
    </row>
    <row r="668" spans="1:33" x14ac:dyDescent="0.3">
      <c r="A668" t="str">
        <f>RTD("nest.scriprtd",,"bse_cm|835IFL25","Symbol")</f>
        <v>835IFL25</v>
      </c>
      <c r="B668" t="str">
        <f>RTD("nest.scriprtd",,"bse_cm|835IFL25","Trading Symbol")</f>
        <v>835IFL25</v>
      </c>
      <c r="C668" t="str">
        <f>RTD("nest.scriprtd",,"bse_cm|835IFL25","Exchange")</f>
        <v>BSE</v>
      </c>
      <c r="D668">
        <f>RTD("nest.scriprtd",,"bse_cm|835IFL25","Bid Qty")</f>
        <v>180</v>
      </c>
      <c r="E668">
        <f>RTD("nest.scriprtd",,"bse_cm|835IFL25","Bid Rate")</f>
        <v>980.3</v>
      </c>
      <c r="F668">
        <f>RTD("nest.scriprtd",,"bse_cm|835IFL25","Ask Rate")</f>
        <v>0</v>
      </c>
      <c r="G668">
        <f>RTD("nest.scriprtd",,"bse_cm|835IFL25","Ask Qty")</f>
        <v>0</v>
      </c>
      <c r="H668">
        <f>RTD("nest.scriprtd",,"bse_cm|835IFL25","LTP")</f>
        <v>0</v>
      </c>
      <c r="I668" t="str">
        <f>RTD("nest.scriprtd",,"bse_cm|835IFL25","LTT")</f>
        <v>00:00:00</v>
      </c>
      <c r="J668">
        <f>RTD("nest.scriprtd",,"bse_cm|835IFL25","% Change")</f>
        <v>-100</v>
      </c>
      <c r="K668">
        <f>RTD("nest.scriprtd",,"bse_cm|835IFL25","ATP")</f>
        <v>0</v>
      </c>
      <c r="L668">
        <f>RTD("nest.scriprtd",,"bse_cm|835IFL25","Volume Traded Today")</f>
        <v>0</v>
      </c>
      <c r="M668">
        <f>RTD("nest.scriprtd",,"bse_cm|835IFL25","Open")</f>
        <v>0</v>
      </c>
      <c r="N668">
        <f>RTD("nest.scriprtd",,"bse_cm|835IFL25","High")</f>
        <v>988</v>
      </c>
      <c r="O668">
        <f>RTD("nest.scriprtd",,"bse_cm|835IFL25","Low ")</f>
        <v>988</v>
      </c>
      <c r="P668">
        <f>RTD("nest.scriprtd",,"bse_cm|835IFL25","Prev Close")</f>
        <v>988</v>
      </c>
      <c r="Q668">
        <f>RTD("nest.scriprtd",,"bse_cm|835IFL25","Face Value")</f>
        <v>1000</v>
      </c>
      <c r="R668" t="str">
        <f>RTD("nest.scriprtd",,"bse_cm|835IFL25","Isin code")</f>
        <v>INE530B07336</v>
      </c>
      <c r="S668" s="9">
        <f>Table1[[#This Row],[Ask Rate]]*Table1[[#This Row],[Ask Qty]]</f>
        <v>0</v>
      </c>
      <c r="T668">
        <f>VLOOKUP(Table1[[#This Row],[Isin code]],Table2[#All],7,FALSE)</f>
        <v>8.35</v>
      </c>
      <c r="U668" s="17" t="str">
        <f>VLOOKUP(Table1[[#This Row],[Isin code]],Table2[#All],8,FALSE)</f>
        <v>28-Jun-2025</v>
      </c>
      <c r="V668" s="10">
        <f ca="1">Table1[[#This Row],[Maturity]]-TODAY()</f>
        <v>255</v>
      </c>
      <c r="W668" t="str">
        <f>VLOOKUP(Table1[[#This Row],[Isin code]],Table2[#All],10,FALSE)</f>
        <v>Yearly</v>
      </c>
      <c r="X668">
        <f ca="1">_xlfn.DAYS(Table1[[#This Row],[Maturity]],TODAY())-15</f>
        <v>240</v>
      </c>
      <c r="Y6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68">
        <f>IF(Table1[[#This Row],[Ask Rate]]=0,0,Table1[[#This Row],[Face Value]]-Table1[[#This Row],[Ask Rate]])</f>
        <v>0</v>
      </c>
      <c r="AA668">
        <f>IF(Table1[[#This Row],[Freq]]="Yearly",Table1[[#This Row],[Coupon_Rate]]/100,IF(Table1[[#This Row],[Freq]]="Monthly",Table1[[#This Row],[Coupon_Rate]]/1200,IF(Table1[[#This Row],[Freq]]="Quarterly",Table1[[#This Row],[Coupon_Rate]]/400,0)))</f>
        <v>8.3499999999999991E-2</v>
      </c>
      <c r="AB668">
        <f ca="1">Table1[[#This Row],[Face Value]]*Table1[[#This Row],[Rate]]*Table1[[#This Row],[Time]]</f>
        <v>83.499999999999986</v>
      </c>
      <c r="AC668">
        <f ca="1">Table1[[#This Row],[SI]]+Table1[[#This Row],[Disc/Prem]]</f>
        <v>83.499999999999986</v>
      </c>
      <c r="AD668" s="3" t="e">
        <f ca="1">Table1[[#This Row],[Net Gain]]/Table1[[#This Row],[Ask Rate]]</f>
        <v>#DIV/0!</v>
      </c>
      <c r="AE668" s="3">
        <f>IF(Table1[[#This Row],[Ask Qty]]=0,0,Table1[[#This Row],[Gross Yield]]*365/Table1[[#This Row],[Days Left]])</f>
        <v>0</v>
      </c>
      <c r="AF668" s="9">
        <f ca="1">+Table1[[#This Row],[Net Gain]]*Table1[[#This Row],[Ask Qty]]</f>
        <v>0</v>
      </c>
      <c r="AG668" t="str">
        <f>IF(Table1[[#This Row],[YTM]]&gt;0.12,IF(Table1[[#This Row],[Gross Profit]]&gt;10000,"Invest","Review"),"Low YTM")</f>
        <v>Low YTM</v>
      </c>
    </row>
    <row r="669" spans="1:33" x14ac:dyDescent="0.3">
      <c r="A669" t="str">
        <f>RTD("nest.scriprtd",,"nse_cm|1040UCL25-N4","Symbol")</f>
        <v>1040UCL25</v>
      </c>
      <c r="B669" t="str">
        <f>RTD("nest.scriprtd",,"nse_cm|1040UCL25-N4","Trading Symbol")</f>
        <v>1040UCL25-N4</v>
      </c>
      <c r="C669" t="str">
        <f>RTD("nest.scriprtd",,"nse_cm|1040UCL25-N4","Exchange")</f>
        <v>NSE</v>
      </c>
      <c r="D669">
        <f>RTD("nest.scriprtd",,"nse_cm|1040UCL25-N4","Bid Qty")</f>
        <v>1</v>
      </c>
      <c r="E669">
        <f>RTD("nest.scriprtd",,"nse_cm|1040UCL25-N4","Bid Rate")</f>
        <v>995</v>
      </c>
      <c r="F669">
        <f>RTD("nest.scriprtd",,"nse_cm|1040UCL25-N4","Ask Rate")</f>
        <v>1000</v>
      </c>
      <c r="G669">
        <f>RTD("nest.scriprtd",,"nse_cm|1040UCL25-N4","Ask Qty")</f>
        <v>0</v>
      </c>
      <c r="H669">
        <f>RTD("nest.scriprtd",,"nse_cm|1040UCL25-N4","LTP")</f>
        <v>995</v>
      </c>
      <c r="I669" t="str">
        <f>RTD("nest.scriprtd",,"nse_cm|1040UCL25-N4","LTT")</f>
        <v/>
      </c>
      <c r="J669">
        <f>RTD("nest.scriprtd",,"nse_cm|1040UCL25-N4","% Change")</f>
        <v>0</v>
      </c>
      <c r="K669">
        <f>RTD("nest.scriprtd",,"nse_cm|1040UCL25-N4","ATP")</f>
        <v>0</v>
      </c>
      <c r="L669">
        <f>RTD("nest.scriprtd",,"nse_cm|1040UCL25-N4","Volume Traded Today")</f>
        <v>0</v>
      </c>
      <c r="M669">
        <f>RTD("nest.scriprtd",,"nse_cm|1040UCL25-N4","Open")</f>
        <v>0</v>
      </c>
      <c r="N669">
        <f>RTD("nest.scriprtd",,"nse_cm|1040UCL25-N4","High")</f>
        <v>995</v>
      </c>
      <c r="O669">
        <f>RTD("nest.scriprtd",,"nse_cm|1040UCL25-N4","Low ")</f>
        <v>995</v>
      </c>
      <c r="P669">
        <f>RTD("nest.scriprtd",,"nse_cm|1040UCL25-N4","Prev Close")</f>
        <v>995</v>
      </c>
      <c r="Q669">
        <f>RTD("nest.scriprtd",,"nse_cm|1040UCL25-N4","Face Value")</f>
        <v>1000</v>
      </c>
      <c r="R669" t="str">
        <f>RTD("nest.scriprtd",,"nse_cm|1040UCL25-N4","Isin code")</f>
        <v>INE583D07265</v>
      </c>
      <c r="S669" s="9">
        <f>Table1[[#This Row],[Ask Rate]]*Table1[[#This Row],[Ask Qty]]</f>
        <v>0</v>
      </c>
      <c r="T669">
        <f>VLOOKUP(Table1[[#This Row],[Isin code]],Table2[#All],7,FALSE)</f>
        <v>10.4</v>
      </c>
      <c r="U669" s="17" t="str">
        <f>VLOOKUP(Table1[[#This Row],[Isin code]],Table2[#All],8,FALSE)</f>
        <v>05-May-2025</v>
      </c>
      <c r="V669" s="10">
        <f ca="1">Table1[[#This Row],[Maturity]]-TODAY()</f>
        <v>201</v>
      </c>
      <c r="W669" t="str">
        <f>VLOOKUP(Table1[[#This Row],[Isin code]],Table2[#All],10,FALSE)</f>
        <v>Monthly</v>
      </c>
      <c r="X669">
        <f ca="1">_xlfn.DAYS(Table1[[#This Row],[Maturity]],TODAY())-15</f>
        <v>186</v>
      </c>
      <c r="Y6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669">
        <f>IF(Table1[[#This Row],[Ask Rate]]=0,0,Table1[[#This Row],[Face Value]]-Table1[[#This Row],[Ask Rate]])</f>
        <v>0</v>
      </c>
      <c r="AA669">
        <f>IF(Table1[[#This Row],[Freq]]="Yearly",Table1[[#This Row],[Coupon_Rate]]/100,IF(Table1[[#This Row],[Freq]]="Monthly",Table1[[#This Row],[Coupon_Rate]]/1200,IF(Table1[[#This Row],[Freq]]="Quarterly",Table1[[#This Row],[Coupon_Rate]]/400,0)))</f>
        <v>8.6666666666666663E-3</v>
      </c>
      <c r="AB669">
        <f ca="1">Table1[[#This Row],[Face Value]]*Table1[[#This Row],[Rate]]*Table1[[#This Row],[Time]]</f>
        <v>60.666666666666664</v>
      </c>
      <c r="AC669">
        <f ca="1">Table1[[#This Row],[SI]]+Table1[[#This Row],[Disc/Prem]]</f>
        <v>60.666666666666664</v>
      </c>
      <c r="AD669" s="3">
        <f ca="1">Table1[[#This Row],[Net Gain]]/Table1[[#This Row],[Ask Rate]]</f>
        <v>6.0666666666666667E-2</v>
      </c>
      <c r="AE669" s="3">
        <f>IF(Table1[[#This Row],[Ask Qty]]=0,0,Table1[[#This Row],[Gross Yield]]*365/Table1[[#This Row],[Days Left]])</f>
        <v>0</v>
      </c>
      <c r="AF669" s="9">
        <f ca="1">+Table1[[#This Row],[Net Gain]]*Table1[[#This Row],[Ask Qty]]</f>
        <v>0</v>
      </c>
      <c r="AG669" t="str">
        <f>IF(Table1[[#This Row],[YTM]]&gt;0.12,IF(Table1[[#This Row],[Gross Profit]]&gt;10000,"Invest","Review"),"Low YTM")</f>
        <v>Low YTM</v>
      </c>
    </row>
    <row r="670" spans="1:33" x14ac:dyDescent="0.3">
      <c r="A670" t="str">
        <f>RTD("nest.scriprtd",,"bse_cm|95NIDO26","Symbol")</f>
        <v>95NIDO26</v>
      </c>
      <c r="B670" t="str">
        <f>RTD("nest.scriprtd",,"bse_cm|95NIDO26","Trading Symbol")</f>
        <v>95NIDO26</v>
      </c>
      <c r="C670" t="str">
        <f>RTD("nest.scriprtd",,"bse_cm|95NIDO26","Exchange")</f>
        <v>BSE</v>
      </c>
      <c r="D670">
        <f>RTD("nest.scriprtd",,"bse_cm|95NIDO26","Bid Qty")</f>
        <v>25</v>
      </c>
      <c r="E670">
        <f>RTD("nest.scriprtd",,"bse_cm|95NIDO26","Bid Rate")</f>
        <v>1017</v>
      </c>
      <c r="F670">
        <f>RTD("nest.scriprtd",,"bse_cm|95NIDO26","Ask Rate")</f>
        <v>0</v>
      </c>
      <c r="G670">
        <f>RTD("nest.scriprtd",,"bse_cm|95NIDO26","Ask Qty")</f>
        <v>0</v>
      </c>
      <c r="H670">
        <f>RTD("nest.scriprtd",,"bse_cm|95NIDO26","LTP")</f>
        <v>0</v>
      </c>
      <c r="I670" t="str">
        <f>RTD("nest.scriprtd",,"bse_cm|95NIDO26","LTT")</f>
        <v>00:00:00</v>
      </c>
      <c r="J670">
        <f>RTD("nest.scriprtd",,"bse_cm|95NIDO26","% Change")</f>
        <v>-100</v>
      </c>
      <c r="K670">
        <f>RTD("nest.scriprtd",,"bse_cm|95NIDO26","ATP")</f>
        <v>0</v>
      </c>
      <c r="L670">
        <f>RTD("nest.scriprtd",,"bse_cm|95NIDO26","Volume Traded Today")</f>
        <v>0</v>
      </c>
      <c r="M670">
        <f>RTD("nest.scriprtd",,"bse_cm|95NIDO26","Open")</f>
        <v>0</v>
      </c>
      <c r="N670">
        <f>RTD("nest.scriprtd",,"bse_cm|95NIDO26","High")</f>
        <v>1005.2</v>
      </c>
      <c r="O670">
        <f>RTD("nest.scriprtd",,"bse_cm|95NIDO26","Low ")</f>
        <v>1005.2</v>
      </c>
      <c r="P670">
        <f>RTD("nest.scriprtd",,"bse_cm|95NIDO26","Prev Close")</f>
        <v>1005.2</v>
      </c>
      <c r="Q670">
        <f>RTD("nest.scriprtd",,"bse_cm|95NIDO26","Face Value")</f>
        <v>1000</v>
      </c>
      <c r="R670" t="str">
        <f>RTD("nest.scriprtd",,"bse_cm|95NIDO26","Isin code")</f>
        <v>INE530L07707</v>
      </c>
      <c r="S670" s="9">
        <f>Table1[[#This Row],[Ask Rate]]*Table1[[#This Row],[Ask Qty]]</f>
        <v>0</v>
      </c>
      <c r="T670">
        <f>VLOOKUP(Table1[[#This Row],[Isin code]],Table2[#All],7,FALSE)</f>
        <v>9.5</v>
      </c>
      <c r="U670" s="17" t="str">
        <f>VLOOKUP(Table1[[#This Row],[Isin code]],Table2[#All],8,FALSE)</f>
        <v>01-Mar-2026</v>
      </c>
      <c r="V670" s="10">
        <f ca="1">Table1[[#This Row],[Maturity]]-TODAY()</f>
        <v>501</v>
      </c>
      <c r="W670" t="str">
        <f>VLOOKUP(Table1[[#This Row],[Isin code]],Table2[#All],10,FALSE)</f>
        <v>Yearly</v>
      </c>
      <c r="X670">
        <f ca="1">_xlfn.DAYS(Table1[[#This Row],[Maturity]],TODAY())-15</f>
        <v>486</v>
      </c>
      <c r="Y6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70">
        <f>IF(Table1[[#This Row],[Ask Rate]]=0,0,Table1[[#This Row],[Face Value]]-Table1[[#This Row],[Ask Rate]])</f>
        <v>0</v>
      </c>
      <c r="AA670">
        <f>IF(Table1[[#This Row],[Freq]]="Yearly",Table1[[#This Row],[Coupon_Rate]]/100,IF(Table1[[#This Row],[Freq]]="Monthly",Table1[[#This Row],[Coupon_Rate]]/1200,IF(Table1[[#This Row],[Freq]]="Quarterly",Table1[[#This Row],[Coupon_Rate]]/400,0)))</f>
        <v>9.5000000000000001E-2</v>
      </c>
      <c r="AB670">
        <f ca="1">Table1[[#This Row],[Face Value]]*Table1[[#This Row],[Rate]]*Table1[[#This Row],[Time]]</f>
        <v>190</v>
      </c>
      <c r="AC670">
        <f ca="1">Table1[[#This Row],[SI]]+Table1[[#This Row],[Disc/Prem]]</f>
        <v>190</v>
      </c>
      <c r="AD670" s="3" t="e">
        <f ca="1">Table1[[#This Row],[Net Gain]]/Table1[[#This Row],[Ask Rate]]</f>
        <v>#DIV/0!</v>
      </c>
      <c r="AE670" s="3">
        <f>IF(Table1[[#This Row],[Ask Qty]]=0,0,Table1[[#This Row],[Gross Yield]]*365/Table1[[#This Row],[Days Left]])</f>
        <v>0</v>
      </c>
      <c r="AF670" s="9">
        <f ca="1">+Table1[[#This Row],[Net Gain]]*Table1[[#This Row],[Ask Qty]]</f>
        <v>0</v>
      </c>
      <c r="AG670" t="str">
        <f>IF(Table1[[#This Row],[YTM]]&gt;0.12,IF(Table1[[#This Row],[Gross Profit]]&gt;10000,"Invest","Review"),"Low YTM")</f>
        <v>Low YTM</v>
      </c>
    </row>
    <row r="671" spans="1:33" x14ac:dyDescent="0.3">
      <c r="A671" t="str">
        <f>RTD("nest.scriprtd",,"bse_cm|11KAFL26","Symbol")</f>
        <v>11KAFL26</v>
      </c>
      <c r="B671" t="str">
        <f>RTD("nest.scriprtd",,"bse_cm|11KAFL26","Trading Symbol")</f>
        <v>11KAFL26</v>
      </c>
      <c r="C671" t="str">
        <f>RTD("nest.scriprtd",,"bse_cm|11KAFL26","Exchange")</f>
        <v>BSE</v>
      </c>
      <c r="D671">
        <f>RTD("nest.scriprtd",,"bse_cm|11KAFL26","Bid Qty")</f>
        <v>10</v>
      </c>
      <c r="E671">
        <f>RTD("nest.scriprtd",,"bse_cm|11KAFL26","Bid Rate")</f>
        <v>841.8</v>
      </c>
      <c r="F671">
        <f>RTD("nest.scriprtd",,"bse_cm|11KAFL26","Ask Rate")</f>
        <v>0</v>
      </c>
      <c r="G671">
        <f>RTD("nest.scriprtd",,"bse_cm|11KAFL26","Ask Qty")</f>
        <v>0</v>
      </c>
      <c r="H671">
        <f>RTD("nest.scriprtd",,"bse_cm|11KAFL26","LTP")</f>
        <v>0</v>
      </c>
      <c r="I671" t="str">
        <f>RTD("nest.scriprtd",,"bse_cm|11KAFL26","LTT")</f>
        <v>00:00:00</v>
      </c>
      <c r="J671">
        <f>RTD("nest.scriprtd",,"bse_cm|11KAFL26","% Change")</f>
        <v>-100</v>
      </c>
      <c r="K671">
        <f>RTD("nest.scriprtd",,"bse_cm|11KAFL26","ATP")</f>
        <v>0</v>
      </c>
      <c r="L671">
        <f>RTD("nest.scriprtd",,"bse_cm|11KAFL26","Volume Traded Today")</f>
        <v>0</v>
      </c>
      <c r="M671">
        <f>RTD("nest.scriprtd",,"bse_cm|11KAFL26","Open")</f>
        <v>0</v>
      </c>
      <c r="N671">
        <f>RTD("nest.scriprtd",,"bse_cm|11KAFL26","High")</f>
        <v>991</v>
      </c>
      <c r="O671">
        <f>RTD("nest.scriprtd",,"bse_cm|11KAFL26","Low ")</f>
        <v>991</v>
      </c>
      <c r="P671">
        <f>RTD("nest.scriprtd",,"bse_cm|11KAFL26","Prev Close")</f>
        <v>991</v>
      </c>
      <c r="Q671">
        <f>RTD("nest.scriprtd",,"bse_cm|11KAFL26","Face Value")</f>
        <v>1000</v>
      </c>
      <c r="R671" t="str">
        <f>RTD("nest.scriprtd",,"bse_cm|11KAFL26","Isin code")</f>
        <v>INE01I507471</v>
      </c>
      <c r="S671" s="9">
        <f>Table1[[#This Row],[Ask Rate]]*Table1[[#This Row],[Ask Qty]]</f>
        <v>0</v>
      </c>
      <c r="T671">
        <f>VLOOKUP(Table1[[#This Row],[Isin code]],Table2[#All],7,FALSE)</f>
        <v>11</v>
      </c>
      <c r="U671" s="17" t="str">
        <f>VLOOKUP(Table1[[#This Row],[Isin code]],Table2[#All],8,FALSE)</f>
        <v>31-Oct-2026</v>
      </c>
      <c r="V671" s="10">
        <f ca="1">Table1[[#This Row],[Maturity]]-TODAY()</f>
        <v>745</v>
      </c>
      <c r="W671" t="str">
        <f>VLOOKUP(Table1[[#This Row],[Isin code]],Table2[#All],10,FALSE)</f>
        <v>Monthly</v>
      </c>
      <c r="X671">
        <f ca="1">_xlfn.DAYS(Table1[[#This Row],[Maturity]],TODAY())-15</f>
        <v>730</v>
      </c>
      <c r="Y6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671">
        <f>IF(Table1[[#This Row],[Ask Rate]]=0,0,Table1[[#This Row],[Face Value]]-Table1[[#This Row],[Ask Rate]])</f>
        <v>0</v>
      </c>
      <c r="AA671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671">
        <f ca="1">Table1[[#This Row],[Face Value]]*Table1[[#This Row],[Rate]]*Table1[[#This Row],[Time]]</f>
        <v>229.16666666666666</v>
      </c>
      <c r="AC671">
        <f ca="1">Table1[[#This Row],[SI]]+Table1[[#This Row],[Disc/Prem]]</f>
        <v>229.16666666666666</v>
      </c>
      <c r="AD671" s="3" t="e">
        <f ca="1">Table1[[#This Row],[Net Gain]]/Table1[[#This Row],[Ask Rate]]</f>
        <v>#DIV/0!</v>
      </c>
      <c r="AE671" s="3">
        <f>IF(Table1[[#This Row],[Ask Qty]]=0,0,Table1[[#This Row],[Gross Yield]]*365/Table1[[#This Row],[Days Left]])</f>
        <v>0</v>
      </c>
      <c r="AF671" s="9">
        <f ca="1">+Table1[[#This Row],[Net Gain]]*Table1[[#This Row],[Ask Qty]]</f>
        <v>0</v>
      </c>
      <c r="AG671" t="str">
        <f>IF(Table1[[#This Row],[YTM]]&gt;0.12,IF(Table1[[#This Row],[Gross Profit]]&gt;10000,"Invest","Review"),"Low YTM")</f>
        <v>Low YTM</v>
      </c>
    </row>
    <row r="672" spans="1:33" x14ac:dyDescent="0.3">
      <c r="A672" t="str">
        <f>RTD("nest.scriprtd",,"bse_cm|1025SCL34A","Symbol")</f>
        <v>1025SCL34A</v>
      </c>
      <c r="B672" t="str">
        <f>RTD("nest.scriprtd",,"bse_cm|1025SCL34A","Trading Symbol")</f>
        <v>1025SCL34A</v>
      </c>
      <c r="C672" t="str">
        <f>RTD("nest.scriprtd",,"bse_cm|1025SCL34A","Exchange")</f>
        <v>BSE</v>
      </c>
      <c r="D672">
        <f>RTD("nest.scriprtd",,"bse_cm|1025SCL34A","Bid Qty")</f>
        <v>5</v>
      </c>
      <c r="E672">
        <f>RTD("nest.scriprtd",,"bse_cm|1025SCL34A","Bid Rate")</f>
        <v>905.2</v>
      </c>
      <c r="F672">
        <f>RTD("nest.scriprtd",,"bse_cm|1025SCL34A","Ask Rate")</f>
        <v>0</v>
      </c>
      <c r="G672">
        <f>RTD("nest.scriprtd",,"bse_cm|1025SCL34A","Ask Qty")</f>
        <v>0</v>
      </c>
      <c r="H672">
        <f>RTD("nest.scriprtd",,"bse_cm|1025SCL34A","LTP")</f>
        <v>0</v>
      </c>
      <c r="I672" t="str">
        <f>RTD("nest.scriprtd",,"bse_cm|1025SCL34A","LTT")</f>
        <v>00:00:00</v>
      </c>
      <c r="J672">
        <f>RTD("nest.scriprtd",,"bse_cm|1025SCL34A","% Change")</f>
        <v>-100</v>
      </c>
      <c r="K672">
        <f>RTD("nest.scriprtd",,"bse_cm|1025SCL34A","ATP")</f>
        <v>0</v>
      </c>
      <c r="L672">
        <f>RTD("nest.scriprtd",,"bse_cm|1025SCL34A","Volume Traded Today")</f>
        <v>0</v>
      </c>
      <c r="M672">
        <f>RTD("nest.scriprtd",,"bse_cm|1025SCL34A","Open")</f>
        <v>0</v>
      </c>
      <c r="N672">
        <f>RTD("nest.scriprtd",,"bse_cm|1025SCL34A","High")</f>
        <v>905.2</v>
      </c>
      <c r="O672">
        <f>RTD("nest.scriprtd",,"bse_cm|1025SCL34A","Low ")</f>
        <v>905.2</v>
      </c>
      <c r="P672">
        <f>RTD("nest.scriprtd",,"bse_cm|1025SCL34A","Prev Close")</f>
        <v>905.2</v>
      </c>
      <c r="Q672">
        <f>RTD("nest.scriprtd",,"bse_cm|1025SCL34A","Face Value")</f>
        <v>1000</v>
      </c>
      <c r="R672" t="str">
        <f>RTD("nest.scriprtd",,"bse_cm|1025SCL34A","Isin code")</f>
        <v>INE148I07TN2</v>
      </c>
      <c r="S672" s="9">
        <f>Table1[[#This Row],[Ask Rate]]*Table1[[#This Row],[Ask Qty]]</f>
        <v>0</v>
      </c>
      <c r="T672">
        <f>VLOOKUP(Table1[[#This Row],[Isin code]],Table2[#All],7,FALSE)</f>
        <v>10.25</v>
      </c>
      <c r="U672" s="17" t="str">
        <f>VLOOKUP(Table1[[#This Row],[Isin code]],Table2[#All],8,FALSE)</f>
        <v>31-May-2034</v>
      </c>
      <c r="V672" s="10">
        <f ca="1">Table1[[#This Row],[Maturity]]-TODAY()</f>
        <v>3514</v>
      </c>
      <c r="W672" t="str">
        <f>VLOOKUP(Table1[[#This Row],[Isin code]],Table2[#All],10,FALSE)</f>
        <v>Monthly</v>
      </c>
      <c r="X672">
        <f ca="1">_xlfn.DAYS(Table1[[#This Row],[Maturity]],TODAY())-15</f>
        <v>3499</v>
      </c>
      <c r="Y6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117</v>
      </c>
      <c r="Z672">
        <f>IF(Table1[[#This Row],[Ask Rate]]=0,0,Table1[[#This Row],[Face Value]]-Table1[[#This Row],[Ask Rate]])</f>
        <v>0</v>
      </c>
      <c r="AA672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672">
        <f ca="1">Table1[[#This Row],[Face Value]]*Table1[[#This Row],[Rate]]*Table1[[#This Row],[Time]]</f>
        <v>999.37499999999989</v>
      </c>
      <c r="AC672">
        <f ca="1">Table1[[#This Row],[SI]]+Table1[[#This Row],[Disc/Prem]]</f>
        <v>999.37499999999989</v>
      </c>
      <c r="AD672" s="3" t="e">
        <f ca="1">Table1[[#This Row],[Net Gain]]/Table1[[#This Row],[Ask Rate]]</f>
        <v>#DIV/0!</v>
      </c>
      <c r="AE672" s="3">
        <f>IF(Table1[[#This Row],[Ask Qty]]=0,0,Table1[[#This Row],[Gross Yield]]*365/Table1[[#This Row],[Days Left]])</f>
        <v>0</v>
      </c>
      <c r="AF672" s="9">
        <f ca="1">+Table1[[#This Row],[Net Gain]]*Table1[[#This Row],[Ask Qty]]</f>
        <v>0</v>
      </c>
      <c r="AG672" t="str">
        <f>IF(Table1[[#This Row],[YTM]]&gt;0.12,IF(Table1[[#This Row],[Gross Profit]]&gt;10000,"Invest","Review"),"Low YTM")</f>
        <v>Low YTM</v>
      </c>
    </row>
    <row r="673" spans="1:33" x14ac:dyDescent="0.3">
      <c r="A673" t="str">
        <f>RTD("nest.scriprtd",,"bse_cm|965SCL25F","Symbol")</f>
        <v>965SCL25F</v>
      </c>
      <c r="B673" t="str">
        <f>RTD("nest.scriprtd",,"bse_cm|965SCL25F","Trading Symbol")</f>
        <v>965SCL25F</v>
      </c>
      <c r="C673" t="str">
        <f>RTD("nest.scriprtd",,"bse_cm|965SCL25F","Exchange")</f>
        <v>BSE</v>
      </c>
      <c r="D673">
        <f>RTD("nest.scriprtd",,"bse_cm|965SCL25F","Bid Qty")</f>
        <v>10</v>
      </c>
      <c r="E673">
        <f>RTD("nest.scriprtd",,"bse_cm|965SCL25F","Bid Rate")</f>
        <v>910.2</v>
      </c>
      <c r="F673">
        <f>RTD("nest.scriprtd",,"bse_cm|965SCL25F","Ask Rate")</f>
        <v>0</v>
      </c>
      <c r="G673">
        <f>RTD("nest.scriprtd",,"bse_cm|965SCL25F","Ask Qty")</f>
        <v>0</v>
      </c>
      <c r="H673">
        <f>RTD("nest.scriprtd",,"bse_cm|965SCL25F","LTP")</f>
        <v>0</v>
      </c>
      <c r="I673" t="str">
        <f>RTD("nest.scriprtd",,"bse_cm|965SCL25F","LTT")</f>
        <v>00:00:00</v>
      </c>
      <c r="J673">
        <f>RTD("nest.scriprtd",,"bse_cm|965SCL25F","% Change")</f>
        <v>-100</v>
      </c>
      <c r="K673">
        <f>RTD("nest.scriprtd",,"bse_cm|965SCL25F","ATP")</f>
        <v>0</v>
      </c>
      <c r="L673">
        <f>RTD("nest.scriprtd",,"bse_cm|965SCL25F","Volume Traded Today")</f>
        <v>0</v>
      </c>
      <c r="M673">
        <f>RTD("nest.scriprtd",,"bse_cm|965SCL25F","Open")</f>
        <v>0</v>
      </c>
      <c r="N673">
        <f>RTD("nest.scriprtd",,"bse_cm|965SCL25F","High")</f>
        <v>878.58</v>
      </c>
      <c r="O673">
        <f>RTD("nest.scriprtd",,"bse_cm|965SCL25F","Low ")</f>
        <v>878.58</v>
      </c>
      <c r="P673">
        <f>RTD("nest.scriprtd",,"bse_cm|965SCL25F","Prev Close")</f>
        <v>878.58</v>
      </c>
      <c r="Q673">
        <f>RTD("nest.scriprtd",,"bse_cm|965SCL25F","Face Value")</f>
        <v>1000</v>
      </c>
      <c r="R673" t="str">
        <f>RTD("nest.scriprtd",,"bse_cm|965SCL25F","Isin code")</f>
        <v>INE148I07RB1</v>
      </c>
      <c r="S673" s="9">
        <f>Table1[[#This Row],[Ask Rate]]*Table1[[#This Row],[Ask Qty]]</f>
        <v>0</v>
      </c>
      <c r="T673">
        <f>VLOOKUP(Table1[[#This Row],[Isin code]],Table2[#All],7,FALSE)</f>
        <v>10.25</v>
      </c>
      <c r="U673" s="17" t="str">
        <f>VLOOKUP(Table1[[#This Row],[Isin code]],Table2[#All],8,FALSE)</f>
        <v>09-Nov-2033</v>
      </c>
      <c r="V673" s="10">
        <f ca="1">Table1[[#This Row],[Maturity]]-TODAY()</f>
        <v>3311</v>
      </c>
      <c r="W673" t="str">
        <f>VLOOKUP(Table1[[#This Row],[Isin code]],Table2[#All],10,FALSE)</f>
        <v>Monthly</v>
      </c>
      <c r="X673">
        <f ca="1">_xlfn.DAYS(Table1[[#This Row],[Maturity]],TODAY())-15</f>
        <v>3296</v>
      </c>
      <c r="Y6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110</v>
      </c>
      <c r="Z673">
        <f>IF(Table1[[#This Row],[Ask Rate]]=0,0,Table1[[#This Row],[Face Value]]-Table1[[#This Row],[Ask Rate]])</f>
        <v>0</v>
      </c>
      <c r="AA673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673">
        <f ca="1">Table1[[#This Row],[Face Value]]*Table1[[#This Row],[Rate]]*Table1[[#This Row],[Time]]</f>
        <v>939.58333333333326</v>
      </c>
      <c r="AC673">
        <f ca="1">Table1[[#This Row],[SI]]+Table1[[#This Row],[Disc/Prem]]</f>
        <v>939.58333333333326</v>
      </c>
      <c r="AD673" s="3" t="e">
        <f ca="1">Table1[[#This Row],[Net Gain]]/Table1[[#This Row],[Ask Rate]]</f>
        <v>#DIV/0!</v>
      </c>
      <c r="AE673" s="3">
        <f>IF(Table1[[#This Row],[Ask Qty]]=0,0,Table1[[#This Row],[Gross Yield]]*365/Table1[[#This Row],[Days Left]])</f>
        <v>0</v>
      </c>
      <c r="AF673" s="9">
        <f ca="1">+Table1[[#This Row],[Net Gain]]*Table1[[#This Row],[Ask Qty]]</f>
        <v>0</v>
      </c>
      <c r="AG673" t="str">
        <f>IF(Table1[[#This Row],[YTM]]&gt;0.12,IF(Table1[[#This Row],[Gross Profit]]&gt;10000,"Invest","Review"),"Low YTM")</f>
        <v>Low YTM</v>
      </c>
    </row>
    <row r="674" spans="1:33" x14ac:dyDescent="0.3">
      <c r="A674" t="str">
        <f>RTD("nest.scriprtd",,"bse_cm|10KFL28","Symbol")</f>
        <v>10KFL28</v>
      </c>
      <c r="B674" t="str">
        <f>RTD("nest.scriprtd",,"bse_cm|10KFL28","Trading Symbol")</f>
        <v>10KFL28</v>
      </c>
      <c r="C674" t="str">
        <f>RTD("nest.scriprtd",,"bse_cm|10KFL28","Exchange")</f>
        <v>BSE</v>
      </c>
      <c r="D674">
        <f>RTD("nest.scriprtd",,"bse_cm|10KFL28","Bid Qty")</f>
        <v>100</v>
      </c>
      <c r="E674">
        <f>RTD("nest.scriprtd",,"bse_cm|10KFL28","Bid Rate")</f>
        <v>860.4</v>
      </c>
      <c r="F674">
        <f>RTD("nest.scriprtd",,"bse_cm|10KFL28","Ask Rate")</f>
        <v>0</v>
      </c>
      <c r="G674">
        <f>RTD("nest.scriprtd",,"bse_cm|10KFL28","Ask Qty")</f>
        <v>0</v>
      </c>
      <c r="H674">
        <f>RTD("nest.scriprtd",,"bse_cm|10KFL28","LTP")</f>
        <v>0</v>
      </c>
      <c r="I674" t="str">
        <f>RTD("nest.scriprtd",,"bse_cm|10KFL28","LTT")</f>
        <v>00:00:00</v>
      </c>
      <c r="J674">
        <f>RTD("nest.scriprtd",,"bse_cm|10KFL28","% Change")</f>
        <v>-100</v>
      </c>
      <c r="K674">
        <f>RTD("nest.scriprtd",,"bse_cm|10KFL28","ATP")</f>
        <v>0</v>
      </c>
      <c r="L674">
        <f>RTD("nest.scriprtd",,"bse_cm|10KFL28","Volume Traded Today")</f>
        <v>0</v>
      </c>
      <c r="M674">
        <f>RTD("nest.scriprtd",,"bse_cm|10KFL28","Open")</f>
        <v>0</v>
      </c>
      <c r="N674">
        <f>RTD("nest.scriprtd",,"bse_cm|10KFL28","High")</f>
        <v>990</v>
      </c>
      <c r="O674">
        <f>RTD("nest.scriprtd",,"bse_cm|10KFL28","Low ")</f>
        <v>990</v>
      </c>
      <c r="P674">
        <f>RTD("nest.scriprtd",,"bse_cm|10KFL28","Prev Close")</f>
        <v>990</v>
      </c>
      <c r="Q674">
        <f>RTD("nest.scriprtd",,"bse_cm|10KFL28","Face Value")</f>
        <v>1000</v>
      </c>
      <c r="R674" t="str">
        <f>RTD("nest.scriprtd",,"bse_cm|10KFL28","Isin code")</f>
        <v>INE403Q07ED7</v>
      </c>
      <c r="S674" s="9">
        <f>Table1[[#This Row],[Ask Rate]]*Table1[[#This Row],[Ask Qty]]</f>
        <v>0</v>
      </c>
      <c r="T674">
        <f>VLOOKUP(Table1[[#This Row],[Isin code]],Table2[#All],7,FALSE)</f>
        <v>10</v>
      </c>
      <c r="U674" s="17" t="str">
        <f>VLOOKUP(Table1[[#This Row],[Isin code]],Table2[#All],8,FALSE)</f>
        <v>17-Jan-2028</v>
      </c>
      <c r="V674" s="10">
        <f ca="1">Table1[[#This Row],[Maturity]]-TODAY()</f>
        <v>1188</v>
      </c>
      <c r="W674" t="str">
        <f>VLOOKUP(Table1[[#This Row],[Isin code]],Table2[#All],10,FALSE)</f>
        <v>Monthly</v>
      </c>
      <c r="X674">
        <f ca="1">_xlfn.DAYS(Table1[[#This Row],[Maturity]],TODAY())-15</f>
        <v>1173</v>
      </c>
      <c r="Y6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674">
        <f>IF(Table1[[#This Row],[Ask Rate]]=0,0,Table1[[#This Row],[Face Value]]-Table1[[#This Row],[Ask Rate]])</f>
        <v>0</v>
      </c>
      <c r="AA674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674">
        <f ca="1">Table1[[#This Row],[Face Value]]*Table1[[#This Row],[Rate]]*Table1[[#This Row],[Time]]</f>
        <v>333.33333333333337</v>
      </c>
      <c r="AC674">
        <f ca="1">Table1[[#This Row],[SI]]+Table1[[#This Row],[Disc/Prem]]</f>
        <v>333.33333333333337</v>
      </c>
      <c r="AD674" s="3" t="e">
        <f ca="1">Table1[[#This Row],[Net Gain]]/Table1[[#This Row],[Ask Rate]]</f>
        <v>#DIV/0!</v>
      </c>
      <c r="AE674" s="3">
        <f>IF(Table1[[#This Row],[Ask Qty]]=0,0,Table1[[#This Row],[Gross Yield]]*365/Table1[[#This Row],[Days Left]])</f>
        <v>0</v>
      </c>
      <c r="AF674" s="9">
        <f ca="1">+Table1[[#This Row],[Net Gain]]*Table1[[#This Row],[Ask Qty]]</f>
        <v>0</v>
      </c>
      <c r="AG674" t="str">
        <f>IF(Table1[[#This Row],[YTM]]&gt;0.12,IF(Table1[[#This Row],[Gross Profit]]&gt;10000,"Invest","Review"),"Low YTM")</f>
        <v>Low YTM</v>
      </c>
    </row>
    <row r="675" spans="1:33" x14ac:dyDescent="0.3">
      <c r="A675" t="str">
        <f>RTD("nest.scriprtd",,"bse_cm|10KFL27","Symbol")</f>
        <v>10KFL27</v>
      </c>
      <c r="B675" t="str">
        <f>RTD("nest.scriprtd",,"bse_cm|10KFL27","Trading Symbol")</f>
        <v>10KFL27</v>
      </c>
      <c r="C675" t="str">
        <f>RTD("nest.scriprtd",,"bse_cm|10KFL27","Exchange")</f>
        <v>BSE</v>
      </c>
      <c r="D675">
        <f>RTD("nest.scriprtd",,"bse_cm|10KFL27","Bid Qty")</f>
        <v>100</v>
      </c>
      <c r="E675">
        <f>RTD("nest.scriprtd",,"bse_cm|10KFL27","Bid Rate")</f>
        <v>856</v>
      </c>
      <c r="F675">
        <f>RTD("nest.scriprtd",,"bse_cm|10KFL27","Ask Rate")</f>
        <v>0</v>
      </c>
      <c r="G675">
        <f>RTD("nest.scriprtd",,"bse_cm|10KFL27","Ask Qty")</f>
        <v>0</v>
      </c>
      <c r="H675">
        <f>RTD("nest.scriprtd",,"bse_cm|10KFL27","LTP")</f>
        <v>0</v>
      </c>
      <c r="I675" t="str">
        <f>RTD("nest.scriprtd",,"bse_cm|10KFL27","LTT")</f>
        <v>00:00:00</v>
      </c>
      <c r="J675">
        <f>RTD("nest.scriprtd",,"bse_cm|10KFL27","% Change")</f>
        <v>-100</v>
      </c>
      <c r="K675">
        <f>RTD("nest.scriprtd",,"bse_cm|10KFL27","ATP")</f>
        <v>0</v>
      </c>
      <c r="L675">
        <f>RTD("nest.scriprtd",,"bse_cm|10KFL27","Volume Traded Today")</f>
        <v>0</v>
      </c>
      <c r="M675">
        <f>RTD("nest.scriprtd",,"bse_cm|10KFL27","Open")</f>
        <v>0</v>
      </c>
      <c r="N675">
        <f>RTD("nest.scriprtd",,"bse_cm|10KFL27","High")</f>
        <v>993</v>
      </c>
      <c r="O675">
        <f>RTD("nest.scriprtd",,"bse_cm|10KFL27","Low ")</f>
        <v>990</v>
      </c>
      <c r="P675">
        <f>RTD("nest.scriprtd",,"bse_cm|10KFL27","Prev Close")</f>
        <v>993</v>
      </c>
      <c r="Q675">
        <f>RTD("nest.scriprtd",,"bse_cm|10KFL27","Face Value")</f>
        <v>1000</v>
      </c>
      <c r="R675" t="str">
        <f>RTD("nest.scriprtd",,"bse_cm|10KFL27","Isin code")</f>
        <v>INE403Q07DV1</v>
      </c>
      <c r="S675" s="9">
        <f>Table1[[#This Row],[Ask Rate]]*Table1[[#This Row],[Ask Qty]]</f>
        <v>0</v>
      </c>
      <c r="T675">
        <f>VLOOKUP(Table1[[#This Row],[Isin code]],Table2[#All],7,FALSE)</f>
        <v>10</v>
      </c>
      <c r="U675" s="17" t="str">
        <f>VLOOKUP(Table1[[#This Row],[Isin code]],Table2[#All],8,FALSE)</f>
        <v>27-Sep-2027</v>
      </c>
      <c r="V675" s="10">
        <f ca="1">Table1[[#This Row],[Maturity]]-TODAY()</f>
        <v>1076</v>
      </c>
      <c r="W675" t="str">
        <f>VLOOKUP(Table1[[#This Row],[Isin code]],Table2[#All],10,FALSE)</f>
        <v>MONTHLY</v>
      </c>
      <c r="X675">
        <f ca="1">_xlfn.DAYS(Table1[[#This Row],[Maturity]],TODAY())-15</f>
        <v>1061</v>
      </c>
      <c r="Y6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36</v>
      </c>
      <c r="Z675">
        <f>IF(Table1[[#This Row],[Ask Rate]]=0,0,Table1[[#This Row],[Face Value]]-Table1[[#This Row],[Ask Rate]])</f>
        <v>0</v>
      </c>
      <c r="AA675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675">
        <f ca="1">Table1[[#This Row],[Face Value]]*Table1[[#This Row],[Rate]]*Table1[[#This Row],[Time]]</f>
        <v>300</v>
      </c>
      <c r="AC675">
        <f ca="1">Table1[[#This Row],[SI]]+Table1[[#This Row],[Disc/Prem]]</f>
        <v>300</v>
      </c>
      <c r="AD675" s="3" t="e">
        <f ca="1">Table1[[#This Row],[Net Gain]]/Table1[[#This Row],[Ask Rate]]</f>
        <v>#DIV/0!</v>
      </c>
      <c r="AE675" s="3">
        <f>IF(Table1[[#This Row],[Ask Qty]]=0,0,Table1[[#This Row],[Gross Yield]]*365/Table1[[#This Row],[Days Left]])</f>
        <v>0</v>
      </c>
      <c r="AF675" s="9">
        <f ca="1">+Table1[[#This Row],[Net Gain]]*Table1[[#This Row],[Ask Qty]]</f>
        <v>0</v>
      </c>
      <c r="AG675" t="str">
        <f>IF(Table1[[#This Row],[YTM]]&gt;0.12,IF(Table1[[#This Row],[Gross Profit]]&gt;10000,"Invest","Review"),"Low YTM")</f>
        <v>Low YTM</v>
      </c>
    </row>
    <row r="676" spans="1:33" x14ac:dyDescent="0.3">
      <c r="A676" t="str">
        <f>RTD("nest.scriprtd",,"bse_cm|925SCL25C","Symbol")</f>
        <v>925SCL25C</v>
      </c>
      <c r="B676" t="str">
        <f>RTD("nest.scriprtd",,"bse_cm|925SCL25C","Trading Symbol")</f>
        <v>925SCL25C</v>
      </c>
      <c r="C676" t="str">
        <f>RTD("nest.scriprtd",,"bse_cm|925SCL25C","Exchange")</f>
        <v>BSE</v>
      </c>
      <c r="D676">
        <f>RTD("nest.scriprtd",,"bse_cm|925SCL25C","Bid Qty")</f>
        <v>12</v>
      </c>
      <c r="E676">
        <f>RTD("nest.scriprtd",,"bse_cm|925SCL25C","Bid Rate")</f>
        <v>950.2</v>
      </c>
      <c r="F676">
        <f>RTD("nest.scriprtd",,"bse_cm|925SCL25C","Ask Rate")</f>
        <v>0</v>
      </c>
      <c r="G676">
        <f>RTD("nest.scriprtd",,"bse_cm|925SCL25C","Ask Qty")</f>
        <v>0</v>
      </c>
      <c r="H676">
        <f>RTD("nest.scriprtd",,"bse_cm|925SCL25C","LTP")</f>
        <v>0</v>
      </c>
      <c r="I676" t="str">
        <f>RTD("nest.scriprtd",,"bse_cm|925SCL25C","LTT")</f>
        <v>00:00:00</v>
      </c>
      <c r="J676">
        <f>RTD("nest.scriprtd",,"bse_cm|925SCL25C","% Change")</f>
        <v>-100</v>
      </c>
      <c r="K676">
        <f>RTD("nest.scriprtd",,"bse_cm|925SCL25C","ATP")</f>
        <v>0</v>
      </c>
      <c r="L676">
        <f>RTD("nest.scriprtd",,"bse_cm|925SCL25C","Volume Traded Today")</f>
        <v>0</v>
      </c>
      <c r="M676">
        <f>RTD("nest.scriprtd",,"bse_cm|925SCL25C","Open")</f>
        <v>0</v>
      </c>
      <c r="N676">
        <f>RTD("nest.scriprtd",,"bse_cm|925SCL25C","High")</f>
        <v>995</v>
      </c>
      <c r="O676">
        <f>RTD("nest.scriprtd",,"bse_cm|925SCL25C","Low ")</f>
        <v>995</v>
      </c>
      <c r="P676">
        <f>RTD("nest.scriprtd",,"bse_cm|925SCL25C","Prev Close")</f>
        <v>995</v>
      </c>
      <c r="Q676">
        <f>RTD("nest.scriprtd",,"bse_cm|925SCL25C","Face Value")</f>
        <v>1000</v>
      </c>
      <c r="R676" t="str">
        <f>RTD("nest.scriprtd",,"bse_cm|925SCL25C","Isin code")</f>
        <v>INE148I07OL7</v>
      </c>
      <c r="S676" s="9">
        <f>Table1[[#This Row],[Ask Rate]]*Table1[[#This Row],[Ask Qty]]</f>
        <v>0</v>
      </c>
      <c r="T676">
        <f>VLOOKUP(Table1[[#This Row],[Isin code]],Table2[#All],7,FALSE)</f>
        <v>9.25</v>
      </c>
      <c r="U676" s="17" t="str">
        <f>VLOOKUP(Table1[[#This Row],[Isin code]],Table2[#All],8,FALSE)</f>
        <v>27-Jul-2025</v>
      </c>
      <c r="V676" s="10">
        <f ca="1">Table1[[#This Row],[Maturity]]-TODAY()</f>
        <v>284</v>
      </c>
      <c r="W676" t="str">
        <f>VLOOKUP(Table1[[#This Row],[Isin code]],Table2[#All],10,FALSE)</f>
        <v>Monthly</v>
      </c>
      <c r="X676">
        <f ca="1">_xlfn.DAYS(Table1[[#This Row],[Maturity]],TODAY())-15</f>
        <v>269</v>
      </c>
      <c r="Y6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676">
        <f>IF(Table1[[#This Row],[Ask Rate]]=0,0,Table1[[#This Row],[Face Value]]-Table1[[#This Row],[Ask Rate]])</f>
        <v>0</v>
      </c>
      <c r="AA676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676">
        <f ca="1">Table1[[#This Row],[Face Value]]*Table1[[#This Row],[Rate]]*Table1[[#This Row],[Time]]</f>
        <v>69.375</v>
      </c>
      <c r="AC676">
        <f ca="1">Table1[[#This Row],[SI]]+Table1[[#This Row],[Disc/Prem]]</f>
        <v>69.375</v>
      </c>
      <c r="AD676" s="3" t="e">
        <f ca="1">Table1[[#This Row],[Net Gain]]/Table1[[#This Row],[Ask Rate]]</f>
        <v>#DIV/0!</v>
      </c>
      <c r="AE676" s="3">
        <f>IF(Table1[[#This Row],[Ask Qty]]=0,0,Table1[[#This Row],[Gross Yield]]*365/Table1[[#This Row],[Days Left]])</f>
        <v>0</v>
      </c>
      <c r="AF676" s="9">
        <f ca="1">+Table1[[#This Row],[Net Gain]]*Table1[[#This Row],[Ask Qty]]</f>
        <v>0</v>
      </c>
      <c r="AG676" t="str">
        <f>IF(Table1[[#This Row],[YTM]]&gt;0.12,IF(Table1[[#This Row],[Gross Profit]]&gt;10000,"Invest","Review"),"Low YTM")</f>
        <v>Low YTM</v>
      </c>
    </row>
    <row r="677" spans="1:33" x14ac:dyDescent="0.3">
      <c r="A677" t="str">
        <f>RTD("nest.scriprtd",,"bse_cm|944MFL28","Symbol")</f>
        <v>944MFL28</v>
      </c>
      <c r="B677" t="str">
        <f>RTD("nest.scriprtd",,"bse_cm|944MFL28","Trading Symbol")</f>
        <v>944MFL28</v>
      </c>
      <c r="C677" t="str">
        <f>RTD("nest.scriprtd",,"bse_cm|944MFL28","Exchange")</f>
        <v>BSE</v>
      </c>
      <c r="D677">
        <f>RTD("nest.scriprtd",,"bse_cm|944MFL28","Bid Qty")</f>
        <v>100</v>
      </c>
      <c r="E677">
        <f>RTD("nest.scriprtd",,"bse_cm|944MFL28","Bid Rate")</f>
        <v>837</v>
      </c>
      <c r="F677">
        <f>RTD("nest.scriprtd",,"bse_cm|944MFL28","Ask Rate")</f>
        <v>0</v>
      </c>
      <c r="G677">
        <f>RTD("nest.scriprtd",,"bse_cm|944MFL28","Ask Qty")</f>
        <v>0</v>
      </c>
      <c r="H677">
        <f>RTD("nest.scriprtd",,"bse_cm|944MFL28","LTP")</f>
        <v>0</v>
      </c>
      <c r="I677" t="str">
        <f>RTD("nest.scriprtd",,"bse_cm|944MFL28","LTT")</f>
        <v>00:00:00</v>
      </c>
      <c r="J677">
        <f>RTD("nest.scriprtd",,"bse_cm|944MFL28","% Change")</f>
        <v>-100</v>
      </c>
      <c r="K677">
        <f>RTD("nest.scriprtd",,"bse_cm|944MFL28","ATP")</f>
        <v>0</v>
      </c>
      <c r="L677">
        <f>RTD("nest.scriprtd",,"bse_cm|944MFL28","Volume Traded Today")</f>
        <v>0</v>
      </c>
      <c r="M677">
        <f>RTD("nest.scriprtd",,"bse_cm|944MFL28","Open")</f>
        <v>0</v>
      </c>
      <c r="N677">
        <f>RTD("nest.scriprtd",,"bse_cm|944MFL28","High")</f>
        <v>944.03</v>
      </c>
      <c r="O677">
        <f>RTD("nest.scriprtd",,"bse_cm|944MFL28","Low ")</f>
        <v>944.03</v>
      </c>
      <c r="P677">
        <f>RTD("nest.scriprtd",,"bse_cm|944MFL28","Prev Close")</f>
        <v>944.03</v>
      </c>
      <c r="Q677">
        <f>RTD("nest.scriprtd",,"bse_cm|944MFL28","Face Value")</f>
        <v>1000</v>
      </c>
      <c r="R677" t="str">
        <f>RTD("nest.scriprtd",,"bse_cm|944MFL28","Isin code")</f>
        <v>INE549K07CW4</v>
      </c>
      <c r="S677" s="9">
        <f>Table1[[#This Row],[Ask Rate]]*Table1[[#This Row],[Ask Qty]]</f>
        <v>0</v>
      </c>
      <c r="T677">
        <f>VLOOKUP(Table1[[#This Row],[Isin code]],Table2[#All],7,FALSE)</f>
        <v>9.44</v>
      </c>
      <c r="U677" s="17" t="str">
        <f>VLOOKUP(Table1[[#This Row],[Isin code]],Table2[#All],8,FALSE)</f>
        <v>01-Nov-2028</v>
      </c>
      <c r="V677" s="10">
        <f ca="1">Table1[[#This Row],[Maturity]]-TODAY()</f>
        <v>1477</v>
      </c>
      <c r="W677" t="str">
        <f>VLOOKUP(Table1[[#This Row],[Isin code]],Table2[#All],10,FALSE)</f>
        <v>Yearly</v>
      </c>
      <c r="X677">
        <f ca="1">_xlfn.DAYS(Table1[[#This Row],[Maturity]],TODAY())-15</f>
        <v>1462</v>
      </c>
      <c r="Y6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677">
        <f>IF(Table1[[#This Row],[Ask Rate]]=0,0,Table1[[#This Row],[Face Value]]-Table1[[#This Row],[Ask Rate]])</f>
        <v>0</v>
      </c>
      <c r="AA677">
        <f>IF(Table1[[#This Row],[Freq]]="Yearly",Table1[[#This Row],[Coupon_Rate]]/100,IF(Table1[[#This Row],[Freq]]="Monthly",Table1[[#This Row],[Coupon_Rate]]/1200,IF(Table1[[#This Row],[Freq]]="Quarterly",Table1[[#This Row],[Coupon_Rate]]/400,0)))</f>
        <v>9.4399999999999998E-2</v>
      </c>
      <c r="AB677">
        <f ca="1">Table1[[#This Row],[Face Value]]*Table1[[#This Row],[Rate]]*Table1[[#This Row],[Time]]</f>
        <v>471.99999999999994</v>
      </c>
      <c r="AC677">
        <f ca="1">Table1[[#This Row],[SI]]+Table1[[#This Row],[Disc/Prem]]</f>
        <v>471.99999999999994</v>
      </c>
      <c r="AD677" s="3" t="e">
        <f ca="1">Table1[[#This Row],[Net Gain]]/Table1[[#This Row],[Ask Rate]]</f>
        <v>#DIV/0!</v>
      </c>
      <c r="AE677" s="3">
        <f>IF(Table1[[#This Row],[Ask Qty]]=0,0,Table1[[#This Row],[Gross Yield]]*365/Table1[[#This Row],[Days Left]])</f>
        <v>0</v>
      </c>
      <c r="AF677" s="9">
        <f ca="1">+Table1[[#This Row],[Net Gain]]*Table1[[#This Row],[Ask Qty]]</f>
        <v>0</v>
      </c>
      <c r="AG677" t="str">
        <f>IF(Table1[[#This Row],[YTM]]&gt;0.12,IF(Table1[[#This Row],[Gross Profit]]&gt;10000,"Invest","Review"),"Low YTM")</f>
        <v>Low YTM</v>
      </c>
    </row>
    <row r="678" spans="1:33" x14ac:dyDescent="0.3">
      <c r="A678" t="str">
        <f>RTD("nest.scriprtd",,"nse_cm|1040NFL26-NA","Symbol")</f>
        <v>1040NFL26</v>
      </c>
      <c r="B678" t="str">
        <f>RTD("nest.scriprtd",,"nse_cm|1040NFL26-NA","Trading Symbol")</f>
        <v>1040NFL26-NA</v>
      </c>
      <c r="C678" t="str">
        <f>RTD("nest.scriprtd",,"nse_cm|1040NFL26-NA","Exchange")</f>
        <v>NSE</v>
      </c>
      <c r="D678">
        <f>RTD("nest.scriprtd",,"nse_cm|1040NFL26-NA","Bid Qty")</f>
        <v>17</v>
      </c>
      <c r="E678">
        <f>RTD("nest.scriprtd",,"nse_cm|1040NFL26-NA","Bid Rate")</f>
        <v>865.2</v>
      </c>
      <c r="F678">
        <f>RTD("nest.scriprtd",,"nse_cm|1040NFL26-NA","Ask Rate")</f>
        <v>0</v>
      </c>
      <c r="G678">
        <f>RTD("nest.scriprtd",,"nse_cm|1040NFL26-NA","Ask Qty")</f>
        <v>0</v>
      </c>
      <c r="H678">
        <f>RTD("nest.scriprtd",,"nse_cm|1040NFL26-NA","LTP")</f>
        <v>1000.05</v>
      </c>
      <c r="I678" t="str">
        <f>RTD("nest.scriprtd",,"nse_cm|1040NFL26-NA","LTT")</f>
        <v/>
      </c>
      <c r="J678">
        <f>RTD("nest.scriprtd",,"nse_cm|1040NFL26-NA","% Change")</f>
        <v>0</v>
      </c>
      <c r="K678">
        <f>RTD("nest.scriprtd",,"nse_cm|1040NFL26-NA","ATP")</f>
        <v>0</v>
      </c>
      <c r="L678">
        <f>RTD("nest.scriprtd",,"nse_cm|1040NFL26-NA","Volume Traded Today")</f>
        <v>0</v>
      </c>
      <c r="M678">
        <f>RTD("nest.scriprtd",,"nse_cm|1040NFL26-NA","Open")</f>
        <v>0</v>
      </c>
      <c r="N678">
        <f>RTD("nest.scriprtd",,"nse_cm|1040NFL26-NA","High")</f>
        <v>1000.05</v>
      </c>
      <c r="O678">
        <f>RTD("nest.scriprtd",,"nse_cm|1040NFL26-NA","Low ")</f>
        <v>1000.05</v>
      </c>
      <c r="P678">
        <f>RTD("nest.scriprtd",,"nse_cm|1040NFL26-NA","Prev Close")</f>
        <v>1000.05</v>
      </c>
      <c r="Q678">
        <f>RTD("nest.scriprtd",,"nse_cm|1040NFL26-NA","Face Value")</f>
        <v>1000</v>
      </c>
      <c r="R678" t="str">
        <f>RTD("nest.scriprtd",,"nse_cm|1040NFL26-NA","Isin code")</f>
        <v>INE342T07437</v>
      </c>
      <c r="S678" s="9">
        <f>Table1[[#This Row],[Ask Rate]]*Table1[[#This Row],[Ask Qty]]</f>
        <v>0</v>
      </c>
      <c r="T678">
        <f>VLOOKUP(Table1[[#This Row],[Isin code]],Table2[#All],7,FALSE)</f>
        <v>10.4</v>
      </c>
      <c r="U678" s="17" t="str">
        <f>VLOOKUP(Table1[[#This Row],[Isin code]],Table2[#All],8,FALSE)</f>
        <v>13-Jun-2026</v>
      </c>
      <c r="V678" s="10">
        <f ca="1">Table1[[#This Row],[Maturity]]-TODAY()</f>
        <v>605</v>
      </c>
      <c r="W678" t="str">
        <f>VLOOKUP(Table1[[#This Row],[Isin code]],Table2[#All],10,FALSE)</f>
        <v>Monthly</v>
      </c>
      <c r="X678">
        <f ca="1">_xlfn.DAYS(Table1[[#This Row],[Maturity]],TODAY())-15</f>
        <v>590</v>
      </c>
      <c r="Y6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678">
        <f>IF(Table1[[#This Row],[Ask Rate]]=0,0,Table1[[#This Row],[Face Value]]-Table1[[#This Row],[Ask Rate]])</f>
        <v>0</v>
      </c>
      <c r="AA678">
        <f>IF(Table1[[#This Row],[Freq]]="Yearly",Table1[[#This Row],[Coupon_Rate]]/100,IF(Table1[[#This Row],[Freq]]="Monthly",Table1[[#This Row],[Coupon_Rate]]/1200,IF(Table1[[#This Row],[Freq]]="Quarterly",Table1[[#This Row],[Coupon_Rate]]/400,0)))</f>
        <v>8.6666666666666663E-3</v>
      </c>
      <c r="AB678">
        <f ca="1">Table1[[#This Row],[Face Value]]*Table1[[#This Row],[Rate]]*Table1[[#This Row],[Time]]</f>
        <v>173.33333333333331</v>
      </c>
      <c r="AC678">
        <f ca="1">Table1[[#This Row],[SI]]+Table1[[#This Row],[Disc/Prem]]</f>
        <v>173.33333333333331</v>
      </c>
      <c r="AD678" s="3" t="e">
        <f ca="1">Table1[[#This Row],[Net Gain]]/Table1[[#This Row],[Ask Rate]]</f>
        <v>#DIV/0!</v>
      </c>
      <c r="AE678" s="3">
        <f>IF(Table1[[#This Row],[Ask Qty]]=0,0,Table1[[#This Row],[Gross Yield]]*365/Table1[[#This Row],[Days Left]])</f>
        <v>0</v>
      </c>
      <c r="AF678" s="9">
        <f ca="1">+Table1[[#This Row],[Net Gain]]*Table1[[#This Row],[Ask Qty]]</f>
        <v>0</v>
      </c>
      <c r="AG678" t="str">
        <f>IF(Table1[[#This Row],[YTM]]&gt;0.12,IF(Table1[[#This Row],[Gross Profit]]&gt;10000,"Invest","Review"),"Low YTM")</f>
        <v>Low YTM</v>
      </c>
    </row>
    <row r="679" spans="1:33" x14ac:dyDescent="0.3">
      <c r="A679" t="str">
        <f>RTD("nest.scriprtd",,"bse_cm|1003NIDO29","Symbol")</f>
        <v>1003NIDO29</v>
      </c>
      <c r="B679" t="str">
        <f>RTD("nest.scriprtd",,"bse_cm|1003NIDO29","Trading Symbol")</f>
        <v>1003NIDO29</v>
      </c>
      <c r="C679" t="str">
        <f>RTD("nest.scriprtd",,"bse_cm|1003NIDO29","Exchange")</f>
        <v>BSE</v>
      </c>
      <c r="D679">
        <f>RTD("nest.scriprtd",,"bse_cm|1003NIDO29","Bid Qty")</f>
        <v>25</v>
      </c>
      <c r="E679">
        <f>RTD("nest.scriprtd",,"bse_cm|1003NIDO29","Bid Rate")</f>
        <v>919</v>
      </c>
      <c r="F679">
        <f>RTD("nest.scriprtd",,"bse_cm|1003NIDO29","Ask Rate")</f>
        <v>0</v>
      </c>
      <c r="G679">
        <f>RTD("nest.scriprtd",,"bse_cm|1003NIDO29","Ask Qty")</f>
        <v>0</v>
      </c>
      <c r="H679">
        <f>RTD("nest.scriprtd",,"bse_cm|1003NIDO29","LTP")</f>
        <v>0</v>
      </c>
      <c r="I679" t="str">
        <f>RTD("nest.scriprtd",,"bse_cm|1003NIDO29","LTT")</f>
        <v>00:00:00</v>
      </c>
      <c r="J679">
        <f>RTD("nest.scriprtd",,"bse_cm|1003NIDO29","% Change")</f>
        <v>-100</v>
      </c>
      <c r="K679">
        <f>RTD("nest.scriprtd",,"bse_cm|1003NIDO29","ATP")</f>
        <v>0</v>
      </c>
      <c r="L679">
        <f>RTD("nest.scriprtd",,"bse_cm|1003NIDO29","Volume Traded Today")</f>
        <v>0</v>
      </c>
      <c r="M679">
        <f>RTD("nest.scriprtd",,"bse_cm|1003NIDO29","Open")</f>
        <v>0</v>
      </c>
      <c r="N679">
        <f>RTD("nest.scriprtd",,"bse_cm|1003NIDO29","High")</f>
        <v>966.13</v>
      </c>
      <c r="O679">
        <f>RTD("nest.scriprtd",,"bse_cm|1003NIDO29","Low ")</f>
        <v>966.13</v>
      </c>
      <c r="P679">
        <f>RTD("nest.scriprtd",,"bse_cm|1003NIDO29","Prev Close")</f>
        <v>966.13</v>
      </c>
      <c r="Q679">
        <f>RTD("nest.scriprtd",,"bse_cm|1003NIDO29","Face Value")</f>
        <v>1000</v>
      </c>
      <c r="R679" t="str">
        <f>RTD("nest.scriprtd",,"bse_cm|1003NIDO29","Isin code")</f>
        <v>INE530L07665</v>
      </c>
      <c r="S679" s="9">
        <f>Table1[[#This Row],[Ask Rate]]*Table1[[#This Row],[Ask Qty]]</f>
        <v>0</v>
      </c>
      <c r="T679">
        <f>VLOOKUP(Table1[[#This Row],[Isin code]],Table2[#All],7,FALSE)</f>
        <v>10.029999999999999</v>
      </c>
      <c r="U679" s="17" t="str">
        <f>VLOOKUP(Table1[[#This Row],[Isin code]],Table2[#All],8,FALSE)</f>
        <v>01-Mar-2029</v>
      </c>
      <c r="V679" s="10">
        <f ca="1">Table1[[#This Row],[Maturity]]-TODAY()</f>
        <v>1597</v>
      </c>
      <c r="W679" t="str">
        <f>VLOOKUP(Table1[[#This Row],[Isin code]],Table2[#All],10,FALSE)</f>
        <v>Monthly</v>
      </c>
      <c r="X679">
        <f ca="1">_xlfn.DAYS(Table1[[#This Row],[Maturity]],TODAY())-15</f>
        <v>1582</v>
      </c>
      <c r="Y6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53</v>
      </c>
      <c r="Z679">
        <f>IF(Table1[[#This Row],[Ask Rate]]=0,0,Table1[[#This Row],[Face Value]]-Table1[[#This Row],[Ask Rate]])</f>
        <v>0</v>
      </c>
      <c r="AA679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679">
        <f ca="1">Table1[[#This Row],[Face Value]]*Table1[[#This Row],[Rate]]*Table1[[#This Row],[Time]]</f>
        <v>442.99166666666662</v>
      </c>
      <c r="AC679">
        <f ca="1">Table1[[#This Row],[SI]]+Table1[[#This Row],[Disc/Prem]]</f>
        <v>442.99166666666662</v>
      </c>
      <c r="AD679" s="3" t="e">
        <f ca="1">Table1[[#This Row],[Net Gain]]/Table1[[#This Row],[Ask Rate]]</f>
        <v>#DIV/0!</v>
      </c>
      <c r="AE679" s="3">
        <f>IF(Table1[[#This Row],[Ask Qty]]=0,0,Table1[[#This Row],[Gross Yield]]*365/Table1[[#This Row],[Days Left]])</f>
        <v>0</v>
      </c>
      <c r="AF679" s="9">
        <f ca="1">+Table1[[#This Row],[Net Gain]]*Table1[[#This Row],[Ask Qty]]</f>
        <v>0</v>
      </c>
      <c r="AG679" t="str">
        <f>IF(Table1[[#This Row],[YTM]]&gt;0.12,IF(Table1[[#This Row],[Gross Profit]]&gt;10000,"Invest","Review"),"Low YTM")</f>
        <v>Low YTM</v>
      </c>
    </row>
    <row r="680" spans="1:33" x14ac:dyDescent="0.3">
      <c r="A680" t="str">
        <f>RTD("nest.scriprtd",,"nse_cm|971SCL28A-NT","Symbol")</f>
        <v>971SCL28A</v>
      </c>
      <c r="B680" t="str">
        <f>RTD("nest.scriprtd",,"nse_cm|971SCL28A-NT","Trading Symbol")</f>
        <v>971SCL28A-NT</v>
      </c>
      <c r="C680" t="str">
        <f>RTD("nest.scriprtd",,"nse_cm|971SCL28A-NT","Exchange")</f>
        <v>NSE</v>
      </c>
      <c r="D680">
        <f>RTD("nest.scriprtd",,"nse_cm|971SCL28A-NT","Bid Qty")</f>
        <v>7</v>
      </c>
      <c r="E680">
        <f>RTD("nest.scriprtd",,"nse_cm|971SCL28A-NT","Bid Rate")</f>
        <v>1000</v>
      </c>
      <c r="F680">
        <f>RTD("nest.scriprtd",,"nse_cm|971SCL28A-NT","Ask Rate")</f>
        <v>0</v>
      </c>
      <c r="G680">
        <f>RTD("nest.scriprtd",,"nse_cm|971SCL28A-NT","Ask Qty")</f>
        <v>0</v>
      </c>
      <c r="H680">
        <f>RTD("nest.scriprtd",,"nse_cm|971SCL28A-NT","LTP")</f>
        <v>1000</v>
      </c>
      <c r="I680" t="str">
        <f>RTD("nest.scriprtd",,"nse_cm|971SCL28A-NT","LTT")</f>
        <v>15:11:55</v>
      </c>
      <c r="J680">
        <f>RTD("nest.scriprtd",,"nse_cm|971SCL28A-NT","% Change")</f>
        <v>0</v>
      </c>
      <c r="K680">
        <f>RTD("nest.scriprtd",,"nse_cm|971SCL28A-NT","ATP")</f>
        <v>1000</v>
      </c>
      <c r="L680">
        <f>RTD("nest.scriprtd",,"nse_cm|971SCL28A-NT","Volume Traded Today")</f>
        <v>24</v>
      </c>
      <c r="M680">
        <f>RTD("nest.scriprtd",,"nse_cm|971SCL28A-NT","Open")</f>
        <v>1000</v>
      </c>
      <c r="N680">
        <f>RTD("nest.scriprtd",,"nse_cm|971SCL28A-NT","High")</f>
        <v>1000</v>
      </c>
      <c r="O680">
        <f>RTD("nest.scriprtd",,"nse_cm|971SCL28A-NT","Low ")</f>
        <v>1000</v>
      </c>
      <c r="P680">
        <f>RTD("nest.scriprtd",,"nse_cm|971SCL28A-NT","Prev Close")</f>
        <v>1000</v>
      </c>
      <c r="Q680">
        <f>RTD("nest.scriprtd",,"nse_cm|971SCL28A-NT","Face Value")</f>
        <v>1000</v>
      </c>
      <c r="R680" t="str">
        <f>RTD("nest.scriprtd",,"nse_cm|971SCL28A-NT","Isin code")</f>
        <v>INE148I07QT5</v>
      </c>
      <c r="S680" s="9">
        <f>Table1[[#This Row],[Ask Rate]]*Table1[[#This Row],[Ask Qty]]</f>
        <v>0</v>
      </c>
      <c r="T680">
        <f>VLOOKUP(Table1[[#This Row],[Isin code]],Table2[#All],7,FALSE)</f>
        <v>9.7100000000000009</v>
      </c>
      <c r="U680" s="17" t="str">
        <f>VLOOKUP(Table1[[#This Row],[Isin code]],Table2[#All],8,FALSE)</f>
        <v>09-Nov-2028</v>
      </c>
      <c r="V680" s="10">
        <f ca="1">Table1[[#This Row],[Maturity]]-TODAY()</f>
        <v>1485</v>
      </c>
      <c r="W680" t="str">
        <f>VLOOKUP(Table1[[#This Row],[Isin code]],Table2[#All],10,FALSE)</f>
        <v>Monthly</v>
      </c>
      <c r="X680">
        <f ca="1">_xlfn.DAYS(Table1[[#This Row],[Maturity]],TODAY())-15</f>
        <v>1470</v>
      </c>
      <c r="Y6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49</v>
      </c>
      <c r="Z680">
        <f>IF(Table1[[#This Row],[Ask Rate]]=0,0,Table1[[#This Row],[Face Value]]-Table1[[#This Row],[Ask Rate]])</f>
        <v>0</v>
      </c>
      <c r="AA680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680">
        <f ca="1">Table1[[#This Row],[Face Value]]*Table1[[#This Row],[Rate]]*Table1[[#This Row],[Time]]</f>
        <v>396.49166666666667</v>
      </c>
      <c r="AC680">
        <f ca="1">Table1[[#This Row],[SI]]+Table1[[#This Row],[Disc/Prem]]</f>
        <v>396.49166666666667</v>
      </c>
      <c r="AD680" s="3" t="e">
        <f ca="1">Table1[[#This Row],[Net Gain]]/Table1[[#This Row],[Ask Rate]]</f>
        <v>#DIV/0!</v>
      </c>
      <c r="AE680" s="3">
        <f>IF(Table1[[#This Row],[Ask Qty]]=0,0,Table1[[#This Row],[Gross Yield]]*365/Table1[[#This Row],[Days Left]])</f>
        <v>0</v>
      </c>
      <c r="AF680" s="9">
        <f ca="1">+Table1[[#This Row],[Net Gain]]*Table1[[#This Row],[Ask Qty]]</f>
        <v>0</v>
      </c>
      <c r="AG680" t="str">
        <f>IF(Table1[[#This Row],[YTM]]&gt;0.12,IF(Table1[[#This Row],[Gross Profit]]&gt;10000,"Invest","Review"),"Low YTM")</f>
        <v>Low YTM</v>
      </c>
    </row>
    <row r="681" spans="1:33" x14ac:dyDescent="0.3">
      <c r="A681" t="str">
        <f>RTD("nest.scriprtd",,"nse_cm|971SCL29-Z0","Symbol")</f>
        <v>971SCL29</v>
      </c>
      <c r="B681" t="str">
        <f>RTD("nest.scriprtd",,"nse_cm|971SCL29-Z0","Trading Symbol")</f>
        <v>971SCL29-Z0</v>
      </c>
      <c r="C681" t="str">
        <f>RTD("nest.scriprtd",,"nse_cm|971SCL29-Z0","Exchange")</f>
        <v>NSE</v>
      </c>
      <c r="D681">
        <f>RTD("nest.scriprtd",,"nse_cm|971SCL29-Z0","Bid Qty")</f>
        <v>12</v>
      </c>
      <c r="E681">
        <f>RTD("nest.scriprtd",,"nse_cm|971SCL29-Z0","Bid Rate")</f>
        <v>900.3</v>
      </c>
      <c r="F681">
        <f>RTD("nest.scriprtd",,"nse_cm|971SCL29-Z0","Ask Rate")</f>
        <v>0</v>
      </c>
      <c r="G681">
        <f>RTD("nest.scriprtd",,"nse_cm|971SCL29-Z0","Ask Qty")</f>
        <v>0</v>
      </c>
      <c r="H681">
        <f>RTD("nest.scriprtd",,"nse_cm|971SCL29-Z0","LTP")</f>
        <v>1000</v>
      </c>
      <c r="I681" t="str">
        <f>RTD("nest.scriprtd",,"nse_cm|971SCL29-Z0","LTT")</f>
        <v/>
      </c>
      <c r="J681">
        <f>RTD("nest.scriprtd",,"nse_cm|971SCL29-Z0","% Change")</f>
        <v>0</v>
      </c>
      <c r="K681">
        <f>RTD("nest.scriprtd",,"nse_cm|971SCL29-Z0","ATP")</f>
        <v>0</v>
      </c>
      <c r="L681">
        <f>RTD("nest.scriprtd",,"nse_cm|971SCL29-Z0","Volume Traded Today")</f>
        <v>0</v>
      </c>
      <c r="M681">
        <f>RTD("nest.scriprtd",,"nse_cm|971SCL29-Z0","Open")</f>
        <v>0</v>
      </c>
      <c r="N681">
        <f>RTD("nest.scriprtd",,"nse_cm|971SCL29-Z0","High")</f>
        <v>1000</v>
      </c>
      <c r="O681">
        <f>RTD("nest.scriprtd",,"nse_cm|971SCL29-Z0","Low ")</f>
        <v>1000</v>
      </c>
      <c r="P681">
        <f>RTD("nest.scriprtd",,"nse_cm|971SCL29-Z0","Prev Close")</f>
        <v>1000</v>
      </c>
      <c r="Q681">
        <f>RTD("nest.scriprtd",,"nse_cm|971SCL29-Z0","Face Value")</f>
        <v>1000</v>
      </c>
      <c r="R681" t="str">
        <f>RTD("nest.scriprtd",,"nse_cm|971SCL29-Z0","Isin code")</f>
        <v>INE148I07SN4</v>
      </c>
      <c r="S681" s="9">
        <f>Table1[[#This Row],[Ask Rate]]*Table1[[#This Row],[Ask Qty]]</f>
        <v>0</v>
      </c>
      <c r="T681">
        <f>VLOOKUP(Table1[[#This Row],[Isin code]],Table2[#All],7,FALSE)</f>
        <v>9.7100000000000009</v>
      </c>
      <c r="U681" s="17" t="str">
        <f>VLOOKUP(Table1[[#This Row],[Isin code]],Table2[#All],8,FALSE)</f>
        <v>26-Mar-2029</v>
      </c>
      <c r="V681" s="10">
        <f ca="1">Table1[[#This Row],[Maturity]]-TODAY()</f>
        <v>1622</v>
      </c>
      <c r="W681" t="str">
        <f>VLOOKUP(Table1[[#This Row],[Isin code]],Table2[#All],10,FALSE)</f>
        <v>Monthly</v>
      </c>
      <c r="X681">
        <f ca="1">_xlfn.DAYS(Table1[[#This Row],[Maturity]],TODAY())-15</f>
        <v>1607</v>
      </c>
      <c r="Y6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681">
        <f>IF(Table1[[#This Row],[Ask Rate]]=0,0,Table1[[#This Row],[Face Value]]-Table1[[#This Row],[Ask Rate]])</f>
        <v>0</v>
      </c>
      <c r="AA681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681">
        <f ca="1">Table1[[#This Row],[Face Value]]*Table1[[#This Row],[Rate]]*Table1[[#This Row],[Time]]</f>
        <v>436.95</v>
      </c>
      <c r="AC681">
        <f ca="1">Table1[[#This Row],[SI]]+Table1[[#This Row],[Disc/Prem]]</f>
        <v>436.95</v>
      </c>
      <c r="AD681" s="3" t="e">
        <f ca="1">Table1[[#This Row],[Net Gain]]/Table1[[#This Row],[Ask Rate]]</f>
        <v>#DIV/0!</v>
      </c>
      <c r="AE681" s="3">
        <f>IF(Table1[[#This Row],[Ask Qty]]=0,0,Table1[[#This Row],[Gross Yield]]*365/Table1[[#This Row],[Days Left]])</f>
        <v>0</v>
      </c>
      <c r="AF681" s="9">
        <f ca="1">+Table1[[#This Row],[Net Gain]]*Table1[[#This Row],[Ask Qty]]</f>
        <v>0</v>
      </c>
      <c r="AG681" t="str">
        <f>IF(Table1[[#This Row],[YTM]]&gt;0.12,IF(Table1[[#This Row],[Gross Profit]]&gt;10000,"Invest","Review"),"Low YTM")</f>
        <v>Low YTM</v>
      </c>
    </row>
    <row r="682" spans="1:33" x14ac:dyDescent="0.3">
      <c r="A682" t="str">
        <f>RTD("nest.scriprtd",,"bse_cm|945MFCL29","Symbol")</f>
        <v>945MFCL29</v>
      </c>
      <c r="B682" t="str">
        <f>RTD("nest.scriprtd",,"bse_cm|945MFCL29","Trading Symbol")</f>
        <v>945MFCL29</v>
      </c>
      <c r="C682" t="str">
        <f>RTD("nest.scriprtd",,"bse_cm|945MFCL29","Exchange")</f>
        <v>BSE</v>
      </c>
      <c r="D682">
        <f>RTD("nest.scriprtd",,"bse_cm|945MFCL29","Bid Qty")</f>
        <v>5</v>
      </c>
      <c r="E682">
        <f>RTD("nest.scriprtd",,"bse_cm|945MFCL29","Bid Rate")</f>
        <v>968</v>
      </c>
      <c r="F682">
        <f>RTD("nest.scriprtd",,"bse_cm|945MFCL29","Ask Rate")</f>
        <v>975</v>
      </c>
      <c r="G682">
        <f>RTD("nest.scriprtd",,"bse_cm|945MFCL29","Ask Qty")</f>
        <v>0</v>
      </c>
      <c r="H682">
        <f>RTD("nest.scriprtd",,"bse_cm|945MFCL29","LTP")</f>
        <v>967.35</v>
      </c>
      <c r="I682" t="str">
        <f>RTD("nest.scriprtd",,"bse_cm|945MFCL29","LTT")</f>
        <v>00:00:00</v>
      </c>
      <c r="J682">
        <f>RTD("nest.scriprtd",,"bse_cm|945MFCL29","% Change")</f>
        <v>-0.78</v>
      </c>
      <c r="K682">
        <f>RTD("nest.scriprtd",,"bse_cm|945MFCL29","ATP")</f>
        <v>0</v>
      </c>
      <c r="L682">
        <f>RTD("nest.scriprtd",,"bse_cm|945MFCL29","Volume Traded Today")</f>
        <v>0</v>
      </c>
      <c r="M682">
        <f>RTD("nest.scriprtd",,"bse_cm|945MFCL29","Open")</f>
        <v>0</v>
      </c>
      <c r="N682">
        <f>RTD("nest.scriprtd",,"bse_cm|945MFCL29","High")</f>
        <v>975</v>
      </c>
      <c r="O682">
        <f>RTD("nest.scriprtd",,"bse_cm|945MFCL29","Low ")</f>
        <v>967.35</v>
      </c>
      <c r="P682">
        <f>RTD("nest.scriprtd",,"bse_cm|945MFCL29","Prev Close")</f>
        <v>975</v>
      </c>
      <c r="Q682">
        <f>RTD("nest.scriprtd",,"bse_cm|945MFCL29","Face Value")</f>
        <v>1000</v>
      </c>
      <c r="R682" t="str">
        <f>RTD("nest.scriprtd",,"bse_cm|945MFCL29","Isin code")</f>
        <v>INE549K07EK5</v>
      </c>
      <c r="S682" s="9">
        <f>Table1[[#This Row],[Ask Rate]]*Table1[[#This Row],[Ask Qty]]</f>
        <v>0</v>
      </c>
      <c r="T682">
        <f>VLOOKUP(Table1[[#This Row],[Isin code]],Table2[#All],7,FALSE)</f>
        <v>9.4499999999999993</v>
      </c>
      <c r="U682" s="17" t="str">
        <f>VLOOKUP(Table1[[#This Row],[Isin code]],Table2[#All],8,FALSE)</f>
        <v>16-Sep-2029</v>
      </c>
      <c r="V682" s="10">
        <f ca="1">Table1[[#This Row],[Maturity]]-TODAY()</f>
        <v>1796</v>
      </c>
      <c r="W682" t="str">
        <f>VLOOKUP(Table1[[#This Row],[Isin code]],Table2[#All],10,FALSE)</f>
        <v>Monthly</v>
      </c>
      <c r="X682">
        <f ca="1">_xlfn.DAYS(Table1[[#This Row],[Maturity]],TODAY())-15</f>
        <v>1781</v>
      </c>
      <c r="Y6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60</v>
      </c>
      <c r="Z682">
        <f>IF(Table1[[#This Row],[Ask Rate]]=0,0,Table1[[#This Row],[Face Value]]-Table1[[#This Row],[Ask Rate]])</f>
        <v>25</v>
      </c>
      <c r="AA682">
        <f>IF(Table1[[#This Row],[Freq]]="Yearly",Table1[[#This Row],[Coupon_Rate]]/100,IF(Table1[[#This Row],[Freq]]="Monthly",Table1[[#This Row],[Coupon_Rate]]/1200,IF(Table1[[#This Row],[Freq]]="Quarterly",Table1[[#This Row],[Coupon_Rate]]/400,0)))</f>
        <v>7.8750000000000001E-3</v>
      </c>
      <c r="AB682">
        <f ca="1">Table1[[#This Row],[Face Value]]*Table1[[#This Row],[Rate]]*Table1[[#This Row],[Time]]</f>
        <v>472.5</v>
      </c>
      <c r="AC682">
        <f ca="1">Table1[[#This Row],[SI]]+Table1[[#This Row],[Disc/Prem]]</f>
        <v>497.5</v>
      </c>
      <c r="AD682" s="3">
        <f ca="1">Table1[[#This Row],[Net Gain]]/Table1[[#This Row],[Ask Rate]]</f>
        <v>0.51025641025641022</v>
      </c>
      <c r="AE682" s="3">
        <f>IF(Table1[[#This Row],[Ask Qty]]=0,0,Table1[[#This Row],[Gross Yield]]*365/Table1[[#This Row],[Days Left]])</f>
        <v>0</v>
      </c>
      <c r="AF682" s="9">
        <f ca="1">+Table1[[#This Row],[Net Gain]]*Table1[[#This Row],[Ask Qty]]</f>
        <v>0</v>
      </c>
      <c r="AG682" t="str">
        <f>IF(Table1[[#This Row],[YTM]]&gt;0.12,IF(Table1[[#This Row],[Gross Profit]]&gt;10000,"Invest","Review"),"Low YTM")</f>
        <v>Low YTM</v>
      </c>
    </row>
    <row r="683" spans="1:33" x14ac:dyDescent="0.3">
      <c r="A683" t="str">
        <f>RTD("nest.scriprtd",,"bse_cm|975MFL29","Symbol")</f>
        <v>975MFL29</v>
      </c>
      <c r="B683" t="str">
        <f>RTD("nest.scriprtd",,"bse_cm|975MFL29","Trading Symbol")</f>
        <v>975MFL29</v>
      </c>
      <c r="C683" t="str">
        <f>RTD("nest.scriprtd",,"bse_cm|975MFL29","Exchange")</f>
        <v>BSE</v>
      </c>
      <c r="D683">
        <f>RTD("nest.scriprtd",,"bse_cm|975MFL29","Bid Qty")</f>
        <v>50</v>
      </c>
      <c r="E683">
        <f>RTD("nest.scriprtd",,"bse_cm|975MFL29","Bid Rate")</f>
        <v>971.02</v>
      </c>
      <c r="F683">
        <f>RTD("nest.scriprtd",,"bse_cm|975MFL29","Ask Rate")</f>
        <v>1009.9</v>
      </c>
      <c r="G683">
        <f>RTD("nest.scriprtd",,"bse_cm|975MFL29","Ask Qty")</f>
        <v>0</v>
      </c>
      <c r="H683">
        <f>RTD("nest.scriprtd",,"bse_cm|975MFL29","LTP")</f>
        <v>0</v>
      </c>
      <c r="I683" t="str">
        <f>RTD("nest.scriprtd",,"bse_cm|975MFL29","LTT")</f>
        <v>00:00:00</v>
      </c>
      <c r="J683">
        <f>RTD("nest.scriprtd",,"bse_cm|975MFL29","% Change")</f>
        <v>-100</v>
      </c>
      <c r="K683">
        <f>RTD("nest.scriprtd",,"bse_cm|975MFL29","ATP")</f>
        <v>0</v>
      </c>
      <c r="L683">
        <f>RTD("nest.scriprtd",,"bse_cm|975MFL29","Volume Traded Today")</f>
        <v>0</v>
      </c>
      <c r="M683">
        <f>RTD("nest.scriprtd",,"bse_cm|975MFL29","Open")</f>
        <v>0</v>
      </c>
      <c r="N683">
        <f>RTD("nest.scriprtd",,"bse_cm|975MFL29","High")</f>
        <v>980</v>
      </c>
      <c r="O683">
        <f>RTD("nest.scriprtd",,"bse_cm|975MFL29","Low ")</f>
        <v>961.02</v>
      </c>
      <c r="P683">
        <f>RTD("nest.scriprtd",,"bse_cm|975MFL29","Prev Close")</f>
        <v>980</v>
      </c>
      <c r="Q683">
        <f>RTD("nest.scriprtd",,"bse_cm|975MFL29","Face Value")</f>
        <v>1000</v>
      </c>
      <c r="R683" t="str">
        <f>RTD("nest.scriprtd",,"bse_cm|975MFL29","Isin code")</f>
        <v>INE549K08293</v>
      </c>
      <c r="S683" s="9">
        <f>Table1[[#This Row],[Ask Rate]]*Table1[[#This Row],[Ask Qty]]</f>
        <v>0</v>
      </c>
      <c r="T683">
        <f>VLOOKUP(Table1[[#This Row],[Isin code]],Table2[#All],7,FALSE)</f>
        <v>9.75</v>
      </c>
      <c r="U683" s="17" t="str">
        <f>VLOOKUP(Table1[[#This Row],[Isin code]],Table2[#All],8,FALSE)</f>
        <v>29-Jan-2029</v>
      </c>
      <c r="V683" s="10">
        <f ca="1">Table1[[#This Row],[Maturity]]-TODAY()</f>
        <v>1566</v>
      </c>
      <c r="W683" t="str">
        <f>VLOOKUP(Table1[[#This Row],[Isin code]],Table2[#All],10,FALSE)</f>
        <v>Monthly</v>
      </c>
      <c r="X683">
        <f ca="1">_xlfn.DAYS(Table1[[#This Row],[Maturity]],TODAY())-15</f>
        <v>1551</v>
      </c>
      <c r="Y6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52</v>
      </c>
      <c r="Z683">
        <f>IF(Table1[[#This Row],[Ask Rate]]=0,0,Table1[[#This Row],[Face Value]]-Table1[[#This Row],[Ask Rate]])</f>
        <v>-9.8999999999999773</v>
      </c>
      <c r="AA683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683">
        <f ca="1">Table1[[#This Row],[Face Value]]*Table1[[#This Row],[Rate]]*Table1[[#This Row],[Time]]</f>
        <v>422.5</v>
      </c>
      <c r="AC683">
        <f ca="1">Table1[[#This Row],[SI]]+Table1[[#This Row],[Disc/Prem]]</f>
        <v>412.6</v>
      </c>
      <c r="AD683" s="3">
        <f ca="1">Table1[[#This Row],[Net Gain]]/Table1[[#This Row],[Ask Rate]]</f>
        <v>0.40855530250519856</v>
      </c>
      <c r="AE683" s="3">
        <f>IF(Table1[[#This Row],[Ask Qty]]=0,0,Table1[[#This Row],[Gross Yield]]*365/Table1[[#This Row],[Days Left]])</f>
        <v>0</v>
      </c>
      <c r="AF683" s="9">
        <f ca="1">+Table1[[#This Row],[Net Gain]]*Table1[[#This Row],[Ask Qty]]</f>
        <v>0</v>
      </c>
      <c r="AG683" t="str">
        <f>IF(Table1[[#This Row],[YTM]]&gt;0.12,IF(Table1[[#This Row],[Gross Profit]]&gt;10000,"Invest","Review"),"Low YTM")</f>
        <v>Low YTM</v>
      </c>
    </row>
    <row r="684" spans="1:33" x14ac:dyDescent="0.3">
      <c r="A684" t="str">
        <f>RTD("nest.scriprtd",,"bse_cm|905SC24B","Symbol")</f>
        <v>905SC24B</v>
      </c>
      <c r="B684" t="str">
        <f>RTD("nest.scriprtd",,"bse_cm|905SC24B","Trading Symbol")</f>
        <v>905SC24B</v>
      </c>
      <c r="C684" t="str">
        <f>RTD("nest.scriprtd",,"bse_cm|905SC24B","Exchange")</f>
        <v>BSE</v>
      </c>
      <c r="D684">
        <f>RTD("nest.scriprtd",,"bse_cm|905SC24B","Bid Qty")</f>
        <v>12</v>
      </c>
      <c r="E684">
        <f>RTD("nest.scriprtd",,"bse_cm|905SC24B","Bid Rate")</f>
        <v>901.2</v>
      </c>
      <c r="F684">
        <f>RTD("nest.scriprtd",,"bse_cm|905SC24B","Ask Rate")</f>
        <v>0</v>
      </c>
      <c r="G684">
        <f>RTD("nest.scriprtd",,"bse_cm|905SC24B","Ask Qty")</f>
        <v>0</v>
      </c>
      <c r="H684">
        <f>RTD("nest.scriprtd",,"bse_cm|905SC24B","LTP")</f>
        <v>0</v>
      </c>
      <c r="I684" t="str">
        <f>RTD("nest.scriprtd",,"bse_cm|905SC24B","LTT")</f>
        <v>00:00:00</v>
      </c>
      <c r="J684">
        <f>RTD("nest.scriprtd",,"bse_cm|905SC24B","% Change")</f>
        <v>-100</v>
      </c>
      <c r="K684">
        <f>RTD("nest.scriprtd",,"bse_cm|905SC24B","ATP")</f>
        <v>0</v>
      </c>
      <c r="L684">
        <f>RTD("nest.scriprtd",,"bse_cm|905SC24B","Volume Traded Today")</f>
        <v>0</v>
      </c>
      <c r="M684">
        <f>RTD("nest.scriprtd",,"bse_cm|905SC24B","Open")</f>
        <v>0</v>
      </c>
      <c r="N684">
        <f>RTD("nest.scriprtd",,"bse_cm|905SC24B","High")</f>
        <v>948</v>
      </c>
      <c r="O684">
        <f>RTD("nest.scriprtd",,"bse_cm|905SC24B","Low ")</f>
        <v>948</v>
      </c>
      <c r="P684">
        <f>RTD("nest.scriprtd",,"bse_cm|905SC24B","Prev Close")</f>
        <v>948</v>
      </c>
      <c r="Q684">
        <f>RTD("nest.scriprtd",,"bse_cm|905SC24B","Face Value")</f>
        <v>1000</v>
      </c>
      <c r="R684" t="str">
        <f>RTD("nest.scriprtd",,"bse_cm|905SC24B","Isin code")</f>
        <v>INE148I07ML1</v>
      </c>
      <c r="S684" s="9">
        <f>Table1[[#This Row],[Ask Rate]]*Table1[[#This Row],[Ask Qty]]</f>
        <v>0</v>
      </c>
      <c r="T684">
        <f>VLOOKUP(Table1[[#This Row],[Isin code]],Table2[#All],7,FALSE)</f>
        <v>9.15</v>
      </c>
      <c r="U684" s="17">
        <f>VLOOKUP(Table1[[#This Row],[Isin code]],Table2[#All],8,FALSE)</f>
        <v>46658</v>
      </c>
      <c r="V684" s="10">
        <f ca="1">Table1[[#This Row],[Maturity]]-TODAY()</f>
        <v>1077</v>
      </c>
      <c r="W684" t="str">
        <f>VLOOKUP(Table1[[#This Row],[Isin code]],Table2[#All],10,FALSE)</f>
        <v>Monthly</v>
      </c>
      <c r="X684">
        <f ca="1">_xlfn.DAYS(Table1[[#This Row],[Maturity]],TODAY())-15</f>
        <v>1062</v>
      </c>
      <c r="Y6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36</v>
      </c>
      <c r="Z684">
        <f>IF(Table1[[#This Row],[Ask Rate]]=0,0,Table1[[#This Row],[Face Value]]-Table1[[#This Row],[Ask Rate]])</f>
        <v>0</v>
      </c>
      <c r="AA684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684">
        <f ca="1">Table1[[#This Row],[Face Value]]*Table1[[#This Row],[Rate]]*Table1[[#This Row],[Time]]</f>
        <v>274.50000000000006</v>
      </c>
      <c r="AC684">
        <f ca="1">Table1[[#This Row],[SI]]+Table1[[#This Row],[Disc/Prem]]</f>
        <v>274.50000000000006</v>
      </c>
      <c r="AD684" s="3" t="e">
        <f ca="1">Table1[[#This Row],[Net Gain]]/Table1[[#This Row],[Ask Rate]]</f>
        <v>#DIV/0!</v>
      </c>
      <c r="AE684" s="3">
        <f>IF(Table1[[#This Row],[Ask Qty]]=0,0,Table1[[#This Row],[Gross Yield]]*365/Table1[[#This Row],[Days Left]])</f>
        <v>0</v>
      </c>
      <c r="AF684" s="9">
        <f ca="1">+Table1[[#This Row],[Net Gain]]*Table1[[#This Row],[Ask Qty]]</f>
        <v>0</v>
      </c>
      <c r="AG684" t="str">
        <f>IF(Table1[[#This Row],[YTM]]&gt;0.12,IF(Table1[[#This Row],[Gross Profit]]&gt;10000,"Invest","Review"),"Low YTM")</f>
        <v>Low YTM</v>
      </c>
    </row>
    <row r="685" spans="1:33" x14ac:dyDescent="0.3">
      <c r="A685" t="str">
        <f>RTD("nest.scriprtd",,"bse_cm|920EFSL27A","Symbol")</f>
        <v>920EFSL27A</v>
      </c>
      <c r="B685" t="str">
        <f>RTD("nest.scriprtd",,"bse_cm|920EFSL27A","Trading Symbol")</f>
        <v>920EFSL27A</v>
      </c>
      <c r="C685" t="str">
        <f>RTD("nest.scriprtd",,"bse_cm|920EFSL27A","Exchange")</f>
        <v>BSE</v>
      </c>
      <c r="D685">
        <f>RTD("nest.scriprtd",,"bse_cm|920EFSL27A","Bid Qty")</f>
        <v>25</v>
      </c>
      <c r="E685">
        <f>RTD("nest.scriprtd",,"bse_cm|920EFSL27A","Bid Rate")</f>
        <v>929</v>
      </c>
      <c r="F685">
        <f>RTD("nest.scriprtd",,"bse_cm|920EFSL27A","Ask Rate")</f>
        <v>0</v>
      </c>
      <c r="G685">
        <f>RTD("nest.scriprtd",,"bse_cm|920EFSL27A","Ask Qty")</f>
        <v>0</v>
      </c>
      <c r="H685">
        <f>RTD("nest.scriprtd",,"bse_cm|920EFSL27A","LTP")</f>
        <v>0</v>
      </c>
      <c r="I685" t="str">
        <f>RTD("nest.scriprtd",,"bse_cm|920EFSL27A","LTT")</f>
        <v>00:00:00</v>
      </c>
      <c r="J685">
        <f>RTD("nest.scriprtd",,"bse_cm|920EFSL27A","% Change")</f>
        <v>-100</v>
      </c>
      <c r="K685">
        <f>RTD("nest.scriprtd",,"bse_cm|920EFSL27A","ATP")</f>
        <v>0</v>
      </c>
      <c r="L685">
        <f>RTD("nest.scriprtd",,"bse_cm|920EFSL27A","Volume Traded Today")</f>
        <v>0</v>
      </c>
      <c r="M685">
        <f>RTD("nest.scriprtd",,"bse_cm|920EFSL27A","Open")</f>
        <v>0</v>
      </c>
      <c r="N685">
        <f>RTD("nest.scriprtd",,"bse_cm|920EFSL27A","High")</f>
        <v>960</v>
      </c>
      <c r="O685">
        <f>RTD("nest.scriprtd",,"bse_cm|920EFSL27A","Low ")</f>
        <v>960</v>
      </c>
      <c r="P685">
        <f>RTD("nest.scriprtd",,"bse_cm|920EFSL27A","Prev Close")</f>
        <v>960</v>
      </c>
      <c r="Q685">
        <f>RTD("nest.scriprtd",,"bse_cm|920EFSL27A","Face Value")</f>
        <v>1000</v>
      </c>
      <c r="R685" t="str">
        <f>RTD("nest.scriprtd",,"bse_cm|920EFSL27A","Isin code")</f>
        <v>INE532F07FK8</v>
      </c>
      <c r="S685" s="9">
        <f>Table1[[#This Row],[Ask Rate]]*Table1[[#This Row],[Ask Qty]]</f>
        <v>0</v>
      </c>
      <c r="T685">
        <f>VLOOKUP(Table1[[#This Row],[Isin code]],Table2[#All],7,FALSE)</f>
        <v>9.1999999999999993</v>
      </c>
      <c r="U685" s="17" t="str">
        <f>VLOOKUP(Table1[[#This Row],[Isin code]],Table2[#All],8,FALSE)</f>
        <v>29-Apr-2027</v>
      </c>
      <c r="V685" s="10">
        <f ca="1">Table1[[#This Row],[Maturity]]-TODAY()</f>
        <v>925</v>
      </c>
      <c r="W685" t="str">
        <f>VLOOKUP(Table1[[#This Row],[Isin code]],Table2[#All],10,FALSE)</f>
        <v>Monthly</v>
      </c>
      <c r="X685">
        <f ca="1">_xlfn.DAYS(Table1[[#This Row],[Maturity]],TODAY())-15</f>
        <v>910</v>
      </c>
      <c r="Y6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685">
        <f>IF(Table1[[#This Row],[Ask Rate]]=0,0,Table1[[#This Row],[Face Value]]-Table1[[#This Row],[Ask Rate]])</f>
        <v>0</v>
      </c>
      <c r="AA685">
        <f>IF(Table1[[#This Row],[Freq]]="Yearly",Table1[[#This Row],[Coupon_Rate]]/100,IF(Table1[[#This Row],[Freq]]="Monthly",Table1[[#This Row],[Coupon_Rate]]/1200,IF(Table1[[#This Row],[Freq]]="Quarterly",Table1[[#This Row],[Coupon_Rate]]/400,0)))</f>
        <v>7.6666666666666662E-3</v>
      </c>
      <c r="AB685">
        <f ca="1">Table1[[#This Row],[Face Value]]*Table1[[#This Row],[Rate]]*Table1[[#This Row],[Time]]</f>
        <v>237.66666666666666</v>
      </c>
      <c r="AC685">
        <f ca="1">Table1[[#This Row],[SI]]+Table1[[#This Row],[Disc/Prem]]</f>
        <v>237.66666666666666</v>
      </c>
      <c r="AD685" s="3" t="e">
        <f ca="1">Table1[[#This Row],[Net Gain]]/Table1[[#This Row],[Ask Rate]]</f>
        <v>#DIV/0!</v>
      </c>
      <c r="AE685" s="3">
        <f>IF(Table1[[#This Row],[Ask Qty]]=0,0,Table1[[#This Row],[Gross Yield]]*365/Table1[[#This Row],[Days Left]])</f>
        <v>0</v>
      </c>
      <c r="AF685" s="9">
        <f ca="1">+Table1[[#This Row],[Net Gain]]*Table1[[#This Row],[Ask Qty]]</f>
        <v>0</v>
      </c>
      <c r="AG685" t="str">
        <f>IF(Table1[[#This Row],[YTM]]&gt;0.12,IF(Table1[[#This Row],[Gross Profit]]&gt;10000,"Invest","Review"),"Low YTM")</f>
        <v>Low YTM</v>
      </c>
    </row>
    <row r="686" spans="1:33" x14ac:dyDescent="0.3">
      <c r="A686" t="str">
        <f>RTD("nest.scriprtd",,"nse_cm|885SCL26-N9","Symbol")</f>
        <v>885SCL26</v>
      </c>
      <c r="B686" t="str">
        <f>RTD("nest.scriprtd",,"nse_cm|885SCL26-N9","Trading Symbol")</f>
        <v>885SCL26-N9</v>
      </c>
      <c r="C686" t="str">
        <f>RTD("nest.scriprtd",,"nse_cm|885SCL26-N9","Exchange")</f>
        <v>NSE</v>
      </c>
      <c r="D686">
        <f>RTD("nest.scriprtd",,"nse_cm|885SCL26-N9","Bid Qty")</f>
        <v>50</v>
      </c>
      <c r="E686">
        <f>RTD("nest.scriprtd",,"nse_cm|885SCL26-N9","Bid Rate")</f>
        <v>900</v>
      </c>
      <c r="F686">
        <f>RTD("nest.scriprtd",,"nse_cm|885SCL26-N9","Ask Rate")</f>
        <v>0</v>
      </c>
      <c r="G686">
        <f>RTD("nest.scriprtd",,"nse_cm|885SCL26-N9","Ask Qty")</f>
        <v>0</v>
      </c>
      <c r="H686">
        <f>RTD("nest.scriprtd",,"nse_cm|885SCL26-N9","LTP")</f>
        <v>1000</v>
      </c>
      <c r="I686" t="str">
        <f>RTD("nest.scriprtd",,"nse_cm|885SCL26-N9","LTT")</f>
        <v/>
      </c>
      <c r="J686">
        <f>RTD("nest.scriprtd",,"nse_cm|885SCL26-N9","% Change")</f>
        <v>0</v>
      </c>
      <c r="K686">
        <f>RTD("nest.scriprtd",,"nse_cm|885SCL26-N9","ATP")</f>
        <v>0</v>
      </c>
      <c r="L686">
        <f>RTD("nest.scriprtd",,"nse_cm|885SCL26-N9","Volume Traded Today")</f>
        <v>0</v>
      </c>
      <c r="M686">
        <f>RTD("nest.scriprtd",,"nse_cm|885SCL26-N9","Open")</f>
        <v>0</v>
      </c>
      <c r="N686">
        <f>RTD("nest.scriprtd",,"nse_cm|885SCL26-N9","High")</f>
        <v>1000</v>
      </c>
      <c r="O686">
        <f>RTD("nest.scriprtd",,"nse_cm|885SCL26-N9","Low ")</f>
        <v>1000</v>
      </c>
      <c r="P686">
        <f>RTD("nest.scriprtd",,"nse_cm|885SCL26-N9","Prev Close")</f>
        <v>1000</v>
      </c>
      <c r="Q686">
        <f>RTD("nest.scriprtd",,"nse_cm|885SCL26-N9","Face Value")</f>
        <v>1000</v>
      </c>
      <c r="R686" t="str">
        <f>RTD("nest.scriprtd",,"nse_cm|885SCL26-N9","Isin code")</f>
        <v>INE148I07GK5</v>
      </c>
      <c r="S686" s="9">
        <f>Table1[[#This Row],[Ask Rate]]*Table1[[#This Row],[Ask Qty]]</f>
        <v>0</v>
      </c>
      <c r="T686">
        <f>VLOOKUP(Table1[[#This Row],[Isin code]],Table2[#All],7,FALSE)</f>
        <v>8.85</v>
      </c>
      <c r="U686" s="17" t="str">
        <f>VLOOKUP(Table1[[#This Row],[Isin code]],Table2[#All],8,FALSE)</f>
        <v>26-Sep-2026</v>
      </c>
      <c r="V686" s="10">
        <f ca="1">Table1[[#This Row],[Maturity]]-TODAY()</f>
        <v>710</v>
      </c>
      <c r="W686" t="str">
        <f>VLOOKUP(Table1[[#This Row],[Isin code]],Table2[#All],10,FALSE)</f>
        <v>Yearly</v>
      </c>
      <c r="X686">
        <f ca="1">_xlfn.DAYS(Table1[[#This Row],[Maturity]],TODAY())-15</f>
        <v>695</v>
      </c>
      <c r="Y6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86">
        <f>IF(Table1[[#This Row],[Ask Rate]]=0,0,Table1[[#This Row],[Face Value]]-Table1[[#This Row],[Ask Rate]])</f>
        <v>0</v>
      </c>
      <c r="AA686">
        <f>IF(Table1[[#This Row],[Freq]]="Yearly",Table1[[#This Row],[Coupon_Rate]]/100,IF(Table1[[#This Row],[Freq]]="Monthly",Table1[[#This Row],[Coupon_Rate]]/1200,IF(Table1[[#This Row],[Freq]]="Quarterly",Table1[[#This Row],[Coupon_Rate]]/400,0)))</f>
        <v>8.8499999999999995E-2</v>
      </c>
      <c r="AB686">
        <f ca="1">Table1[[#This Row],[Face Value]]*Table1[[#This Row],[Rate]]*Table1[[#This Row],[Time]]</f>
        <v>177</v>
      </c>
      <c r="AC686">
        <f ca="1">Table1[[#This Row],[SI]]+Table1[[#This Row],[Disc/Prem]]</f>
        <v>177</v>
      </c>
      <c r="AD686" s="3" t="e">
        <f ca="1">Table1[[#This Row],[Net Gain]]/Table1[[#This Row],[Ask Rate]]</f>
        <v>#DIV/0!</v>
      </c>
      <c r="AE686" s="3">
        <f>IF(Table1[[#This Row],[Ask Qty]]=0,0,Table1[[#This Row],[Gross Yield]]*365/Table1[[#This Row],[Days Left]])</f>
        <v>0</v>
      </c>
      <c r="AF686" s="9">
        <f ca="1">+Table1[[#This Row],[Net Gain]]*Table1[[#This Row],[Ask Qty]]</f>
        <v>0</v>
      </c>
      <c r="AG686" t="str">
        <f>IF(Table1[[#This Row],[YTM]]&gt;0.12,IF(Table1[[#This Row],[Gross Profit]]&gt;10000,"Invest","Review"),"Low YTM")</f>
        <v>Low YTM</v>
      </c>
    </row>
    <row r="687" spans="1:33" x14ac:dyDescent="0.3">
      <c r="A687" t="str">
        <f>RTD("nest.scriprtd",,"bse_cm|957IIFLS27","Symbol")</f>
        <v>957IIFLS27</v>
      </c>
      <c r="B687" t="str">
        <f>RTD("nest.scriprtd",,"bse_cm|957IIFLS27","Trading Symbol")</f>
        <v>957IIFLS27</v>
      </c>
      <c r="C687" t="str">
        <f>RTD("nest.scriprtd",,"bse_cm|957IIFLS27","Exchange")</f>
        <v>BSE</v>
      </c>
      <c r="D687">
        <f>RTD("nest.scriprtd",,"bse_cm|957IIFLS27","Bid Qty")</f>
        <v>20</v>
      </c>
      <c r="E687">
        <f>RTD("nest.scriprtd",,"bse_cm|957IIFLS27","Bid Rate")</f>
        <v>835.2</v>
      </c>
      <c r="F687">
        <f>RTD("nest.scriprtd",,"bse_cm|957IIFLS27","Ask Rate")</f>
        <v>0</v>
      </c>
      <c r="G687">
        <f>RTD("nest.scriprtd",,"bse_cm|957IIFLS27","Ask Qty")</f>
        <v>0</v>
      </c>
      <c r="H687">
        <f>RTD("nest.scriprtd",,"bse_cm|957IIFLS27","LTP")</f>
        <v>0</v>
      </c>
      <c r="I687" t="str">
        <f>RTD("nest.scriprtd",,"bse_cm|957IIFLS27","LTT")</f>
        <v>00:00:00</v>
      </c>
      <c r="J687">
        <f>RTD("nest.scriprtd",,"bse_cm|957IIFLS27","% Change")</f>
        <v>-100</v>
      </c>
      <c r="K687">
        <f>RTD("nest.scriprtd",,"bse_cm|957IIFLS27","ATP")</f>
        <v>0</v>
      </c>
      <c r="L687">
        <f>RTD("nest.scriprtd",,"bse_cm|957IIFLS27","Volume Traded Today")</f>
        <v>0</v>
      </c>
      <c r="M687">
        <f>RTD("nest.scriprtd",,"bse_cm|957IIFLS27","Open")</f>
        <v>0</v>
      </c>
      <c r="N687">
        <f>RTD("nest.scriprtd",,"bse_cm|957IIFLS27","High")</f>
        <v>939.77</v>
      </c>
      <c r="O687">
        <f>RTD("nest.scriprtd",,"bse_cm|957IIFLS27","Low ")</f>
        <v>939.77</v>
      </c>
      <c r="P687">
        <f>RTD("nest.scriprtd",,"bse_cm|957IIFLS27","Prev Close")</f>
        <v>939.77</v>
      </c>
      <c r="Q687">
        <f>RTD("nest.scriprtd",,"bse_cm|957IIFLS27","Face Value")</f>
        <v>1000</v>
      </c>
      <c r="R687" t="str">
        <f>RTD("nest.scriprtd",,"bse_cm|957IIFLS27","Isin code")</f>
        <v>INE413U07327</v>
      </c>
      <c r="S687" s="9">
        <f>Table1[[#This Row],[Ask Rate]]*Table1[[#This Row],[Ask Qty]]</f>
        <v>0</v>
      </c>
      <c r="T687">
        <f>VLOOKUP(Table1[[#This Row],[Isin code]],Table2[#All],7,FALSE)</f>
        <v>9.5699999999999985</v>
      </c>
      <c r="U687" s="17" t="str">
        <f>VLOOKUP(Table1[[#This Row],[Isin code]],Table2[#All],8,FALSE)</f>
        <v>21-Jun-2027</v>
      </c>
      <c r="V687" s="10">
        <f ca="1">Table1[[#This Row],[Maturity]]-TODAY()</f>
        <v>978</v>
      </c>
      <c r="W687" t="str">
        <f>VLOOKUP(Table1[[#This Row],[Isin code]],Table2[#All],10,FALSE)</f>
        <v>Monthly</v>
      </c>
      <c r="X687">
        <f ca="1">_xlfn.DAYS(Table1[[#This Row],[Maturity]],TODAY())-15</f>
        <v>963</v>
      </c>
      <c r="Y6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33</v>
      </c>
      <c r="Z687">
        <f>IF(Table1[[#This Row],[Ask Rate]]=0,0,Table1[[#This Row],[Face Value]]-Table1[[#This Row],[Ask Rate]])</f>
        <v>0</v>
      </c>
      <c r="AA687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687">
        <f ca="1">Table1[[#This Row],[Face Value]]*Table1[[#This Row],[Rate]]*Table1[[#This Row],[Time]]</f>
        <v>263.17500000000001</v>
      </c>
      <c r="AC687">
        <f ca="1">Table1[[#This Row],[SI]]+Table1[[#This Row],[Disc/Prem]]</f>
        <v>263.17500000000001</v>
      </c>
      <c r="AD687" s="3" t="e">
        <f ca="1">Table1[[#This Row],[Net Gain]]/Table1[[#This Row],[Ask Rate]]</f>
        <v>#DIV/0!</v>
      </c>
      <c r="AE687" s="3">
        <f>IF(Table1[[#This Row],[Ask Qty]]=0,0,Table1[[#This Row],[Gross Yield]]*365/Table1[[#This Row],[Days Left]])</f>
        <v>0</v>
      </c>
      <c r="AF687" s="9">
        <f ca="1">+Table1[[#This Row],[Net Gain]]*Table1[[#This Row],[Ask Qty]]</f>
        <v>0</v>
      </c>
      <c r="AG687" t="str">
        <f>IF(Table1[[#This Row],[YTM]]&gt;0.12,IF(Table1[[#This Row],[Gross Profit]]&gt;10000,"Invest","Review"),"Low YTM")</f>
        <v>Low YTM</v>
      </c>
    </row>
    <row r="688" spans="1:33" x14ac:dyDescent="0.3">
      <c r="A688" t="str">
        <f>RTD("nest.scriprtd",,"nse_cm|1003SCL31-ZQ","Symbol")</f>
        <v>1003SCL31</v>
      </c>
      <c r="B688" t="str">
        <f>RTD("nest.scriprtd",,"nse_cm|1003SCL31-ZQ","Trading Symbol")</f>
        <v>1003SCL31-ZQ</v>
      </c>
      <c r="C688" t="str">
        <f>RTD("nest.scriprtd",,"nse_cm|1003SCL31-ZQ","Exchange")</f>
        <v>NSE</v>
      </c>
      <c r="D688">
        <f>RTD("nest.scriprtd",,"nse_cm|1003SCL31-ZQ","Bid Qty")</f>
        <v>7</v>
      </c>
      <c r="E688">
        <f>RTD("nest.scriprtd",,"nse_cm|1003SCL31-ZQ","Bid Rate")</f>
        <v>900.3</v>
      </c>
      <c r="F688">
        <f>RTD("nest.scriprtd",,"nse_cm|1003SCL31-ZQ","Ask Rate")</f>
        <v>0</v>
      </c>
      <c r="G688">
        <f>RTD("nest.scriprtd",,"nse_cm|1003SCL31-ZQ","Ask Qty")</f>
        <v>0</v>
      </c>
      <c r="H688">
        <f>RTD("nest.scriprtd",,"nse_cm|1003SCL31-ZQ","LTP")</f>
        <v>0</v>
      </c>
      <c r="I688" t="str">
        <f>RTD("nest.scriprtd",,"nse_cm|1003SCL31-ZQ","LTT")</f>
        <v/>
      </c>
      <c r="J688">
        <f>RTD("nest.scriprtd",,"nse_cm|1003SCL31-ZQ","% Change")</f>
        <v>-100</v>
      </c>
      <c r="K688">
        <f>RTD("nest.scriprtd",,"nse_cm|1003SCL31-ZQ","ATP")</f>
        <v>0</v>
      </c>
      <c r="L688">
        <f>RTD("nest.scriprtd",,"nse_cm|1003SCL31-ZQ","Volume Traded Today")</f>
        <v>0</v>
      </c>
      <c r="M688">
        <f>RTD("nest.scriprtd",,"nse_cm|1003SCL31-ZQ","Open")</f>
        <v>0</v>
      </c>
      <c r="N688">
        <f>RTD("nest.scriprtd",,"nse_cm|1003SCL31-ZQ","High")</f>
        <v>0</v>
      </c>
      <c r="O688">
        <f>RTD("nest.scriprtd",,"nse_cm|1003SCL31-ZQ","Low ")</f>
        <v>0</v>
      </c>
      <c r="P688">
        <f>RTD("nest.scriprtd",,"nse_cm|1003SCL31-ZQ","Prev Close")</f>
        <v>1000</v>
      </c>
      <c r="Q688">
        <f>RTD("nest.scriprtd",,"nse_cm|1003SCL31-ZQ","Face Value")</f>
        <v>1000</v>
      </c>
      <c r="R688" t="str">
        <f>RTD("nest.scriprtd",,"nse_cm|1003SCL31-ZQ","Isin code")</f>
        <v>INE148I07TW3</v>
      </c>
      <c r="S688" s="9">
        <f>Table1[[#This Row],[Ask Rate]]*Table1[[#This Row],[Ask Qty]]</f>
        <v>0</v>
      </c>
      <c r="T688">
        <f>VLOOKUP(Table1[[#This Row],[Isin code]],Table2[#All],7,FALSE)</f>
        <v>10.029999999999999</v>
      </c>
      <c r="U688" s="17" t="str">
        <f>VLOOKUP(Table1[[#This Row],[Isin code]],Table2[#All],8,FALSE)</f>
        <v>31-May-2031</v>
      </c>
      <c r="V688" s="10">
        <f ca="1">Table1[[#This Row],[Maturity]]-TODAY()</f>
        <v>2418</v>
      </c>
      <c r="W688" t="str">
        <f>VLOOKUP(Table1[[#This Row],[Isin code]],Table2[#All],10,FALSE)</f>
        <v>Monthly</v>
      </c>
      <c r="X688">
        <f ca="1">_xlfn.DAYS(Table1[[#This Row],[Maturity]],TODAY())-15</f>
        <v>2403</v>
      </c>
      <c r="Y6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81</v>
      </c>
      <c r="Z688">
        <f>IF(Table1[[#This Row],[Ask Rate]]=0,0,Table1[[#This Row],[Face Value]]-Table1[[#This Row],[Ask Rate]])</f>
        <v>0</v>
      </c>
      <c r="AA688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688">
        <f ca="1">Table1[[#This Row],[Face Value]]*Table1[[#This Row],[Rate]]*Table1[[#This Row],[Time]]</f>
        <v>677.02499999999998</v>
      </c>
      <c r="AC688">
        <f ca="1">Table1[[#This Row],[SI]]+Table1[[#This Row],[Disc/Prem]]</f>
        <v>677.02499999999998</v>
      </c>
      <c r="AD688" s="3" t="e">
        <f ca="1">Table1[[#This Row],[Net Gain]]/Table1[[#This Row],[Ask Rate]]</f>
        <v>#DIV/0!</v>
      </c>
      <c r="AE688" s="3">
        <f>IF(Table1[[#This Row],[Ask Qty]]=0,0,Table1[[#This Row],[Gross Yield]]*365/Table1[[#This Row],[Days Left]])</f>
        <v>0</v>
      </c>
      <c r="AF688" s="9">
        <f ca="1">+Table1[[#This Row],[Net Gain]]*Table1[[#This Row],[Ask Qty]]</f>
        <v>0</v>
      </c>
      <c r="AG688" t="str">
        <f>IF(Table1[[#This Row],[YTM]]&gt;0.12,IF(Table1[[#This Row],[Gross Profit]]&gt;10000,"Invest","Review"),"Low YTM")</f>
        <v>Low YTM</v>
      </c>
    </row>
    <row r="689" spans="1:33" x14ac:dyDescent="0.3">
      <c r="A689" t="str">
        <f>RTD("nest.scriprtd",,"bse_cm|875MFL28","Symbol")</f>
        <v>875MFL28</v>
      </c>
      <c r="B689" t="str">
        <f>RTD("nest.scriprtd",,"bse_cm|875MFL28","Trading Symbol")</f>
        <v>875MFL28</v>
      </c>
      <c r="C689" t="str">
        <f>RTD("nest.scriprtd",,"bse_cm|875MFL28","Exchange")</f>
        <v>BSE</v>
      </c>
      <c r="D689">
        <f>RTD("nest.scriprtd",,"bse_cm|875MFL28","Bid Qty")</f>
        <v>20</v>
      </c>
      <c r="E689">
        <f>RTD("nest.scriprtd",,"bse_cm|875MFL28","Bid Rate")</f>
        <v>830.2</v>
      </c>
      <c r="F689">
        <f>RTD("nest.scriprtd",,"bse_cm|875MFL28","Ask Rate")</f>
        <v>0</v>
      </c>
      <c r="G689">
        <f>RTD("nest.scriprtd",,"bse_cm|875MFL28","Ask Qty")</f>
        <v>0</v>
      </c>
      <c r="H689">
        <f>RTD("nest.scriprtd",,"bse_cm|875MFL28","LTP")</f>
        <v>0</v>
      </c>
      <c r="I689" t="str">
        <f>RTD("nest.scriprtd",,"bse_cm|875MFL28","LTT")</f>
        <v>00:00:00</v>
      </c>
      <c r="J689">
        <f>RTD("nest.scriprtd",,"bse_cm|875MFL28","% Change")</f>
        <v>-100</v>
      </c>
      <c r="K689">
        <f>RTD("nest.scriprtd",,"bse_cm|875MFL28","ATP")</f>
        <v>0</v>
      </c>
      <c r="L689">
        <f>RTD("nest.scriprtd",,"bse_cm|875MFL28","Volume Traded Today")</f>
        <v>0</v>
      </c>
      <c r="M689">
        <f>RTD("nest.scriprtd",,"bse_cm|875MFL28","Open")</f>
        <v>0</v>
      </c>
      <c r="N689">
        <f>RTD("nest.scriprtd",,"bse_cm|875MFL28","High")</f>
        <v>947.58</v>
      </c>
      <c r="O689">
        <f>RTD("nest.scriprtd",,"bse_cm|875MFL28","Low ")</f>
        <v>885</v>
      </c>
      <c r="P689">
        <f>RTD("nest.scriprtd",,"bse_cm|875MFL28","Prev Close")</f>
        <v>947.58</v>
      </c>
      <c r="Q689">
        <f>RTD("nest.scriprtd",,"bse_cm|875MFL28","Face Value")</f>
        <v>1000</v>
      </c>
      <c r="R689" t="str">
        <f>RTD("nest.scriprtd",,"bse_cm|875MFL28","Isin code")</f>
        <v>INE549K07BC8</v>
      </c>
      <c r="S689" s="9">
        <f>Table1[[#This Row],[Ask Rate]]*Table1[[#This Row],[Ask Qty]]</f>
        <v>0</v>
      </c>
      <c r="T689">
        <f>VLOOKUP(Table1[[#This Row],[Isin code]],Table2[#All],7,FALSE)</f>
        <v>8.75</v>
      </c>
      <c r="U689" s="17" t="str">
        <f>VLOOKUP(Table1[[#This Row],[Isin code]],Table2[#All],8,FALSE)</f>
        <v>02-Feb-2028</v>
      </c>
      <c r="V689" s="10">
        <f ca="1">Table1[[#This Row],[Maturity]]-TODAY()</f>
        <v>1204</v>
      </c>
      <c r="W689" t="str">
        <f>VLOOKUP(Table1[[#This Row],[Isin code]],Table2[#All],10,FALSE)</f>
        <v>Monthly</v>
      </c>
      <c r="X689">
        <f ca="1">_xlfn.DAYS(Table1[[#This Row],[Maturity]],TODAY())-15</f>
        <v>1189</v>
      </c>
      <c r="Y6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689">
        <f>IF(Table1[[#This Row],[Ask Rate]]=0,0,Table1[[#This Row],[Face Value]]-Table1[[#This Row],[Ask Rate]])</f>
        <v>0</v>
      </c>
      <c r="AA689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689">
        <f ca="1">Table1[[#This Row],[Face Value]]*Table1[[#This Row],[Rate]]*Table1[[#This Row],[Time]]</f>
        <v>291.66666666666669</v>
      </c>
      <c r="AC689">
        <f ca="1">Table1[[#This Row],[SI]]+Table1[[#This Row],[Disc/Prem]]</f>
        <v>291.66666666666669</v>
      </c>
      <c r="AD689" s="3" t="e">
        <f ca="1">Table1[[#This Row],[Net Gain]]/Table1[[#This Row],[Ask Rate]]</f>
        <v>#DIV/0!</v>
      </c>
      <c r="AE689" s="3">
        <f>IF(Table1[[#This Row],[Ask Qty]]=0,0,Table1[[#This Row],[Gross Yield]]*365/Table1[[#This Row],[Days Left]])</f>
        <v>0</v>
      </c>
      <c r="AF689" s="9">
        <f ca="1">+Table1[[#This Row],[Net Gain]]*Table1[[#This Row],[Ask Qty]]</f>
        <v>0</v>
      </c>
      <c r="AG689" t="str">
        <f>IF(Table1[[#This Row],[YTM]]&gt;0.12,IF(Table1[[#This Row],[Gross Profit]]&gt;10000,"Invest","Review"),"Low YTM")</f>
        <v>Low YTM</v>
      </c>
    </row>
    <row r="690" spans="1:33" x14ac:dyDescent="0.3">
      <c r="A690" t="str">
        <f>RTD("nest.scriprtd",,"bse_cm|960EFSL26","Symbol")</f>
        <v>960EFSL26</v>
      </c>
      <c r="B690" t="str">
        <f>RTD("nest.scriprtd",,"bse_cm|960EFSL26","Trading Symbol")</f>
        <v>960EFSL26</v>
      </c>
      <c r="C690" t="str">
        <f>RTD("nest.scriprtd",,"bse_cm|960EFSL26","Exchange")</f>
        <v>BSE</v>
      </c>
      <c r="D690">
        <f>RTD("nest.scriprtd",,"bse_cm|960EFSL26","Bid Qty")</f>
        <v>190</v>
      </c>
      <c r="E690">
        <f>RTD("nest.scriprtd",,"bse_cm|960EFSL26","Bid Rate")</f>
        <v>970.2</v>
      </c>
      <c r="F690">
        <f>RTD("nest.scriprtd",,"bse_cm|960EFSL26","Ask Rate")</f>
        <v>0</v>
      </c>
      <c r="G690">
        <f>RTD("nest.scriprtd",,"bse_cm|960EFSL26","Ask Qty")</f>
        <v>0</v>
      </c>
      <c r="H690">
        <f>RTD("nest.scriprtd",,"bse_cm|960EFSL26","LTP")</f>
        <v>0</v>
      </c>
      <c r="I690" t="str">
        <f>RTD("nest.scriprtd",,"bse_cm|960EFSL26","LTT")</f>
        <v>00:00:00</v>
      </c>
      <c r="J690">
        <f>RTD("nest.scriprtd",,"bse_cm|960EFSL26","% Change")</f>
        <v>-100</v>
      </c>
      <c r="K690">
        <f>RTD("nest.scriprtd",,"bse_cm|960EFSL26","ATP")</f>
        <v>0</v>
      </c>
      <c r="L690">
        <f>RTD("nest.scriprtd",,"bse_cm|960EFSL26","Volume Traded Today")</f>
        <v>0</v>
      </c>
      <c r="M690">
        <f>RTD("nest.scriprtd",,"bse_cm|960EFSL26","Open")</f>
        <v>0</v>
      </c>
      <c r="N690">
        <f>RTD("nest.scriprtd",,"bse_cm|960EFSL26","High")</f>
        <v>999</v>
      </c>
      <c r="O690">
        <f>RTD("nest.scriprtd",,"bse_cm|960EFSL26","Low ")</f>
        <v>985</v>
      </c>
      <c r="P690">
        <f>RTD("nest.scriprtd",,"bse_cm|960EFSL26","Prev Close")</f>
        <v>999</v>
      </c>
      <c r="Q690">
        <f>RTD("nest.scriprtd",,"bse_cm|960EFSL26","Face Value")</f>
        <v>1000</v>
      </c>
      <c r="R690" t="str">
        <f>RTD("nest.scriprtd",,"bse_cm|960EFSL26","Isin code")</f>
        <v>INE532F07DS6</v>
      </c>
      <c r="S690" s="9">
        <f>Table1[[#This Row],[Ask Rate]]*Table1[[#This Row],[Ask Qty]]</f>
        <v>0</v>
      </c>
      <c r="T690">
        <f>VLOOKUP(Table1[[#This Row],[Isin code]],Table2[#All],7,FALSE)</f>
        <v>9.6</v>
      </c>
      <c r="U690" s="17" t="str">
        <f>VLOOKUP(Table1[[#This Row],[Isin code]],Table2[#All],8,FALSE)</f>
        <v>27-Apr-2026</v>
      </c>
      <c r="V690" s="10">
        <f ca="1">Table1[[#This Row],[Maturity]]-TODAY()</f>
        <v>558</v>
      </c>
      <c r="W690" t="str">
        <f>VLOOKUP(Table1[[#This Row],[Isin code]],Table2[#All],10,FALSE)</f>
        <v>Yearly</v>
      </c>
      <c r="X690">
        <f ca="1">_xlfn.DAYS(Table1[[#This Row],[Maturity]],TODAY())-15</f>
        <v>543</v>
      </c>
      <c r="Y6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90">
        <f>IF(Table1[[#This Row],[Ask Rate]]=0,0,Table1[[#This Row],[Face Value]]-Table1[[#This Row],[Ask Rate]])</f>
        <v>0</v>
      </c>
      <c r="AA690">
        <f>IF(Table1[[#This Row],[Freq]]="Yearly",Table1[[#This Row],[Coupon_Rate]]/100,IF(Table1[[#This Row],[Freq]]="Monthly",Table1[[#This Row],[Coupon_Rate]]/1200,IF(Table1[[#This Row],[Freq]]="Quarterly",Table1[[#This Row],[Coupon_Rate]]/400,0)))</f>
        <v>9.6000000000000002E-2</v>
      </c>
      <c r="AB690">
        <f ca="1">Table1[[#This Row],[Face Value]]*Table1[[#This Row],[Rate]]*Table1[[#This Row],[Time]]</f>
        <v>192</v>
      </c>
      <c r="AC690">
        <f ca="1">Table1[[#This Row],[SI]]+Table1[[#This Row],[Disc/Prem]]</f>
        <v>192</v>
      </c>
      <c r="AD690" s="3" t="e">
        <f ca="1">Table1[[#This Row],[Net Gain]]/Table1[[#This Row],[Ask Rate]]</f>
        <v>#DIV/0!</v>
      </c>
      <c r="AE690" s="3">
        <f>IF(Table1[[#This Row],[Ask Qty]]=0,0,Table1[[#This Row],[Gross Yield]]*365/Table1[[#This Row],[Days Left]])</f>
        <v>0</v>
      </c>
      <c r="AF690" s="9">
        <f ca="1">+Table1[[#This Row],[Net Gain]]*Table1[[#This Row],[Ask Qty]]</f>
        <v>0</v>
      </c>
      <c r="AG690" t="str">
        <f>IF(Table1[[#This Row],[YTM]]&gt;0.12,IF(Table1[[#This Row],[Gross Profit]]&gt;10000,"Invest","Review"),"Low YTM")</f>
        <v>Low YTM</v>
      </c>
    </row>
    <row r="691" spans="1:33" x14ac:dyDescent="0.3">
      <c r="A691" t="str">
        <f>RTD("nest.scriprtd",,"bse_cm|11CCIL27","Symbol")</f>
        <v>11CCIL27</v>
      </c>
      <c r="B691" t="str">
        <f>RTD("nest.scriprtd",,"bse_cm|11CCIL27","Trading Symbol")</f>
        <v>11CCIL27</v>
      </c>
      <c r="C691" t="str">
        <f>RTD("nest.scriprtd",,"bse_cm|11CCIL27","Exchange")</f>
        <v>BSE</v>
      </c>
      <c r="D691">
        <f>RTD("nest.scriprtd",,"bse_cm|11CCIL27","Bid Qty")</f>
        <v>10</v>
      </c>
      <c r="E691">
        <f>RTD("nest.scriprtd",,"bse_cm|11CCIL27","Bid Rate")</f>
        <v>921.7</v>
      </c>
      <c r="F691">
        <f>RTD("nest.scriprtd",,"bse_cm|11CCIL27","Ask Rate")</f>
        <v>0</v>
      </c>
      <c r="G691">
        <f>RTD("nest.scriprtd",,"bse_cm|11CCIL27","Ask Qty")</f>
        <v>0</v>
      </c>
      <c r="H691">
        <f>RTD("nest.scriprtd",,"bse_cm|11CCIL27","LTP")</f>
        <v>0</v>
      </c>
      <c r="I691" t="str">
        <f>RTD("nest.scriprtd",,"bse_cm|11CCIL27","LTT")</f>
        <v>00:00:00</v>
      </c>
      <c r="J691">
        <f>RTD("nest.scriprtd",,"bse_cm|11CCIL27","% Change")</f>
        <v>-100</v>
      </c>
      <c r="K691">
        <f>RTD("nest.scriprtd",,"bse_cm|11CCIL27","ATP")</f>
        <v>0</v>
      </c>
      <c r="L691">
        <f>RTD("nest.scriprtd",,"bse_cm|11CCIL27","Volume Traded Today")</f>
        <v>0</v>
      </c>
      <c r="M691">
        <f>RTD("nest.scriprtd",,"bse_cm|11CCIL27","Open")</f>
        <v>0</v>
      </c>
      <c r="N691">
        <f>RTD("nest.scriprtd",,"bse_cm|11CCIL27","High")</f>
        <v>900</v>
      </c>
      <c r="O691">
        <f>RTD("nest.scriprtd",,"bse_cm|11CCIL27","Low ")</f>
        <v>900</v>
      </c>
      <c r="P691">
        <f>RTD("nest.scriprtd",,"bse_cm|11CCIL27","Prev Close")</f>
        <v>900</v>
      </c>
      <c r="Q691">
        <f>RTD("nest.scriprtd",,"bse_cm|11CCIL27","Face Value")</f>
        <v>1000</v>
      </c>
      <c r="R691" t="str">
        <f>RTD("nest.scriprtd",,"bse_cm|11CCIL27","Isin code")</f>
        <v>INE051307AU8</v>
      </c>
      <c r="S691" s="9">
        <f>Table1[[#This Row],[Ask Rate]]*Table1[[#This Row],[Ask Qty]]</f>
        <v>0</v>
      </c>
      <c r="T691">
        <f>VLOOKUP(Table1[[#This Row],[Isin code]],Table2[#All],7,FALSE)</f>
        <v>11</v>
      </c>
      <c r="U691" s="17" t="str">
        <f>VLOOKUP(Table1[[#This Row],[Isin code]],Table2[#All],8,FALSE)</f>
        <v>10-Mar-2027</v>
      </c>
      <c r="V691" s="10">
        <f ca="1">Table1[[#This Row],[Maturity]]-TODAY()</f>
        <v>875</v>
      </c>
      <c r="W691" t="str">
        <f>VLOOKUP(Table1[[#This Row],[Isin code]],Table2[#All],10,FALSE)</f>
        <v>Monthly</v>
      </c>
      <c r="X691">
        <f ca="1">_xlfn.DAYS(Table1[[#This Row],[Maturity]],TODAY())-15</f>
        <v>860</v>
      </c>
      <c r="Y6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29</v>
      </c>
      <c r="Z691">
        <f>IF(Table1[[#This Row],[Ask Rate]]=0,0,Table1[[#This Row],[Face Value]]-Table1[[#This Row],[Ask Rate]])</f>
        <v>0</v>
      </c>
      <c r="AA691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691">
        <f ca="1">Table1[[#This Row],[Face Value]]*Table1[[#This Row],[Rate]]*Table1[[#This Row],[Time]]</f>
        <v>265.83333333333331</v>
      </c>
      <c r="AC691">
        <f ca="1">Table1[[#This Row],[SI]]+Table1[[#This Row],[Disc/Prem]]</f>
        <v>265.83333333333331</v>
      </c>
      <c r="AD691" s="3" t="e">
        <f ca="1">Table1[[#This Row],[Net Gain]]/Table1[[#This Row],[Ask Rate]]</f>
        <v>#DIV/0!</v>
      </c>
      <c r="AE691" s="3">
        <f>IF(Table1[[#This Row],[Ask Qty]]=0,0,Table1[[#This Row],[Gross Yield]]*365/Table1[[#This Row],[Days Left]])</f>
        <v>0</v>
      </c>
      <c r="AF691" s="9">
        <f ca="1">+Table1[[#This Row],[Net Gain]]*Table1[[#This Row],[Ask Qty]]</f>
        <v>0</v>
      </c>
      <c r="AG691" t="str">
        <f>IF(Table1[[#This Row],[YTM]]&gt;0.12,IF(Table1[[#This Row],[Gross Profit]]&gt;10000,"Invest","Review"),"Low YTM")</f>
        <v>Low YTM</v>
      </c>
    </row>
    <row r="692" spans="1:33" x14ac:dyDescent="0.3">
      <c r="A692" t="str">
        <f>RTD("nest.scriprtd",,"nse_cm|79IGT28-NF","Symbol")</f>
        <v>79IGT28</v>
      </c>
      <c r="B692" t="str">
        <f>RTD("nest.scriprtd",,"nse_cm|79IGT28-NF","Trading Symbol")</f>
        <v>79IGT28-NF</v>
      </c>
      <c r="C692" t="str">
        <f>RTD("nest.scriprtd",,"nse_cm|79IGT28-NF","Exchange")</f>
        <v>NSE</v>
      </c>
      <c r="D692">
        <f>RTD("nest.scriprtd",,"nse_cm|79IGT28-NF","Bid Qty")</f>
        <v>500</v>
      </c>
      <c r="E692">
        <f>RTD("nest.scriprtd",,"nse_cm|79IGT28-NF","Bid Rate")</f>
        <v>899</v>
      </c>
      <c r="F692">
        <f>RTD("nest.scriprtd",,"nse_cm|79IGT28-NF","Ask Rate")</f>
        <v>0</v>
      </c>
      <c r="G692">
        <f>RTD("nest.scriprtd",,"nse_cm|79IGT28-NF","Ask Qty")</f>
        <v>0</v>
      </c>
      <c r="H692">
        <f>RTD("nest.scriprtd",,"nse_cm|79IGT28-NF","LTP")</f>
        <v>970</v>
      </c>
      <c r="I692" t="str">
        <f>RTD("nest.scriprtd",,"nse_cm|79IGT28-NF","LTT")</f>
        <v/>
      </c>
      <c r="J692">
        <f>RTD("nest.scriprtd",,"nse_cm|79IGT28-NF","% Change")</f>
        <v>0</v>
      </c>
      <c r="K692">
        <f>RTD("nest.scriprtd",,"nse_cm|79IGT28-NF","ATP")</f>
        <v>0</v>
      </c>
      <c r="L692">
        <f>RTD("nest.scriprtd",,"nse_cm|79IGT28-NF","Volume Traded Today")</f>
        <v>0</v>
      </c>
      <c r="M692">
        <f>RTD("nest.scriprtd",,"nse_cm|79IGT28-NF","Open")</f>
        <v>0</v>
      </c>
      <c r="N692">
        <f>RTD("nest.scriprtd",,"nse_cm|79IGT28-NF","High")</f>
        <v>970</v>
      </c>
      <c r="O692">
        <f>RTD("nest.scriprtd",,"nse_cm|79IGT28-NF","Low ")</f>
        <v>970</v>
      </c>
      <c r="P692">
        <f>RTD("nest.scriprtd",,"nse_cm|79IGT28-NF","Prev Close")</f>
        <v>970</v>
      </c>
      <c r="Q692">
        <f>RTD("nest.scriprtd",,"nse_cm|79IGT28-NF","Face Value")</f>
        <v>1000</v>
      </c>
      <c r="R692" t="str">
        <f>RTD("nest.scriprtd",,"nse_cm|79IGT28-NF","Isin code")</f>
        <v>INE219X07223</v>
      </c>
      <c r="S692" s="9">
        <f>Table1[[#This Row],[Ask Rate]]*Table1[[#This Row],[Ask Qty]]</f>
        <v>0</v>
      </c>
      <c r="T692">
        <f>VLOOKUP(Table1[[#This Row],[Isin code]],Table2[#All],7,FALSE)</f>
        <v>7.9</v>
      </c>
      <c r="U692" s="17" t="str">
        <f>VLOOKUP(Table1[[#This Row],[Isin code]],Table2[#All],8,FALSE)</f>
        <v>06-May-2028</v>
      </c>
      <c r="V692" s="10">
        <f ca="1">Table1[[#This Row],[Maturity]]-TODAY()</f>
        <v>1298</v>
      </c>
      <c r="W692" t="str">
        <f>VLOOKUP(Table1[[#This Row],[Isin code]],Table2[#All],10,FALSE)</f>
        <v>Yearly</v>
      </c>
      <c r="X692">
        <f ca="1">_xlfn.DAYS(Table1[[#This Row],[Maturity]],TODAY())-15</f>
        <v>1283</v>
      </c>
      <c r="Y6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692">
        <f>IF(Table1[[#This Row],[Ask Rate]]=0,0,Table1[[#This Row],[Face Value]]-Table1[[#This Row],[Ask Rate]])</f>
        <v>0</v>
      </c>
      <c r="AA692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7.9000000000000001E-2</v>
      </c>
      <c r="AB692">
        <f ca="1">Table1[[#This Row],[Face Value]]*Table1[[#This Row],[Rate]]*Table1[[#This Row],[Time]]</f>
        <v>316</v>
      </c>
      <c r="AC692">
        <f ca="1">Table1[[#This Row],[SI]]+Table1[[#This Row],[Disc/Prem]]</f>
        <v>316</v>
      </c>
      <c r="AD692" s="3" t="e">
        <f ca="1">Table1[[#This Row],[Net Gain]]/Table1[[#This Row],[Ask Rate]]</f>
        <v>#DIV/0!</v>
      </c>
      <c r="AE692" s="3">
        <f>IF(Table1[[#This Row],[Ask Qty]]=0,0,Table1[[#This Row],[Gross Yield]]*365/Table1[[#This Row],[Days Left]])</f>
        <v>0</v>
      </c>
      <c r="AF692" s="9">
        <f ca="1">+Table1[[#This Row],[Net Gain]]*Table1[[#This Row],[Ask Qty]]</f>
        <v>0</v>
      </c>
      <c r="AG692" t="str">
        <f>IF(Table1[[#This Row],[YTM]]&gt;0.12,IF(Table1[[#This Row],[Gross Profit]]&gt;10000,"Invest","Review"),"Low YTM")</f>
        <v>Low YTM</v>
      </c>
    </row>
    <row r="693" spans="1:33" x14ac:dyDescent="0.3">
      <c r="A693" t="str">
        <f>RTD("nest.scriprtd",,"bse_cm|888IHFL25F","Symbol")</f>
        <v>888IHFL25F</v>
      </c>
      <c r="B693" t="str">
        <f>RTD("nest.scriprtd",,"bse_cm|888IHFL25F","Trading Symbol")</f>
        <v>888IHFL25F</v>
      </c>
      <c r="C693" t="str">
        <f>RTD("nest.scriprtd",,"bse_cm|888IHFL25F","Exchange")</f>
        <v>BSE</v>
      </c>
      <c r="D693">
        <f>RTD("nest.scriprtd",,"bse_cm|888IHFL25F","Bid Qty")</f>
        <v>5</v>
      </c>
      <c r="E693">
        <f>RTD("nest.scriprtd",,"bse_cm|888IHFL25F","Bid Rate")</f>
        <v>1026</v>
      </c>
      <c r="F693">
        <f>RTD("nest.scriprtd",,"bse_cm|888IHFL25F","Ask Rate")</f>
        <v>0</v>
      </c>
      <c r="G693">
        <f>RTD("nest.scriprtd",,"bse_cm|888IHFL25F","Ask Qty")</f>
        <v>0</v>
      </c>
      <c r="H693">
        <f>RTD("nest.scriprtd",,"bse_cm|888IHFL25F","LTP")</f>
        <v>0</v>
      </c>
      <c r="I693" t="str">
        <f>RTD("nest.scriprtd",,"bse_cm|888IHFL25F","LTT")</f>
        <v>00:00:00</v>
      </c>
      <c r="J693">
        <f>RTD("nest.scriprtd",,"bse_cm|888IHFL25F","% Change")</f>
        <v>-100</v>
      </c>
      <c r="K693">
        <f>RTD("nest.scriprtd",,"bse_cm|888IHFL25F","ATP")</f>
        <v>0</v>
      </c>
      <c r="L693">
        <f>RTD("nest.scriprtd",,"bse_cm|888IHFL25F","Volume Traded Today")</f>
        <v>0</v>
      </c>
      <c r="M693">
        <f>RTD("nest.scriprtd",,"bse_cm|888IHFL25F","Open")</f>
        <v>0</v>
      </c>
      <c r="N693">
        <f>RTD("nest.scriprtd",,"bse_cm|888IHFL25F","High")</f>
        <v>1050</v>
      </c>
      <c r="O693">
        <f>RTD("nest.scriprtd",,"bse_cm|888IHFL25F","Low ")</f>
        <v>1020</v>
      </c>
      <c r="P693">
        <f>RTD("nest.scriprtd",,"bse_cm|888IHFL25F","Prev Close")</f>
        <v>1050</v>
      </c>
      <c r="Q693">
        <f>RTD("nest.scriprtd",,"bse_cm|888IHFL25F","Face Value")</f>
        <v>1000</v>
      </c>
      <c r="R693" t="str">
        <f>RTD("nest.scriprtd",,"bse_cm|888IHFL25F","Isin code")</f>
        <v>INE121A07RJ8</v>
      </c>
      <c r="S693" s="9">
        <f>Table1[[#This Row],[Ask Rate]]*Table1[[#This Row],[Ask Qty]]</f>
        <v>0</v>
      </c>
      <c r="T693">
        <f>VLOOKUP(Table1[[#This Row],[Isin code]],Table2[#All],7,FALSE)</f>
        <v>8.4</v>
      </c>
      <c r="U693" s="17" t="str">
        <f>VLOOKUP(Table1[[#This Row],[Isin code]],Table2[#All],8,FALSE)</f>
        <v>07-Dec-2025</v>
      </c>
      <c r="V693" s="10">
        <f ca="1">Table1[[#This Row],[Maturity]]-TODAY()</f>
        <v>417</v>
      </c>
      <c r="W693" t="str">
        <f>VLOOKUP(Table1[[#This Row],[Isin code]],Table2[#All],10,FALSE)</f>
        <v>Yearly</v>
      </c>
      <c r="X693">
        <f ca="1">_xlfn.DAYS(Table1[[#This Row],[Maturity]],TODAY())-15</f>
        <v>402</v>
      </c>
      <c r="Y6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93">
        <f>IF(Table1[[#This Row],[Ask Rate]]=0,0,Table1[[#This Row],[Face Value]]-Table1[[#This Row],[Ask Rate]])</f>
        <v>0</v>
      </c>
      <c r="AA693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693">
        <f ca="1">Table1[[#This Row],[Face Value]]*Table1[[#This Row],[Rate]]*Table1[[#This Row],[Time]]</f>
        <v>168</v>
      </c>
      <c r="AC693">
        <f ca="1">Table1[[#This Row],[SI]]+Table1[[#This Row],[Disc/Prem]]</f>
        <v>168</v>
      </c>
      <c r="AD693" s="3" t="e">
        <f ca="1">Table1[[#This Row],[Net Gain]]/Table1[[#This Row],[Ask Rate]]</f>
        <v>#DIV/0!</v>
      </c>
      <c r="AE693" s="3">
        <f>IF(Table1[[#This Row],[Ask Qty]]=0,0,Table1[[#This Row],[Gross Yield]]*365/Table1[[#This Row],[Days Left]])</f>
        <v>0</v>
      </c>
      <c r="AF693" s="9">
        <f ca="1">+Table1[[#This Row],[Net Gain]]*Table1[[#This Row],[Ask Qty]]</f>
        <v>0</v>
      </c>
      <c r="AG693" t="str">
        <f>IF(Table1[[#This Row],[YTM]]&gt;0.12,IF(Table1[[#This Row],[Gross Profit]]&gt;10000,"Invest","Review"),"Low YTM")</f>
        <v>Low YTM</v>
      </c>
    </row>
    <row r="694" spans="1:33" x14ac:dyDescent="0.3">
      <c r="A694" t="str">
        <f>RTD("nest.scriprtd",,"bse_cm|775MFL27","Symbol")</f>
        <v>775MFL27</v>
      </c>
      <c r="B694" t="str">
        <f>RTD("nest.scriprtd",,"bse_cm|775MFL27","Trading Symbol")</f>
        <v>775MFL27</v>
      </c>
      <c r="C694" t="str">
        <f>RTD("nest.scriprtd",,"bse_cm|775MFL27","Exchange")</f>
        <v>BSE</v>
      </c>
      <c r="D694">
        <f>RTD("nest.scriprtd",,"bse_cm|775MFL27","Bid Qty")</f>
        <v>400</v>
      </c>
      <c r="E694">
        <f>RTD("nest.scriprtd",,"bse_cm|775MFL27","Bid Rate")</f>
        <v>996</v>
      </c>
      <c r="F694">
        <f>RTD("nest.scriprtd",,"bse_cm|775MFL27","Ask Rate")</f>
        <v>0</v>
      </c>
      <c r="G694">
        <f>RTD("nest.scriprtd",,"bse_cm|775MFL27","Ask Qty")</f>
        <v>0</v>
      </c>
      <c r="H694">
        <f>RTD("nest.scriprtd",,"bse_cm|775MFL27","LTP")</f>
        <v>0</v>
      </c>
      <c r="I694" t="str">
        <f>RTD("nest.scriprtd",,"bse_cm|775MFL27","LTT")</f>
        <v>00:00:00</v>
      </c>
      <c r="J694">
        <f>RTD("nest.scriprtd",,"bse_cm|775MFL27","% Change")</f>
        <v>-100</v>
      </c>
      <c r="K694">
        <f>RTD("nest.scriprtd",,"bse_cm|775MFL27","ATP")</f>
        <v>0</v>
      </c>
      <c r="L694">
        <f>RTD("nest.scriprtd",,"bse_cm|775MFL27","Volume Traded Today")</f>
        <v>0</v>
      </c>
      <c r="M694">
        <f>RTD("nest.scriprtd",,"bse_cm|775MFL27","Open")</f>
        <v>0</v>
      </c>
      <c r="N694">
        <f>RTD("nest.scriprtd",,"bse_cm|775MFL27","High")</f>
        <v>1005.01</v>
      </c>
      <c r="O694">
        <f>RTD("nest.scriprtd",,"bse_cm|775MFL27","Low ")</f>
        <v>1005.01</v>
      </c>
      <c r="P694">
        <f>RTD("nest.scriprtd",,"bse_cm|775MFL27","Prev Close")</f>
        <v>1005.01</v>
      </c>
      <c r="Q694">
        <f>RTD("nest.scriprtd",,"bse_cm|775MFL27","Face Value")</f>
        <v>1000</v>
      </c>
      <c r="R694" t="str">
        <f>RTD("nest.scriprtd",,"bse_cm|775MFL27","Isin code")</f>
        <v>INE414G07HE6</v>
      </c>
      <c r="S694" s="9">
        <f>Table1[[#This Row],[Ask Rate]]*Table1[[#This Row],[Ask Qty]]</f>
        <v>0</v>
      </c>
      <c r="T694">
        <f>VLOOKUP(Table1[[#This Row],[Isin code]],Table2[#All],7,FALSE)</f>
        <v>7.75</v>
      </c>
      <c r="U694" s="17" t="str">
        <f>VLOOKUP(Table1[[#This Row],[Isin code]],Table2[#All],8,FALSE)</f>
        <v>23-Dec-2027</v>
      </c>
      <c r="V694" s="10">
        <f ca="1">Table1[[#This Row],[Maturity]]-TODAY()</f>
        <v>1163</v>
      </c>
      <c r="W694" t="str">
        <f>VLOOKUP(Table1[[#This Row],[Isin code]],Table2[#All],10,FALSE)</f>
        <v>Yearly</v>
      </c>
      <c r="X694">
        <f ca="1">_xlfn.DAYS(Table1[[#This Row],[Maturity]],TODAY())-15</f>
        <v>1148</v>
      </c>
      <c r="Y6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694">
        <f>IF(Table1[[#This Row],[Ask Rate]]=0,0,Table1[[#This Row],[Face Value]]-Table1[[#This Row],[Ask Rate]])</f>
        <v>0</v>
      </c>
      <c r="AA694">
        <f>IF(Table1[[#This Row],[Freq]]="Yearly",Table1[[#This Row],[Coupon_Rate]]/100,IF(Table1[[#This Row],[Freq]]="Monthly",Table1[[#This Row],[Coupon_Rate]]/1200,IF(Table1[[#This Row],[Freq]]="Quarterly",Table1[[#This Row],[Coupon_Rate]]/400,0)))</f>
        <v>7.7499999999999999E-2</v>
      </c>
      <c r="AB694">
        <f ca="1">Table1[[#This Row],[Face Value]]*Table1[[#This Row],[Rate]]*Table1[[#This Row],[Time]]</f>
        <v>310</v>
      </c>
      <c r="AC694">
        <f ca="1">Table1[[#This Row],[SI]]+Table1[[#This Row],[Disc/Prem]]</f>
        <v>310</v>
      </c>
      <c r="AD694" s="3" t="e">
        <f ca="1">Table1[[#This Row],[Net Gain]]/Table1[[#This Row],[Ask Rate]]</f>
        <v>#DIV/0!</v>
      </c>
      <c r="AE694" s="3">
        <f>IF(Table1[[#This Row],[Ask Qty]]=0,0,Table1[[#This Row],[Gross Yield]]*365/Table1[[#This Row],[Days Left]])</f>
        <v>0</v>
      </c>
      <c r="AF694" s="9">
        <f ca="1">+Table1[[#This Row],[Net Gain]]*Table1[[#This Row],[Ask Qty]]</f>
        <v>0</v>
      </c>
      <c r="AG694" t="str">
        <f>IF(Table1[[#This Row],[YTM]]&gt;0.12,IF(Table1[[#This Row],[Gross Profit]]&gt;10000,"Invest","Review"),"Low YTM")</f>
        <v>Low YTM</v>
      </c>
    </row>
    <row r="695" spans="1:33" x14ac:dyDescent="0.3">
      <c r="A695" t="str">
        <f>RTD("nest.scriprtd",,"nse_cm|93SCL24A-ZN","Symbol")</f>
        <v>93SCL24A</v>
      </c>
      <c r="B695" t="str">
        <f>RTD("nest.scriprtd",,"nse_cm|93SCL24A-ZN","Trading Symbol")</f>
        <v>93SCL24A-ZN</v>
      </c>
      <c r="C695" t="str">
        <f>RTD("nest.scriprtd",,"nse_cm|93SCL24A-ZN","Exchange")</f>
        <v>NSE</v>
      </c>
      <c r="D695">
        <f>RTD("nest.scriprtd",,"nse_cm|93SCL24A-ZN","Bid Qty")</f>
        <v>12</v>
      </c>
      <c r="E695">
        <f>RTD("nest.scriprtd",,"nse_cm|93SCL24A-ZN","Bid Rate")</f>
        <v>900.3</v>
      </c>
      <c r="F695">
        <f>RTD("nest.scriprtd",,"nse_cm|93SCL24A-ZN","Ask Rate")</f>
        <v>0</v>
      </c>
      <c r="G695">
        <f>RTD("nest.scriprtd",,"nse_cm|93SCL24A-ZN","Ask Qty")</f>
        <v>0</v>
      </c>
      <c r="H695">
        <f>RTD("nest.scriprtd",,"nse_cm|93SCL24A-ZN","LTP")</f>
        <v>950</v>
      </c>
      <c r="I695" t="str">
        <f>RTD("nest.scriprtd",,"nse_cm|93SCL24A-ZN","LTT")</f>
        <v/>
      </c>
      <c r="J695">
        <f>RTD("nest.scriprtd",,"nse_cm|93SCL24A-ZN","% Change")</f>
        <v>0</v>
      </c>
      <c r="K695">
        <f>RTD("nest.scriprtd",,"nse_cm|93SCL24A-ZN","ATP")</f>
        <v>0</v>
      </c>
      <c r="L695">
        <f>RTD("nest.scriprtd",,"nse_cm|93SCL24A-ZN","Volume Traded Today")</f>
        <v>0</v>
      </c>
      <c r="M695">
        <f>RTD("nest.scriprtd",,"nse_cm|93SCL24A-ZN","Open")</f>
        <v>0</v>
      </c>
      <c r="N695">
        <f>RTD("nest.scriprtd",,"nse_cm|93SCL24A-ZN","High")</f>
        <v>970</v>
      </c>
      <c r="O695">
        <f>RTD("nest.scriprtd",,"nse_cm|93SCL24A-ZN","Low ")</f>
        <v>950</v>
      </c>
      <c r="P695">
        <f>RTD("nest.scriprtd",,"nse_cm|93SCL24A-ZN","Prev Close")</f>
        <v>950</v>
      </c>
      <c r="Q695">
        <f>RTD("nest.scriprtd",,"nse_cm|93SCL24A-ZN","Face Value")</f>
        <v>1000</v>
      </c>
      <c r="R695" t="str">
        <f>RTD("nest.scriprtd",,"nse_cm|93SCL24A-ZN","Isin code")</f>
        <v>INE148I07MZ1</v>
      </c>
      <c r="S695" s="9">
        <f>Table1[[#This Row],[Ask Rate]]*Table1[[#This Row],[Ask Qty]]</f>
        <v>0</v>
      </c>
      <c r="T695">
        <f>VLOOKUP(Table1[[#This Row],[Isin code]],Table2[#All],7,FALSE)</f>
        <v>9.15</v>
      </c>
      <c r="U695" s="17">
        <f>VLOOKUP(Table1[[#This Row],[Isin code]],Table2[#All],8,FALSE)</f>
        <v>46694</v>
      </c>
      <c r="V695" s="10">
        <f ca="1">Table1[[#This Row],[Maturity]]-TODAY()</f>
        <v>1113</v>
      </c>
      <c r="W695" t="str">
        <f>VLOOKUP(Table1[[#This Row],[Isin code]],Table2[#All],10,FALSE)</f>
        <v>Monthly</v>
      </c>
      <c r="X695">
        <f ca="1">_xlfn.DAYS(Table1[[#This Row],[Maturity]],TODAY())-15</f>
        <v>1098</v>
      </c>
      <c r="Y6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37</v>
      </c>
      <c r="Z695">
        <f>IF(Table1[[#This Row],[Ask Rate]]=0,0,Table1[[#This Row],[Face Value]]-Table1[[#This Row],[Ask Rate]])</f>
        <v>0</v>
      </c>
      <c r="AA695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695">
        <f ca="1">Table1[[#This Row],[Face Value]]*Table1[[#This Row],[Rate]]*Table1[[#This Row],[Time]]</f>
        <v>282.12500000000006</v>
      </c>
      <c r="AC695">
        <f ca="1">Table1[[#This Row],[SI]]+Table1[[#This Row],[Disc/Prem]]</f>
        <v>282.12500000000006</v>
      </c>
      <c r="AD695" s="3" t="e">
        <f ca="1">Table1[[#This Row],[Net Gain]]/Table1[[#This Row],[Ask Rate]]</f>
        <v>#DIV/0!</v>
      </c>
      <c r="AE695" s="3">
        <f>IF(Table1[[#This Row],[Ask Qty]]=0,0,Table1[[#This Row],[Gross Yield]]*365/Table1[[#This Row],[Days Left]])</f>
        <v>0</v>
      </c>
      <c r="AF695" s="9">
        <f ca="1">+Table1[[#This Row],[Net Gain]]*Table1[[#This Row],[Ask Qty]]</f>
        <v>0</v>
      </c>
      <c r="AG695" t="str">
        <f>IF(Table1[[#This Row],[YTM]]&gt;0.12,IF(Table1[[#This Row],[Gross Profit]]&gt;10000,"Invest","Review"),"Low YTM")</f>
        <v>Low YTM</v>
      </c>
    </row>
    <row r="696" spans="1:33" x14ac:dyDescent="0.3">
      <c r="A696" t="str">
        <f>RTD("nest.scriprtd",,"nse_cm|965ICCL25I-NQ","Symbol")</f>
        <v>965ICCL25I</v>
      </c>
      <c r="B696" t="str">
        <f>RTD("nest.scriprtd",,"nse_cm|965ICCL25I-NQ","Trading Symbol")</f>
        <v>965ICCL25I-NQ</v>
      </c>
      <c r="C696" t="str">
        <f>RTD("nest.scriprtd",,"nse_cm|965ICCL25I-NQ","Exchange")</f>
        <v>NSE</v>
      </c>
      <c r="D696">
        <f>RTD("nest.scriprtd",,"nse_cm|965ICCL25I-NQ","Bid Qty")</f>
        <v>0</v>
      </c>
      <c r="E696">
        <f>RTD("nest.scriprtd",,"nse_cm|965ICCL25I-NQ","Bid Rate")</f>
        <v>0</v>
      </c>
      <c r="F696">
        <f>RTD("nest.scriprtd",,"nse_cm|965ICCL25I-NQ","Ask Rate")</f>
        <v>0</v>
      </c>
      <c r="G696">
        <f>RTD("nest.scriprtd",,"nse_cm|965ICCL25I-NQ","Ask Qty")</f>
        <v>0</v>
      </c>
      <c r="H696">
        <f>RTD("nest.scriprtd",,"nse_cm|965ICCL25I-NQ","LTP")</f>
        <v>1068</v>
      </c>
      <c r="I696" t="str">
        <f>RTD("nest.scriprtd",,"nse_cm|965ICCL25I-NQ","LTT")</f>
        <v/>
      </c>
      <c r="J696">
        <f>RTD("nest.scriprtd",,"nse_cm|965ICCL25I-NQ","% Change")</f>
        <v>0</v>
      </c>
      <c r="K696">
        <f>RTD("nest.scriprtd",,"nse_cm|965ICCL25I-NQ","ATP")</f>
        <v>0</v>
      </c>
      <c r="L696">
        <f>RTD("nest.scriprtd",,"nse_cm|965ICCL25I-NQ","Volume Traded Today")</f>
        <v>0</v>
      </c>
      <c r="M696">
        <f>RTD("nest.scriprtd",,"nse_cm|965ICCL25I-NQ","Open")</f>
        <v>0</v>
      </c>
      <c r="N696">
        <f>RTD("nest.scriprtd",,"nse_cm|965ICCL25I-NQ","High")</f>
        <v>1068</v>
      </c>
      <c r="O696">
        <f>RTD("nest.scriprtd",,"nse_cm|965ICCL25I-NQ","Low ")</f>
        <v>1068</v>
      </c>
      <c r="P696">
        <f>RTD("nest.scriprtd",,"nse_cm|965ICCL25I-NQ","Prev Close")</f>
        <v>1068</v>
      </c>
      <c r="Q696">
        <f>RTD("nest.scriprtd",,"nse_cm|965ICCL25I-NQ","Face Value")</f>
        <v>1000</v>
      </c>
      <c r="R696" t="str">
        <f>RTD("nest.scriprtd",,"nse_cm|965ICCL25I-NQ","Isin code")</f>
        <v>INE244L07457</v>
      </c>
      <c r="S696" s="9">
        <f>Table1[[#This Row],[Ask Rate]]*Table1[[#This Row],[Ask Qty]]</f>
        <v>0</v>
      </c>
      <c r="T696">
        <f>VLOOKUP(Table1[[#This Row],[Isin code]],Table2[#All],7,FALSE)</f>
        <v>10</v>
      </c>
      <c r="U696" s="17" t="str">
        <f>VLOOKUP(Table1[[#This Row],[Isin code]],Table2[#All],8,FALSE)</f>
        <v>25-Apr-2025</v>
      </c>
      <c r="V696" s="10">
        <f ca="1">Table1[[#This Row],[Maturity]]-TODAY()</f>
        <v>191</v>
      </c>
      <c r="W696" t="str">
        <f>VLOOKUP(Table1[[#This Row],[Isin code]],Table2[#All],10,FALSE)</f>
        <v>Yearly</v>
      </c>
      <c r="X696">
        <f ca="1">_xlfn.DAYS(Table1[[#This Row],[Maturity]],TODAY())-15</f>
        <v>176</v>
      </c>
      <c r="Y6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696">
        <f>IF(Table1[[#This Row],[Ask Rate]]=0,0,Table1[[#This Row],[Face Value]]-Table1[[#This Row],[Ask Rate]])</f>
        <v>0</v>
      </c>
      <c r="AA696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696">
        <f ca="1">Table1[[#This Row],[Face Value]]*Table1[[#This Row],[Rate]]*Table1[[#This Row],[Time]]</f>
        <v>100</v>
      </c>
      <c r="AC696">
        <f ca="1">Table1[[#This Row],[SI]]+Table1[[#This Row],[Disc/Prem]]</f>
        <v>100</v>
      </c>
      <c r="AD696" s="3" t="e">
        <f ca="1">Table1[[#This Row],[Net Gain]]/Table1[[#This Row],[Ask Rate]]</f>
        <v>#DIV/0!</v>
      </c>
      <c r="AE696" s="3">
        <f>IF(Table1[[#This Row],[Ask Qty]]=0,0,Table1[[#This Row],[Gross Yield]]*365/Table1[[#This Row],[Days Left]])</f>
        <v>0</v>
      </c>
      <c r="AF696" s="9">
        <f ca="1">+Table1[[#This Row],[Net Gain]]*Table1[[#This Row],[Ask Qty]]</f>
        <v>0</v>
      </c>
      <c r="AG696" t="str">
        <f>IF(Table1[[#This Row],[YTM]]&gt;0.12,IF(Table1[[#This Row],[Gross Profit]]&gt;10000,"Invest","Review"),"Low YTM")</f>
        <v>Low YTM</v>
      </c>
    </row>
    <row r="697" spans="1:33" x14ac:dyDescent="0.3">
      <c r="A697" t="str">
        <f>RTD("nest.scriprtd",,"bse_cm|948SCL27A","Symbol")</f>
        <v>948SCL27A</v>
      </c>
      <c r="B697" t="str">
        <f>RTD("nest.scriprtd",,"bse_cm|948SCL27A","Trading Symbol")</f>
        <v>948SCL27A</v>
      </c>
      <c r="C697" t="str">
        <f>RTD("nest.scriprtd",,"bse_cm|948SCL27A","Exchange")</f>
        <v>BSE</v>
      </c>
      <c r="D697">
        <f>RTD("nest.scriprtd",,"bse_cm|948SCL27A","Bid Qty")</f>
        <v>12</v>
      </c>
      <c r="E697">
        <f>RTD("nest.scriprtd",,"bse_cm|948SCL27A","Bid Rate")</f>
        <v>900.3</v>
      </c>
      <c r="F697">
        <f>RTD("nest.scriprtd",,"bse_cm|948SCL27A","Ask Rate")</f>
        <v>0</v>
      </c>
      <c r="G697">
        <f>RTD("nest.scriprtd",,"bse_cm|948SCL27A","Ask Qty")</f>
        <v>0</v>
      </c>
      <c r="H697">
        <f>RTD("nest.scriprtd",,"bse_cm|948SCL27A","LTP")</f>
        <v>0</v>
      </c>
      <c r="I697" t="str">
        <f>RTD("nest.scriprtd",,"bse_cm|948SCL27A","LTT")</f>
        <v>00:00:00</v>
      </c>
      <c r="J697">
        <f>RTD("nest.scriprtd",,"bse_cm|948SCL27A","% Change")</f>
        <v>-100</v>
      </c>
      <c r="K697">
        <f>RTD("nest.scriprtd",,"bse_cm|948SCL27A","ATP")</f>
        <v>0</v>
      </c>
      <c r="L697">
        <f>RTD("nest.scriprtd",,"bse_cm|948SCL27A","Volume Traded Today")</f>
        <v>0</v>
      </c>
      <c r="M697">
        <f>RTD("nest.scriprtd",,"bse_cm|948SCL27A","Open")</f>
        <v>0</v>
      </c>
      <c r="N697">
        <f>RTD("nest.scriprtd",,"bse_cm|948SCL27A","High")</f>
        <v>964.8</v>
      </c>
      <c r="O697">
        <f>RTD("nest.scriprtd",,"bse_cm|948SCL27A","Low ")</f>
        <v>964.8</v>
      </c>
      <c r="P697">
        <f>RTD("nest.scriprtd",,"bse_cm|948SCL27A","Prev Close")</f>
        <v>964.8</v>
      </c>
      <c r="Q697">
        <f>RTD("nest.scriprtd",,"bse_cm|948SCL27A","Face Value")</f>
        <v>1000</v>
      </c>
      <c r="R697" t="str">
        <f>RTD("nest.scriprtd",,"bse_cm|948SCL27A","Isin code")</f>
        <v>INE148I07TL6</v>
      </c>
      <c r="S697" s="9">
        <f>Table1[[#This Row],[Ask Rate]]*Table1[[#This Row],[Ask Qty]]</f>
        <v>0</v>
      </c>
      <c r="T697">
        <f>VLOOKUP(Table1[[#This Row],[Isin code]],Table2[#All],7,FALSE)</f>
        <v>9.48</v>
      </c>
      <c r="U697" s="17" t="str">
        <f>VLOOKUP(Table1[[#This Row],[Isin code]],Table2[#All],8,FALSE)</f>
        <v>31-May-2027</v>
      </c>
      <c r="V697" s="10">
        <f ca="1">Table1[[#This Row],[Maturity]]-TODAY()</f>
        <v>957</v>
      </c>
      <c r="W697" t="str">
        <f>VLOOKUP(Table1[[#This Row],[Isin code]],Table2[#All],10,FALSE)</f>
        <v>Monthly</v>
      </c>
      <c r="X697">
        <f ca="1">_xlfn.DAYS(Table1[[#This Row],[Maturity]],TODAY())-15</f>
        <v>942</v>
      </c>
      <c r="Y6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32</v>
      </c>
      <c r="Z697">
        <f>IF(Table1[[#This Row],[Ask Rate]]=0,0,Table1[[#This Row],[Face Value]]-Table1[[#This Row],[Ask Rate]])</f>
        <v>0</v>
      </c>
      <c r="AA697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697">
        <f ca="1">Table1[[#This Row],[Face Value]]*Table1[[#This Row],[Rate]]*Table1[[#This Row],[Time]]</f>
        <v>252.8</v>
      </c>
      <c r="AC697">
        <f ca="1">Table1[[#This Row],[SI]]+Table1[[#This Row],[Disc/Prem]]</f>
        <v>252.8</v>
      </c>
      <c r="AD697" s="3" t="e">
        <f ca="1">Table1[[#This Row],[Net Gain]]/Table1[[#This Row],[Ask Rate]]</f>
        <v>#DIV/0!</v>
      </c>
      <c r="AE697" s="3">
        <f>IF(Table1[[#This Row],[Ask Qty]]=0,0,Table1[[#This Row],[Gross Yield]]*365/Table1[[#This Row],[Days Left]])</f>
        <v>0</v>
      </c>
      <c r="AF697" s="9">
        <f ca="1">+Table1[[#This Row],[Net Gain]]*Table1[[#This Row],[Ask Qty]]</f>
        <v>0</v>
      </c>
      <c r="AG697" t="str">
        <f>IF(Table1[[#This Row],[YTM]]&gt;0.12,IF(Table1[[#This Row],[Gross Profit]]&gt;10000,"Invest","Review"),"Low YTM")</f>
        <v>Low YTM</v>
      </c>
    </row>
    <row r="698" spans="1:33" x14ac:dyDescent="0.3">
      <c r="A698" t="str">
        <f>RTD("nest.scriprtd",,"bse_cm|890MFL26A","Symbol")</f>
        <v>890MFL26A</v>
      </c>
      <c r="B698" t="str">
        <f>RTD("nest.scriprtd",,"bse_cm|890MFL26A","Trading Symbol")</f>
        <v>890MFL26A</v>
      </c>
      <c r="C698" t="str">
        <f>RTD("nest.scriprtd",,"bse_cm|890MFL26A","Exchange")</f>
        <v>BSE</v>
      </c>
      <c r="D698">
        <f>RTD("nest.scriprtd",,"bse_cm|890MFL26A","Bid Qty")</f>
        <v>180</v>
      </c>
      <c r="E698">
        <f>RTD("nest.scriprtd",,"bse_cm|890MFL26A","Bid Rate")</f>
        <v>952.8</v>
      </c>
      <c r="F698">
        <f>RTD("nest.scriprtd",,"bse_cm|890MFL26A","Ask Rate")</f>
        <v>0</v>
      </c>
      <c r="G698">
        <f>RTD("nest.scriprtd",,"bse_cm|890MFL26A","Ask Qty")</f>
        <v>0</v>
      </c>
      <c r="H698">
        <f>RTD("nest.scriprtd",,"bse_cm|890MFL26A","LTP")</f>
        <v>0</v>
      </c>
      <c r="I698" t="str">
        <f>RTD("nest.scriprtd",,"bse_cm|890MFL26A","LTT")</f>
        <v>00:00:00</v>
      </c>
      <c r="J698">
        <f>RTD("nest.scriprtd",,"bse_cm|890MFL26A","% Change")</f>
        <v>-100</v>
      </c>
      <c r="K698">
        <f>RTD("nest.scriprtd",,"bse_cm|890MFL26A","ATP")</f>
        <v>0</v>
      </c>
      <c r="L698">
        <f>RTD("nest.scriprtd",,"bse_cm|890MFL26A","Volume Traded Today")</f>
        <v>0</v>
      </c>
      <c r="M698">
        <f>RTD("nest.scriprtd",,"bse_cm|890MFL26A","Open")</f>
        <v>0</v>
      </c>
      <c r="N698">
        <f>RTD("nest.scriprtd",,"bse_cm|890MFL26A","High")</f>
        <v>950.22</v>
      </c>
      <c r="O698">
        <f>RTD("nest.scriprtd",,"bse_cm|890MFL26A","Low ")</f>
        <v>950.22</v>
      </c>
      <c r="P698">
        <f>RTD("nest.scriprtd",,"bse_cm|890MFL26A","Prev Close")</f>
        <v>950.22</v>
      </c>
      <c r="Q698">
        <f>RTD("nest.scriprtd",,"bse_cm|890MFL26A","Face Value")</f>
        <v>1000</v>
      </c>
      <c r="R698" t="str">
        <f>RTD("nest.scriprtd",,"bse_cm|890MFL26A","Isin code")</f>
        <v>INE549K07CQ6</v>
      </c>
      <c r="S698" s="9">
        <f>Table1[[#This Row],[Ask Rate]]*Table1[[#This Row],[Ask Qty]]</f>
        <v>0</v>
      </c>
      <c r="T698">
        <f>VLOOKUP(Table1[[#This Row],[Isin code]],Table2[#All],7,FALSE)</f>
        <v>8.9</v>
      </c>
      <c r="U698" s="17" t="str">
        <f>VLOOKUP(Table1[[#This Row],[Isin code]],Table2[#All],8,FALSE)</f>
        <v>20-Sep-2026</v>
      </c>
      <c r="V698" s="10">
        <f ca="1">Table1[[#This Row],[Maturity]]-TODAY()</f>
        <v>704</v>
      </c>
      <c r="W698" t="str">
        <f>VLOOKUP(Table1[[#This Row],[Isin code]],Table2[#All],10,FALSE)</f>
        <v>Monthly</v>
      </c>
      <c r="X698">
        <f ca="1">_xlfn.DAYS(Table1[[#This Row],[Maturity]],TODAY())-15</f>
        <v>689</v>
      </c>
      <c r="Y6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23</v>
      </c>
      <c r="Z698">
        <f>IF(Table1[[#This Row],[Ask Rate]]=0,0,Table1[[#This Row],[Face Value]]-Table1[[#This Row],[Ask Rate]])</f>
        <v>0</v>
      </c>
      <c r="AA698">
        <f>IF(Table1[[#This Row],[Freq]]="Yearly",Table1[[#This Row],[Coupon_Rate]]/100,IF(Table1[[#This Row],[Freq]]="Monthly",Table1[[#This Row],[Coupon_Rate]]/1200,IF(Table1[[#This Row],[Freq]]="Quarterly",Table1[[#This Row],[Coupon_Rate]]/400,0)))</f>
        <v>7.4166666666666669E-3</v>
      </c>
      <c r="AB698">
        <f ca="1">Table1[[#This Row],[Face Value]]*Table1[[#This Row],[Rate]]*Table1[[#This Row],[Time]]</f>
        <v>170.58333333333334</v>
      </c>
      <c r="AC698">
        <f ca="1">Table1[[#This Row],[SI]]+Table1[[#This Row],[Disc/Prem]]</f>
        <v>170.58333333333334</v>
      </c>
      <c r="AD698" s="3" t="e">
        <f ca="1">Table1[[#This Row],[Net Gain]]/Table1[[#This Row],[Ask Rate]]</f>
        <v>#DIV/0!</v>
      </c>
      <c r="AE698" s="3">
        <f>IF(Table1[[#This Row],[Ask Qty]]=0,0,Table1[[#This Row],[Gross Yield]]*365/Table1[[#This Row],[Days Left]])</f>
        <v>0</v>
      </c>
      <c r="AF698" s="9">
        <f ca="1">+Table1[[#This Row],[Net Gain]]*Table1[[#This Row],[Ask Qty]]</f>
        <v>0</v>
      </c>
      <c r="AG698" t="str">
        <f>IF(Table1[[#This Row],[YTM]]&gt;0.12,IF(Table1[[#This Row],[Gross Profit]]&gt;10000,"Invest","Review"),"Low YTM")</f>
        <v>Low YTM</v>
      </c>
    </row>
    <row r="699" spans="1:33" x14ac:dyDescent="0.3">
      <c r="A699" t="str">
        <f>RTD("nest.scriprtd",,"bse_cm|960EFSLA","Symbol")</f>
        <v>960EFSLA</v>
      </c>
      <c r="B699" t="str">
        <f>RTD("nest.scriprtd",,"bse_cm|960EFSLA","Trading Symbol")</f>
        <v>960EFSLA</v>
      </c>
      <c r="C699" t="str">
        <f>RTD("nest.scriprtd",,"bse_cm|960EFSLA","Exchange")</f>
        <v>BSE</v>
      </c>
      <c r="D699">
        <f>RTD("nest.scriprtd",,"bse_cm|960EFSLA","Bid Qty")</f>
        <v>50</v>
      </c>
      <c r="E699">
        <f>RTD("nest.scriprtd",,"bse_cm|960EFSLA","Bid Rate")</f>
        <v>924</v>
      </c>
      <c r="F699">
        <f>RTD("nest.scriprtd",,"bse_cm|960EFSLA","Ask Rate")</f>
        <v>0</v>
      </c>
      <c r="G699">
        <f>RTD("nest.scriprtd",,"bse_cm|960EFSLA","Ask Qty")</f>
        <v>0</v>
      </c>
      <c r="H699">
        <f>RTD("nest.scriprtd",,"bse_cm|960EFSLA","LTP")</f>
        <v>0</v>
      </c>
      <c r="I699" t="str">
        <f>RTD("nest.scriprtd",,"bse_cm|960EFSLA","LTT")</f>
        <v>00:00:00</v>
      </c>
      <c r="J699">
        <f>RTD("nest.scriprtd",,"bse_cm|960EFSLA","% Change")</f>
        <v>-100</v>
      </c>
      <c r="K699">
        <f>RTD("nest.scriprtd",,"bse_cm|960EFSLA","ATP")</f>
        <v>0</v>
      </c>
      <c r="L699">
        <f>RTD("nest.scriprtd",,"bse_cm|960EFSLA","Volume Traded Today")</f>
        <v>0</v>
      </c>
      <c r="M699">
        <f>RTD("nest.scriprtd",,"bse_cm|960EFSLA","Open")</f>
        <v>0</v>
      </c>
      <c r="N699">
        <f>RTD("nest.scriprtd",,"bse_cm|960EFSLA","High")</f>
        <v>1029.8</v>
      </c>
      <c r="O699">
        <f>RTD("nest.scriprtd",,"bse_cm|960EFSLA","Low ")</f>
        <v>1012.8</v>
      </c>
      <c r="P699">
        <f>RTD("nest.scriprtd",,"bse_cm|960EFSLA","Prev Close")</f>
        <v>1029.8</v>
      </c>
      <c r="Q699">
        <f>RTD("nest.scriprtd",,"bse_cm|960EFSLA","Face Value")</f>
        <v>1000</v>
      </c>
      <c r="R699" t="str">
        <f>RTD("nest.scriprtd",,"bse_cm|960EFSLA","Isin code")</f>
        <v>INE532F07EP0</v>
      </c>
      <c r="S699" s="9">
        <f>Table1[[#This Row],[Ask Rate]]*Table1[[#This Row],[Ask Qty]]</f>
        <v>0</v>
      </c>
      <c r="T699">
        <f>VLOOKUP(Table1[[#This Row],[Isin code]],Table2[#All],7,FALSE)</f>
        <v>9.6</v>
      </c>
      <c r="U699" s="17" t="str">
        <f>VLOOKUP(Table1[[#This Row],[Isin code]],Table2[#All],8,FALSE)</f>
        <v>26-Oct-2026</v>
      </c>
      <c r="V699" s="10">
        <f ca="1">Table1[[#This Row],[Maturity]]-TODAY()</f>
        <v>740</v>
      </c>
      <c r="W699" t="str">
        <f>VLOOKUP(Table1[[#This Row],[Isin code]],Table2[#All],10,FALSE)</f>
        <v>Yearly</v>
      </c>
      <c r="X699">
        <f ca="1">_xlfn.DAYS(Table1[[#This Row],[Maturity]],TODAY())-15</f>
        <v>725</v>
      </c>
      <c r="Y6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699">
        <f>IF(Table1[[#This Row],[Ask Rate]]=0,0,Table1[[#This Row],[Face Value]]-Table1[[#This Row],[Ask Rate]])</f>
        <v>0</v>
      </c>
      <c r="AA699">
        <f>IF(Table1[[#This Row],[Freq]]="Yearly",Table1[[#This Row],[Coupon_Rate]]/100,IF(Table1[[#This Row],[Freq]]="Monthly",Table1[[#This Row],[Coupon_Rate]]/1200,IF(Table1[[#This Row],[Freq]]="Quarterly",Table1[[#This Row],[Coupon_Rate]]/400,0)))</f>
        <v>9.6000000000000002E-2</v>
      </c>
      <c r="AB699">
        <f ca="1">Table1[[#This Row],[Face Value]]*Table1[[#This Row],[Rate]]*Table1[[#This Row],[Time]]</f>
        <v>192</v>
      </c>
      <c r="AC699">
        <f ca="1">Table1[[#This Row],[SI]]+Table1[[#This Row],[Disc/Prem]]</f>
        <v>192</v>
      </c>
      <c r="AD699" s="3" t="e">
        <f ca="1">Table1[[#This Row],[Net Gain]]/Table1[[#This Row],[Ask Rate]]</f>
        <v>#DIV/0!</v>
      </c>
      <c r="AE699" s="3">
        <f>IF(Table1[[#This Row],[Ask Qty]]=0,0,Table1[[#This Row],[Gross Yield]]*365/Table1[[#This Row],[Days Left]])</f>
        <v>0</v>
      </c>
      <c r="AF699" s="9">
        <f ca="1">+Table1[[#This Row],[Net Gain]]*Table1[[#This Row],[Ask Qty]]</f>
        <v>0</v>
      </c>
      <c r="AG699" t="str">
        <f>IF(Table1[[#This Row],[YTM]]&gt;0.12,IF(Table1[[#This Row],[Gross Profit]]&gt;10000,"Invest","Review"),"Low YTM")</f>
        <v>Low YTM</v>
      </c>
    </row>
    <row r="700" spans="1:33" x14ac:dyDescent="0.3">
      <c r="A700" t="str">
        <f>RTD("nest.scriprtd",,"bse_cm|895EFSL25","Symbol")</f>
        <v>895EFSL25</v>
      </c>
      <c r="B700" t="str">
        <f>RTD("nest.scriprtd",,"bse_cm|895EFSL25","Trading Symbol")</f>
        <v>895EFSL25</v>
      </c>
      <c r="C700" t="str">
        <f>RTD("nest.scriprtd",,"bse_cm|895EFSL25","Exchange")</f>
        <v>BSE</v>
      </c>
      <c r="D700">
        <f>RTD("nest.scriprtd",,"bse_cm|895EFSL25","Bid Qty")</f>
        <v>9</v>
      </c>
      <c r="E700">
        <f>RTD("nest.scriprtd",,"bse_cm|895EFSL25","Bid Rate")</f>
        <v>1010.5</v>
      </c>
      <c r="F700">
        <f>RTD("nest.scriprtd",,"bse_cm|895EFSL25","Ask Rate")</f>
        <v>0</v>
      </c>
      <c r="G700">
        <f>RTD("nest.scriprtd",,"bse_cm|895EFSL25","Ask Qty")</f>
        <v>0</v>
      </c>
      <c r="H700">
        <f>RTD("nest.scriprtd",,"bse_cm|895EFSL25","LTP")</f>
        <v>0</v>
      </c>
      <c r="I700" t="str">
        <f>RTD("nest.scriprtd",,"bse_cm|895EFSL25","LTT")</f>
        <v>00:00:00</v>
      </c>
      <c r="J700">
        <f>RTD("nest.scriprtd",,"bse_cm|895EFSL25","% Change")</f>
        <v>-100</v>
      </c>
      <c r="K700">
        <f>RTD("nest.scriprtd",,"bse_cm|895EFSL25","ATP")</f>
        <v>0</v>
      </c>
      <c r="L700">
        <f>RTD("nest.scriprtd",,"bse_cm|895EFSL25","Volume Traded Today")</f>
        <v>0</v>
      </c>
      <c r="M700">
        <f>RTD("nest.scriprtd",,"bse_cm|895EFSL25","Open")</f>
        <v>0</v>
      </c>
      <c r="N700">
        <f>RTD("nest.scriprtd",,"bse_cm|895EFSL25","High")</f>
        <v>1008</v>
      </c>
      <c r="O700">
        <f>RTD("nest.scriprtd",,"bse_cm|895EFSL25","Low ")</f>
        <v>1008</v>
      </c>
      <c r="P700">
        <f>RTD("nest.scriprtd",,"bse_cm|895EFSL25","Prev Close")</f>
        <v>1008</v>
      </c>
      <c r="Q700">
        <f>RTD("nest.scriprtd",,"bse_cm|895EFSL25","Face Value")</f>
        <v>1000</v>
      </c>
      <c r="R700" t="str">
        <f>RTD("nest.scriprtd",,"bse_cm|895EFSL25","Isin code")</f>
        <v>INE532F07DQ0</v>
      </c>
      <c r="S700" s="9">
        <f>Table1[[#This Row],[Ask Rate]]*Table1[[#This Row],[Ask Qty]]</f>
        <v>0</v>
      </c>
      <c r="T700">
        <f>VLOOKUP(Table1[[#This Row],[Isin code]],Table2[#All],7,FALSE)</f>
        <v>8.9499999999999993</v>
      </c>
      <c r="U700" s="17" t="str">
        <f>VLOOKUP(Table1[[#This Row],[Isin code]],Table2[#All],8,FALSE)</f>
        <v>27-Apr-2025</v>
      </c>
      <c r="V700" s="10">
        <f ca="1">Table1[[#This Row],[Maturity]]-TODAY()</f>
        <v>193</v>
      </c>
      <c r="W700" t="str">
        <f>VLOOKUP(Table1[[#This Row],[Isin code]],Table2[#All],10,FALSE)</f>
        <v>Yearly</v>
      </c>
      <c r="X700">
        <f ca="1">_xlfn.DAYS(Table1[[#This Row],[Maturity]],TODAY())-15</f>
        <v>178</v>
      </c>
      <c r="Y7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700">
        <f>IF(Table1[[#This Row],[Ask Rate]]=0,0,Table1[[#This Row],[Face Value]]-Table1[[#This Row],[Ask Rate]])</f>
        <v>0</v>
      </c>
      <c r="AA700">
        <f>IF(Table1[[#This Row],[Freq]]="Yearly",Table1[[#This Row],[Coupon_Rate]]/100,IF(Table1[[#This Row],[Freq]]="Monthly",Table1[[#This Row],[Coupon_Rate]]/1200,IF(Table1[[#This Row],[Freq]]="Quarterly",Table1[[#This Row],[Coupon_Rate]]/400,0)))</f>
        <v>8.9499999999999996E-2</v>
      </c>
      <c r="AB700">
        <f ca="1">Table1[[#This Row],[Face Value]]*Table1[[#This Row],[Rate]]*Table1[[#This Row],[Time]]</f>
        <v>89.5</v>
      </c>
      <c r="AC700">
        <f ca="1">Table1[[#This Row],[SI]]+Table1[[#This Row],[Disc/Prem]]</f>
        <v>89.5</v>
      </c>
      <c r="AD700" s="3" t="e">
        <f ca="1">Table1[[#This Row],[Net Gain]]/Table1[[#This Row],[Ask Rate]]</f>
        <v>#DIV/0!</v>
      </c>
      <c r="AE700" s="3">
        <f>IF(Table1[[#This Row],[Ask Qty]]=0,0,Table1[[#This Row],[Gross Yield]]*365/Table1[[#This Row],[Days Left]])</f>
        <v>0</v>
      </c>
      <c r="AF700" s="9">
        <f ca="1">+Table1[[#This Row],[Net Gain]]*Table1[[#This Row],[Ask Qty]]</f>
        <v>0</v>
      </c>
      <c r="AG700" t="str">
        <f>IF(Table1[[#This Row],[YTM]]&gt;0.12,IF(Table1[[#This Row],[Gross Profit]]&gt;10000,"Invest","Review"),"Low YTM")</f>
        <v>Low YTM</v>
      </c>
    </row>
    <row r="701" spans="1:33" x14ac:dyDescent="0.3">
      <c r="A701" t="str">
        <f>RTD("nest.scriprtd",,"bse_cm|MFL31","Symbol")</f>
        <v>MFL31</v>
      </c>
      <c r="B701" t="str">
        <f>RTD("nest.scriprtd",,"bse_cm|MFL31","Trading Symbol")</f>
        <v>MFL31</v>
      </c>
      <c r="C701" t="str">
        <f>RTD("nest.scriprtd",,"bse_cm|MFL31","Exchange")</f>
        <v>BSE</v>
      </c>
      <c r="D701">
        <f>RTD("nest.scriprtd",,"bse_cm|MFL31","Bid Qty")</f>
        <v>50</v>
      </c>
      <c r="E701">
        <f>RTD("nest.scriprtd",,"bse_cm|MFL31","Bid Rate")</f>
        <v>980.02</v>
      </c>
      <c r="F701">
        <f>RTD("nest.scriprtd",,"bse_cm|MFL31","Ask Rate")</f>
        <v>0</v>
      </c>
      <c r="G701">
        <f>RTD("nest.scriprtd",,"bse_cm|MFL31","Ask Qty")</f>
        <v>0</v>
      </c>
      <c r="H701">
        <f>RTD("nest.scriprtd",,"bse_cm|MFL31","LTP")</f>
        <v>0</v>
      </c>
      <c r="I701" t="str">
        <f>RTD("nest.scriprtd",,"bse_cm|MFL31","LTT")</f>
        <v>00:00:00</v>
      </c>
      <c r="J701">
        <f>RTD("nest.scriprtd",,"bse_cm|MFL31","% Change")</f>
        <v>-100</v>
      </c>
      <c r="K701">
        <f>RTD("nest.scriprtd",,"bse_cm|MFL31","ATP")</f>
        <v>0</v>
      </c>
      <c r="L701">
        <f>RTD("nest.scriprtd",,"bse_cm|MFL31","Volume Traded Today")</f>
        <v>0</v>
      </c>
      <c r="M701">
        <f>RTD("nest.scriprtd",,"bse_cm|MFL31","Open")</f>
        <v>0</v>
      </c>
      <c r="N701">
        <f>RTD("nest.scriprtd",,"bse_cm|MFL31","High")</f>
        <v>1040</v>
      </c>
      <c r="O701">
        <f>RTD("nest.scriprtd",,"bse_cm|MFL31","Low ")</f>
        <v>1040</v>
      </c>
      <c r="P701">
        <f>RTD("nest.scriprtd",,"bse_cm|MFL31","Prev Close")</f>
        <v>1040</v>
      </c>
      <c r="Q701">
        <f>RTD("nest.scriprtd",,"bse_cm|MFL31","Face Value")</f>
        <v>1000</v>
      </c>
      <c r="R701" t="str">
        <f>RTD("nest.scriprtd",,"bse_cm|MFL31","Isin code")</f>
        <v>INE549K07CH5</v>
      </c>
      <c r="S701" s="9">
        <f>Table1[[#This Row],[Ask Rate]]*Table1[[#This Row],[Ask Qty]]</f>
        <v>0</v>
      </c>
      <c r="T701" t="str">
        <f>VLOOKUP(Table1[[#This Row],[Isin code]],Table2[#All],7,FALSE)</f>
        <v>--</v>
      </c>
      <c r="U701" s="17" t="str">
        <f>VLOOKUP(Table1[[#This Row],[Isin code]],Table2[#All],8,FALSE)</f>
        <v>20-Sep-2031</v>
      </c>
      <c r="V701" s="10">
        <f ca="1">Table1[[#This Row],[Maturity]]-TODAY()</f>
        <v>2530</v>
      </c>
      <c r="W701" t="str">
        <f>VLOOKUP(Table1[[#This Row],[Isin code]],Table2[#All],10,FALSE)</f>
        <v>At the End</v>
      </c>
      <c r="X701">
        <f ca="1">_xlfn.DAYS(Table1[[#This Row],[Maturity]],TODAY())-15</f>
        <v>2515</v>
      </c>
      <c r="Y70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01">
        <f>IF(Table1[[#This Row],[Ask Rate]]=0,0,Table1[[#This Row],[Face Value]]-Table1[[#This Row],[Ask Rate]])</f>
        <v>0</v>
      </c>
      <c r="AA70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01">
        <f>Table1[[#This Row],[Face Value]]*Table1[[#This Row],[Rate]]*Table1[[#This Row],[Time]]</f>
        <v>0</v>
      </c>
      <c r="AC701">
        <f>Table1[[#This Row],[SI]]+Table1[[#This Row],[Disc/Prem]]</f>
        <v>0</v>
      </c>
      <c r="AD701" s="3" t="e">
        <f>Table1[[#This Row],[Net Gain]]/Table1[[#This Row],[Ask Rate]]</f>
        <v>#DIV/0!</v>
      </c>
      <c r="AE701" s="3">
        <f>IF(Table1[[#This Row],[Ask Qty]]=0,0,Table1[[#This Row],[Gross Yield]]*365/Table1[[#This Row],[Days Left]])</f>
        <v>0</v>
      </c>
      <c r="AF701" s="9">
        <f>+Table1[[#This Row],[Net Gain]]*Table1[[#This Row],[Ask Qty]]</f>
        <v>0</v>
      </c>
      <c r="AG701" t="str">
        <f>IF(Table1[[#This Row],[YTM]]&gt;0.12,IF(Table1[[#This Row],[Gross Profit]]&gt;10000,"Invest","Review"),"Low YTM")</f>
        <v>Low YTM</v>
      </c>
    </row>
    <row r="702" spans="1:33" x14ac:dyDescent="0.3">
      <c r="A702" t="str">
        <f>RTD("nest.scriprtd",,"bse_cm|9MFL25A","Symbol")</f>
        <v>9MFL25A</v>
      </c>
      <c r="B702" t="str">
        <f>RTD("nest.scriprtd",,"bse_cm|9MFL25A","Trading Symbol")</f>
        <v>9MFL25A</v>
      </c>
      <c r="C702" t="str">
        <f>RTD("nest.scriprtd",,"bse_cm|9MFL25A","Exchange")</f>
        <v>BSE</v>
      </c>
      <c r="D702">
        <f>RTD("nest.scriprtd",,"bse_cm|9MFL25A","Bid Qty")</f>
        <v>12</v>
      </c>
      <c r="E702">
        <f>RTD("nest.scriprtd",,"bse_cm|9MFL25A","Bid Rate")</f>
        <v>925.2</v>
      </c>
      <c r="F702">
        <f>RTD("nest.scriprtd",,"bse_cm|9MFL25A","Ask Rate")</f>
        <v>0</v>
      </c>
      <c r="G702">
        <f>RTD("nest.scriprtd",,"bse_cm|9MFL25A","Ask Qty")</f>
        <v>0</v>
      </c>
      <c r="H702">
        <f>RTD("nest.scriprtd",,"bse_cm|9MFL25A","LTP")</f>
        <v>0</v>
      </c>
      <c r="I702" t="str">
        <f>RTD("nest.scriprtd",,"bse_cm|9MFL25A","LTT")</f>
        <v>00:00:00</v>
      </c>
      <c r="J702">
        <f>RTD("nest.scriprtd",,"bse_cm|9MFL25A","% Change")</f>
        <v>-100</v>
      </c>
      <c r="K702">
        <f>RTD("nest.scriprtd",,"bse_cm|9MFL25A","ATP")</f>
        <v>0</v>
      </c>
      <c r="L702">
        <f>RTD("nest.scriprtd",,"bse_cm|9MFL25A","Volume Traded Today")</f>
        <v>0</v>
      </c>
      <c r="M702">
        <f>RTD("nest.scriprtd",,"bse_cm|9MFL25A","Open")</f>
        <v>0</v>
      </c>
      <c r="N702">
        <f>RTD("nest.scriprtd",,"bse_cm|9MFL25A","High")</f>
        <v>990</v>
      </c>
      <c r="O702">
        <f>RTD("nest.scriprtd",,"bse_cm|9MFL25A","Low ")</f>
        <v>980</v>
      </c>
      <c r="P702">
        <f>RTD("nest.scriprtd",,"bse_cm|9MFL25A","Prev Close")</f>
        <v>990</v>
      </c>
      <c r="Q702">
        <f>RTD("nest.scriprtd",,"bse_cm|9MFL25A","Face Value")</f>
        <v>1000</v>
      </c>
      <c r="R702" t="str">
        <f>RTD("nest.scriprtd",,"bse_cm|9MFL25A","Isin code")</f>
        <v>INE549K07CO1</v>
      </c>
      <c r="S702" s="9">
        <f>Table1[[#This Row],[Ask Rate]]*Table1[[#This Row],[Ask Qty]]</f>
        <v>0</v>
      </c>
      <c r="T702">
        <f>VLOOKUP(Table1[[#This Row],[Isin code]],Table2[#All],7,FALSE)</f>
        <v>9</v>
      </c>
      <c r="U702" s="17" t="str">
        <f>VLOOKUP(Table1[[#This Row],[Isin code]],Table2[#All],8,FALSE)</f>
        <v>20-Sep-2025</v>
      </c>
      <c r="V702" s="10">
        <f ca="1">Table1[[#This Row],[Maturity]]-TODAY()</f>
        <v>339</v>
      </c>
      <c r="W702" t="str">
        <f>VLOOKUP(Table1[[#This Row],[Isin code]],Table2[#All],10,FALSE)</f>
        <v>Yearly</v>
      </c>
      <c r="X702">
        <f ca="1">_xlfn.DAYS(Table1[[#This Row],[Maturity]],TODAY())-15</f>
        <v>324</v>
      </c>
      <c r="Y7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702">
        <f>IF(Table1[[#This Row],[Ask Rate]]=0,0,Table1[[#This Row],[Face Value]]-Table1[[#This Row],[Ask Rate]])</f>
        <v>0</v>
      </c>
      <c r="AA702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702">
        <f ca="1">Table1[[#This Row],[Face Value]]*Table1[[#This Row],[Rate]]*Table1[[#This Row],[Time]]</f>
        <v>90</v>
      </c>
      <c r="AC702">
        <f ca="1">Table1[[#This Row],[SI]]+Table1[[#This Row],[Disc/Prem]]</f>
        <v>90</v>
      </c>
      <c r="AD702" s="3" t="e">
        <f ca="1">Table1[[#This Row],[Net Gain]]/Table1[[#This Row],[Ask Rate]]</f>
        <v>#DIV/0!</v>
      </c>
      <c r="AE702" s="3">
        <f>IF(Table1[[#This Row],[Ask Qty]]=0,0,Table1[[#This Row],[Gross Yield]]*365/Table1[[#This Row],[Days Left]])</f>
        <v>0</v>
      </c>
      <c r="AF702" s="9">
        <f ca="1">+Table1[[#This Row],[Net Gain]]*Table1[[#This Row],[Ask Qty]]</f>
        <v>0</v>
      </c>
      <c r="AG702" t="str">
        <f>IF(Table1[[#This Row],[YTM]]&gt;0.12,IF(Table1[[#This Row],[Gross Profit]]&gt;10000,"Invest","Review"),"Low YTM")</f>
        <v>Low YTM</v>
      </c>
    </row>
    <row r="703" spans="1:33" x14ac:dyDescent="0.3">
      <c r="A703" t="str">
        <f>RTD("nest.scriprtd",,"bse_cm|0SFL26","Symbol")</f>
        <v>0SFL26</v>
      </c>
      <c r="B703" t="str">
        <f>RTD("nest.scriprtd",,"bse_cm|0SFL26","Trading Symbol")</f>
        <v>0SFL26</v>
      </c>
      <c r="C703" t="str">
        <f>RTD("nest.scriprtd",,"bse_cm|0SFL26","Exchange")</f>
        <v>BSE</v>
      </c>
      <c r="D703">
        <f>RTD("nest.scriprtd",,"bse_cm|0SFL26","Bid Qty")</f>
        <v>16</v>
      </c>
      <c r="E703">
        <f>RTD("nest.scriprtd",,"bse_cm|0SFL26","Bid Rate")</f>
        <v>860.2</v>
      </c>
      <c r="F703">
        <f>RTD("nest.scriprtd",,"bse_cm|0SFL26","Ask Rate")</f>
        <v>0</v>
      </c>
      <c r="G703">
        <f>RTD("nest.scriprtd",,"bse_cm|0SFL26","Ask Qty")</f>
        <v>0</v>
      </c>
      <c r="H703">
        <f>RTD("nest.scriprtd",,"bse_cm|0SFL26","LTP")</f>
        <v>0</v>
      </c>
      <c r="I703" t="str">
        <f>RTD("nest.scriprtd",,"bse_cm|0SFL26","LTT")</f>
        <v>00:00:00</v>
      </c>
      <c r="J703">
        <f>RTD("nest.scriprtd",,"bse_cm|0SFL26","% Change")</f>
        <v>-100</v>
      </c>
      <c r="K703">
        <f>RTD("nest.scriprtd",,"bse_cm|0SFL26","ATP")</f>
        <v>0</v>
      </c>
      <c r="L703">
        <f>RTD("nest.scriprtd",,"bse_cm|0SFL26","Volume Traded Today")</f>
        <v>0</v>
      </c>
      <c r="M703">
        <f>RTD("nest.scriprtd",,"bse_cm|0SFL26","Open")</f>
        <v>0</v>
      </c>
      <c r="N703">
        <f>RTD("nest.scriprtd",,"bse_cm|0SFL26","High")</f>
        <v>0</v>
      </c>
      <c r="O703">
        <f>RTD("nest.scriprtd",,"bse_cm|0SFL26","Low ")</f>
        <v>0</v>
      </c>
      <c r="P703">
        <f>RTD("nest.scriprtd",,"bse_cm|0SFL26","Prev Close")</f>
        <v>1000</v>
      </c>
      <c r="Q703">
        <f>RTD("nest.scriprtd",,"bse_cm|0SFL26","Face Value")</f>
        <v>1000</v>
      </c>
      <c r="R703" t="str">
        <f>RTD("nest.scriprtd",,"bse_cm|0SFL26","Isin code")</f>
        <v>INE302E07763</v>
      </c>
      <c r="S703" s="9">
        <f>Table1[[#This Row],[Ask Rate]]*Table1[[#This Row],[Ask Qty]]</f>
        <v>0</v>
      </c>
      <c r="T703" t="str">
        <f>VLOOKUP(Table1[[#This Row],[Isin code]],Table2[#All],7,FALSE)</f>
        <v>--</v>
      </c>
      <c r="U703" s="17" t="str">
        <f>VLOOKUP(Table1[[#This Row],[Isin code]],Table2[#All],8,FALSE)</f>
        <v>09-Jul-2026</v>
      </c>
      <c r="V703" s="10">
        <f ca="1">Table1[[#This Row],[Maturity]]-TODAY()</f>
        <v>631</v>
      </c>
      <c r="W703" t="str">
        <f>VLOOKUP(Table1[[#This Row],[Isin code]],Table2[#All],10,FALSE)</f>
        <v>At the End</v>
      </c>
      <c r="X703">
        <f ca="1">_xlfn.DAYS(Table1[[#This Row],[Maturity]],TODAY())-15</f>
        <v>616</v>
      </c>
      <c r="Y70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03">
        <f>IF(Table1[[#This Row],[Ask Rate]]=0,0,Table1[[#This Row],[Face Value]]-Table1[[#This Row],[Ask Rate]])</f>
        <v>0</v>
      </c>
      <c r="AA70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03">
        <f>Table1[[#This Row],[Face Value]]*Table1[[#This Row],[Rate]]*Table1[[#This Row],[Time]]</f>
        <v>0</v>
      </c>
      <c r="AC703">
        <f>Table1[[#This Row],[SI]]+Table1[[#This Row],[Disc/Prem]]</f>
        <v>0</v>
      </c>
      <c r="AD703" s="3" t="e">
        <f>Table1[[#This Row],[Net Gain]]/Table1[[#This Row],[Ask Rate]]</f>
        <v>#DIV/0!</v>
      </c>
      <c r="AE703" s="3">
        <f>IF(Table1[[#This Row],[Ask Qty]]=0,0,Table1[[#This Row],[Gross Yield]]*365/Table1[[#This Row],[Days Left]])</f>
        <v>0</v>
      </c>
      <c r="AF703" s="9">
        <f>+Table1[[#This Row],[Net Gain]]*Table1[[#This Row],[Ask Qty]]</f>
        <v>0</v>
      </c>
      <c r="AG703" t="str">
        <f>IF(Table1[[#This Row],[YTM]]&gt;0.12,IF(Table1[[#This Row],[Gross Profit]]&gt;10000,"Invest","Review"),"Low YTM")</f>
        <v>Low YTM</v>
      </c>
    </row>
    <row r="704" spans="1:33" x14ac:dyDescent="0.3">
      <c r="A704" t="str">
        <f>RTD("nest.scriprtd",,"bse_cm|MFLVI32F","Symbol")</f>
        <v>MFLVI32F</v>
      </c>
      <c r="B704" t="str">
        <f>RTD("nest.scriprtd",,"bse_cm|MFLVI32F","Trading Symbol")</f>
        <v>MFLVI32F</v>
      </c>
      <c r="C704" t="str">
        <f>RTD("nest.scriprtd",,"bse_cm|MFLVI32F","Exchange")</f>
        <v>BSE</v>
      </c>
      <c r="D704">
        <f>RTD("nest.scriprtd",,"bse_cm|MFLVI32F","Bid Qty")</f>
        <v>14</v>
      </c>
      <c r="E704">
        <f>RTD("nest.scriprtd",,"bse_cm|MFLVI32F","Bid Rate")</f>
        <v>845.2</v>
      </c>
      <c r="F704">
        <f>RTD("nest.scriprtd",,"bse_cm|MFLVI32F","Ask Rate")</f>
        <v>0</v>
      </c>
      <c r="G704">
        <f>RTD("nest.scriprtd",,"bse_cm|MFLVI32F","Ask Qty")</f>
        <v>0</v>
      </c>
      <c r="H704">
        <f>RTD("nest.scriprtd",,"bse_cm|MFLVI32F","LTP")</f>
        <v>0</v>
      </c>
      <c r="I704" t="str">
        <f>RTD("nest.scriprtd",,"bse_cm|MFLVI32F","LTT")</f>
        <v>00:00:00</v>
      </c>
      <c r="J704">
        <f>RTD("nest.scriprtd",,"bse_cm|MFLVI32F","% Change")</f>
        <v>-100</v>
      </c>
      <c r="K704">
        <f>RTD("nest.scriprtd",,"bse_cm|MFLVI32F","ATP")</f>
        <v>0</v>
      </c>
      <c r="L704">
        <f>RTD("nest.scriprtd",,"bse_cm|MFLVI32F","Volume Traded Today")</f>
        <v>0</v>
      </c>
      <c r="M704">
        <f>RTD("nest.scriprtd",,"bse_cm|MFLVI32F","Open")</f>
        <v>0</v>
      </c>
      <c r="N704">
        <f>RTD("nest.scriprtd",,"bse_cm|MFLVI32F","High")</f>
        <v>951</v>
      </c>
      <c r="O704">
        <f>RTD("nest.scriprtd",,"bse_cm|MFLVI32F","Low ")</f>
        <v>951</v>
      </c>
      <c r="P704">
        <f>RTD("nest.scriprtd",,"bse_cm|MFLVI32F","Prev Close")</f>
        <v>951</v>
      </c>
      <c r="Q704">
        <f>RTD("nest.scriprtd",,"bse_cm|MFLVI32F","Face Value")</f>
        <v>1000</v>
      </c>
      <c r="R704" t="str">
        <f>RTD("nest.scriprtd",,"bse_cm|MFLVI32F","Isin code")</f>
        <v>INE414G07GI9</v>
      </c>
      <c r="S704" s="9">
        <f>Table1[[#This Row],[Ask Rate]]*Table1[[#This Row],[Ask Qty]]</f>
        <v>0</v>
      </c>
      <c r="T704">
        <f>VLOOKUP(Table1[[#This Row],[Isin code]],Table2[#All],7,FALSE)</f>
        <v>7.5</v>
      </c>
      <c r="U704" s="17" t="str">
        <f>VLOOKUP(Table1[[#This Row],[Isin code]],Table2[#All],8,FALSE)</f>
        <v>05-May-2032</v>
      </c>
      <c r="V704" s="10">
        <f ca="1">Table1[[#This Row],[Maturity]]-TODAY()</f>
        <v>2758</v>
      </c>
      <c r="W704" t="str">
        <f>VLOOKUP(Table1[[#This Row],[Isin code]],Table2[#All],10,FALSE)</f>
        <v>Yearly</v>
      </c>
      <c r="X704">
        <f ca="1">_xlfn.DAYS(Table1[[#This Row],[Maturity]],TODAY())-15</f>
        <v>2743</v>
      </c>
      <c r="Y7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704">
        <f>IF(Table1[[#This Row],[Ask Rate]]=0,0,Table1[[#This Row],[Face Value]]-Table1[[#This Row],[Ask Rate]])</f>
        <v>0</v>
      </c>
      <c r="AA704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7.4999999999999997E-2</v>
      </c>
      <c r="AB704">
        <f ca="1">Table1[[#This Row],[Face Value]]*Table1[[#This Row],[Rate]]*Table1[[#This Row],[Time]]</f>
        <v>600</v>
      </c>
      <c r="AC704">
        <f ca="1">Table1[[#This Row],[SI]]+Table1[[#This Row],[Disc/Prem]]</f>
        <v>600</v>
      </c>
      <c r="AD704" s="3" t="e">
        <f ca="1">Table1[[#This Row],[Net Gain]]/Table1[[#This Row],[Ask Rate]]</f>
        <v>#DIV/0!</v>
      </c>
      <c r="AE704" s="3">
        <f>IF(Table1[[#This Row],[Ask Qty]]=0,0,Table1[[#This Row],[Gross Yield]]*365/Table1[[#This Row],[Days Left]])</f>
        <v>0</v>
      </c>
      <c r="AF704" s="9">
        <f ca="1">+Table1[[#This Row],[Net Gain]]*Table1[[#This Row],[Ask Qty]]</f>
        <v>0</v>
      </c>
      <c r="AG704" t="str">
        <f>IF(Table1[[#This Row],[YTM]]&gt;0.12,IF(Table1[[#This Row],[Gross Profit]]&gt;10000,"Invest","Review"),"Low YTM")</f>
        <v>Low YTM</v>
      </c>
    </row>
    <row r="705" spans="1:33" x14ac:dyDescent="0.3">
      <c r="A705" t="str">
        <f>RTD("nest.scriprtd",,"bse_cm|SCLZC26D","Symbol")</f>
        <v>SCLZC26D</v>
      </c>
      <c r="B705" t="str">
        <f>RTD("nest.scriprtd",,"bse_cm|SCLZC26D","Trading Symbol")</f>
        <v>SCLZC26D</v>
      </c>
      <c r="C705" t="str">
        <f>RTD("nest.scriprtd",,"bse_cm|SCLZC26D","Exchange")</f>
        <v>BSE</v>
      </c>
      <c r="D705">
        <f>RTD("nest.scriprtd",,"bse_cm|SCLZC26D","Bid Qty")</f>
        <v>20</v>
      </c>
      <c r="E705">
        <f>RTD("nest.scriprtd",,"bse_cm|SCLZC26D","Bid Rate")</f>
        <v>840.2</v>
      </c>
      <c r="F705">
        <f>RTD("nest.scriprtd",,"bse_cm|SCLZC26D","Ask Rate")</f>
        <v>0</v>
      </c>
      <c r="G705">
        <f>RTD("nest.scriprtd",,"bse_cm|SCLZC26D","Ask Qty")</f>
        <v>0</v>
      </c>
      <c r="H705">
        <f>RTD("nest.scriprtd",,"bse_cm|SCLZC26D","LTP")</f>
        <v>0</v>
      </c>
      <c r="I705" t="str">
        <f>RTD("nest.scriprtd",,"bse_cm|SCLZC26D","LTT")</f>
        <v>00:00:00</v>
      </c>
      <c r="J705">
        <f>RTD("nest.scriprtd",,"bse_cm|SCLZC26D","% Change")</f>
        <v>-100</v>
      </c>
      <c r="K705">
        <f>RTD("nest.scriprtd",,"bse_cm|SCLZC26D","ATP")</f>
        <v>0</v>
      </c>
      <c r="L705">
        <f>RTD("nest.scriprtd",,"bse_cm|SCLZC26D","Volume Traded Today")</f>
        <v>0</v>
      </c>
      <c r="M705">
        <f>RTD("nest.scriprtd",,"bse_cm|SCLZC26D","Open")</f>
        <v>0</v>
      </c>
      <c r="N705">
        <f>RTD("nest.scriprtd",,"bse_cm|SCLZC26D","High")</f>
        <v>0</v>
      </c>
      <c r="O705">
        <f>RTD("nest.scriprtd",,"bse_cm|SCLZC26D","Low ")</f>
        <v>0</v>
      </c>
      <c r="P705">
        <f>RTD("nest.scriprtd",,"bse_cm|SCLZC26D","Prev Close")</f>
        <v>1000</v>
      </c>
      <c r="Q705">
        <f>RTD("nest.scriprtd",,"bse_cm|SCLZC26D","Face Value")</f>
        <v>1000</v>
      </c>
      <c r="R705" t="str">
        <f>RTD("nest.scriprtd",,"bse_cm|SCLZC26D","Isin code")</f>
        <v>INE148I07QP3</v>
      </c>
      <c r="S705" s="9">
        <f>Table1[[#This Row],[Ask Rate]]*Table1[[#This Row],[Ask Qty]]</f>
        <v>0</v>
      </c>
      <c r="T705" t="str">
        <f>VLOOKUP(Table1[[#This Row],[Isin code]],Table2[#All],7,FALSE)</f>
        <v>--</v>
      </c>
      <c r="U705" s="17" t="str">
        <f>VLOOKUP(Table1[[#This Row],[Isin code]],Table2[#All],8,FALSE)</f>
        <v>09-Nov-2026</v>
      </c>
      <c r="V705" s="10">
        <f ca="1">Table1[[#This Row],[Maturity]]-TODAY()</f>
        <v>754</v>
      </c>
      <c r="W705" t="str">
        <f>VLOOKUP(Table1[[#This Row],[Isin code]],Table2[#All],10,FALSE)</f>
        <v>At the End</v>
      </c>
      <c r="X705">
        <f ca="1">_xlfn.DAYS(Table1[[#This Row],[Maturity]],TODAY())-15</f>
        <v>739</v>
      </c>
      <c r="Y70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05">
        <f>IF(Table1[[#This Row],[Ask Rate]]=0,0,Table1[[#This Row],[Face Value]]-Table1[[#This Row],[Ask Rate]])</f>
        <v>0</v>
      </c>
      <c r="AA70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05">
        <f>Table1[[#This Row],[Face Value]]*Table1[[#This Row],[Rate]]*Table1[[#This Row],[Time]]</f>
        <v>0</v>
      </c>
      <c r="AC705">
        <f>Table1[[#This Row],[SI]]+Table1[[#This Row],[Disc/Prem]]</f>
        <v>0</v>
      </c>
      <c r="AD705" s="3" t="e">
        <f>Table1[[#This Row],[Net Gain]]/Table1[[#This Row],[Ask Rate]]</f>
        <v>#DIV/0!</v>
      </c>
      <c r="AE705" s="3">
        <f>IF(Table1[[#This Row],[Ask Qty]]=0,0,Table1[[#This Row],[Gross Yield]]*365/Table1[[#This Row],[Days Left]])</f>
        <v>0</v>
      </c>
      <c r="AF705" s="9">
        <f>+Table1[[#This Row],[Net Gain]]*Table1[[#This Row],[Ask Qty]]</f>
        <v>0</v>
      </c>
      <c r="AG705" t="str">
        <f>IF(Table1[[#This Row],[YTM]]&gt;0.12,IF(Table1[[#This Row],[Gross Profit]]&gt;10000,"Invest","Review"),"Low YTM")</f>
        <v>Low YTM</v>
      </c>
    </row>
    <row r="706" spans="1:33" x14ac:dyDescent="0.3">
      <c r="A706" t="str">
        <f>RTD("nest.scriprtd",,"bse_cm|1075SCL33B","Symbol")</f>
        <v>1075SCL33B</v>
      </c>
      <c r="B706" t="str">
        <f>RTD("nest.scriprtd",,"bse_cm|1075SCL33B","Trading Symbol")</f>
        <v>1075SCL33B</v>
      </c>
      <c r="C706" t="str">
        <f>RTD("nest.scriprtd",,"bse_cm|1075SCL33B","Exchange")</f>
        <v>BSE</v>
      </c>
      <c r="D706">
        <f>RTD("nest.scriprtd",,"bse_cm|1075SCL33B","Bid Qty")</f>
        <v>10</v>
      </c>
      <c r="E706">
        <f>RTD("nest.scriprtd",,"bse_cm|1075SCL33B","Bid Rate")</f>
        <v>815.2</v>
      </c>
      <c r="F706">
        <f>RTD("nest.scriprtd",,"bse_cm|1075SCL33B","Ask Rate")</f>
        <v>0</v>
      </c>
      <c r="G706">
        <f>RTD("nest.scriprtd",,"bse_cm|1075SCL33B","Ask Qty")</f>
        <v>0</v>
      </c>
      <c r="H706">
        <f>RTD("nest.scriprtd",,"bse_cm|1075SCL33B","LTP")</f>
        <v>0</v>
      </c>
      <c r="I706" t="str">
        <f>RTD("nest.scriprtd",,"bse_cm|1075SCL33B","LTT")</f>
        <v>00:00:00</v>
      </c>
      <c r="J706">
        <f>RTD("nest.scriprtd",,"bse_cm|1075SCL33B","% Change")</f>
        <v>-100</v>
      </c>
      <c r="K706">
        <f>RTD("nest.scriprtd",,"bse_cm|1075SCL33B","ATP")</f>
        <v>0</v>
      </c>
      <c r="L706">
        <f>RTD("nest.scriprtd",,"bse_cm|1075SCL33B","Volume Traded Today")</f>
        <v>0</v>
      </c>
      <c r="M706">
        <f>RTD("nest.scriprtd",,"bse_cm|1075SCL33B","Open")</f>
        <v>0</v>
      </c>
      <c r="N706">
        <f>RTD("nest.scriprtd",,"bse_cm|1075SCL33B","High")</f>
        <v>0</v>
      </c>
      <c r="O706">
        <f>RTD("nest.scriprtd",,"bse_cm|1075SCL33B","Low ")</f>
        <v>0</v>
      </c>
      <c r="P706">
        <f>RTD("nest.scriprtd",,"bse_cm|1075SCL33B","Prev Close")</f>
        <v>1000</v>
      </c>
      <c r="Q706">
        <f>RTD("nest.scriprtd",,"bse_cm|1075SCL33B","Face Value")</f>
        <v>1000</v>
      </c>
      <c r="R706" t="str">
        <f>RTD("nest.scriprtd",,"bse_cm|1075SCL33B","Isin code")</f>
        <v>INE148I07QY5</v>
      </c>
      <c r="S706" s="9">
        <f>Table1[[#This Row],[Ask Rate]]*Table1[[#This Row],[Ask Qty]]</f>
        <v>0</v>
      </c>
      <c r="T706">
        <f>VLOOKUP(Table1[[#This Row],[Isin code]],Table2[#All],7,FALSE)</f>
        <v>10.25</v>
      </c>
      <c r="U706" s="17" t="str">
        <f>VLOOKUP(Table1[[#This Row],[Isin code]],Table2[#All],8,FALSE)</f>
        <v>09-Nov-2033</v>
      </c>
      <c r="V706" s="10">
        <f ca="1">Table1[[#This Row],[Maturity]]-TODAY()</f>
        <v>3311</v>
      </c>
      <c r="W706" t="str">
        <f>VLOOKUP(Table1[[#This Row],[Isin code]],Table2[#All],10,FALSE)</f>
        <v>Yearly</v>
      </c>
      <c r="X706">
        <f ca="1">_xlfn.DAYS(Table1[[#This Row],[Maturity]],TODAY())-15</f>
        <v>3296</v>
      </c>
      <c r="Y7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706">
        <f>IF(Table1[[#This Row],[Ask Rate]]=0,0,Table1[[#This Row],[Face Value]]-Table1[[#This Row],[Ask Rate]])</f>
        <v>0</v>
      </c>
      <c r="AA706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706">
        <f ca="1">Table1[[#This Row],[Face Value]]*Table1[[#This Row],[Rate]]*Table1[[#This Row],[Time]]</f>
        <v>1025</v>
      </c>
      <c r="AC706">
        <f ca="1">Table1[[#This Row],[SI]]+Table1[[#This Row],[Disc/Prem]]</f>
        <v>1025</v>
      </c>
      <c r="AD706" s="3" t="e">
        <f ca="1">Table1[[#This Row],[Net Gain]]/Table1[[#This Row],[Ask Rate]]</f>
        <v>#DIV/0!</v>
      </c>
      <c r="AE706" s="3">
        <f>IF(Table1[[#This Row],[Ask Qty]]=0,0,Table1[[#This Row],[Gross Yield]]*365/Table1[[#This Row],[Days Left]])</f>
        <v>0</v>
      </c>
      <c r="AF706" s="9">
        <f ca="1">+Table1[[#This Row],[Net Gain]]*Table1[[#This Row],[Ask Qty]]</f>
        <v>0</v>
      </c>
      <c r="AG706" t="str">
        <f>IF(Table1[[#This Row],[YTM]]&gt;0.12,IF(Table1[[#This Row],[Gross Profit]]&gt;10000,"Invest","Review"),"Low YTM")</f>
        <v>Low YTM</v>
      </c>
    </row>
    <row r="707" spans="1:33" x14ac:dyDescent="0.3">
      <c r="A707" t="str">
        <f>RTD("nest.scriprtd",,"nse_cm|1075SCL33-YK","Symbol")</f>
        <v>1075SCL33</v>
      </c>
      <c r="B707" t="str">
        <f>RTD("nest.scriprtd",,"nse_cm|1075SCL33-YK","Trading Symbol")</f>
        <v>1075SCL33-YK</v>
      </c>
      <c r="C707" t="str">
        <f>RTD("nest.scriprtd",,"nse_cm|1075SCL33-YK","Exchange")</f>
        <v>NSE</v>
      </c>
      <c r="D707">
        <f>RTD("nest.scriprtd",,"nse_cm|1075SCL33-YK","Bid Qty")</f>
        <v>8</v>
      </c>
      <c r="E707">
        <f>RTD("nest.scriprtd",,"nse_cm|1075SCL33-YK","Bid Rate")</f>
        <v>815.95</v>
      </c>
      <c r="F707">
        <f>RTD("nest.scriprtd",,"nse_cm|1075SCL33-YK","Ask Rate")</f>
        <v>0</v>
      </c>
      <c r="G707">
        <f>RTD("nest.scriprtd",,"nse_cm|1075SCL33-YK","Ask Qty")</f>
        <v>0</v>
      </c>
      <c r="H707">
        <f>RTD("nest.scriprtd",,"nse_cm|1075SCL33-YK","LTP")</f>
        <v>972.3</v>
      </c>
      <c r="I707" t="str">
        <f>RTD("nest.scriprtd",,"nse_cm|1075SCL33-YK","LTT")</f>
        <v/>
      </c>
      <c r="J707">
        <f>RTD("nest.scriprtd",,"nse_cm|1075SCL33-YK","% Change")</f>
        <v>0</v>
      </c>
      <c r="K707">
        <f>RTD("nest.scriprtd",,"nse_cm|1075SCL33-YK","ATP")</f>
        <v>0</v>
      </c>
      <c r="L707">
        <f>RTD("nest.scriprtd",,"nse_cm|1075SCL33-YK","Volume Traded Today")</f>
        <v>0</v>
      </c>
      <c r="M707">
        <f>RTD("nest.scriprtd",,"nse_cm|1075SCL33-YK","Open")</f>
        <v>0</v>
      </c>
      <c r="N707">
        <f>RTD("nest.scriprtd",,"nse_cm|1075SCL33-YK","High")</f>
        <v>972.3</v>
      </c>
      <c r="O707">
        <f>RTD("nest.scriprtd",,"nse_cm|1075SCL33-YK","Low ")</f>
        <v>815.95</v>
      </c>
      <c r="P707">
        <f>RTD("nest.scriprtd",,"nse_cm|1075SCL33-YK","Prev Close")</f>
        <v>972.3</v>
      </c>
      <c r="Q707">
        <f>RTD("nest.scriprtd",,"nse_cm|1075SCL33-YK","Face Value")</f>
        <v>1000</v>
      </c>
      <c r="R707" t="str">
        <f>RTD("nest.scriprtd",,"nse_cm|1075SCL33-YK","Isin code")</f>
        <v>INE148I07RW7</v>
      </c>
      <c r="S707" s="9">
        <f>Table1[[#This Row],[Ask Rate]]*Table1[[#This Row],[Ask Qty]]</f>
        <v>0</v>
      </c>
      <c r="T707">
        <f>VLOOKUP(Table1[[#This Row],[Isin code]],Table2[#All],7,FALSE)</f>
        <v>10.75</v>
      </c>
      <c r="U707" s="17" t="str">
        <f>VLOOKUP(Table1[[#This Row],[Isin code]],Table2[#All],8,FALSE)</f>
        <v>27-Dec-2033</v>
      </c>
      <c r="V707" s="10">
        <f ca="1">Table1[[#This Row],[Maturity]]-TODAY()</f>
        <v>3359</v>
      </c>
      <c r="W707" t="str">
        <f>VLOOKUP(Table1[[#This Row],[Isin code]],Table2[#All],10,FALSE)</f>
        <v>Yearly</v>
      </c>
      <c r="X707">
        <f ca="1">_xlfn.DAYS(Table1[[#This Row],[Maturity]],TODAY())-15</f>
        <v>3344</v>
      </c>
      <c r="Y7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707">
        <f>IF(Table1[[#This Row],[Ask Rate]]=0,0,Table1[[#This Row],[Face Value]]-Table1[[#This Row],[Ask Rate]])</f>
        <v>0</v>
      </c>
      <c r="AA707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707">
        <f ca="1">Table1[[#This Row],[Face Value]]*Table1[[#This Row],[Rate]]*Table1[[#This Row],[Time]]</f>
        <v>1075</v>
      </c>
      <c r="AC707">
        <f ca="1">Table1[[#This Row],[SI]]+Table1[[#This Row],[Disc/Prem]]</f>
        <v>1075</v>
      </c>
      <c r="AD707" s="3" t="e">
        <f ca="1">Table1[[#This Row],[Net Gain]]/Table1[[#This Row],[Ask Rate]]</f>
        <v>#DIV/0!</v>
      </c>
      <c r="AE707" s="3">
        <f>IF(Table1[[#This Row],[Ask Qty]]=0,0,Table1[[#This Row],[Gross Yield]]*365/Table1[[#This Row],[Days Left]])</f>
        <v>0</v>
      </c>
      <c r="AF707" s="9">
        <f ca="1">+Table1[[#This Row],[Net Gain]]*Table1[[#This Row],[Ask Qty]]</f>
        <v>0</v>
      </c>
      <c r="AG707" t="str">
        <f>IF(Table1[[#This Row],[YTM]]&gt;0.12,IF(Table1[[#This Row],[Gross Profit]]&gt;10000,"Invest","Review"),"Low YTM")</f>
        <v>Low YTM</v>
      </c>
    </row>
    <row r="708" spans="1:33" x14ac:dyDescent="0.3">
      <c r="A708" t="str">
        <f>RTD("nest.scriprtd",,"bse_cm|CAGL26","Symbol")</f>
        <v>CAGL26</v>
      </c>
      <c r="B708" t="str">
        <f>RTD("nest.scriprtd",,"bse_cm|CAGL26","Trading Symbol")</f>
        <v>CAGL26</v>
      </c>
      <c r="C708" t="str">
        <f>RTD("nest.scriprtd",,"bse_cm|CAGL26","Exchange")</f>
        <v>BSE</v>
      </c>
      <c r="D708">
        <f>RTD("nest.scriprtd",,"bse_cm|CAGL26","Bid Qty")</f>
        <v>20</v>
      </c>
      <c r="E708">
        <f>RTD("nest.scriprtd",,"bse_cm|CAGL26","Bid Rate")</f>
        <v>882.8</v>
      </c>
      <c r="F708">
        <f>RTD("nest.scriprtd",,"bse_cm|CAGL26","Ask Rate")</f>
        <v>0</v>
      </c>
      <c r="G708">
        <f>RTD("nest.scriprtd",,"bse_cm|CAGL26","Ask Qty")</f>
        <v>0</v>
      </c>
      <c r="H708">
        <f>RTD("nest.scriprtd",,"bse_cm|CAGL26","LTP")</f>
        <v>0</v>
      </c>
      <c r="I708" t="str">
        <f>RTD("nest.scriprtd",,"bse_cm|CAGL26","LTT")</f>
        <v>00:00:00</v>
      </c>
      <c r="J708">
        <f>RTD("nest.scriprtd",,"bse_cm|CAGL26","% Change")</f>
        <v>-100</v>
      </c>
      <c r="K708">
        <f>RTD("nest.scriprtd",,"bse_cm|CAGL26","ATP")</f>
        <v>0</v>
      </c>
      <c r="L708">
        <f>RTD("nest.scriprtd",,"bse_cm|CAGL26","Volume Traded Today")</f>
        <v>0</v>
      </c>
      <c r="M708">
        <f>RTD("nest.scriprtd",,"bse_cm|CAGL26","Open")</f>
        <v>0</v>
      </c>
      <c r="N708">
        <f>RTD("nest.scriprtd",,"bse_cm|CAGL26","High")</f>
        <v>1000</v>
      </c>
      <c r="O708">
        <f>RTD("nest.scriprtd",,"bse_cm|CAGL26","Low ")</f>
        <v>1000</v>
      </c>
      <c r="P708">
        <f>RTD("nest.scriprtd",,"bse_cm|CAGL26","Prev Close")</f>
        <v>1000</v>
      </c>
      <c r="Q708">
        <f>RTD("nest.scriprtd",,"bse_cm|CAGL26","Face Value")</f>
        <v>1000</v>
      </c>
      <c r="R708" t="str">
        <f>RTD("nest.scriprtd",,"bse_cm|CAGL26","Isin code")</f>
        <v>INE741K07538</v>
      </c>
      <c r="S708" s="9">
        <f>Table1[[#This Row],[Ask Rate]]*Table1[[#This Row],[Ask Qty]]</f>
        <v>0</v>
      </c>
      <c r="T708">
        <f>VLOOKUP(Table1[[#This Row],[Isin code]],Table2[#All],7,FALSE)</f>
        <v>0</v>
      </c>
      <c r="U708" s="17" t="str">
        <f>VLOOKUP(Table1[[#This Row],[Isin code]],Table2[#All],8,FALSE)</f>
        <v>07-Jun-2026</v>
      </c>
      <c r="V708" s="10">
        <f ca="1">Table1[[#This Row],[Maturity]]-TODAY()</f>
        <v>599</v>
      </c>
      <c r="W708" t="str">
        <f>VLOOKUP(Table1[[#This Row],[Isin code]],Table2[#All],10,FALSE)</f>
        <v>0</v>
      </c>
      <c r="X708">
        <f ca="1">_xlfn.DAYS(Table1[[#This Row],[Maturity]],TODAY())-15</f>
        <v>584</v>
      </c>
      <c r="Y70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08">
        <f>IF(Table1[[#This Row],[Ask Rate]]=0,0,Table1[[#This Row],[Face Value]]-Table1[[#This Row],[Ask Rate]])</f>
        <v>0</v>
      </c>
      <c r="AA70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08">
        <f>Table1[[#This Row],[Face Value]]*Table1[[#This Row],[Rate]]*Table1[[#This Row],[Time]]</f>
        <v>0</v>
      </c>
      <c r="AC708">
        <f>Table1[[#This Row],[SI]]+Table1[[#This Row],[Disc/Prem]]</f>
        <v>0</v>
      </c>
      <c r="AD708" s="3" t="e">
        <f>Table1[[#This Row],[Net Gain]]/Table1[[#This Row],[Ask Rate]]</f>
        <v>#DIV/0!</v>
      </c>
      <c r="AE708" s="3">
        <f>IF(Table1[[#This Row],[Ask Qty]]=0,0,Table1[[#This Row],[Gross Yield]]*365/Table1[[#This Row],[Days Left]])</f>
        <v>0</v>
      </c>
      <c r="AF708" s="9">
        <f>+Table1[[#This Row],[Net Gain]]*Table1[[#This Row],[Ask Qty]]</f>
        <v>0</v>
      </c>
      <c r="AG708" t="str">
        <f>IF(Table1[[#This Row],[YTM]]&gt;0.12,IF(Table1[[#This Row],[Gross Profit]]&gt;10000,"Invest","Review"),"Low YTM")</f>
        <v>Low YTM</v>
      </c>
    </row>
    <row r="709" spans="1:33" x14ac:dyDescent="0.3">
      <c r="A709" t="str">
        <f>RTD("nest.scriprtd",,"nse_cm|CAGL25A-N4","Symbol")</f>
        <v>CAGL25A</v>
      </c>
      <c r="B709" t="str">
        <f>RTD("nest.scriprtd",,"nse_cm|CAGL25A-N4","Trading Symbol")</f>
        <v>CAGL25A-N4</v>
      </c>
      <c r="C709" t="str">
        <f>RTD("nest.scriprtd",,"nse_cm|CAGL25A-N4","Exchange")</f>
        <v>NSE</v>
      </c>
      <c r="D709">
        <f>RTD("nest.scriprtd",,"nse_cm|CAGL25A-N4","Bid Qty")</f>
        <v>27</v>
      </c>
      <c r="E709">
        <f>RTD("nest.scriprtd",,"nse_cm|CAGL25A-N4","Bid Rate")</f>
        <v>941.2</v>
      </c>
      <c r="F709">
        <f>RTD("nest.scriprtd",,"nse_cm|CAGL25A-N4","Ask Rate")</f>
        <v>0</v>
      </c>
      <c r="G709">
        <f>RTD("nest.scriprtd",,"nse_cm|CAGL25A-N4","Ask Qty")</f>
        <v>0</v>
      </c>
      <c r="H709">
        <f>RTD("nest.scriprtd",,"nse_cm|CAGL25A-N4","LTP")</f>
        <v>1160</v>
      </c>
      <c r="I709" t="str">
        <f>RTD("nest.scriprtd",,"nse_cm|CAGL25A-N4","LTT")</f>
        <v/>
      </c>
      <c r="J709">
        <f>RTD("nest.scriprtd",,"nse_cm|CAGL25A-N4","% Change")</f>
        <v>0</v>
      </c>
      <c r="K709">
        <f>RTD("nest.scriprtd",,"nse_cm|CAGL25A-N4","ATP")</f>
        <v>0</v>
      </c>
      <c r="L709">
        <f>RTD("nest.scriprtd",,"nse_cm|CAGL25A-N4","Volume Traded Today")</f>
        <v>0</v>
      </c>
      <c r="M709">
        <f>RTD("nest.scriprtd",,"nse_cm|CAGL25A-N4","Open")</f>
        <v>0</v>
      </c>
      <c r="N709">
        <f>RTD("nest.scriprtd",,"nse_cm|CAGL25A-N4","High")</f>
        <v>1160</v>
      </c>
      <c r="O709">
        <f>RTD("nest.scriprtd",,"nse_cm|CAGL25A-N4","Low ")</f>
        <v>1160</v>
      </c>
      <c r="P709">
        <f>RTD("nest.scriprtd",,"nse_cm|CAGL25A-N4","Prev Close")</f>
        <v>1160</v>
      </c>
      <c r="Q709">
        <f>RTD("nest.scriprtd",,"nse_cm|CAGL25A-N4","Face Value")</f>
        <v>1000</v>
      </c>
      <c r="R709" t="str">
        <f>RTD("nest.scriprtd",,"nse_cm|CAGL25A-N4","Isin code")</f>
        <v>INE741K07488</v>
      </c>
      <c r="S709" s="9">
        <f>Table1[[#This Row],[Ask Rate]]*Table1[[#This Row],[Ask Qty]]</f>
        <v>0</v>
      </c>
      <c r="T709">
        <f>VLOOKUP(Table1[[#This Row],[Isin code]],Table2[#All],7,FALSE)</f>
        <v>0</v>
      </c>
      <c r="U709" s="17" t="str">
        <f>VLOOKUP(Table1[[#This Row],[Isin code]],Table2[#All],8,FALSE)</f>
        <v>23-Nov-2025</v>
      </c>
      <c r="V709" s="10">
        <f ca="1">Table1[[#This Row],[Maturity]]-TODAY()</f>
        <v>403</v>
      </c>
      <c r="W709" t="str">
        <f>VLOOKUP(Table1[[#This Row],[Isin code]],Table2[#All],10,FALSE)</f>
        <v>--</v>
      </c>
      <c r="X709">
        <f ca="1">_xlfn.DAYS(Table1[[#This Row],[Maturity]],TODAY())-15</f>
        <v>388</v>
      </c>
      <c r="Y70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09">
        <f>IF(Table1[[#This Row],[Ask Rate]]=0,0,Table1[[#This Row],[Face Value]]-Table1[[#This Row],[Ask Rate]])</f>
        <v>0</v>
      </c>
      <c r="AA70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09">
        <f>Table1[[#This Row],[Face Value]]*Table1[[#This Row],[Rate]]*Table1[[#This Row],[Time]]</f>
        <v>0</v>
      </c>
      <c r="AC709">
        <f>Table1[[#This Row],[SI]]+Table1[[#This Row],[Disc/Prem]]</f>
        <v>0</v>
      </c>
      <c r="AD709" s="3" t="e">
        <f>Table1[[#This Row],[Net Gain]]/Table1[[#This Row],[Ask Rate]]</f>
        <v>#DIV/0!</v>
      </c>
      <c r="AE709" s="3">
        <f>IF(Table1[[#This Row],[Ask Qty]]=0,0,Table1[[#This Row],[Gross Yield]]*365/Table1[[#This Row],[Days Left]])</f>
        <v>0</v>
      </c>
      <c r="AF709" s="9">
        <f>+Table1[[#This Row],[Net Gain]]*Table1[[#This Row],[Ask Qty]]</f>
        <v>0</v>
      </c>
      <c r="AG709" t="str">
        <f>IF(Table1[[#This Row],[YTM]]&gt;0.12,IF(Table1[[#This Row],[Gross Profit]]&gt;10000,"Invest","Review"),"Low YTM")</f>
        <v>Low YTM</v>
      </c>
    </row>
    <row r="710" spans="1:33" x14ac:dyDescent="0.3">
      <c r="A710" t="str">
        <f>RTD("nest.scriprtd",,"nse_cm|CAGL25-N8","Symbol")</f>
        <v>CAGL25</v>
      </c>
      <c r="B710" t="str">
        <f>RTD("nest.scriprtd",,"nse_cm|CAGL25-N8","Trading Symbol")</f>
        <v>CAGL25-N8</v>
      </c>
      <c r="C710" t="str">
        <f>RTD("nest.scriprtd",,"nse_cm|CAGL25-N8","Exchange")</f>
        <v>NSE</v>
      </c>
      <c r="D710">
        <f>RTD("nest.scriprtd",,"nse_cm|CAGL25-N8","Bid Qty")</f>
        <v>1</v>
      </c>
      <c r="E710">
        <f>RTD("nest.scriprtd",,"nse_cm|CAGL25-N8","Bid Rate")</f>
        <v>1050</v>
      </c>
      <c r="F710">
        <f>RTD("nest.scriprtd",,"nse_cm|CAGL25-N8","Ask Rate")</f>
        <v>0</v>
      </c>
      <c r="G710">
        <f>RTD("nest.scriprtd",,"nse_cm|CAGL25-N8","Ask Qty")</f>
        <v>0</v>
      </c>
      <c r="H710">
        <f>RTD("nest.scriprtd",,"nse_cm|CAGL25-N8","LTP")</f>
        <v>1065.52</v>
      </c>
      <c r="I710" t="str">
        <f>RTD("nest.scriprtd",,"nse_cm|CAGL25-N8","LTT")</f>
        <v/>
      </c>
      <c r="J710">
        <f>RTD("nest.scriprtd",,"nse_cm|CAGL25-N8","% Change")</f>
        <v>0</v>
      </c>
      <c r="K710">
        <f>RTD("nest.scriprtd",,"nse_cm|CAGL25-N8","ATP")</f>
        <v>0</v>
      </c>
      <c r="L710">
        <f>RTD("nest.scriprtd",,"nse_cm|CAGL25-N8","Volume Traded Today")</f>
        <v>0</v>
      </c>
      <c r="M710">
        <f>RTD("nest.scriprtd",,"nse_cm|CAGL25-N8","Open")</f>
        <v>0</v>
      </c>
      <c r="N710">
        <f>RTD("nest.scriprtd",,"nse_cm|CAGL25-N8","High")</f>
        <v>1065.52</v>
      </c>
      <c r="O710">
        <f>RTD("nest.scriprtd",,"nse_cm|CAGL25-N8","Low ")</f>
        <v>1050</v>
      </c>
      <c r="P710">
        <f>RTD("nest.scriprtd",,"nse_cm|CAGL25-N8","Prev Close")</f>
        <v>1065.52</v>
      </c>
      <c r="Q710">
        <f>RTD("nest.scriprtd",,"nse_cm|CAGL25-N8","Face Value")</f>
        <v>1000</v>
      </c>
      <c r="R710" t="str">
        <f>RTD("nest.scriprtd",,"nse_cm|CAGL25-N8","Isin code")</f>
        <v>INE741K07561</v>
      </c>
      <c r="S710" s="9">
        <f>Table1[[#This Row],[Ask Rate]]*Table1[[#This Row],[Ask Qty]]</f>
        <v>0</v>
      </c>
      <c r="T710">
        <f>VLOOKUP(Table1[[#This Row],[Isin code]],Table2[#All],7,FALSE)</f>
        <v>0</v>
      </c>
      <c r="U710" s="17" t="str">
        <f>VLOOKUP(Table1[[#This Row],[Isin code]],Table2[#All],8,FALSE)</f>
        <v>07-Sep-2025</v>
      </c>
      <c r="V710" s="10">
        <f ca="1">Table1[[#This Row],[Maturity]]-TODAY()</f>
        <v>326</v>
      </c>
      <c r="W710" t="str">
        <f>VLOOKUP(Table1[[#This Row],[Isin code]],Table2[#All],10,FALSE)</f>
        <v>Yearly</v>
      </c>
      <c r="X710">
        <f ca="1">_xlfn.DAYS(Table1[[#This Row],[Maturity]],TODAY())-15</f>
        <v>311</v>
      </c>
      <c r="Y7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710">
        <f>IF(Table1[[#This Row],[Ask Rate]]=0,0,Table1[[#This Row],[Face Value]]-Table1[[#This Row],[Ask Rate]])</f>
        <v>0</v>
      </c>
      <c r="AA71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10">
        <f ca="1">Table1[[#This Row],[Face Value]]*Table1[[#This Row],[Rate]]*Table1[[#This Row],[Time]]</f>
        <v>0</v>
      </c>
      <c r="AC710">
        <f ca="1">Table1[[#This Row],[SI]]+Table1[[#This Row],[Disc/Prem]]</f>
        <v>0</v>
      </c>
      <c r="AD710" s="3" t="e">
        <f ca="1">Table1[[#This Row],[Net Gain]]/Table1[[#This Row],[Ask Rate]]</f>
        <v>#DIV/0!</v>
      </c>
      <c r="AE710" s="3">
        <f>IF(Table1[[#This Row],[Ask Qty]]=0,0,Table1[[#This Row],[Gross Yield]]*365/Table1[[#This Row],[Days Left]])</f>
        <v>0</v>
      </c>
      <c r="AF710" s="9">
        <f ca="1">+Table1[[#This Row],[Net Gain]]*Table1[[#This Row],[Ask Qty]]</f>
        <v>0</v>
      </c>
      <c r="AG710" t="str">
        <f>IF(Table1[[#This Row],[YTM]]&gt;0.12,IF(Table1[[#This Row],[Gross Profit]]&gt;10000,"Invest","Review"),"Low YTM")</f>
        <v>Low YTM</v>
      </c>
    </row>
    <row r="711" spans="1:33" x14ac:dyDescent="0.3">
      <c r="A711" t="str">
        <f>RTD("nest.scriprtd",,"bse_cm|85PFL26A","Symbol")</f>
        <v>85PFL26A</v>
      </c>
      <c r="B711" t="str">
        <f>RTD("nest.scriprtd",,"bse_cm|85PFL26A","Trading Symbol")</f>
        <v>85PFL26A</v>
      </c>
      <c r="C711" t="str">
        <f>RTD("nest.scriprtd",,"bse_cm|85PFL26A","Exchange")</f>
        <v>BSE</v>
      </c>
      <c r="D711">
        <f>RTD("nest.scriprtd",,"bse_cm|85PFL26A","Bid Qty")</f>
        <v>700</v>
      </c>
      <c r="E711">
        <f>RTD("nest.scriprtd",,"bse_cm|85PFL26A","Bid Rate")</f>
        <v>1000</v>
      </c>
      <c r="F711">
        <f>RTD("nest.scriprtd",,"bse_cm|85PFL26A","Ask Rate")</f>
        <v>0</v>
      </c>
      <c r="G711">
        <f>RTD("nest.scriprtd",,"bse_cm|85PFL26A","Ask Qty")</f>
        <v>0</v>
      </c>
      <c r="H711">
        <f>RTD("nest.scriprtd",,"bse_cm|85PFL26A","LTP")</f>
        <v>0</v>
      </c>
      <c r="I711" t="str">
        <f>RTD("nest.scriprtd",,"bse_cm|85PFL26A","LTT")</f>
        <v>00:00:00</v>
      </c>
      <c r="J711">
        <f>RTD("nest.scriprtd",,"bse_cm|85PFL26A","% Change")</f>
        <v>-100</v>
      </c>
      <c r="K711">
        <f>RTD("nest.scriprtd",,"bse_cm|85PFL26A","ATP")</f>
        <v>0</v>
      </c>
      <c r="L711">
        <f>RTD("nest.scriprtd",,"bse_cm|85PFL26A","Volume Traded Today")</f>
        <v>0</v>
      </c>
      <c r="M711">
        <f>RTD("nest.scriprtd",,"bse_cm|85PFL26A","Open")</f>
        <v>0</v>
      </c>
      <c r="N711">
        <f>RTD("nest.scriprtd",,"bse_cm|85PFL26A","High")</f>
        <v>1000</v>
      </c>
      <c r="O711">
        <f>RTD("nest.scriprtd",,"bse_cm|85PFL26A","Low ")</f>
        <v>1000</v>
      </c>
      <c r="P711">
        <f>RTD("nest.scriprtd",,"bse_cm|85PFL26A","Prev Close")</f>
        <v>1000</v>
      </c>
      <c r="Q711">
        <f>RTD("nest.scriprtd",,"bse_cm|85PFL26A","Face Value")</f>
        <v>1000</v>
      </c>
      <c r="R711" t="str">
        <f>RTD("nest.scriprtd",,"bse_cm|85PFL26A","Isin code")</f>
        <v>INE511C07714</v>
      </c>
      <c r="S711" s="9">
        <f>Table1[[#This Row],[Ask Rate]]*Table1[[#This Row],[Ask Qty]]</f>
        <v>0</v>
      </c>
      <c r="T711">
        <f>VLOOKUP(Table1[[#This Row],[Isin code]],Table2[#All],7,FALSE)</f>
        <v>10.75</v>
      </c>
      <c r="U711" s="17" t="str">
        <f>VLOOKUP(Table1[[#This Row],[Isin code]],Table2[#All],8,FALSE)</f>
        <v>06-May-2029</v>
      </c>
      <c r="V711" s="10">
        <f ca="1">Table1[[#This Row],[Maturity]]-TODAY()</f>
        <v>1663</v>
      </c>
      <c r="W711" t="str">
        <f>VLOOKUP(Table1[[#This Row],[Isin code]],Table2[#All],10,FALSE)</f>
        <v>Yearly</v>
      </c>
      <c r="X711">
        <f ca="1">_xlfn.DAYS(Table1[[#This Row],[Maturity]],TODAY())-15</f>
        <v>1648</v>
      </c>
      <c r="Y7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711">
        <f>IF(Table1[[#This Row],[Ask Rate]]=0,0,Table1[[#This Row],[Face Value]]-Table1[[#This Row],[Ask Rate]])</f>
        <v>0</v>
      </c>
      <c r="AA711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711">
        <f ca="1">Table1[[#This Row],[Face Value]]*Table1[[#This Row],[Rate]]*Table1[[#This Row],[Time]]</f>
        <v>537.5</v>
      </c>
      <c r="AC711">
        <f ca="1">Table1[[#This Row],[SI]]+Table1[[#This Row],[Disc/Prem]]</f>
        <v>537.5</v>
      </c>
      <c r="AD711" s="3" t="e">
        <f ca="1">Table1[[#This Row],[Net Gain]]/Table1[[#This Row],[Ask Rate]]</f>
        <v>#DIV/0!</v>
      </c>
      <c r="AE711" s="3">
        <f>IF(Table1[[#This Row],[Ask Qty]]=0,0,Table1[[#This Row],[Gross Yield]]*365/Table1[[#This Row],[Days Left]])</f>
        <v>0</v>
      </c>
      <c r="AF711" s="9">
        <f ca="1">+Table1[[#This Row],[Net Gain]]*Table1[[#This Row],[Ask Qty]]</f>
        <v>0</v>
      </c>
      <c r="AG711" t="str">
        <f>IF(Table1[[#This Row],[YTM]]&gt;0.12,IF(Table1[[#This Row],[Gross Profit]]&gt;10000,"Invest","Review"),"Low YTM")</f>
        <v>Low YTM</v>
      </c>
    </row>
    <row r="712" spans="1:33" x14ac:dyDescent="0.3">
      <c r="A712" t="str">
        <f>RTD("nest.scriprtd",,"nse_cm|85PCHFL26-N7","Symbol")</f>
        <v>85PCHFL26</v>
      </c>
      <c r="B712" t="str">
        <f>RTD("nest.scriprtd",,"nse_cm|85PCHFL26-N7","Trading Symbol")</f>
        <v>85PCHFL26-N7</v>
      </c>
      <c r="C712" t="str">
        <f>RTD("nest.scriprtd",,"nse_cm|85PCHFL26-N7","Exchange")</f>
        <v>NSE</v>
      </c>
      <c r="D712">
        <f>RTD("nest.scriprtd",,"nse_cm|85PCHFL26-N7","Bid Qty")</f>
        <v>16</v>
      </c>
      <c r="E712">
        <f>RTD("nest.scriprtd",,"nse_cm|85PCHFL26-N7","Bid Rate")</f>
        <v>862.2</v>
      </c>
      <c r="F712">
        <f>RTD("nest.scriprtd",,"nse_cm|85PCHFL26-N7","Ask Rate")</f>
        <v>0</v>
      </c>
      <c r="G712">
        <f>RTD("nest.scriprtd",,"nse_cm|85PCHFL26-N7","Ask Qty")</f>
        <v>0</v>
      </c>
      <c r="H712">
        <f>RTD("nest.scriprtd",,"nse_cm|85PCHFL26-N7","LTP")</f>
        <v>0</v>
      </c>
      <c r="I712" t="str">
        <f>RTD("nest.scriprtd",,"nse_cm|85PCHFL26-N7","LTT")</f>
        <v/>
      </c>
      <c r="J712">
        <f>RTD("nest.scriprtd",,"nse_cm|85PCHFL26-N7","% Change")</f>
        <v>-100</v>
      </c>
      <c r="K712">
        <f>RTD("nest.scriprtd",,"nse_cm|85PCHFL26-N7","ATP")</f>
        <v>0</v>
      </c>
      <c r="L712">
        <f>RTD("nest.scriprtd",,"nse_cm|85PCHFL26-N7","Volume Traded Today")</f>
        <v>0</v>
      </c>
      <c r="M712">
        <f>RTD("nest.scriprtd",,"nse_cm|85PCHFL26-N7","Open")</f>
        <v>0</v>
      </c>
      <c r="N712">
        <f>RTD("nest.scriprtd",,"nse_cm|85PCHFL26-N7","High")</f>
        <v>0</v>
      </c>
      <c r="O712">
        <f>RTD("nest.scriprtd",,"nse_cm|85PCHFL26-N7","Low ")</f>
        <v>0</v>
      </c>
      <c r="P712">
        <f>RTD("nest.scriprtd",,"nse_cm|85PCHFL26-N7","Prev Close")</f>
        <v>1000</v>
      </c>
      <c r="Q712">
        <f>RTD("nest.scriprtd",,"nse_cm|85PCHFL26-N7","Face Value")</f>
        <v>1000</v>
      </c>
      <c r="R712" t="str">
        <f>RTD("nest.scriprtd",,"nse_cm|85PCHFL26-N7","Isin code")</f>
        <v>INE516Y07360</v>
      </c>
      <c r="S712" s="9">
        <f>Table1[[#This Row],[Ask Rate]]*Table1[[#This Row],[Ask Qty]]</f>
        <v>0</v>
      </c>
      <c r="T712">
        <f>VLOOKUP(Table1[[#This Row],[Isin code]],Table2[#All],7,FALSE)</f>
        <v>8.5</v>
      </c>
      <c r="U712" s="17" t="str">
        <f>VLOOKUP(Table1[[#This Row],[Isin code]],Table2[#All],8,FALSE)</f>
        <v>23-Jul-2026</v>
      </c>
      <c r="V712" s="10">
        <f ca="1">Table1[[#This Row],[Maturity]]-TODAY()</f>
        <v>645</v>
      </c>
      <c r="W712" t="str">
        <f>VLOOKUP(Table1[[#This Row],[Isin code]],Table2[#All],10,FALSE)</f>
        <v>Yearly</v>
      </c>
      <c r="X712">
        <f ca="1">_xlfn.DAYS(Table1[[#This Row],[Maturity]],TODAY())-15</f>
        <v>630</v>
      </c>
      <c r="Y7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12">
        <f>IF(Table1[[#This Row],[Ask Rate]]=0,0,Table1[[#This Row],[Face Value]]-Table1[[#This Row],[Ask Rate]])</f>
        <v>0</v>
      </c>
      <c r="AA712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712">
        <f ca="1">Table1[[#This Row],[Face Value]]*Table1[[#This Row],[Rate]]*Table1[[#This Row],[Time]]</f>
        <v>170</v>
      </c>
      <c r="AC712">
        <f ca="1">Table1[[#This Row],[SI]]+Table1[[#This Row],[Disc/Prem]]</f>
        <v>170</v>
      </c>
      <c r="AD712" s="3" t="e">
        <f ca="1">Table1[[#This Row],[Net Gain]]/Table1[[#This Row],[Ask Rate]]</f>
        <v>#DIV/0!</v>
      </c>
      <c r="AE712" s="3">
        <f>IF(Table1[[#This Row],[Ask Qty]]=0,0,Table1[[#This Row],[Gross Yield]]*365/Table1[[#This Row],[Days Left]])</f>
        <v>0</v>
      </c>
      <c r="AF712" s="9">
        <f ca="1">+Table1[[#This Row],[Net Gain]]*Table1[[#This Row],[Ask Qty]]</f>
        <v>0</v>
      </c>
      <c r="AG712" t="str">
        <f>IF(Table1[[#This Row],[YTM]]&gt;0.12,IF(Table1[[#This Row],[Gross Profit]]&gt;10000,"Invest","Review"),"Low YTM")</f>
        <v>Low YTM</v>
      </c>
    </row>
    <row r="713" spans="1:33" x14ac:dyDescent="0.3">
      <c r="A713" t="str">
        <f>RTD("nest.scriprtd",,"bse_cm|85PCHFL26","Symbol")</f>
        <v>85PCHFL26</v>
      </c>
      <c r="B713" t="str">
        <f>RTD("nest.scriprtd",,"bse_cm|85PCHFL26","Trading Symbol")</f>
        <v>85PCHFL26</v>
      </c>
      <c r="C713" t="str">
        <f>RTD("nest.scriprtd",,"bse_cm|85PCHFL26","Exchange")</f>
        <v>BSE</v>
      </c>
      <c r="D713">
        <f>RTD("nest.scriprtd",,"bse_cm|85PCHFL26","Bid Qty")</f>
        <v>15</v>
      </c>
      <c r="E713">
        <f>RTD("nest.scriprtd",,"bse_cm|85PCHFL26","Bid Rate")</f>
        <v>921.4</v>
      </c>
      <c r="F713">
        <f>RTD("nest.scriprtd",,"bse_cm|85PCHFL26","Ask Rate")</f>
        <v>0</v>
      </c>
      <c r="G713">
        <f>RTD("nest.scriprtd",,"bse_cm|85PCHFL26","Ask Qty")</f>
        <v>0</v>
      </c>
      <c r="H713">
        <f>RTD("nest.scriprtd",,"bse_cm|85PCHFL26","LTP")</f>
        <v>0</v>
      </c>
      <c r="I713" t="str">
        <f>RTD("nest.scriprtd",,"bse_cm|85PCHFL26","LTT")</f>
        <v>00:00:00</v>
      </c>
      <c r="J713">
        <f>RTD("nest.scriprtd",,"bse_cm|85PCHFL26","% Change")</f>
        <v>-100</v>
      </c>
      <c r="K713">
        <f>RTD("nest.scriprtd",,"bse_cm|85PCHFL26","ATP")</f>
        <v>0</v>
      </c>
      <c r="L713">
        <f>RTD("nest.scriprtd",,"bse_cm|85PCHFL26","Volume Traded Today")</f>
        <v>0</v>
      </c>
      <c r="M713">
        <f>RTD("nest.scriprtd",,"bse_cm|85PCHFL26","Open")</f>
        <v>0</v>
      </c>
      <c r="N713">
        <f>RTD("nest.scriprtd",,"bse_cm|85PCHFL26","High")</f>
        <v>0</v>
      </c>
      <c r="O713">
        <f>RTD("nest.scriprtd",,"bse_cm|85PCHFL26","Low ")</f>
        <v>0</v>
      </c>
      <c r="P713">
        <f>RTD("nest.scriprtd",,"bse_cm|85PCHFL26","Prev Close")</f>
        <v>1000</v>
      </c>
      <c r="Q713">
        <f>RTD("nest.scriprtd",,"bse_cm|85PCHFL26","Face Value")</f>
        <v>1000</v>
      </c>
      <c r="R713" t="str">
        <f>RTD("nest.scriprtd",,"bse_cm|85PCHFL26","Isin code")</f>
        <v>INE516Y07360</v>
      </c>
      <c r="S713" s="9">
        <f>Table1[[#This Row],[Ask Rate]]*Table1[[#This Row],[Ask Qty]]</f>
        <v>0</v>
      </c>
      <c r="T713">
        <f>VLOOKUP(Table1[[#This Row],[Isin code]],Table2[#All],7,FALSE)</f>
        <v>8.5</v>
      </c>
      <c r="U713" s="17" t="str">
        <f>VLOOKUP(Table1[[#This Row],[Isin code]],Table2[#All],8,FALSE)</f>
        <v>23-Jul-2026</v>
      </c>
      <c r="V713" s="10">
        <f ca="1">Table1[[#This Row],[Maturity]]-TODAY()</f>
        <v>645</v>
      </c>
      <c r="W713" t="str">
        <f>VLOOKUP(Table1[[#This Row],[Isin code]],Table2[#All],10,FALSE)</f>
        <v>Yearly</v>
      </c>
      <c r="X713">
        <f ca="1">_xlfn.DAYS(Table1[[#This Row],[Maturity]],TODAY())-15</f>
        <v>630</v>
      </c>
      <c r="Y7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13">
        <f>IF(Table1[[#This Row],[Ask Rate]]=0,0,Table1[[#This Row],[Face Value]]-Table1[[#This Row],[Ask Rate]])</f>
        <v>0</v>
      </c>
      <c r="AA713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713">
        <f ca="1">Table1[[#This Row],[Face Value]]*Table1[[#This Row],[Rate]]*Table1[[#This Row],[Time]]</f>
        <v>170</v>
      </c>
      <c r="AC713">
        <f ca="1">Table1[[#This Row],[SI]]+Table1[[#This Row],[Disc/Prem]]</f>
        <v>170</v>
      </c>
      <c r="AD713" s="3" t="e">
        <f ca="1">Table1[[#This Row],[Net Gain]]/Table1[[#This Row],[Ask Rate]]</f>
        <v>#DIV/0!</v>
      </c>
      <c r="AE713" s="3">
        <f>IF(Table1[[#This Row],[Ask Qty]]=0,0,Table1[[#This Row],[Gross Yield]]*365/Table1[[#This Row],[Days Left]])</f>
        <v>0</v>
      </c>
      <c r="AF713" s="9">
        <f ca="1">+Table1[[#This Row],[Net Gain]]*Table1[[#This Row],[Ask Qty]]</f>
        <v>0</v>
      </c>
      <c r="AG713" t="str">
        <f>IF(Table1[[#This Row],[YTM]]&gt;0.12,IF(Table1[[#This Row],[Gross Profit]]&gt;10000,"Invest","Review"),"Low YTM")</f>
        <v>Low YTM</v>
      </c>
    </row>
    <row r="714" spans="1:33" x14ac:dyDescent="0.3">
      <c r="A714" t="str">
        <f>RTD("nest.scriprtd",,"bse_cm|971SCL28B","Symbol")</f>
        <v>971SCL28B</v>
      </c>
      <c r="B714" t="str">
        <f>RTD("nest.scriprtd",,"bse_cm|971SCL28B","Trading Symbol")</f>
        <v>971SCL28B</v>
      </c>
      <c r="C714" t="str">
        <f>RTD("nest.scriprtd",,"bse_cm|971SCL28B","Exchange")</f>
        <v>BSE</v>
      </c>
      <c r="D714">
        <f>RTD("nest.scriprtd",,"bse_cm|971SCL28B","Bid Qty")</f>
        <v>20</v>
      </c>
      <c r="E714">
        <f>RTD("nest.scriprtd",,"bse_cm|971SCL28B","Bid Rate")</f>
        <v>815.5</v>
      </c>
      <c r="F714">
        <f>RTD("nest.scriprtd",,"bse_cm|971SCL28B","Ask Rate")</f>
        <v>0</v>
      </c>
      <c r="G714">
        <f>RTD("nest.scriprtd",,"bse_cm|971SCL28B","Ask Qty")</f>
        <v>0</v>
      </c>
      <c r="H714">
        <f>RTD("nest.scriprtd",,"bse_cm|971SCL28B","LTP")</f>
        <v>0</v>
      </c>
      <c r="I714" t="str">
        <f>RTD("nest.scriprtd",,"bse_cm|971SCL28B","LTT")</f>
        <v>00:00:00</v>
      </c>
      <c r="J714">
        <f>RTD("nest.scriprtd",,"bse_cm|971SCL28B","% Change")</f>
        <v>-100</v>
      </c>
      <c r="K714">
        <f>RTD("nest.scriprtd",,"bse_cm|971SCL28B","ATP")</f>
        <v>0</v>
      </c>
      <c r="L714">
        <f>RTD("nest.scriprtd",,"bse_cm|971SCL28B","Volume Traded Today")</f>
        <v>0</v>
      </c>
      <c r="M714">
        <f>RTD("nest.scriprtd",,"bse_cm|971SCL28B","Open")</f>
        <v>0</v>
      </c>
      <c r="N714">
        <f>RTD("nest.scriprtd",,"bse_cm|971SCL28B","High")</f>
        <v>0</v>
      </c>
      <c r="O714">
        <f>RTD("nest.scriprtd",,"bse_cm|971SCL28B","Low ")</f>
        <v>0</v>
      </c>
      <c r="P714">
        <f>RTD("nest.scriprtd",,"bse_cm|971SCL28B","Prev Close")</f>
        <v>1000</v>
      </c>
      <c r="Q714">
        <f>RTD("nest.scriprtd",,"bse_cm|971SCL28B","Face Value")</f>
        <v>1000</v>
      </c>
      <c r="R714" t="str">
        <f>RTD("nest.scriprtd",,"bse_cm|971SCL28B","Isin code")</f>
        <v>INE148I07RO4</v>
      </c>
      <c r="S714" s="9">
        <f>Table1[[#This Row],[Ask Rate]]*Table1[[#This Row],[Ask Qty]]</f>
        <v>0</v>
      </c>
      <c r="T714">
        <f>VLOOKUP(Table1[[#This Row],[Isin code]],Table2[#All],7,FALSE)</f>
        <v>9.25</v>
      </c>
      <c r="U714" s="17" t="str">
        <f>VLOOKUP(Table1[[#This Row],[Isin code]],Table2[#All],8,FALSE)</f>
        <v>27-Dec-2028</v>
      </c>
      <c r="V714" s="10">
        <f ca="1">Table1[[#This Row],[Maturity]]-TODAY()</f>
        <v>1533</v>
      </c>
      <c r="W714" t="str">
        <f>VLOOKUP(Table1[[#This Row],[Isin code]],Table2[#All],10,FALSE)</f>
        <v>Monthly</v>
      </c>
      <c r="X714">
        <f ca="1">_xlfn.DAYS(Table1[[#This Row],[Maturity]],TODAY())-15</f>
        <v>1518</v>
      </c>
      <c r="Y7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714">
        <f>IF(Table1[[#This Row],[Ask Rate]]=0,0,Table1[[#This Row],[Face Value]]-Table1[[#This Row],[Ask Rate]])</f>
        <v>0</v>
      </c>
      <c r="AA714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714">
        <f ca="1">Table1[[#This Row],[Face Value]]*Table1[[#This Row],[Rate]]*Table1[[#This Row],[Time]]</f>
        <v>393.12500000000006</v>
      </c>
      <c r="AC714">
        <f ca="1">Table1[[#This Row],[SI]]+Table1[[#This Row],[Disc/Prem]]</f>
        <v>393.12500000000006</v>
      </c>
      <c r="AD714" s="3" t="e">
        <f ca="1">Table1[[#This Row],[Net Gain]]/Table1[[#This Row],[Ask Rate]]</f>
        <v>#DIV/0!</v>
      </c>
      <c r="AE714" s="3">
        <f>IF(Table1[[#This Row],[Ask Qty]]=0,0,Table1[[#This Row],[Gross Yield]]*365/Table1[[#This Row],[Days Left]])</f>
        <v>0</v>
      </c>
      <c r="AF714" s="9">
        <f ca="1">+Table1[[#This Row],[Net Gain]]*Table1[[#This Row],[Ask Qty]]</f>
        <v>0</v>
      </c>
      <c r="AG714" t="str">
        <f>IF(Table1[[#This Row],[YTM]]&gt;0.12,IF(Table1[[#This Row],[Gross Profit]]&gt;10000,"Invest","Review"),"Low YTM")</f>
        <v>Low YTM</v>
      </c>
    </row>
    <row r="715" spans="1:33" x14ac:dyDescent="0.3">
      <c r="A715" t="str">
        <f>RTD("nest.scriprtd",,"nse_cm|925SCL25A-NH","Symbol")</f>
        <v>925SCL25A</v>
      </c>
      <c r="B715" t="str">
        <f>RTD("nest.scriprtd",,"nse_cm|925SCL25A-NH","Trading Symbol")</f>
        <v>925SCL25A-NH</v>
      </c>
      <c r="C715" t="str">
        <f>RTD("nest.scriprtd",,"nse_cm|925SCL25A-NH","Exchange")</f>
        <v>NSE</v>
      </c>
      <c r="D715">
        <f>RTD("nest.scriprtd",,"nse_cm|925SCL25A-NH","Bid Qty")</f>
        <v>1</v>
      </c>
      <c r="E715">
        <f>RTD("nest.scriprtd",,"nse_cm|925SCL25A-NH","Bid Rate")</f>
        <v>963</v>
      </c>
      <c r="F715">
        <f>RTD("nest.scriprtd",,"nse_cm|925SCL25A-NH","Ask Rate")</f>
        <v>0</v>
      </c>
      <c r="G715">
        <f>RTD("nest.scriprtd",,"nse_cm|925SCL25A-NH","Ask Qty")</f>
        <v>0</v>
      </c>
      <c r="H715">
        <f>RTD("nest.scriprtd",,"nse_cm|925SCL25A-NH","LTP")</f>
        <v>975</v>
      </c>
      <c r="I715" t="str">
        <f>RTD("nest.scriprtd",,"nse_cm|925SCL25A-NH","LTT")</f>
        <v/>
      </c>
      <c r="J715">
        <f>RTD("nest.scriprtd",,"nse_cm|925SCL25A-NH","% Change")</f>
        <v>0</v>
      </c>
      <c r="K715">
        <f>RTD("nest.scriprtd",,"nse_cm|925SCL25A-NH","ATP")</f>
        <v>0</v>
      </c>
      <c r="L715">
        <f>RTD("nest.scriprtd",,"nse_cm|925SCL25A-NH","Volume Traded Today")</f>
        <v>0</v>
      </c>
      <c r="M715">
        <f>RTD("nest.scriprtd",,"nse_cm|925SCL25A-NH","Open")</f>
        <v>0</v>
      </c>
      <c r="N715">
        <f>RTD("nest.scriprtd",,"nse_cm|925SCL25A-NH","High")</f>
        <v>975</v>
      </c>
      <c r="O715">
        <f>RTD("nest.scriprtd",,"nse_cm|925SCL25A-NH","Low ")</f>
        <v>975</v>
      </c>
      <c r="P715">
        <f>RTD("nest.scriprtd",,"nse_cm|925SCL25A-NH","Prev Close")</f>
        <v>975</v>
      </c>
      <c r="Q715">
        <f>RTD("nest.scriprtd",,"nse_cm|925SCL25A-NH","Face Value")</f>
        <v>1000</v>
      </c>
      <c r="R715" t="str">
        <f>RTD("nest.scriprtd",,"nse_cm|925SCL25A-NH","Isin code")</f>
        <v>INE148I07QG2</v>
      </c>
      <c r="S715" s="9">
        <f>Table1[[#This Row],[Ask Rate]]*Table1[[#This Row],[Ask Qty]]</f>
        <v>0</v>
      </c>
      <c r="T715">
        <f>VLOOKUP(Table1[[#This Row],[Isin code]],Table2[#All],7,FALSE)</f>
        <v>9.25</v>
      </c>
      <c r="U715" s="17" t="str">
        <f>VLOOKUP(Table1[[#This Row],[Isin code]],Table2[#All],8,FALSE)</f>
        <v>09-Nov-2025</v>
      </c>
      <c r="V715" s="10">
        <f ca="1">Table1[[#This Row],[Maturity]]-TODAY()</f>
        <v>389</v>
      </c>
      <c r="W715" t="str">
        <f>VLOOKUP(Table1[[#This Row],[Isin code]],Table2[#All],10,FALSE)</f>
        <v>Monthly</v>
      </c>
      <c r="X715">
        <f ca="1">_xlfn.DAYS(Table1[[#This Row],[Maturity]],TODAY())-15</f>
        <v>374</v>
      </c>
      <c r="Y7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715">
        <f>IF(Table1[[#This Row],[Ask Rate]]=0,0,Table1[[#This Row],[Face Value]]-Table1[[#This Row],[Ask Rate]])</f>
        <v>0</v>
      </c>
      <c r="AA715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715">
        <f ca="1">Table1[[#This Row],[Face Value]]*Table1[[#This Row],[Rate]]*Table1[[#This Row],[Time]]</f>
        <v>100.20833333333334</v>
      </c>
      <c r="AC715">
        <f ca="1">Table1[[#This Row],[SI]]+Table1[[#This Row],[Disc/Prem]]</f>
        <v>100.20833333333334</v>
      </c>
      <c r="AD715" s="3" t="e">
        <f ca="1">Table1[[#This Row],[Net Gain]]/Table1[[#This Row],[Ask Rate]]</f>
        <v>#DIV/0!</v>
      </c>
      <c r="AE715" s="3">
        <f>IF(Table1[[#This Row],[Ask Qty]]=0,0,Table1[[#This Row],[Gross Yield]]*365/Table1[[#This Row],[Days Left]])</f>
        <v>0</v>
      </c>
      <c r="AF715" s="9">
        <f ca="1">+Table1[[#This Row],[Net Gain]]*Table1[[#This Row],[Ask Qty]]</f>
        <v>0</v>
      </c>
      <c r="AG715" t="str">
        <f>IF(Table1[[#This Row],[YTM]]&gt;0.12,IF(Table1[[#This Row],[Gross Profit]]&gt;10000,"Invest","Review"),"Low YTM")</f>
        <v>Low YTM</v>
      </c>
    </row>
    <row r="716" spans="1:33" x14ac:dyDescent="0.3">
      <c r="A716" t="str">
        <f>RTD("nest.scriprtd",,"nse_cm|984ICCL26A-NK","Symbol")</f>
        <v>984ICCL26A</v>
      </c>
      <c r="B716" t="str">
        <f>RTD("nest.scriprtd",,"nse_cm|984ICCL26A-NK","Trading Symbol")</f>
        <v>984ICCL26A-NK</v>
      </c>
      <c r="C716" t="str">
        <f>RTD("nest.scriprtd",,"nse_cm|984ICCL26A-NK","Exchange")</f>
        <v>NSE</v>
      </c>
      <c r="D716">
        <f>RTD("nest.scriprtd",,"nse_cm|984ICCL26A-NK","Bid Qty")</f>
        <v>0</v>
      </c>
      <c r="E716">
        <f>RTD("nest.scriprtd",,"nse_cm|984ICCL26A-NK","Bid Rate")</f>
        <v>0</v>
      </c>
      <c r="F716">
        <f>RTD("nest.scriprtd",,"nse_cm|984ICCL26A-NK","Ask Rate")</f>
        <v>0</v>
      </c>
      <c r="G716">
        <f>RTD("nest.scriprtd",,"nse_cm|984ICCL26A-NK","Ask Qty")</f>
        <v>0</v>
      </c>
      <c r="H716">
        <f>RTD("nest.scriprtd",,"nse_cm|984ICCL26A-NK","LTP")</f>
        <v>1000</v>
      </c>
      <c r="I716" t="str">
        <f>RTD("nest.scriprtd",,"nse_cm|984ICCL26A-NK","LTT")</f>
        <v/>
      </c>
      <c r="J716">
        <f>RTD("nest.scriprtd",,"nse_cm|984ICCL26A-NK","% Change")</f>
        <v>0</v>
      </c>
      <c r="K716">
        <f>RTD("nest.scriprtd",,"nse_cm|984ICCL26A-NK","ATP")</f>
        <v>0</v>
      </c>
      <c r="L716">
        <f>RTD("nest.scriprtd",,"nse_cm|984ICCL26A-NK","Volume Traded Today")</f>
        <v>0</v>
      </c>
      <c r="M716">
        <f>RTD("nest.scriprtd",,"nse_cm|984ICCL26A-NK","Open")</f>
        <v>0</v>
      </c>
      <c r="N716">
        <f>RTD("nest.scriprtd",,"nse_cm|984ICCL26A-NK","High")</f>
        <v>1000</v>
      </c>
      <c r="O716">
        <f>RTD("nest.scriprtd",,"nse_cm|984ICCL26A-NK","Low ")</f>
        <v>1000</v>
      </c>
      <c r="P716">
        <f>RTD("nest.scriprtd",,"nse_cm|984ICCL26A-NK","Prev Close")</f>
        <v>1000</v>
      </c>
      <c r="Q716">
        <f>RTD("nest.scriprtd",,"nse_cm|984ICCL26A-NK","Face Value")</f>
        <v>667</v>
      </c>
      <c r="R716" t="str">
        <f>RTD("nest.scriprtd",,"nse_cm|984ICCL26A-NK","Isin code")</f>
        <v>INE244L07390</v>
      </c>
      <c r="S716" s="9">
        <f>Table1[[#This Row],[Ask Rate]]*Table1[[#This Row],[Ask Qty]]</f>
        <v>0</v>
      </c>
      <c r="T716">
        <f>VLOOKUP(Table1[[#This Row],[Isin code]],Table2[#All],7,FALSE)</f>
        <v>9.61</v>
      </c>
      <c r="U716" s="17" t="str">
        <f>VLOOKUP(Table1[[#This Row],[Isin code]],Table2[#All],8,FALSE)</f>
        <v>02-Feb-2026</v>
      </c>
      <c r="V716" s="10">
        <f ca="1">Table1[[#This Row],[Maturity]]-TODAY()</f>
        <v>474</v>
      </c>
      <c r="W716" t="str">
        <f>VLOOKUP(Table1[[#This Row],[Isin code]],Table2[#All],10,FALSE)</f>
        <v>Monthly</v>
      </c>
      <c r="X716">
        <f ca="1">_xlfn.DAYS(Table1[[#This Row],[Maturity]],TODAY())-15</f>
        <v>459</v>
      </c>
      <c r="Y7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16</v>
      </c>
      <c r="Z716">
        <f>IF(Table1[[#This Row],[Ask Rate]]=0,0,Table1[[#This Row],[Face Value]]-Table1[[#This Row],[Ask Rate]])</f>
        <v>0</v>
      </c>
      <c r="AA716">
        <f>IF(Table1[[#This Row],[Freq]]="Yearly",Table1[[#This Row],[Coupon_Rate]]/100,IF(Table1[[#This Row],[Freq]]="Monthly",Table1[[#This Row],[Coupon_Rate]]/1200,IF(Table1[[#This Row],[Freq]]="Quarterly",Table1[[#This Row],[Coupon_Rate]]/400,0)))</f>
        <v>8.0083333333333326E-3</v>
      </c>
      <c r="AB716">
        <f ca="1">Table1[[#This Row],[Face Value]]*Table1[[#This Row],[Rate]]*Table1[[#This Row],[Time]]</f>
        <v>85.46493333333332</v>
      </c>
      <c r="AC716">
        <f ca="1">Table1[[#This Row],[SI]]+Table1[[#This Row],[Disc/Prem]]</f>
        <v>85.46493333333332</v>
      </c>
      <c r="AD716" s="3" t="e">
        <f ca="1">Table1[[#This Row],[Net Gain]]/Table1[[#This Row],[Ask Rate]]</f>
        <v>#DIV/0!</v>
      </c>
      <c r="AE716" s="3">
        <f>IF(Table1[[#This Row],[Ask Qty]]=0,0,Table1[[#This Row],[Gross Yield]]*365/Table1[[#This Row],[Days Left]])</f>
        <v>0</v>
      </c>
      <c r="AF716" s="9">
        <f ca="1">+Table1[[#This Row],[Net Gain]]*Table1[[#This Row],[Ask Qty]]</f>
        <v>0</v>
      </c>
      <c r="AG716" t="str">
        <f>IF(Table1[[#This Row],[YTM]]&gt;0.12,IF(Table1[[#This Row],[Gross Profit]]&gt;10000,"Invest","Review"),"Low YTM")</f>
        <v>Low YTM</v>
      </c>
    </row>
    <row r="717" spans="1:33" x14ac:dyDescent="0.3">
      <c r="A717" t="str">
        <f>RTD("nest.scriprtd",,"bse_cm|925SCL25G","Symbol")</f>
        <v>925SCL25G</v>
      </c>
      <c r="B717" t="str">
        <f>RTD("nest.scriprtd",,"bse_cm|925SCL25G","Trading Symbol")</f>
        <v>925SCL25G</v>
      </c>
      <c r="C717" t="str">
        <f>RTD("nest.scriprtd",,"bse_cm|925SCL25G","Exchange")</f>
        <v>BSE</v>
      </c>
      <c r="D717">
        <f>RTD("nest.scriprtd",,"bse_cm|925SCL25G","Bid Qty")</f>
        <v>20</v>
      </c>
      <c r="E717">
        <f>RTD("nest.scriprtd",,"bse_cm|925SCL25G","Bid Rate")</f>
        <v>826.1</v>
      </c>
      <c r="F717">
        <f>RTD("nest.scriprtd",,"bse_cm|925SCL25G","Ask Rate")</f>
        <v>0</v>
      </c>
      <c r="G717">
        <f>RTD("nest.scriprtd",,"bse_cm|925SCL25G","Ask Qty")</f>
        <v>0</v>
      </c>
      <c r="H717">
        <f>RTD("nest.scriprtd",,"bse_cm|925SCL25G","LTP")</f>
        <v>0</v>
      </c>
      <c r="I717" t="str">
        <f>RTD("nest.scriprtd",,"bse_cm|925SCL25G","LTT")</f>
        <v>00:00:00</v>
      </c>
      <c r="J717">
        <f>RTD("nest.scriprtd",,"bse_cm|925SCL25G","% Change")</f>
        <v>-100</v>
      </c>
      <c r="K717">
        <f>RTD("nest.scriprtd",,"bse_cm|925SCL25G","ATP")</f>
        <v>0</v>
      </c>
      <c r="L717">
        <f>RTD("nest.scriprtd",,"bse_cm|925SCL25G","Volume Traded Today")</f>
        <v>0</v>
      </c>
      <c r="M717">
        <f>RTD("nest.scriprtd",,"bse_cm|925SCL25G","Open")</f>
        <v>0</v>
      </c>
      <c r="N717">
        <f>RTD("nest.scriprtd",,"bse_cm|925SCL25G","High")</f>
        <v>0</v>
      </c>
      <c r="O717">
        <f>RTD("nest.scriprtd",,"bse_cm|925SCL25G","Low ")</f>
        <v>0</v>
      </c>
      <c r="P717">
        <f>RTD("nest.scriprtd",,"bse_cm|925SCL25G","Prev Close")</f>
        <v>1000</v>
      </c>
      <c r="Q717">
        <f>RTD("nest.scriprtd",,"bse_cm|925SCL25G","Face Value")</f>
        <v>1000</v>
      </c>
      <c r="R717" t="str">
        <f>RTD("nest.scriprtd",,"bse_cm|925SCL25G","Isin code")</f>
        <v>INE148I07RA3</v>
      </c>
      <c r="S717" s="9">
        <f>Table1[[#This Row],[Ask Rate]]*Table1[[#This Row],[Ask Qty]]</f>
        <v>0</v>
      </c>
      <c r="T717">
        <f>VLOOKUP(Table1[[#This Row],[Isin code]],Table2[#All],7,FALSE)</f>
        <v>9.8000000000000007</v>
      </c>
      <c r="U717" s="17" t="str">
        <f>VLOOKUP(Table1[[#This Row],[Isin code]],Table2[#All],8,FALSE)</f>
        <v>09-Nov-2033</v>
      </c>
      <c r="V717" s="10">
        <f ca="1">Table1[[#This Row],[Maturity]]-TODAY()</f>
        <v>3311</v>
      </c>
      <c r="W717" t="str">
        <f>VLOOKUP(Table1[[#This Row],[Isin code]],Table2[#All],10,FALSE)</f>
        <v>Monthly</v>
      </c>
      <c r="X717">
        <f ca="1">_xlfn.DAYS(Table1[[#This Row],[Maturity]],TODAY())-15</f>
        <v>3296</v>
      </c>
      <c r="Y7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110</v>
      </c>
      <c r="Z717">
        <f>IF(Table1[[#This Row],[Ask Rate]]=0,0,Table1[[#This Row],[Face Value]]-Table1[[#This Row],[Ask Rate]])</f>
        <v>0</v>
      </c>
      <c r="AA717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717">
        <f ca="1">Table1[[#This Row],[Face Value]]*Table1[[#This Row],[Rate]]*Table1[[#This Row],[Time]]</f>
        <v>898.33333333333348</v>
      </c>
      <c r="AC717">
        <f ca="1">Table1[[#This Row],[SI]]+Table1[[#This Row],[Disc/Prem]]</f>
        <v>898.33333333333348</v>
      </c>
      <c r="AD717" s="3" t="e">
        <f ca="1">Table1[[#This Row],[Net Gain]]/Table1[[#This Row],[Ask Rate]]</f>
        <v>#DIV/0!</v>
      </c>
      <c r="AE717" s="3">
        <f>IF(Table1[[#This Row],[Ask Qty]]=0,0,Table1[[#This Row],[Gross Yield]]*365/Table1[[#This Row],[Days Left]])</f>
        <v>0</v>
      </c>
      <c r="AF717" s="9">
        <f ca="1">+Table1[[#This Row],[Net Gain]]*Table1[[#This Row],[Ask Qty]]</f>
        <v>0</v>
      </c>
      <c r="AG717" t="str">
        <f>IF(Table1[[#This Row],[YTM]]&gt;0.12,IF(Table1[[#This Row],[Gross Profit]]&gt;10000,"Invest","Review"),"Low YTM")</f>
        <v>Low YTM</v>
      </c>
    </row>
    <row r="718" spans="1:33" x14ac:dyDescent="0.3">
      <c r="A718" t="str">
        <f>RTD("nest.scriprtd",,"nse_cm|925SCL25F-BD","Symbol")</f>
        <v>925SCL25F</v>
      </c>
      <c r="B718" t="str">
        <f>RTD("nest.scriprtd",,"nse_cm|925SCL25F-BD","Trading Symbol")</f>
        <v>925SCL25F-BD</v>
      </c>
      <c r="C718" t="str">
        <f>RTD("nest.scriprtd",,"nse_cm|925SCL25F-BD","Exchange")</f>
        <v>NSE</v>
      </c>
      <c r="D718">
        <f>RTD("nest.scriprtd",,"nse_cm|925SCL25F-BD","Bid Qty")</f>
        <v>5</v>
      </c>
      <c r="E718">
        <f>RTD("nest.scriprtd",,"nse_cm|925SCL25F-BD","Bid Rate")</f>
        <v>820.2</v>
      </c>
      <c r="F718">
        <f>RTD("nest.scriprtd",,"nse_cm|925SCL25F-BD","Ask Rate")</f>
        <v>0</v>
      </c>
      <c r="G718">
        <f>RTD("nest.scriprtd",,"nse_cm|925SCL25F-BD","Ask Qty")</f>
        <v>0</v>
      </c>
      <c r="H718">
        <f>RTD("nest.scriprtd",,"nse_cm|925SCL25F-BD","LTP")</f>
        <v>0</v>
      </c>
      <c r="I718" t="str">
        <f>RTD("nest.scriprtd",,"nse_cm|925SCL25F-BD","LTT")</f>
        <v/>
      </c>
      <c r="J718">
        <f>RTD("nest.scriprtd",,"nse_cm|925SCL25F-BD","% Change")</f>
        <v>-100</v>
      </c>
      <c r="K718">
        <f>RTD("nest.scriprtd",,"nse_cm|925SCL25F-BD","ATP")</f>
        <v>0</v>
      </c>
      <c r="L718">
        <f>RTD("nest.scriprtd",,"nse_cm|925SCL25F-BD","Volume Traded Today")</f>
        <v>0</v>
      </c>
      <c r="M718">
        <f>RTD("nest.scriprtd",,"nse_cm|925SCL25F-BD","Open")</f>
        <v>0</v>
      </c>
      <c r="N718">
        <f>RTD("nest.scriprtd",,"nse_cm|925SCL25F-BD","High")</f>
        <v>0</v>
      </c>
      <c r="O718">
        <f>RTD("nest.scriprtd",,"nse_cm|925SCL25F-BD","Low ")</f>
        <v>0</v>
      </c>
      <c r="P718">
        <f>RTD("nest.scriprtd",,"nse_cm|925SCL25F-BD","Prev Close")</f>
        <v>1000</v>
      </c>
      <c r="Q718">
        <f>RTD("nest.scriprtd",,"nse_cm|925SCL25F-BD","Face Value")</f>
        <v>1000</v>
      </c>
      <c r="R718" t="str">
        <f>RTD("nest.scriprtd",,"nse_cm|925SCL25F-BD","Isin code")</f>
        <v>INE148I07OY0</v>
      </c>
      <c r="S718" s="9">
        <f>Table1[[#This Row],[Ask Rate]]*Table1[[#This Row],[Ask Qty]]</f>
        <v>0</v>
      </c>
      <c r="T718">
        <f>VLOOKUP(Table1[[#This Row],[Isin code]],Table2[#All],7,FALSE)</f>
        <v>9.25</v>
      </c>
      <c r="U718" s="17" t="str">
        <f>VLOOKUP(Table1[[#This Row],[Isin code]],Table2[#All],8,FALSE)</f>
        <v>26-Sep-2025</v>
      </c>
      <c r="V718" s="10">
        <f ca="1">Table1[[#This Row],[Maturity]]-TODAY()</f>
        <v>345</v>
      </c>
      <c r="W718" t="str">
        <f>VLOOKUP(Table1[[#This Row],[Isin code]],Table2[#All],10,FALSE)</f>
        <v>Yearly</v>
      </c>
      <c r="X718">
        <f ca="1">_xlfn.DAYS(Table1[[#This Row],[Maturity]],TODAY())-15</f>
        <v>330</v>
      </c>
      <c r="Y7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718">
        <f>IF(Table1[[#This Row],[Ask Rate]]=0,0,Table1[[#This Row],[Face Value]]-Table1[[#This Row],[Ask Rate]])</f>
        <v>0</v>
      </c>
      <c r="AA718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718">
        <f ca="1">Table1[[#This Row],[Face Value]]*Table1[[#This Row],[Rate]]*Table1[[#This Row],[Time]]</f>
        <v>92.5</v>
      </c>
      <c r="AC718">
        <f ca="1">Table1[[#This Row],[SI]]+Table1[[#This Row],[Disc/Prem]]</f>
        <v>92.5</v>
      </c>
      <c r="AD718" s="3" t="e">
        <f ca="1">Table1[[#This Row],[Net Gain]]/Table1[[#This Row],[Ask Rate]]</f>
        <v>#DIV/0!</v>
      </c>
      <c r="AE718" s="3">
        <f>IF(Table1[[#This Row],[Ask Qty]]=0,0,Table1[[#This Row],[Gross Yield]]*365/Table1[[#This Row],[Days Left]])</f>
        <v>0</v>
      </c>
      <c r="AF718" s="9">
        <f ca="1">+Table1[[#This Row],[Net Gain]]*Table1[[#This Row],[Ask Qty]]</f>
        <v>0</v>
      </c>
      <c r="AG718" t="str">
        <f>IF(Table1[[#This Row],[YTM]]&gt;0.12,IF(Table1[[#This Row],[Gross Profit]]&gt;10000,"Invest","Review"),"Low YTM")</f>
        <v>Low YTM</v>
      </c>
    </row>
    <row r="719" spans="1:33" x14ac:dyDescent="0.3">
      <c r="A719" t="str">
        <f>RTD("nest.scriprtd",,"bse_cm|925SCL25F","Symbol")</f>
        <v>925SCL25F</v>
      </c>
      <c r="B719" t="str">
        <f>RTD("nest.scriprtd",,"bse_cm|925SCL25F","Trading Symbol")</f>
        <v>925SCL25F</v>
      </c>
      <c r="C719" t="str">
        <f>RTD("nest.scriprtd",,"bse_cm|925SCL25F","Exchange")</f>
        <v>BSE</v>
      </c>
      <c r="D719">
        <f>RTD("nest.scriprtd",,"bse_cm|925SCL25F","Bid Qty")</f>
        <v>20</v>
      </c>
      <c r="E719">
        <f>RTD("nest.scriprtd",,"bse_cm|925SCL25F","Bid Rate")</f>
        <v>820.1</v>
      </c>
      <c r="F719">
        <f>RTD("nest.scriprtd",,"bse_cm|925SCL25F","Ask Rate")</f>
        <v>0</v>
      </c>
      <c r="G719">
        <f>RTD("nest.scriprtd",,"bse_cm|925SCL25F","Ask Qty")</f>
        <v>0</v>
      </c>
      <c r="H719">
        <f>RTD("nest.scriprtd",,"bse_cm|925SCL25F","LTP")</f>
        <v>0</v>
      </c>
      <c r="I719" t="str">
        <f>RTD("nest.scriprtd",,"bse_cm|925SCL25F","LTT")</f>
        <v>00:00:00</v>
      </c>
      <c r="J719">
        <f>RTD("nest.scriprtd",,"bse_cm|925SCL25F","% Change")</f>
        <v>-100</v>
      </c>
      <c r="K719">
        <f>RTD("nest.scriprtd",,"bse_cm|925SCL25F","ATP")</f>
        <v>0</v>
      </c>
      <c r="L719">
        <f>RTD("nest.scriprtd",,"bse_cm|925SCL25F","Volume Traded Today")</f>
        <v>0</v>
      </c>
      <c r="M719">
        <f>RTD("nest.scriprtd",,"bse_cm|925SCL25F","Open")</f>
        <v>0</v>
      </c>
      <c r="N719">
        <f>RTD("nest.scriprtd",,"bse_cm|925SCL25F","High")</f>
        <v>0</v>
      </c>
      <c r="O719">
        <f>RTD("nest.scriprtd",,"bse_cm|925SCL25F","Low ")</f>
        <v>0</v>
      </c>
      <c r="P719">
        <f>RTD("nest.scriprtd",,"bse_cm|925SCL25F","Prev Close")</f>
        <v>1000</v>
      </c>
      <c r="Q719">
        <f>RTD("nest.scriprtd",,"bse_cm|925SCL25F","Face Value")</f>
        <v>1000</v>
      </c>
      <c r="R719" t="str">
        <f>RTD("nest.scriprtd",,"bse_cm|925SCL25F","Isin code")</f>
        <v>INE148I07OY0</v>
      </c>
      <c r="S719" s="9">
        <f>Table1[[#This Row],[Ask Rate]]*Table1[[#This Row],[Ask Qty]]</f>
        <v>0</v>
      </c>
      <c r="T719">
        <f>VLOOKUP(Table1[[#This Row],[Isin code]],Table2[#All],7,FALSE)</f>
        <v>9.25</v>
      </c>
      <c r="U719" s="17" t="str">
        <f>VLOOKUP(Table1[[#This Row],[Isin code]],Table2[#All],8,FALSE)</f>
        <v>26-Sep-2025</v>
      </c>
      <c r="V719" s="10">
        <f ca="1">Table1[[#This Row],[Maturity]]-TODAY()</f>
        <v>345</v>
      </c>
      <c r="W719" t="str">
        <f>VLOOKUP(Table1[[#This Row],[Isin code]],Table2[#All],10,FALSE)</f>
        <v>Yearly</v>
      </c>
      <c r="X719">
        <f ca="1">_xlfn.DAYS(Table1[[#This Row],[Maturity]],TODAY())-15</f>
        <v>330</v>
      </c>
      <c r="Y7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719">
        <f>IF(Table1[[#This Row],[Ask Rate]]=0,0,Table1[[#This Row],[Face Value]]-Table1[[#This Row],[Ask Rate]])</f>
        <v>0</v>
      </c>
      <c r="AA719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719">
        <f ca="1">Table1[[#This Row],[Face Value]]*Table1[[#This Row],[Rate]]*Table1[[#This Row],[Time]]</f>
        <v>92.5</v>
      </c>
      <c r="AC719">
        <f ca="1">Table1[[#This Row],[SI]]+Table1[[#This Row],[Disc/Prem]]</f>
        <v>92.5</v>
      </c>
      <c r="AD719" s="3" t="e">
        <f ca="1">Table1[[#This Row],[Net Gain]]/Table1[[#This Row],[Ask Rate]]</f>
        <v>#DIV/0!</v>
      </c>
      <c r="AE719" s="3">
        <f>IF(Table1[[#This Row],[Ask Qty]]=0,0,Table1[[#This Row],[Gross Yield]]*365/Table1[[#This Row],[Days Left]])</f>
        <v>0</v>
      </c>
      <c r="AF719" s="9">
        <f ca="1">+Table1[[#This Row],[Net Gain]]*Table1[[#This Row],[Ask Qty]]</f>
        <v>0</v>
      </c>
      <c r="AG719" t="str">
        <f>IF(Table1[[#This Row],[YTM]]&gt;0.12,IF(Table1[[#This Row],[Gross Profit]]&gt;10000,"Invest","Review"),"Low YTM")</f>
        <v>Low YTM</v>
      </c>
    </row>
    <row r="720" spans="1:33" x14ac:dyDescent="0.3">
      <c r="A720" t="str">
        <f>RTD("nest.scriprtd",,"nse_cm|879SCL26-NC","Symbol")</f>
        <v>879SCL26</v>
      </c>
      <c r="B720" t="str">
        <f>RTD("nest.scriprtd",,"nse_cm|879SCL26-NC","Trading Symbol")</f>
        <v>879SCL26-NC</v>
      </c>
      <c r="C720" t="str">
        <f>RTD("nest.scriprtd",,"nse_cm|879SCL26-NC","Exchange")</f>
        <v>NSE</v>
      </c>
      <c r="D720">
        <f>RTD("nest.scriprtd",,"nse_cm|879SCL26-NC","Bid Qty")</f>
        <v>18</v>
      </c>
      <c r="E720">
        <f>RTD("nest.scriprtd",,"nse_cm|879SCL26-NC","Bid Rate")</f>
        <v>830.2</v>
      </c>
      <c r="F720">
        <f>RTD("nest.scriprtd",,"nse_cm|879SCL26-NC","Ask Rate")</f>
        <v>0</v>
      </c>
      <c r="G720">
        <f>RTD("nest.scriprtd",,"nse_cm|879SCL26-NC","Ask Qty")</f>
        <v>0</v>
      </c>
      <c r="H720">
        <f>RTD("nest.scriprtd",,"nse_cm|879SCL26-NC","LTP")</f>
        <v>943</v>
      </c>
      <c r="I720" t="str">
        <f>RTD("nest.scriprtd",,"nse_cm|879SCL26-NC","LTT")</f>
        <v/>
      </c>
      <c r="J720">
        <f>RTD("nest.scriprtd",,"nse_cm|879SCL26-NC","% Change")</f>
        <v>0</v>
      </c>
      <c r="K720">
        <f>RTD("nest.scriprtd",,"nse_cm|879SCL26-NC","ATP")</f>
        <v>0</v>
      </c>
      <c r="L720">
        <f>RTD("nest.scriprtd",,"nse_cm|879SCL26-NC","Volume Traded Today")</f>
        <v>0</v>
      </c>
      <c r="M720">
        <f>RTD("nest.scriprtd",,"nse_cm|879SCL26-NC","Open")</f>
        <v>0</v>
      </c>
      <c r="N720">
        <f>RTD("nest.scriprtd",,"nse_cm|879SCL26-NC","High")</f>
        <v>943</v>
      </c>
      <c r="O720">
        <f>RTD("nest.scriprtd",,"nse_cm|879SCL26-NC","Low ")</f>
        <v>943</v>
      </c>
      <c r="P720">
        <f>RTD("nest.scriprtd",,"nse_cm|879SCL26-NC","Prev Close")</f>
        <v>943</v>
      </c>
      <c r="Q720">
        <f>RTD("nest.scriprtd",,"nse_cm|879SCL26-NC","Face Value")</f>
        <v>1000</v>
      </c>
      <c r="R720" t="str">
        <f>RTD("nest.scriprtd",,"nse_cm|879SCL26-NC","Isin code")</f>
        <v>INE148I08231</v>
      </c>
      <c r="S720" s="9">
        <f>Table1[[#This Row],[Ask Rate]]*Table1[[#This Row],[Ask Qty]]</f>
        <v>0</v>
      </c>
      <c r="T720">
        <f>VLOOKUP(Table1[[#This Row],[Isin code]],Table2[#All],7,FALSE)</f>
        <v>8.7899999999999991</v>
      </c>
      <c r="U720" s="17" t="str">
        <f>VLOOKUP(Table1[[#This Row],[Isin code]],Table2[#All],8,FALSE)</f>
        <v>26-Sep-2026</v>
      </c>
      <c r="V720" s="10">
        <f ca="1">Table1[[#This Row],[Maturity]]-TODAY()</f>
        <v>710</v>
      </c>
      <c r="W720" t="str">
        <f>VLOOKUP(Table1[[#This Row],[Isin code]],Table2[#All],10,FALSE)</f>
        <v>Monthly</v>
      </c>
      <c r="X720">
        <f ca="1">_xlfn.DAYS(Table1[[#This Row],[Maturity]],TODAY())-15</f>
        <v>695</v>
      </c>
      <c r="Y7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720">
        <f>IF(Table1[[#This Row],[Ask Rate]]=0,0,Table1[[#This Row],[Face Value]]-Table1[[#This Row],[Ask Rate]])</f>
        <v>0</v>
      </c>
      <c r="AA720">
        <f>IF(Table1[[#This Row],[Freq]]="Yearly",Table1[[#This Row],[Coupon_Rate]]/100,IF(Table1[[#This Row],[Freq]]="Monthly",Table1[[#This Row],[Coupon_Rate]]/1200,IF(Table1[[#This Row],[Freq]]="Quarterly",Table1[[#This Row],[Coupon_Rate]]/400,0)))</f>
        <v>7.324999999999999E-3</v>
      </c>
      <c r="AB720">
        <f ca="1">Table1[[#This Row],[Face Value]]*Table1[[#This Row],[Rate]]*Table1[[#This Row],[Time]]</f>
        <v>175.79999999999998</v>
      </c>
      <c r="AC720">
        <f ca="1">Table1[[#This Row],[SI]]+Table1[[#This Row],[Disc/Prem]]</f>
        <v>175.79999999999998</v>
      </c>
      <c r="AD720" s="3" t="e">
        <f ca="1">Table1[[#This Row],[Net Gain]]/Table1[[#This Row],[Ask Rate]]</f>
        <v>#DIV/0!</v>
      </c>
      <c r="AE720" s="3">
        <f>IF(Table1[[#This Row],[Ask Qty]]=0,0,Table1[[#This Row],[Gross Yield]]*365/Table1[[#This Row],[Days Left]])</f>
        <v>0</v>
      </c>
      <c r="AF720" s="9">
        <f ca="1">+Table1[[#This Row],[Net Gain]]*Table1[[#This Row],[Ask Qty]]</f>
        <v>0</v>
      </c>
      <c r="AG720" t="str">
        <f>IF(Table1[[#This Row],[YTM]]&gt;0.12,IF(Table1[[#This Row],[Gross Profit]]&gt;10000,"Invest","Review"),"Low YTM")</f>
        <v>Low YTM</v>
      </c>
    </row>
    <row r="721" spans="1:33" x14ac:dyDescent="0.3">
      <c r="A721" t="str">
        <f>RTD("nest.scriprtd",,"bse_cm|0SCL27","Symbol")</f>
        <v>0SCL27</v>
      </c>
      <c r="B721" t="str">
        <f>RTD("nest.scriprtd",,"bse_cm|0SCL27","Trading Symbol")</f>
        <v>0SCL27</v>
      </c>
      <c r="C721" t="str">
        <f>RTD("nest.scriprtd",,"bse_cm|0SCL27","Exchange")</f>
        <v>BSE</v>
      </c>
      <c r="D721">
        <f>RTD("nest.scriprtd",,"bse_cm|0SCL27","Bid Qty")</f>
        <v>10</v>
      </c>
      <c r="E721">
        <f>RTD("nest.scriprtd",,"bse_cm|0SCL27","Bid Rate")</f>
        <v>845.8</v>
      </c>
      <c r="F721">
        <f>RTD("nest.scriprtd",,"bse_cm|0SCL27","Ask Rate")</f>
        <v>1000</v>
      </c>
      <c r="G721">
        <f>RTD("nest.scriprtd",,"bse_cm|0SCL27","Ask Qty")</f>
        <v>10</v>
      </c>
      <c r="H721">
        <f>RTD("nest.scriprtd",,"bse_cm|0SCL27","LTP")</f>
        <v>0</v>
      </c>
      <c r="I721" t="str">
        <f>RTD("nest.scriprtd",,"bse_cm|0SCL27","LTT")</f>
        <v>00:00:00</v>
      </c>
      <c r="J721">
        <f>RTD("nest.scriprtd",,"bse_cm|0SCL27","% Change")</f>
        <v>-100</v>
      </c>
      <c r="K721">
        <f>RTD("nest.scriprtd",,"bse_cm|0SCL27","ATP")</f>
        <v>0</v>
      </c>
      <c r="L721">
        <f>RTD("nest.scriprtd",,"bse_cm|0SCL27","Volume Traded Today")</f>
        <v>0</v>
      </c>
      <c r="M721">
        <f>RTD("nest.scriprtd",,"bse_cm|0SCL27","Open")</f>
        <v>0</v>
      </c>
      <c r="N721">
        <f>RTD("nest.scriprtd",,"bse_cm|0SCL27","High")</f>
        <v>0</v>
      </c>
      <c r="O721">
        <f>RTD("nest.scriprtd",,"bse_cm|0SCL27","Low ")</f>
        <v>0</v>
      </c>
      <c r="P721">
        <f>RTD("nest.scriprtd",,"bse_cm|0SCL27","Prev Close")</f>
        <v>1000</v>
      </c>
      <c r="Q721">
        <f>RTD("nest.scriprtd",,"bse_cm|0SCL27","Face Value")</f>
        <v>1000</v>
      </c>
      <c r="R721" t="str">
        <f>RTD("nest.scriprtd",,"bse_cm|0SCL27","Isin code")</f>
        <v>INE148I07SK0</v>
      </c>
      <c r="S721" s="9">
        <f>Table1[[#This Row],[Ask Rate]]*Table1[[#This Row],[Ask Qty]]</f>
        <v>10000</v>
      </c>
      <c r="T721">
        <f>VLOOKUP(Table1[[#This Row],[Isin code]],Table2[#All],7,FALSE)</f>
        <v>0</v>
      </c>
      <c r="U721" s="17" t="str">
        <f>VLOOKUP(Table1[[#This Row],[Isin code]],Table2[#All],8,FALSE)</f>
        <v>26-Mar-2027</v>
      </c>
      <c r="V721" s="10">
        <f ca="1">Table1[[#This Row],[Maturity]]-TODAY()</f>
        <v>891</v>
      </c>
      <c r="W721" t="str">
        <f>VLOOKUP(Table1[[#This Row],[Isin code]],Table2[#All],10,FALSE)</f>
        <v>--</v>
      </c>
      <c r="X721">
        <f ca="1">_xlfn.DAYS(Table1[[#This Row],[Maturity]],TODAY())-15</f>
        <v>876</v>
      </c>
      <c r="Y72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21">
        <f>IF(Table1[[#This Row],[Ask Rate]]=0,0,Table1[[#This Row],[Face Value]]-Table1[[#This Row],[Ask Rate]])</f>
        <v>0</v>
      </c>
      <c r="AA72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21">
        <f>Table1[[#This Row],[Face Value]]*Table1[[#This Row],[Rate]]*Table1[[#This Row],[Time]]</f>
        <v>0</v>
      </c>
      <c r="AC721">
        <f>Table1[[#This Row],[SI]]+Table1[[#This Row],[Disc/Prem]]</f>
        <v>0</v>
      </c>
      <c r="AD721" s="3">
        <f>Table1[[#This Row],[Net Gain]]/Table1[[#This Row],[Ask Rate]]</f>
        <v>0</v>
      </c>
      <c r="AE721" s="3">
        <f ca="1">IF(Table1[[#This Row],[Ask Qty]]=0,0,Table1[[#This Row],[Gross Yield]]*365/Table1[[#This Row],[Days Left]])</f>
        <v>0</v>
      </c>
      <c r="AF721" s="9">
        <f>+Table1[[#This Row],[Net Gain]]*Table1[[#This Row],[Ask Qty]]</f>
        <v>0</v>
      </c>
      <c r="AG721" t="str">
        <f ca="1">IF(Table1[[#This Row],[YTM]]&gt;0.12,IF(Table1[[#This Row],[Gross Profit]]&gt;10000,"Invest","Review"),"Low YTM")</f>
        <v>Low YTM</v>
      </c>
    </row>
    <row r="722" spans="1:33" x14ac:dyDescent="0.3">
      <c r="A722" t="str">
        <f>RTD("nest.scriprtd",,"bse_cm|875SCL27","Symbol")</f>
        <v>875SCL27</v>
      </c>
      <c r="B722" t="str">
        <f>RTD("nest.scriprtd",,"bse_cm|875SCL27","Trading Symbol")</f>
        <v>875SCL27</v>
      </c>
      <c r="C722" t="str">
        <f>RTD("nest.scriprtd",,"bse_cm|875SCL27","Exchange")</f>
        <v>BSE</v>
      </c>
      <c r="D722">
        <f>RTD("nest.scriprtd",,"bse_cm|875SCL27","Bid Qty")</f>
        <v>7</v>
      </c>
      <c r="E722">
        <f>RTD("nest.scriprtd",,"bse_cm|875SCL27","Bid Rate")</f>
        <v>815.8</v>
      </c>
      <c r="F722">
        <f>RTD("nest.scriprtd",,"bse_cm|875SCL27","Ask Rate")</f>
        <v>0</v>
      </c>
      <c r="G722">
        <f>RTD("nest.scriprtd",,"bse_cm|875SCL27","Ask Qty")</f>
        <v>0</v>
      </c>
      <c r="H722">
        <f>RTD("nest.scriprtd",,"bse_cm|875SCL27","LTP")</f>
        <v>0</v>
      </c>
      <c r="I722" t="str">
        <f>RTD("nest.scriprtd",,"bse_cm|875SCL27","LTT")</f>
        <v>00:00:00</v>
      </c>
      <c r="J722">
        <f>RTD("nest.scriprtd",,"bse_cm|875SCL27","% Change")</f>
        <v>-100</v>
      </c>
      <c r="K722">
        <f>RTD("nest.scriprtd",,"bse_cm|875SCL27","ATP")</f>
        <v>0</v>
      </c>
      <c r="L722">
        <f>RTD("nest.scriprtd",,"bse_cm|875SCL27","Volume Traded Today")</f>
        <v>0</v>
      </c>
      <c r="M722">
        <f>RTD("nest.scriprtd",,"bse_cm|875SCL27","Open")</f>
        <v>0</v>
      </c>
      <c r="N722">
        <f>RTD("nest.scriprtd",,"bse_cm|875SCL27","High")</f>
        <v>0</v>
      </c>
      <c r="O722">
        <f>RTD("nest.scriprtd",,"bse_cm|875SCL27","Low ")</f>
        <v>0</v>
      </c>
      <c r="P722">
        <f>RTD("nest.scriprtd",,"bse_cm|875SCL27","Prev Close")</f>
        <v>1000</v>
      </c>
      <c r="Q722">
        <f>RTD("nest.scriprtd",,"bse_cm|875SCL27","Face Value")</f>
        <v>1000</v>
      </c>
      <c r="R722" t="str">
        <f>RTD("nest.scriprtd",,"bse_cm|875SCL27","Isin code")</f>
        <v>INE148I07LS8</v>
      </c>
      <c r="S722" s="9">
        <f>Table1[[#This Row],[Ask Rate]]*Table1[[#This Row],[Ask Qty]]</f>
        <v>0</v>
      </c>
      <c r="T722">
        <f>VLOOKUP(Table1[[#This Row],[Isin code]],Table2[#All],7,FALSE)</f>
        <v>8.75</v>
      </c>
      <c r="U722" s="17" t="str">
        <f>VLOOKUP(Table1[[#This Row],[Isin code]],Table2[#All],8,FALSE)</f>
        <v>28-Apr-2027</v>
      </c>
      <c r="V722" s="10">
        <f ca="1">Table1[[#This Row],[Maturity]]-TODAY()</f>
        <v>924</v>
      </c>
      <c r="W722" t="str">
        <f>VLOOKUP(Table1[[#This Row],[Isin code]],Table2[#All],10,FALSE)</f>
        <v>Yearly</v>
      </c>
      <c r="X722">
        <f ca="1">_xlfn.DAYS(Table1[[#This Row],[Maturity]],TODAY())-15</f>
        <v>909</v>
      </c>
      <c r="Y7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722">
        <f>IF(Table1[[#This Row],[Ask Rate]]=0,0,Table1[[#This Row],[Face Value]]-Table1[[#This Row],[Ask Rate]])</f>
        <v>0</v>
      </c>
      <c r="AA722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722">
        <f ca="1">Table1[[#This Row],[Face Value]]*Table1[[#This Row],[Rate]]*Table1[[#This Row],[Time]]</f>
        <v>262.5</v>
      </c>
      <c r="AC722">
        <f ca="1">Table1[[#This Row],[SI]]+Table1[[#This Row],[Disc/Prem]]</f>
        <v>262.5</v>
      </c>
      <c r="AD722" s="3" t="e">
        <f ca="1">Table1[[#This Row],[Net Gain]]/Table1[[#This Row],[Ask Rate]]</f>
        <v>#DIV/0!</v>
      </c>
      <c r="AE722" s="3">
        <f>IF(Table1[[#This Row],[Ask Qty]]=0,0,Table1[[#This Row],[Gross Yield]]*365/Table1[[#This Row],[Days Left]])</f>
        <v>0</v>
      </c>
      <c r="AF722" s="9">
        <f ca="1">+Table1[[#This Row],[Net Gain]]*Table1[[#This Row],[Ask Qty]]</f>
        <v>0</v>
      </c>
      <c r="AG722" t="str">
        <f>IF(Table1[[#This Row],[YTM]]&gt;0.12,IF(Table1[[#This Row],[Gross Profit]]&gt;10000,"Invest","Review"),"Low YTM")</f>
        <v>Low YTM</v>
      </c>
    </row>
    <row r="723" spans="1:33" x14ac:dyDescent="0.3">
      <c r="A723" t="str">
        <f>RTD("nest.scriprtd",,"bse_cm|886ONE25","Symbol")</f>
        <v>886ONE25</v>
      </c>
      <c r="B723" t="str">
        <f>RTD("nest.scriprtd",,"bse_cm|886ONE25","Trading Symbol")</f>
        <v>886ONE25</v>
      </c>
      <c r="C723" t="str">
        <f>RTD("nest.scriprtd",,"bse_cm|886ONE25","Exchange")</f>
        <v>BSE</v>
      </c>
      <c r="D723">
        <f>RTD("nest.scriprtd",,"bse_cm|886ONE25","Bid Qty")</f>
        <v>50</v>
      </c>
      <c r="E723">
        <f>RTD("nest.scriprtd",,"bse_cm|886ONE25","Bid Rate")</f>
        <v>875.01</v>
      </c>
      <c r="F723">
        <f>RTD("nest.scriprtd",,"bse_cm|886ONE25","Ask Rate")</f>
        <v>0</v>
      </c>
      <c r="G723">
        <f>RTD("nest.scriprtd",,"bse_cm|886ONE25","Ask Qty")</f>
        <v>0</v>
      </c>
      <c r="H723">
        <f>RTD("nest.scriprtd",,"bse_cm|886ONE25","LTP")</f>
        <v>0</v>
      </c>
      <c r="I723" t="str">
        <f>RTD("nest.scriprtd",,"bse_cm|886ONE25","LTT")</f>
        <v>00:00:00</v>
      </c>
      <c r="J723">
        <f>RTD("nest.scriprtd",,"bse_cm|886ONE25","% Change")</f>
        <v>-100</v>
      </c>
      <c r="K723">
        <f>RTD("nest.scriprtd",,"bse_cm|886ONE25","ATP")</f>
        <v>0</v>
      </c>
      <c r="L723">
        <f>RTD("nest.scriprtd",,"bse_cm|886ONE25","Volume Traded Today")</f>
        <v>0</v>
      </c>
      <c r="M723">
        <f>RTD("nest.scriprtd",,"bse_cm|886ONE25","Open")</f>
        <v>0</v>
      </c>
      <c r="N723">
        <f>RTD("nest.scriprtd",,"bse_cm|886ONE25","High")</f>
        <v>995</v>
      </c>
      <c r="O723">
        <f>RTD("nest.scriprtd",,"bse_cm|886ONE25","Low ")</f>
        <v>995</v>
      </c>
      <c r="P723">
        <f>RTD("nest.scriprtd",,"bse_cm|886ONE25","Prev Close")</f>
        <v>995</v>
      </c>
      <c r="Q723">
        <f>RTD("nest.scriprtd",,"bse_cm|886ONE25","Face Value")</f>
        <v>1000</v>
      </c>
      <c r="R723" t="str">
        <f>RTD("nest.scriprtd",,"bse_cm|886ONE25","Isin code")</f>
        <v>INE248U07FL8</v>
      </c>
      <c r="S723" s="9">
        <f>Table1[[#This Row],[Ask Rate]]*Table1[[#This Row],[Ask Qty]]</f>
        <v>0</v>
      </c>
      <c r="T723">
        <f>VLOOKUP(Table1[[#This Row],[Isin code]],Table2[#All],7,FALSE)</f>
        <v>8.86</v>
      </c>
      <c r="U723" s="17" t="str">
        <f>VLOOKUP(Table1[[#This Row],[Isin code]],Table2[#All],8,FALSE)</f>
        <v>12-Dec-2025</v>
      </c>
      <c r="V723" s="10">
        <f ca="1">Table1[[#This Row],[Maturity]]-TODAY()</f>
        <v>422</v>
      </c>
      <c r="W723" t="str">
        <f>VLOOKUP(Table1[[#This Row],[Isin code]],Table2[#All],10,FALSE)</f>
        <v>Monthly</v>
      </c>
      <c r="X723">
        <f ca="1">_xlfn.DAYS(Table1[[#This Row],[Maturity]],TODAY())-15</f>
        <v>407</v>
      </c>
      <c r="Y7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723">
        <f>IF(Table1[[#This Row],[Ask Rate]]=0,0,Table1[[#This Row],[Face Value]]-Table1[[#This Row],[Ask Rate]])</f>
        <v>0</v>
      </c>
      <c r="AA723">
        <f>IF(Table1[[#This Row],[Freq]]="Yearly",Table1[[#This Row],[Coupon_Rate]]/100,IF(Table1[[#This Row],[Freq]]="Monthly",Table1[[#This Row],[Coupon_Rate]]/1200,IF(Table1[[#This Row],[Freq]]="Quarterly",Table1[[#This Row],[Coupon_Rate]]/400,0)))</f>
        <v>7.3833333333333329E-3</v>
      </c>
      <c r="AB723">
        <f ca="1">Table1[[#This Row],[Face Value]]*Table1[[#This Row],[Rate]]*Table1[[#This Row],[Time]]</f>
        <v>103.36666666666666</v>
      </c>
      <c r="AC723">
        <f ca="1">Table1[[#This Row],[SI]]+Table1[[#This Row],[Disc/Prem]]</f>
        <v>103.36666666666666</v>
      </c>
      <c r="AD723" s="3" t="e">
        <f ca="1">Table1[[#This Row],[Net Gain]]/Table1[[#This Row],[Ask Rate]]</f>
        <v>#DIV/0!</v>
      </c>
      <c r="AE723" s="3">
        <f>IF(Table1[[#This Row],[Ask Qty]]=0,0,Table1[[#This Row],[Gross Yield]]*365/Table1[[#This Row],[Days Left]])</f>
        <v>0</v>
      </c>
      <c r="AF723" s="9">
        <f ca="1">+Table1[[#This Row],[Net Gain]]*Table1[[#This Row],[Ask Qty]]</f>
        <v>0</v>
      </c>
      <c r="AG723" t="str">
        <f>IF(Table1[[#This Row],[YTM]]&gt;0.12,IF(Table1[[#This Row],[Gross Profit]]&gt;10000,"Invest","Review"),"Low YTM")</f>
        <v>Low YTM</v>
      </c>
    </row>
    <row r="724" spans="1:33" x14ac:dyDescent="0.3">
      <c r="A724" t="str">
        <f>RTD("nest.scriprtd",,"nse_cm|925SCL26C-ZA","Symbol")</f>
        <v>925SCL26C</v>
      </c>
      <c r="B724" t="str">
        <f>RTD("nest.scriprtd",,"nse_cm|925SCL26C-ZA","Trading Symbol")</f>
        <v>925SCL26C-ZA</v>
      </c>
      <c r="C724" t="str">
        <f>RTD("nest.scriprtd",,"nse_cm|925SCL26C-ZA","Exchange")</f>
        <v>NSE</v>
      </c>
      <c r="D724">
        <f>RTD("nest.scriprtd",,"nse_cm|925SCL26C-ZA","Bid Qty")</f>
        <v>20</v>
      </c>
      <c r="E724">
        <f>RTD("nest.scriprtd",,"nse_cm|925SCL26C-ZA","Bid Rate")</f>
        <v>810.5</v>
      </c>
      <c r="F724">
        <f>RTD("nest.scriprtd",,"nse_cm|925SCL26C-ZA","Ask Rate")</f>
        <v>0</v>
      </c>
      <c r="G724">
        <f>RTD("nest.scriprtd",,"nse_cm|925SCL26C-ZA","Ask Qty")</f>
        <v>0</v>
      </c>
      <c r="H724">
        <f>RTD("nest.scriprtd",,"nse_cm|925SCL26C-ZA","LTP")</f>
        <v>0</v>
      </c>
      <c r="I724" t="str">
        <f>RTD("nest.scriprtd",,"nse_cm|925SCL26C-ZA","LTT")</f>
        <v/>
      </c>
      <c r="J724">
        <f>RTD("nest.scriprtd",,"nse_cm|925SCL26C-ZA","% Change")</f>
        <v>-100</v>
      </c>
      <c r="K724">
        <f>RTD("nest.scriprtd",,"nse_cm|925SCL26C-ZA","ATP")</f>
        <v>0</v>
      </c>
      <c r="L724">
        <f>RTD("nest.scriprtd",,"nse_cm|925SCL26C-ZA","Volume Traded Today")</f>
        <v>0</v>
      </c>
      <c r="M724">
        <f>RTD("nest.scriprtd",,"nse_cm|925SCL26C-ZA","Open")</f>
        <v>0</v>
      </c>
      <c r="N724">
        <f>RTD("nest.scriprtd",,"nse_cm|925SCL26C-ZA","High")</f>
        <v>0</v>
      </c>
      <c r="O724">
        <f>RTD("nest.scriprtd",,"nse_cm|925SCL26C-ZA","Low ")</f>
        <v>0</v>
      </c>
      <c r="P724">
        <f>RTD("nest.scriprtd",,"nse_cm|925SCL26C-ZA","Prev Close")</f>
        <v>1000</v>
      </c>
      <c r="Q724">
        <f>RTD("nest.scriprtd",,"nse_cm|925SCL26C-ZA","Face Value")</f>
        <v>1000</v>
      </c>
      <c r="R724" t="str">
        <f>RTD("nest.scriprtd",,"nse_cm|925SCL26C-ZA","Isin code")</f>
        <v>INE148I07SZ8</v>
      </c>
      <c r="S724" s="9">
        <f>Table1[[#This Row],[Ask Rate]]*Table1[[#This Row],[Ask Qty]]</f>
        <v>0</v>
      </c>
      <c r="T724">
        <f>VLOOKUP(Table1[[#This Row],[Isin code]],Table2[#All],7,FALSE)</f>
        <v>9.25</v>
      </c>
      <c r="U724" s="17" t="str">
        <f>VLOOKUP(Table1[[#This Row],[Isin code]],Table2[#All],8,FALSE)</f>
        <v>31-May-2026</v>
      </c>
      <c r="V724" s="10">
        <f ca="1">Table1[[#This Row],[Maturity]]-TODAY()</f>
        <v>592</v>
      </c>
      <c r="W724" t="str">
        <f>VLOOKUP(Table1[[#This Row],[Isin code]],Table2[#All],10,FALSE)</f>
        <v>Yearly</v>
      </c>
      <c r="X724">
        <f ca="1">_xlfn.DAYS(Table1[[#This Row],[Maturity]],TODAY())-15</f>
        <v>577</v>
      </c>
      <c r="Y7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24">
        <f>IF(Table1[[#This Row],[Ask Rate]]=0,0,Table1[[#This Row],[Face Value]]-Table1[[#This Row],[Ask Rate]])</f>
        <v>0</v>
      </c>
      <c r="AA724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724">
        <f ca="1">Table1[[#This Row],[Face Value]]*Table1[[#This Row],[Rate]]*Table1[[#This Row],[Time]]</f>
        <v>185</v>
      </c>
      <c r="AC724">
        <f ca="1">Table1[[#This Row],[SI]]+Table1[[#This Row],[Disc/Prem]]</f>
        <v>185</v>
      </c>
      <c r="AD724" s="3" t="e">
        <f ca="1">Table1[[#This Row],[Net Gain]]/Table1[[#This Row],[Ask Rate]]</f>
        <v>#DIV/0!</v>
      </c>
      <c r="AE724" s="3">
        <f>IF(Table1[[#This Row],[Ask Qty]]=0,0,Table1[[#This Row],[Gross Yield]]*365/Table1[[#This Row],[Days Left]])</f>
        <v>0</v>
      </c>
      <c r="AF724" s="9">
        <f ca="1">+Table1[[#This Row],[Net Gain]]*Table1[[#This Row],[Ask Qty]]</f>
        <v>0</v>
      </c>
      <c r="AG724" t="str">
        <f>IF(Table1[[#This Row],[YTM]]&gt;0.12,IF(Table1[[#This Row],[Gross Profit]]&gt;10000,"Invest","Review"),"Low YTM")</f>
        <v>Low YTM</v>
      </c>
    </row>
    <row r="725" spans="1:33" x14ac:dyDescent="0.3">
      <c r="A725" t="str">
        <f>RTD("nest.scriprtd",,"bse_cm|925SCL26C","Symbol")</f>
        <v>925SCL26C</v>
      </c>
      <c r="B725" t="str">
        <f>RTD("nest.scriprtd",,"bse_cm|925SCL26C","Trading Symbol")</f>
        <v>925SCL26C</v>
      </c>
      <c r="C725" t="str">
        <f>RTD("nest.scriprtd",,"bse_cm|925SCL26C","Exchange")</f>
        <v>BSE</v>
      </c>
      <c r="D725">
        <f>RTD("nest.scriprtd",,"bse_cm|925SCL26C","Bid Qty")</f>
        <v>2</v>
      </c>
      <c r="E725">
        <f>RTD("nest.scriprtd",,"bse_cm|925SCL26C","Bid Rate")</f>
        <v>805.2</v>
      </c>
      <c r="F725">
        <f>RTD("nest.scriprtd",,"bse_cm|925SCL26C","Ask Rate")</f>
        <v>0</v>
      </c>
      <c r="G725">
        <f>RTD("nest.scriprtd",,"bse_cm|925SCL26C","Ask Qty")</f>
        <v>0</v>
      </c>
      <c r="H725">
        <f>RTD("nest.scriprtd",,"bse_cm|925SCL26C","LTP")</f>
        <v>0</v>
      </c>
      <c r="I725" t="str">
        <f>RTD("nest.scriprtd",,"bse_cm|925SCL26C","LTT")</f>
        <v>00:00:00</v>
      </c>
      <c r="J725">
        <f>RTD("nest.scriprtd",,"bse_cm|925SCL26C","% Change")</f>
        <v>-100</v>
      </c>
      <c r="K725">
        <f>RTD("nest.scriprtd",,"bse_cm|925SCL26C","ATP")</f>
        <v>0</v>
      </c>
      <c r="L725">
        <f>RTD("nest.scriprtd",,"bse_cm|925SCL26C","Volume Traded Today")</f>
        <v>0</v>
      </c>
      <c r="M725">
        <f>RTD("nest.scriprtd",,"bse_cm|925SCL26C","Open")</f>
        <v>0</v>
      </c>
      <c r="N725">
        <f>RTD("nest.scriprtd",,"bse_cm|925SCL26C","High")</f>
        <v>0</v>
      </c>
      <c r="O725">
        <f>RTD("nest.scriprtd",,"bse_cm|925SCL26C","Low ")</f>
        <v>0</v>
      </c>
      <c r="P725">
        <f>RTD("nest.scriprtd",,"bse_cm|925SCL26C","Prev Close")</f>
        <v>1000</v>
      </c>
      <c r="Q725">
        <f>RTD("nest.scriprtd",,"bse_cm|925SCL26C","Face Value")</f>
        <v>1000</v>
      </c>
      <c r="R725" t="str">
        <f>RTD("nest.scriprtd",,"bse_cm|925SCL26C","Isin code")</f>
        <v>INE148I07SZ8</v>
      </c>
      <c r="S725" s="9">
        <f>Table1[[#This Row],[Ask Rate]]*Table1[[#This Row],[Ask Qty]]</f>
        <v>0</v>
      </c>
      <c r="T725">
        <f>VLOOKUP(Table1[[#This Row],[Isin code]],Table2[#All],7,FALSE)</f>
        <v>9.25</v>
      </c>
      <c r="U725" s="17" t="str">
        <f>VLOOKUP(Table1[[#This Row],[Isin code]],Table2[#All],8,FALSE)</f>
        <v>31-May-2026</v>
      </c>
      <c r="V725" s="10">
        <f ca="1">Table1[[#This Row],[Maturity]]-TODAY()</f>
        <v>592</v>
      </c>
      <c r="W725" t="str">
        <f>VLOOKUP(Table1[[#This Row],[Isin code]],Table2[#All],10,FALSE)</f>
        <v>Yearly</v>
      </c>
      <c r="X725">
        <f ca="1">_xlfn.DAYS(Table1[[#This Row],[Maturity]],TODAY())-15</f>
        <v>577</v>
      </c>
      <c r="Y7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25">
        <f>IF(Table1[[#This Row],[Ask Rate]]=0,0,Table1[[#This Row],[Face Value]]-Table1[[#This Row],[Ask Rate]])</f>
        <v>0</v>
      </c>
      <c r="AA725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725">
        <f ca="1">Table1[[#This Row],[Face Value]]*Table1[[#This Row],[Rate]]*Table1[[#This Row],[Time]]</f>
        <v>185</v>
      </c>
      <c r="AC725">
        <f ca="1">Table1[[#This Row],[SI]]+Table1[[#This Row],[Disc/Prem]]</f>
        <v>185</v>
      </c>
      <c r="AD725" s="3" t="e">
        <f ca="1">Table1[[#This Row],[Net Gain]]/Table1[[#This Row],[Ask Rate]]</f>
        <v>#DIV/0!</v>
      </c>
      <c r="AE725" s="3">
        <f>IF(Table1[[#This Row],[Ask Qty]]=0,0,Table1[[#This Row],[Gross Yield]]*365/Table1[[#This Row],[Days Left]])</f>
        <v>0</v>
      </c>
      <c r="AF725" s="9">
        <f ca="1">+Table1[[#This Row],[Net Gain]]*Table1[[#This Row],[Ask Qty]]</f>
        <v>0</v>
      </c>
      <c r="AG725" t="str">
        <f>IF(Table1[[#This Row],[YTM]]&gt;0.12,IF(Table1[[#This Row],[Gross Profit]]&gt;10000,"Invest","Review"),"Low YTM")</f>
        <v>Low YTM</v>
      </c>
    </row>
    <row r="726" spans="1:33" x14ac:dyDescent="0.3">
      <c r="A726" t="str">
        <f>RTD("nest.scriprtd",,"bse_cm|1010EFS29","Symbol")</f>
        <v>1010EFS29</v>
      </c>
      <c r="B726" t="str">
        <f>RTD("nest.scriprtd",,"bse_cm|1010EFS29","Trading Symbol")</f>
        <v>1010EFS29</v>
      </c>
      <c r="C726" t="str">
        <f>RTD("nest.scriprtd",,"bse_cm|1010EFS29","Exchange")</f>
        <v>BSE</v>
      </c>
      <c r="D726">
        <f>RTD("nest.scriprtd",,"bse_cm|1010EFS29","Bid Qty")</f>
        <v>25</v>
      </c>
      <c r="E726">
        <f>RTD("nest.scriprtd",,"bse_cm|1010EFS29","Bid Rate")</f>
        <v>950</v>
      </c>
      <c r="F726">
        <f>RTD("nest.scriprtd",,"bse_cm|1010EFS29","Ask Rate")</f>
        <v>0</v>
      </c>
      <c r="G726">
        <f>RTD("nest.scriprtd",,"bse_cm|1010EFS29","Ask Qty")</f>
        <v>0</v>
      </c>
      <c r="H726">
        <f>RTD("nest.scriprtd",,"bse_cm|1010EFS29","LTP")</f>
        <v>0</v>
      </c>
      <c r="I726" t="str">
        <f>RTD("nest.scriprtd",,"bse_cm|1010EFS29","LTT")</f>
        <v>00:00:00</v>
      </c>
      <c r="J726">
        <f>RTD("nest.scriprtd",,"bse_cm|1010EFS29","% Change")</f>
        <v>-100</v>
      </c>
      <c r="K726">
        <f>RTD("nest.scriprtd",,"bse_cm|1010EFS29","ATP")</f>
        <v>0</v>
      </c>
      <c r="L726">
        <f>RTD("nest.scriprtd",,"bse_cm|1010EFS29","Volume Traded Today")</f>
        <v>0</v>
      </c>
      <c r="M726">
        <f>RTD("nest.scriprtd",,"bse_cm|1010EFS29","Open")</f>
        <v>0</v>
      </c>
      <c r="N726">
        <f>RTD("nest.scriprtd",,"bse_cm|1010EFS29","High")</f>
        <v>920</v>
      </c>
      <c r="O726">
        <f>RTD("nest.scriprtd",,"bse_cm|1010EFS29","Low ")</f>
        <v>920</v>
      </c>
      <c r="P726">
        <f>RTD("nest.scriprtd",,"bse_cm|1010EFS29","Prev Close")</f>
        <v>920</v>
      </c>
      <c r="Q726">
        <f>RTD("nest.scriprtd",,"bse_cm|1010EFS29","Face Value")</f>
        <v>1000</v>
      </c>
      <c r="R726" t="str">
        <f>RTD("nest.scriprtd",,"bse_cm|1010EFS29","Isin code")</f>
        <v>INE532F07FO0</v>
      </c>
      <c r="S726" s="9">
        <f>Table1[[#This Row],[Ask Rate]]*Table1[[#This Row],[Ask Qty]]</f>
        <v>0</v>
      </c>
      <c r="T726">
        <f>VLOOKUP(Table1[[#This Row],[Isin code]],Table2[#All],7,FALSE)</f>
        <v>10.100000000000001</v>
      </c>
      <c r="U726" s="17" t="str">
        <f>VLOOKUP(Table1[[#This Row],[Isin code]],Table2[#All],8,FALSE)</f>
        <v>29-Apr-2029</v>
      </c>
      <c r="V726" s="10">
        <f ca="1">Table1[[#This Row],[Maturity]]-TODAY()</f>
        <v>1656</v>
      </c>
      <c r="W726" t="str">
        <f>VLOOKUP(Table1[[#This Row],[Isin code]],Table2[#All],10,FALSE)</f>
        <v>Annual</v>
      </c>
      <c r="X726">
        <f ca="1">_xlfn.DAYS(Table1[[#This Row],[Maturity]],TODAY())-15</f>
        <v>1641</v>
      </c>
      <c r="Y72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26">
        <f>IF(Table1[[#This Row],[Ask Rate]]=0,0,Table1[[#This Row],[Face Value]]-Table1[[#This Row],[Ask Rate]])</f>
        <v>0</v>
      </c>
      <c r="AA72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26">
        <f>Table1[[#This Row],[Face Value]]*Table1[[#This Row],[Rate]]*Table1[[#This Row],[Time]]</f>
        <v>0</v>
      </c>
      <c r="AC726">
        <f>Table1[[#This Row],[SI]]+Table1[[#This Row],[Disc/Prem]]</f>
        <v>0</v>
      </c>
      <c r="AD726" s="3" t="e">
        <f>Table1[[#This Row],[Net Gain]]/Table1[[#This Row],[Ask Rate]]</f>
        <v>#DIV/0!</v>
      </c>
      <c r="AE726" s="3">
        <f>IF(Table1[[#This Row],[Ask Qty]]=0,0,Table1[[#This Row],[Gross Yield]]*365/Table1[[#This Row],[Days Left]])</f>
        <v>0</v>
      </c>
      <c r="AF726" s="9">
        <f>+Table1[[#This Row],[Net Gain]]*Table1[[#This Row],[Ask Qty]]</f>
        <v>0</v>
      </c>
      <c r="AG726" t="str">
        <f>IF(Table1[[#This Row],[YTM]]&gt;0.12,IF(Table1[[#This Row],[Gross Profit]]&gt;10000,"Invest","Review"),"Low YTM")</f>
        <v>Low YTM</v>
      </c>
    </row>
    <row r="727" spans="1:33" x14ac:dyDescent="0.3">
      <c r="A727" t="str">
        <f>RTD("nest.scriprtd",,"bse_cm|1003SCL31","Symbol")</f>
        <v>1003SCL31</v>
      </c>
      <c r="B727" t="str">
        <f>RTD("nest.scriprtd",,"bse_cm|1003SCL31","Trading Symbol")</f>
        <v>1003SCL31</v>
      </c>
      <c r="C727" t="str">
        <f>RTD("nest.scriprtd",,"bse_cm|1003SCL31","Exchange")</f>
        <v>BSE</v>
      </c>
      <c r="D727">
        <f>RTD("nest.scriprtd",,"bse_cm|1003SCL31","Bid Qty")</f>
        <v>7</v>
      </c>
      <c r="E727">
        <f>RTD("nest.scriprtd",,"bse_cm|1003SCL31","Bid Rate")</f>
        <v>900.3</v>
      </c>
      <c r="F727">
        <f>RTD("nest.scriprtd",,"bse_cm|1003SCL31","Ask Rate")</f>
        <v>0</v>
      </c>
      <c r="G727">
        <f>RTD("nest.scriprtd",,"bse_cm|1003SCL31","Ask Qty")</f>
        <v>0</v>
      </c>
      <c r="H727">
        <f>RTD("nest.scriprtd",,"bse_cm|1003SCL31","LTP")</f>
        <v>0</v>
      </c>
      <c r="I727" t="str">
        <f>RTD("nest.scriprtd",,"bse_cm|1003SCL31","LTT")</f>
        <v>00:00:00</v>
      </c>
      <c r="J727">
        <f>RTD("nest.scriprtd",,"bse_cm|1003SCL31","% Change")</f>
        <v>-100</v>
      </c>
      <c r="K727">
        <f>RTD("nest.scriprtd",,"bse_cm|1003SCL31","ATP")</f>
        <v>0</v>
      </c>
      <c r="L727">
        <f>RTD("nest.scriprtd",,"bse_cm|1003SCL31","Volume Traded Today")</f>
        <v>0</v>
      </c>
      <c r="M727">
        <f>RTD("nest.scriprtd",,"bse_cm|1003SCL31","Open")</f>
        <v>0</v>
      </c>
      <c r="N727">
        <f>RTD("nest.scriprtd",,"bse_cm|1003SCL31","High")</f>
        <v>0</v>
      </c>
      <c r="O727">
        <f>RTD("nest.scriprtd",,"bse_cm|1003SCL31","Low ")</f>
        <v>0</v>
      </c>
      <c r="P727">
        <f>RTD("nest.scriprtd",,"bse_cm|1003SCL31","Prev Close")</f>
        <v>1000</v>
      </c>
      <c r="Q727">
        <f>RTD("nest.scriprtd",,"bse_cm|1003SCL31","Face Value")</f>
        <v>1000</v>
      </c>
      <c r="R727" t="str">
        <f>RTD("nest.scriprtd",,"bse_cm|1003SCL31","Isin code")</f>
        <v>INE148I07TW3</v>
      </c>
      <c r="S727" s="9">
        <f>Table1[[#This Row],[Ask Rate]]*Table1[[#This Row],[Ask Qty]]</f>
        <v>0</v>
      </c>
      <c r="T727">
        <f>VLOOKUP(Table1[[#This Row],[Isin code]],Table2[#All],7,FALSE)</f>
        <v>10.029999999999999</v>
      </c>
      <c r="U727" s="17" t="str">
        <f>VLOOKUP(Table1[[#This Row],[Isin code]],Table2[#All],8,FALSE)</f>
        <v>31-May-2031</v>
      </c>
      <c r="V727" s="10">
        <f ca="1">Table1[[#This Row],[Maturity]]-TODAY()</f>
        <v>2418</v>
      </c>
      <c r="W727" t="str">
        <f>VLOOKUP(Table1[[#This Row],[Isin code]],Table2[#All],10,FALSE)</f>
        <v>Monthly</v>
      </c>
      <c r="X727">
        <f ca="1">_xlfn.DAYS(Table1[[#This Row],[Maturity]],TODAY())-15</f>
        <v>2403</v>
      </c>
      <c r="Y7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81</v>
      </c>
      <c r="Z727">
        <f>IF(Table1[[#This Row],[Ask Rate]]=0,0,Table1[[#This Row],[Face Value]]-Table1[[#This Row],[Ask Rate]])</f>
        <v>0</v>
      </c>
      <c r="AA727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727">
        <f ca="1">Table1[[#This Row],[Face Value]]*Table1[[#This Row],[Rate]]*Table1[[#This Row],[Time]]</f>
        <v>677.02499999999998</v>
      </c>
      <c r="AC727">
        <f ca="1">Table1[[#This Row],[SI]]+Table1[[#This Row],[Disc/Prem]]</f>
        <v>677.02499999999998</v>
      </c>
      <c r="AD727" s="3" t="e">
        <f ca="1">Table1[[#This Row],[Net Gain]]/Table1[[#This Row],[Ask Rate]]</f>
        <v>#DIV/0!</v>
      </c>
      <c r="AE727" s="3">
        <f>IF(Table1[[#This Row],[Ask Qty]]=0,0,Table1[[#This Row],[Gross Yield]]*365/Table1[[#This Row],[Days Left]])</f>
        <v>0</v>
      </c>
      <c r="AF727" s="9">
        <f ca="1">+Table1[[#This Row],[Net Gain]]*Table1[[#This Row],[Ask Qty]]</f>
        <v>0</v>
      </c>
      <c r="AG727" t="str">
        <f>IF(Table1[[#This Row],[YTM]]&gt;0.12,IF(Table1[[#This Row],[Gross Profit]]&gt;10000,"Invest","Review"),"Low YTM")</f>
        <v>Low YTM</v>
      </c>
    </row>
    <row r="728" spans="1:33" x14ac:dyDescent="0.3">
      <c r="A728" t="str">
        <f>RTD("nest.scriprtd",,"nse_cm|1003SCL30A-NV","Symbol")</f>
        <v>1003SCL30A</v>
      </c>
      <c r="B728" t="str">
        <f>RTD("nest.scriprtd",,"nse_cm|1003SCL30A-NV","Trading Symbol")</f>
        <v>1003SCL30A-NV</v>
      </c>
      <c r="C728" t="str">
        <f>RTD("nest.scriprtd",,"nse_cm|1003SCL30A-NV","Exchange")</f>
        <v>NSE</v>
      </c>
      <c r="D728">
        <f>RTD("nest.scriprtd",,"nse_cm|1003SCL30A-NV","Bid Qty")</f>
        <v>9</v>
      </c>
      <c r="E728">
        <f>RTD("nest.scriprtd",,"nse_cm|1003SCL30A-NV","Bid Rate")</f>
        <v>830.65</v>
      </c>
      <c r="F728">
        <f>RTD("nest.scriprtd",,"nse_cm|1003SCL30A-NV","Ask Rate")</f>
        <v>0</v>
      </c>
      <c r="G728">
        <f>RTD("nest.scriprtd",,"nse_cm|1003SCL30A-NV","Ask Qty")</f>
        <v>0</v>
      </c>
      <c r="H728">
        <f>RTD("nest.scriprtd",,"nse_cm|1003SCL30A-NV","LTP")</f>
        <v>912</v>
      </c>
      <c r="I728" t="str">
        <f>RTD("nest.scriprtd",,"nse_cm|1003SCL30A-NV","LTT")</f>
        <v/>
      </c>
      <c r="J728">
        <f>RTD("nest.scriprtd",,"nse_cm|1003SCL30A-NV","% Change")</f>
        <v>0</v>
      </c>
      <c r="K728">
        <f>RTD("nest.scriprtd",,"nse_cm|1003SCL30A-NV","ATP")</f>
        <v>0</v>
      </c>
      <c r="L728">
        <f>RTD("nest.scriprtd",,"nse_cm|1003SCL30A-NV","Volume Traded Today")</f>
        <v>0</v>
      </c>
      <c r="M728">
        <f>RTD("nest.scriprtd",,"nse_cm|1003SCL30A-NV","Open")</f>
        <v>0</v>
      </c>
      <c r="N728">
        <f>RTD("nest.scriprtd",,"nse_cm|1003SCL30A-NV","High")</f>
        <v>912</v>
      </c>
      <c r="O728">
        <f>RTD("nest.scriprtd",,"nse_cm|1003SCL30A-NV","Low ")</f>
        <v>912</v>
      </c>
      <c r="P728">
        <f>RTD("nest.scriprtd",,"nse_cm|1003SCL30A-NV","Prev Close")</f>
        <v>912</v>
      </c>
      <c r="Q728">
        <f>RTD("nest.scriprtd",,"nse_cm|1003SCL30A-NV","Face Value")</f>
        <v>1000</v>
      </c>
      <c r="R728" t="str">
        <f>RTD("nest.scriprtd",,"nse_cm|1003SCL30A-NV","Isin code")</f>
        <v>INE148I07QX7</v>
      </c>
      <c r="S728" s="9">
        <f>Table1[[#This Row],[Ask Rate]]*Table1[[#This Row],[Ask Qty]]</f>
        <v>0</v>
      </c>
      <c r="T728">
        <f>VLOOKUP(Table1[[#This Row],[Isin code]],Table2[#All],7,FALSE)</f>
        <v>10.029999999999999</v>
      </c>
      <c r="U728" s="17" t="str">
        <f>VLOOKUP(Table1[[#This Row],[Isin code]],Table2[#All],8,FALSE)</f>
        <v>09-Nov-2030</v>
      </c>
      <c r="V728" s="10">
        <f ca="1">Table1[[#This Row],[Maturity]]-TODAY()</f>
        <v>2215</v>
      </c>
      <c r="W728" t="str">
        <f>VLOOKUP(Table1[[#This Row],[Isin code]],Table2[#All],10,FALSE)</f>
        <v>Monthly</v>
      </c>
      <c r="X728">
        <f ca="1">_xlfn.DAYS(Table1[[#This Row],[Maturity]],TODAY())-15</f>
        <v>2200</v>
      </c>
      <c r="Y7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74</v>
      </c>
      <c r="Z728">
        <f>IF(Table1[[#This Row],[Ask Rate]]=0,0,Table1[[#This Row],[Face Value]]-Table1[[#This Row],[Ask Rate]])</f>
        <v>0</v>
      </c>
      <c r="AA728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728">
        <f ca="1">Table1[[#This Row],[Face Value]]*Table1[[#This Row],[Rate]]*Table1[[#This Row],[Time]]</f>
        <v>618.51666666666665</v>
      </c>
      <c r="AC728">
        <f ca="1">Table1[[#This Row],[SI]]+Table1[[#This Row],[Disc/Prem]]</f>
        <v>618.51666666666665</v>
      </c>
      <c r="AD728" s="3" t="e">
        <f ca="1">Table1[[#This Row],[Net Gain]]/Table1[[#This Row],[Ask Rate]]</f>
        <v>#DIV/0!</v>
      </c>
      <c r="AE728" s="3">
        <f>IF(Table1[[#This Row],[Ask Qty]]=0,0,Table1[[#This Row],[Gross Yield]]*365/Table1[[#This Row],[Days Left]])</f>
        <v>0</v>
      </c>
      <c r="AF728" s="9">
        <f ca="1">+Table1[[#This Row],[Net Gain]]*Table1[[#This Row],[Ask Qty]]</f>
        <v>0</v>
      </c>
      <c r="AG728" t="str">
        <f>IF(Table1[[#This Row],[YTM]]&gt;0.12,IF(Table1[[#This Row],[Gross Profit]]&gt;10000,"Invest","Review"),"Low YTM")</f>
        <v>Low YTM</v>
      </c>
    </row>
    <row r="729" spans="1:33" x14ac:dyDescent="0.3">
      <c r="A729" t="str">
        <f>RTD("nest.scriprtd",,"bse_cm|93SCL25","Symbol")</f>
        <v>93SCL25</v>
      </c>
      <c r="B729" t="str">
        <f>RTD("nest.scriprtd",,"bse_cm|93SCL25","Trading Symbol")</f>
        <v>93SCL25</v>
      </c>
      <c r="C729" t="str">
        <f>RTD("nest.scriprtd",,"bse_cm|93SCL25","Exchange")</f>
        <v>BSE</v>
      </c>
      <c r="D729">
        <f>RTD("nest.scriprtd",,"bse_cm|93SCL25","Bid Qty")</f>
        <v>20</v>
      </c>
      <c r="E729">
        <f>RTD("nest.scriprtd",,"bse_cm|93SCL25","Bid Rate")</f>
        <v>845.2</v>
      </c>
      <c r="F729">
        <f>RTD("nest.scriprtd",,"bse_cm|93SCL25","Ask Rate")</f>
        <v>0</v>
      </c>
      <c r="G729">
        <f>RTD("nest.scriprtd",,"bse_cm|93SCL25","Ask Qty")</f>
        <v>0</v>
      </c>
      <c r="H729">
        <f>RTD("nest.scriprtd",,"bse_cm|93SCL25","LTP")</f>
        <v>0</v>
      </c>
      <c r="I729" t="str">
        <f>RTD("nest.scriprtd",,"bse_cm|93SCL25","LTT")</f>
        <v>00:00:00</v>
      </c>
      <c r="J729">
        <f>RTD("nest.scriprtd",,"bse_cm|93SCL25","% Change")</f>
        <v>-100</v>
      </c>
      <c r="K729">
        <f>RTD("nest.scriprtd",,"bse_cm|93SCL25","ATP")</f>
        <v>0</v>
      </c>
      <c r="L729">
        <f>RTD("nest.scriprtd",,"bse_cm|93SCL25","Volume Traded Today")</f>
        <v>0</v>
      </c>
      <c r="M729">
        <f>RTD("nest.scriprtd",,"bse_cm|93SCL25","Open")</f>
        <v>0</v>
      </c>
      <c r="N729">
        <f>RTD("nest.scriprtd",,"bse_cm|93SCL25","High")</f>
        <v>1000</v>
      </c>
      <c r="O729">
        <f>RTD("nest.scriprtd",,"bse_cm|93SCL25","Low ")</f>
        <v>1000</v>
      </c>
      <c r="P729">
        <f>RTD("nest.scriprtd",,"bse_cm|93SCL25","Prev Close")</f>
        <v>1000</v>
      </c>
      <c r="Q729">
        <f>RTD("nest.scriprtd",,"bse_cm|93SCL25","Face Value")</f>
        <v>1000</v>
      </c>
      <c r="R729" t="str">
        <f>RTD("nest.scriprtd",,"bse_cm|93SCL25","Isin code")</f>
        <v>INE148I07MR8</v>
      </c>
      <c r="S729" s="9">
        <f>Table1[[#This Row],[Ask Rate]]*Table1[[#This Row],[Ask Qty]]</f>
        <v>0</v>
      </c>
      <c r="T729">
        <f>VLOOKUP(Table1[[#This Row],[Isin code]],Table2[#All],7,FALSE)</f>
        <v>9.3000000000000007</v>
      </c>
      <c r="U729" s="17" t="str">
        <f>VLOOKUP(Table1[[#This Row],[Isin code]],Table2[#All],8,FALSE)</f>
        <v>03-Nov-2025</v>
      </c>
      <c r="V729" s="10">
        <f ca="1">Table1[[#This Row],[Maturity]]-TODAY()</f>
        <v>383</v>
      </c>
      <c r="W729" t="str">
        <f>VLOOKUP(Table1[[#This Row],[Isin code]],Table2[#All],10,FALSE)</f>
        <v>Yearly</v>
      </c>
      <c r="X729">
        <f ca="1">_xlfn.DAYS(Table1[[#This Row],[Maturity]],TODAY())-15</f>
        <v>368</v>
      </c>
      <c r="Y7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29">
        <f>IF(Table1[[#This Row],[Ask Rate]]=0,0,Table1[[#This Row],[Face Value]]-Table1[[#This Row],[Ask Rate]])</f>
        <v>0</v>
      </c>
      <c r="AA729">
        <f>IF(Table1[[#This Row],[Freq]]="Yearly",Table1[[#This Row],[Coupon_Rate]]/100,IF(Table1[[#This Row],[Freq]]="Monthly",Table1[[#This Row],[Coupon_Rate]]/1200,IF(Table1[[#This Row],[Freq]]="Quarterly",Table1[[#This Row],[Coupon_Rate]]/400,0)))</f>
        <v>9.3000000000000013E-2</v>
      </c>
      <c r="AB729">
        <f ca="1">Table1[[#This Row],[Face Value]]*Table1[[#This Row],[Rate]]*Table1[[#This Row],[Time]]</f>
        <v>186.00000000000003</v>
      </c>
      <c r="AC729">
        <f ca="1">Table1[[#This Row],[SI]]+Table1[[#This Row],[Disc/Prem]]</f>
        <v>186.00000000000003</v>
      </c>
      <c r="AD729" s="3" t="e">
        <f ca="1">Table1[[#This Row],[Net Gain]]/Table1[[#This Row],[Ask Rate]]</f>
        <v>#DIV/0!</v>
      </c>
      <c r="AE729" s="3">
        <f>IF(Table1[[#This Row],[Ask Qty]]=0,0,Table1[[#This Row],[Gross Yield]]*365/Table1[[#This Row],[Days Left]])</f>
        <v>0</v>
      </c>
      <c r="AF729" s="9">
        <f ca="1">+Table1[[#This Row],[Net Gain]]*Table1[[#This Row],[Ask Qty]]</f>
        <v>0</v>
      </c>
      <c r="AG729" t="str">
        <f>IF(Table1[[#This Row],[YTM]]&gt;0.12,IF(Table1[[#This Row],[Gross Profit]]&gt;10000,"Invest","Review"),"Low YTM")</f>
        <v>Low YTM</v>
      </c>
    </row>
    <row r="730" spans="1:33" x14ac:dyDescent="0.3">
      <c r="A730" t="str">
        <f>RTD("nest.scriprtd",,"bse_cm|895EFS25","Symbol")</f>
        <v>895EFS25</v>
      </c>
      <c r="B730" t="str">
        <f>RTD("nest.scriprtd",,"bse_cm|895EFS25","Trading Symbol")</f>
        <v>895EFS25</v>
      </c>
      <c r="C730" t="str">
        <f>RTD("nest.scriprtd",,"bse_cm|895EFS25","Exchange")</f>
        <v>BSE</v>
      </c>
      <c r="D730">
        <f>RTD("nest.scriprtd",,"bse_cm|895EFS25","Bid Qty")</f>
        <v>17</v>
      </c>
      <c r="E730">
        <f>RTD("nest.scriprtd",,"bse_cm|895EFS25","Bid Rate")</f>
        <v>977</v>
      </c>
      <c r="F730">
        <f>RTD("nest.scriprtd",,"bse_cm|895EFS25","Ask Rate")</f>
        <v>0</v>
      </c>
      <c r="G730">
        <f>RTD("nest.scriprtd",,"bse_cm|895EFS25","Ask Qty")</f>
        <v>0</v>
      </c>
      <c r="H730">
        <f>RTD("nest.scriprtd",,"bse_cm|895EFS25","LTP")</f>
        <v>0</v>
      </c>
      <c r="I730" t="str">
        <f>RTD("nest.scriprtd",,"bse_cm|895EFS25","LTT")</f>
        <v>00:00:00</v>
      </c>
      <c r="J730">
        <f>RTD("nest.scriprtd",,"bse_cm|895EFS25","% Change")</f>
        <v>-100</v>
      </c>
      <c r="K730">
        <f>RTD("nest.scriprtd",,"bse_cm|895EFS25","ATP")</f>
        <v>0</v>
      </c>
      <c r="L730">
        <f>RTD("nest.scriprtd",,"bse_cm|895EFS25","Volume Traded Today")</f>
        <v>0</v>
      </c>
      <c r="M730">
        <f>RTD("nest.scriprtd",,"bse_cm|895EFS25","Open")</f>
        <v>0</v>
      </c>
      <c r="N730">
        <f>RTD("nest.scriprtd",,"bse_cm|895EFS25","High")</f>
        <v>989.8</v>
      </c>
      <c r="O730">
        <f>RTD("nest.scriprtd",,"bse_cm|895EFS25","Low ")</f>
        <v>976.2</v>
      </c>
      <c r="P730">
        <f>RTD("nest.scriprtd",,"bse_cm|895EFS25","Prev Close")</f>
        <v>989.8</v>
      </c>
      <c r="Q730">
        <f>RTD("nest.scriprtd",,"bse_cm|895EFS25","Face Value")</f>
        <v>1000</v>
      </c>
      <c r="R730" t="str">
        <f>RTD("nest.scriprtd",,"bse_cm|895EFS25","Isin code")</f>
        <v>INE532F07EA2</v>
      </c>
      <c r="S730" s="9">
        <f>Table1[[#This Row],[Ask Rate]]*Table1[[#This Row],[Ask Qty]]</f>
        <v>0</v>
      </c>
      <c r="T730">
        <f>VLOOKUP(Table1[[#This Row],[Isin code]],Table2[#All],7,FALSE)</f>
        <v>8.9499999999999993</v>
      </c>
      <c r="U730" s="17" t="str">
        <f>VLOOKUP(Table1[[#This Row],[Isin code]],Table2[#All],8,FALSE)</f>
        <v>21-Jul-2025</v>
      </c>
      <c r="V730" s="10">
        <f ca="1">Table1[[#This Row],[Maturity]]-TODAY()</f>
        <v>278</v>
      </c>
      <c r="W730" t="str">
        <f>VLOOKUP(Table1[[#This Row],[Isin code]],Table2[#All],10,FALSE)</f>
        <v>Yearly</v>
      </c>
      <c r="X730">
        <f ca="1">_xlfn.DAYS(Table1[[#This Row],[Maturity]],TODAY())-15</f>
        <v>263</v>
      </c>
      <c r="Y7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730">
        <f>IF(Table1[[#This Row],[Ask Rate]]=0,0,Table1[[#This Row],[Face Value]]-Table1[[#This Row],[Ask Rate]])</f>
        <v>0</v>
      </c>
      <c r="AA730">
        <f>IF(Table1[[#This Row],[Freq]]="Yearly",Table1[[#This Row],[Coupon_Rate]]/100,IF(Table1[[#This Row],[Freq]]="Monthly",Table1[[#This Row],[Coupon_Rate]]/1200,IF(Table1[[#This Row],[Freq]]="Quarterly",Table1[[#This Row],[Coupon_Rate]]/400,0)))</f>
        <v>8.9499999999999996E-2</v>
      </c>
      <c r="AB730">
        <f ca="1">Table1[[#This Row],[Face Value]]*Table1[[#This Row],[Rate]]*Table1[[#This Row],[Time]]</f>
        <v>89.5</v>
      </c>
      <c r="AC730">
        <f ca="1">Table1[[#This Row],[SI]]+Table1[[#This Row],[Disc/Prem]]</f>
        <v>89.5</v>
      </c>
      <c r="AD730" s="3" t="e">
        <f ca="1">Table1[[#This Row],[Net Gain]]/Table1[[#This Row],[Ask Rate]]</f>
        <v>#DIV/0!</v>
      </c>
      <c r="AE730" s="3">
        <f>IF(Table1[[#This Row],[Ask Qty]]=0,0,Table1[[#This Row],[Gross Yield]]*365/Table1[[#This Row],[Days Left]])</f>
        <v>0</v>
      </c>
      <c r="AF730" s="9">
        <f ca="1">+Table1[[#This Row],[Net Gain]]*Table1[[#This Row],[Ask Qty]]</f>
        <v>0</v>
      </c>
      <c r="AG730" t="str">
        <f>IF(Table1[[#This Row],[YTM]]&gt;0.12,IF(Table1[[#This Row],[Gross Profit]]&gt;10000,"Invest","Review"),"Low YTM")</f>
        <v>Low YTM</v>
      </c>
    </row>
    <row r="731" spans="1:33" x14ac:dyDescent="0.3">
      <c r="A731" t="str">
        <f>RTD("nest.scriprtd",,"nse_cm|894SCL27-ZY","Symbol")</f>
        <v>894SCL27</v>
      </c>
      <c r="B731" t="str">
        <f>RTD("nest.scriprtd",,"nse_cm|894SCL27-ZY","Trading Symbol")</f>
        <v>894SCL27-ZY</v>
      </c>
      <c r="C731" t="str">
        <f>RTD("nest.scriprtd",,"nse_cm|894SCL27-ZY","Exchange")</f>
        <v>NSE</v>
      </c>
      <c r="D731">
        <f>RTD("nest.scriprtd",,"nse_cm|894SCL27-ZY","Bid Qty")</f>
        <v>12</v>
      </c>
      <c r="E731">
        <f>RTD("nest.scriprtd",,"nse_cm|894SCL27-ZY","Bid Rate")</f>
        <v>840.4</v>
      </c>
      <c r="F731">
        <f>RTD("nest.scriprtd",,"nse_cm|894SCL27-ZY","Ask Rate")</f>
        <v>0</v>
      </c>
      <c r="G731">
        <f>RTD("nest.scriprtd",,"nse_cm|894SCL27-ZY","Ask Qty")</f>
        <v>0</v>
      </c>
      <c r="H731">
        <f>RTD("nest.scriprtd",,"nse_cm|894SCL27-ZY","LTP")</f>
        <v>828.75</v>
      </c>
      <c r="I731" t="str">
        <f>RTD("nest.scriprtd",,"nse_cm|894SCL27-ZY","LTT")</f>
        <v/>
      </c>
      <c r="J731">
        <f>RTD("nest.scriprtd",,"nse_cm|894SCL27-ZY","% Change")</f>
        <v>0</v>
      </c>
      <c r="K731">
        <f>RTD("nest.scriprtd",,"nse_cm|894SCL27-ZY","ATP")</f>
        <v>0</v>
      </c>
      <c r="L731">
        <f>RTD("nest.scriprtd",,"nse_cm|894SCL27-ZY","Volume Traded Today")</f>
        <v>0</v>
      </c>
      <c r="M731">
        <f>RTD("nest.scriprtd",,"nse_cm|894SCL27-ZY","Open")</f>
        <v>0</v>
      </c>
      <c r="N731">
        <f>RTD("nest.scriprtd",,"nse_cm|894SCL27-ZY","High")</f>
        <v>828.75</v>
      </c>
      <c r="O731">
        <f>RTD("nest.scriprtd",,"nse_cm|894SCL27-ZY","Low ")</f>
        <v>828.75</v>
      </c>
      <c r="P731">
        <f>RTD("nest.scriprtd",,"nse_cm|894SCL27-ZY","Prev Close")</f>
        <v>828.75</v>
      </c>
      <c r="Q731">
        <f>RTD("nest.scriprtd",,"nse_cm|894SCL27-ZY","Face Value")</f>
        <v>800</v>
      </c>
      <c r="R731" t="str">
        <f>RTD("nest.scriprtd",,"nse_cm|894SCL27-ZY","Isin code")</f>
        <v>INE148I07NG9</v>
      </c>
      <c r="S731" s="9">
        <f>Table1[[#This Row],[Ask Rate]]*Table1[[#This Row],[Ask Qty]]</f>
        <v>0</v>
      </c>
      <c r="T731">
        <f>VLOOKUP(Table1[[#This Row],[Isin code]],Table2[#All],7,FALSE)</f>
        <v>9.8000000000000007</v>
      </c>
      <c r="U731" s="17" t="str">
        <f>VLOOKUP(Table1[[#This Row],[Isin code]],Table2[#All],8,FALSE)</f>
        <v>28-Dec-2027</v>
      </c>
      <c r="V731" s="10">
        <f ca="1">Table1[[#This Row],[Maturity]]-TODAY()</f>
        <v>1168</v>
      </c>
      <c r="W731" t="str">
        <f>VLOOKUP(Table1[[#This Row],[Isin code]],Table2[#All],10,FALSE)</f>
        <v>Yearly</v>
      </c>
      <c r="X731">
        <f ca="1">_xlfn.DAYS(Table1[[#This Row],[Maturity]],TODAY())-15</f>
        <v>1153</v>
      </c>
      <c r="Y7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731">
        <f>IF(Table1[[#This Row],[Ask Rate]]=0,0,Table1[[#This Row],[Face Value]]-Table1[[#This Row],[Ask Rate]])</f>
        <v>0</v>
      </c>
      <c r="AA731">
        <f>IF(Table1[[#This Row],[Freq]]="Yearly",Table1[[#This Row],[Coupon_Rate]]/100,IF(Table1[[#This Row],[Freq]]="Monthly",Table1[[#This Row],[Coupon_Rate]]/1200,IF(Table1[[#This Row],[Freq]]="Quarterly",Table1[[#This Row],[Coupon_Rate]]/400,0)))</f>
        <v>9.8000000000000004E-2</v>
      </c>
      <c r="AB731">
        <f ca="1">Table1[[#This Row],[Face Value]]*Table1[[#This Row],[Rate]]*Table1[[#This Row],[Time]]</f>
        <v>313.60000000000002</v>
      </c>
      <c r="AC731">
        <f ca="1">Table1[[#This Row],[SI]]+Table1[[#This Row],[Disc/Prem]]</f>
        <v>313.60000000000002</v>
      </c>
      <c r="AD731" s="3" t="e">
        <f ca="1">Table1[[#This Row],[Net Gain]]/Table1[[#This Row],[Ask Rate]]</f>
        <v>#DIV/0!</v>
      </c>
      <c r="AE731" s="3">
        <f>IF(Table1[[#This Row],[Ask Qty]]=0,0,Table1[[#This Row],[Gross Yield]]*365/Table1[[#This Row],[Days Left]])</f>
        <v>0</v>
      </c>
      <c r="AF731" s="9">
        <f ca="1">+Table1[[#This Row],[Net Gain]]*Table1[[#This Row],[Ask Qty]]</f>
        <v>0</v>
      </c>
      <c r="AG731" t="str">
        <f>IF(Table1[[#This Row],[YTM]]&gt;0.12,IF(Table1[[#This Row],[Gross Profit]]&gt;10000,"Invest","Review"),"Low YTM")</f>
        <v>Low YTM</v>
      </c>
    </row>
    <row r="732" spans="1:33" x14ac:dyDescent="0.3">
      <c r="A732" t="str">
        <f>RTD("nest.scriprtd",,"nse_cm|816ABFL29-NC","Symbol")</f>
        <v>816ABFL29</v>
      </c>
      <c r="B732" t="str">
        <f>RTD("nest.scriprtd",,"nse_cm|816ABFL29-NC","Trading Symbol")</f>
        <v>816ABFL29-NC</v>
      </c>
      <c r="C732" t="str">
        <f>RTD("nest.scriprtd",,"nse_cm|816ABFL29-NC","Exchange")</f>
        <v>NSE</v>
      </c>
      <c r="D732">
        <f>RTD("nest.scriprtd",,"nse_cm|816ABFL29-NC","Bid Qty")</f>
        <v>0</v>
      </c>
      <c r="E732">
        <f>RTD("nest.scriprtd",,"nse_cm|816ABFL29-NC","Bid Rate")</f>
        <v>0</v>
      </c>
      <c r="F732">
        <f>RTD("nest.scriprtd",,"nse_cm|816ABFL29-NC","Ask Rate")</f>
        <v>0</v>
      </c>
      <c r="G732">
        <f>RTD("nest.scriprtd",,"nse_cm|816ABFL29-NC","Ask Qty")</f>
        <v>0</v>
      </c>
      <c r="H732">
        <f>RTD("nest.scriprtd",,"nse_cm|816ABFL29-NC","LTP")</f>
        <v>0</v>
      </c>
      <c r="I732" t="str">
        <f>RTD("nest.scriprtd",,"nse_cm|816ABFL29-NC","LTT")</f>
        <v/>
      </c>
      <c r="J732">
        <f>RTD("nest.scriprtd",,"nse_cm|816ABFL29-NC","% Change")</f>
        <v>0</v>
      </c>
      <c r="K732">
        <f>RTD("nest.scriprtd",,"nse_cm|816ABFL29-NC","ATP")</f>
        <v>0</v>
      </c>
      <c r="L732">
        <f>RTD("nest.scriprtd",,"nse_cm|816ABFL29-NC","Volume Traded Today")</f>
        <v>0</v>
      </c>
      <c r="M732">
        <f>RTD("nest.scriprtd",,"nse_cm|816ABFL29-NC","Open")</f>
        <v>0</v>
      </c>
      <c r="N732">
        <f>RTD("nest.scriprtd",,"nse_cm|816ABFL29-NC","High")</f>
        <v>0</v>
      </c>
      <c r="O732">
        <f>RTD("nest.scriprtd",,"nse_cm|816ABFL29-NC","Low ")</f>
        <v>0</v>
      </c>
      <c r="P732">
        <f>RTD("nest.scriprtd",,"nse_cm|816ABFL29-NC","Prev Close")</f>
        <v>0</v>
      </c>
      <c r="Q732">
        <f>RTD("nest.scriprtd",,"nse_cm|816ABFL29-NC","Face Value")</f>
        <v>100000</v>
      </c>
      <c r="R732" t="str">
        <f>RTD("nest.scriprtd",,"nse_cm|816ABFL29-NC","Isin code")</f>
        <v>INE860H07IW8</v>
      </c>
      <c r="S732" s="9">
        <f>Table1[[#This Row],[Ask Rate]]*Table1[[#This Row],[Ask Qty]]</f>
        <v>0</v>
      </c>
      <c r="T732">
        <f>VLOOKUP(Table1[[#This Row],[Isin code]],Table2[#All],7,FALSE)</f>
        <v>8.16</v>
      </c>
      <c r="U732" s="17" t="str">
        <f>VLOOKUP(Table1[[#This Row],[Isin code]],Table2[#All],8,FALSE)</f>
        <v>14-Feb-2029</v>
      </c>
      <c r="V732" s="10">
        <f ca="1">Table1[[#This Row],[Maturity]]-TODAY()</f>
        <v>1582</v>
      </c>
      <c r="W732" t="str">
        <f>VLOOKUP(Table1[[#This Row],[Isin code]],Table2[#All],10,FALSE)</f>
        <v>ANNUALY</v>
      </c>
      <c r="X732">
        <f ca="1">_xlfn.DAYS(Table1[[#This Row],[Maturity]],TODAY())-15</f>
        <v>1567</v>
      </c>
      <c r="Y73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32">
        <f>IF(Table1[[#This Row],[Ask Rate]]=0,0,Table1[[#This Row],[Face Value]]-Table1[[#This Row],[Ask Rate]])</f>
        <v>0</v>
      </c>
      <c r="AA73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32">
        <f>Table1[[#This Row],[Face Value]]*Table1[[#This Row],[Rate]]*Table1[[#This Row],[Time]]</f>
        <v>0</v>
      </c>
      <c r="AC732">
        <f>Table1[[#This Row],[SI]]+Table1[[#This Row],[Disc/Prem]]</f>
        <v>0</v>
      </c>
      <c r="AD732" s="3" t="e">
        <f>Table1[[#This Row],[Net Gain]]/Table1[[#This Row],[Ask Rate]]</f>
        <v>#DIV/0!</v>
      </c>
      <c r="AE732" s="3">
        <f>IF(Table1[[#This Row],[Ask Qty]]=0,0,Table1[[#This Row],[Gross Yield]]*365/Table1[[#This Row],[Days Left]])</f>
        <v>0</v>
      </c>
      <c r="AF732" s="9">
        <f>+Table1[[#This Row],[Net Gain]]*Table1[[#This Row],[Ask Qty]]</f>
        <v>0</v>
      </c>
      <c r="AG732" t="str">
        <f>IF(Table1[[#This Row],[YTM]]&gt;0.12,IF(Table1[[#This Row],[Gross Profit]]&gt;10000,"Invest","Review"),"Low YTM")</f>
        <v>Low YTM</v>
      </c>
    </row>
    <row r="733" spans="1:33" x14ac:dyDescent="0.3">
      <c r="A733" t="str">
        <f>RTD("nest.scriprtd",,"nse_cm|CAGL27-NC","Symbol")</f>
        <v>CAGL27</v>
      </c>
      <c r="B733" t="str">
        <f>RTD("nest.scriprtd",,"nse_cm|CAGL27-NC","Trading Symbol")</f>
        <v>CAGL27-NC</v>
      </c>
      <c r="C733" t="str">
        <f>RTD("nest.scriprtd",,"nse_cm|CAGL27-NC","Exchange")</f>
        <v>NSE</v>
      </c>
      <c r="D733">
        <f>RTD("nest.scriprtd",,"nse_cm|CAGL27-NC","Bid Qty")</f>
        <v>12</v>
      </c>
      <c r="E733">
        <f>RTD("nest.scriprtd",,"nse_cm|CAGL27-NC","Bid Rate")</f>
        <v>865.2</v>
      </c>
      <c r="F733">
        <f>RTD("nest.scriprtd",,"nse_cm|CAGL27-NC","Ask Rate")</f>
        <v>0</v>
      </c>
      <c r="G733">
        <f>RTD("nest.scriprtd",,"nse_cm|CAGL27-NC","Ask Qty")</f>
        <v>0</v>
      </c>
      <c r="H733">
        <f>RTD("nest.scriprtd",,"nse_cm|CAGL27-NC","LTP")</f>
        <v>0</v>
      </c>
      <c r="I733" t="str">
        <f>RTD("nest.scriprtd",,"nse_cm|CAGL27-NC","LTT")</f>
        <v/>
      </c>
      <c r="J733">
        <f>RTD("nest.scriprtd",,"nse_cm|CAGL27-NC","% Change")</f>
        <v>-100</v>
      </c>
      <c r="K733">
        <f>RTD("nest.scriprtd",,"nse_cm|CAGL27-NC","ATP")</f>
        <v>0</v>
      </c>
      <c r="L733">
        <f>RTD("nest.scriprtd",,"nse_cm|CAGL27-NC","Volume Traded Today")</f>
        <v>0</v>
      </c>
      <c r="M733">
        <f>RTD("nest.scriprtd",,"nse_cm|CAGL27-NC","Open")</f>
        <v>0</v>
      </c>
      <c r="N733">
        <f>RTD("nest.scriprtd",,"nse_cm|CAGL27-NC","High")</f>
        <v>0</v>
      </c>
      <c r="O733">
        <f>RTD("nest.scriprtd",,"nse_cm|CAGL27-NC","Low ")</f>
        <v>0</v>
      </c>
      <c r="P733">
        <f>RTD("nest.scriprtd",,"nse_cm|CAGL27-NC","Prev Close")</f>
        <v>1000</v>
      </c>
      <c r="Q733">
        <f>RTD("nest.scriprtd",,"nse_cm|CAGL27-NC","Face Value")</f>
        <v>1000</v>
      </c>
      <c r="R733" t="str">
        <f>RTD("nest.scriprtd",,"nse_cm|CAGL27-NC","Isin code")</f>
        <v>INE741K07553</v>
      </c>
      <c r="S733" s="9">
        <f>Table1[[#This Row],[Ask Rate]]*Table1[[#This Row],[Ask Qty]]</f>
        <v>0</v>
      </c>
      <c r="T733">
        <f>VLOOKUP(Table1[[#This Row],[Isin code]],Table2[#All],7,FALSE)</f>
        <v>0</v>
      </c>
      <c r="U733" s="17" t="str">
        <f>VLOOKUP(Table1[[#This Row],[Isin code]],Table2[#All],8,FALSE)</f>
        <v>07-Nov-2027</v>
      </c>
      <c r="V733" s="10">
        <f ca="1">Table1[[#This Row],[Maturity]]-TODAY()</f>
        <v>1117</v>
      </c>
      <c r="W733" t="str">
        <f>VLOOKUP(Table1[[#This Row],[Isin code]],Table2[#All],10,FALSE)</f>
        <v>0</v>
      </c>
      <c r="X733">
        <f ca="1">_xlfn.DAYS(Table1[[#This Row],[Maturity]],TODAY())-15</f>
        <v>1102</v>
      </c>
      <c r="Y73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33">
        <f>IF(Table1[[#This Row],[Ask Rate]]=0,0,Table1[[#This Row],[Face Value]]-Table1[[#This Row],[Ask Rate]])</f>
        <v>0</v>
      </c>
      <c r="AA73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33">
        <f>Table1[[#This Row],[Face Value]]*Table1[[#This Row],[Rate]]*Table1[[#This Row],[Time]]</f>
        <v>0</v>
      </c>
      <c r="AC733">
        <f>Table1[[#This Row],[SI]]+Table1[[#This Row],[Disc/Prem]]</f>
        <v>0</v>
      </c>
      <c r="AD733" s="3" t="e">
        <f>Table1[[#This Row],[Net Gain]]/Table1[[#This Row],[Ask Rate]]</f>
        <v>#DIV/0!</v>
      </c>
      <c r="AE733" s="3">
        <f>IF(Table1[[#This Row],[Ask Qty]]=0,0,Table1[[#This Row],[Gross Yield]]*365/Table1[[#This Row],[Days Left]])</f>
        <v>0</v>
      </c>
      <c r="AF733" s="9">
        <f>+Table1[[#This Row],[Net Gain]]*Table1[[#This Row],[Ask Qty]]</f>
        <v>0</v>
      </c>
      <c r="AG733" t="str">
        <f>IF(Table1[[#This Row],[YTM]]&gt;0.12,IF(Table1[[#This Row],[Gross Profit]]&gt;10000,"Invest","Review"),"Low YTM")</f>
        <v>Low YTM</v>
      </c>
    </row>
    <row r="734" spans="1:33" x14ac:dyDescent="0.3">
      <c r="A734" t="str">
        <f>RTD("nest.scriprtd",,"bse_cm|CAGL27","Symbol")</f>
        <v>CAGL27</v>
      </c>
      <c r="B734" t="str">
        <f>RTD("nest.scriprtd",,"bse_cm|CAGL27","Trading Symbol")</f>
        <v>CAGL27</v>
      </c>
      <c r="C734" t="str">
        <f>RTD("nest.scriprtd",,"bse_cm|CAGL27","Exchange")</f>
        <v>BSE</v>
      </c>
      <c r="D734">
        <f>RTD("nest.scriprtd",,"bse_cm|CAGL27","Bid Qty")</f>
        <v>20</v>
      </c>
      <c r="E734">
        <f>RTD("nest.scriprtd",,"bse_cm|CAGL27","Bid Rate")</f>
        <v>880.2</v>
      </c>
      <c r="F734">
        <f>RTD("nest.scriprtd",,"bse_cm|CAGL27","Ask Rate")</f>
        <v>0</v>
      </c>
      <c r="G734">
        <f>RTD("nest.scriprtd",,"bse_cm|CAGL27","Ask Qty")</f>
        <v>0</v>
      </c>
      <c r="H734">
        <f>RTD("nest.scriprtd",,"bse_cm|CAGL27","LTP")</f>
        <v>0</v>
      </c>
      <c r="I734" t="str">
        <f>RTD("nest.scriprtd",,"bse_cm|CAGL27","LTT")</f>
        <v>00:00:00</v>
      </c>
      <c r="J734">
        <f>RTD("nest.scriprtd",,"bse_cm|CAGL27","% Change")</f>
        <v>-100</v>
      </c>
      <c r="K734">
        <f>RTD("nest.scriprtd",,"bse_cm|CAGL27","ATP")</f>
        <v>0</v>
      </c>
      <c r="L734">
        <f>RTD("nest.scriprtd",,"bse_cm|CAGL27","Volume Traded Today")</f>
        <v>0</v>
      </c>
      <c r="M734">
        <f>RTD("nest.scriprtd",,"bse_cm|CAGL27","Open")</f>
        <v>0</v>
      </c>
      <c r="N734">
        <f>RTD("nest.scriprtd",,"bse_cm|CAGL27","High")</f>
        <v>0</v>
      </c>
      <c r="O734">
        <f>RTD("nest.scriprtd",,"bse_cm|CAGL27","Low ")</f>
        <v>0</v>
      </c>
      <c r="P734">
        <f>RTD("nest.scriprtd",,"bse_cm|CAGL27","Prev Close")</f>
        <v>1000</v>
      </c>
      <c r="Q734">
        <f>RTD("nest.scriprtd",,"bse_cm|CAGL27","Face Value")</f>
        <v>1000</v>
      </c>
      <c r="R734" t="str">
        <f>RTD("nest.scriprtd",,"bse_cm|CAGL27","Isin code")</f>
        <v>INE741K07553</v>
      </c>
      <c r="S734" s="9">
        <f>Table1[[#This Row],[Ask Rate]]*Table1[[#This Row],[Ask Qty]]</f>
        <v>0</v>
      </c>
      <c r="T734">
        <f>VLOOKUP(Table1[[#This Row],[Isin code]],Table2[#All],7,FALSE)</f>
        <v>0</v>
      </c>
      <c r="U734" s="17" t="str">
        <f>VLOOKUP(Table1[[#This Row],[Isin code]],Table2[#All],8,FALSE)</f>
        <v>07-Nov-2027</v>
      </c>
      <c r="V734" s="10">
        <f ca="1">Table1[[#This Row],[Maturity]]-TODAY()</f>
        <v>1117</v>
      </c>
      <c r="W734" t="str">
        <f>VLOOKUP(Table1[[#This Row],[Isin code]],Table2[#All],10,FALSE)</f>
        <v>0</v>
      </c>
      <c r="X734">
        <f ca="1">_xlfn.DAYS(Table1[[#This Row],[Maturity]],TODAY())-15</f>
        <v>1102</v>
      </c>
      <c r="Y73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34">
        <f>IF(Table1[[#This Row],[Ask Rate]]=0,0,Table1[[#This Row],[Face Value]]-Table1[[#This Row],[Ask Rate]])</f>
        <v>0</v>
      </c>
      <c r="AA73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34">
        <f>Table1[[#This Row],[Face Value]]*Table1[[#This Row],[Rate]]*Table1[[#This Row],[Time]]</f>
        <v>0</v>
      </c>
      <c r="AC734">
        <f>Table1[[#This Row],[SI]]+Table1[[#This Row],[Disc/Prem]]</f>
        <v>0</v>
      </c>
      <c r="AD734" s="3" t="e">
        <f>Table1[[#This Row],[Net Gain]]/Table1[[#This Row],[Ask Rate]]</f>
        <v>#DIV/0!</v>
      </c>
      <c r="AE734" s="3">
        <f>IF(Table1[[#This Row],[Ask Qty]]=0,0,Table1[[#This Row],[Gross Yield]]*365/Table1[[#This Row],[Days Left]])</f>
        <v>0</v>
      </c>
      <c r="AF734" s="9">
        <f>+Table1[[#This Row],[Net Gain]]*Table1[[#This Row],[Ask Qty]]</f>
        <v>0</v>
      </c>
      <c r="AG734" t="str">
        <f>IF(Table1[[#This Row],[YTM]]&gt;0.12,IF(Table1[[#This Row],[Gross Profit]]&gt;10000,"Invest","Review"),"Low YTM")</f>
        <v>Low YTM</v>
      </c>
    </row>
    <row r="735" spans="1:33" x14ac:dyDescent="0.3">
      <c r="A735" t="str">
        <f>RTD("nest.scriprtd",,"nse_cm|CAGL26-NA","Symbol")</f>
        <v>CAGL26</v>
      </c>
      <c r="B735" t="str">
        <f>RTD("nest.scriprtd",,"nse_cm|CAGL26-NA","Trading Symbol")</f>
        <v>CAGL26-NA</v>
      </c>
      <c r="C735" t="str">
        <f>RTD("nest.scriprtd",,"nse_cm|CAGL26-NA","Exchange")</f>
        <v>NSE</v>
      </c>
      <c r="D735">
        <f>RTD("nest.scriprtd",,"nse_cm|CAGL26-NA","Bid Qty")</f>
        <v>20</v>
      </c>
      <c r="E735">
        <f>RTD("nest.scriprtd",,"nse_cm|CAGL26-NA","Bid Rate")</f>
        <v>870.2</v>
      </c>
      <c r="F735">
        <f>RTD("nest.scriprtd",,"nse_cm|CAGL26-NA","Ask Rate")</f>
        <v>0</v>
      </c>
      <c r="G735">
        <f>RTD("nest.scriprtd",,"nse_cm|CAGL26-NA","Ask Qty")</f>
        <v>0</v>
      </c>
      <c r="H735">
        <f>RTD("nest.scriprtd",,"nse_cm|CAGL26-NA","LTP")</f>
        <v>833</v>
      </c>
      <c r="I735" t="str">
        <f>RTD("nest.scriprtd",,"nse_cm|CAGL26-NA","LTT")</f>
        <v/>
      </c>
      <c r="J735">
        <f>RTD("nest.scriprtd",,"nse_cm|CAGL26-NA","% Change")</f>
        <v>0</v>
      </c>
      <c r="K735">
        <f>RTD("nest.scriprtd",,"nse_cm|CAGL26-NA","ATP")</f>
        <v>0</v>
      </c>
      <c r="L735">
        <f>RTD("nest.scriprtd",,"nse_cm|CAGL26-NA","Volume Traded Today")</f>
        <v>0</v>
      </c>
      <c r="M735">
        <f>RTD("nest.scriprtd",,"nse_cm|CAGL26-NA","Open")</f>
        <v>0</v>
      </c>
      <c r="N735">
        <f>RTD("nest.scriprtd",,"nse_cm|CAGL26-NA","High")</f>
        <v>833</v>
      </c>
      <c r="O735">
        <f>RTD("nest.scriprtd",,"nse_cm|CAGL26-NA","Low ")</f>
        <v>833</v>
      </c>
      <c r="P735">
        <f>RTD("nest.scriprtd",,"nse_cm|CAGL26-NA","Prev Close")</f>
        <v>833</v>
      </c>
      <c r="Q735">
        <f>RTD("nest.scriprtd",,"nse_cm|CAGL26-NA","Face Value")</f>
        <v>1000</v>
      </c>
      <c r="R735" t="str">
        <f>RTD("nest.scriprtd",,"nse_cm|CAGL26-NA","Isin code")</f>
        <v>INE741K07538</v>
      </c>
      <c r="S735" s="9">
        <f>Table1[[#This Row],[Ask Rate]]*Table1[[#This Row],[Ask Qty]]</f>
        <v>0</v>
      </c>
      <c r="T735">
        <f>VLOOKUP(Table1[[#This Row],[Isin code]],Table2[#All],7,FALSE)</f>
        <v>0</v>
      </c>
      <c r="U735" s="17" t="str">
        <f>VLOOKUP(Table1[[#This Row],[Isin code]],Table2[#All],8,FALSE)</f>
        <v>07-Jun-2026</v>
      </c>
      <c r="V735" s="10">
        <f ca="1">Table1[[#This Row],[Maturity]]-TODAY()</f>
        <v>599</v>
      </c>
      <c r="W735" t="str">
        <f>VLOOKUP(Table1[[#This Row],[Isin code]],Table2[#All],10,FALSE)</f>
        <v>0</v>
      </c>
      <c r="X735">
        <f ca="1">_xlfn.DAYS(Table1[[#This Row],[Maturity]],TODAY())-15</f>
        <v>584</v>
      </c>
      <c r="Y73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35">
        <f>IF(Table1[[#This Row],[Ask Rate]]=0,0,Table1[[#This Row],[Face Value]]-Table1[[#This Row],[Ask Rate]])</f>
        <v>0</v>
      </c>
      <c r="AA73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35">
        <f>Table1[[#This Row],[Face Value]]*Table1[[#This Row],[Rate]]*Table1[[#This Row],[Time]]</f>
        <v>0</v>
      </c>
      <c r="AC735">
        <f>Table1[[#This Row],[SI]]+Table1[[#This Row],[Disc/Prem]]</f>
        <v>0</v>
      </c>
      <c r="AD735" s="3" t="e">
        <f>Table1[[#This Row],[Net Gain]]/Table1[[#This Row],[Ask Rate]]</f>
        <v>#DIV/0!</v>
      </c>
      <c r="AE735" s="3">
        <f>IF(Table1[[#This Row],[Ask Qty]]=0,0,Table1[[#This Row],[Gross Yield]]*365/Table1[[#This Row],[Days Left]])</f>
        <v>0</v>
      </c>
      <c r="AF735" s="9">
        <f>+Table1[[#This Row],[Net Gain]]*Table1[[#This Row],[Ask Qty]]</f>
        <v>0</v>
      </c>
      <c r="AG735" t="str">
        <f>IF(Table1[[#This Row],[YTM]]&gt;0.12,IF(Table1[[#This Row],[Gross Profit]]&gt;10000,"Invest","Review"),"Low YTM")</f>
        <v>Low YTM</v>
      </c>
    </row>
    <row r="736" spans="1:33" x14ac:dyDescent="0.3">
      <c r="A736" t="str">
        <f>RTD("nest.scriprtd",,"bse_cm|CIFCZC28","Symbol")</f>
        <v>CIFCZC28</v>
      </c>
      <c r="B736" t="str">
        <f>RTD("nest.scriprtd",,"bse_cm|CIFCZC28","Trading Symbol")</f>
        <v>CIFCZC28</v>
      </c>
      <c r="C736" t="str">
        <f>RTD("nest.scriprtd",,"bse_cm|CIFCZC28","Exchange")</f>
        <v>BSE</v>
      </c>
      <c r="D736">
        <f>RTD("nest.scriprtd",,"bse_cm|CIFCZC28","Bid Qty")</f>
        <v>12</v>
      </c>
      <c r="E736">
        <f>RTD("nest.scriprtd",,"bse_cm|CIFCZC28","Bid Rate")</f>
        <v>970.3</v>
      </c>
      <c r="F736">
        <f>RTD("nest.scriprtd",,"bse_cm|CIFCZC28","Ask Rate")</f>
        <v>0</v>
      </c>
      <c r="G736">
        <f>RTD("nest.scriprtd",,"bse_cm|CIFCZC28","Ask Qty")</f>
        <v>0</v>
      </c>
      <c r="H736">
        <f>RTD("nest.scriprtd",,"bse_cm|CIFCZC28","LTP")</f>
        <v>0</v>
      </c>
      <c r="I736" t="str">
        <f>RTD("nest.scriprtd",,"bse_cm|CIFCZC28","LTT")</f>
        <v>00:00:00</v>
      </c>
      <c r="J736">
        <f>RTD("nest.scriprtd",,"bse_cm|CIFCZC28","% Change")</f>
        <v>-100</v>
      </c>
      <c r="K736">
        <f>RTD("nest.scriprtd",,"bse_cm|CIFCZC28","ATP")</f>
        <v>0</v>
      </c>
      <c r="L736">
        <f>RTD("nest.scriprtd",,"bse_cm|CIFCZC28","Volume Traded Today")</f>
        <v>0</v>
      </c>
      <c r="M736">
        <f>RTD("nest.scriprtd",,"bse_cm|CIFCZC28","Open")</f>
        <v>0</v>
      </c>
      <c r="N736">
        <f>RTD("nest.scriprtd",,"bse_cm|CIFCZC28","High")</f>
        <v>982</v>
      </c>
      <c r="O736">
        <f>RTD("nest.scriprtd",,"bse_cm|CIFCZC28","Low ")</f>
        <v>982</v>
      </c>
      <c r="P736">
        <f>RTD("nest.scriprtd",,"bse_cm|CIFCZC28","Prev Close")</f>
        <v>982</v>
      </c>
      <c r="Q736">
        <f>RTD("nest.scriprtd",,"bse_cm|CIFCZC28","Face Value")</f>
        <v>1000</v>
      </c>
      <c r="R736" t="str">
        <f>RTD("nest.scriprtd",,"bse_cm|CIFCZC28","Isin code")</f>
        <v>INE121A07RN0</v>
      </c>
      <c r="S736" s="9">
        <f>Table1[[#This Row],[Ask Rate]]*Table1[[#This Row],[Ask Qty]]</f>
        <v>0</v>
      </c>
      <c r="T736">
        <f>VLOOKUP(Table1[[#This Row],[Isin code]],Table2[#All],7,FALSE)</f>
        <v>0</v>
      </c>
      <c r="U736" s="17" t="str">
        <f>VLOOKUP(Table1[[#This Row],[Isin code]],Table2[#All],8,FALSE)</f>
        <v>07-Dec-2028</v>
      </c>
      <c r="V736" s="10">
        <f ca="1">Table1[[#This Row],[Maturity]]-TODAY()</f>
        <v>1513</v>
      </c>
      <c r="W736" t="str">
        <f>VLOOKUP(Table1[[#This Row],[Isin code]],Table2[#All],10,FALSE)</f>
        <v>Yearly</v>
      </c>
      <c r="X736">
        <f ca="1">_xlfn.DAYS(Table1[[#This Row],[Maturity]],TODAY())-15</f>
        <v>1498</v>
      </c>
      <c r="Y7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736">
        <f>IF(Table1[[#This Row],[Ask Rate]]=0,0,Table1[[#This Row],[Face Value]]-Table1[[#This Row],[Ask Rate]])</f>
        <v>0</v>
      </c>
      <c r="AA73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36">
        <f ca="1">Table1[[#This Row],[Face Value]]*Table1[[#This Row],[Rate]]*Table1[[#This Row],[Time]]</f>
        <v>0</v>
      </c>
      <c r="AC736">
        <f ca="1">Table1[[#This Row],[SI]]+Table1[[#This Row],[Disc/Prem]]</f>
        <v>0</v>
      </c>
      <c r="AD736" s="3" t="e">
        <f ca="1">Table1[[#This Row],[Net Gain]]/Table1[[#This Row],[Ask Rate]]</f>
        <v>#DIV/0!</v>
      </c>
      <c r="AE736" s="3">
        <f>IF(Table1[[#This Row],[Ask Qty]]=0,0,Table1[[#This Row],[Gross Yield]]*365/Table1[[#This Row],[Days Left]])</f>
        <v>0</v>
      </c>
      <c r="AF736" s="9">
        <f ca="1">+Table1[[#This Row],[Net Gain]]*Table1[[#This Row],[Ask Qty]]</f>
        <v>0</v>
      </c>
      <c r="AG736" t="str">
        <f>IF(Table1[[#This Row],[YTM]]&gt;0.12,IF(Table1[[#This Row],[Gross Profit]]&gt;10000,"Invest","Review"),"Low YTM")</f>
        <v>Low YTM</v>
      </c>
    </row>
    <row r="737" spans="1:33" x14ac:dyDescent="0.3">
      <c r="A737" t="str">
        <f>RTD("nest.scriprtd",,"bse_cm|CIFCZC26A","Symbol")</f>
        <v>CIFCZC26A</v>
      </c>
      <c r="B737" t="str">
        <f>RTD("nest.scriprtd",,"bse_cm|CIFCZC26A","Trading Symbol")</f>
        <v>CIFCZC26A</v>
      </c>
      <c r="C737" t="str">
        <f>RTD("nest.scriprtd",,"bse_cm|CIFCZC26A","Exchange")</f>
        <v>BSE</v>
      </c>
      <c r="D737">
        <f>RTD("nest.scriprtd",,"bse_cm|CIFCZC26A","Bid Qty")</f>
        <v>12</v>
      </c>
      <c r="E737">
        <f>RTD("nest.scriprtd",,"bse_cm|CIFCZC26A","Bid Rate")</f>
        <v>1060.2</v>
      </c>
      <c r="F737">
        <f>RTD("nest.scriprtd",,"bse_cm|CIFCZC26A","Ask Rate")</f>
        <v>0</v>
      </c>
      <c r="G737">
        <f>RTD("nest.scriprtd",,"bse_cm|CIFCZC26A","Ask Qty")</f>
        <v>0</v>
      </c>
      <c r="H737">
        <f>RTD("nest.scriprtd",,"bse_cm|CIFCZC26A","LTP")</f>
        <v>0</v>
      </c>
      <c r="I737" t="str">
        <f>RTD("nest.scriprtd",,"bse_cm|CIFCZC26A","LTT")</f>
        <v>00:00:00</v>
      </c>
      <c r="J737">
        <f>RTD("nest.scriprtd",,"bse_cm|CIFCZC26A","% Change")</f>
        <v>-100</v>
      </c>
      <c r="K737">
        <f>RTD("nest.scriprtd",,"bse_cm|CIFCZC26A","ATP")</f>
        <v>0</v>
      </c>
      <c r="L737">
        <f>RTD("nest.scriprtd",,"bse_cm|CIFCZC26A","Volume Traded Today")</f>
        <v>0</v>
      </c>
      <c r="M737">
        <f>RTD("nest.scriprtd",,"bse_cm|CIFCZC26A","Open")</f>
        <v>0</v>
      </c>
      <c r="N737">
        <f>RTD("nest.scriprtd",,"bse_cm|CIFCZC26A","High")</f>
        <v>1000</v>
      </c>
      <c r="O737">
        <f>RTD("nest.scriprtd",,"bse_cm|CIFCZC26A","Low ")</f>
        <v>1000</v>
      </c>
      <c r="P737">
        <f>RTD("nest.scriprtd",,"bse_cm|CIFCZC26A","Prev Close")</f>
        <v>1000</v>
      </c>
      <c r="Q737">
        <f>RTD("nest.scriprtd",,"bse_cm|CIFCZC26A","Face Value")</f>
        <v>1000</v>
      </c>
      <c r="R737" t="str">
        <f>RTD("nest.scriprtd",,"bse_cm|CIFCZC26A","Isin code")</f>
        <v>INE121A07QZ6</v>
      </c>
      <c r="S737" s="9">
        <f>Table1[[#This Row],[Ask Rate]]*Table1[[#This Row],[Ask Qty]]</f>
        <v>0</v>
      </c>
      <c r="T737">
        <f>VLOOKUP(Table1[[#This Row],[Isin code]],Table2[#All],7,FALSE)</f>
        <v>0</v>
      </c>
      <c r="U737" s="17" t="str">
        <f>VLOOKUP(Table1[[#This Row],[Isin code]],Table2[#All],8,FALSE)</f>
        <v>04-Jun-2026</v>
      </c>
      <c r="V737" s="10">
        <f ca="1">Table1[[#This Row],[Maturity]]-TODAY()</f>
        <v>596</v>
      </c>
      <c r="W737" t="str">
        <f>VLOOKUP(Table1[[#This Row],[Isin code]],Table2[#All],10,FALSE)</f>
        <v>Yearly</v>
      </c>
      <c r="X737">
        <f ca="1">_xlfn.DAYS(Table1[[#This Row],[Maturity]],TODAY())-15</f>
        <v>581</v>
      </c>
      <c r="Y7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37">
        <f>IF(Table1[[#This Row],[Ask Rate]]=0,0,Table1[[#This Row],[Face Value]]-Table1[[#This Row],[Ask Rate]])</f>
        <v>0</v>
      </c>
      <c r="AA73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37">
        <f ca="1">Table1[[#This Row],[Face Value]]*Table1[[#This Row],[Rate]]*Table1[[#This Row],[Time]]</f>
        <v>0</v>
      </c>
      <c r="AC737">
        <f ca="1">Table1[[#This Row],[SI]]+Table1[[#This Row],[Disc/Prem]]</f>
        <v>0</v>
      </c>
      <c r="AD737" s="3" t="e">
        <f ca="1">Table1[[#This Row],[Net Gain]]/Table1[[#This Row],[Ask Rate]]</f>
        <v>#DIV/0!</v>
      </c>
      <c r="AE737" s="3">
        <f>IF(Table1[[#This Row],[Ask Qty]]=0,0,Table1[[#This Row],[Gross Yield]]*365/Table1[[#This Row],[Days Left]])</f>
        <v>0</v>
      </c>
      <c r="AF737" s="9">
        <f ca="1">+Table1[[#This Row],[Net Gain]]*Table1[[#This Row],[Ask Qty]]</f>
        <v>0</v>
      </c>
      <c r="AG737" t="str">
        <f>IF(Table1[[#This Row],[YTM]]&gt;0.12,IF(Table1[[#This Row],[Gross Profit]]&gt;10000,"Invest","Review"),"Low YTM")</f>
        <v>Low YTM</v>
      </c>
    </row>
    <row r="738" spans="1:33" x14ac:dyDescent="0.3">
      <c r="A738" t="str">
        <f>RTD("nest.scriprtd",,"bse_cm|CIFCZC26","Symbol")</f>
        <v>CIFCZC26</v>
      </c>
      <c r="B738" t="str">
        <f>RTD("nest.scriprtd",,"bse_cm|CIFCZC26","Trading Symbol")</f>
        <v>CIFCZC26</v>
      </c>
      <c r="C738" t="str">
        <f>RTD("nest.scriprtd",,"bse_cm|CIFCZC26","Exchange")</f>
        <v>BSE</v>
      </c>
      <c r="D738">
        <f>RTD("nest.scriprtd",,"bse_cm|CIFCZC26","Bid Qty")</f>
        <v>25</v>
      </c>
      <c r="E738">
        <f>RTD("nest.scriprtd",,"bse_cm|CIFCZC26","Bid Rate")</f>
        <v>1009.2</v>
      </c>
      <c r="F738">
        <f>RTD("nest.scriprtd",,"bse_cm|CIFCZC26","Ask Rate")</f>
        <v>0</v>
      </c>
      <c r="G738">
        <f>RTD("nest.scriprtd",,"bse_cm|CIFCZC26","Ask Qty")</f>
        <v>0</v>
      </c>
      <c r="H738">
        <f>RTD("nest.scriprtd",,"bse_cm|CIFCZC26","LTP")</f>
        <v>0</v>
      </c>
      <c r="I738" t="str">
        <f>RTD("nest.scriprtd",,"bse_cm|CIFCZC26","LTT")</f>
        <v>00:00:00</v>
      </c>
      <c r="J738">
        <f>RTD("nest.scriprtd",,"bse_cm|CIFCZC26","% Change")</f>
        <v>-100</v>
      </c>
      <c r="K738">
        <f>RTD("nest.scriprtd",,"bse_cm|CIFCZC26","ATP")</f>
        <v>0</v>
      </c>
      <c r="L738">
        <f>RTD("nest.scriprtd",,"bse_cm|CIFCZC26","Volume Traded Today")</f>
        <v>0</v>
      </c>
      <c r="M738">
        <f>RTD("nest.scriprtd",,"bse_cm|CIFCZC26","Open")</f>
        <v>0</v>
      </c>
      <c r="N738">
        <f>RTD("nest.scriprtd",,"bse_cm|CIFCZC26","High")</f>
        <v>1020</v>
      </c>
      <c r="O738">
        <f>RTD("nest.scriprtd",,"bse_cm|CIFCZC26","Low ")</f>
        <v>841</v>
      </c>
      <c r="P738">
        <f>RTD("nest.scriprtd",,"bse_cm|CIFCZC26","Prev Close")</f>
        <v>841</v>
      </c>
      <c r="Q738">
        <f>RTD("nest.scriprtd",,"bse_cm|CIFCZC26","Face Value")</f>
        <v>1000</v>
      </c>
      <c r="R738" t="str">
        <f>RTD("nest.scriprtd",,"bse_cm|CIFCZC26","Isin code")</f>
        <v>INE121A07RK6</v>
      </c>
      <c r="S738" s="9">
        <f>Table1[[#This Row],[Ask Rate]]*Table1[[#This Row],[Ask Qty]]</f>
        <v>0</v>
      </c>
      <c r="T738">
        <f>VLOOKUP(Table1[[#This Row],[Isin code]],Table2[#All],7,FALSE)</f>
        <v>0</v>
      </c>
      <c r="U738" s="17" t="str">
        <f>VLOOKUP(Table1[[#This Row],[Isin code]],Table2[#All],8,FALSE)</f>
        <v>07-Dec-2026</v>
      </c>
      <c r="V738" s="10">
        <f ca="1">Table1[[#This Row],[Maturity]]-TODAY()</f>
        <v>782</v>
      </c>
      <c r="W738" t="str">
        <f>VLOOKUP(Table1[[#This Row],[Isin code]],Table2[#All],10,FALSE)</f>
        <v>0</v>
      </c>
      <c r="X738">
        <f ca="1">_xlfn.DAYS(Table1[[#This Row],[Maturity]],TODAY())-15</f>
        <v>767</v>
      </c>
      <c r="Y73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38">
        <f>IF(Table1[[#This Row],[Ask Rate]]=0,0,Table1[[#This Row],[Face Value]]-Table1[[#This Row],[Ask Rate]])</f>
        <v>0</v>
      </c>
      <c r="AA73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38">
        <f>Table1[[#This Row],[Face Value]]*Table1[[#This Row],[Rate]]*Table1[[#This Row],[Time]]</f>
        <v>0</v>
      </c>
      <c r="AC738">
        <f>Table1[[#This Row],[SI]]+Table1[[#This Row],[Disc/Prem]]</f>
        <v>0</v>
      </c>
      <c r="AD738" s="3" t="e">
        <f>Table1[[#This Row],[Net Gain]]/Table1[[#This Row],[Ask Rate]]</f>
        <v>#DIV/0!</v>
      </c>
      <c r="AE738" s="3">
        <f>IF(Table1[[#This Row],[Ask Qty]]=0,0,Table1[[#This Row],[Gross Yield]]*365/Table1[[#This Row],[Days Left]])</f>
        <v>0</v>
      </c>
      <c r="AF738" s="9">
        <f>+Table1[[#This Row],[Net Gain]]*Table1[[#This Row],[Ask Qty]]</f>
        <v>0</v>
      </c>
      <c r="AG738" t="str">
        <f>IF(Table1[[#This Row],[YTM]]&gt;0.12,IF(Table1[[#This Row],[Gross Profit]]&gt;10000,"Invest","Review"),"Low YTM")</f>
        <v>Low YTM</v>
      </c>
    </row>
    <row r="739" spans="1:33" x14ac:dyDescent="0.3">
      <c r="A739" t="str">
        <f>RTD("nest.scriprtd",,"nse_cm|CIFC26A-N9","Symbol")</f>
        <v>CIFC26A</v>
      </c>
      <c r="B739" t="str">
        <f>RTD("nest.scriprtd",,"nse_cm|CIFC26A-N9","Trading Symbol")</f>
        <v>CIFC26A-N9</v>
      </c>
      <c r="C739" t="str">
        <f>RTD("nest.scriprtd",,"nse_cm|CIFC26A-N9","Exchange")</f>
        <v>NSE</v>
      </c>
      <c r="D739">
        <f>RTD("nest.scriprtd",,"nse_cm|CIFC26A-N9","Bid Qty")</f>
        <v>75</v>
      </c>
      <c r="E739">
        <f>RTD("nest.scriprtd",,"nse_cm|CIFC26A-N9","Bid Rate")</f>
        <v>1031.03</v>
      </c>
      <c r="F739">
        <f>RTD("nest.scriprtd",,"nse_cm|CIFC26A-N9","Ask Rate")</f>
        <v>0</v>
      </c>
      <c r="G739">
        <f>RTD("nest.scriprtd",,"nse_cm|CIFC26A-N9","Ask Qty")</f>
        <v>0</v>
      </c>
      <c r="H739">
        <f>RTD("nest.scriprtd",,"nse_cm|CIFC26A-N9","LTP")</f>
        <v>1030.3</v>
      </c>
      <c r="I739" t="str">
        <f>RTD("nest.scriprtd",,"nse_cm|CIFC26A-N9","LTT")</f>
        <v/>
      </c>
      <c r="J739">
        <f>RTD("nest.scriprtd",,"nse_cm|CIFC26A-N9","% Change")</f>
        <v>0</v>
      </c>
      <c r="K739">
        <f>RTD("nest.scriprtd",,"nse_cm|CIFC26A-N9","ATP")</f>
        <v>0</v>
      </c>
      <c r="L739">
        <f>RTD("nest.scriprtd",,"nse_cm|CIFC26A-N9","Volume Traded Today")</f>
        <v>0</v>
      </c>
      <c r="M739">
        <f>RTD("nest.scriprtd",,"nse_cm|CIFC26A-N9","Open")</f>
        <v>0</v>
      </c>
      <c r="N739">
        <f>RTD("nest.scriprtd",,"nse_cm|CIFC26A-N9","High")</f>
        <v>1030.3</v>
      </c>
      <c r="O739">
        <f>RTD("nest.scriprtd",,"nse_cm|CIFC26A-N9","Low ")</f>
        <v>1030.3</v>
      </c>
      <c r="P739">
        <f>RTD("nest.scriprtd",,"nse_cm|CIFC26A-N9","Prev Close")</f>
        <v>1030.3</v>
      </c>
      <c r="Q739">
        <f>RTD("nest.scriprtd",,"nse_cm|CIFC26A-N9","Face Value")</f>
        <v>1000</v>
      </c>
      <c r="R739" t="str">
        <f>RTD("nest.scriprtd",,"nse_cm|CIFC26A-N9","Isin code")</f>
        <v>INE121A07RD1</v>
      </c>
      <c r="S739" s="9">
        <f>Table1[[#This Row],[Ask Rate]]*Table1[[#This Row],[Ask Qty]]</f>
        <v>0</v>
      </c>
      <c r="T739">
        <f>VLOOKUP(Table1[[#This Row],[Isin code]],Table2[#All],7,FALSE)</f>
        <v>0</v>
      </c>
      <c r="U739" s="17" t="str">
        <f>VLOOKUP(Table1[[#This Row],[Isin code]],Table2[#All],8,FALSE)</f>
        <v>09-Sep-2026</v>
      </c>
      <c r="V739" s="10">
        <f ca="1">Table1[[#This Row],[Maturity]]-TODAY()</f>
        <v>693</v>
      </c>
      <c r="W739" t="str">
        <f>VLOOKUP(Table1[[#This Row],[Isin code]],Table2[#All],10,FALSE)</f>
        <v>At the End</v>
      </c>
      <c r="X739">
        <f ca="1">_xlfn.DAYS(Table1[[#This Row],[Maturity]],TODAY())-15</f>
        <v>678</v>
      </c>
      <c r="Y73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39">
        <f>IF(Table1[[#This Row],[Ask Rate]]=0,0,Table1[[#This Row],[Face Value]]-Table1[[#This Row],[Ask Rate]])</f>
        <v>0</v>
      </c>
      <c r="AA73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39">
        <f>Table1[[#This Row],[Face Value]]*Table1[[#This Row],[Rate]]*Table1[[#This Row],[Time]]</f>
        <v>0</v>
      </c>
      <c r="AC739">
        <f>Table1[[#This Row],[SI]]+Table1[[#This Row],[Disc/Prem]]</f>
        <v>0</v>
      </c>
      <c r="AD739" s="3" t="e">
        <f>Table1[[#This Row],[Net Gain]]/Table1[[#This Row],[Ask Rate]]</f>
        <v>#DIV/0!</v>
      </c>
      <c r="AE739" s="3">
        <f>IF(Table1[[#This Row],[Ask Qty]]=0,0,Table1[[#This Row],[Gross Yield]]*365/Table1[[#This Row],[Days Left]])</f>
        <v>0</v>
      </c>
      <c r="AF739" s="9">
        <f>+Table1[[#This Row],[Net Gain]]*Table1[[#This Row],[Ask Qty]]</f>
        <v>0</v>
      </c>
      <c r="AG739" t="str">
        <f>IF(Table1[[#This Row],[YTM]]&gt;0.12,IF(Table1[[#This Row],[Gross Profit]]&gt;10000,"Invest","Review"),"Low YTM")</f>
        <v>Low YTM</v>
      </c>
    </row>
    <row r="740" spans="1:33" x14ac:dyDescent="0.3">
      <c r="A740" t="str">
        <f>RTD("nest.scriprtd",,"bse_cm|CIFC26A","Symbol")</f>
        <v>CIFC26A</v>
      </c>
      <c r="B740" t="str">
        <f>RTD("nest.scriprtd",,"bse_cm|CIFC26A","Trading Symbol")</f>
        <v>CIFC26A</v>
      </c>
      <c r="C740" t="str">
        <f>RTD("nest.scriprtd",,"bse_cm|CIFC26A","Exchange")</f>
        <v>BSE</v>
      </c>
      <c r="D740">
        <f>RTD("nest.scriprtd",,"bse_cm|CIFC26A","Bid Qty")</f>
        <v>7</v>
      </c>
      <c r="E740">
        <f>RTD("nest.scriprtd",,"bse_cm|CIFC26A","Bid Rate")</f>
        <v>1030.3</v>
      </c>
      <c r="F740">
        <f>RTD("nest.scriprtd",,"bse_cm|CIFC26A","Ask Rate")</f>
        <v>0</v>
      </c>
      <c r="G740">
        <f>RTD("nest.scriprtd",,"bse_cm|CIFC26A","Ask Qty")</f>
        <v>0</v>
      </c>
      <c r="H740">
        <f>RTD("nest.scriprtd",,"bse_cm|CIFC26A","LTP")</f>
        <v>0</v>
      </c>
      <c r="I740" t="str">
        <f>RTD("nest.scriprtd",,"bse_cm|CIFC26A","LTT")</f>
        <v>00:00:00</v>
      </c>
      <c r="J740">
        <f>RTD("nest.scriprtd",,"bse_cm|CIFC26A","% Change")</f>
        <v>-100</v>
      </c>
      <c r="K740">
        <f>RTD("nest.scriprtd",,"bse_cm|CIFC26A","ATP")</f>
        <v>0</v>
      </c>
      <c r="L740">
        <f>RTD("nest.scriprtd",,"bse_cm|CIFC26A","Volume Traded Today")</f>
        <v>0</v>
      </c>
      <c r="M740">
        <f>RTD("nest.scriprtd",,"bse_cm|CIFC26A","Open")</f>
        <v>0</v>
      </c>
      <c r="N740">
        <f>RTD("nest.scriprtd",,"bse_cm|CIFC26A","High")</f>
        <v>1010.3</v>
      </c>
      <c r="O740">
        <f>RTD("nest.scriprtd",,"bse_cm|CIFC26A","Low ")</f>
        <v>1010.3</v>
      </c>
      <c r="P740">
        <f>RTD("nest.scriprtd",,"bse_cm|CIFC26A","Prev Close")</f>
        <v>1010.3</v>
      </c>
      <c r="Q740">
        <f>RTD("nest.scriprtd",,"bse_cm|CIFC26A","Face Value")</f>
        <v>1000</v>
      </c>
      <c r="R740" t="str">
        <f>RTD("nest.scriprtd",,"bse_cm|CIFC26A","Isin code")</f>
        <v>INE121A07RD1</v>
      </c>
      <c r="S740" s="9">
        <f>Table1[[#This Row],[Ask Rate]]*Table1[[#This Row],[Ask Qty]]</f>
        <v>0</v>
      </c>
      <c r="T740">
        <f>VLOOKUP(Table1[[#This Row],[Isin code]],Table2[#All],7,FALSE)</f>
        <v>0</v>
      </c>
      <c r="U740" s="17" t="str">
        <f>VLOOKUP(Table1[[#This Row],[Isin code]],Table2[#All],8,FALSE)</f>
        <v>09-Sep-2026</v>
      </c>
      <c r="V740" s="10">
        <f ca="1">Table1[[#This Row],[Maturity]]-TODAY()</f>
        <v>693</v>
      </c>
      <c r="W740" t="str">
        <f>VLOOKUP(Table1[[#This Row],[Isin code]],Table2[#All],10,FALSE)</f>
        <v>At the End</v>
      </c>
      <c r="X740">
        <f ca="1">_xlfn.DAYS(Table1[[#This Row],[Maturity]],TODAY())-15</f>
        <v>678</v>
      </c>
      <c r="Y74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40">
        <f>IF(Table1[[#This Row],[Ask Rate]]=0,0,Table1[[#This Row],[Face Value]]-Table1[[#This Row],[Ask Rate]])</f>
        <v>0</v>
      </c>
      <c r="AA74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0">
        <f>Table1[[#This Row],[Face Value]]*Table1[[#This Row],[Rate]]*Table1[[#This Row],[Time]]</f>
        <v>0</v>
      </c>
      <c r="AC740">
        <f>Table1[[#This Row],[SI]]+Table1[[#This Row],[Disc/Prem]]</f>
        <v>0</v>
      </c>
      <c r="AD740" s="3" t="e">
        <f>Table1[[#This Row],[Net Gain]]/Table1[[#This Row],[Ask Rate]]</f>
        <v>#DIV/0!</v>
      </c>
      <c r="AE740" s="3">
        <f>IF(Table1[[#This Row],[Ask Qty]]=0,0,Table1[[#This Row],[Gross Yield]]*365/Table1[[#This Row],[Days Left]])</f>
        <v>0</v>
      </c>
      <c r="AF740" s="9">
        <f>+Table1[[#This Row],[Net Gain]]*Table1[[#This Row],[Ask Qty]]</f>
        <v>0</v>
      </c>
      <c r="AG740" t="str">
        <f>IF(Table1[[#This Row],[YTM]]&gt;0.12,IF(Table1[[#This Row],[Gross Profit]]&gt;10000,"Invest","Review"),"Low YTM")</f>
        <v>Low YTM</v>
      </c>
    </row>
    <row r="741" spans="1:33" x14ac:dyDescent="0.3">
      <c r="A741" t="str">
        <f>RTD("nest.scriprtd",,"nse_cm|CIFC26-NK","Symbol")</f>
        <v>CIFC26</v>
      </c>
      <c r="B741" t="str">
        <f>RTD("nest.scriprtd",,"nse_cm|CIFC26-NK","Trading Symbol")</f>
        <v>CIFC26-NK</v>
      </c>
      <c r="C741" t="str">
        <f>RTD("nest.scriprtd",,"nse_cm|CIFC26-NK","Exchange")</f>
        <v>NSE</v>
      </c>
      <c r="D741">
        <f>RTD("nest.scriprtd",,"nse_cm|CIFC26-NK","Bid Qty")</f>
        <v>75</v>
      </c>
      <c r="E741">
        <f>RTD("nest.scriprtd",,"nse_cm|CIFC26-NK","Bid Rate")</f>
        <v>1021.03</v>
      </c>
      <c r="F741">
        <f>RTD("nest.scriprtd",,"nse_cm|CIFC26-NK","Ask Rate")</f>
        <v>0</v>
      </c>
      <c r="G741">
        <f>RTD("nest.scriprtd",,"nse_cm|CIFC26-NK","Ask Qty")</f>
        <v>0</v>
      </c>
      <c r="H741">
        <f>RTD("nest.scriprtd",,"nse_cm|CIFC26-NK","LTP")</f>
        <v>1018</v>
      </c>
      <c r="I741" t="str">
        <f>RTD("nest.scriprtd",,"nse_cm|CIFC26-NK","LTT")</f>
        <v/>
      </c>
      <c r="J741">
        <f>RTD("nest.scriprtd",,"nse_cm|CIFC26-NK","% Change")</f>
        <v>0</v>
      </c>
      <c r="K741">
        <f>RTD("nest.scriprtd",,"nse_cm|CIFC26-NK","ATP")</f>
        <v>0</v>
      </c>
      <c r="L741">
        <f>RTD("nest.scriprtd",,"nse_cm|CIFC26-NK","Volume Traded Today")</f>
        <v>0</v>
      </c>
      <c r="M741">
        <f>RTD("nest.scriprtd",,"nse_cm|CIFC26-NK","Open")</f>
        <v>0</v>
      </c>
      <c r="N741">
        <f>RTD("nest.scriprtd",,"nse_cm|CIFC26-NK","High")</f>
        <v>1018</v>
      </c>
      <c r="O741">
        <f>RTD("nest.scriprtd",,"nse_cm|CIFC26-NK","Low ")</f>
        <v>1018</v>
      </c>
      <c r="P741">
        <f>RTD("nest.scriprtd",,"nse_cm|CIFC26-NK","Prev Close")</f>
        <v>1018</v>
      </c>
      <c r="Q741">
        <f>RTD("nest.scriprtd",,"nse_cm|CIFC26-NK","Face Value")</f>
        <v>1000</v>
      </c>
      <c r="R741" t="str">
        <f>RTD("nest.scriprtd",,"nse_cm|CIFC26-NK","Isin code")</f>
        <v>INE121A07RR1</v>
      </c>
      <c r="S741" s="9">
        <f>Table1[[#This Row],[Ask Rate]]*Table1[[#This Row],[Ask Qty]]</f>
        <v>0</v>
      </c>
      <c r="T741">
        <f>VLOOKUP(Table1[[#This Row],[Isin code]],Table2[#All],7,FALSE)</f>
        <v>0</v>
      </c>
      <c r="U741" s="17" t="str">
        <f>VLOOKUP(Table1[[#This Row],[Isin code]],Table2[#All],8,FALSE)</f>
        <v>31-Jan-2026</v>
      </c>
      <c r="V741" s="10">
        <f ca="1">Table1[[#This Row],[Maturity]]-TODAY()</f>
        <v>472</v>
      </c>
      <c r="W741" t="str">
        <f>VLOOKUP(Table1[[#This Row],[Isin code]],Table2[#All],10,FALSE)</f>
        <v>0</v>
      </c>
      <c r="X741">
        <f ca="1">_xlfn.DAYS(Table1[[#This Row],[Maturity]],TODAY())-15</f>
        <v>457</v>
      </c>
      <c r="Y74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41">
        <f>IF(Table1[[#This Row],[Ask Rate]]=0,0,Table1[[#This Row],[Face Value]]-Table1[[#This Row],[Ask Rate]])</f>
        <v>0</v>
      </c>
      <c r="AA74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1">
        <f>Table1[[#This Row],[Face Value]]*Table1[[#This Row],[Rate]]*Table1[[#This Row],[Time]]</f>
        <v>0</v>
      </c>
      <c r="AC741">
        <f>Table1[[#This Row],[SI]]+Table1[[#This Row],[Disc/Prem]]</f>
        <v>0</v>
      </c>
      <c r="AD741" s="3" t="e">
        <f>Table1[[#This Row],[Net Gain]]/Table1[[#This Row],[Ask Rate]]</f>
        <v>#DIV/0!</v>
      </c>
      <c r="AE741" s="3">
        <f>IF(Table1[[#This Row],[Ask Qty]]=0,0,Table1[[#This Row],[Gross Yield]]*365/Table1[[#This Row],[Days Left]])</f>
        <v>0</v>
      </c>
      <c r="AF741" s="9">
        <f>+Table1[[#This Row],[Net Gain]]*Table1[[#This Row],[Ask Qty]]</f>
        <v>0</v>
      </c>
      <c r="AG741" t="str">
        <f>IF(Table1[[#This Row],[YTM]]&gt;0.12,IF(Table1[[#This Row],[Gross Profit]]&gt;10000,"Invest","Review"),"Low YTM")</f>
        <v>Low YTM</v>
      </c>
    </row>
    <row r="742" spans="1:33" x14ac:dyDescent="0.3">
      <c r="A742" t="str">
        <f>RTD("nest.scriprtd",,"bse_cm|CIFC26","Symbol")</f>
        <v>CIFC26</v>
      </c>
      <c r="B742" t="str">
        <f>RTD("nest.scriprtd",,"bse_cm|CIFC26","Trading Symbol")</f>
        <v>CIFC26</v>
      </c>
      <c r="C742" t="str">
        <f>RTD("nest.scriprtd",,"bse_cm|CIFC26","Exchange")</f>
        <v>BSE</v>
      </c>
      <c r="D742">
        <f>RTD("nest.scriprtd",,"bse_cm|CIFC26","Bid Qty")</f>
        <v>12</v>
      </c>
      <c r="E742">
        <f>RTD("nest.scriprtd",,"bse_cm|CIFC26","Bid Rate")</f>
        <v>1005.1</v>
      </c>
      <c r="F742">
        <f>RTD("nest.scriprtd",,"bse_cm|CIFC26","Ask Rate")</f>
        <v>0</v>
      </c>
      <c r="G742">
        <f>RTD("nest.scriprtd",,"bse_cm|CIFC26","Ask Qty")</f>
        <v>0</v>
      </c>
      <c r="H742">
        <f>RTD("nest.scriprtd",,"bse_cm|CIFC26","LTP")</f>
        <v>0</v>
      </c>
      <c r="I742" t="str">
        <f>RTD("nest.scriprtd",,"bse_cm|CIFC26","LTT")</f>
        <v>00:00:00</v>
      </c>
      <c r="J742">
        <f>RTD("nest.scriprtd",,"bse_cm|CIFC26","% Change")</f>
        <v>-100</v>
      </c>
      <c r="K742">
        <f>RTD("nest.scriprtd",,"bse_cm|CIFC26","ATP")</f>
        <v>0</v>
      </c>
      <c r="L742">
        <f>RTD("nest.scriprtd",,"bse_cm|CIFC26","Volume Traded Today")</f>
        <v>0</v>
      </c>
      <c r="M742">
        <f>RTD("nest.scriprtd",,"bse_cm|CIFC26","Open")</f>
        <v>0</v>
      </c>
      <c r="N742">
        <f>RTD("nest.scriprtd",,"bse_cm|CIFC26","High")</f>
        <v>851</v>
      </c>
      <c r="O742">
        <f>RTD("nest.scriprtd",,"bse_cm|CIFC26","Low ")</f>
        <v>850.3</v>
      </c>
      <c r="P742">
        <f>RTD("nest.scriprtd",,"bse_cm|CIFC26","Prev Close")</f>
        <v>851</v>
      </c>
      <c r="Q742">
        <f>RTD("nest.scriprtd",,"bse_cm|CIFC26","Face Value")</f>
        <v>1000</v>
      </c>
      <c r="R742" t="str">
        <f>RTD("nest.scriprtd",,"bse_cm|CIFC26","Isin code")</f>
        <v>INE121A07RR1</v>
      </c>
      <c r="S742" s="9">
        <f>Table1[[#This Row],[Ask Rate]]*Table1[[#This Row],[Ask Qty]]</f>
        <v>0</v>
      </c>
      <c r="T742">
        <f>VLOOKUP(Table1[[#This Row],[Isin code]],Table2[#All],7,FALSE)</f>
        <v>0</v>
      </c>
      <c r="U742" s="17" t="str">
        <f>VLOOKUP(Table1[[#This Row],[Isin code]],Table2[#All],8,FALSE)</f>
        <v>31-Jan-2026</v>
      </c>
      <c r="V742" s="10">
        <f ca="1">Table1[[#This Row],[Maturity]]-TODAY()</f>
        <v>472</v>
      </c>
      <c r="W742" t="str">
        <f>VLOOKUP(Table1[[#This Row],[Isin code]],Table2[#All],10,FALSE)</f>
        <v>0</v>
      </c>
      <c r="X742">
        <f ca="1">_xlfn.DAYS(Table1[[#This Row],[Maturity]],TODAY())-15</f>
        <v>457</v>
      </c>
      <c r="Y74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42">
        <f>IF(Table1[[#This Row],[Ask Rate]]=0,0,Table1[[#This Row],[Face Value]]-Table1[[#This Row],[Ask Rate]])</f>
        <v>0</v>
      </c>
      <c r="AA74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2">
        <f>Table1[[#This Row],[Face Value]]*Table1[[#This Row],[Rate]]*Table1[[#This Row],[Time]]</f>
        <v>0</v>
      </c>
      <c r="AC742">
        <f>Table1[[#This Row],[SI]]+Table1[[#This Row],[Disc/Prem]]</f>
        <v>0</v>
      </c>
      <c r="AD742" s="3" t="e">
        <f>Table1[[#This Row],[Net Gain]]/Table1[[#This Row],[Ask Rate]]</f>
        <v>#DIV/0!</v>
      </c>
      <c r="AE742" s="3">
        <f>IF(Table1[[#This Row],[Ask Qty]]=0,0,Table1[[#This Row],[Gross Yield]]*365/Table1[[#This Row],[Days Left]])</f>
        <v>0</v>
      </c>
      <c r="AF742" s="9">
        <f>+Table1[[#This Row],[Net Gain]]*Table1[[#This Row],[Ask Qty]]</f>
        <v>0</v>
      </c>
      <c r="AG742" t="str">
        <f>IF(Table1[[#This Row],[YTM]]&gt;0.12,IF(Table1[[#This Row],[Gross Profit]]&gt;10000,"Invest","Review"),"Low YTM")</f>
        <v>Low YTM</v>
      </c>
    </row>
    <row r="743" spans="1:33" x14ac:dyDescent="0.3">
      <c r="A743" t="str">
        <f>RTD("nest.scriprtd",,"nse_cm|CIF29-NO","Symbol")</f>
        <v>CIF29</v>
      </c>
      <c r="B743" t="str">
        <f>RTD("nest.scriprtd",,"nse_cm|CIF29-NO","Trading Symbol")</f>
        <v>CIF29-NO</v>
      </c>
      <c r="C743" t="str">
        <f>RTD("nest.scriprtd",,"nse_cm|CIF29-NO","Exchange")</f>
        <v>NSE</v>
      </c>
      <c r="D743">
        <f>RTD("nest.scriprtd",,"nse_cm|CIF29-NO","Bid Qty")</f>
        <v>25</v>
      </c>
      <c r="E743">
        <f>RTD("nest.scriprtd",,"nse_cm|CIF29-NO","Bid Rate")</f>
        <v>880.2</v>
      </c>
      <c r="F743">
        <f>RTD("nest.scriprtd",,"nse_cm|CIF29-NO","Ask Rate")</f>
        <v>0</v>
      </c>
      <c r="G743">
        <f>RTD("nest.scriprtd",,"nse_cm|CIF29-NO","Ask Qty")</f>
        <v>0</v>
      </c>
      <c r="H743">
        <f>RTD("nest.scriprtd",,"nse_cm|CIF29-NO","LTP")</f>
        <v>0</v>
      </c>
      <c r="I743" t="str">
        <f>RTD("nest.scriprtd",,"nse_cm|CIF29-NO","LTT")</f>
        <v/>
      </c>
      <c r="J743">
        <f>RTD("nest.scriprtd",,"nse_cm|CIF29-NO","% Change")</f>
        <v>-100</v>
      </c>
      <c r="K743">
        <f>RTD("nest.scriprtd",,"nse_cm|CIF29-NO","ATP")</f>
        <v>0</v>
      </c>
      <c r="L743">
        <f>RTD("nest.scriprtd",,"nse_cm|CIF29-NO","Volume Traded Today")</f>
        <v>0</v>
      </c>
      <c r="M743">
        <f>RTD("nest.scriprtd",,"nse_cm|CIF29-NO","Open")</f>
        <v>0</v>
      </c>
      <c r="N743">
        <f>RTD("nest.scriprtd",,"nse_cm|CIF29-NO","High")</f>
        <v>0</v>
      </c>
      <c r="O743">
        <f>RTD("nest.scriprtd",,"nse_cm|CIF29-NO","Low ")</f>
        <v>0</v>
      </c>
      <c r="P743">
        <f>RTD("nest.scriprtd",,"nse_cm|CIF29-NO","Prev Close")</f>
        <v>1000</v>
      </c>
      <c r="Q743">
        <f>RTD("nest.scriprtd",,"nse_cm|CIF29-NO","Face Value")</f>
        <v>1000</v>
      </c>
      <c r="R743" t="str">
        <f>RTD("nest.scriprtd",,"nse_cm|CIF29-NO","Isin code")</f>
        <v>INE121A07RU5</v>
      </c>
      <c r="S743" s="9">
        <f>Table1[[#This Row],[Ask Rate]]*Table1[[#This Row],[Ask Qty]]</f>
        <v>0</v>
      </c>
      <c r="T743">
        <f>VLOOKUP(Table1[[#This Row],[Isin code]],Table2[#All],7,FALSE)</f>
        <v>0</v>
      </c>
      <c r="U743" s="17" t="str">
        <f>VLOOKUP(Table1[[#This Row],[Isin code]],Table2[#All],8,FALSE)</f>
        <v>31-Jan-2029</v>
      </c>
      <c r="V743" s="10">
        <f ca="1">Table1[[#This Row],[Maturity]]-TODAY()</f>
        <v>1568</v>
      </c>
      <c r="W743" t="str">
        <f>VLOOKUP(Table1[[#This Row],[Isin code]],Table2[#All],10,FALSE)</f>
        <v>Yearly</v>
      </c>
      <c r="X743">
        <f ca="1">_xlfn.DAYS(Table1[[#This Row],[Maturity]],TODAY())-15</f>
        <v>1553</v>
      </c>
      <c r="Y7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743">
        <f>IF(Table1[[#This Row],[Ask Rate]]=0,0,Table1[[#This Row],[Face Value]]-Table1[[#This Row],[Ask Rate]])</f>
        <v>0</v>
      </c>
      <c r="AA74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3">
        <f ca="1">Table1[[#This Row],[Face Value]]*Table1[[#This Row],[Rate]]*Table1[[#This Row],[Time]]</f>
        <v>0</v>
      </c>
      <c r="AC743">
        <f ca="1">Table1[[#This Row],[SI]]+Table1[[#This Row],[Disc/Prem]]</f>
        <v>0</v>
      </c>
      <c r="AD743" s="3" t="e">
        <f ca="1">Table1[[#This Row],[Net Gain]]/Table1[[#This Row],[Ask Rate]]</f>
        <v>#DIV/0!</v>
      </c>
      <c r="AE743" s="3">
        <f>IF(Table1[[#This Row],[Ask Qty]]=0,0,Table1[[#This Row],[Gross Yield]]*365/Table1[[#This Row],[Days Left]])</f>
        <v>0</v>
      </c>
      <c r="AF743" s="9">
        <f ca="1">+Table1[[#This Row],[Net Gain]]*Table1[[#This Row],[Ask Qty]]</f>
        <v>0</v>
      </c>
      <c r="AG743" t="str">
        <f>IF(Table1[[#This Row],[YTM]]&gt;0.12,IF(Table1[[#This Row],[Gross Profit]]&gt;10000,"Invest","Review"),"Low YTM")</f>
        <v>Low YTM</v>
      </c>
    </row>
    <row r="744" spans="1:33" x14ac:dyDescent="0.3">
      <c r="A744" t="str">
        <f>RTD("nest.scriprtd",,"bse_cm|CIF29","Symbol")</f>
        <v>CIF29</v>
      </c>
      <c r="B744" t="str">
        <f>RTD("nest.scriprtd",,"bse_cm|CIF29","Trading Symbol")</f>
        <v>CIF29</v>
      </c>
      <c r="C744" t="str">
        <f>RTD("nest.scriprtd",,"bse_cm|CIF29","Exchange")</f>
        <v>BSE</v>
      </c>
      <c r="D744">
        <f>RTD("nest.scriprtd",,"bse_cm|CIF29","Bid Qty")</f>
        <v>20</v>
      </c>
      <c r="E744">
        <f>RTD("nest.scriprtd",,"bse_cm|CIF29","Bid Rate")</f>
        <v>890.25</v>
      </c>
      <c r="F744">
        <f>RTD("nest.scriprtd",,"bse_cm|CIF29","Ask Rate")</f>
        <v>0</v>
      </c>
      <c r="G744">
        <f>RTD("nest.scriprtd",,"bse_cm|CIF29","Ask Qty")</f>
        <v>0</v>
      </c>
      <c r="H744">
        <f>RTD("nest.scriprtd",,"bse_cm|CIF29","LTP")</f>
        <v>0</v>
      </c>
      <c r="I744" t="str">
        <f>RTD("nest.scriprtd",,"bse_cm|CIF29","LTT")</f>
        <v>00:00:00</v>
      </c>
      <c r="J744">
        <f>RTD("nest.scriprtd",,"bse_cm|CIF29","% Change")</f>
        <v>-100</v>
      </c>
      <c r="K744">
        <f>RTD("nest.scriprtd",,"bse_cm|CIF29","ATP")</f>
        <v>0</v>
      </c>
      <c r="L744">
        <f>RTD("nest.scriprtd",,"bse_cm|CIF29","Volume Traded Today")</f>
        <v>0</v>
      </c>
      <c r="M744">
        <f>RTD("nest.scriprtd",,"bse_cm|CIF29","Open")</f>
        <v>0</v>
      </c>
      <c r="N744">
        <f>RTD("nest.scriprtd",,"bse_cm|CIF29","High")</f>
        <v>1000</v>
      </c>
      <c r="O744">
        <f>RTD("nest.scriprtd",,"bse_cm|CIF29","Low ")</f>
        <v>1000</v>
      </c>
      <c r="P744">
        <f>RTD("nest.scriprtd",,"bse_cm|CIF29","Prev Close")</f>
        <v>1000</v>
      </c>
      <c r="Q744">
        <f>RTD("nest.scriprtd",,"bse_cm|CIF29","Face Value")</f>
        <v>1000</v>
      </c>
      <c r="R744" t="str">
        <f>RTD("nest.scriprtd",,"bse_cm|CIF29","Isin code")</f>
        <v>INE121A07RU5</v>
      </c>
      <c r="S744" s="9">
        <f>Table1[[#This Row],[Ask Rate]]*Table1[[#This Row],[Ask Qty]]</f>
        <v>0</v>
      </c>
      <c r="T744">
        <f>VLOOKUP(Table1[[#This Row],[Isin code]],Table2[#All],7,FALSE)</f>
        <v>0</v>
      </c>
      <c r="U744" s="17" t="str">
        <f>VLOOKUP(Table1[[#This Row],[Isin code]],Table2[#All],8,FALSE)</f>
        <v>31-Jan-2029</v>
      </c>
      <c r="V744" s="10">
        <f ca="1">Table1[[#This Row],[Maturity]]-TODAY()</f>
        <v>1568</v>
      </c>
      <c r="W744" t="str">
        <f>VLOOKUP(Table1[[#This Row],[Isin code]],Table2[#All],10,FALSE)</f>
        <v>Yearly</v>
      </c>
      <c r="X744">
        <f ca="1">_xlfn.DAYS(Table1[[#This Row],[Maturity]],TODAY())-15</f>
        <v>1553</v>
      </c>
      <c r="Y7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744">
        <f>IF(Table1[[#This Row],[Ask Rate]]=0,0,Table1[[#This Row],[Face Value]]-Table1[[#This Row],[Ask Rate]])</f>
        <v>0</v>
      </c>
      <c r="AA74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4">
        <f ca="1">Table1[[#This Row],[Face Value]]*Table1[[#This Row],[Rate]]*Table1[[#This Row],[Time]]</f>
        <v>0</v>
      </c>
      <c r="AC744">
        <f ca="1">Table1[[#This Row],[SI]]+Table1[[#This Row],[Disc/Prem]]</f>
        <v>0</v>
      </c>
      <c r="AD744" s="3" t="e">
        <f ca="1">Table1[[#This Row],[Net Gain]]/Table1[[#This Row],[Ask Rate]]</f>
        <v>#DIV/0!</v>
      </c>
      <c r="AE744" s="3">
        <f>IF(Table1[[#This Row],[Ask Qty]]=0,0,Table1[[#This Row],[Gross Yield]]*365/Table1[[#This Row],[Days Left]])</f>
        <v>0</v>
      </c>
      <c r="AF744" s="9">
        <f ca="1">+Table1[[#This Row],[Net Gain]]*Table1[[#This Row],[Ask Qty]]</f>
        <v>0</v>
      </c>
      <c r="AG744" t="str">
        <f>IF(Table1[[#This Row],[YTM]]&gt;0.12,IF(Table1[[#This Row],[Gross Profit]]&gt;10000,"Invest","Review"),"Low YTM")</f>
        <v>Low YTM</v>
      </c>
    </row>
    <row r="745" spans="1:33" x14ac:dyDescent="0.3">
      <c r="A745" t="str">
        <f>RTD("nest.scriprtd",,"bse_cm|CIF27","Symbol")</f>
        <v>CIF27</v>
      </c>
      <c r="B745" t="str">
        <f>RTD("nest.scriprtd",,"bse_cm|CIF27","Trading Symbol")</f>
        <v>CIF27</v>
      </c>
      <c r="C745" t="str">
        <f>RTD("nest.scriprtd",,"bse_cm|CIF27","Exchange")</f>
        <v>BSE</v>
      </c>
      <c r="D745">
        <f>RTD("nest.scriprtd",,"bse_cm|CIF27","Bid Qty")</f>
        <v>35</v>
      </c>
      <c r="E745">
        <f>RTD("nest.scriprtd",,"bse_cm|CIF27","Bid Rate")</f>
        <v>885.8</v>
      </c>
      <c r="F745">
        <f>RTD("nest.scriprtd",,"bse_cm|CIF27","Ask Rate")</f>
        <v>0</v>
      </c>
      <c r="G745">
        <f>RTD("nest.scriprtd",,"bse_cm|CIF27","Ask Qty")</f>
        <v>0</v>
      </c>
      <c r="H745">
        <f>RTD("nest.scriprtd",,"bse_cm|CIF27","LTP")</f>
        <v>0</v>
      </c>
      <c r="I745" t="str">
        <f>RTD("nest.scriprtd",,"bse_cm|CIF27","LTT")</f>
        <v>00:00:00</v>
      </c>
      <c r="J745">
        <f>RTD("nest.scriprtd",,"bse_cm|CIF27","% Change")</f>
        <v>-100</v>
      </c>
      <c r="K745">
        <f>RTD("nest.scriprtd",,"bse_cm|CIF27","ATP")</f>
        <v>0</v>
      </c>
      <c r="L745">
        <f>RTD("nest.scriprtd",,"bse_cm|CIF27","Volume Traded Today")</f>
        <v>0</v>
      </c>
      <c r="M745">
        <f>RTD("nest.scriprtd",,"bse_cm|CIF27","Open")</f>
        <v>0</v>
      </c>
      <c r="N745">
        <f>RTD("nest.scriprtd",,"bse_cm|CIF27","High")</f>
        <v>0</v>
      </c>
      <c r="O745">
        <f>RTD("nest.scriprtd",,"bse_cm|CIF27","Low ")</f>
        <v>0</v>
      </c>
      <c r="P745">
        <f>RTD("nest.scriprtd",,"bse_cm|CIF27","Prev Close")</f>
        <v>1000</v>
      </c>
      <c r="Q745">
        <f>RTD("nest.scriprtd",,"bse_cm|CIF27","Face Value")</f>
        <v>1000</v>
      </c>
      <c r="R745" t="str">
        <f>RTD("nest.scriprtd",,"bse_cm|CIF27","Isin code")</f>
        <v>INE121A07RS9</v>
      </c>
      <c r="S745" s="9">
        <f>Table1[[#This Row],[Ask Rate]]*Table1[[#This Row],[Ask Qty]]</f>
        <v>0</v>
      </c>
      <c r="T745" t="str">
        <f>VLOOKUP(Table1[[#This Row],[Isin code]],Table2[#All],7,FALSE)</f>
        <v>--</v>
      </c>
      <c r="U745" s="17" t="str">
        <f>VLOOKUP(Table1[[#This Row],[Isin code]],Table2[#All],8,FALSE)</f>
        <v>31-Jan-2027</v>
      </c>
      <c r="V745" s="10">
        <f ca="1">Table1[[#This Row],[Maturity]]-TODAY()</f>
        <v>837</v>
      </c>
      <c r="W745" t="str">
        <f>VLOOKUP(Table1[[#This Row],[Isin code]],Table2[#All],10,FALSE)</f>
        <v>At the End</v>
      </c>
      <c r="X745">
        <f ca="1">_xlfn.DAYS(Table1[[#This Row],[Maturity]],TODAY())-15</f>
        <v>822</v>
      </c>
      <c r="Y74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45">
        <f>IF(Table1[[#This Row],[Ask Rate]]=0,0,Table1[[#This Row],[Face Value]]-Table1[[#This Row],[Ask Rate]])</f>
        <v>0</v>
      </c>
      <c r="AA74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5">
        <f>Table1[[#This Row],[Face Value]]*Table1[[#This Row],[Rate]]*Table1[[#This Row],[Time]]</f>
        <v>0</v>
      </c>
      <c r="AC745">
        <f>Table1[[#This Row],[SI]]+Table1[[#This Row],[Disc/Prem]]</f>
        <v>0</v>
      </c>
      <c r="AD745" s="3" t="e">
        <f>Table1[[#This Row],[Net Gain]]/Table1[[#This Row],[Ask Rate]]</f>
        <v>#DIV/0!</v>
      </c>
      <c r="AE745" s="3">
        <f>IF(Table1[[#This Row],[Ask Qty]]=0,0,Table1[[#This Row],[Gross Yield]]*365/Table1[[#This Row],[Days Left]])</f>
        <v>0</v>
      </c>
      <c r="AF745" s="9">
        <f>+Table1[[#This Row],[Net Gain]]*Table1[[#This Row],[Ask Qty]]</f>
        <v>0</v>
      </c>
      <c r="AG745" t="str">
        <f>IF(Table1[[#This Row],[YTM]]&gt;0.12,IF(Table1[[#This Row],[Gross Profit]]&gt;10000,"Invest","Review"),"Low YTM")</f>
        <v>Low YTM</v>
      </c>
    </row>
    <row r="746" spans="1:33" x14ac:dyDescent="0.3">
      <c r="A746" t="str">
        <f>RTD("nest.scriprtd",,"bse_cm|CCILZC30","Symbol")</f>
        <v>CCILZC30</v>
      </c>
      <c r="B746" t="str">
        <f>RTD("nest.scriprtd",,"bse_cm|CCILZC30","Trading Symbol")</f>
        <v>CCILZC30</v>
      </c>
      <c r="C746" t="str">
        <f>RTD("nest.scriprtd",,"bse_cm|CCILZC30","Exchange")</f>
        <v>BSE</v>
      </c>
      <c r="D746">
        <f>RTD("nest.scriprtd",,"bse_cm|CCILZC30","Bid Qty")</f>
        <v>25</v>
      </c>
      <c r="E746">
        <f>RTD("nest.scriprtd",,"bse_cm|CCILZC30","Bid Rate")</f>
        <v>875.2</v>
      </c>
      <c r="F746">
        <f>RTD("nest.scriprtd",,"bse_cm|CCILZC30","Ask Rate")</f>
        <v>0</v>
      </c>
      <c r="G746">
        <f>RTD("nest.scriprtd",,"bse_cm|CCILZC30","Ask Qty")</f>
        <v>0</v>
      </c>
      <c r="H746">
        <f>RTD("nest.scriprtd",,"bse_cm|CCILZC30","LTP")</f>
        <v>0</v>
      </c>
      <c r="I746" t="str">
        <f>RTD("nest.scriprtd",,"bse_cm|CCILZC30","LTT")</f>
        <v>00:00:00</v>
      </c>
      <c r="J746">
        <f>RTD("nest.scriprtd",,"bse_cm|CCILZC30","% Change")</f>
        <v>-100</v>
      </c>
      <c r="K746">
        <f>RTD("nest.scriprtd",,"bse_cm|CCILZC30","ATP")</f>
        <v>0</v>
      </c>
      <c r="L746">
        <f>RTD("nest.scriprtd",,"bse_cm|CCILZC30","Volume Traded Today")</f>
        <v>0</v>
      </c>
      <c r="M746">
        <f>RTD("nest.scriprtd",,"bse_cm|CCILZC30","Open")</f>
        <v>0</v>
      </c>
      <c r="N746">
        <f>RTD("nest.scriprtd",,"bse_cm|CCILZC30","High")</f>
        <v>980</v>
      </c>
      <c r="O746">
        <f>RTD("nest.scriprtd",,"bse_cm|CCILZC30","Low ")</f>
        <v>845.8</v>
      </c>
      <c r="P746">
        <f>RTD("nest.scriprtd",,"bse_cm|CCILZC30","Prev Close")</f>
        <v>980</v>
      </c>
      <c r="Q746">
        <f>RTD("nest.scriprtd",,"bse_cm|CCILZC30","Face Value")</f>
        <v>1000</v>
      </c>
      <c r="R746" t="str">
        <f>RTD("nest.scriprtd",,"bse_cm|CCILZC30","Isin code")</f>
        <v>INE051307AK9</v>
      </c>
      <c r="S746" s="9">
        <f>Table1[[#This Row],[Ask Rate]]*Table1[[#This Row],[Ask Qty]]</f>
        <v>0</v>
      </c>
      <c r="T746" t="str">
        <f>VLOOKUP(Table1[[#This Row],[Isin code]],Table2[#All],7,FALSE)</f>
        <v>--</v>
      </c>
      <c r="U746" s="17" t="str">
        <f>VLOOKUP(Table1[[#This Row],[Isin code]],Table2[#All],8,FALSE)</f>
        <v>03-Jan-2030</v>
      </c>
      <c r="V746" s="10">
        <f ca="1">Table1[[#This Row],[Maturity]]-TODAY()</f>
        <v>1905</v>
      </c>
      <c r="W746" t="str">
        <f>VLOOKUP(Table1[[#This Row],[Isin code]],Table2[#All],10,FALSE)</f>
        <v>At the End</v>
      </c>
      <c r="X746">
        <f ca="1">_xlfn.DAYS(Table1[[#This Row],[Maturity]],TODAY())-15</f>
        <v>1890</v>
      </c>
      <c r="Y74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46">
        <f>IF(Table1[[#This Row],[Ask Rate]]=0,0,Table1[[#This Row],[Face Value]]-Table1[[#This Row],[Ask Rate]])</f>
        <v>0</v>
      </c>
      <c r="AA74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6">
        <f>Table1[[#This Row],[Face Value]]*Table1[[#This Row],[Rate]]*Table1[[#This Row],[Time]]</f>
        <v>0</v>
      </c>
      <c r="AC746">
        <f>Table1[[#This Row],[SI]]+Table1[[#This Row],[Disc/Prem]]</f>
        <v>0</v>
      </c>
      <c r="AD746" s="3" t="e">
        <f>Table1[[#This Row],[Net Gain]]/Table1[[#This Row],[Ask Rate]]</f>
        <v>#DIV/0!</v>
      </c>
      <c r="AE746" s="3">
        <f>IF(Table1[[#This Row],[Ask Qty]]=0,0,Table1[[#This Row],[Gross Yield]]*365/Table1[[#This Row],[Days Left]])</f>
        <v>0</v>
      </c>
      <c r="AF746" s="9">
        <f>+Table1[[#This Row],[Net Gain]]*Table1[[#This Row],[Ask Qty]]</f>
        <v>0</v>
      </c>
      <c r="AG746" t="str">
        <f>IF(Table1[[#This Row],[YTM]]&gt;0.12,IF(Table1[[#This Row],[Gross Profit]]&gt;10000,"Invest","Review"),"Low YTM")</f>
        <v>Low YTM</v>
      </c>
    </row>
    <row r="747" spans="1:33" x14ac:dyDescent="0.3">
      <c r="A747" t="str">
        <f>RTD("nest.scriprtd",,"bse_cm|CCILZC29","Symbol")</f>
        <v>CCILZC29</v>
      </c>
      <c r="B747" t="str">
        <f>RTD("nest.scriprtd",,"bse_cm|CCILZC29","Trading Symbol")</f>
        <v>CCILZC29</v>
      </c>
      <c r="C747" t="str">
        <f>RTD("nest.scriprtd",,"bse_cm|CCILZC29","Exchange")</f>
        <v>BSE</v>
      </c>
      <c r="D747">
        <f>RTD("nest.scriprtd",,"bse_cm|CCILZC29","Bid Qty")</f>
        <v>25</v>
      </c>
      <c r="E747">
        <f>RTD("nest.scriprtd",,"bse_cm|CCILZC29","Bid Rate")</f>
        <v>959.8</v>
      </c>
      <c r="F747">
        <f>RTD("nest.scriprtd",,"bse_cm|CCILZC29","Ask Rate")</f>
        <v>0</v>
      </c>
      <c r="G747">
        <f>RTD("nest.scriprtd",,"bse_cm|CCILZC29","Ask Qty")</f>
        <v>0</v>
      </c>
      <c r="H747">
        <f>RTD("nest.scriprtd",,"bse_cm|CCILZC29","LTP")</f>
        <v>0</v>
      </c>
      <c r="I747" t="str">
        <f>RTD("nest.scriprtd",,"bse_cm|CCILZC29","LTT")</f>
        <v>00:00:00</v>
      </c>
      <c r="J747">
        <f>RTD("nest.scriprtd",,"bse_cm|CCILZC29","% Change")</f>
        <v>-100</v>
      </c>
      <c r="K747">
        <f>RTD("nest.scriprtd",,"bse_cm|CCILZC29","ATP")</f>
        <v>0</v>
      </c>
      <c r="L747">
        <f>RTD("nest.scriprtd",,"bse_cm|CCILZC29","Volume Traded Today")</f>
        <v>0</v>
      </c>
      <c r="M747">
        <f>RTD("nest.scriprtd",,"bse_cm|CCILZC29","Open")</f>
        <v>0</v>
      </c>
      <c r="N747">
        <f>RTD("nest.scriprtd",,"bse_cm|CCILZC29","High")</f>
        <v>1100</v>
      </c>
      <c r="O747">
        <f>RTD("nest.scriprtd",,"bse_cm|CCILZC29","Low ")</f>
        <v>1100</v>
      </c>
      <c r="P747">
        <f>RTD("nest.scriprtd",,"bse_cm|CCILZC29","Prev Close")</f>
        <v>1100</v>
      </c>
      <c r="Q747">
        <f>RTD("nest.scriprtd",,"bse_cm|CCILZC29","Face Value")</f>
        <v>1000</v>
      </c>
      <c r="R747" t="str">
        <f>RTD("nest.scriprtd",,"bse_cm|CCILZC29","Isin code")</f>
        <v>INE051307AE2</v>
      </c>
      <c r="S747" s="9">
        <f>Table1[[#This Row],[Ask Rate]]*Table1[[#This Row],[Ask Qty]]</f>
        <v>0</v>
      </c>
      <c r="T747" t="str">
        <f>VLOOKUP(Table1[[#This Row],[Isin code]],Table2[#All],7,FALSE)</f>
        <v>--</v>
      </c>
      <c r="U747" s="17" t="str">
        <f>VLOOKUP(Table1[[#This Row],[Isin code]],Table2[#All],8,FALSE)</f>
        <v>09-Mar-2029</v>
      </c>
      <c r="V747" s="10">
        <f ca="1">Table1[[#This Row],[Maturity]]-TODAY()</f>
        <v>1605</v>
      </c>
      <c r="W747" t="str">
        <f>VLOOKUP(Table1[[#This Row],[Isin code]],Table2[#All],10,FALSE)</f>
        <v>At the End</v>
      </c>
      <c r="X747">
        <f ca="1">_xlfn.DAYS(Table1[[#This Row],[Maturity]],TODAY())-15</f>
        <v>1590</v>
      </c>
      <c r="Y74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47">
        <f>IF(Table1[[#This Row],[Ask Rate]]=0,0,Table1[[#This Row],[Face Value]]-Table1[[#This Row],[Ask Rate]])</f>
        <v>0</v>
      </c>
      <c r="AA74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7">
        <f>Table1[[#This Row],[Face Value]]*Table1[[#This Row],[Rate]]*Table1[[#This Row],[Time]]</f>
        <v>0</v>
      </c>
      <c r="AC747">
        <f>Table1[[#This Row],[SI]]+Table1[[#This Row],[Disc/Prem]]</f>
        <v>0</v>
      </c>
      <c r="AD747" s="3" t="e">
        <f>Table1[[#This Row],[Net Gain]]/Table1[[#This Row],[Ask Rate]]</f>
        <v>#DIV/0!</v>
      </c>
      <c r="AE747" s="3">
        <f>IF(Table1[[#This Row],[Ask Qty]]=0,0,Table1[[#This Row],[Gross Yield]]*365/Table1[[#This Row],[Days Left]])</f>
        <v>0</v>
      </c>
      <c r="AF747" s="9">
        <f>+Table1[[#This Row],[Net Gain]]*Table1[[#This Row],[Ask Qty]]</f>
        <v>0</v>
      </c>
      <c r="AG747" t="str">
        <f>IF(Table1[[#This Row],[YTM]]&gt;0.12,IF(Table1[[#This Row],[Gross Profit]]&gt;10000,"Invest","Review"),"Low YTM")</f>
        <v>Low YTM</v>
      </c>
    </row>
    <row r="748" spans="1:33" x14ac:dyDescent="0.3">
      <c r="A748" t="str">
        <f>RTD("nest.scriprtd",,"bse_cm|CCILZC26","Symbol")</f>
        <v>CCILZC26</v>
      </c>
      <c r="B748" t="str">
        <f>RTD("nest.scriprtd",,"bse_cm|CCILZC26","Trading Symbol")</f>
        <v>CCILZC26</v>
      </c>
      <c r="C748" t="str">
        <f>RTD("nest.scriprtd",,"bse_cm|CCILZC26","Exchange")</f>
        <v>BSE</v>
      </c>
      <c r="D748">
        <f>RTD("nest.scriprtd",,"bse_cm|CCILZC26","Bid Qty")</f>
        <v>25</v>
      </c>
      <c r="E748">
        <f>RTD("nest.scriprtd",,"bse_cm|CCILZC26","Bid Rate")</f>
        <v>962.8</v>
      </c>
      <c r="F748">
        <f>RTD("nest.scriprtd",,"bse_cm|CCILZC26","Ask Rate")</f>
        <v>0</v>
      </c>
      <c r="G748">
        <f>RTD("nest.scriprtd",,"bse_cm|CCILZC26","Ask Qty")</f>
        <v>0</v>
      </c>
      <c r="H748">
        <f>RTD("nest.scriprtd",,"bse_cm|CCILZC26","LTP")</f>
        <v>0</v>
      </c>
      <c r="I748" t="str">
        <f>RTD("nest.scriprtd",,"bse_cm|CCILZC26","LTT")</f>
        <v>00:00:00</v>
      </c>
      <c r="J748">
        <f>RTD("nest.scriprtd",,"bse_cm|CCILZC26","% Change")</f>
        <v>-100</v>
      </c>
      <c r="K748">
        <f>RTD("nest.scriprtd",,"bse_cm|CCILZC26","ATP")</f>
        <v>0</v>
      </c>
      <c r="L748">
        <f>RTD("nest.scriprtd",,"bse_cm|CCILZC26","Volume Traded Today")</f>
        <v>0</v>
      </c>
      <c r="M748">
        <f>RTD("nest.scriprtd",,"bse_cm|CCILZC26","Open")</f>
        <v>0</v>
      </c>
      <c r="N748">
        <f>RTD("nest.scriprtd",,"bse_cm|CCILZC26","High")</f>
        <v>1137.32</v>
      </c>
      <c r="O748">
        <f>RTD("nest.scriprtd",,"bse_cm|CCILZC26","Low ")</f>
        <v>1010</v>
      </c>
      <c r="P748">
        <f>RTD("nest.scriprtd",,"bse_cm|CCILZC26","Prev Close")</f>
        <v>1137.32</v>
      </c>
      <c r="Q748">
        <f>RTD("nest.scriprtd",,"bse_cm|CCILZC26","Face Value")</f>
        <v>1000</v>
      </c>
      <c r="R748" t="str">
        <f>RTD("nest.scriprtd",,"bse_cm|CCILZC26","Isin code")</f>
        <v>INE051307AD4</v>
      </c>
      <c r="S748" s="9">
        <f>Table1[[#This Row],[Ask Rate]]*Table1[[#This Row],[Ask Qty]]</f>
        <v>0</v>
      </c>
      <c r="T748" t="str">
        <f>VLOOKUP(Table1[[#This Row],[Isin code]],Table2[#All],7,FALSE)</f>
        <v>--</v>
      </c>
      <c r="U748" s="17" t="str">
        <f>VLOOKUP(Table1[[#This Row],[Isin code]],Table2[#All],8,FALSE)</f>
        <v>09-Jan-2026</v>
      </c>
      <c r="V748" s="10">
        <f ca="1">Table1[[#This Row],[Maturity]]-TODAY()</f>
        <v>450</v>
      </c>
      <c r="W748" t="str">
        <f>VLOOKUP(Table1[[#This Row],[Isin code]],Table2[#All],10,FALSE)</f>
        <v>At the End</v>
      </c>
      <c r="X748">
        <f ca="1">_xlfn.DAYS(Table1[[#This Row],[Maturity]],TODAY())-15</f>
        <v>435</v>
      </c>
      <c r="Y74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48">
        <f>IF(Table1[[#This Row],[Ask Rate]]=0,0,Table1[[#This Row],[Face Value]]-Table1[[#This Row],[Ask Rate]])</f>
        <v>0</v>
      </c>
      <c r="AA74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8">
        <f>Table1[[#This Row],[Face Value]]*Table1[[#This Row],[Rate]]*Table1[[#This Row],[Time]]</f>
        <v>0</v>
      </c>
      <c r="AC748">
        <f>Table1[[#This Row],[SI]]+Table1[[#This Row],[Disc/Prem]]</f>
        <v>0</v>
      </c>
      <c r="AD748" s="3" t="e">
        <f>Table1[[#This Row],[Net Gain]]/Table1[[#This Row],[Ask Rate]]</f>
        <v>#DIV/0!</v>
      </c>
      <c r="AE748" s="3">
        <f>IF(Table1[[#This Row],[Ask Qty]]=0,0,Table1[[#This Row],[Gross Yield]]*365/Table1[[#This Row],[Days Left]])</f>
        <v>0</v>
      </c>
      <c r="AF748" s="9">
        <f>+Table1[[#This Row],[Net Gain]]*Table1[[#This Row],[Ask Qty]]</f>
        <v>0</v>
      </c>
      <c r="AG748" t="str">
        <f>IF(Table1[[#This Row],[YTM]]&gt;0.12,IF(Table1[[#This Row],[Gross Profit]]&gt;10000,"Invest","Review"),"Low YTM")</f>
        <v>Low YTM</v>
      </c>
    </row>
    <row r="749" spans="1:33" x14ac:dyDescent="0.3">
      <c r="A749" t="str">
        <f>RTD("nest.scriprtd",,"bse_cm|CCILZC25A","Symbol")</f>
        <v>CCILZC25A</v>
      </c>
      <c r="B749" t="str">
        <f>RTD("nest.scriprtd",,"bse_cm|CCILZC25A","Trading Symbol")</f>
        <v>CCILZC25A</v>
      </c>
      <c r="C749" t="str">
        <f>RTD("nest.scriprtd",,"bse_cm|CCILZC25A","Exchange")</f>
        <v>BSE</v>
      </c>
      <c r="D749">
        <f>RTD("nest.scriprtd",,"bse_cm|CCILZC25A","Bid Qty")</f>
        <v>12</v>
      </c>
      <c r="E749">
        <f>RTD("nest.scriprtd",,"bse_cm|CCILZC25A","Bid Rate")</f>
        <v>950.2</v>
      </c>
      <c r="F749">
        <f>RTD("nest.scriprtd",,"bse_cm|CCILZC25A","Ask Rate")</f>
        <v>0</v>
      </c>
      <c r="G749">
        <f>RTD("nest.scriprtd",,"bse_cm|CCILZC25A","Ask Qty")</f>
        <v>0</v>
      </c>
      <c r="H749">
        <f>RTD("nest.scriprtd",,"bse_cm|CCILZC25A","LTP")</f>
        <v>0</v>
      </c>
      <c r="I749" t="str">
        <f>RTD("nest.scriprtd",,"bse_cm|CCILZC25A","LTT")</f>
        <v>00:00:00</v>
      </c>
      <c r="J749">
        <f>RTD("nest.scriprtd",,"bse_cm|CCILZC25A","% Change")</f>
        <v>-100</v>
      </c>
      <c r="K749">
        <f>RTD("nest.scriprtd",,"bse_cm|CCILZC25A","ATP")</f>
        <v>0</v>
      </c>
      <c r="L749">
        <f>RTD("nest.scriprtd",,"bse_cm|CCILZC25A","Volume Traded Today")</f>
        <v>0</v>
      </c>
      <c r="M749">
        <f>RTD("nest.scriprtd",,"bse_cm|CCILZC25A","Open")</f>
        <v>0</v>
      </c>
      <c r="N749">
        <f>RTD("nest.scriprtd",,"bse_cm|CCILZC25A","High")</f>
        <v>1051.02</v>
      </c>
      <c r="O749">
        <f>RTD("nest.scriprtd",,"bse_cm|CCILZC25A","Low ")</f>
        <v>1025</v>
      </c>
      <c r="P749">
        <f>RTD("nest.scriprtd",,"bse_cm|CCILZC25A","Prev Close")</f>
        <v>1051.02</v>
      </c>
      <c r="Q749">
        <f>RTD("nest.scriprtd",,"bse_cm|CCILZC25A","Face Value")</f>
        <v>1000</v>
      </c>
      <c r="R749" t="str">
        <f>RTD("nest.scriprtd",,"bse_cm|CCILZC25A","Isin code")</f>
        <v>INE051307AI3</v>
      </c>
      <c r="S749" s="9">
        <f>Table1[[#This Row],[Ask Rate]]*Table1[[#This Row],[Ask Qty]]</f>
        <v>0</v>
      </c>
      <c r="T749" t="str">
        <f>VLOOKUP(Table1[[#This Row],[Isin code]],Table2[#All],7,FALSE)</f>
        <v>--</v>
      </c>
      <c r="U749" s="17" t="str">
        <f>VLOOKUP(Table1[[#This Row],[Isin code]],Table2[#All],8,FALSE)</f>
        <v>01-Nov-2025</v>
      </c>
      <c r="V749" s="10">
        <f ca="1">Table1[[#This Row],[Maturity]]-TODAY()</f>
        <v>381</v>
      </c>
      <c r="W749" t="str">
        <f>VLOOKUP(Table1[[#This Row],[Isin code]],Table2[#All],10,FALSE)</f>
        <v>At the End</v>
      </c>
      <c r="X749">
        <f ca="1">_xlfn.DAYS(Table1[[#This Row],[Maturity]],TODAY())-15</f>
        <v>366</v>
      </c>
      <c r="Y74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49">
        <f>IF(Table1[[#This Row],[Ask Rate]]=0,0,Table1[[#This Row],[Face Value]]-Table1[[#This Row],[Ask Rate]])</f>
        <v>0</v>
      </c>
      <c r="AA74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49">
        <f>Table1[[#This Row],[Face Value]]*Table1[[#This Row],[Rate]]*Table1[[#This Row],[Time]]</f>
        <v>0</v>
      </c>
      <c r="AC749">
        <f>Table1[[#This Row],[SI]]+Table1[[#This Row],[Disc/Prem]]</f>
        <v>0</v>
      </c>
      <c r="AD749" s="3" t="e">
        <f>Table1[[#This Row],[Net Gain]]/Table1[[#This Row],[Ask Rate]]</f>
        <v>#DIV/0!</v>
      </c>
      <c r="AE749" s="3">
        <f>IF(Table1[[#This Row],[Ask Qty]]=0,0,Table1[[#This Row],[Gross Yield]]*365/Table1[[#This Row],[Days Left]])</f>
        <v>0</v>
      </c>
      <c r="AF749" s="9">
        <f>+Table1[[#This Row],[Net Gain]]*Table1[[#This Row],[Ask Qty]]</f>
        <v>0</v>
      </c>
      <c r="AG749" t="str">
        <f>IF(Table1[[#This Row],[YTM]]&gt;0.12,IF(Table1[[#This Row],[Gross Profit]]&gt;10000,"Invest","Review"),"Low YTM")</f>
        <v>Low YTM</v>
      </c>
    </row>
    <row r="750" spans="1:33" hidden="1" x14ac:dyDescent="0.3">
      <c r="A750" t="str">
        <f>RTD("nest.scriprtd",,"bse_cm|CCILZC24","Symbol")</f>
        <v>CCILZC24</v>
      </c>
      <c r="B750" t="str">
        <f>RTD("nest.scriprtd",,"bse_cm|CCILZC24","Trading Symbol")</f>
        <v>CCILZC24</v>
      </c>
      <c r="C750" t="str">
        <f>RTD("nest.scriprtd",,"bse_cm|CCILZC24","Exchange")</f>
        <v>BSE</v>
      </c>
      <c r="D750">
        <f>RTD("nest.scriprtd",,"bse_cm|CCILZC24","Bid Qty")</f>
        <v>20</v>
      </c>
      <c r="E750">
        <f>RTD("nest.scriprtd",,"bse_cm|CCILZC24","Bid Rate")</f>
        <v>922.2</v>
      </c>
      <c r="F750">
        <f>RTD("nest.scriprtd",,"bse_cm|CCILZC24","Ask Rate")</f>
        <v>0</v>
      </c>
      <c r="G750">
        <f>RTD("nest.scriprtd",,"bse_cm|CCILZC24","Ask Qty")</f>
        <v>0</v>
      </c>
      <c r="H750">
        <f>RTD("nest.scriprtd",,"bse_cm|CCILZC24","LTP")</f>
        <v>0</v>
      </c>
      <c r="I750" t="str">
        <f>RTD("nest.scriprtd",,"bse_cm|CCILZC24","LTT")</f>
        <v>00:00:00</v>
      </c>
      <c r="J750">
        <f>RTD("nest.scriprtd",,"bse_cm|CCILZC24","% Change")</f>
        <v>-100</v>
      </c>
      <c r="K750">
        <f>RTD("nest.scriprtd",,"bse_cm|CCILZC24","ATP")</f>
        <v>0</v>
      </c>
      <c r="L750">
        <f>RTD("nest.scriprtd",,"bse_cm|CCILZC24","Volume Traded Today")</f>
        <v>0</v>
      </c>
      <c r="M750">
        <f>RTD("nest.scriprtd",,"bse_cm|CCILZC24","Open")</f>
        <v>0</v>
      </c>
      <c r="N750">
        <f>RTD("nest.scriprtd",,"bse_cm|CCILZC24","High")</f>
        <v>1030</v>
      </c>
      <c r="O750">
        <f>RTD("nest.scriprtd",,"bse_cm|CCILZC24","Low ")</f>
        <v>1000</v>
      </c>
      <c r="P750">
        <f>RTD("nest.scriprtd",,"bse_cm|CCILZC24","Prev Close")</f>
        <v>1030</v>
      </c>
      <c r="Q750">
        <f>RTD("nest.scriprtd",,"bse_cm|CCILZC24","Face Value")</f>
        <v>1000</v>
      </c>
      <c r="R750" t="str">
        <f>RTD("nest.scriprtd",,"bse_cm|CCILZC24","Isin code")</f>
        <v>INE051307AL7</v>
      </c>
      <c r="S750" s="9">
        <f>Table1[[#This Row],[Ask Rate]]*Table1[[#This Row],[Ask Qty]]</f>
        <v>0</v>
      </c>
      <c r="T750" t="str">
        <f>VLOOKUP(Table1[[#This Row],[Isin code]],Table2[#All],7,FALSE)</f>
        <v>x</v>
      </c>
      <c r="U750" s="17" t="str">
        <f>VLOOKUP(Table1[[#This Row],[Isin code]],Table2[#All],8,FALSE)</f>
        <v>x</v>
      </c>
      <c r="V750" s="10" t="e">
        <f ca="1">Table1[[#This Row],[Maturity]]-TODAY()</f>
        <v>#VALUE!</v>
      </c>
      <c r="W750" t="str">
        <f>VLOOKUP(Table1[[#This Row],[Isin code]],Table2[#All],10,FALSE)</f>
        <v>x</v>
      </c>
      <c r="X750" t="e">
        <f ca="1">_xlfn.DAYS(Table1[[#This Row],[Maturity]],TODAY())-15</f>
        <v>#VALUE!</v>
      </c>
      <c r="Y75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50">
        <f>IF(Table1[[#This Row],[Ask Rate]]=0,0,Table1[[#This Row],[Face Value]]-Table1[[#This Row],[Ask Rate]])</f>
        <v>0</v>
      </c>
      <c r="AA75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50">
        <f>Table1[[#This Row],[Face Value]]*Table1[[#This Row],[Rate]]*Table1[[#This Row],[Time]]</f>
        <v>0</v>
      </c>
      <c r="AC750">
        <f>Table1[[#This Row],[SI]]+Table1[[#This Row],[Disc/Prem]]</f>
        <v>0</v>
      </c>
      <c r="AD750" s="3" t="e">
        <f>Table1[[#This Row],[Net Gain]]/Table1[[#This Row],[Ask Rate]]</f>
        <v>#DIV/0!</v>
      </c>
      <c r="AE750" s="3">
        <f>IF(Table1[[#This Row],[Ask Qty]]=0,0,Table1[[#This Row],[Gross Yield]]*365/Table1[[#This Row],[Days Left]])</f>
        <v>0</v>
      </c>
      <c r="AF750" s="9">
        <f>+Table1[[#This Row],[Net Gain]]*Table1[[#This Row],[Ask Qty]]</f>
        <v>0</v>
      </c>
      <c r="AG750" t="str">
        <f>IF(Table1[[#This Row],[YTM]]&gt;0.12,IF(Table1[[#This Row],[Gross Profit]]&gt;10000,"Invest","Review"),"Low YTM")</f>
        <v>Low YTM</v>
      </c>
    </row>
    <row r="751" spans="1:33" x14ac:dyDescent="0.3">
      <c r="A751" t="str">
        <f>RTD("nest.scriprtd",,"bse_cm|CCIL14824C","Symbol")</f>
        <v>CCIL14824C</v>
      </c>
      <c r="B751" t="str">
        <f>RTD("nest.scriprtd",,"bse_cm|CCIL14824C","Trading Symbol")</f>
        <v>CCIL14824C</v>
      </c>
      <c r="C751" t="str">
        <f>RTD("nest.scriprtd",,"bse_cm|CCIL14824C","Exchange")</f>
        <v>BSE</v>
      </c>
      <c r="D751">
        <f>RTD("nest.scriprtd",,"bse_cm|CCIL14824C","Bid Qty")</f>
        <v>24</v>
      </c>
      <c r="E751">
        <f>RTD("nest.scriprtd",,"bse_cm|CCIL14824C","Bid Rate")</f>
        <v>842.8</v>
      </c>
      <c r="F751">
        <f>RTD("nest.scriprtd",,"bse_cm|CCIL14824C","Ask Rate")</f>
        <v>0</v>
      </c>
      <c r="G751">
        <f>RTD("nest.scriprtd",,"bse_cm|CCIL14824C","Ask Qty")</f>
        <v>0</v>
      </c>
      <c r="H751">
        <f>RTD("nest.scriprtd",,"bse_cm|CCIL14824C","LTP")</f>
        <v>0</v>
      </c>
      <c r="I751" t="str">
        <f>RTD("nest.scriprtd",,"bse_cm|CCIL14824C","LTT")</f>
        <v>00:00:00</v>
      </c>
      <c r="J751">
        <f>RTD("nest.scriprtd",,"bse_cm|CCIL14824C","% Change")</f>
        <v>-100</v>
      </c>
      <c r="K751">
        <f>RTD("nest.scriprtd",,"bse_cm|CCIL14824C","ATP")</f>
        <v>0</v>
      </c>
      <c r="L751">
        <f>RTD("nest.scriprtd",,"bse_cm|CCIL14824C","Volume Traded Today")</f>
        <v>0</v>
      </c>
      <c r="M751">
        <f>RTD("nest.scriprtd",,"bse_cm|CCIL14824C","Open")</f>
        <v>0</v>
      </c>
      <c r="N751">
        <f>RTD("nest.scriprtd",,"bse_cm|CCIL14824C","High")</f>
        <v>0</v>
      </c>
      <c r="O751">
        <f>RTD("nest.scriprtd",,"bse_cm|CCIL14824C","Low ")</f>
        <v>0</v>
      </c>
      <c r="P751">
        <f>RTD("nest.scriprtd",,"bse_cm|CCIL14824C","Prev Close")</f>
        <v>1000</v>
      </c>
      <c r="Q751">
        <f>RTD("nest.scriprtd",,"bse_cm|CCIL14824C","Face Value")</f>
        <v>1000</v>
      </c>
      <c r="R751" t="str">
        <f>RTD("nest.scriprtd",,"bse_cm|CCIL14824C","Isin code")</f>
        <v>INE051307AY0</v>
      </c>
      <c r="S751" s="9">
        <f>Table1[[#This Row],[Ask Rate]]*Table1[[#This Row],[Ask Qty]]</f>
        <v>0</v>
      </c>
      <c r="T751" t="str">
        <f>VLOOKUP(Table1[[#This Row],[Isin code]],Table2[#All],7,FALSE)</f>
        <v>--</v>
      </c>
      <c r="U751" s="17" t="str">
        <f>VLOOKUP(Table1[[#This Row],[Isin code]],Table2[#All],8,FALSE)</f>
        <v>13-Jun-2030</v>
      </c>
      <c r="V751" s="10">
        <f ca="1">Table1[[#This Row],[Maturity]]-TODAY()</f>
        <v>2066</v>
      </c>
      <c r="W751" t="str">
        <f>VLOOKUP(Table1[[#This Row],[Isin code]],Table2[#All],10,FALSE)</f>
        <v>At the End</v>
      </c>
      <c r="X751">
        <f ca="1">_xlfn.DAYS(Table1[[#This Row],[Maturity]],TODAY())-15</f>
        <v>2051</v>
      </c>
      <c r="Y75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51">
        <f>IF(Table1[[#This Row],[Ask Rate]]=0,0,Table1[[#This Row],[Face Value]]-Table1[[#This Row],[Ask Rate]])</f>
        <v>0</v>
      </c>
      <c r="AA75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51">
        <f>Table1[[#This Row],[Face Value]]*Table1[[#This Row],[Rate]]*Table1[[#This Row],[Time]]</f>
        <v>0</v>
      </c>
      <c r="AC751">
        <f>Table1[[#This Row],[SI]]+Table1[[#This Row],[Disc/Prem]]</f>
        <v>0</v>
      </c>
      <c r="AD751" s="3" t="e">
        <f>Table1[[#This Row],[Net Gain]]/Table1[[#This Row],[Ask Rate]]</f>
        <v>#DIV/0!</v>
      </c>
      <c r="AE751" s="3">
        <f>IF(Table1[[#This Row],[Ask Qty]]=0,0,Table1[[#This Row],[Gross Yield]]*365/Table1[[#This Row],[Days Left]])</f>
        <v>0</v>
      </c>
      <c r="AF751" s="9">
        <f>+Table1[[#This Row],[Net Gain]]*Table1[[#This Row],[Ask Qty]]</f>
        <v>0</v>
      </c>
      <c r="AG751" t="str">
        <f>IF(Table1[[#This Row],[YTM]]&gt;0.12,IF(Table1[[#This Row],[Gross Profit]]&gt;10000,"Invest","Review"),"Low YTM")</f>
        <v>Low YTM</v>
      </c>
    </row>
    <row r="752" spans="1:33" x14ac:dyDescent="0.3">
      <c r="A752" t="str">
        <f>RTD("nest.scriprtd",,"bse_cm|CCIL14824B","Symbol")</f>
        <v>CCIL14824B</v>
      </c>
      <c r="B752" t="str">
        <f>RTD("nest.scriprtd",,"bse_cm|CCIL14824B","Trading Symbol")</f>
        <v>CCIL14824B</v>
      </c>
      <c r="C752" t="str">
        <f>RTD("nest.scriprtd",,"bse_cm|CCIL14824B","Exchange")</f>
        <v>BSE</v>
      </c>
      <c r="D752">
        <f>RTD("nest.scriprtd",,"bse_cm|CCIL14824B","Bid Qty")</f>
        <v>22</v>
      </c>
      <c r="E752">
        <f>RTD("nest.scriprtd",,"bse_cm|CCIL14824B","Bid Rate")</f>
        <v>845.2</v>
      </c>
      <c r="F752">
        <f>RTD("nest.scriprtd",,"bse_cm|CCIL14824B","Ask Rate")</f>
        <v>0</v>
      </c>
      <c r="G752">
        <f>RTD("nest.scriprtd",,"bse_cm|CCIL14824B","Ask Qty")</f>
        <v>0</v>
      </c>
      <c r="H752">
        <f>RTD("nest.scriprtd",,"bse_cm|CCIL14824B","LTP")</f>
        <v>0</v>
      </c>
      <c r="I752" t="str">
        <f>RTD("nest.scriprtd",,"bse_cm|CCIL14824B","LTT")</f>
        <v>00:00:00</v>
      </c>
      <c r="J752">
        <f>RTD("nest.scriprtd",,"bse_cm|CCIL14824B","% Change")</f>
        <v>-100</v>
      </c>
      <c r="K752">
        <f>RTD("nest.scriprtd",,"bse_cm|CCIL14824B","ATP")</f>
        <v>0</v>
      </c>
      <c r="L752">
        <f>RTD("nest.scriprtd",,"bse_cm|CCIL14824B","Volume Traded Today")</f>
        <v>0</v>
      </c>
      <c r="M752">
        <f>RTD("nest.scriprtd",,"bse_cm|CCIL14824B","Open")</f>
        <v>0</v>
      </c>
      <c r="N752">
        <f>RTD("nest.scriprtd",,"bse_cm|CCIL14824B","High")</f>
        <v>0</v>
      </c>
      <c r="O752">
        <f>RTD("nest.scriprtd",,"bse_cm|CCIL14824B","Low ")</f>
        <v>0</v>
      </c>
      <c r="P752">
        <f>RTD("nest.scriprtd",,"bse_cm|CCIL14824B","Prev Close")</f>
        <v>1000</v>
      </c>
      <c r="Q752">
        <f>RTD("nest.scriprtd",,"bse_cm|CCIL14824B","Face Value")</f>
        <v>1000</v>
      </c>
      <c r="R752" t="str">
        <f>RTD("nest.scriprtd",,"bse_cm|CCIL14824B","Isin code")</f>
        <v>INE051307BF7</v>
      </c>
      <c r="S752" s="9">
        <f>Table1[[#This Row],[Ask Rate]]*Table1[[#This Row],[Ask Qty]]</f>
        <v>0</v>
      </c>
      <c r="T752" t="str">
        <f>VLOOKUP(Table1[[#This Row],[Isin code]],Table2[#All],7,FALSE)</f>
        <v>--</v>
      </c>
      <c r="U752" s="17" t="str">
        <f>VLOOKUP(Table1[[#This Row],[Isin code]],Table2[#All],8,FALSE)</f>
        <v>13-Aug-2029</v>
      </c>
      <c r="V752" s="10">
        <f ca="1">Table1[[#This Row],[Maturity]]-TODAY()</f>
        <v>1762</v>
      </c>
      <c r="W752" t="str">
        <f>VLOOKUP(Table1[[#This Row],[Isin code]],Table2[#All],10,FALSE)</f>
        <v>At the End</v>
      </c>
      <c r="X752">
        <f ca="1">_xlfn.DAYS(Table1[[#This Row],[Maturity]],TODAY())-15</f>
        <v>1747</v>
      </c>
      <c r="Y75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52">
        <f>IF(Table1[[#This Row],[Ask Rate]]=0,0,Table1[[#This Row],[Face Value]]-Table1[[#This Row],[Ask Rate]])</f>
        <v>0</v>
      </c>
      <c r="AA75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52">
        <f>Table1[[#This Row],[Face Value]]*Table1[[#This Row],[Rate]]*Table1[[#This Row],[Time]]</f>
        <v>0</v>
      </c>
      <c r="AC752">
        <f>Table1[[#This Row],[SI]]+Table1[[#This Row],[Disc/Prem]]</f>
        <v>0</v>
      </c>
      <c r="AD752" s="3" t="e">
        <f>Table1[[#This Row],[Net Gain]]/Table1[[#This Row],[Ask Rate]]</f>
        <v>#DIV/0!</v>
      </c>
      <c r="AE752" s="3">
        <f>IF(Table1[[#This Row],[Ask Qty]]=0,0,Table1[[#This Row],[Gross Yield]]*365/Table1[[#This Row],[Days Left]])</f>
        <v>0</v>
      </c>
      <c r="AF752" s="9">
        <f>+Table1[[#This Row],[Net Gain]]*Table1[[#This Row],[Ask Qty]]</f>
        <v>0</v>
      </c>
      <c r="AG752" t="str">
        <f>IF(Table1[[#This Row],[YTM]]&gt;0.12,IF(Table1[[#This Row],[Gross Profit]]&gt;10000,"Invest","Review"),"Low YTM")</f>
        <v>Low YTM</v>
      </c>
    </row>
    <row r="753" spans="1:33" x14ac:dyDescent="0.3">
      <c r="A753" t="str">
        <f>RTD("nest.scriprtd",,"bse_cm|CCIL14824","Symbol")</f>
        <v>CCIL14824</v>
      </c>
      <c r="B753" t="str">
        <f>RTD("nest.scriprtd",,"bse_cm|CCIL14824","Trading Symbol")</f>
        <v>CCIL14824</v>
      </c>
      <c r="C753" t="str">
        <f>RTD("nest.scriprtd",,"bse_cm|CCIL14824","Exchange")</f>
        <v>BSE</v>
      </c>
      <c r="D753">
        <f>RTD("nest.scriprtd",,"bse_cm|CCIL14824","Bid Qty")</f>
        <v>17</v>
      </c>
      <c r="E753">
        <f>RTD("nest.scriprtd",,"bse_cm|CCIL14824","Bid Rate")</f>
        <v>860.2</v>
      </c>
      <c r="F753">
        <f>RTD("nest.scriprtd",,"bse_cm|CCIL14824","Ask Rate")</f>
        <v>0</v>
      </c>
      <c r="G753">
        <f>RTD("nest.scriprtd",,"bse_cm|CCIL14824","Ask Qty")</f>
        <v>0</v>
      </c>
      <c r="H753">
        <f>RTD("nest.scriprtd",,"bse_cm|CCIL14824","LTP")</f>
        <v>0</v>
      </c>
      <c r="I753" t="str">
        <f>RTD("nest.scriprtd",,"bse_cm|CCIL14824","LTT")</f>
        <v>00:00:00</v>
      </c>
      <c r="J753">
        <f>RTD("nest.scriprtd",,"bse_cm|CCIL14824","% Change")</f>
        <v>-100</v>
      </c>
      <c r="K753">
        <f>RTD("nest.scriprtd",,"bse_cm|CCIL14824","ATP")</f>
        <v>0</v>
      </c>
      <c r="L753">
        <f>RTD("nest.scriprtd",,"bse_cm|CCIL14824","Volume Traded Today")</f>
        <v>0</v>
      </c>
      <c r="M753">
        <f>RTD("nest.scriprtd",,"bse_cm|CCIL14824","Open")</f>
        <v>0</v>
      </c>
      <c r="N753">
        <f>RTD("nest.scriprtd",,"bse_cm|CCIL14824","High")</f>
        <v>970</v>
      </c>
      <c r="O753">
        <f>RTD("nest.scriprtd",,"bse_cm|CCIL14824","Low ")</f>
        <v>970</v>
      </c>
      <c r="P753">
        <f>RTD("nest.scriprtd",,"bse_cm|CCIL14824","Prev Close")</f>
        <v>970</v>
      </c>
      <c r="Q753">
        <f>RTD("nest.scriprtd",,"bse_cm|CCIL14824","Face Value")</f>
        <v>1000</v>
      </c>
      <c r="R753" t="str">
        <f>RTD("nest.scriprtd",,"bse_cm|CCIL14824","Isin code")</f>
        <v>INE051307BG5</v>
      </c>
      <c r="S753" s="9">
        <f>Table1[[#This Row],[Ask Rate]]*Table1[[#This Row],[Ask Qty]]</f>
        <v>0</v>
      </c>
      <c r="T753" t="str">
        <f>VLOOKUP(Table1[[#This Row],[Isin code]],Table2[#All],7,FALSE)</f>
        <v>--</v>
      </c>
      <c r="U753" s="17" t="str">
        <f>VLOOKUP(Table1[[#This Row],[Isin code]],Table2[#All],8,FALSE)</f>
        <v>15-Aug-2025</v>
      </c>
      <c r="V753" s="10">
        <f ca="1">Table1[[#This Row],[Maturity]]-TODAY()</f>
        <v>303</v>
      </c>
      <c r="W753" t="str">
        <f>VLOOKUP(Table1[[#This Row],[Isin code]],Table2[#All],10,FALSE)</f>
        <v>At the End</v>
      </c>
      <c r="X753">
        <f ca="1">_xlfn.DAYS(Table1[[#This Row],[Maturity]],TODAY())-15</f>
        <v>288</v>
      </c>
      <c r="Y75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53">
        <f>IF(Table1[[#This Row],[Ask Rate]]=0,0,Table1[[#This Row],[Face Value]]-Table1[[#This Row],[Ask Rate]])</f>
        <v>0</v>
      </c>
      <c r="AA75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53">
        <f>Table1[[#This Row],[Face Value]]*Table1[[#This Row],[Rate]]*Table1[[#This Row],[Time]]</f>
        <v>0</v>
      </c>
      <c r="AC753">
        <f>Table1[[#This Row],[SI]]+Table1[[#This Row],[Disc/Prem]]</f>
        <v>0</v>
      </c>
      <c r="AD753" s="3" t="e">
        <f>Table1[[#This Row],[Net Gain]]/Table1[[#This Row],[Ask Rate]]</f>
        <v>#DIV/0!</v>
      </c>
      <c r="AE753" s="3">
        <f>IF(Table1[[#This Row],[Ask Qty]]=0,0,Table1[[#This Row],[Gross Yield]]*365/Table1[[#This Row],[Days Left]])</f>
        <v>0</v>
      </c>
      <c r="AF753" s="9">
        <f>+Table1[[#This Row],[Net Gain]]*Table1[[#This Row],[Ask Qty]]</f>
        <v>0</v>
      </c>
      <c r="AG753" t="str">
        <f>IF(Table1[[#This Row],[YTM]]&gt;0.12,IF(Table1[[#This Row],[Gross Profit]]&gt;10000,"Invest","Review"),"Low YTM")</f>
        <v>Low YTM</v>
      </c>
    </row>
    <row r="754" spans="1:33" hidden="1" x14ac:dyDescent="0.3">
      <c r="A754" t="str">
        <f>RTD("nest.scriprtd",,"bse_cm|CCIL110324","Symbol")</f>
        <v>CCIL110324</v>
      </c>
      <c r="B754" t="str">
        <f>RTD("nest.scriprtd",,"bse_cm|CCIL110324","Trading Symbol")</f>
        <v>CCIL110324</v>
      </c>
      <c r="C754" t="str">
        <f>RTD("nest.scriprtd",,"bse_cm|CCIL110324","Exchange")</f>
        <v>BSE</v>
      </c>
      <c r="D754">
        <f>RTD("nest.scriprtd",,"bse_cm|CCIL110324","Bid Qty")</f>
        <v>20</v>
      </c>
      <c r="E754">
        <f>RTD("nest.scriprtd",,"bse_cm|CCIL110324","Bid Rate")</f>
        <v>855.2</v>
      </c>
      <c r="F754">
        <f>RTD("nest.scriprtd",,"bse_cm|CCIL110324","Ask Rate")</f>
        <v>0</v>
      </c>
      <c r="G754">
        <f>RTD("nest.scriprtd",,"bse_cm|CCIL110324","Ask Qty")</f>
        <v>0</v>
      </c>
      <c r="H754">
        <f>RTD("nest.scriprtd",,"bse_cm|CCIL110324","LTP")</f>
        <v>0</v>
      </c>
      <c r="I754" t="str">
        <f>RTD("nest.scriprtd",,"bse_cm|CCIL110324","LTT")</f>
        <v>00:00:00</v>
      </c>
      <c r="J754">
        <f>RTD("nest.scriprtd",,"bse_cm|CCIL110324","% Change")</f>
        <v>-100</v>
      </c>
      <c r="K754">
        <f>RTD("nest.scriprtd",,"bse_cm|CCIL110324","ATP")</f>
        <v>0</v>
      </c>
      <c r="L754">
        <f>RTD("nest.scriprtd",,"bse_cm|CCIL110324","Volume Traded Today")</f>
        <v>0</v>
      </c>
      <c r="M754">
        <f>RTD("nest.scriprtd",,"bse_cm|CCIL110324","Open")</f>
        <v>0</v>
      </c>
      <c r="N754">
        <f>RTD("nest.scriprtd",,"bse_cm|CCIL110324","High")</f>
        <v>1000</v>
      </c>
      <c r="O754">
        <f>RTD("nest.scriprtd",,"bse_cm|CCIL110324","Low ")</f>
        <v>1000</v>
      </c>
      <c r="P754">
        <f>RTD("nest.scriprtd",,"bse_cm|CCIL110324","Prev Close")</f>
        <v>1000</v>
      </c>
      <c r="Q754">
        <f>RTD("nest.scriprtd",,"bse_cm|CCIL110324","Face Value")</f>
        <v>1000</v>
      </c>
      <c r="R754" t="str">
        <f>RTD("nest.scriprtd",,"bse_cm|CCIL110324","Isin code")</f>
        <v>INE051307AS2</v>
      </c>
      <c r="S754" s="9">
        <f>Table1[[#This Row],[Ask Rate]]*Table1[[#This Row],[Ask Qty]]</f>
        <v>0</v>
      </c>
      <c r="T754" t="str">
        <f>VLOOKUP(Table1[[#This Row],[Isin code]],Table2[#All],7,FALSE)</f>
        <v>--</v>
      </c>
      <c r="U754" s="17" t="str">
        <f>VLOOKUP(Table1[[#This Row],[Isin code]],Table2[#All],8,FALSE)</f>
        <v>11-Mar-2025</v>
      </c>
      <c r="V754" s="10">
        <f ca="1">Table1[[#This Row],[Maturity]]-TODAY()</f>
        <v>146</v>
      </c>
      <c r="W754" t="str">
        <f>VLOOKUP(Table1[[#This Row],[Isin code]],Table2[#All],10,FALSE)</f>
        <v>At the End</v>
      </c>
      <c r="X754">
        <f ca="1">_xlfn.DAYS(Table1[[#This Row],[Maturity]],TODAY())-15</f>
        <v>131</v>
      </c>
      <c r="Y75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54">
        <f>IF(Table1[[#This Row],[Ask Rate]]=0,0,Table1[[#This Row],[Face Value]]-Table1[[#This Row],[Ask Rate]])</f>
        <v>0</v>
      </c>
      <c r="AA75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54">
        <f>Table1[[#This Row],[Face Value]]*Table1[[#This Row],[Rate]]*Table1[[#This Row],[Time]]</f>
        <v>0</v>
      </c>
      <c r="AC754">
        <f>Table1[[#This Row],[SI]]+Table1[[#This Row],[Disc/Prem]]</f>
        <v>0</v>
      </c>
      <c r="AD754" s="3" t="e">
        <f>Table1[[#This Row],[Net Gain]]/Table1[[#This Row],[Ask Rate]]</f>
        <v>#DIV/0!</v>
      </c>
      <c r="AE754" s="3">
        <f>IF(Table1[[#This Row],[Ask Qty]]=0,0,Table1[[#This Row],[Gross Yield]]*365/Table1[[#This Row],[Days Left]])</f>
        <v>0</v>
      </c>
      <c r="AF754" s="9">
        <f>+Table1[[#This Row],[Net Gain]]*Table1[[#This Row],[Ask Qty]]</f>
        <v>0</v>
      </c>
      <c r="AG754" t="str">
        <f>IF(Table1[[#This Row],[YTM]]&gt;0.12,IF(Table1[[#This Row],[Gross Profit]]&gt;10000,"Invest","Review"),"Low YTM")</f>
        <v>Low YTM</v>
      </c>
    </row>
    <row r="755" spans="1:33" x14ac:dyDescent="0.3">
      <c r="A755" t="str">
        <f>RTD("nest.scriprtd",,"bse_cm|CCI110324","Symbol")</f>
        <v>CCI110324</v>
      </c>
      <c r="B755" t="str">
        <f>RTD("nest.scriprtd",,"bse_cm|CCI110324","Trading Symbol")</f>
        <v>CCI110324</v>
      </c>
      <c r="C755" t="str">
        <f>RTD("nest.scriprtd",,"bse_cm|CCI110324","Exchange")</f>
        <v>BSE</v>
      </c>
      <c r="D755">
        <f>RTD("nest.scriprtd",,"bse_cm|CCI110324","Bid Qty")</f>
        <v>15</v>
      </c>
      <c r="E755">
        <f>RTD("nest.scriprtd",,"bse_cm|CCI110324","Bid Rate")</f>
        <v>850.2</v>
      </c>
      <c r="F755">
        <f>RTD("nest.scriprtd",,"bse_cm|CCI110324","Ask Rate")</f>
        <v>0</v>
      </c>
      <c r="G755">
        <f>RTD("nest.scriprtd",,"bse_cm|CCI110324","Ask Qty")</f>
        <v>0</v>
      </c>
      <c r="H755">
        <f>RTD("nest.scriprtd",,"bse_cm|CCI110324","LTP")</f>
        <v>0</v>
      </c>
      <c r="I755" t="str">
        <f>RTD("nest.scriprtd",,"bse_cm|CCI110324","LTT")</f>
        <v>00:00:00</v>
      </c>
      <c r="J755">
        <f>RTD("nest.scriprtd",,"bse_cm|CCI110324","% Change")</f>
        <v>-100</v>
      </c>
      <c r="K755">
        <f>RTD("nest.scriprtd",,"bse_cm|CCI110324","ATP")</f>
        <v>0</v>
      </c>
      <c r="L755">
        <f>RTD("nest.scriprtd",,"bse_cm|CCI110324","Volume Traded Today")</f>
        <v>0</v>
      </c>
      <c r="M755">
        <f>RTD("nest.scriprtd",,"bse_cm|CCI110324","Open")</f>
        <v>0</v>
      </c>
      <c r="N755">
        <f>RTD("nest.scriprtd",,"bse_cm|CCI110324","High")</f>
        <v>960</v>
      </c>
      <c r="O755">
        <f>RTD("nest.scriprtd",,"bse_cm|CCI110324","Low ")</f>
        <v>960</v>
      </c>
      <c r="P755">
        <f>RTD("nest.scriprtd",,"bse_cm|CCI110324","Prev Close")</f>
        <v>960</v>
      </c>
      <c r="Q755">
        <f>RTD("nest.scriprtd",,"bse_cm|CCI110324","Face Value")</f>
        <v>1000</v>
      </c>
      <c r="R755" t="str">
        <f>RTD("nest.scriprtd",,"bse_cm|CCI110324","Isin code")</f>
        <v>INE051307AR4</v>
      </c>
      <c r="S755" s="9">
        <f>Table1[[#This Row],[Ask Rate]]*Table1[[#This Row],[Ask Qty]]</f>
        <v>0</v>
      </c>
      <c r="T755" t="str">
        <f>VLOOKUP(Table1[[#This Row],[Isin code]],Table2[#All],7,FALSE)</f>
        <v>--</v>
      </c>
      <c r="U755" s="17" t="str">
        <f>VLOOKUP(Table1[[#This Row],[Isin code]],Table2[#All],8,FALSE)</f>
        <v>10-Mar-2026</v>
      </c>
      <c r="V755" s="10">
        <f ca="1">Table1[[#This Row],[Maturity]]-TODAY()</f>
        <v>510</v>
      </c>
      <c r="W755" t="str">
        <f>VLOOKUP(Table1[[#This Row],[Isin code]],Table2[#All],10,FALSE)</f>
        <v>At the End</v>
      </c>
      <c r="X755">
        <f ca="1">_xlfn.DAYS(Table1[[#This Row],[Maturity]],TODAY())-15</f>
        <v>495</v>
      </c>
      <c r="Y75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55">
        <f>IF(Table1[[#This Row],[Ask Rate]]=0,0,Table1[[#This Row],[Face Value]]-Table1[[#This Row],[Ask Rate]])</f>
        <v>0</v>
      </c>
      <c r="AA75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55">
        <f>Table1[[#This Row],[Face Value]]*Table1[[#This Row],[Rate]]*Table1[[#This Row],[Time]]</f>
        <v>0</v>
      </c>
      <c r="AC755">
        <f>Table1[[#This Row],[SI]]+Table1[[#This Row],[Disc/Prem]]</f>
        <v>0</v>
      </c>
      <c r="AD755" s="3" t="e">
        <f>Table1[[#This Row],[Net Gain]]/Table1[[#This Row],[Ask Rate]]</f>
        <v>#DIV/0!</v>
      </c>
      <c r="AE755" s="3">
        <f>IF(Table1[[#This Row],[Ask Qty]]=0,0,Table1[[#This Row],[Gross Yield]]*365/Table1[[#This Row],[Days Left]])</f>
        <v>0</v>
      </c>
      <c r="AF755" s="9">
        <f>+Table1[[#This Row],[Net Gain]]*Table1[[#This Row],[Ask Qty]]</f>
        <v>0</v>
      </c>
      <c r="AG755" t="str">
        <f>IF(Table1[[#This Row],[YTM]]&gt;0.12,IF(Table1[[#This Row],[Gross Profit]]&gt;10000,"Invest","Review"),"Low YTM")</f>
        <v>Low YTM</v>
      </c>
    </row>
    <row r="756" spans="1:33" x14ac:dyDescent="0.3">
      <c r="A756" t="str">
        <f>RTD("nest.scriprtd",,"nse_cm|CAGL28-NE","Symbol")</f>
        <v>CAGL28</v>
      </c>
      <c r="B756" t="str">
        <f>RTD("nest.scriprtd",,"nse_cm|CAGL28-NE","Trading Symbol")</f>
        <v>CAGL28-NE</v>
      </c>
      <c r="C756" t="str">
        <f>RTD("nest.scriprtd",,"nse_cm|CAGL28-NE","Exchange")</f>
        <v>NSE</v>
      </c>
      <c r="D756">
        <f>RTD("nest.scriprtd",,"nse_cm|CAGL28-NE","Bid Qty")</f>
        <v>21</v>
      </c>
      <c r="E756">
        <f>RTD("nest.scriprtd",,"nse_cm|CAGL28-NE","Bid Rate")</f>
        <v>875.2</v>
      </c>
      <c r="F756">
        <f>RTD("nest.scriprtd",,"nse_cm|CAGL28-NE","Ask Rate")</f>
        <v>0</v>
      </c>
      <c r="G756">
        <f>RTD("nest.scriprtd",,"nse_cm|CAGL28-NE","Ask Qty")</f>
        <v>0</v>
      </c>
      <c r="H756">
        <f>RTD("nest.scriprtd",,"nse_cm|CAGL28-NE","LTP")</f>
        <v>1050</v>
      </c>
      <c r="I756" t="str">
        <f>RTD("nest.scriprtd",,"nse_cm|CAGL28-NE","LTT")</f>
        <v/>
      </c>
      <c r="J756">
        <f>RTD("nest.scriprtd",,"nse_cm|CAGL28-NE","% Change")</f>
        <v>0</v>
      </c>
      <c r="K756">
        <f>RTD("nest.scriprtd",,"nse_cm|CAGL28-NE","ATP")</f>
        <v>0</v>
      </c>
      <c r="L756">
        <f>RTD("nest.scriprtd",,"nse_cm|CAGL28-NE","Volume Traded Today")</f>
        <v>0</v>
      </c>
      <c r="M756">
        <f>RTD("nest.scriprtd",,"nse_cm|CAGL28-NE","Open")</f>
        <v>0</v>
      </c>
      <c r="N756">
        <f>RTD("nest.scriprtd",,"nse_cm|CAGL28-NE","High")</f>
        <v>1050</v>
      </c>
      <c r="O756">
        <f>RTD("nest.scriprtd",,"nse_cm|CAGL28-NE","Low ")</f>
        <v>1050</v>
      </c>
      <c r="P756">
        <f>RTD("nest.scriprtd",,"nse_cm|CAGL28-NE","Prev Close")</f>
        <v>1050</v>
      </c>
      <c r="Q756">
        <f>RTD("nest.scriprtd",,"nse_cm|CAGL28-NE","Face Value")</f>
        <v>1000</v>
      </c>
      <c r="R756" t="str">
        <f>RTD("nest.scriprtd",,"nse_cm|CAGL28-NE","Isin code")</f>
        <v>INE741K07546</v>
      </c>
      <c r="S756" s="9">
        <f>Table1[[#This Row],[Ask Rate]]*Table1[[#This Row],[Ask Qty]]</f>
        <v>0</v>
      </c>
      <c r="T756">
        <f>VLOOKUP(Table1[[#This Row],[Isin code]],Table2[#All],7,FALSE)</f>
        <v>0</v>
      </c>
      <c r="U756" s="17" t="str">
        <f>VLOOKUP(Table1[[#This Row],[Isin code]],Table2[#All],8,FALSE)</f>
        <v>07-Sep-2028</v>
      </c>
      <c r="V756" s="10">
        <f ca="1">Table1[[#This Row],[Maturity]]-TODAY()</f>
        <v>1422</v>
      </c>
      <c r="W756" t="str">
        <f>VLOOKUP(Table1[[#This Row],[Isin code]],Table2[#All],10,FALSE)</f>
        <v>CUMULATIVE</v>
      </c>
      <c r="X756">
        <f ca="1">_xlfn.DAYS(Table1[[#This Row],[Maturity]],TODAY())-15</f>
        <v>1407</v>
      </c>
      <c r="Y75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56">
        <f>IF(Table1[[#This Row],[Ask Rate]]=0,0,Table1[[#This Row],[Face Value]]-Table1[[#This Row],[Ask Rate]])</f>
        <v>0</v>
      </c>
      <c r="AA75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56">
        <f>Table1[[#This Row],[Face Value]]*Table1[[#This Row],[Rate]]*Table1[[#This Row],[Time]]</f>
        <v>0</v>
      </c>
      <c r="AC756">
        <f>Table1[[#This Row],[SI]]+Table1[[#This Row],[Disc/Prem]]</f>
        <v>0</v>
      </c>
      <c r="AD756" s="3" t="e">
        <f>Table1[[#This Row],[Net Gain]]/Table1[[#This Row],[Ask Rate]]</f>
        <v>#DIV/0!</v>
      </c>
      <c r="AE756" s="3">
        <f>IF(Table1[[#This Row],[Ask Qty]]=0,0,Table1[[#This Row],[Gross Yield]]*365/Table1[[#This Row],[Days Left]])</f>
        <v>0</v>
      </c>
      <c r="AF756" s="9">
        <f>+Table1[[#This Row],[Net Gain]]*Table1[[#This Row],[Ask Qty]]</f>
        <v>0</v>
      </c>
      <c r="AG756" t="str">
        <f>IF(Table1[[#This Row],[YTM]]&gt;0.12,IF(Table1[[#This Row],[Gross Profit]]&gt;10000,"Invest","Review"),"Low YTM")</f>
        <v>Low YTM</v>
      </c>
    </row>
    <row r="757" spans="1:33" x14ac:dyDescent="0.3">
      <c r="A757" t="str">
        <f>RTD("nest.scriprtd",,"bse_cm|CAGL28","Symbol")</f>
        <v>CAGL28</v>
      </c>
      <c r="B757" t="str">
        <f>RTD("nest.scriprtd",,"bse_cm|CAGL28","Trading Symbol")</f>
        <v>CAGL28</v>
      </c>
      <c r="C757" t="str">
        <f>RTD("nest.scriprtd",,"bse_cm|CAGL28","Exchange")</f>
        <v>BSE</v>
      </c>
      <c r="D757">
        <f>RTD("nest.scriprtd",,"bse_cm|CAGL28","Bid Qty")</f>
        <v>25</v>
      </c>
      <c r="E757">
        <f>RTD("nest.scriprtd",,"bse_cm|CAGL28","Bid Rate")</f>
        <v>877.85</v>
      </c>
      <c r="F757">
        <f>RTD("nest.scriprtd",,"bse_cm|CAGL28","Ask Rate")</f>
        <v>0</v>
      </c>
      <c r="G757">
        <f>RTD("nest.scriprtd",,"bse_cm|CAGL28","Ask Qty")</f>
        <v>0</v>
      </c>
      <c r="H757">
        <f>RTD("nest.scriprtd",,"bse_cm|CAGL28","LTP")</f>
        <v>0</v>
      </c>
      <c r="I757" t="str">
        <f>RTD("nest.scriprtd",,"bse_cm|CAGL28","LTT")</f>
        <v>00:00:00</v>
      </c>
      <c r="J757">
        <f>RTD("nest.scriprtd",,"bse_cm|CAGL28","% Change")</f>
        <v>-100</v>
      </c>
      <c r="K757">
        <f>RTD("nest.scriprtd",,"bse_cm|CAGL28","ATP")</f>
        <v>0</v>
      </c>
      <c r="L757">
        <f>RTD("nest.scriprtd",,"bse_cm|CAGL28","Volume Traded Today")</f>
        <v>0</v>
      </c>
      <c r="M757">
        <f>RTD("nest.scriprtd",,"bse_cm|CAGL28","Open")</f>
        <v>0</v>
      </c>
      <c r="N757">
        <f>RTD("nest.scriprtd",,"bse_cm|CAGL28","High")</f>
        <v>821</v>
      </c>
      <c r="O757">
        <f>RTD("nest.scriprtd",,"bse_cm|CAGL28","Low ")</f>
        <v>821</v>
      </c>
      <c r="P757">
        <f>RTD("nest.scriprtd",,"bse_cm|CAGL28","Prev Close")</f>
        <v>821</v>
      </c>
      <c r="Q757">
        <f>RTD("nest.scriprtd",,"bse_cm|CAGL28","Face Value")</f>
        <v>1000</v>
      </c>
      <c r="R757" t="str">
        <f>RTD("nest.scriprtd",,"bse_cm|CAGL28","Isin code")</f>
        <v>INE741K07546</v>
      </c>
      <c r="S757" s="9">
        <f>Table1[[#This Row],[Ask Rate]]*Table1[[#This Row],[Ask Qty]]</f>
        <v>0</v>
      </c>
      <c r="T757">
        <f>VLOOKUP(Table1[[#This Row],[Isin code]],Table2[#All],7,FALSE)</f>
        <v>0</v>
      </c>
      <c r="U757" s="17" t="str">
        <f>VLOOKUP(Table1[[#This Row],[Isin code]],Table2[#All],8,FALSE)</f>
        <v>07-Sep-2028</v>
      </c>
      <c r="V757" s="10">
        <f ca="1">Table1[[#This Row],[Maturity]]-TODAY()</f>
        <v>1422</v>
      </c>
      <c r="W757" t="str">
        <f>VLOOKUP(Table1[[#This Row],[Isin code]],Table2[#All],10,FALSE)</f>
        <v>CUMULATIVE</v>
      </c>
      <c r="X757">
        <f ca="1">_xlfn.DAYS(Table1[[#This Row],[Maturity]],TODAY())-15</f>
        <v>1407</v>
      </c>
      <c r="Y75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57">
        <f>IF(Table1[[#This Row],[Ask Rate]]=0,0,Table1[[#This Row],[Face Value]]-Table1[[#This Row],[Ask Rate]])</f>
        <v>0</v>
      </c>
      <c r="AA75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57">
        <f>Table1[[#This Row],[Face Value]]*Table1[[#This Row],[Rate]]*Table1[[#This Row],[Time]]</f>
        <v>0</v>
      </c>
      <c r="AC757">
        <f>Table1[[#This Row],[SI]]+Table1[[#This Row],[Disc/Prem]]</f>
        <v>0</v>
      </c>
      <c r="AD757" s="3" t="e">
        <f>Table1[[#This Row],[Net Gain]]/Table1[[#This Row],[Ask Rate]]</f>
        <v>#DIV/0!</v>
      </c>
      <c r="AE757" s="3">
        <f>IF(Table1[[#This Row],[Ask Qty]]=0,0,Table1[[#This Row],[Gross Yield]]*365/Table1[[#This Row],[Days Left]])</f>
        <v>0</v>
      </c>
      <c r="AF757" s="9">
        <f>+Table1[[#This Row],[Net Gain]]*Table1[[#This Row],[Ask Qty]]</f>
        <v>0</v>
      </c>
      <c r="AG757" t="str">
        <f>IF(Table1[[#This Row],[YTM]]&gt;0.12,IF(Table1[[#This Row],[Gross Profit]]&gt;10000,"Invest","Review"),"Low YTM")</f>
        <v>Low YTM</v>
      </c>
    </row>
    <row r="758" spans="1:33" x14ac:dyDescent="0.3">
      <c r="A758" t="str">
        <f>RTD("nest.scriprtd",,"nse_cm|CAGL27A-N6","Symbol")</f>
        <v>CAGL27A</v>
      </c>
      <c r="B758" t="str">
        <f>RTD("nest.scriprtd",,"nse_cm|CAGL27A-N6","Trading Symbol")</f>
        <v>CAGL27A-N6</v>
      </c>
      <c r="C758" t="str">
        <f>RTD("nest.scriprtd",,"nse_cm|CAGL27A-N6","Exchange")</f>
        <v>NSE</v>
      </c>
      <c r="D758">
        <f>RTD("nest.scriprtd",,"nse_cm|CAGL27A-N6","Bid Qty")</f>
        <v>11</v>
      </c>
      <c r="E758">
        <f>RTD("nest.scriprtd",,"nse_cm|CAGL27A-N6","Bid Rate")</f>
        <v>918.4</v>
      </c>
      <c r="F758">
        <f>RTD("nest.scriprtd",,"nse_cm|CAGL27A-N6","Ask Rate")</f>
        <v>0</v>
      </c>
      <c r="G758">
        <f>RTD("nest.scriprtd",,"nse_cm|CAGL27A-N6","Ask Qty")</f>
        <v>0</v>
      </c>
      <c r="H758">
        <f>RTD("nest.scriprtd",,"nse_cm|CAGL27A-N6","LTP")</f>
        <v>1100</v>
      </c>
      <c r="I758" t="str">
        <f>RTD("nest.scriprtd",,"nse_cm|CAGL27A-N6","LTT")</f>
        <v/>
      </c>
      <c r="J758">
        <f>RTD("nest.scriprtd",,"nse_cm|CAGL27A-N6","% Change")</f>
        <v>0</v>
      </c>
      <c r="K758">
        <f>RTD("nest.scriprtd",,"nse_cm|CAGL27A-N6","ATP")</f>
        <v>0</v>
      </c>
      <c r="L758">
        <f>RTD("nest.scriprtd",,"nse_cm|CAGL27A-N6","Volume Traded Today")</f>
        <v>0</v>
      </c>
      <c r="M758">
        <f>RTD("nest.scriprtd",,"nse_cm|CAGL27A-N6","Open")</f>
        <v>0</v>
      </c>
      <c r="N758">
        <f>RTD("nest.scriprtd",,"nse_cm|CAGL27A-N6","High")</f>
        <v>1100</v>
      </c>
      <c r="O758">
        <f>RTD("nest.scriprtd",,"nse_cm|CAGL27A-N6","Low ")</f>
        <v>918.4</v>
      </c>
      <c r="P758">
        <f>RTD("nest.scriprtd",,"nse_cm|CAGL27A-N6","Prev Close")</f>
        <v>1100</v>
      </c>
      <c r="Q758">
        <f>RTD("nest.scriprtd",,"nse_cm|CAGL27A-N6","Face Value")</f>
        <v>1000</v>
      </c>
      <c r="R758" t="str">
        <f>RTD("nest.scriprtd",,"nse_cm|CAGL27A-N6","Isin code")</f>
        <v>INE741K07504</v>
      </c>
      <c r="S758" s="9">
        <f>Table1[[#This Row],[Ask Rate]]*Table1[[#This Row],[Ask Qty]]</f>
        <v>0</v>
      </c>
      <c r="T758">
        <f>VLOOKUP(Table1[[#This Row],[Isin code]],Table2[#All],7,FALSE)</f>
        <v>0</v>
      </c>
      <c r="U758" s="17" t="str">
        <f>VLOOKUP(Table1[[#This Row],[Isin code]],Table2[#All],8,FALSE)</f>
        <v>23-Nov-2027</v>
      </c>
      <c r="V758" s="10">
        <f ca="1">Table1[[#This Row],[Maturity]]-TODAY()</f>
        <v>1133</v>
      </c>
      <c r="W758" t="str">
        <f>VLOOKUP(Table1[[#This Row],[Isin code]],Table2[#All],10,FALSE)</f>
        <v>Yearly</v>
      </c>
      <c r="X758">
        <f ca="1">_xlfn.DAYS(Table1[[#This Row],[Maturity]],TODAY())-15</f>
        <v>1118</v>
      </c>
      <c r="Y7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758">
        <f>IF(Table1[[#This Row],[Ask Rate]]=0,0,Table1[[#This Row],[Face Value]]-Table1[[#This Row],[Ask Rate]])</f>
        <v>0</v>
      </c>
      <c r="AA75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58">
        <f ca="1">Table1[[#This Row],[Face Value]]*Table1[[#This Row],[Rate]]*Table1[[#This Row],[Time]]</f>
        <v>0</v>
      </c>
      <c r="AC758">
        <f ca="1">Table1[[#This Row],[SI]]+Table1[[#This Row],[Disc/Prem]]</f>
        <v>0</v>
      </c>
      <c r="AD758" s="3" t="e">
        <f ca="1">Table1[[#This Row],[Net Gain]]/Table1[[#This Row],[Ask Rate]]</f>
        <v>#DIV/0!</v>
      </c>
      <c r="AE758" s="3">
        <f>IF(Table1[[#This Row],[Ask Qty]]=0,0,Table1[[#This Row],[Gross Yield]]*365/Table1[[#This Row],[Days Left]])</f>
        <v>0</v>
      </c>
      <c r="AF758" s="9">
        <f ca="1">+Table1[[#This Row],[Net Gain]]*Table1[[#This Row],[Ask Qty]]</f>
        <v>0</v>
      </c>
      <c r="AG758" t="str">
        <f>IF(Table1[[#This Row],[YTM]]&gt;0.12,IF(Table1[[#This Row],[Gross Profit]]&gt;10000,"Invest","Review"),"Low YTM")</f>
        <v>Low YTM</v>
      </c>
    </row>
    <row r="759" spans="1:33" x14ac:dyDescent="0.3">
      <c r="A759" t="str">
        <f>RTD("nest.scriprtd",,"nse_cm|866ICCL23A-NY","Symbol")</f>
        <v>866ICCL23A</v>
      </c>
      <c r="B759" t="str">
        <f>RTD("nest.scriprtd",,"nse_cm|866ICCL23A-NY","Trading Symbol")</f>
        <v>866ICCL23A-NY</v>
      </c>
      <c r="C759" t="str">
        <f>RTD("nest.scriprtd",,"nse_cm|866ICCL23A-NY","Exchange")</f>
        <v>NSE</v>
      </c>
      <c r="D759">
        <f>RTD("nest.scriprtd",,"nse_cm|866ICCL23A-NY","Bid Qty")</f>
        <v>0</v>
      </c>
      <c r="E759">
        <f>RTD("nest.scriprtd",,"nse_cm|866ICCL23A-NY","Bid Rate")</f>
        <v>0</v>
      </c>
      <c r="F759">
        <f>RTD("nest.scriprtd",,"nse_cm|866ICCL23A-NY","Ask Rate")</f>
        <v>0</v>
      </c>
      <c r="G759">
        <f>RTD("nest.scriprtd",,"nse_cm|866ICCL23A-NY","Ask Qty")</f>
        <v>0</v>
      </c>
      <c r="H759">
        <f>RTD("nest.scriprtd",,"nse_cm|866ICCL23A-NY","LTP")</f>
        <v>0</v>
      </c>
      <c r="I759" t="str">
        <f>RTD("nest.scriprtd",,"nse_cm|866ICCL23A-NY","LTT")</f>
        <v/>
      </c>
      <c r="J759">
        <f>RTD("nest.scriprtd",,"nse_cm|866ICCL23A-NY","% Change")</f>
        <v>0</v>
      </c>
      <c r="K759">
        <f>RTD("nest.scriprtd",,"nse_cm|866ICCL23A-NY","ATP")</f>
        <v>0</v>
      </c>
      <c r="L759">
        <f>RTD("nest.scriprtd",,"nse_cm|866ICCL23A-NY","Volume Traded Today")</f>
        <v>0</v>
      </c>
      <c r="M759">
        <f>RTD("nest.scriprtd",,"nse_cm|866ICCL23A-NY","Open")</f>
        <v>0</v>
      </c>
      <c r="N759">
        <f>RTD("nest.scriprtd",,"nse_cm|866ICCL23A-NY","High")</f>
        <v>0</v>
      </c>
      <c r="O759">
        <f>RTD("nest.scriprtd",,"nse_cm|866ICCL23A-NY","Low ")</f>
        <v>0</v>
      </c>
      <c r="P759">
        <f>RTD("nest.scriprtd",,"nse_cm|866ICCL23A-NY","Prev Close")</f>
        <v>0</v>
      </c>
      <c r="Q759">
        <f>RTD("nest.scriprtd",,"nse_cm|866ICCL23A-NY","Face Value")</f>
        <v>800</v>
      </c>
      <c r="R759" t="str">
        <f>RTD("nest.scriprtd",,"nse_cm|866ICCL23A-NY","Isin code")</f>
        <v>INE244L07564</v>
      </c>
      <c r="S759" s="9">
        <f>Table1[[#This Row],[Ask Rate]]*Table1[[#This Row],[Ask Qty]]</f>
        <v>0</v>
      </c>
      <c r="T759">
        <f>VLOOKUP(Table1[[#This Row],[Isin code]],Table2[#All],7,FALSE)</f>
        <v>9.5699999999999985</v>
      </c>
      <c r="U759" s="17" t="str">
        <f>VLOOKUP(Table1[[#This Row],[Isin code]],Table2[#All],8,FALSE)</f>
        <v>25-Apr-2028</v>
      </c>
      <c r="V759" s="10">
        <f ca="1">Table1[[#This Row],[Maturity]]-TODAY()</f>
        <v>1287</v>
      </c>
      <c r="W759" t="str">
        <f>VLOOKUP(Table1[[#This Row],[Isin code]],Table2[#All],10,FALSE)</f>
        <v>Monthly</v>
      </c>
      <c r="X759">
        <f ca="1">_xlfn.DAYS(Table1[[#This Row],[Maturity]],TODAY())-15</f>
        <v>1272</v>
      </c>
      <c r="Y7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43</v>
      </c>
      <c r="Z759">
        <f>IF(Table1[[#This Row],[Ask Rate]]=0,0,Table1[[#This Row],[Face Value]]-Table1[[#This Row],[Ask Rate]])</f>
        <v>0</v>
      </c>
      <c r="AA759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759">
        <f ca="1">Table1[[#This Row],[Face Value]]*Table1[[#This Row],[Rate]]*Table1[[#This Row],[Time]]</f>
        <v>274.33999999999997</v>
      </c>
      <c r="AC759">
        <f ca="1">Table1[[#This Row],[SI]]+Table1[[#This Row],[Disc/Prem]]</f>
        <v>274.33999999999997</v>
      </c>
      <c r="AD759" s="3" t="e">
        <f ca="1">Table1[[#This Row],[Net Gain]]/Table1[[#This Row],[Ask Rate]]</f>
        <v>#DIV/0!</v>
      </c>
      <c r="AE759" s="3">
        <f>IF(Table1[[#This Row],[Ask Qty]]=0,0,Table1[[#This Row],[Gross Yield]]*365/Table1[[#This Row],[Days Left]])</f>
        <v>0</v>
      </c>
      <c r="AF759" s="9">
        <f ca="1">+Table1[[#This Row],[Net Gain]]*Table1[[#This Row],[Ask Qty]]</f>
        <v>0</v>
      </c>
      <c r="AG759" t="str">
        <f>IF(Table1[[#This Row],[YTM]]&gt;0.12,IF(Table1[[#This Row],[Gross Profit]]&gt;10000,"Invest","Review"),"Low YTM")</f>
        <v>Low YTM</v>
      </c>
    </row>
    <row r="760" spans="1:33" x14ac:dyDescent="0.3">
      <c r="A760" t="str">
        <f>RTD("nest.scriprtd",,"bse_cm|957JFPL30","Symbol")</f>
        <v>957JFPL30</v>
      </c>
      <c r="B760" t="str">
        <f>RTD("nest.scriprtd",,"bse_cm|957JFPL30","Trading Symbol")</f>
        <v>957JFPL30</v>
      </c>
      <c r="C760" t="str">
        <f>RTD("nest.scriprtd",,"bse_cm|957JFPL30","Exchange")</f>
        <v>BSE</v>
      </c>
      <c r="D760">
        <f>RTD("nest.scriprtd",,"bse_cm|957JFPL30","Bid Qty")</f>
        <v>50</v>
      </c>
      <c r="E760">
        <f>RTD("nest.scriprtd",,"bse_cm|957JFPL30","Bid Rate")</f>
        <v>865</v>
      </c>
      <c r="F760">
        <f>RTD("nest.scriprtd",,"bse_cm|957JFPL30","Ask Rate")</f>
        <v>0</v>
      </c>
      <c r="G760">
        <f>RTD("nest.scriprtd",,"bse_cm|957JFPL30","Ask Qty")</f>
        <v>0</v>
      </c>
      <c r="H760">
        <f>RTD("nest.scriprtd",,"bse_cm|957JFPL30","LTP")</f>
        <v>0</v>
      </c>
      <c r="I760" t="str">
        <f>RTD("nest.scriprtd",,"bse_cm|957JFPL30","LTT")</f>
        <v>00:00:00</v>
      </c>
      <c r="J760">
        <f>RTD("nest.scriprtd",,"bse_cm|957JFPL30","% Change")</f>
        <v>-100</v>
      </c>
      <c r="K760">
        <f>RTD("nest.scriprtd",,"bse_cm|957JFPL30","ATP")</f>
        <v>0</v>
      </c>
      <c r="L760">
        <f>RTD("nest.scriprtd",,"bse_cm|957JFPL30","Volume Traded Today")</f>
        <v>0</v>
      </c>
      <c r="M760">
        <f>RTD("nest.scriprtd",,"bse_cm|957JFPL30","Open")</f>
        <v>0</v>
      </c>
      <c r="N760">
        <f>RTD("nest.scriprtd",,"bse_cm|957JFPL30","High")</f>
        <v>1004</v>
      </c>
      <c r="O760">
        <f>RTD("nest.scriprtd",,"bse_cm|957JFPL30","Low ")</f>
        <v>1004</v>
      </c>
      <c r="P760">
        <f>RTD("nest.scriprtd",,"bse_cm|957JFPL30","Prev Close")</f>
        <v>1004</v>
      </c>
      <c r="Q760">
        <f>RTD("nest.scriprtd",,"bse_cm|957JFPL30","Face Value")</f>
        <v>1000</v>
      </c>
      <c r="R760" t="str">
        <f>RTD("nest.scriprtd",,"bse_cm|957JFPL30","Isin code")</f>
        <v>INE523H07BC9</v>
      </c>
      <c r="S760" s="9">
        <f>Table1[[#This Row],[Ask Rate]]*Table1[[#This Row],[Ask Qty]]</f>
        <v>0</v>
      </c>
      <c r="T760">
        <f>VLOOKUP(Table1[[#This Row],[Isin code]],Table2[#All],7,FALSE)</f>
        <v>9.5699999999999985</v>
      </c>
      <c r="U760" s="17" t="str">
        <f>VLOOKUP(Table1[[#This Row],[Isin code]],Table2[#All],8,FALSE)</f>
        <v>16-Mar-2030</v>
      </c>
      <c r="V760" s="10">
        <f ca="1">Table1[[#This Row],[Maturity]]-TODAY()</f>
        <v>1977</v>
      </c>
      <c r="W760" t="str">
        <f>VLOOKUP(Table1[[#This Row],[Isin code]],Table2[#All],10,FALSE)</f>
        <v>Monthly</v>
      </c>
      <c r="X760">
        <f ca="1">_xlfn.DAYS(Table1[[#This Row],[Maturity]],TODAY())-15</f>
        <v>1962</v>
      </c>
      <c r="Y7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66</v>
      </c>
      <c r="Z760">
        <f>IF(Table1[[#This Row],[Ask Rate]]=0,0,Table1[[#This Row],[Face Value]]-Table1[[#This Row],[Ask Rate]])</f>
        <v>0</v>
      </c>
      <c r="AA760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760">
        <f ca="1">Table1[[#This Row],[Face Value]]*Table1[[#This Row],[Rate]]*Table1[[#This Row],[Time]]</f>
        <v>526.35</v>
      </c>
      <c r="AC760">
        <f ca="1">Table1[[#This Row],[SI]]+Table1[[#This Row],[Disc/Prem]]</f>
        <v>526.35</v>
      </c>
      <c r="AD760" s="3" t="e">
        <f ca="1">Table1[[#This Row],[Net Gain]]/Table1[[#This Row],[Ask Rate]]</f>
        <v>#DIV/0!</v>
      </c>
      <c r="AE760" s="3">
        <f>IF(Table1[[#This Row],[Ask Qty]]=0,0,Table1[[#This Row],[Gross Yield]]*365/Table1[[#This Row],[Days Left]])</f>
        <v>0</v>
      </c>
      <c r="AF760" s="9">
        <f ca="1">+Table1[[#This Row],[Net Gain]]*Table1[[#This Row],[Ask Qty]]</f>
        <v>0</v>
      </c>
      <c r="AG760" t="str">
        <f>IF(Table1[[#This Row],[YTM]]&gt;0.12,IF(Table1[[#This Row],[Gross Profit]]&gt;10000,"Invest","Review"),"Low YTM")</f>
        <v>Low YTM</v>
      </c>
    </row>
    <row r="761" spans="1:33" x14ac:dyDescent="0.3">
      <c r="A761" t="str">
        <f>RTD("nest.scriprtd",,"bse_cm|957ISFL26","Symbol")</f>
        <v>957ISFL26</v>
      </c>
      <c r="B761" t="str">
        <f>RTD("nest.scriprtd",,"bse_cm|957ISFL26","Trading Symbol")</f>
        <v>957ISFL26</v>
      </c>
      <c r="C761" t="str">
        <f>RTD("nest.scriprtd",,"bse_cm|957ISFL26","Exchange")</f>
        <v>BSE</v>
      </c>
      <c r="D761">
        <f>RTD("nest.scriprtd",,"bse_cm|957ISFL26","Bid Qty")</f>
        <v>101</v>
      </c>
      <c r="E761">
        <f>RTD("nest.scriprtd",,"bse_cm|957ISFL26","Bid Rate")</f>
        <v>947</v>
      </c>
      <c r="F761">
        <f>RTD("nest.scriprtd",,"bse_cm|957ISFL26","Ask Rate")</f>
        <v>0</v>
      </c>
      <c r="G761">
        <f>RTD("nest.scriprtd",,"bse_cm|957ISFL26","Ask Qty")</f>
        <v>0</v>
      </c>
      <c r="H761">
        <f>RTD("nest.scriprtd",,"bse_cm|957ISFL26","LTP")</f>
        <v>0</v>
      </c>
      <c r="I761" t="str">
        <f>RTD("nest.scriprtd",,"bse_cm|957ISFL26","LTT")</f>
        <v>00:00:00</v>
      </c>
      <c r="J761">
        <f>RTD("nest.scriprtd",,"bse_cm|957ISFL26","% Change")</f>
        <v>-100</v>
      </c>
      <c r="K761">
        <f>RTD("nest.scriprtd",,"bse_cm|957ISFL26","ATP")</f>
        <v>0</v>
      </c>
      <c r="L761">
        <f>RTD("nest.scriprtd",,"bse_cm|957ISFL26","Volume Traded Today")</f>
        <v>0</v>
      </c>
      <c r="M761">
        <f>RTD("nest.scriprtd",,"bse_cm|957ISFL26","Open")</f>
        <v>0</v>
      </c>
      <c r="N761">
        <f>RTD("nest.scriprtd",,"bse_cm|957ISFL26","High")</f>
        <v>947.01</v>
      </c>
      <c r="O761">
        <f>RTD("nest.scriprtd",,"bse_cm|957ISFL26","Low ")</f>
        <v>947</v>
      </c>
      <c r="P761">
        <f>RTD("nest.scriprtd",,"bse_cm|957ISFL26","Prev Close")</f>
        <v>947.01</v>
      </c>
      <c r="Q761">
        <f>RTD("nest.scriprtd",,"bse_cm|957ISFL26","Face Value")</f>
        <v>1000</v>
      </c>
      <c r="R761" t="str">
        <f>RTD("nest.scriprtd",,"bse_cm|957ISFL26","Isin code")</f>
        <v>INE413U07236</v>
      </c>
      <c r="S761" s="9">
        <f>Table1[[#This Row],[Ask Rate]]*Table1[[#This Row],[Ask Qty]]</f>
        <v>0</v>
      </c>
      <c r="T761">
        <f>VLOOKUP(Table1[[#This Row],[Isin code]],Table2[#All],7,FALSE)</f>
        <v>9.57</v>
      </c>
      <c r="U761" s="17" t="str">
        <f>VLOOKUP(Table1[[#This Row],[Isin code]],Table2[#All],8,FALSE)</f>
        <v>21-Dec-2026</v>
      </c>
      <c r="V761" s="10">
        <f ca="1">Table1[[#This Row],[Maturity]]-TODAY()</f>
        <v>796</v>
      </c>
      <c r="W761" t="str">
        <f>VLOOKUP(Table1[[#This Row],[Isin code]],Table2[#All],10,FALSE)</f>
        <v>Monthly</v>
      </c>
      <c r="X761">
        <f ca="1">_xlfn.DAYS(Table1[[#This Row],[Maturity]],TODAY())-15</f>
        <v>781</v>
      </c>
      <c r="Y7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761">
        <f>IF(Table1[[#This Row],[Ask Rate]]=0,0,Table1[[#This Row],[Face Value]]-Table1[[#This Row],[Ask Rate]])</f>
        <v>0</v>
      </c>
      <c r="AA761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761">
        <f ca="1">Table1[[#This Row],[Face Value]]*Table1[[#This Row],[Rate]]*Table1[[#This Row],[Time]]</f>
        <v>215.32499999999999</v>
      </c>
      <c r="AC761">
        <f ca="1">Table1[[#This Row],[SI]]+Table1[[#This Row],[Disc/Prem]]</f>
        <v>215.32499999999999</v>
      </c>
      <c r="AD761" s="3" t="e">
        <f ca="1">Table1[[#This Row],[Net Gain]]/Table1[[#This Row],[Ask Rate]]</f>
        <v>#DIV/0!</v>
      </c>
      <c r="AE761" s="3">
        <f>IF(Table1[[#This Row],[Ask Qty]]=0,0,Table1[[#This Row],[Gross Yield]]*365/Table1[[#This Row],[Days Left]])</f>
        <v>0</v>
      </c>
      <c r="AF761" s="9">
        <f ca="1">+Table1[[#This Row],[Net Gain]]*Table1[[#This Row],[Ask Qty]]</f>
        <v>0</v>
      </c>
      <c r="AG761" t="str">
        <f>IF(Table1[[#This Row],[YTM]]&gt;0.12,IF(Table1[[#This Row],[Gross Profit]]&gt;10000,"Invest","Review"),"Low YTM")</f>
        <v>Low YTM</v>
      </c>
    </row>
    <row r="762" spans="1:33" x14ac:dyDescent="0.3">
      <c r="A762" t="str">
        <f>RTD("nest.scriprtd",,"nse_cm|957ICCL28-NW","Symbol")</f>
        <v>957ICCL28</v>
      </c>
      <c r="B762" t="str">
        <f>RTD("nest.scriprtd",,"nse_cm|957ICCL28-NW","Trading Symbol")</f>
        <v>957ICCL28-NW</v>
      </c>
      <c r="C762" t="str">
        <f>RTD("nest.scriprtd",,"nse_cm|957ICCL28-NW","Exchange")</f>
        <v>NSE</v>
      </c>
      <c r="D762">
        <f>RTD("nest.scriprtd",,"nse_cm|957ICCL28-NW","Bid Qty")</f>
        <v>8</v>
      </c>
      <c r="E762">
        <f>RTD("nest.scriprtd",,"nse_cm|957ICCL28-NW","Bid Rate")</f>
        <v>840.2</v>
      </c>
      <c r="F762">
        <f>RTD("nest.scriprtd",,"nse_cm|957ICCL28-NW","Ask Rate")</f>
        <v>0</v>
      </c>
      <c r="G762">
        <f>RTD("nest.scriprtd",,"nse_cm|957ICCL28-NW","Ask Qty")</f>
        <v>0</v>
      </c>
      <c r="H762">
        <f>RTD("nest.scriprtd",,"nse_cm|957ICCL28-NW","LTP")</f>
        <v>841</v>
      </c>
      <c r="I762" t="str">
        <f>RTD("nest.scriprtd",,"nse_cm|957ICCL28-NW","LTT")</f>
        <v/>
      </c>
      <c r="J762">
        <f>RTD("nest.scriprtd",,"nse_cm|957ICCL28-NW","% Change")</f>
        <v>0</v>
      </c>
      <c r="K762">
        <f>RTD("nest.scriprtd",,"nse_cm|957ICCL28-NW","ATP")</f>
        <v>0</v>
      </c>
      <c r="L762">
        <f>RTD("nest.scriprtd",,"nse_cm|957ICCL28-NW","Volume Traded Today")</f>
        <v>0</v>
      </c>
      <c r="M762">
        <f>RTD("nest.scriprtd",,"nse_cm|957ICCL28-NW","Open")</f>
        <v>0</v>
      </c>
      <c r="N762">
        <f>RTD("nest.scriprtd",,"nse_cm|957ICCL28-NW","High")</f>
        <v>841</v>
      </c>
      <c r="O762">
        <f>RTD("nest.scriprtd",,"nse_cm|957ICCL28-NW","Low ")</f>
        <v>841</v>
      </c>
      <c r="P762">
        <f>RTD("nest.scriprtd",,"nse_cm|957ICCL28-NW","Prev Close")</f>
        <v>841</v>
      </c>
      <c r="Q762">
        <f>RTD("nest.scriprtd",,"nse_cm|957ICCL28-NW","Face Value")</f>
        <v>1000</v>
      </c>
      <c r="R762" t="str">
        <f>RTD("nest.scriprtd",,"nse_cm|957ICCL28-NW","Isin code")</f>
        <v>INE244L07549</v>
      </c>
      <c r="S762" s="9">
        <f>Table1[[#This Row],[Ask Rate]]*Table1[[#This Row],[Ask Qty]]</f>
        <v>0</v>
      </c>
      <c r="T762">
        <f>VLOOKUP(Table1[[#This Row],[Isin code]],Table2[#All],7,FALSE)</f>
        <v>0</v>
      </c>
      <c r="U762" s="17" t="str">
        <f>VLOOKUP(Table1[[#This Row],[Isin code]],Table2[#All],8,FALSE)</f>
        <v>25-Apr-2026</v>
      </c>
      <c r="V762" s="10">
        <f ca="1">Table1[[#This Row],[Maturity]]-TODAY()</f>
        <v>556</v>
      </c>
      <c r="W762" t="str">
        <f>VLOOKUP(Table1[[#This Row],[Isin code]],Table2[#All],10,FALSE)</f>
        <v>Yearly</v>
      </c>
      <c r="X762">
        <f ca="1">_xlfn.DAYS(Table1[[#This Row],[Maturity]],TODAY())-15</f>
        <v>541</v>
      </c>
      <c r="Y7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62">
        <f>IF(Table1[[#This Row],[Ask Rate]]=0,0,Table1[[#This Row],[Face Value]]-Table1[[#This Row],[Ask Rate]])</f>
        <v>0</v>
      </c>
      <c r="AA76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62">
        <f ca="1">Table1[[#This Row],[Face Value]]*Table1[[#This Row],[Rate]]*Table1[[#This Row],[Time]]</f>
        <v>0</v>
      </c>
      <c r="AC762">
        <f ca="1">Table1[[#This Row],[SI]]+Table1[[#This Row],[Disc/Prem]]</f>
        <v>0</v>
      </c>
      <c r="AD762" s="3" t="e">
        <f ca="1">Table1[[#This Row],[Net Gain]]/Table1[[#This Row],[Ask Rate]]</f>
        <v>#DIV/0!</v>
      </c>
      <c r="AE762" s="3">
        <f>IF(Table1[[#This Row],[Ask Qty]]=0,0,Table1[[#This Row],[Gross Yield]]*365/Table1[[#This Row],[Days Left]])</f>
        <v>0</v>
      </c>
      <c r="AF762" s="9">
        <f ca="1">+Table1[[#This Row],[Net Gain]]*Table1[[#This Row],[Ask Qty]]</f>
        <v>0</v>
      </c>
      <c r="AG762" t="str">
        <f>IF(Table1[[#This Row],[YTM]]&gt;0.12,IF(Table1[[#This Row],[Gross Profit]]&gt;10000,"Invest","Review"),"Low YTM")</f>
        <v>Low YTM</v>
      </c>
    </row>
    <row r="763" spans="1:33" x14ac:dyDescent="0.3">
      <c r="A763" t="str">
        <f>RTD("nest.scriprtd",,"bse_cm|1050IIFL29","Symbol")</f>
        <v>1050IIFL29</v>
      </c>
      <c r="B763" t="str">
        <f>RTD("nest.scriprtd",,"bse_cm|1050IIFL29","Trading Symbol")</f>
        <v>1050IIFL29</v>
      </c>
      <c r="C763" t="str">
        <f>RTD("nest.scriprtd",,"bse_cm|1050IIFL29","Exchange")</f>
        <v>BSE</v>
      </c>
      <c r="D763">
        <f>RTD("nest.scriprtd",,"bse_cm|1050IIFL29","Bid Qty")</f>
        <v>36</v>
      </c>
      <c r="E763">
        <f>RTD("nest.scriprtd",,"bse_cm|1050IIFL29","Bid Rate")</f>
        <v>846</v>
      </c>
      <c r="F763">
        <f>RTD("nest.scriprtd",,"bse_cm|1050IIFL29","Ask Rate")</f>
        <v>0</v>
      </c>
      <c r="G763">
        <f>RTD("nest.scriprtd",,"bse_cm|1050IIFL29","Ask Qty")</f>
        <v>0</v>
      </c>
      <c r="H763">
        <f>RTD("nest.scriprtd",,"bse_cm|1050IIFL29","LTP")</f>
        <v>0</v>
      </c>
      <c r="I763" t="str">
        <f>RTD("nest.scriprtd",,"bse_cm|1050IIFL29","LTT")</f>
        <v>00:00:00</v>
      </c>
      <c r="J763">
        <f>RTD("nest.scriprtd",,"bse_cm|1050IIFL29","% Change")</f>
        <v>-100</v>
      </c>
      <c r="K763">
        <f>RTD("nest.scriprtd",,"bse_cm|1050IIFL29","ATP")</f>
        <v>0</v>
      </c>
      <c r="L763">
        <f>RTD("nest.scriprtd",,"bse_cm|1050IIFL29","Volume Traded Today")</f>
        <v>0</v>
      </c>
      <c r="M763">
        <f>RTD("nest.scriprtd",,"bse_cm|1050IIFL29","Open")</f>
        <v>0</v>
      </c>
      <c r="N763">
        <f>RTD("nest.scriprtd",,"bse_cm|1050IIFL29","High")</f>
        <v>900.01</v>
      </c>
      <c r="O763">
        <f>RTD("nest.scriprtd",,"bse_cm|1050IIFL29","Low ")</f>
        <v>836</v>
      </c>
      <c r="P763">
        <f>RTD("nest.scriprtd",,"bse_cm|1050IIFL29","Prev Close")</f>
        <v>900.01</v>
      </c>
      <c r="Q763">
        <f>RTD("nest.scriprtd",,"bse_cm|1050IIFL29","Face Value")</f>
        <v>1000</v>
      </c>
      <c r="R763" t="str">
        <f>RTD("nest.scriprtd",,"bse_cm|1050IIFL29","Isin code")</f>
        <v>INE413U07319</v>
      </c>
      <c r="S763" s="9">
        <f>Table1[[#This Row],[Ask Rate]]*Table1[[#This Row],[Ask Qty]]</f>
        <v>0</v>
      </c>
      <c r="T763">
        <f>VLOOKUP(Table1[[#This Row],[Isin code]],Table2[#All],7,FALSE)</f>
        <v>10.5</v>
      </c>
      <c r="U763" s="17" t="str">
        <f>VLOOKUP(Table1[[#This Row],[Isin code]],Table2[#All],8,FALSE)</f>
        <v>21-Jun-2029</v>
      </c>
      <c r="V763" s="10">
        <f ca="1">Table1[[#This Row],[Maturity]]-TODAY()</f>
        <v>1709</v>
      </c>
      <c r="W763" t="str">
        <f>VLOOKUP(Table1[[#This Row],[Isin code]],Table2[#All],10,FALSE)</f>
        <v>Annual</v>
      </c>
      <c r="X763">
        <f ca="1">_xlfn.DAYS(Table1[[#This Row],[Maturity]],TODAY())-15</f>
        <v>1694</v>
      </c>
      <c r="Y76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63">
        <f>IF(Table1[[#This Row],[Ask Rate]]=0,0,Table1[[#This Row],[Face Value]]-Table1[[#This Row],[Ask Rate]])</f>
        <v>0</v>
      </c>
      <c r="AA76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63">
        <f>Table1[[#This Row],[Face Value]]*Table1[[#This Row],[Rate]]*Table1[[#This Row],[Time]]</f>
        <v>0</v>
      </c>
      <c r="AC763">
        <f>Table1[[#This Row],[SI]]+Table1[[#This Row],[Disc/Prem]]</f>
        <v>0</v>
      </c>
      <c r="AD763" s="3" t="e">
        <f>Table1[[#This Row],[Net Gain]]/Table1[[#This Row],[Ask Rate]]</f>
        <v>#DIV/0!</v>
      </c>
      <c r="AE763" s="3">
        <f>IF(Table1[[#This Row],[Ask Qty]]=0,0,Table1[[#This Row],[Gross Yield]]*365/Table1[[#This Row],[Days Left]])</f>
        <v>0</v>
      </c>
      <c r="AF763" s="9">
        <f>+Table1[[#This Row],[Net Gain]]*Table1[[#This Row],[Ask Qty]]</f>
        <v>0</v>
      </c>
      <c r="AG763" t="str">
        <f>IF(Table1[[#This Row],[YTM]]&gt;0.12,IF(Table1[[#This Row],[Gross Profit]]&gt;10000,"Invest","Review"),"Low YTM")</f>
        <v>Low YTM</v>
      </c>
    </row>
    <row r="764" spans="1:33" x14ac:dyDescent="0.3">
      <c r="A764" t="str">
        <f>RTD("nest.scriprtd",,"nse_cm|1050ICCL28-NV","Symbol")</f>
        <v>1050ICCL28</v>
      </c>
      <c r="B764" t="str">
        <f>RTD("nest.scriprtd",,"nse_cm|1050ICCL28-NV","Trading Symbol")</f>
        <v>1050ICCL28-NV</v>
      </c>
      <c r="C764" t="str">
        <f>RTD("nest.scriprtd",,"nse_cm|1050ICCL28-NV","Exchange")</f>
        <v>NSE</v>
      </c>
      <c r="D764">
        <f>RTD("nest.scriprtd",,"nse_cm|1050ICCL28-NV","Bid Qty")</f>
        <v>0</v>
      </c>
      <c r="E764">
        <f>RTD("nest.scriprtd",,"nse_cm|1050ICCL28-NV","Bid Rate")</f>
        <v>0</v>
      </c>
      <c r="F764">
        <f>RTD("nest.scriprtd",,"nse_cm|1050ICCL28-NV","Ask Rate")</f>
        <v>0</v>
      </c>
      <c r="G764">
        <f>RTD("nest.scriprtd",,"nse_cm|1050ICCL28-NV","Ask Qty")</f>
        <v>0</v>
      </c>
      <c r="H764">
        <f>RTD("nest.scriprtd",,"nse_cm|1050ICCL28-NV","LTP")</f>
        <v>0</v>
      </c>
      <c r="I764" t="str">
        <f>RTD("nest.scriprtd",,"nse_cm|1050ICCL28-NV","LTT")</f>
        <v/>
      </c>
      <c r="J764">
        <f>RTD("nest.scriprtd",,"nse_cm|1050ICCL28-NV","% Change")</f>
        <v>0</v>
      </c>
      <c r="K764">
        <f>RTD("nest.scriprtd",,"nse_cm|1050ICCL28-NV","ATP")</f>
        <v>0</v>
      </c>
      <c r="L764">
        <f>RTD("nest.scriprtd",,"nse_cm|1050ICCL28-NV","Volume Traded Today")</f>
        <v>0</v>
      </c>
      <c r="M764">
        <f>RTD("nest.scriprtd",,"nse_cm|1050ICCL28-NV","Open")</f>
        <v>0</v>
      </c>
      <c r="N764">
        <f>RTD("nest.scriprtd",,"nse_cm|1050ICCL28-NV","High")</f>
        <v>0</v>
      </c>
      <c r="O764">
        <f>RTD("nest.scriprtd",,"nse_cm|1050ICCL28-NV","Low ")</f>
        <v>0</v>
      </c>
      <c r="P764">
        <f>RTD("nest.scriprtd",,"nse_cm|1050ICCL28-NV","Prev Close")</f>
        <v>0</v>
      </c>
      <c r="Q764">
        <f>RTD("nest.scriprtd",,"nse_cm|1050ICCL28-NV","Face Value")</f>
        <v>1000</v>
      </c>
      <c r="R764" t="str">
        <f>RTD("nest.scriprtd",,"nse_cm|1050ICCL28-NV","Isin code")</f>
        <v>INE244L07531</v>
      </c>
      <c r="S764" s="9">
        <f>Table1[[#This Row],[Ask Rate]]*Table1[[#This Row],[Ask Qty]]</f>
        <v>0</v>
      </c>
      <c r="T764" t="str">
        <f>VLOOKUP(Table1[[#This Row],[Isin code]],Table2[#All],7,FALSE)</f>
        <v>--</v>
      </c>
      <c r="U764" s="17" t="str">
        <f>VLOOKUP(Table1[[#This Row],[Isin code]],Table2[#All],8,FALSE)</f>
        <v>25-Apr-2026</v>
      </c>
      <c r="V764" s="10">
        <f ca="1">Table1[[#This Row],[Maturity]]-TODAY()</f>
        <v>556</v>
      </c>
      <c r="W764" t="str">
        <f>VLOOKUP(Table1[[#This Row],[Isin code]],Table2[#All],10,FALSE)</f>
        <v>At the End</v>
      </c>
      <c r="X764">
        <f ca="1">_xlfn.DAYS(Table1[[#This Row],[Maturity]],TODAY())-15</f>
        <v>541</v>
      </c>
      <c r="Y76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64">
        <f>IF(Table1[[#This Row],[Ask Rate]]=0,0,Table1[[#This Row],[Face Value]]-Table1[[#This Row],[Ask Rate]])</f>
        <v>0</v>
      </c>
      <c r="AA76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64">
        <f>Table1[[#This Row],[Face Value]]*Table1[[#This Row],[Rate]]*Table1[[#This Row],[Time]]</f>
        <v>0</v>
      </c>
      <c r="AC764">
        <f>Table1[[#This Row],[SI]]+Table1[[#This Row],[Disc/Prem]]</f>
        <v>0</v>
      </c>
      <c r="AD764" s="3" t="e">
        <f>Table1[[#This Row],[Net Gain]]/Table1[[#This Row],[Ask Rate]]</f>
        <v>#DIV/0!</v>
      </c>
      <c r="AE764" s="3">
        <f>IF(Table1[[#This Row],[Ask Qty]]=0,0,Table1[[#This Row],[Gross Yield]]*365/Table1[[#This Row],[Days Left]])</f>
        <v>0</v>
      </c>
      <c r="AF764" s="9">
        <f>+Table1[[#This Row],[Net Gain]]*Table1[[#This Row],[Ask Qty]]</f>
        <v>0</v>
      </c>
      <c r="AG764" t="str">
        <f>IF(Table1[[#This Row],[YTM]]&gt;0.12,IF(Table1[[#This Row],[Gross Profit]]&gt;10000,"Invest","Review"),"Low YTM")</f>
        <v>Low YTM</v>
      </c>
    </row>
    <row r="765" spans="1:33" x14ac:dyDescent="0.3">
      <c r="A765" t="str">
        <f>RTD("nest.scriprtd",,"bse_cm|1025MML26","Symbol")</f>
        <v>1025MML26</v>
      </c>
      <c r="B765" t="str">
        <f>RTD("nest.scriprtd",,"bse_cm|1025MML26","Trading Symbol")</f>
        <v>1025MML26</v>
      </c>
      <c r="C765" t="str">
        <f>RTD("nest.scriprtd",,"bse_cm|1025MML26","Exchange")</f>
        <v>BSE</v>
      </c>
      <c r="D765">
        <f>RTD("nest.scriprtd",,"bse_cm|1025MML26","Bid Qty")</f>
        <v>10</v>
      </c>
      <c r="E765">
        <f>RTD("nest.scriprtd",,"bse_cm|1025MML26","Bid Rate")</f>
        <v>922</v>
      </c>
      <c r="F765">
        <f>RTD("nest.scriprtd",,"bse_cm|1025MML26","Ask Rate")</f>
        <v>0</v>
      </c>
      <c r="G765">
        <f>RTD("nest.scriprtd",,"bse_cm|1025MML26","Ask Qty")</f>
        <v>0</v>
      </c>
      <c r="H765">
        <f>RTD("nest.scriprtd",,"bse_cm|1025MML26","LTP")</f>
        <v>0</v>
      </c>
      <c r="I765" t="str">
        <f>RTD("nest.scriprtd",,"bse_cm|1025MML26","LTT")</f>
        <v>00:00:00</v>
      </c>
      <c r="J765">
        <f>RTD("nest.scriprtd",,"bse_cm|1025MML26","% Change")</f>
        <v>-100</v>
      </c>
      <c r="K765">
        <f>RTD("nest.scriprtd",,"bse_cm|1025MML26","ATP")</f>
        <v>0</v>
      </c>
      <c r="L765">
        <f>RTD("nest.scriprtd",,"bse_cm|1025MML26","Volume Traded Today")</f>
        <v>0</v>
      </c>
      <c r="M765">
        <f>RTD("nest.scriprtd",,"bse_cm|1025MML26","Open")</f>
        <v>0</v>
      </c>
      <c r="N765">
        <f>RTD("nest.scriprtd",,"bse_cm|1025MML26","High")</f>
        <v>922</v>
      </c>
      <c r="O765">
        <f>RTD("nest.scriprtd",,"bse_cm|1025MML26","Low ")</f>
        <v>922</v>
      </c>
      <c r="P765">
        <f>RTD("nest.scriprtd",,"bse_cm|1025MML26","Prev Close")</f>
        <v>922</v>
      </c>
      <c r="Q765">
        <f>RTD("nest.scriprtd",,"bse_cm|1025MML26","Face Value")</f>
        <v>1000</v>
      </c>
      <c r="R765" t="str">
        <f>RTD("nest.scriprtd",,"bse_cm|1025MML26","Isin code")</f>
        <v>INE05F407BG5</v>
      </c>
      <c r="S765" s="9">
        <f>Table1[[#This Row],[Ask Rate]]*Table1[[#This Row],[Ask Qty]]</f>
        <v>0</v>
      </c>
      <c r="T765">
        <f>VLOOKUP(Table1[[#This Row],[Isin code]],Table2[#All],7,FALSE)</f>
        <v>10.25</v>
      </c>
      <c r="U765" s="17" t="str">
        <f>VLOOKUP(Table1[[#This Row],[Isin code]],Table2[#All],8,FALSE)</f>
        <v>21-Dec-2026</v>
      </c>
      <c r="V765" s="10">
        <f ca="1">Table1[[#This Row],[Maturity]]-TODAY()</f>
        <v>796</v>
      </c>
      <c r="W765" t="str">
        <f>VLOOKUP(Table1[[#This Row],[Isin code]],Table2[#All],10,FALSE)</f>
        <v>Monthly</v>
      </c>
      <c r="X765">
        <f ca="1">_xlfn.DAYS(Table1[[#This Row],[Maturity]],TODAY())-15</f>
        <v>781</v>
      </c>
      <c r="Y7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765">
        <f>IF(Table1[[#This Row],[Ask Rate]]=0,0,Table1[[#This Row],[Face Value]]-Table1[[#This Row],[Ask Rate]])</f>
        <v>0</v>
      </c>
      <c r="AA765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765">
        <f ca="1">Table1[[#This Row],[Face Value]]*Table1[[#This Row],[Rate]]*Table1[[#This Row],[Time]]</f>
        <v>230.62499999999997</v>
      </c>
      <c r="AC765">
        <f ca="1">Table1[[#This Row],[SI]]+Table1[[#This Row],[Disc/Prem]]</f>
        <v>230.62499999999997</v>
      </c>
      <c r="AD765" s="3" t="e">
        <f ca="1">Table1[[#This Row],[Net Gain]]/Table1[[#This Row],[Ask Rate]]</f>
        <v>#DIV/0!</v>
      </c>
      <c r="AE765" s="3">
        <f>IF(Table1[[#This Row],[Ask Qty]]=0,0,Table1[[#This Row],[Gross Yield]]*365/Table1[[#This Row],[Days Left]])</f>
        <v>0</v>
      </c>
      <c r="AF765" s="9">
        <f ca="1">+Table1[[#This Row],[Net Gain]]*Table1[[#This Row],[Ask Qty]]</f>
        <v>0</v>
      </c>
      <c r="AG765" t="str">
        <f>IF(Table1[[#This Row],[YTM]]&gt;0.12,IF(Table1[[#This Row],[Gross Profit]]&gt;10000,"Invest","Review"),"Low YTM")</f>
        <v>Low YTM</v>
      </c>
    </row>
    <row r="766" spans="1:33" x14ac:dyDescent="0.3">
      <c r="A766" t="str">
        <f>RTD("nest.scriprtd",,"bse_cm|1025MML25","Symbol")</f>
        <v>1025MML25</v>
      </c>
      <c r="B766" t="str">
        <f>RTD("nest.scriprtd",,"bse_cm|1025MML25","Trading Symbol")</f>
        <v>1025MML25</v>
      </c>
      <c r="C766" t="str">
        <f>RTD("nest.scriprtd",,"bse_cm|1025MML25","Exchange")</f>
        <v>BSE</v>
      </c>
      <c r="D766">
        <f>RTD("nest.scriprtd",,"bse_cm|1025MML25","Bid Qty")</f>
        <v>16</v>
      </c>
      <c r="E766">
        <f>RTD("nest.scriprtd",,"bse_cm|1025MML25","Bid Rate")</f>
        <v>839.5</v>
      </c>
      <c r="F766">
        <f>RTD("nest.scriprtd",,"bse_cm|1025MML25","Ask Rate")</f>
        <v>0</v>
      </c>
      <c r="G766">
        <f>RTD("nest.scriprtd",,"bse_cm|1025MML25","Ask Qty")</f>
        <v>0</v>
      </c>
      <c r="H766">
        <f>RTD("nest.scriprtd",,"bse_cm|1025MML25","LTP")</f>
        <v>0</v>
      </c>
      <c r="I766" t="str">
        <f>RTD("nest.scriprtd",,"bse_cm|1025MML25","LTT")</f>
        <v>00:00:00</v>
      </c>
      <c r="J766">
        <f>RTD("nest.scriprtd",,"bse_cm|1025MML25","% Change")</f>
        <v>-100</v>
      </c>
      <c r="K766">
        <f>RTD("nest.scriprtd",,"bse_cm|1025MML25","ATP")</f>
        <v>0</v>
      </c>
      <c r="L766">
        <f>RTD("nest.scriprtd",,"bse_cm|1025MML25","Volume Traded Today")</f>
        <v>0</v>
      </c>
      <c r="M766">
        <f>RTD("nest.scriprtd",,"bse_cm|1025MML25","Open")</f>
        <v>0</v>
      </c>
      <c r="N766">
        <f>RTD("nest.scriprtd",,"bse_cm|1025MML25","High")</f>
        <v>979</v>
      </c>
      <c r="O766">
        <f>RTD("nest.scriprtd",,"bse_cm|1025MML25","Low ")</f>
        <v>839.5</v>
      </c>
      <c r="P766">
        <f>RTD("nest.scriprtd",,"bse_cm|1025MML25","Prev Close")</f>
        <v>979</v>
      </c>
      <c r="Q766">
        <f>RTD("nest.scriprtd",,"bse_cm|1025MML25","Face Value")</f>
        <v>1000</v>
      </c>
      <c r="R766" t="str">
        <f>RTD("nest.scriprtd",,"bse_cm|1025MML25","Isin code")</f>
        <v>INE05F407BN1</v>
      </c>
      <c r="S766" s="9">
        <f>Table1[[#This Row],[Ask Rate]]*Table1[[#This Row],[Ask Qty]]</f>
        <v>0</v>
      </c>
      <c r="T766">
        <f>VLOOKUP(Table1[[#This Row],[Isin code]],Table2[#All],7,FALSE)</f>
        <v>10.25</v>
      </c>
      <c r="U766" s="17" t="str">
        <f>VLOOKUP(Table1[[#This Row],[Isin code]],Table2[#All],8,FALSE)</f>
        <v>21-Dec-2025</v>
      </c>
      <c r="V766" s="10">
        <f ca="1">Table1[[#This Row],[Maturity]]-TODAY()</f>
        <v>431</v>
      </c>
      <c r="W766" t="str">
        <f>VLOOKUP(Table1[[#This Row],[Isin code]],Table2[#All],10,FALSE)</f>
        <v>Monthly</v>
      </c>
      <c r="X766">
        <f ca="1">_xlfn.DAYS(Table1[[#This Row],[Maturity]],TODAY())-15</f>
        <v>416</v>
      </c>
      <c r="Y7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766">
        <f>IF(Table1[[#This Row],[Ask Rate]]=0,0,Table1[[#This Row],[Face Value]]-Table1[[#This Row],[Ask Rate]])</f>
        <v>0</v>
      </c>
      <c r="AA766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766">
        <f ca="1">Table1[[#This Row],[Face Value]]*Table1[[#This Row],[Rate]]*Table1[[#This Row],[Time]]</f>
        <v>119.58333333333333</v>
      </c>
      <c r="AC766">
        <f ca="1">Table1[[#This Row],[SI]]+Table1[[#This Row],[Disc/Prem]]</f>
        <v>119.58333333333333</v>
      </c>
      <c r="AD766" s="3" t="e">
        <f ca="1">Table1[[#This Row],[Net Gain]]/Table1[[#This Row],[Ask Rate]]</f>
        <v>#DIV/0!</v>
      </c>
      <c r="AE766" s="3">
        <f>IF(Table1[[#This Row],[Ask Qty]]=0,0,Table1[[#This Row],[Gross Yield]]*365/Table1[[#This Row],[Days Left]])</f>
        <v>0</v>
      </c>
      <c r="AF766" s="9">
        <f ca="1">+Table1[[#This Row],[Net Gain]]*Table1[[#This Row],[Ask Qty]]</f>
        <v>0</v>
      </c>
      <c r="AG766" t="str">
        <f>IF(Table1[[#This Row],[YTM]]&gt;0.12,IF(Table1[[#This Row],[Gross Profit]]&gt;10000,"Invest","Review"),"Low YTM")</f>
        <v>Low YTM</v>
      </c>
    </row>
    <row r="767" spans="1:33" x14ac:dyDescent="0.3">
      <c r="A767" t="str">
        <f>RTD("nest.scriprtd",,"bse_cm|1025KFL27","Symbol")</f>
        <v>1025KFL27</v>
      </c>
      <c r="B767" t="str">
        <f>RTD("nest.scriprtd",,"bse_cm|1025KFL27","Trading Symbol")</f>
        <v>1025KFL27</v>
      </c>
      <c r="C767" t="str">
        <f>RTD("nest.scriprtd",,"bse_cm|1025KFL27","Exchange")</f>
        <v>BSE</v>
      </c>
      <c r="D767">
        <f>RTD("nest.scriprtd",,"bse_cm|1025KFL27","Bid Qty")</f>
        <v>100</v>
      </c>
      <c r="E767">
        <f>RTD("nest.scriprtd",,"bse_cm|1025KFL27","Bid Rate")</f>
        <v>905.4</v>
      </c>
      <c r="F767">
        <f>RTD("nest.scriprtd",,"bse_cm|1025KFL27","Ask Rate")</f>
        <v>0</v>
      </c>
      <c r="G767">
        <f>RTD("nest.scriprtd",,"bse_cm|1025KFL27","Ask Qty")</f>
        <v>0</v>
      </c>
      <c r="H767">
        <f>RTD("nest.scriprtd",,"bse_cm|1025KFL27","LTP")</f>
        <v>0</v>
      </c>
      <c r="I767" t="str">
        <f>RTD("nest.scriprtd",,"bse_cm|1025KFL27","LTT")</f>
        <v>00:00:00</v>
      </c>
      <c r="J767">
        <f>RTD("nest.scriprtd",,"bse_cm|1025KFL27","% Change")</f>
        <v>-100</v>
      </c>
      <c r="K767">
        <f>RTD("nest.scriprtd",,"bse_cm|1025KFL27","ATP")</f>
        <v>0</v>
      </c>
      <c r="L767">
        <f>RTD("nest.scriprtd",,"bse_cm|1025KFL27","Volume Traded Today")</f>
        <v>0</v>
      </c>
      <c r="M767">
        <f>RTD("nest.scriprtd",,"bse_cm|1025KFL27","Open")</f>
        <v>0</v>
      </c>
      <c r="N767">
        <f>RTD("nest.scriprtd",,"bse_cm|1025KFL27","High")</f>
        <v>965</v>
      </c>
      <c r="O767">
        <f>RTD("nest.scriprtd",,"bse_cm|1025KFL27","Low ")</f>
        <v>965</v>
      </c>
      <c r="P767">
        <f>RTD("nest.scriprtd",,"bse_cm|1025KFL27","Prev Close")</f>
        <v>965</v>
      </c>
      <c r="Q767">
        <f>RTD("nest.scriprtd",,"bse_cm|1025KFL27","Face Value")</f>
        <v>1000</v>
      </c>
      <c r="R767" t="str">
        <f>RTD("nest.scriprtd",,"bse_cm|1025KFL27","Isin code")</f>
        <v>INE403Q08191</v>
      </c>
      <c r="S767" s="9">
        <f>Table1[[#This Row],[Ask Rate]]*Table1[[#This Row],[Ask Qty]]</f>
        <v>0</v>
      </c>
      <c r="T767">
        <f>VLOOKUP(Table1[[#This Row],[Isin code]],Table2[#All],7,FALSE)</f>
        <v>10.25</v>
      </c>
      <c r="U767" s="17" t="str">
        <f>VLOOKUP(Table1[[#This Row],[Isin code]],Table2[#All],8,FALSE)</f>
        <v>28-May-2027</v>
      </c>
      <c r="V767" s="10">
        <f ca="1">Table1[[#This Row],[Maturity]]-TODAY()</f>
        <v>954</v>
      </c>
      <c r="W767" t="str">
        <f>VLOOKUP(Table1[[#This Row],[Isin code]],Table2[#All],10,FALSE)</f>
        <v>Monthly</v>
      </c>
      <c r="X767">
        <f ca="1">_xlfn.DAYS(Table1[[#This Row],[Maturity]],TODAY())-15</f>
        <v>939</v>
      </c>
      <c r="Y7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32</v>
      </c>
      <c r="Z767">
        <f>IF(Table1[[#This Row],[Ask Rate]]=0,0,Table1[[#This Row],[Face Value]]-Table1[[#This Row],[Ask Rate]])</f>
        <v>0</v>
      </c>
      <c r="AA767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767">
        <f ca="1">Table1[[#This Row],[Face Value]]*Table1[[#This Row],[Rate]]*Table1[[#This Row],[Time]]</f>
        <v>273.33333333333331</v>
      </c>
      <c r="AC767">
        <f ca="1">Table1[[#This Row],[SI]]+Table1[[#This Row],[Disc/Prem]]</f>
        <v>273.33333333333331</v>
      </c>
      <c r="AD767" s="3" t="e">
        <f ca="1">Table1[[#This Row],[Net Gain]]/Table1[[#This Row],[Ask Rate]]</f>
        <v>#DIV/0!</v>
      </c>
      <c r="AE767" s="3">
        <f>IF(Table1[[#This Row],[Ask Qty]]=0,0,Table1[[#This Row],[Gross Yield]]*365/Table1[[#This Row],[Days Left]])</f>
        <v>0</v>
      </c>
      <c r="AF767" s="9">
        <f ca="1">+Table1[[#This Row],[Net Gain]]*Table1[[#This Row],[Ask Qty]]</f>
        <v>0</v>
      </c>
      <c r="AG767" t="str">
        <f>IF(Table1[[#This Row],[YTM]]&gt;0.12,IF(Table1[[#This Row],[Gross Profit]]&gt;10000,"Invest","Review"),"Low YTM")</f>
        <v>Low YTM</v>
      </c>
    </row>
    <row r="768" spans="1:33" x14ac:dyDescent="0.3">
      <c r="A768" t="str">
        <f>RTD("nest.scriprtd",,"bse_cm|1025KFL26","Symbol")</f>
        <v>1025KFL26</v>
      </c>
      <c r="B768" t="str">
        <f>RTD("nest.scriprtd",,"bse_cm|1025KFL26","Trading Symbol")</f>
        <v>1025KFL26</v>
      </c>
      <c r="C768" t="str">
        <f>RTD("nest.scriprtd",,"bse_cm|1025KFL26","Exchange")</f>
        <v>BSE</v>
      </c>
      <c r="D768">
        <f>RTD("nest.scriprtd",,"bse_cm|1025KFL26","Bid Qty")</f>
        <v>15</v>
      </c>
      <c r="E768">
        <f>RTD("nest.scriprtd",,"bse_cm|1025KFL26","Bid Rate")</f>
        <v>850.2</v>
      </c>
      <c r="F768">
        <f>RTD("nest.scriprtd",,"bse_cm|1025KFL26","Ask Rate")</f>
        <v>0</v>
      </c>
      <c r="G768">
        <f>RTD("nest.scriprtd",,"bse_cm|1025KFL26","Ask Qty")</f>
        <v>0</v>
      </c>
      <c r="H768">
        <f>RTD("nest.scriprtd",,"bse_cm|1025KFL26","LTP")</f>
        <v>0</v>
      </c>
      <c r="I768" t="str">
        <f>RTD("nest.scriprtd",,"bse_cm|1025KFL26","LTT")</f>
        <v>00:00:00</v>
      </c>
      <c r="J768">
        <f>RTD("nest.scriprtd",,"bse_cm|1025KFL26","% Change")</f>
        <v>-100</v>
      </c>
      <c r="K768">
        <f>RTD("nest.scriprtd",,"bse_cm|1025KFL26","ATP")</f>
        <v>0</v>
      </c>
      <c r="L768">
        <f>RTD("nest.scriprtd",,"bse_cm|1025KFL26","Volume Traded Today")</f>
        <v>0</v>
      </c>
      <c r="M768">
        <f>RTD("nest.scriprtd",,"bse_cm|1025KFL26","Open")</f>
        <v>0</v>
      </c>
      <c r="N768">
        <f>RTD("nest.scriprtd",,"bse_cm|1025KFL26","High")</f>
        <v>960</v>
      </c>
      <c r="O768">
        <f>RTD("nest.scriprtd",,"bse_cm|1025KFL26","Low ")</f>
        <v>960</v>
      </c>
      <c r="P768">
        <f>RTD("nest.scriprtd",,"bse_cm|1025KFL26","Prev Close")</f>
        <v>960</v>
      </c>
      <c r="Q768">
        <f>RTD("nest.scriprtd",,"bse_cm|1025KFL26","Face Value")</f>
        <v>1000</v>
      </c>
      <c r="R768" t="str">
        <f>RTD("nest.scriprtd",,"bse_cm|1025KFL26","Isin code")</f>
        <v>INE403Q08159</v>
      </c>
      <c r="S768" s="9">
        <f>Table1[[#This Row],[Ask Rate]]*Table1[[#This Row],[Ask Qty]]</f>
        <v>0</v>
      </c>
      <c r="T768">
        <f>VLOOKUP(Table1[[#This Row],[Isin code]],Table2[#All],7,FALSE)</f>
        <v>10.25</v>
      </c>
      <c r="U768" s="17" t="str">
        <f>VLOOKUP(Table1[[#This Row],[Isin code]],Table2[#All],8,FALSE)</f>
        <v>05-May-2026</v>
      </c>
      <c r="V768" s="10">
        <f ca="1">Table1[[#This Row],[Maturity]]-TODAY()</f>
        <v>566</v>
      </c>
      <c r="W768" t="str">
        <f>VLOOKUP(Table1[[#This Row],[Isin code]],Table2[#All],10,FALSE)</f>
        <v>Monthly</v>
      </c>
      <c r="X768">
        <f ca="1">_xlfn.DAYS(Table1[[#This Row],[Maturity]],TODAY())-15</f>
        <v>551</v>
      </c>
      <c r="Y7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768">
        <f>IF(Table1[[#This Row],[Ask Rate]]=0,0,Table1[[#This Row],[Face Value]]-Table1[[#This Row],[Ask Rate]])</f>
        <v>0</v>
      </c>
      <c r="AA768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768">
        <f ca="1">Table1[[#This Row],[Face Value]]*Table1[[#This Row],[Rate]]*Table1[[#This Row],[Time]]</f>
        <v>162.29166666666666</v>
      </c>
      <c r="AC768">
        <f ca="1">Table1[[#This Row],[SI]]+Table1[[#This Row],[Disc/Prem]]</f>
        <v>162.29166666666666</v>
      </c>
      <c r="AD768" s="3" t="e">
        <f ca="1">Table1[[#This Row],[Net Gain]]/Table1[[#This Row],[Ask Rate]]</f>
        <v>#DIV/0!</v>
      </c>
      <c r="AE768" s="3">
        <f>IF(Table1[[#This Row],[Ask Qty]]=0,0,Table1[[#This Row],[Gross Yield]]*365/Table1[[#This Row],[Days Left]])</f>
        <v>0</v>
      </c>
      <c r="AF768" s="9">
        <f ca="1">+Table1[[#This Row],[Net Gain]]*Table1[[#This Row],[Ask Qty]]</f>
        <v>0</v>
      </c>
      <c r="AG768" t="str">
        <f>IF(Table1[[#This Row],[YTM]]&gt;0.12,IF(Table1[[#This Row],[Gross Profit]]&gt;10000,"Invest","Review"),"Low YTM")</f>
        <v>Low YTM</v>
      </c>
    </row>
    <row r="769" spans="1:33" x14ac:dyDescent="0.3">
      <c r="A769" t="str">
        <f>RTD("nest.scriprtd",,"bse_cm|1025KAFL27","Symbol")</f>
        <v>1025KAFL27</v>
      </c>
      <c r="B769" t="str">
        <f>RTD("nest.scriprtd",,"bse_cm|1025KAFL27","Trading Symbol")</f>
        <v>1025KAFL27</v>
      </c>
      <c r="C769" t="str">
        <f>RTD("nest.scriprtd",,"bse_cm|1025KAFL27","Exchange")</f>
        <v>BSE</v>
      </c>
      <c r="D769">
        <f>RTD("nest.scriprtd",,"bse_cm|1025KAFL27","Bid Qty")</f>
        <v>14</v>
      </c>
      <c r="E769">
        <f>RTD("nest.scriprtd",,"bse_cm|1025KAFL27","Bid Rate")</f>
        <v>825.4</v>
      </c>
      <c r="F769">
        <f>RTD("nest.scriprtd",,"bse_cm|1025KAFL27","Ask Rate")</f>
        <v>0</v>
      </c>
      <c r="G769">
        <f>RTD("nest.scriprtd",,"bse_cm|1025KAFL27","Ask Qty")</f>
        <v>0</v>
      </c>
      <c r="H769">
        <f>RTD("nest.scriprtd",,"bse_cm|1025KAFL27","LTP")</f>
        <v>0</v>
      </c>
      <c r="I769" t="str">
        <f>RTD("nest.scriprtd",,"bse_cm|1025KAFL27","LTT")</f>
        <v>00:00:00</v>
      </c>
      <c r="J769">
        <f>RTD("nest.scriprtd",,"bse_cm|1025KAFL27","% Change")</f>
        <v>-100</v>
      </c>
      <c r="K769">
        <f>RTD("nest.scriprtd",,"bse_cm|1025KAFL27","ATP")</f>
        <v>0</v>
      </c>
      <c r="L769">
        <f>RTD("nest.scriprtd",,"bse_cm|1025KAFL27","Volume Traded Today")</f>
        <v>0</v>
      </c>
      <c r="M769">
        <f>RTD("nest.scriprtd",,"bse_cm|1025KAFL27","Open")</f>
        <v>0</v>
      </c>
      <c r="N769">
        <f>RTD("nest.scriprtd",,"bse_cm|1025KAFL27","High")</f>
        <v>0</v>
      </c>
      <c r="O769">
        <f>RTD("nest.scriprtd",,"bse_cm|1025KAFL27","Low ")</f>
        <v>0</v>
      </c>
      <c r="P769">
        <f>RTD("nest.scriprtd",,"bse_cm|1025KAFL27","Prev Close")</f>
        <v>1000</v>
      </c>
      <c r="Q769">
        <f>RTD("nest.scriprtd",,"bse_cm|1025KAFL27","Face Value")</f>
        <v>1000</v>
      </c>
      <c r="R769" t="str">
        <f>RTD("nest.scriprtd",,"bse_cm|1025KAFL27","Isin code")</f>
        <v>INE01I507976</v>
      </c>
      <c r="S769" s="9">
        <f>Table1[[#This Row],[Ask Rate]]*Table1[[#This Row],[Ask Qty]]</f>
        <v>0</v>
      </c>
      <c r="T769">
        <f>VLOOKUP(Table1[[#This Row],[Isin code]],Table2[#All],7,FALSE)</f>
        <v>10.25</v>
      </c>
      <c r="U769" s="17" t="str">
        <f>VLOOKUP(Table1[[#This Row],[Isin code]],Table2[#All],8,FALSE)</f>
        <v>07-Aug-2027</v>
      </c>
      <c r="V769" s="10">
        <f ca="1">Table1[[#This Row],[Maturity]]-TODAY()</f>
        <v>1025</v>
      </c>
      <c r="W769" t="str">
        <f>VLOOKUP(Table1[[#This Row],[Isin code]],Table2[#All],10,FALSE)</f>
        <v>MONTHLY</v>
      </c>
      <c r="X769">
        <f ca="1">_xlfn.DAYS(Table1[[#This Row],[Maturity]],TODAY())-15</f>
        <v>1010</v>
      </c>
      <c r="Y7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34</v>
      </c>
      <c r="Z769">
        <f>IF(Table1[[#This Row],[Ask Rate]]=0,0,Table1[[#This Row],[Face Value]]-Table1[[#This Row],[Ask Rate]])</f>
        <v>0</v>
      </c>
      <c r="AA769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769">
        <f ca="1">Table1[[#This Row],[Face Value]]*Table1[[#This Row],[Rate]]*Table1[[#This Row],[Time]]</f>
        <v>290.41666666666663</v>
      </c>
      <c r="AC769">
        <f ca="1">Table1[[#This Row],[SI]]+Table1[[#This Row],[Disc/Prem]]</f>
        <v>290.41666666666663</v>
      </c>
      <c r="AD769" s="3" t="e">
        <f ca="1">Table1[[#This Row],[Net Gain]]/Table1[[#This Row],[Ask Rate]]</f>
        <v>#DIV/0!</v>
      </c>
      <c r="AE769" s="3">
        <f>IF(Table1[[#This Row],[Ask Qty]]=0,0,Table1[[#This Row],[Gross Yield]]*365/Table1[[#This Row],[Days Left]])</f>
        <v>0</v>
      </c>
      <c r="AF769" s="9">
        <f ca="1">+Table1[[#This Row],[Net Gain]]*Table1[[#This Row],[Ask Qty]]</f>
        <v>0</v>
      </c>
      <c r="AG769" t="str">
        <f>IF(Table1[[#This Row],[YTM]]&gt;0.12,IF(Table1[[#This Row],[Gross Profit]]&gt;10000,"Invest","Review"),"Low YTM")</f>
        <v>Low YTM</v>
      </c>
    </row>
    <row r="770" spans="1:33" hidden="1" x14ac:dyDescent="0.3">
      <c r="A770" t="str">
        <f>RTD("nest.scriprtd",,"bse_cm|1025KAFL25","Symbol")</f>
        <v>1025KAFL25</v>
      </c>
      <c r="B770" t="str">
        <f>RTD("nest.scriprtd",,"bse_cm|1025KAFL25","Trading Symbol")</f>
        <v>1025KAFL25</v>
      </c>
      <c r="C770" t="str">
        <f>RTD("nest.scriprtd",,"bse_cm|1025KAFL25","Exchange")</f>
        <v>BSE</v>
      </c>
      <c r="D770">
        <f>RTD("nest.scriprtd",,"bse_cm|1025KAFL25","Bid Qty")</f>
        <v>15</v>
      </c>
      <c r="E770">
        <f>RTD("nest.scriprtd",,"bse_cm|1025KAFL25","Bid Rate")</f>
        <v>835.2</v>
      </c>
      <c r="F770">
        <f>RTD("nest.scriprtd",,"bse_cm|1025KAFL25","Ask Rate")</f>
        <v>0</v>
      </c>
      <c r="G770">
        <f>RTD("nest.scriprtd",,"bse_cm|1025KAFL25","Ask Qty")</f>
        <v>0</v>
      </c>
      <c r="H770">
        <f>RTD("nest.scriprtd",,"bse_cm|1025KAFL25","LTP")</f>
        <v>0</v>
      </c>
      <c r="I770" t="str">
        <f>RTD("nest.scriprtd",,"bse_cm|1025KAFL25","LTT")</f>
        <v>00:00:00</v>
      </c>
      <c r="J770">
        <f>RTD("nest.scriprtd",,"bse_cm|1025KAFL25","% Change")</f>
        <v>-100</v>
      </c>
      <c r="K770">
        <f>RTD("nest.scriprtd",,"bse_cm|1025KAFL25","ATP")</f>
        <v>0</v>
      </c>
      <c r="L770">
        <f>RTD("nest.scriprtd",,"bse_cm|1025KAFL25","Volume Traded Today")</f>
        <v>0</v>
      </c>
      <c r="M770">
        <f>RTD("nest.scriprtd",,"bse_cm|1025KAFL25","Open")</f>
        <v>0</v>
      </c>
      <c r="N770">
        <f>RTD("nest.scriprtd",,"bse_cm|1025KAFL25","High")</f>
        <v>1000</v>
      </c>
      <c r="O770">
        <f>RTD("nest.scriprtd",,"bse_cm|1025KAFL25","Low ")</f>
        <v>1000</v>
      </c>
      <c r="P770">
        <f>RTD("nest.scriprtd",,"bse_cm|1025KAFL25","Prev Close")</f>
        <v>1000</v>
      </c>
      <c r="Q770">
        <f>RTD("nest.scriprtd",,"bse_cm|1025KAFL25","Face Value")</f>
        <v>1000</v>
      </c>
      <c r="R770" t="str">
        <f>RTD("nest.scriprtd",,"bse_cm|1025KAFL25","Isin code")</f>
        <v>INE01I507554</v>
      </c>
      <c r="S770" s="9">
        <f>Table1[[#This Row],[Ask Rate]]*Table1[[#This Row],[Ask Qty]]</f>
        <v>0</v>
      </c>
      <c r="T770">
        <f>VLOOKUP(Table1[[#This Row],[Isin code]],Table2[#All],7,FALSE)</f>
        <v>10.25</v>
      </c>
      <c r="U770" s="17" t="str">
        <f>VLOOKUP(Table1[[#This Row],[Isin code]],Table2[#All],8,FALSE)</f>
        <v>15-Mar-2025</v>
      </c>
      <c r="V770" s="10">
        <f ca="1">Table1[[#This Row],[Maturity]]-TODAY()</f>
        <v>150</v>
      </c>
      <c r="W770" t="str">
        <f>VLOOKUP(Table1[[#This Row],[Isin code]],Table2[#All],10,FALSE)</f>
        <v>Monthly</v>
      </c>
      <c r="X770">
        <f ca="1">_xlfn.DAYS(Table1[[#This Row],[Maturity]],TODAY())-15</f>
        <v>135</v>
      </c>
      <c r="Y7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770">
        <f>IF(Table1[[#This Row],[Ask Rate]]=0,0,Table1[[#This Row],[Face Value]]-Table1[[#This Row],[Ask Rate]])</f>
        <v>0</v>
      </c>
      <c r="AA770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770">
        <f ca="1">Table1[[#This Row],[Face Value]]*Table1[[#This Row],[Rate]]*Table1[[#This Row],[Time]]</f>
        <v>42.708333333333329</v>
      </c>
      <c r="AC770">
        <f ca="1">Table1[[#This Row],[SI]]+Table1[[#This Row],[Disc/Prem]]</f>
        <v>42.708333333333329</v>
      </c>
      <c r="AD770" s="3" t="e">
        <f ca="1">Table1[[#This Row],[Net Gain]]/Table1[[#This Row],[Ask Rate]]</f>
        <v>#DIV/0!</v>
      </c>
      <c r="AE770" s="3">
        <f>IF(Table1[[#This Row],[Ask Qty]]=0,0,Table1[[#This Row],[Gross Yield]]*365/Table1[[#This Row],[Days Left]])</f>
        <v>0</v>
      </c>
      <c r="AF770" s="9">
        <f ca="1">+Table1[[#This Row],[Net Gain]]*Table1[[#This Row],[Ask Qty]]</f>
        <v>0</v>
      </c>
      <c r="AG770" t="str">
        <f>IF(Table1[[#This Row],[YTM]]&gt;0.12,IF(Table1[[#This Row],[Gross Profit]]&gt;10000,"Invest","Review"),"Low YTM")</f>
        <v>Low YTM</v>
      </c>
    </row>
    <row r="771" spans="1:33" x14ac:dyDescent="0.3">
      <c r="A771" t="str">
        <f>RTD("nest.scriprtd",,"nse_cm|1025ICCL26-NT","Symbol")</f>
        <v>1025ICCL26</v>
      </c>
      <c r="B771" t="str">
        <f>RTD("nest.scriprtd",,"nse_cm|1025ICCL26-NT","Trading Symbol")</f>
        <v>1025ICCL26-NT</v>
      </c>
      <c r="C771" t="str">
        <f>RTD("nest.scriprtd",,"nse_cm|1025ICCL26-NT","Exchange")</f>
        <v>NSE</v>
      </c>
      <c r="D771">
        <f>RTD("nest.scriprtd",,"nse_cm|1025ICCL26-NT","Bid Qty")</f>
        <v>0</v>
      </c>
      <c r="E771">
        <f>RTD("nest.scriprtd",,"nse_cm|1025ICCL26-NT","Bid Rate")</f>
        <v>0</v>
      </c>
      <c r="F771">
        <f>RTD("nest.scriprtd",,"nse_cm|1025ICCL26-NT","Ask Rate")</f>
        <v>0</v>
      </c>
      <c r="G771">
        <f>RTD("nest.scriprtd",,"nse_cm|1025ICCL26-NT","Ask Qty")</f>
        <v>0</v>
      </c>
      <c r="H771">
        <f>RTD("nest.scriprtd",,"nse_cm|1025ICCL26-NT","LTP")</f>
        <v>940</v>
      </c>
      <c r="I771" t="str">
        <f>RTD("nest.scriprtd",,"nse_cm|1025ICCL26-NT","LTT")</f>
        <v/>
      </c>
      <c r="J771">
        <f>RTD("nest.scriprtd",,"nse_cm|1025ICCL26-NT","% Change")</f>
        <v>0</v>
      </c>
      <c r="K771">
        <f>RTD("nest.scriprtd",,"nse_cm|1025ICCL26-NT","ATP")</f>
        <v>0</v>
      </c>
      <c r="L771">
        <f>RTD("nest.scriprtd",,"nse_cm|1025ICCL26-NT","Volume Traded Today")</f>
        <v>0</v>
      </c>
      <c r="M771">
        <f>RTD("nest.scriprtd",,"nse_cm|1025ICCL26-NT","Open")</f>
        <v>0</v>
      </c>
      <c r="N771">
        <f>RTD("nest.scriprtd",,"nse_cm|1025ICCL26-NT","High")</f>
        <v>940</v>
      </c>
      <c r="O771">
        <f>RTD("nest.scriprtd",,"nse_cm|1025ICCL26-NT","Low ")</f>
        <v>940</v>
      </c>
      <c r="P771">
        <f>RTD("nest.scriprtd",,"nse_cm|1025ICCL26-NT","Prev Close")</f>
        <v>940</v>
      </c>
      <c r="Q771">
        <f>RTD("nest.scriprtd",,"nse_cm|1025ICCL26-NT","Face Value")</f>
        <v>667</v>
      </c>
      <c r="R771" t="str">
        <f>RTD("nest.scriprtd",,"nse_cm|1025ICCL26-NT","Isin code")</f>
        <v>INE244L07507</v>
      </c>
      <c r="S771" s="9">
        <f>Table1[[#This Row],[Ask Rate]]*Table1[[#This Row],[Ask Qty]]</f>
        <v>0</v>
      </c>
      <c r="T771">
        <f>VLOOKUP(Table1[[#This Row],[Isin code]],Table2[#All],7,FALSE)</f>
        <v>10.25</v>
      </c>
      <c r="U771" s="17">
        <f>VLOOKUP(Table1[[#This Row],[Isin code]],Table2[#All],8,FALSE)</f>
        <v>46137</v>
      </c>
      <c r="V771" s="10">
        <f ca="1">Table1[[#This Row],[Maturity]]-TODAY()</f>
        <v>556</v>
      </c>
      <c r="W771" t="str">
        <f>VLOOKUP(Table1[[#This Row],[Isin code]],Table2[#All],10,FALSE)</f>
        <v>Yearly</v>
      </c>
      <c r="X771">
        <f ca="1">_xlfn.DAYS(Table1[[#This Row],[Maturity]],TODAY())-15</f>
        <v>541</v>
      </c>
      <c r="Y7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71">
        <f>IF(Table1[[#This Row],[Ask Rate]]=0,0,Table1[[#This Row],[Face Value]]-Table1[[#This Row],[Ask Rate]])</f>
        <v>0</v>
      </c>
      <c r="AA771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771">
        <f ca="1">Table1[[#This Row],[Face Value]]*Table1[[#This Row],[Rate]]*Table1[[#This Row],[Time]]</f>
        <v>136.73499999999999</v>
      </c>
      <c r="AC771">
        <f ca="1">Table1[[#This Row],[SI]]+Table1[[#This Row],[Disc/Prem]]</f>
        <v>136.73499999999999</v>
      </c>
      <c r="AD771" s="3" t="e">
        <f ca="1">Table1[[#This Row],[Net Gain]]/Table1[[#This Row],[Ask Rate]]</f>
        <v>#DIV/0!</v>
      </c>
      <c r="AE771" s="3">
        <f>IF(Table1[[#This Row],[Ask Qty]]=0,0,Table1[[#This Row],[Gross Yield]]*365/Table1[[#This Row],[Days Left]])</f>
        <v>0</v>
      </c>
      <c r="AF771" s="9">
        <f ca="1">+Table1[[#This Row],[Net Gain]]*Table1[[#This Row],[Ask Qty]]</f>
        <v>0</v>
      </c>
      <c r="AG771" t="str">
        <f>IF(Table1[[#This Row],[YTM]]&gt;0.12,IF(Table1[[#This Row],[Gross Profit]]&gt;10000,"Invest","Review"),"Low YTM")</f>
        <v>Low YTM</v>
      </c>
    </row>
    <row r="772" spans="1:33" x14ac:dyDescent="0.3">
      <c r="A772" t="str">
        <f>RTD("nest.scriprtd",,"bse_cm|925SCFL27","Symbol")</f>
        <v>925SCFL27</v>
      </c>
      <c r="B772" t="str">
        <f>RTD("nest.scriprtd",,"bse_cm|925SCFL27","Trading Symbol")</f>
        <v>925SCFL27</v>
      </c>
      <c r="C772" t="str">
        <f>RTD("nest.scriprtd",,"bse_cm|925SCFL27","Exchange")</f>
        <v>BSE</v>
      </c>
      <c r="D772">
        <f>RTD("nest.scriprtd",,"bse_cm|925SCFL27","Bid Qty")</f>
        <v>12</v>
      </c>
      <c r="E772">
        <f>RTD("nest.scriprtd",,"bse_cm|925SCFL27","Bid Rate")</f>
        <v>950.2</v>
      </c>
      <c r="F772">
        <f>RTD("nest.scriprtd",,"bse_cm|925SCFL27","Ask Rate")</f>
        <v>0</v>
      </c>
      <c r="G772">
        <f>RTD("nest.scriprtd",,"bse_cm|925SCFL27","Ask Qty")</f>
        <v>0</v>
      </c>
      <c r="H772">
        <f>RTD("nest.scriprtd",,"bse_cm|925SCFL27","LTP")</f>
        <v>0</v>
      </c>
      <c r="I772" t="str">
        <f>RTD("nest.scriprtd",,"bse_cm|925SCFL27","LTT")</f>
        <v>00:00:00</v>
      </c>
      <c r="J772">
        <f>RTD("nest.scriprtd",,"bse_cm|925SCFL27","% Change")</f>
        <v>-100</v>
      </c>
      <c r="K772">
        <f>RTD("nest.scriprtd",,"bse_cm|925SCFL27","ATP")</f>
        <v>0</v>
      </c>
      <c r="L772">
        <f>RTD("nest.scriprtd",,"bse_cm|925SCFL27","Volume Traded Today")</f>
        <v>0</v>
      </c>
      <c r="M772">
        <f>RTD("nest.scriprtd",,"bse_cm|925SCFL27","Open")</f>
        <v>0</v>
      </c>
      <c r="N772">
        <f>RTD("nest.scriprtd",,"bse_cm|925SCFL27","High")</f>
        <v>1021</v>
      </c>
      <c r="O772">
        <f>RTD("nest.scriprtd",,"bse_cm|925SCFL27","Low ")</f>
        <v>1021</v>
      </c>
      <c r="P772">
        <f>RTD("nest.scriprtd",,"bse_cm|925SCFL27","Prev Close")</f>
        <v>1021</v>
      </c>
      <c r="Q772">
        <f>RTD("nest.scriprtd",,"bse_cm|925SCFL27","Face Value")</f>
        <v>1000</v>
      </c>
      <c r="R772" t="str">
        <f>RTD("nest.scriprtd",,"bse_cm|925SCFL27","Isin code")</f>
        <v>INE148I07LC2</v>
      </c>
      <c r="S772" s="9">
        <f>Table1[[#This Row],[Ask Rate]]*Table1[[#This Row],[Ask Qty]]</f>
        <v>0</v>
      </c>
      <c r="T772">
        <f>VLOOKUP(Table1[[#This Row],[Isin code]],Table2[#All],7,FALSE)</f>
        <v>9.25</v>
      </c>
      <c r="U772" s="17" t="str">
        <f>VLOOKUP(Table1[[#This Row],[Isin code]],Table2[#All],8,FALSE)</f>
        <v>06-Jan-2027</v>
      </c>
      <c r="V772" s="10">
        <f ca="1">Table1[[#This Row],[Maturity]]-TODAY()</f>
        <v>812</v>
      </c>
      <c r="W772" t="str">
        <f>VLOOKUP(Table1[[#This Row],[Isin code]],Table2[#All],10,FALSE)</f>
        <v>Yearly</v>
      </c>
      <c r="X772">
        <f ca="1">_xlfn.DAYS(Table1[[#This Row],[Maturity]],TODAY())-15</f>
        <v>797</v>
      </c>
      <c r="Y7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772">
        <f>IF(Table1[[#This Row],[Ask Rate]]=0,0,Table1[[#This Row],[Face Value]]-Table1[[#This Row],[Ask Rate]])</f>
        <v>0</v>
      </c>
      <c r="AA772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772">
        <f ca="1">Table1[[#This Row],[Face Value]]*Table1[[#This Row],[Rate]]*Table1[[#This Row],[Time]]</f>
        <v>277.5</v>
      </c>
      <c r="AC772">
        <f ca="1">Table1[[#This Row],[SI]]+Table1[[#This Row],[Disc/Prem]]</f>
        <v>277.5</v>
      </c>
      <c r="AD772" s="3" t="e">
        <f ca="1">Table1[[#This Row],[Net Gain]]/Table1[[#This Row],[Ask Rate]]</f>
        <v>#DIV/0!</v>
      </c>
      <c r="AE772" s="3">
        <f>IF(Table1[[#This Row],[Ask Qty]]=0,0,Table1[[#This Row],[Gross Yield]]*365/Table1[[#This Row],[Days Left]])</f>
        <v>0</v>
      </c>
      <c r="AF772" s="9">
        <f ca="1">+Table1[[#This Row],[Net Gain]]*Table1[[#This Row],[Ask Qty]]</f>
        <v>0</v>
      </c>
      <c r="AG772" t="str">
        <f>IF(Table1[[#This Row],[YTM]]&gt;0.12,IF(Table1[[#This Row],[Gross Profit]]&gt;10000,"Invest","Review"),"Low YTM")</f>
        <v>Low YTM</v>
      </c>
    </row>
    <row r="773" spans="1:33" x14ac:dyDescent="0.3">
      <c r="A773" t="str">
        <f>RTD("nest.scriprtd",,"nse_cm|925SCFL25-AD","Symbol")</f>
        <v>925SCFL25</v>
      </c>
      <c r="B773" t="str">
        <f>RTD("nest.scriprtd",,"nse_cm|925SCFL25-AD","Trading Symbol")</f>
        <v>925SCFL25-AD</v>
      </c>
      <c r="C773" t="str">
        <f>RTD("nest.scriprtd",,"nse_cm|925SCFL25-AD","Exchange")</f>
        <v>NSE</v>
      </c>
      <c r="D773">
        <f>RTD("nest.scriprtd",,"nse_cm|925SCFL25-AD","Bid Qty")</f>
        <v>13</v>
      </c>
      <c r="E773">
        <f>RTD("nest.scriprtd",,"nse_cm|925SCFL25-AD","Bid Rate")</f>
        <v>860.8</v>
      </c>
      <c r="F773">
        <f>RTD("nest.scriprtd",,"nse_cm|925SCFL25-AD","Ask Rate")</f>
        <v>0</v>
      </c>
      <c r="G773">
        <f>RTD("nest.scriprtd",,"nse_cm|925SCFL25-AD","Ask Qty")</f>
        <v>0</v>
      </c>
      <c r="H773">
        <f>RTD("nest.scriprtd",,"nse_cm|925SCFL25-AD","LTP")</f>
        <v>0</v>
      </c>
      <c r="I773" t="str">
        <f>RTD("nest.scriprtd",,"nse_cm|925SCFL25-AD","LTT")</f>
        <v/>
      </c>
      <c r="J773">
        <f>RTD("nest.scriprtd",,"nse_cm|925SCFL25-AD","% Change")</f>
        <v>-100</v>
      </c>
      <c r="K773">
        <f>RTD("nest.scriprtd",,"nse_cm|925SCFL25-AD","ATP")</f>
        <v>0</v>
      </c>
      <c r="L773">
        <f>RTD("nest.scriprtd",,"nse_cm|925SCFL25-AD","Volume Traded Today")</f>
        <v>0</v>
      </c>
      <c r="M773">
        <f>RTD("nest.scriprtd",,"nse_cm|925SCFL25-AD","Open")</f>
        <v>0</v>
      </c>
      <c r="N773">
        <f>RTD("nest.scriprtd",,"nse_cm|925SCFL25-AD","High")</f>
        <v>0</v>
      </c>
      <c r="O773">
        <f>RTD("nest.scriprtd",,"nse_cm|925SCFL25-AD","Low ")</f>
        <v>0</v>
      </c>
      <c r="P773">
        <f>RTD("nest.scriprtd",,"nse_cm|925SCFL25-AD","Prev Close")</f>
        <v>1000</v>
      </c>
      <c r="Q773">
        <f>RTD("nest.scriprtd",,"nse_cm|925SCFL25-AD","Face Value")</f>
        <v>1000</v>
      </c>
      <c r="R773" t="str">
        <f>RTD("nest.scriprtd",,"nse_cm|925SCFL25-AD","Isin code")</f>
        <v>INE148I07OE2</v>
      </c>
      <c r="S773" s="9">
        <f>Table1[[#This Row],[Ask Rate]]*Table1[[#This Row],[Ask Qty]]</f>
        <v>0</v>
      </c>
      <c r="T773" t="str">
        <f>VLOOKUP(Table1[[#This Row],[Isin code]],Table2[#All],7,FALSE)</f>
        <v>--</v>
      </c>
      <c r="U773" s="17" t="str">
        <f>VLOOKUP(Table1[[#This Row],[Isin code]],Table2[#All],8,FALSE)</f>
        <v>23-Mar-2025</v>
      </c>
      <c r="V773" s="10">
        <f ca="1">Table1[[#This Row],[Maturity]]-TODAY()</f>
        <v>158</v>
      </c>
      <c r="W773" t="str">
        <f>VLOOKUP(Table1[[#This Row],[Isin code]],Table2[#All],10,FALSE)</f>
        <v>At the End</v>
      </c>
      <c r="X773">
        <f ca="1">_xlfn.DAYS(Table1[[#This Row],[Maturity]],TODAY())-15</f>
        <v>143</v>
      </c>
      <c r="Y77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73">
        <f>IF(Table1[[#This Row],[Ask Rate]]=0,0,Table1[[#This Row],[Face Value]]-Table1[[#This Row],[Ask Rate]])</f>
        <v>0</v>
      </c>
      <c r="AA77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73">
        <f>Table1[[#This Row],[Face Value]]*Table1[[#This Row],[Rate]]*Table1[[#This Row],[Time]]</f>
        <v>0</v>
      </c>
      <c r="AC773">
        <f>Table1[[#This Row],[SI]]+Table1[[#This Row],[Disc/Prem]]</f>
        <v>0</v>
      </c>
      <c r="AD773" s="3" t="e">
        <f>Table1[[#This Row],[Net Gain]]/Table1[[#This Row],[Ask Rate]]</f>
        <v>#DIV/0!</v>
      </c>
      <c r="AE773" s="3">
        <f>IF(Table1[[#This Row],[Ask Qty]]=0,0,Table1[[#This Row],[Gross Yield]]*365/Table1[[#This Row],[Days Left]])</f>
        <v>0</v>
      </c>
      <c r="AF773" s="9">
        <f>+Table1[[#This Row],[Net Gain]]*Table1[[#This Row],[Ask Qty]]</f>
        <v>0</v>
      </c>
      <c r="AG773" t="str">
        <f>IF(Table1[[#This Row],[YTM]]&gt;0.12,IF(Table1[[#This Row],[Gross Profit]]&gt;10000,"Invest","Review"),"Low YTM")</f>
        <v>Low YTM</v>
      </c>
    </row>
    <row r="774" spans="1:33" x14ac:dyDescent="0.3">
      <c r="A774" t="str">
        <f>RTD("nest.scriprtd",,"bse_cm|925SCFL25","Symbol")</f>
        <v>925SCFL25</v>
      </c>
      <c r="B774" t="str">
        <f>RTD("nest.scriprtd",,"bse_cm|925SCFL25","Trading Symbol")</f>
        <v>925SCFL25</v>
      </c>
      <c r="C774" t="str">
        <f>RTD("nest.scriprtd",,"bse_cm|925SCFL25","Exchange")</f>
        <v>BSE</v>
      </c>
      <c r="D774">
        <f>RTD("nest.scriprtd",,"bse_cm|925SCFL25","Bid Qty")</f>
        <v>0</v>
      </c>
      <c r="E774">
        <f>RTD("nest.scriprtd",,"bse_cm|925SCFL25","Bid Rate")</f>
        <v>0</v>
      </c>
      <c r="F774">
        <f>RTD("nest.scriprtd",,"bse_cm|925SCFL25","Ask Rate")</f>
        <v>0</v>
      </c>
      <c r="G774">
        <f>RTD("nest.scriprtd",,"bse_cm|925SCFL25","Ask Qty")</f>
        <v>0</v>
      </c>
      <c r="H774">
        <f>RTD("nest.scriprtd",,"bse_cm|925SCFL25","LTP")</f>
        <v>0</v>
      </c>
      <c r="I774" t="str">
        <f>RTD("nest.scriprtd",,"bse_cm|925SCFL25","LTT")</f>
        <v>00:00:00</v>
      </c>
      <c r="J774">
        <f>RTD("nest.scriprtd",,"bse_cm|925SCFL25","% Change")</f>
        <v>-100</v>
      </c>
      <c r="K774">
        <f>RTD("nest.scriprtd",,"bse_cm|925SCFL25","ATP")</f>
        <v>0</v>
      </c>
      <c r="L774">
        <f>RTD("nest.scriprtd",,"bse_cm|925SCFL25","Volume Traded Today")</f>
        <v>0</v>
      </c>
      <c r="M774">
        <f>RTD("nest.scriprtd",,"bse_cm|925SCFL25","Open")</f>
        <v>0</v>
      </c>
      <c r="N774">
        <f>RTD("nest.scriprtd",,"bse_cm|925SCFL25","High")</f>
        <v>0</v>
      </c>
      <c r="O774">
        <f>RTD("nest.scriprtd",,"bse_cm|925SCFL25","Low ")</f>
        <v>0</v>
      </c>
      <c r="P774">
        <f>RTD("nest.scriprtd",,"bse_cm|925SCFL25","Prev Close")</f>
        <v>1000</v>
      </c>
      <c r="Q774">
        <f>RTD("nest.scriprtd",,"bse_cm|925SCFL25","Face Value")</f>
        <v>1000</v>
      </c>
      <c r="R774" t="str">
        <f>RTD("nest.scriprtd",,"bse_cm|925SCFL25","Isin code")</f>
        <v>INE148I07OE2</v>
      </c>
      <c r="S774" s="9">
        <f>Table1[[#This Row],[Ask Rate]]*Table1[[#This Row],[Ask Qty]]</f>
        <v>0</v>
      </c>
      <c r="T774" t="str">
        <f>VLOOKUP(Table1[[#This Row],[Isin code]],Table2[#All],7,FALSE)</f>
        <v>--</v>
      </c>
      <c r="U774" s="17" t="str">
        <f>VLOOKUP(Table1[[#This Row],[Isin code]],Table2[#All],8,FALSE)</f>
        <v>23-Mar-2025</v>
      </c>
      <c r="V774" s="10">
        <f ca="1">Table1[[#This Row],[Maturity]]-TODAY()</f>
        <v>158</v>
      </c>
      <c r="W774" t="str">
        <f>VLOOKUP(Table1[[#This Row],[Isin code]],Table2[#All],10,FALSE)</f>
        <v>At the End</v>
      </c>
      <c r="X774">
        <f ca="1">_xlfn.DAYS(Table1[[#This Row],[Maturity]],TODAY())-15</f>
        <v>143</v>
      </c>
      <c r="Y77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74">
        <f>IF(Table1[[#This Row],[Ask Rate]]=0,0,Table1[[#This Row],[Face Value]]-Table1[[#This Row],[Ask Rate]])</f>
        <v>0</v>
      </c>
      <c r="AA77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74">
        <f>Table1[[#This Row],[Face Value]]*Table1[[#This Row],[Rate]]*Table1[[#This Row],[Time]]</f>
        <v>0</v>
      </c>
      <c r="AC774">
        <f>Table1[[#This Row],[SI]]+Table1[[#This Row],[Disc/Prem]]</f>
        <v>0</v>
      </c>
      <c r="AD774" s="3" t="e">
        <f>Table1[[#This Row],[Net Gain]]/Table1[[#This Row],[Ask Rate]]</f>
        <v>#DIV/0!</v>
      </c>
      <c r="AE774" s="3">
        <f>IF(Table1[[#This Row],[Ask Qty]]=0,0,Table1[[#This Row],[Gross Yield]]*365/Table1[[#This Row],[Days Left]])</f>
        <v>0</v>
      </c>
      <c r="AF774" s="9">
        <f>+Table1[[#This Row],[Net Gain]]*Table1[[#This Row],[Ask Qty]]</f>
        <v>0</v>
      </c>
      <c r="AG774" t="str">
        <f>IF(Table1[[#This Row],[YTM]]&gt;0.12,IF(Table1[[#This Row],[Gross Profit]]&gt;10000,"Invest","Review"),"Low YTM")</f>
        <v>Low YTM</v>
      </c>
    </row>
    <row r="775" spans="1:33" x14ac:dyDescent="0.3">
      <c r="A775" t="str">
        <f>RTD("nest.scriprtd",,"bse_cm|925KFL26","Symbol")</f>
        <v>925KFL26</v>
      </c>
      <c r="B775" t="str">
        <f>RTD("nest.scriprtd",,"bse_cm|925KFL26","Trading Symbol")</f>
        <v>925KFL26</v>
      </c>
      <c r="C775" t="str">
        <f>RTD("nest.scriprtd",,"bse_cm|925KFL26","Exchange")</f>
        <v>BSE</v>
      </c>
      <c r="D775">
        <f>RTD("nest.scriprtd",,"bse_cm|925KFL26","Bid Qty")</f>
        <v>10</v>
      </c>
      <c r="E775">
        <f>RTD("nest.scriprtd",,"bse_cm|925KFL26","Bid Rate")</f>
        <v>838</v>
      </c>
      <c r="F775">
        <f>RTD("nest.scriprtd",,"bse_cm|925KFL26","Ask Rate")</f>
        <v>0</v>
      </c>
      <c r="G775">
        <f>RTD("nest.scriprtd",,"bse_cm|925KFL26","Ask Qty")</f>
        <v>0</v>
      </c>
      <c r="H775">
        <f>RTD("nest.scriprtd",,"bse_cm|925KFL26","LTP")</f>
        <v>0</v>
      </c>
      <c r="I775" t="str">
        <f>RTD("nest.scriprtd",,"bse_cm|925KFL26","LTT")</f>
        <v>00:00:00</v>
      </c>
      <c r="J775">
        <f>RTD("nest.scriprtd",,"bse_cm|925KFL26","% Change")</f>
        <v>-100</v>
      </c>
      <c r="K775">
        <f>RTD("nest.scriprtd",,"bse_cm|925KFL26","ATP")</f>
        <v>0</v>
      </c>
      <c r="L775">
        <f>RTD("nest.scriprtd",,"bse_cm|925KFL26","Volume Traded Today")</f>
        <v>0</v>
      </c>
      <c r="M775">
        <f>RTD("nest.scriprtd",,"bse_cm|925KFL26","Open")</f>
        <v>0</v>
      </c>
      <c r="N775">
        <f>RTD("nest.scriprtd",,"bse_cm|925KFL26","High")</f>
        <v>955</v>
      </c>
      <c r="O775">
        <f>RTD("nest.scriprtd",,"bse_cm|925KFL26","Low ")</f>
        <v>955</v>
      </c>
      <c r="P775">
        <f>RTD("nest.scriprtd",,"bse_cm|925KFL26","Prev Close")</f>
        <v>955</v>
      </c>
      <c r="Q775">
        <f>RTD("nest.scriprtd",,"bse_cm|925KFL26","Face Value")</f>
        <v>1000</v>
      </c>
      <c r="R775" t="str">
        <f>RTD("nest.scriprtd",,"bse_cm|925KFL26","Isin code")</f>
        <v>INE403Q07DU3</v>
      </c>
      <c r="S775" s="9">
        <f>Table1[[#This Row],[Ask Rate]]*Table1[[#This Row],[Ask Qty]]</f>
        <v>0</v>
      </c>
      <c r="T775">
        <f>VLOOKUP(Table1[[#This Row],[Isin code]],Table2[#All],7,FALSE)</f>
        <v>9.25</v>
      </c>
      <c r="U775" s="17" t="str">
        <f>VLOOKUP(Table1[[#This Row],[Isin code]],Table2[#All],8,FALSE)</f>
        <v>27-Sep-2026</v>
      </c>
      <c r="V775" s="10">
        <f ca="1">Table1[[#This Row],[Maturity]]-TODAY()</f>
        <v>711</v>
      </c>
      <c r="W775" t="str">
        <f>VLOOKUP(Table1[[#This Row],[Isin code]],Table2[#All],10,FALSE)</f>
        <v>MONTHLY</v>
      </c>
      <c r="X775">
        <f ca="1">_xlfn.DAYS(Table1[[#This Row],[Maturity]],TODAY())-15</f>
        <v>696</v>
      </c>
      <c r="Y7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775">
        <f>IF(Table1[[#This Row],[Ask Rate]]=0,0,Table1[[#This Row],[Face Value]]-Table1[[#This Row],[Ask Rate]])</f>
        <v>0</v>
      </c>
      <c r="AA775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775">
        <f ca="1">Table1[[#This Row],[Face Value]]*Table1[[#This Row],[Rate]]*Table1[[#This Row],[Time]]</f>
        <v>185</v>
      </c>
      <c r="AC775">
        <f ca="1">Table1[[#This Row],[SI]]+Table1[[#This Row],[Disc/Prem]]</f>
        <v>185</v>
      </c>
      <c r="AD775" s="3" t="e">
        <f ca="1">Table1[[#This Row],[Net Gain]]/Table1[[#This Row],[Ask Rate]]</f>
        <v>#DIV/0!</v>
      </c>
      <c r="AE775" s="3">
        <f>IF(Table1[[#This Row],[Ask Qty]]=0,0,Table1[[#This Row],[Gross Yield]]*365/Table1[[#This Row],[Days Left]])</f>
        <v>0</v>
      </c>
      <c r="AF775" s="9">
        <f ca="1">+Table1[[#This Row],[Net Gain]]*Table1[[#This Row],[Ask Qty]]</f>
        <v>0</v>
      </c>
      <c r="AG775" t="str">
        <f>IF(Table1[[#This Row],[YTM]]&gt;0.12,IF(Table1[[#This Row],[Gross Profit]]&gt;10000,"Invest","Review"),"Low YTM")</f>
        <v>Low YTM</v>
      </c>
    </row>
    <row r="776" spans="1:33" x14ac:dyDescent="0.3">
      <c r="A776" t="str">
        <f>RTD("nest.scriprtd",,"bse_cm|925KFIL25","Symbol")</f>
        <v>925KFIL25</v>
      </c>
      <c r="B776" t="str">
        <f>RTD("nest.scriprtd",,"bse_cm|925KFIL25","Trading Symbol")</f>
        <v>925KFIL25</v>
      </c>
      <c r="C776" t="str">
        <f>RTD("nest.scriprtd",,"bse_cm|925KFIL25","Exchange")</f>
        <v>BSE</v>
      </c>
      <c r="D776">
        <f>RTD("nest.scriprtd",,"bse_cm|925KFIL25","Bid Qty")</f>
        <v>22</v>
      </c>
      <c r="E776">
        <f>RTD("nest.scriprtd",,"bse_cm|925KFIL25","Bid Rate")</f>
        <v>855.21</v>
      </c>
      <c r="F776">
        <f>RTD("nest.scriprtd",,"bse_cm|925KFIL25","Ask Rate")</f>
        <v>0</v>
      </c>
      <c r="G776">
        <f>RTD("nest.scriprtd",,"bse_cm|925KFIL25","Ask Qty")</f>
        <v>0</v>
      </c>
      <c r="H776">
        <f>RTD("nest.scriprtd",,"bse_cm|925KFIL25","LTP")</f>
        <v>0</v>
      </c>
      <c r="I776" t="str">
        <f>RTD("nest.scriprtd",,"bse_cm|925KFIL25","LTT")</f>
        <v>00:00:00</v>
      </c>
      <c r="J776">
        <f>RTD("nest.scriprtd",,"bse_cm|925KFIL25","% Change")</f>
        <v>-100</v>
      </c>
      <c r="K776">
        <f>RTD("nest.scriprtd",,"bse_cm|925KFIL25","ATP")</f>
        <v>0</v>
      </c>
      <c r="L776">
        <f>RTD("nest.scriprtd",,"bse_cm|925KFIL25","Volume Traded Today")</f>
        <v>0</v>
      </c>
      <c r="M776">
        <f>RTD("nest.scriprtd",,"bse_cm|925KFIL25","Open")</f>
        <v>0</v>
      </c>
      <c r="N776">
        <f>RTD("nest.scriprtd",,"bse_cm|925KFIL25","High")</f>
        <v>950</v>
      </c>
      <c r="O776">
        <f>RTD("nest.scriprtd",,"bse_cm|925KFIL25","Low ")</f>
        <v>950</v>
      </c>
      <c r="P776">
        <f>RTD("nest.scriprtd",,"bse_cm|925KFIL25","Prev Close")</f>
        <v>950</v>
      </c>
      <c r="Q776">
        <f>RTD("nest.scriprtd",,"bse_cm|925KFIL25","Face Value")</f>
        <v>1000</v>
      </c>
      <c r="R776" t="str">
        <f>RTD("nest.scriprtd",,"bse_cm|925KFIL25","Isin code")</f>
        <v>INE403Q07CL4</v>
      </c>
      <c r="S776" s="9">
        <f>Table1[[#This Row],[Ask Rate]]*Table1[[#This Row],[Ask Qty]]</f>
        <v>0</v>
      </c>
      <c r="T776">
        <f>VLOOKUP(Table1[[#This Row],[Isin code]],Table2[#All],7,FALSE)</f>
        <v>9.25</v>
      </c>
      <c r="U776" s="17" t="str">
        <f>VLOOKUP(Table1[[#This Row],[Isin code]],Table2[#All],8,FALSE)</f>
        <v>17-Oct-2025</v>
      </c>
      <c r="V776" s="10">
        <f ca="1">Table1[[#This Row],[Maturity]]-TODAY()</f>
        <v>366</v>
      </c>
      <c r="W776" t="str">
        <f>VLOOKUP(Table1[[#This Row],[Isin code]],Table2[#All],10,FALSE)</f>
        <v>Monthly</v>
      </c>
      <c r="X776">
        <f ca="1">_xlfn.DAYS(Table1[[#This Row],[Maturity]],TODAY())-15</f>
        <v>351</v>
      </c>
      <c r="Y7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776">
        <f>IF(Table1[[#This Row],[Ask Rate]]=0,0,Table1[[#This Row],[Face Value]]-Table1[[#This Row],[Ask Rate]])</f>
        <v>0</v>
      </c>
      <c r="AA776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776">
        <f ca="1">Table1[[#This Row],[Face Value]]*Table1[[#This Row],[Rate]]*Table1[[#This Row],[Time]]</f>
        <v>92.5</v>
      </c>
      <c r="AC776">
        <f ca="1">Table1[[#This Row],[SI]]+Table1[[#This Row],[Disc/Prem]]</f>
        <v>92.5</v>
      </c>
      <c r="AD776" s="3" t="e">
        <f ca="1">Table1[[#This Row],[Net Gain]]/Table1[[#This Row],[Ask Rate]]</f>
        <v>#DIV/0!</v>
      </c>
      <c r="AE776" s="3">
        <f>IF(Table1[[#This Row],[Ask Qty]]=0,0,Table1[[#This Row],[Gross Yield]]*365/Table1[[#This Row],[Days Left]])</f>
        <v>0</v>
      </c>
      <c r="AF776" s="9">
        <f ca="1">+Table1[[#This Row],[Net Gain]]*Table1[[#This Row],[Ask Qty]]</f>
        <v>0</v>
      </c>
      <c r="AG776" t="str">
        <f>IF(Table1[[#This Row],[YTM]]&gt;0.12,IF(Table1[[#This Row],[Gross Profit]]&gt;10000,"Invest","Review"),"Low YTM")</f>
        <v>Low YTM</v>
      </c>
    </row>
    <row r="777" spans="1:33" x14ac:dyDescent="0.3">
      <c r="A777" t="str">
        <f>RTD("nest.scriprtd",,"nse_cm|925ICCL25I-NP","Symbol")</f>
        <v>925ICCL25I</v>
      </c>
      <c r="B777" t="str">
        <f>RTD("nest.scriprtd",,"nse_cm|925ICCL25I-NP","Trading Symbol")</f>
        <v>925ICCL25I-NP</v>
      </c>
      <c r="C777" t="str">
        <f>RTD("nest.scriprtd",,"nse_cm|925ICCL25I-NP","Exchange")</f>
        <v>NSE</v>
      </c>
      <c r="D777">
        <f>RTD("nest.scriprtd",,"nse_cm|925ICCL25I-NP","Bid Qty")</f>
        <v>5</v>
      </c>
      <c r="E777">
        <f>RTD("nest.scriprtd",,"nse_cm|925ICCL25I-NP","Bid Rate")</f>
        <v>835.2</v>
      </c>
      <c r="F777">
        <f>RTD("nest.scriprtd",,"nse_cm|925ICCL25I-NP","Ask Rate")</f>
        <v>0</v>
      </c>
      <c r="G777">
        <f>RTD("nest.scriprtd",,"nse_cm|925ICCL25I-NP","Ask Qty")</f>
        <v>0</v>
      </c>
      <c r="H777">
        <f>RTD("nest.scriprtd",,"nse_cm|925ICCL25I-NP","LTP")</f>
        <v>0</v>
      </c>
      <c r="I777" t="str">
        <f>RTD("nest.scriprtd",,"nse_cm|925ICCL25I-NP","LTT")</f>
        <v/>
      </c>
      <c r="J777">
        <f>RTD("nest.scriprtd",,"nse_cm|925ICCL25I-NP","% Change")</f>
        <v>-100</v>
      </c>
      <c r="K777">
        <f>RTD("nest.scriprtd",,"nse_cm|925ICCL25I-NP","ATP")</f>
        <v>0</v>
      </c>
      <c r="L777">
        <f>RTD("nest.scriprtd",,"nse_cm|925ICCL25I-NP","Volume Traded Today")</f>
        <v>0</v>
      </c>
      <c r="M777">
        <f>RTD("nest.scriprtd",,"nse_cm|925ICCL25I-NP","Open")</f>
        <v>0</v>
      </c>
      <c r="N777">
        <f>RTD("nest.scriprtd",,"nse_cm|925ICCL25I-NP","High")</f>
        <v>0</v>
      </c>
      <c r="O777">
        <f>RTD("nest.scriprtd",,"nse_cm|925ICCL25I-NP","Low ")</f>
        <v>0</v>
      </c>
      <c r="P777">
        <f>RTD("nest.scriprtd",,"nse_cm|925ICCL25I-NP","Prev Close")</f>
        <v>1000</v>
      </c>
      <c r="Q777">
        <f>RTD("nest.scriprtd",,"nse_cm|925ICCL25I-NP","Face Value")</f>
        <v>1000</v>
      </c>
      <c r="R777" t="str">
        <f>RTD("nest.scriprtd",,"nse_cm|925ICCL25I-NP","Isin code")</f>
        <v>INE244L07424</v>
      </c>
      <c r="S777" s="9">
        <f>Table1[[#This Row],[Ask Rate]]*Table1[[#This Row],[Ask Qty]]</f>
        <v>0</v>
      </c>
      <c r="T777">
        <f>VLOOKUP(Table1[[#This Row],[Isin code]],Table2[#All],7,FALSE)</f>
        <v>9.6</v>
      </c>
      <c r="U777" s="17" t="str">
        <f>VLOOKUP(Table1[[#This Row],[Isin code]],Table2[#All],8,FALSE)</f>
        <v>25-Apr-2025</v>
      </c>
      <c r="V777" s="10">
        <f ca="1">Table1[[#This Row],[Maturity]]-TODAY()</f>
        <v>191</v>
      </c>
      <c r="W777" t="str">
        <f>VLOOKUP(Table1[[#This Row],[Isin code]],Table2[#All],10,FALSE)</f>
        <v>Yearly</v>
      </c>
      <c r="X777">
        <f ca="1">_xlfn.DAYS(Table1[[#This Row],[Maturity]],TODAY())-15</f>
        <v>176</v>
      </c>
      <c r="Y7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777">
        <f>IF(Table1[[#This Row],[Ask Rate]]=0,0,Table1[[#This Row],[Face Value]]-Table1[[#This Row],[Ask Rate]])</f>
        <v>0</v>
      </c>
      <c r="AA777">
        <f>IF(Table1[[#This Row],[Freq]]="Yearly",Table1[[#This Row],[Coupon_Rate]]/100,IF(Table1[[#This Row],[Freq]]="Monthly",Table1[[#This Row],[Coupon_Rate]]/1200,IF(Table1[[#This Row],[Freq]]="Quarterly",Table1[[#This Row],[Coupon_Rate]]/400,0)))</f>
        <v>9.6000000000000002E-2</v>
      </c>
      <c r="AB777">
        <f ca="1">Table1[[#This Row],[Face Value]]*Table1[[#This Row],[Rate]]*Table1[[#This Row],[Time]]</f>
        <v>96</v>
      </c>
      <c r="AC777">
        <f ca="1">Table1[[#This Row],[SI]]+Table1[[#This Row],[Disc/Prem]]</f>
        <v>96</v>
      </c>
      <c r="AD777" s="3" t="e">
        <f ca="1">Table1[[#This Row],[Net Gain]]/Table1[[#This Row],[Ask Rate]]</f>
        <v>#DIV/0!</v>
      </c>
      <c r="AE777" s="3">
        <f>IF(Table1[[#This Row],[Ask Qty]]=0,0,Table1[[#This Row],[Gross Yield]]*365/Table1[[#This Row],[Days Left]])</f>
        <v>0</v>
      </c>
      <c r="AF777" s="9">
        <f ca="1">+Table1[[#This Row],[Net Gain]]*Table1[[#This Row],[Ask Qty]]</f>
        <v>0</v>
      </c>
      <c r="AG777" t="str">
        <f>IF(Table1[[#This Row],[YTM]]&gt;0.12,IF(Table1[[#This Row],[Gross Profit]]&gt;10000,"Invest","Review"),"Low YTM")</f>
        <v>Low YTM</v>
      </c>
    </row>
    <row r="778" spans="1:33" hidden="1" x14ac:dyDescent="0.3">
      <c r="A778" t="str">
        <f>RTD("nest.scriprtd",,"bse_cm|940SCL26","Symbol")</f>
        <v>940SCL26</v>
      </c>
      <c r="B778" t="str">
        <f>RTD("nest.scriprtd",,"bse_cm|940SCL26","Trading Symbol")</f>
        <v>940SCL26</v>
      </c>
      <c r="C778" t="str">
        <f>RTD("nest.scriprtd",,"bse_cm|940SCL26","Exchange")</f>
        <v>BSE</v>
      </c>
      <c r="D778">
        <f>RTD("nest.scriprtd",,"bse_cm|940SCL26","Bid Qty")</f>
        <v>0</v>
      </c>
      <c r="E778">
        <f>RTD("nest.scriprtd",,"bse_cm|940SCL26","Bid Rate")</f>
        <v>0</v>
      </c>
      <c r="F778">
        <f>RTD("nest.scriprtd",,"bse_cm|940SCL26","Ask Rate")</f>
        <v>0</v>
      </c>
      <c r="G778">
        <f>RTD("nest.scriprtd",,"bse_cm|940SCL26","Ask Qty")</f>
        <v>0</v>
      </c>
      <c r="H778">
        <f>RTD("nest.scriprtd",,"bse_cm|940SCL26","LTP")</f>
        <v>0</v>
      </c>
      <c r="I778" t="str">
        <f>RTD("nest.scriprtd",,"bse_cm|940SCL26","LTT")</f>
        <v>00:00:00</v>
      </c>
      <c r="J778">
        <f>RTD("nest.scriprtd",,"bse_cm|940SCL26","% Change")</f>
        <v>-100</v>
      </c>
      <c r="K778">
        <f>RTD("nest.scriprtd",,"bse_cm|940SCL26","ATP")</f>
        <v>0</v>
      </c>
      <c r="L778">
        <f>RTD("nest.scriprtd",,"bse_cm|940SCL26","Volume Traded Today")</f>
        <v>0</v>
      </c>
      <c r="M778">
        <f>RTD("nest.scriprtd",,"bse_cm|940SCL26","Open")</f>
        <v>0</v>
      </c>
      <c r="N778">
        <f>RTD("nest.scriprtd",,"bse_cm|940SCL26","High")</f>
        <v>0</v>
      </c>
      <c r="O778">
        <f>RTD("nest.scriprtd",,"bse_cm|940SCL26","Low ")</f>
        <v>0</v>
      </c>
      <c r="P778">
        <f>RTD("nest.scriprtd",,"bse_cm|940SCL26","Prev Close")</f>
        <v>667</v>
      </c>
      <c r="Q778">
        <f>RTD("nest.scriprtd",,"bse_cm|940SCL26","Face Value")</f>
        <v>667</v>
      </c>
      <c r="R778" t="str">
        <f>RTD("nest.scriprtd",,"bse_cm|940SCL26","Isin code")</f>
        <v>INE148I07PX9</v>
      </c>
      <c r="S778" s="9">
        <f>Table1[[#This Row],[Ask Rate]]*Table1[[#This Row],[Ask Qty]]</f>
        <v>0</v>
      </c>
      <c r="T778" t="str">
        <f>VLOOKUP(Table1[[#This Row],[Isin code]],Table2[#All],7,FALSE)</f>
        <v>x</v>
      </c>
      <c r="U778" s="17" t="str">
        <f>VLOOKUP(Table1[[#This Row],[Isin code]],Table2[#All],8,FALSE)</f>
        <v>x</v>
      </c>
      <c r="V778" s="10" t="e">
        <f ca="1">Table1[[#This Row],[Maturity]]-TODAY()</f>
        <v>#VALUE!</v>
      </c>
      <c r="W778" t="str">
        <f>VLOOKUP(Table1[[#This Row],[Isin code]],Table2[#All],10,FALSE)</f>
        <v>x</v>
      </c>
      <c r="X778" t="e">
        <f ca="1">_xlfn.DAYS(Table1[[#This Row],[Maturity]],TODAY())-15</f>
        <v>#VALUE!</v>
      </c>
      <c r="Y77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78">
        <f>IF(Table1[[#This Row],[Ask Rate]]=0,0,Table1[[#This Row],[Face Value]]-Table1[[#This Row],[Ask Rate]])</f>
        <v>0</v>
      </c>
      <c r="AA77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78">
        <f>Table1[[#This Row],[Face Value]]*Table1[[#This Row],[Rate]]*Table1[[#This Row],[Time]]</f>
        <v>0</v>
      </c>
      <c r="AC778">
        <f>Table1[[#This Row],[SI]]+Table1[[#This Row],[Disc/Prem]]</f>
        <v>0</v>
      </c>
      <c r="AD778" s="3" t="e">
        <f>Table1[[#This Row],[Net Gain]]/Table1[[#This Row],[Ask Rate]]</f>
        <v>#DIV/0!</v>
      </c>
      <c r="AE778" s="3">
        <f>IF(Table1[[#This Row],[Ask Qty]]=0,0,Table1[[#This Row],[Gross Yield]]*365/Table1[[#This Row],[Days Left]])</f>
        <v>0</v>
      </c>
      <c r="AF778" s="9">
        <f>+Table1[[#This Row],[Net Gain]]*Table1[[#This Row],[Ask Qty]]</f>
        <v>0</v>
      </c>
      <c r="AG778" t="str">
        <f>IF(Table1[[#This Row],[YTM]]&gt;0.12,IF(Table1[[#This Row],[Gross Profit]]&gt;10000,"Invest","Review"),"Low YTM")</f>
        <v>Low YTM</v>
      </c>
    </row>
    <row r="779" spans="1:33" x14ac:dyDescent="0.3">
      <c r="A779" t="str">
        <f>RTD("nest.scriprtd",,"nse_cm|940ICCL28-NN","Symbol")</f>
        <v>940ICCL28</v>
      </c>
      <c r="B779" t="str">
        <f>RTD("nest.scriprtd",,"nse_cm|940ICCL28-NN","Trading Symbol")</f>
        <v>940ICCL28-NN</v>
      </c>
      <c r="C779" t="str">
        <f>RTD("nest.scriprtd",,"nse_cm|940ICCL28-NN","Exchange")</f>
        <v>NSE</v>
      </c>
      <c r="D779">
        <f>RTD("nest.scriprtd",,"nse_cm|940ICCL28-NN","Bid Qty")</f>
        <v>0</v>
      </c>
      <c r="E779">
        <f>RTD("nest.scriprtd",,"nse_cm|940ICCL28-NN","Bid Rate")</f>
        <v>0</v>
      </c>
      <c r="F779">
        <f>RTD("nest.scriprtd",,"nse_cm|940ICCL28-NN","Ask Rate")</f>
        <v>0</v>
      </c>
      <c r="G779">
        <f>RTD("nest.scriprtd",,"nse_cm|940ICCL28-NN","Ask Qty")</f>
        <v>0</v>
      </c>
      <c r="H779">
        <f>RTD("nest.scriprtd",,"nse_cm|940ICCL28-NN","LTP")</f>
        <v>0</v>
      </c>
      <c r="I779" t="str">
        <f>RTD("nest.scriprtd",,"nse_cm|940ICCL28-NN","LTT")</f>
        <v/>
      </c>
      <c r="J779">
        <f>RTD("nest.scriprtd",,"nse_cm|940ICCL28-NN","% Change")</f>
        <v>-100</v>
      </c>
      <c r="K779">
        <f>RTD("nest.scriprtd",,"nse_cm|940ICCL28-NN","ATP")</f>
        <v>0</v>
      </c>
      <c r="L779">
        <f>RTD("nest.scriprtd",,"nse_cm|940ICCL28-NN","Volume Traded Today")</f>
        <v>0</v>
      </c>
      <c r="M779">
        <f>RTD("nest.scriprtd",,"nse_cm|940ICCL28-NN","Open")</f>
        <v>0</v>
      </c>
      <c r="N779">
        <f>RTD("nest.scriprtd",,"nse_cm|940ICCL28-NN","High")</f>
        <v>0</v>
      </c>
      <c r="O779">
        <f>RTD("nest.scriprtd",,"nse_cm|940ICCL28-NN","Low ")</f>
        <v>0</v>
      </c>
      <c r="P779">
        <f>RTD("nest.scriprtd",,"nse_cm|940ICCL28-NN","Prev Close")</f>
        <v>1000</v>
      </c>
      <c r="Q779">
        <f>RTD("nest.scriprtd",,"nse_cm|940ICCL28-NN","Face Value")</f>
        <v>800</v>
      </c>
      <c r="R779" t="str">
        <f>RTD("nest.scriprtd",,"nse_cm|940ICCL28-NN","Isin code")</f>
        <v>INE244L07408</v>
      </c>
      <c r="S779" s="9">
        <f>Table1[[#This Row],[Ask Rate]]*Table1[[#This Row],[Ask Qty]]</f>
        <v>0</v>
      </c>
      <c r="T779">
        <f>VLOOKUP(Table1[[#This Row],[Isin code]],Table2[#All],7,FALSE)</f>
        <v>9.4</v>
      </c>
      <c r="U779" s="17" t="str">
        <f>VLOOKUP(Table1[[#This Row],[Isin code]],Table2[#All],8,FALSE)</f>
        <v>02-Feb-2028</v>
      </c>
      <c r="V779" s="10">
        <f ca="1">Table1[[#This Row],[Maturity]]-TODAY()</f>
        <v>1204</v>
      </c>
      <c r="W779" t="str">
        <f>VLOOKUP(Table1[[#This Row],[Isin code]],Table2[#All],10,FALSE)</f>
        <v>Monthly</v>
      </c>
      <c r="X779">
        <f ca="1">_xlfn.DAYS(Table1[[#This Row],[Maturity]],TODAY())-15</f>
        <v>1189</v>
      </c>
      <c r="Y7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779">
        <f>IF(Table1[[#This Row],[Ask Rate]]=0,0,Table1[[#This Row],[Face Value]]-Table1[[#This Row],[Ask Rate]])</f>
        <v>0</v>
      </c>
      <c r="AA779">
        <f>IF(Table1[[#This Row],[Freq]]="Yearly",Table1[[#This Row],[Coupon_Rate]]/100,IF(Table1[[#This Row],[Freq]]="Monthly",Table1[[#This Row],[Coupon_Rate]]/1200,IF(Table1[[#This Row],[Freq]]="Quarterly",Table1[[#This Row],[Coupon_Rate]]/400,0)))</f>
        <v>7.8333333333333328E-3</v>
      </c>
      <c r="AB779">
        <f ca="1">Table1[[#This Row],[Face Value]]*Table1[[#This Row],[Rate]]*Table1[[#This Row],[Time]]</f>
        <v>250.66666666666666</v>
      </c>
      <c r="AC779">
        <f ca="1">Table1[[#This Row],[SI]]+Table1[[#This Row],[Disc/Prem]]</f>
        <v>250.66666666666666</v>
      </c>
      <c r="AD779" s="3" t="e">
        <f ca="1">Table1[[#This Row],[Net Gain]]/Table1[[#This Row],[Ask Rate]]</f>
        <v>#DIV/0!</v>
      </c>
      <c r="AE779" s="3">
        <f>IF(Table1[[#This Row],[Ask Qty]]=0,0,Table1[[#This Row],[Gross Yield]]*365/Table1[[#This Row],[Days Left]])</f>
        <v>0</v>
      </c>
      <c r="AF779" s="9">
        <f ca="1">+Table1[[#This Row],[Net Gain]]*Table1[[#This Row],[Ask Qty]]</f>
        <v>0</v>
      </c>
      <c r="AG779" t="str">
        <f>IF(Table1[[#This Row],[YTM]]&gt;0.12,IF(Table1[[#This Row],[Gross Profit]]&gt;10000,"Invest","Review"),"Low YTM")</f>
        <v>Low YTM</v>
      </c>
    </row>
    <row r="780" spans="1:33" x14ac:dyDescent="0.3">
      <c r="A780" t="str">
        <f>RTD("nest.scriprtd",,"nse_cm|980ICCL28-NL","Symbol")</f>
        <v>980ICCL28</v>
      </c>
      <c r="B780" t="str">
        <f>RTD("nest.scriprtd",,"nse_cm|980ICCL28-NL","Trading Symbol")</f>
        <v>980ICCL28-NL</v>
      </c>
      <c r="C780" t="str">
        <f>RTD("nest.scriprtd",,"nse_cm|980ICCL28-NL","Exchange")</f>
        <v>NSE</v>
      </c>
      <c r="D780">
        <f>RTD("nest.scriprtd",,"nse_cm|980ICCL28-NL","Bid Qty")</f>
        <v>12</v>
      </c>
      <c r="E780">
        <f>RTD("nest.scriprtd",,"nse_cm|980ICCL28-NL","Bid Rate")</f>
        <v>705.2</v>
      </c>
      <c r="F780">
        <f>RTD("nest.scriprtd",,"nse_cm|980ICCL28-NL","Ask Rate")</f>
        <v>0</v>
      </c>
      <c r="G780">
        <f>RTD("nest.scriprtd",,"nse_cm|980ICCL28-NL","Ask Qty")</f>
        <v>0</v>
      </c>
      <c r="H780">
        <f>RTD("nest.scriprtd",,"nse_cm|980ICCL28-NL","LTP")</f>
        <v>0</v>
      </c>
      <c r="I780" t="str">
        <f>RTD("nest.scriprtd",,"nse_cm|980ICCL28-NL","LTT")</f>
        <v/>
      </c>
      <c r="J780">
        <f>RTD("nest.scriprtd",,"nse_cm|980ICCL28-NL","% Change")</f>
        <v>-100</v>
      </c>
      <c r="K780">
        <f>RTD("nest.scriprtd",,"nse_cm|980ICCL28-NL","ATP")</f>
        <v>0</v>
      </c>
      <c r="L780">
        <f>RTD("nest.scriprtd",,"nse_cm|980ICCL28-NL","Volume Traded Today")</f>
        <v>0</v>
      </c>
      <c r="M780">
        <f>RTD("nest.scriprtd",,"nse_cm|980ICCL28-NL","Open")</f>
        <v>0</v>
      </c>
      <c r="N780">
        <f>RTD("nest.scriprtd",,"nse_cm|980ICCL28-NL","High")</f>
        <v>0</v>
      </c>
      <c r="O780">
        <f>RTD("nest.scriprtd",,"nse_cm|980ICCL28-NL","Low ")</f>
        <v>0</v>
      </c>
      <c r="P780">
        <f>RTD("nest.scriprtd",,"nse_cm|980ICCL28-NL","Prev Close")</f>
        <v>1000</v>
      </c>
      <c r="Q780">
        <f>RTD("nest.scriprtd",,"nse_cm|980ICCL28-NL","Face Value")</f>
        <v>800</v>
      </c>
      <c r="R780" t="str">
        <f>RTD("nest.scriprtd",,"nse_cm|980ICCL28-NL","Isin code")</f>
        <v>INE244L07317</v>
      </c>
      <c r="S780" s="9">
        <f>Table1[[#This Row],[Ask Rate]]*Table1[[#This Row],[Ask Qty]]</f>
        <v>0</v>
      </c>
      <c r="T780">
        <f>VLOOKUP(Table1[[#This Row],[Isin code]],Table2[#All],7,FALSE)</f>
        <v>9.8000000000000007</v>
      </c>
      <c r="U780" s="17" t="str">
        <f>VLOOKUP(Table1[[#This Row],[Isin code]],Table2[#All],8,FALSE)</f>
        <v>02-Feb-2028</v>
      </c>
      <c r="V780" s="10">
        <f ca="1">Table1[[#This Row],[Maturity]]-TODAY()</f>
        <v>1204</v>
      </c>
      <c r="W780" t="str">
        <f>VLOOKUP(Table1[[#This Row],[Isin code]],Table2[#All],10,FALSE)</f>
        <v>Yearly</v>
      </c>
      <c r="X780">
        <f ca="1">_xlfn.DAYS(Table1[[#This Row],[Maturity]],TODAY())-15</f>
        <v>1189</v>
      </c>
      <c r="Y7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780">
        <f>IF(Table1[[#This Row],[Ask Rate]]=0,0,Table1[[#This Row],[Face Value]]-Table1[[#This Row],[Ask Rate]])</f>
        <v>0</v>
      </c>
      <c r="AA780">
        <f>IF(Table1[[#This Row],[Freq]]="Yearly",Table1[[#This Row],[Coupon_Rate]]/100,IF(Table1[[#This Row],[Freq]]="Monthly",Table1[[#This Row],[Coupon_Rate]]/1200,IF(Table1[[#This Row],[Freq]]="Quarterly",Table1[[#This Row],[Coupon_Rate]]/400,0)))</f>
        <v>9.8000000000000004E-2</v>
      </c>
      <c r="AB780">
        <f ca="1">Table1[[#This Row],[Face Value]]*Table1[[#This Row],[Rate]]*Table1[[#This Row],[Time]]</f>
        <v>313.60000000000002</v>
      </c>
      <c r="AC780">
        <f ca="1">Table1[[#This Row],[SI]]+Table1[[#This Row],[Disc/Prem]]</f>
        <v>313.60000000000002</v>
      </c>
      <c r="AD780" s="3" t="e">
        <f ca="1">Table1[[#This Row],[Net Gain]]/Table1[[#This Row],[Ask Rate]]</f>
        <v>#DIV/0!</v>
      </c>
      <c r="AE780" s="3">
        <f>IF(Table1[[#This Row],[Ask Qty]]=0,0,Table1[[#This Row],[Gross Yield]]*365/Table1[[#This Row],[Days Left]])</f>
        <v>0</v>
      </c>
      <c r="AF780" s="9">
        <f ca="1">+Table1[[#This Row],[Net Gain]]*Table1[[#This Row],[Ask Qty]]</f>
        <v>0</v>
      </c>
      <c r="AG780" t="str">
        <f>IF(Table1[[#This Row],[YTM]]&gt;0.12,IF(Table1[[#This Row],[Gross Profit]]&gt;10000,"Invest","Review"),"Low YTM")</f>
        <v>Low YTM</v>
      </c>
    </row>
    <row r="781" spans="1:33" hidden="1" x14ac:dyDescent="0.3">
      <c r="A781" t="str">
        <f>RTD("nest.scriprtd",,"nse_cm|913ICCL24A-NF","Symbol")</f>
        <v>913ICCL24A</v>
      </c>
      <c r="B781" t="str">
        <f>RTD("nest.scriprtd",,"nse_cm|913ICCL24A-NF","Trading Symbol")</f>
        <v>913ICCL24A-NF</v>
      </c>
      <c r="C781" t="str">
        <f>RTD("nest.scriprtd",,"nse_cm|913ICCL24A-NF","Exchange")</f>
        <v>NSE</v>
      </c>
      <c r="D781">
        <f>RTD("nest.scriprtd",,"nse_cm|913ICCL24A-NF","Bid Qty")</f>
        <v>5</v>
      </c>
      <c r="E781">
        <f>RTD("nest.scriprtd",,"nse_cm|913ICCL24A-NF","Bid Rate")</f>
        <v>872.8</v>
      </c>
      <c r="F781">
        <f>RTD("nest.scriprtd",,"nse_cm|913ICCL24A-NF","Ask Rate")</f>
        <v>0</v>
      </c>
      <c r="G781">
        <f>RTD("nest.scriprtd",,"nse_cm|913ICCL24A-NF","Ask Qty")</f>
        <v>0</v>
      </c>
      <c r="H781">
        <f>RTD("nest.scriprtd",,"nse_cm|913ICCL24A-NF","LTP")</f>
        <v>0</v>
      </c>
      <c r="I781" t="str">
        <f>RTD("nest.scriprtd",,"nse_cm|913ICCL24A-NF","LTT")</f>
        <v/>
      </c>
      <c r="J781">
        <f>RTD("nest.scriprtd",,"nse_cm|913ICCL24A-NF","% Change")</f>
        <v>-100</v>
      </c>
      <c r="K781">
        <f>RTD("nest.scriprtd",,"nse_cm|913ICCL24A-NF","ATP")</f>
        <v>0</v>
      </c>
      <c r="L781">
        <f>RTD("nest.scriprtd",,"nse_cm|913ICCL24A-NF","Volume Traded Today")</f>
        <v>0</v>
      </c>
      <c r="M781">
        <f>RTD("nest.scriprtd",,"nse_cm|913ICCL24A-NF","Open")</f>
        <v>0</v>
      </c>
      <c r="N781">
        <f>RTD("nest.scriprtd",,"nse_cm|913ICCL24A-NF","High")</f>
        <v>0</v>
      </c>
      <c r="O781">
        <f>RTD("nest.scriprtd",,"nse_cm|913ICCL24A-NF","Low ")</f>
        <v>0</v>
      </c>
      <c r="P781">
        <f>RTD("nest.scriprtd",,"nse_cm|913ICCL24A-NF","Prev Close")</f>
        <v>1000</v>
      </c>
      <c r="Q781">
        <f>RTD("nest.scriprtd",,"nse_cm|913ICCL24A-NF","Face Value")</f>
        <v>1000</v>
      </c>
      <c r="R781" t="str">
        <f>RTD("nest.scriprtd",,"nse_cm|913ICCL24A-NF","Isin code")</f>
        <v>INE244L07291</v>
      </c>
      <c r="S781" s="9">
        <f>Table1[[#This Row],[Ask Rate]]*Table1[[#This Row],[Ask Qty]]</f>
        <v>0</v>
      </c>
      <c r="T781">
        <f>VLOOKUP(Table1[[#This Row],[Isin code]],Table2[#All],7,FALSE)</f>
        <v>0</v>
      </c>
      <c r="U781" s="17" t="str">
        <f>VLOOKUP(Table1[[#This Row],[Isin code]],Table2[#All],8,FALSE)</f>
        <v>02-Feb-2025</v>
      </c>
      <c r="V781" s="10">
        <f ca="1">Table1[[#This Row],[Maturity]]-TODAY()</f>
        <v>109</v>
      </c>
      <c r="W781" t="str">
        <f>VLOOKUP(Table1[[#This Row],[Isin code]],Table2[#All],10,FALSE)</f>
        <v>0</v>
      </c>
      <c r="X781">
        <f ca="1">_xlfn.DAYS(Table1[[#This Row],[Maturity]],TODAY())-15</f>
        <v>94</v>
      </c>
      <c r="Y78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81">
        <f>IF(Table1[[#This Row],[Ask Rate]]=0,0,Table1[[#This Row],[Face Value]]-Table1[[#This Row],[Ask Rate]])</f>
        <v>0</v>
      </c>
      <c r="AA78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81">
        <f>Table1[[#This Row],[Face Value]]*Table1[[#This Row],[Rate]]*Table1[[#This Row],[Time]]</f>
        <v>0</v>
      </c>
      <c r="AC781">
        <f>Table1[[#This Row],[SI]]+Table1[[#This Row],[Disc/Prem]]</f>
        <v>0</v>
      </c>
      <c r="AD781" s="3" t="e">
        <f>Table1[[#This Row],[Net Gain]]/Table1[[#This Row],[Ask Rate]]</f>
        <v>#DIV/0!</v>
      </c>
      <c r="AE781" s="3">
        <f>IF(Table1[[#This Row],[Ask Qty]]=0,0,Table1[[#This Row],[Gross Yield]]*365/Table1[[#This Row],[Days Left]])</f>
        <v>0</v>
      </c>
      <c r="AF781" s="9">
        <f>+Table1[[#This Row],[Net Gain]]*Table1[[#This Row],[Ask Qty]]</f>
        <v>0</v>
      </c>
      <c r="AG781" t="str">
        <f>IF(Table1[[#This Row],[YTM]]&gt;0.12,IF(Table1[[#This Row],[Gross Profit]]&gt;10000,"Invest","Review"),"Low YTM")</f>
        <v>Low YTM</v>
      </c>
    </row>
    <row r="782" spans="1:33" x14ac:dyDescent="0.3">
      <c r="A782" t="str">
        <f>RTD("nest.scriprtd",,"bse_cm|925ICCL25I","Symbol")</f>
        <v>925ICCL25I</v>
      </c>
      <c r="B782" t="str">
        <f>RTD("nest.scriprtd",,"bse_cm|925ICCL25I","Trading Symbol")</f>
        <v>925ICCL25I</v>
      </c>
      <c r="C782" t="str">
        <f>RTD("nest.scriprtd",,"bse_cm|925ICCL25I","Exchange")</f>
        <v>BSE</v>
      </c>
      <c r="D782">
        <f>RTD("nest.scriprtd",,"bse_cm|925ICCL25I","Bid Qty")</f>
        <v>20</v>
      </c>
      <c r="E782">
        <f>RTD("nest.scriprtd",,"bse_cm|925ICCL25I","Bid Rate")</f>
        <v>825.2</v>
      </c>
      <c r="F782">
        <f>RTD("nest.scriprtd",,"bse_cm|925ICCL25I","Ask Rate")</f>
        <v>0</v>
      </c>
      <c r="G782">
        <f>RTD("nest.scriprtd",,"bse_cm|925ICCL25I","Ask Qty")</f>
        <v>0</v>
      </c>
      <c r="H782">
        <f>RTD("nest.scriprtd",,"bse_cm|925ICCL25I","LTP")</f>
        <v>0</v>
      </c>
      <c r="I782" t="str">
        <f>RTD("nest.scriprtd",,"bse_cm|925ICCL25I","LTT")</f>
        <v>00:00:00</v>
      </c>
      <c r="J782">
        <f>RTD("nest.scriprtd",,"bse_cm|925ICCL25I","% Change")</f>
        <v>-100</v>
      </c>
      <c r="K782">
        <f>RTD("nest.scriprtd",,"bse_cm|925ICCL25I","ATP")</f>
        <v>0</v>
      </c>
      <c r="L782">
        <f>RTD("nest.scriprtd",,"bse_cm|925ICCL25I","Volume Traded Today")</f>
        <v>0</v>
      </c>
      <c r="M782">
        <f>RTD("nest.scriprtd",,"bse_cm|925ICCL25I","Open")</f>
        <v>0</v>
      </c>
      <c r="N782">
        <f>RTD("nest.scriprtd",,"bse_cm|925ICCL25I","High")</f>
        <v>0</v>
      </c>
      <c r="O782">
        <f>RTD("nest.scriprtd",,"bse_cm|925ICCL25I","Low ")</f>
        <v>0</v>
      </c>
      <c r="P782">
        <f>RTD("nest.scriprtd",,"bse_cm|925ICCL25I","Prev Close")</f>
        <v>1000</v>
      </c>
      <c r="Q782">
        <f>RTD("nest.scriprtd",,"bse_cm|925ICCL25I","Face Value")</f>
        <v>1000</v>
      </c>
      <c r="R782" t="str">
        <f>RTD("nest.scriprtd",,"bse_cm|925ICCL25I","Isin code")</f>
        <v>INE244L07424</v>
      </c>
      <c r="S782" s="9">
        <f>Table1[[#This Row],[Ask Rate]]*Table1[[#This Row],[Ask Qty]]</f>
        <v>0</v>
      </c>
      <c r="T782">
        <f>VLOOKUP(Table1[[#This Row],[Isin code]],Table2[#All],7,FALSE)</f>
        <v>9.6</v>
      </c>
      <c r="U782" s="17" t="str">
        <f>VLOOKUP(Table1[[#This Row],[Isin code]],Table2[#All],8,FALSE)</f>
        <v>25-Apr-2025</v>
      </c>
      <c r="V782" s="10">
        <f ca="1">Table1[[#This Row],[Maturity]]-TODAY()</f>
        <v>191</v>
      </c>
      <c r="W782" t="str">
        <f>VLOOKUP(Table1[[#This Row],[Isin code]],Table2[#All],10,FALSE)</f>
        <v>Yearly</v>
      </c>
      <c r="X782">
        <f ca="1">_xlfn.DAYS(Table1[[#This Row],[Maturity]],TODAY())-15</f>
        <v>176</v>
      </c>
      <c r="Y7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782">
        <f>IF(Table1[[#This Row],[Ask Rate]]=0,0,Table1[[#This Row],[Face Value]]-Table1[[#This Row],[Ask Rate]])</f>
        <v>0</v>
      </c>
      <c r="AA782">
        <f>IF(Table1[[#This Row],[Freq]]="Yearly",Table1[[#This Row],[Coupon_Rate]]/100,IF(Table1[[#This Row],[Freq]]="Monthly",Table1[[#This Row],[Coupon_Rate]]/1200,IF(Table1[[#This Row],[Freq]]="Quarterly",Table1[[#This Row],[Coupon_Rate]]/400,0)))</f>
        <v>9.6000000000000002E-2</v>
      </c>
      <c r="AB782">
        <f ca="1">Table1[[#This Row],[Face Value]]*Table1[[#This Row],[Rate]]*Table1[[#This Row],[Time]]</f>
        <v>96</v>
      </c>
      <c r="AC782">
        <f ca="1">Table1[[#This Row],[SI]]+Table1[[#This Row],[Disc/Prem]]</f>
        <v>96</v>
      </c>
      <c r="AD782" s="3" t="e">
        <f ca="1">Table1[[#This Row],[Net Gain]]/Table1[[#This Row],[Ask Rate]]</f>
        <v>#DIV/0!</v>
      </c>
      <c r="AE782" s="3">
        <f>IF(Table1[[#This Row],[Ask Qty]]=0,0,Table1[[#This Row],[Gross Yield]]*365/Table1[[#This Row],[Days Left]])</f>
        <v>0</v>
      </c>
      <c r="AF782" s="9">
        <f ca="1">+Table1[[#This Row],[Net Gain]]*Table1[[#This Row],[Ask Qty]]</f>
        <v>0</v>
      </c>
      <c r="AG782" t="str">
        <f>IF(Table1[[#This Row],[YTM]]&gt;0.12,IF(Table1[[#This Row],[Gross Profit]]&gt;10000,"Invest","Review"),"Low YTM")</f>
        <v>Low YTM</v>
      </c>
    </row>
    <row r="783" spans="1:33" x14ac:dyDescent="0.3">
      <c r="A783" t="str">
        <f>RTD("nest.scriprtd",,"bse_cm|980ICCL28","Symbol")</f>
        <v>980ICCL28</v>
      </c>
      <c r="B783" t="str">
        <f>RTD("nest.scriprtd",,"bse_cm|980ICCL28","Trading Symbol")</f>
        <v>980ICCL28</v>
      </c>
      <c r="C783" t="str">
        <f>RTD("nest.scriprtd",,"bse_cm|980ICCL28","Exchange")</f>
        <v>BSE</v>
      </c>
      <c r="D783">
        <f>RTD("nest.scriprtd",,"bse_cm|980ICCL28","Bid Qty")</f>
        <v>0</v>
      </c>
      <c r="E783">
        <f>RTD("nest.scriprtd",,"bse_cm|980ICCL28","Bid Rate")</f>
        <v>0</v>
      </c>
      <c r="F783">
        <f>RTD("nest.scriprtd",,"bse_cm|980ICCL28","Ask Rate")</f>
        <v>0</v>
      </c>
      <c r="G783">
        <f>RTD("nest.scriprtd",,"bse_cm|980ICCL28","Ask Qty")</f>
        <v>0</v>
      </c>
      <c r="H783">
        <f>RTD("nest.scriprtd",,"bse_cm|980ICCL28","LTP")</f>
        <v>0</v>
      </c>
      <c r="I783" t="str">
        <f>RTD("nest.scriprtd",,"bse_cm|980ICCL28","LTT")</f>
        <v>00:00:00</v>
      </c>
      <c r="J783">
        <f>RTD("nest.scriprtd",,"bse_cm|980ICCL28","% Change")</f>
        <v>-100</v>
      </c>
      <c r="K783">
        <f>RTD("nest.scriprtd",,"bse_cm|980ICCL28","ATP")</f>
        <v>0</v>
      </c>
      <c r="L783">
        <f>RTD("nest.scriprtd",,"bse_cm|980ICCL28","Volume Traded Today")</f>
        <v>0</v>
      </c>
      <c r="M783">
        <f>RTD("nest.scriprtd",,"bse_cm|980ICCL28","Open")</f>
        <v>0</v>
      </c>
      <c r="N783">
        <f>RTD("nest.scriprtd",,"bse_cm|980ICCL28","High")</f>
        <v>0</v>
      </c>
      <c r="O783">
        <f>RTD("nest.scriprtd",,"bse_cm|980ICCL28","Low ")</f>
        <v>0</v>
      </c>
      <c r="P783">
        <f>RTD("nest.scriprtd",,"bse_cm|980ICCL28","Prev Close")</f>
        <v>800</v>
      </c>
      <c r="Q783">
        <f>RTD("nest.scriprtd",,"bse_cm|980ICCL28","Face Value")</f>
        <v>800</v>
      </c>
      <c r="R783" t="str">
        <f>RTD("nest.scriprtd",,"bse_cm|980ICCL28","Isin code")</f>
        <v>INE244L07317</v>
      </c>
      <c r="S783" s="9">
        <f>Table1[[#This Row],[Ask Rate]]*Table1[[#This Row],[Ask Qty]]</f>
        <v>0</v>
      </c>
      <c r="T783">
        <f>VLOOKUP(Table1[[#This Row],[Isin code]],Table2[#All],7,FALSE)</f>
        <v>9.8000000000000007</v>
      </c>
      <c r="U783" s="17" t="str">
        <f>VLOOKUP(Table1[[#This Row],[Isin code]],Table2[#All],8,FALSE)</f>
        <v>02-Feb-2028</v>
      </c>
      <c r="V783" s="10">
        <f ca="1">Table1[[#This Row],[Maturity]]-TODAY()</f>
        <v>1204</v>
      </c>
      <c r="W783" t="str">
        <f>VLOOKUP(Table1[[#This Row],[Isin code]],Table2[#All],10,FALSE)</f>
        <v>Yearly</v>
      </c>
      <c r="X783">
        <f ca="1">_xlfn.DAYS(Table1[[#This Row],[Maturity]],TODAY())-15</f>
        <v>1189</v>
      </c>
      <c r="Y7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783">
        <f>IF(Table1[[#This Row],[Ask Rate]]=0,0,Table1[[#This Row],[Face Value]]-Table1[[#This Row],[Ask Rate]])</f>
        <v>0</v>
      </c>
      <c r="AA783">
        <f>IF(Table1[[#This Row],[Freq]]="Yearly",Table1[[#This Row],[Coupon_Rate]]/100,IF(Table1[[#This Row],[Freq]]="Monthly",Table1[[#This Row],[Coupon_Rate]]/1200,IF(Table1[[#This Row],[Freq]]="Quarterly",Table1[[#This Row],[Coupon_Rate]]/400,0)))</f>
        <v>9.8000000000000004E-2</v>
      </c>
      <c r="AB783">
        <f ca="1">Table1[[#This Row],[Face Value]]*Table1[[#This Row],[Rate]]*Table1[[#This Row],[Time]]</f>
        <v>313.60000000000002</v>
      </c>
      <c r="AC783">
        <f ca="1">Table1[[#This Row],[SI]]+Table1[[#This Row],[Disc/Prem]]</f>
        <v>313.60000000000002</v>
      </c>
      <c r="AD783" s="3" t="e">
        <f ca="1">Table1[[#This Row],[Net Gain]]/Table1[[#This Row],[Ask Rate]]</f>
        <v>#DIV/0!</v>
      </c>
      <c r="AE783" s="3">
        <f>IF(Table1[[#This Row],[Ask Qty]]=0,0,Table1[[#This Row],[Gross Yield]]*365/Table1[[#This Row],[Days Left]])</f>
        <v>0</v>
      </c>
      <c r="AF783" s="9">
        <f ca="1">+Table1[[#This Row],[Net Gain]]*Table1[[#This Row],[Ask Qty]]</f>
        <v>0</v>
      </c>
      <c r="AG783" t="str">
        <f>IF(Table1[[#This Row],[YTM]]&gt;0.12,IF(Table1[[#This Row],[Gross Profit]]&gt;10000,"Invest","Review"),"Low YTM")</f>
        <v>Low YTM</v>
      </c>
    </row>
    <row r="784" spans="1:33" x14ac:dyDescent="0.3">
      <c r="A784" t="str">
        <f>RTD("nest.scriprtd",,"nse_cm|97SFL26A-NC","Symbol")</f>
        <v>97SFL26A</v>
      </c>
      <c r="B784" t="str">
        <f>RTD("nest.scriprtd",,"nse_cm|97SFL26A-NC","Trading Symbol")</f>
        <v>97SFL26A-NC</v>
      </c>
      <c r="C784" t="str">
        <f>RTD("nest.scriprtd",,"nse_cm|97SFL26A-NC","Exchange")</f>
        <v>NSE</v>
      </c>
      <c r="D784">
        <f>RTD("nest.scriprtd",,"nse_cm|97SFL26A-NC","Bid Qty")</f>
        <v>20</v>
      </c>
      <c r="E784">
        <f>RTD("nest.scriprtd",,"nse_cm|97SFL26A-NC","Bid Rate")</f>
        <v>805.4</v>
      </c>
      <c r="F784">
        <f>RTD("nest.scriprtd",,"nse_cm|97SFL26A-NC","Ask Rate")</f>
        <v>0</v>
      </c>
      <c r="G784">
        <f>RTD("nest.scriprtd",,"nse_cm|97SFL26A-NC","Ask Qty")</f>
        <v>0</v>
      </c>
      <c r="H784">
        <f>RTD("nest.scriprtd",,"nse_cm|97SFL26A-NC","LTP")</f>
        <v>0</v>
      </c>
      <c r="I784" t="str">
        <f>RTD("nest.scriprtd",,"nse_cm|97SFL26A-NC","LTT")</f>
        <v/>
      </c>
      <c r="J784">
        <f>RTD("nest.scriprtd",,"nse_cm|97SFL26A-NC","% Change")</f>
        <v>-100</v>
      </c>
      <c r="K784">
        <f>RTD("nest.scriprtd",,"nse_cm|97SFL26A-NC","ATP")</f>
        <v>0</v>
      </c>
      <c r="L784">
        <f>RTD("nest.scriprtd",,"nse_cm|97SFL26A-NC","Volume Traded Today")</f>
        <v>0</v>
      </c>
      <c r="M784">
        <f>RTD("nest.scriprtd",,"nse_cm|97SFL26A-NC","Open")</f>
        <v>0</v>
      </c>
      <c r="N784">
        <f>RTD("nest.scriprtd",,"nse_cm|97SFL26A-NC","High")</f>
        <v>0</v>
      </c>
      <c r="O784">
        <f>RTD("nest.scriprtd",,"nse_cm|97SFL26A-NC","Low ")</f>
        <v>0</v>
      </c>
      <c r="P784">
        <f>RTD("nest.scriprtd",,"nse_cm|97SFL26A-NC","Prev Close")</f>
        <v>1000</v>
      </c>
      <c r="Q784">
        <f>RTD("nest.scriprtd",,"nse_cm|97SFL26A-NC","Face Value")</f>
        <v>1000</v>
      </c>
      <c r="R784" t="str">
        <f>RTD("nest.scriprtd",,"nse_cm|97SFL26A-NC","Isin code")</f>
        <v>INE244L07176</v>
      </c>
      <c r="S784" s="9">
        <f>Table1[[#This Row],[Ask Rate]]*Table1[[#This Row],[Ask Qty]]</f>
        <v>0</v>
      </c>
      <c r="T784">
        <f>VLOOKUP(Table1[[#This Row],[Isin code]],Table2[#All],7,FALSE)</f>
        <v>9.09</v>
      </c>
      <c r="U784" s="17" t="str">
        <f>VLOOKUP(Table1[[#This Row],[Isin code]],Table2[#All],8,FALSE)</f>
        <v>25-Sep-2028</v>
      </c>
      <c r="V784" s="10">
        <f ca="1">Table1[[#This Row],[Maturity]]-TODAY()</f>
        <v>1440</v>
      </c>
      <c r="W784" t="str">
        <f>VLOOKUP(Table1[[#This Row],[Isin code]],Table2[#All],10,FALSE)</f>
        <v>Yearly</v>
      </c>
      <c r="X784">
        <f ca="1">_xlfn.DAYS(Table1[[#This Row],[Maturity]],TODAY())-15</f>
        <v>1425</v>
      </c>
      <c r="Y7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784">
        <f>IF(Table1[[#This Row],[Ask Rate]]=0,0,Table1[[#This Row],[Face Value]]-Table1[[#This Row],[Ask Rate]])</f>
        <v>0</v>
      </c>
      <c r="AA784">
        <f>IF(Table1[[#This Row],[Freq]]="Yearly",Table1[[#This Row],[Coupon_Rate]]/100,IF(Table1[[#This Row],[Freq]]="Monthly",Table1[[#This Row],[Coupon_Rate]]/1200,IF(Table1[[#This Row],[Freq]]="Quarterly",Table1[[#This Row],[Coupon_Rate]]/400,0)))</f>
        <v>9.0899999999999995E-2</v>
      </c>
      <c r="AB784">
        <f ca="1">Table1[[#This Row],[Face Value]]*Table1[[#This Row],[Rate]]*Table1[[#This Row],[Time]]</f>
        <v>363.59999999999997</v>
      </c>
      <c r="AC784">
        <f ca="1">Table1[[#This Row],[SI]]+Table1[[#This Row],[Disc/Prem]]</f>
        <v>363.59999999999997</v>
      </c>
      <c r="AD784" s="3" t="e">
        <f ca="1">Table1[[#This Row],[Net Gain]]/Table1[[#This Row],[Ask Rate]]</f>
        <v>#DIV/0!</v>
      </c>
      <c r="AE784" s="3">
        <f>IF(Table1[[#This Row],[Ask Qty]]=0,0,Table1[[#This Row],[Gross Yield]]*365/Table1[[#This Row],[Days Left]])</f>
        <v>0</v>
      </c>
      <c r="AF784" s="9">
        <f ca="1">+Table1[[#This Row],[Net Gain]]*Table1[[#This Row],[Ask Qty]]</f>
        <v>0</v>
      </c>
      <c r="AG784" t="str">
        <f>IF(Table1[[#This Row],[YTM]]&gt;0.12,IF(Table1[[#This Row],[Gross Profit]]&gt;10000,"Invest","Review"),"Low YTM")</f>
        <v>Low YTM</v>
      </c>
    </row>
    <row r="785" spans="1:33" hidden="1" x14ac:dyDescent="0.3">
      <c r="A785" t="str">
        <f>RTD("nest.scriprtd",,"bse_cm|935KAFL25","Symbol")</f>
        <v>935KAFL25</v>
      </c>
      <c r="B785" t="str">
        <f>RTD("nest.scriprtd",,"bse_cm|935KAFL25","Trading Symbol")</f>
        <v>935KAFL25</v>
      </c>
      <c r="C785" t="str">
        <f>RTD("nest.scriprtd",,"bse_cm|935KAFL25","Exchange")</f>
        <v>BSE</v>
      </c>
      <c r="D785">
        <f>RTD("nest.scriprtd",,"bse_cm|935KAFL25","Bid Qty")</f>
        <v>14</v>
      </c>
      <c r="E785">
        <f>RTD("nest.scriprtd",,"bse_cm|935KAFL25","Bid Rate")</f>
        <v>835.2</v>
      </c>
      <c r="F785">
        <f>RTD("nest.scriprtd",,"bse_cm|935KAFL25","Ask Rate")</f>
        <v>0</v>
      </c>
      <c r="G785">
        <f>RTD("nest.scriprtd",,"bse_cm|935KAFL25","Ask Qty")</f>
        <v>0</v>
      </c>
      <c r="H785">
        <f>RTD("nest.scriprtd",,"bse_cm|935KAFL25","LTP")</f>
        <v>0</v>
      </c>
      <c r="I785" t="str">
        <f>RTD("nest.scriprtd",,"bse_cm|935KAFL25","LTT")</f>
        <v>00:00:00</v>
      </c>
      <c r="J785">
        <f>RTD("nest.scriprtd",,"bse_cm|935KAFL25","% Change")</f>
        <v>-100</v>
      </c>
      <c r="K785">
        <f>RTD("nest.scriprtd",,"bse_cm|935KAFL25","ATP")</f>
        <v>0</v>
      </c>
      <c r="L785">
        <f>RTD("nest.scriprtd",,"bse_cm|935KAFL25","Volume Traded Today")</f>
        <v>0</v>
      </c>
      <c r="M785">
        <f>RTD("nest.scriprtd",,"bse_cm|935KAFL25","Open")</f>
        <v>0</v>
      </c>
      <c r="N785">
        <f>RTD("nest.scriprtd",,"bse_cm|935KAFL25","High")</f>
        <v>0</v>
      </c>
      <c r="O785">
        <f>RTD("nest.scriprtd",,"bse_cm|935KAFL25","Low ")</f>
        <v>0</v>
      </c>
      <c r="P785">
        <f>RTD("nest.scriprtd",,"bse_cm|935KAFL25","Prev Close")</f>
        <v>1000</v>
      </c>
      <c r="Q785">
        <f>RTD("nest.scriprtd",,"bse_cm|935KAFL25","Face Value")</f>
        <v>1000</v>
      </c>
      <c r="R785" t="str">
        <f>RTD("nest.scriprtd",,"bse_cm|935KAFL25","Isin code")</f>
        <v>INE01I507836</v>
      </c>
      <c r="S785" s="9">
        <f>Table1[[#This Row],[Ask Rate]]*Table1[[#This Row],[Ask Qty]]</f>
        <v>0</v>
      </c>
      <c r="T785">
        <f>VLOOKUP(Table1[[#This Row],[Isin code]],Table2[#All],7,FALSE)</f>
        <v>9.35</v>
      </c>
      <c r="U785" s="17" t="str">
        <f>VLOOKUP(Table1[[#This Row],[Isin code]],Table2[#All],8,FALSE)</f>
        <v>12-Mar-2025</v>
      </c>
      <c r="V785" s="10">
        <f ca="1">Table1[[#This Row],[Maturity]]-TODAY()</f>
        <v>147</v>
      </c>
      <c r="W785" t="str">
        <f>VLOOKUP(Table1[[#This Row],[Isin code]],Table2[#All],10,FALSE)</f>
        <v>Monthly</v>
      </c>
      <c r="X785">
        <f ca="1">_xlfn.DAYS(Table1[[#This Row],[Maturity]],TODAY())-15</f>
        <v>132</v>
      </c>
      <c r="Y7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785">
        <f>IF(Table1[[#This Row],[Ask Rate]]=0,0,Table1[[#This Row],[Face Value]]-Table1[[#This Row],[Ask Rate]])</f>
        <v>0</v>
      </c>
      <c r="AA785">
        <f>IF(Table1[[#This Row],[Freq]]="Yearly",Table1[[#This Row],[Coupon_Rate]]/100,IF(Table1[[#This Row],[Freq]]="Monthly",Table1[[#This Row],[Coupon_Rate]]/1200,IF(Table1[[#This Row],[Freq]]="Quarterly",Table1[[#This Row],[Coupon_Rate]]/400,0)))</f>
        <v>7.7916666666666664E-3</v>
      </c>
      <c r="AB785">
        <f ca="1">Table1[[#This Row],[Face Value]]*Table1[[#This Row],[Rate]]*Table1[[#This Row],[Time]]</f>
        <v>38.958333333333329</v>
      </c>
      <c r="AC785">
        <f ca="1">Table1[[#This Row],[SI]]+Table1[[#This Row],[Disc/Prem]]</f>
        <v>38.958333333333329</v>
      </c>
      <c r="AD785" s="3" t="e">
        <f ca="1">Table1[[#This Row],[Net Gain]]/Table1[[#This Row],[Ask Rate]]</f>
        <v>#DIV/0!</v>
      </c>
      <c r="AE785" s="3">
        <f>IF(Table1[[#This Row],[Ask Qty]]=0,0,Table1[[#This Row],[Gross Yield]]*365/Table1[[#This Row],[Days Left]])</f>
        <v>0</v>
      </c>
      <c r="AF785" s="9">
        <f ca="1">+Table1[[#This Row],[Net Gain]]*Table1[[#This Row],[Ask Qty]]</f>
        <v>0</v>
      </c>
      <c r="AG785" t="str">
        <f>IF(Table1[[#This Row],[YTM]]&gt;0.12,IF(Table1[[#This Row],[Gross Profit]]&gt;10000,"Invest","Review"),"Low YTM")</f>
        <v>Low YTM</v>
      </c>
    </row>
    <row r="786" spans="1:33" x14ac:dyDescent="0.3">
      <c r="A786" t="str">
        <f>RTD("nest.scriprtd",,"nse_cm|931SFL26A-NA","Symbol")</f>
        <v>931SFL26A</v>
      </c>
      <c r="B786" t="str">
        <f>RTD("nest.scriprtd",,"nse_cm|931SFL26A-NA","Trading Symbol")</f>
        <v>931SFL26A-NA</v>
      </c>
      <c r="C786" t="str">
        <f>RTD("nest.scriprtd",,"nse_cm|931SFL26A-NA","Exchange")</f>
        <v>NSE</v>
      </c>
      <c r="D786">
        <f>RTD("nest.scriprtd",,"nse_cm|931SFL26A-NA","Bid Qty")</f>
        <v>10</v>
      </c>
      <c r="E786">
        <f>RTD("nest.scriprtd",,"nse_cm|931SFL26A-NA","Bid Rate")</f>
        <v>805.2</v>
      </c>
      <c r="F786">
        <f>RTD("nest.scriprtd",,"nse_cm|931SFL26A-NA","Ask Rate")</f>
        <v>0</v>
      </c>
      <c r="G786">
        <f>RTD("nest.scriprtd",,"nse_cm|931SFL26A-NA","Ask Qty")</f>
        <v>0</v>
      </c>
      <c r="H786">
        <f>RTD("nest.scriprtd",,"nse_cm|931SFL26A-NA","LTP")</f>
        <v>0</v>
      </c>
      <c r="I786" t="str">
        <f>RTD("nest.scriprtd",,"nse_cm|931SFL26A-NA","LTT")</f>
        <v/>
      </c>
      <c r="J786">
        <f>RTD("nest.scriprtd",,"nse_cm|931SFL26A-NA","% Change")</f>
        <v>-100</v>
      </c>
      <c r="K786">
        <f>RTD("nest.scriprtd",,"nse_cm|931SFL26A-NA","ATP")</f>
        <v>0</v>
      </c>
      <c r="L786">
        <f>RTD("nest.scriprtd",,"nse_cm|931SFL26A-NA","Volume Traded Today")</f>
        <v>0</v>
      </c>
      <c r="M786">
        <f>RTD("nest.scriprtd",,"nse_cm|931SFL26A-NA","Open")</f>
        <v>0</v>
      </c>
      <c r="N786">
        <f>RTD("nest.scriprtd",,"nse_cm|931SFL26A-NA","High")</f>
        <v>0</v>
      </c>
      <c r="O786">
        <f>RTD("nest.scriprtd",,"nse_cm|931SFL26A-NA","Low ")</f>
        <v>0</v>
      </c>
      <c r="P786">
        <f>RTD("nest.scriprtd",,"nse_cm|931SFL26A-NA","Prev Close")</f>
        <v>1000</v>
      </c>
      <c r="Q786">
        <f>RTD("nest.scriprtd",,"nse_cm|931SFL26A-NA","Face Value")</f>
        <v>1000</v>
      </c>
      <c r="R786" t="str">
        <f>RTD("nest.scriprtd",,"nse_cm|931SFL26A-NA","Isin code")</f>
        <v>INE244L07150</v>
      </c>
      <c r="S786" s="9">
        <f>Table1[[#This Row],[Ask Rate]]*Table1[[#This Row],[Ask Qty]]</f>
        <v>0</v>
      </c>
      <c r="T786">
        <f>VLOOKUP(Table1[[#This Row],[Isin code]],Table2[#All],7,FALSE)</f>
        <v>9.1</v>
      </c>
      <c r="U786" s="17" t="str">
        <f>VLOOKUP(Table1[[#This Row],[Isin code]],Table2[#All],8,FALSE)</f>
        <v>25-Sep-2028</v>
      </c>
      <c r="V786" s="10">
        <f ca="1">Table1[[#This Row],[Maturity]]-TODAY()</f>
        <v>1440</v>
      </c>
      <c r="W786" t="str">
        <f>VLOOKUP(Table1[[#This Row],[Isin code]],Table2[#All],10,FALSE)</f>
        <v>Monthly</v>
      </c>
      <c r="X786">
        <f ca="1">_xlfn.DAYS(Table1[[#This Row],[Maturity]],TODAY())-15</f>
        <v>1425</v>
      </c>
      <c r="Y7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786">
        <f>IF(Table1[[#This Row],[Ask Rate]]=0,0,Table1[[#This Row],[Face Value]]-Table1[[#This Row],[Ask Rate]])</f>
        <v>0</v>
      </c>
      <c r="AA786">
        <f>IF(Table1[[#This Row],[Freq]]="Yearly",Table1[[#This Row],[Coupon_Rate]]/100,IF(Table1[[#This Row],[Freq]]="Monthly",Table1[[#This Row],[Coupon_Rate]]/1200,IF(Table1[[#This Row],[Freq]]="Quarterly",Table1[[#This Row],[Coupon_Rate]]/400,0)))</f>
        <v>7.5833333333333334E-3</v>
      </c>
      <c r="AB786">
        <f ca="1">Table1[[#This Row],[Face Value]]*Table1[[#This Row],[Rate]]*Table1[[#This Row],[Time]]</f>
        <v>364</v>
      </c>
      <c r="AC786">
        <f ca="1">Table1[[#This Row],[SI]]+Table1[[#This Row],[Disc/Prem]]</f>
        <v>364</v>
      </c>
      <c r="AD786" s="3" t="e">
        <f ca="1">Table1[[#This Row],[Net Gain]]/Table1[[#This Row],[Ask Rate]]</f>
        <v>#DIV/0!</v>
      </c>
      <c r="AE786" s="3">
        <f>IF(Table1[[#This Row],[Ask Qty]]=0,0,Table1[[#This Row],[Gross Yield]]*365/Table1[[#This Row],[Days Left]])</f>
        <v>0</v>
      </c>
      <c r="AF786" s="9">
        <f ca="1">+Table1[[#This Row],[Net Gain]]*Table1[[#This Row],[Ask Qty]]</f>
        <v>0</v>
      </c>
      <c r="AG786" t="str">
        <f>IF(Table1[[#This Row],[YTM]]&gt;0.12,IF(Table1[[#This Row],[Gross Profit]]&gt;10000,"Invest","Review"),"Low YTM")</f>
        <v>Low YTM</v>
      </c>
    </row>
    <row r="787" spans="1:33" x14ac:dyDescent="0.3">
      <c r="A787" t="str">
        <f>RTD("nest.scriprtd",,"nse_cm|SCLZC25E-Y4","Symbol")</f>
        <v>SCLZC25E</v>
      </c>
      <c r="B787" t="str">
        <f>RTD("nest.scriprtd",,"nse_cm|SCLZC25E-Y4","Trading Symbol")</f>
        <v>SCLZC25E-Y4</v>
      </c>
      <c r="C787" t="str">
        <f>RTD("nest.scriprtd",,"nse_cm|SCLZC25E-Y4","Exchange")</f>
        <v>NSE</v>
      </c>
      <c r="D787">
        <f>RTD("nest.scriprtd",,"nse_cm|SCLZC25E-Y4","Bid Qty")</f>
        <v>7</v>
      </c>
      <c r="E787">
        <f>RTD("nest.scriprtd",,"nse_cm|SCLZC25E-Y4","Bid Rate")</f>
        <v>832.2</v>
      </c>
      <c r="F787">
        <f>RTD("nest.scriprtd",,"nse_cm|SCLZC25E-Y4","Ask Rate")</f>
        <v>0</v>
      </c>
      <c r="G787">
        <f>RTD("nest.scriprtd",,"nse_cm|SCLZC25E-Y4","Ask Qty")</f>
        <v>0</v>
      </c>
      <c r="H787">
        <f>RTD("nest.scriprtd",,"nse_cm|SCLZC25E-Y4","LTP")</f>
        <v>0</v>
      </c>
      <c r="I787" t="str">
        <f>RTD("nest.scriprtd",,"nse_cm|SCLZC25E-Y4","LTT")</f>
        <v/>
      </c>
      <c r="J787">
        <f>RTD("nest.scriprtd",,"nse_cm|SCLZC25E-Y4","% Change")</f>
        <v>-100</v>
      </c>
      <c r="K787">
        <f>RTD("nest.scriprtd",,"nse_cm|SCLZC25E-Y4","ATP")</f>
        <v>0</v>
      </c>
      <c r="L787">
        <f>RTD("nest.scriprtd",,"nse_cm|SCLZC25E-Y4","Volume Traded Today")</f>
        <v>0</v>
      </c>
      <c r="M787">
        <f>RTD("nest.scriprtd",,"nse_cm|SCLZC25E-Y4","Open")</f>
        <v>0</v>
      </c>
      <c r="N787">
        <f>RTD("nest.scriprtd",,"nse_cm|SCLZC25E-Y4","High")</f>
        <v>0</v>
      </c>
      <c r="O787">
        <f>RTD("nest.scriprtd",,"nse_cm|SCLZC25E-Y4","Low ")</f>
        <v>0</v>
      </c>
      <c r="P787">
        <f>RTD("nest.scriprtd",,"nse_cm|SCLZC25E-Y4","Prev Close")</f>
        <v>1000</v>
      </c>
      <c r="Q787">
        <f>RTD("nest.scriprtd",,"nse_cm|SCLZC25E-Y4","Face Value")</f>
        <v>1000</v>
      </c>
      <c r="R787" t="str">
        <f>RTD("nest.scriprtd",,"nse_cm|SCLZC25E-Y4","Isin code")</f>
        <v>INE148I07RF2</v>
      </c>
      <c r="S787" s="9">
        <f>Table1[[#This Row],[Ask Rate]]*Table1[[#This Row],[Ask Qty]]</f>
        <v>0</v>
      </c>
      <c r="T787">
        <f>VLOOKUP(Table1[[#This Row],[Isin code]],Table2[#All],7,FALSE)</f>
        <v>0</v>
      </c>
      <c r="U787" s="17" t="str">
        <f>VLOOKUP(Table1[[#This Row],[Isin code]],Table2[#All],8,FALSE)</f>
        <v>27-Dec-2025</v>
      </c>
      <c r="V787" s="10">
        <f ca="1">Table1[[#This Row],[Maturity]]-TODAY()</f>
        <v>437</v>
      </c>
      <c r="W787" t="str">
        <f>VLOOKUP(Table1[[#This Row],[Isin code]],Table2[#All],10,FALSE)</f>
        <v>Yearly</v>
      </c>
      <c r="X787">
        <f ca="1">_xlfn.DAYS(Table1[[#This Row],[Maturity]],TODAY())-15</f>
        <v>422</v>
      </c>
      <c r="Y7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87">
        <f>IF(Table1[[#This Row],[Ask Rate]]=0,0,Table1[[#This Row],[Face Value]]-Table1[[#This Row],[Ask Rate]])</f>
        <v>0</v>
      </c>
      <c r="AA78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87">
        <f ca="1">Table1[[#This Row],[Face Value]]*Table1[[#This Row],[Rate]]*Table1[[#This Row],[Time]]</f>
        <v>0</v>
      </c>
      <c r="AC787">
        <f ca="1">Table1[[#This Row],[SI]]+Table1[[#This Row],[Disc/Prem]]</f>
        <v>0</v>
      </c>
      <c r="AD787" s="3" t="e">
        <f ca="1">Table1[[#This Row],[Net Gain]]/Table1[[#This Row],[Ask Rate]]</f>
        <v>#DIV/0!</v>
      </c>
      <c r="AE787" s="3">
        <f>IF(Table1[[#This Row],[Ask Qty]]=0,0,Table1[[#This Row],[Gross Yield]]*365/Table1[[#This Row],[Days Left]])</f>
        <v>0</v>
      </c>
      <c r="AF787" s="9">
        <f ca="1">+Table1[[#This Row],[Net Gain]]*Table1[[#This Row],[Ask Qty]]</f>
        <v>0</v>
      </c>
      <c r="AG787" t="str">
        <f>IF(Table1[[#This Row],[YTM]]&gt;0.12,IF(Table1[[#This Row],[Gross Profit]]&gt;10000,"Invest","Review"),"Low YTM")</f>
        <v>Low YTM</v>
      </c>
    </row>
    <row r="788" spans="1:33" hidden="1" x14ac:dyDescent="0.3">
      <c r="A788" t="str">
        <f>RTD("nest.scriprtd",,"bse_cm|888SCL25D","Symbol")</f>
        <v>888SCL25D</v>
      </c>
      <c r="B788" t="str">
        <f>RTD("nest.scriprtd",,"bse_cm|888SCL25D","Trading Symbol")</f>
        <v>888SCL25D</v>
      </c>
      <c r="C788" t="str">
        <f>RTD("nest.scriprtd",,"bse_cm|888SCL25D","Exchange")</f>
        <v>BSE</v>
      </c>
      <c r="D788">
        <f>RTD("nest.scriprtd",,"bse_cm|888SCL25D","Bid Qty")</f>
        <v>20</v>
      </c>
      <c r="E788">
        <f>RTD("nest.scriprtd",,"bse_cm|888SCL25D","Bid Rate")</f>
        <v>690.2</v>
      </c>
      <c r="F788">
        <f>RTD("nest.scriprtd",,"bse_cm|888SCL25D","Ask Rate")</f>
        <v>0</v>
      </c>
      <c r="G788">
        <f>RTD("nest.scriprtd",,"bse_cm|888SCL25D","Ask Qty")</f>
        <v>0</v>
      </c>
      <c r="H788">
        <f>RTD("nest.scriprtd",,"bse_cm|888SCL25D","LTP")</f>
        <v>0</v>
      </c>
      <c r="I788" t="str">
        <f>RTD("nest.scriprtd",,"bse_cm|888SCL25D","LTT")</f>
        <v>00:00:00</v>
      </c>
      <c r="J788">
        <f>RTD("nest.scriprtd",,"bse_cm|888SCL25D","% Change")</f>
        <v>-100</v>
      </c>
      <c r="K788">
        <f>RTD("nest.scriprtd",,"bse_cm|888SCL25D","ATP")</f>
        <v>0</v>
      </c>
      <c r="L788">
        <f>RTD("nest.scriprtd",,"bse_cm|888SCL25D","Volume Traded Today")</f>
        <v>0</v>
      </c>
      <c r="M788">
        <f>RTD("nest.scriprtd",,"bse_cm|888SCL25D","Open")</f>
        <v>0</v>
      </c>
      <c r="N788">
        <f>RTD("nest.scriprtd",,"bse_cm|888SCL25D","High")</f>
        <v>0</v>
      </c>
      <c r="O788">
        <f>RTD("nest.scriprtd",,"bse_cm|888SCL25D","Low ")</f>
        <v>0</v>
      </c>
      <c r="P788">
        <f>RTD("nest.scriprtd",,"bse_cm|888SCL25D","Prev Close")</f>
        <v>857.14</v>
      </c>
      <c r="Q788">
        <f>RTD("nest.scriprtd",,"bse_cm|888SCL25D","Face Value")</f>
        <v>857.14</v>
      </c>
      <c r="R788" t="str">
        <f>RTD("nest.scriprtd",,"bse_cm|888SCL25D","Isin code")</f>
        <v>INE148I07QC1</v>
      </c>
      <c r="S788" s="9">
        <f>Table1[[#This Row],[Ask Rate]]*Table1[[#This Row],[Ask Qty]]</f>
        <v>0</v>
      </c>
      <c r="T788" t="str">
        <f>VLOOKUP(Table1[[#This Row],[Isin code]],Table2[#All],7,FALSE)</f>
        <v>x</v>
      </c>
      <c r="U788" s="17" t="str">
        <f>VLOOKUP(Table1[[#This Row],[Isin code]],Table2[#All],8,FALSE)</f>
        <v>x</v>
      </c>
      <c r="V788" s="10" t="e">
        <f ca="1">Table1[[#This Row],[Maturity]]-TODAY()</f>
        <v>#VALUE!</v>
      </c>
      <c r="W788" t="str">
        <f>VLOOKUP(Table1[[#This Row],[Isin code]],Table2[#All],10,FALSE)</f>
        <v>x</v>
      </c>
      <c r="X788" t="e">
        <f ca="1">_xlfn.DAYS(Table1[[#This Row],[Maturity]],TODAY())-15</f>
        <v>#VALUE!</v>
      </c>
      <c r="Y78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88">
        <f>IF(Table1[[#This Row],[Ask Rate]]=0,0,Table1[[#This Row],[Face Value]]-Table1[[#This Row],[Ask Rate]])</f>
        <v>0</v>
      </c>
      <c r="AA78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88">
        <f>Table1[[#This Row],[Face Value]]*Table1[[#This Row],[Rate]]*Table1[[#This Row],[Time]]</f>
        <v>0</v>
      </c>
      <c r="AC788">
        <f>Table1[[#This Row],[SI]]+Table1[[#This Row],[Disc/Prem]]</f>
        <v>0</v>
      </c>
      <c r="AD788" s="3" t="e">
        <f>Table1[[#This Row],[Net Gain]]/Table1[[#This Row],[Ask Rate]]</f>
        <v>#DIV/0!</v>
      </c>
      <c r="AE788" s="3">
        <f>IF(Table1[[#This Row],[Ask Qty]]=0,0,Table1[[#This Row],[Gross Yield]]*365/Table1[[#This Row],[Days Left]])</f>
        <v>0</v>
      </c>
      <c r="AF788" s="9">
        <f>+Table1[[#This Row],[Net Gain]]*Table1[[#This Row],[Ask Qty]]</f>
        <v>0</v>
      </c>
      <c r="AG788" t="str">
        <f>IF(Table1[[#This Row],[YTM]]&gt;0.12,IF(Table1[[#This Row],[Gross Profit]]&gt;10000,"Invest","Review"),"Low YTM")</f>
        <v>Low YTM</v>
      </c>
    </row>
    <row r="789" spans="1:33" x14ac:dyDescent="0.3">
      <c r="A789" t="str">
        <f>RTD("nest.scriprtd",,"nse_cm|888SCL25B-Y2","Symbol")</f>
        <v>888SCL25B</v>
      </c>
      <c r="B789" t="str">
        <f>RTD("nest.scriprtd",,"nse_cm|888SCL25B-Y2","Trading Symbol")</f>
        <v>888SCL25B-Y2</v>
      </c>
      <c r="C789" t="str">
        <f>RTD("nest.scriprtd",,"nse_cm|888SCL25B-Y2","Exchange")</f>
        <v>NSE</v>
      </c>
      <c r="D789">
        <f>RTD("nest.scriprtd",,"nse_cm|888SCL25B-Y2","Bid Qty")</f>
        <v>6</v>
      </c>
      <c r="E789">
        <f>RTD("nest.scriprtd",,"nse_cm|888SCL25B-Y2","Bid Rate")</f>
        <v>825.3</v>
      </c>
      <c r="F789">
        <f>RTD("nest.scriprtd",,"nse_cm|888SCL25B-Y2","Ask Rate")</f>
        <v>0</v>
      </c>
      <c r="G789">
        <f>RTD("nest.scriprtd",,"nse_cm|888SCL25B-Y2","Ask Qty")</f>
        <v>0</v>
      </c>
      <c r="H789">
        <f>RTD("nest.scriprtd",,"nse_cm|888SCL25B-Y2","LTP")</f>
        <v>0</v>
      </c>
      <c r="I789" t="str">
        <f>RTD("nest.scriprtd",,"nse_cm|888SCL25B-Y2","LTT")</f>
        <v/>
      </c>
      <c r="J789">
        <f>RTD("nest.scriprtd",,"nse_cm|888SCL25B-Y2","% Change")</f>
        <v>-100</v>
      </c>
      <c r="K789">
        <f>RTD("nest.scriprtd",,"nse_cm|888SCL25B-Y2","ATP")</f>
        <v>0</v>
      </c>
      <c r="L789">
        <f>RTD("nest.scriprtd",,"nse_cm|888SCL25B-Y2","Volume Traded Today")</f>
        <v>0</v>
      </c>
      <c r="M789">
        <f>RTD("nest.scriprtd",,"nse_cm|888SCL25B-Y2","Open")</f>
        <v>0</v>
      </c>
      <c r="N789">
        <f>RTD("nest.scriprtd",,"nse_cm|888SCL25B-Y2","High")</f>
        <v>0</v>
      </c>
      <c r="O789">
        <f>RTD("nest.scriprtd",,"nse_cm|888SCL25B-Y2","Low ")</f>
        <v>0</v>
      </c>
      <c r="P789">
        <f>RTD("nest.scriprtd",,"nse_cm|888SCL25B-Y2","Prev Close")</f>
        <v>1000</v>
      </c>
      <c r="Q789">
        <f>RTD("nest.scriprtd",,"nse_cm|888SCL25B-Y2","Face Value")</f>
        <v>1000</v>
      </c>
      <c r="R789" t="str">
        <f>RTD("nest.scriprtd",,"nse_cm|888SCL25B-Y2","Isin code")</f>
        <v>INE148I07RE5</v>
      </c>
      <c r="S789" s="9">
        <f>Table1[[#This Row],[Ask Rate]]*Table1[[#This Row],[Ask Qty]]</f>
        <v>0</v>
      </c>
      <c r="T789">
        <f>VLOOKUP(Table1[[#This Row],[Isin code]],Table2[#All],7,FALSE)</f>
        <v>8.8800000000000008</v>
      </c>
      <c r="U789" s="17" t="str">
        <f>VLOOKUP(Table1[[#This Row],[Isin code]],Table2[#All],8,FALSE)</f>
        <v>27-Dec-2025</v>
      </c>
      <c r="V789" s="10">
        <f ca="1">Table1[[#This Row],[Maturity]]-TODAY()</f>
        <v>437</v>
      </c>
      <c r="W789" t="str">
        <f>VLOOKUP(Table1[[#This Row],[Isin code]],Table2[#All],10,FALSE)</f>
        <v>Monthly</v>
      </c>
      <c r="X789">
        <f ca="1">_xlfn.DAYS(Table1[[#This Row],[Maturity]],TODAY())-15</f>
        <v>422</v>
      </c>
      <c r="Y7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789">
        <f>IF(Table1[[#This Row],[Ask Rate]]=0,0,Table1[[#This Row],[Face Value]]-Table1[[#This Row],[Ask Rate]])</f>
        <v>0</v>
      </c>
      <c r="AA789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789">
        <f ca="1">Table1[[#This Row],[Face Value]]*Table1[[#This Row],[Rate]]*Table1[[#This Row],[Time]]</f>
        <v>111</v>
      </c>
      <c r="AC789">
        <f ca="1">Table1[[#This Row],[SI]]+Table1[[#This Row],[Disc/Prem]]</f>
        <v>111</v>
      </c>
      <c r="AD789" s="3" t="e">
        <f ca="1">Table1[[#This Row],[Net Gain]]/Table1[[#This Row],[Ask Rate]]</f>
        <v>#DIV/0!</v>
      </c>
      <c r="AE789" s="3">
        <f>IF(Table1[[#This Row],[Ask Qty]]=0,0,Table1[[#This Row],[Gross Yield]]*365/Table1[[#This Row],[Days Left]])</f>
        <v>0</v>
      </c>
      <c r="AF789" s="9">
        <f ca="1">+Table1[[#This Row],[Net Gain]]*Table1[[#This Row],[Ask Qty]]</f>
        <v>0</v>
      </c>
      <c r="AG789" t="str">
        <f>IF(Table1[[#This Row],[YTM]]&gt;0.12,IF(Table1[[#This Row],[Gross Profit]]&gt;10000,"Invest","Review"),"Low YTM")</f>
        <v>Low YTM</v>
      </c>
    </row>
    <row r="790" spans="1:33" x14ac:dyDescent="0.3">
      <c r="A790" t="str">
        <f>RTD("nest.scriprtd",,"bse_cm|925SCL25Z","Symbol")</f>
        <v>925SCL25Z</v>
      </c>
      <c r="B790" t="str">
        <f>RTD("nest.scriprtd",,"bse_cm|925SCL25Z","Trading Symbol")</f>
        <v>925SCL25Z</v>
      </c>
      <c r="C790" t="str">
        <f>RTD("nest.scriprtd",,"bse_cm|925SCL25Z","Exchange")</f>
        <v>BSE</v>
      </c>
      <c r="D790">
        <f>RTD("nest.scriprtd",,"bse_cm|925SCL25Z","Bid Qty")</f>
        <v>20</v>
      </c>
      <c r="E790">
        <f>RTD("nest.scriprtd",,"bse_cm|925SCL25Z","Bid Rate")</f>
        <v>825.1</v>
      </c>
      <c r="F790">
        <f>RTD("nest.scriprtd",,"bse_cm|925SCL25Z","Ask Rate")</f>
        <v>0</v>
      </c>
      <c r="G790">
        <f>RTD("nest.scriprtd",,"bse_cm|925SCL25Z","Ask Qty")</f>
        <v>0</v>
      </c>
      <c r="H790">
        <f>RTD("nest.scriprtd",,"bse_cm|925SCL25Z","LTP")</f>
        <v>0</v>
      </c>
      <c r="I790" t="str">
        <f>RTD("nest.scriprtd",,"bse_cm|925SCL25Z","LTT")</f>
        <v>00:00:00</v>
      </c>
      <c r="J790">
        <f>RTD("nest.scriprtd",,"bse_cm|925SCL25Z","% Change")</f>
        <v>-100</v>
      </c>
      <c r="K790">
        <f>RTD("nest.scriprtd",,"bse_cm|925SCL25Z","ATP")</f>
        <v>0</v>
      </c>
      <c r="L790">
        <f>RTD("nest.scriprtd",,"bse_cm|925SCL25Z","Volume Traded Today")</f>
        <v>0</v>
      </c>
      <c r="M790">
        <f>RTD("nest.scriprtd",,"bse_cm|925SCL25Z","Open")</f>
        <v>0</v>
      </c>
      <c r="N790">
        <f>RTD("nest.scriprtd",,"bse_cm|925SCL25Z","High")</f>
        <v>0</v>
      </c>
      <c r="O790">
        <f>RTD("nest.scriprtd",,"bse_cm|925SCL25Z","Low ")</f>
        <v>0</v>
      </c>
      <c r="P790">
        <f>RTD("nest.scriprtd",,"bse_cm|925SCL25Z","Prev Close")</f>
        <v>1000</v>
      </c>
      <c r="Q790">
        <f>RTD("nest.scriprtd",,"bse_cm|925SCL25Z","Face Value")</f>
        <v>1000</v>
      </c>
      <c r="R790" t="str">
        <f>RTD("nest.scriprtd",,"bse_cm|925SCL25Z","Isin code")</f>
        <v>INE148I07PW1</v>
      </c>
      <c r="S790" s="9">
        <f>Table1[[#This Row],[Ask Rate]]*Table1[[#This Row],[Ask Qty]]</f>
        <v>0</v>
      </c>
      <c r="T790">
        <f>VLOOKUP(Table1[[#This Row],[Isin code]],Table2[#All],7,FALSE)</f>
        <v>9.25</v>
      </c>
      <c r="U790" s="17" t="str">
        <f>VLOOKUP(Table1[[#This Row],[Isin code]],Table2[#All],8,FALSE)</f>
        <v>09-Nov-2025</v>
      </c>
      <c r="V790" s="10">
        <f ca="1">Table1[[#This Row],[Maturity]]-TODAY()</f>
        <v>389</v>
      </c>
      <c r="W790" t="str">
        <f>VLOOKUP(Table1[[#This Row],[Isin code]],Table2[#All],10,FALSE)</f>
        <v>Yearly</v>
      </c>
      <c r="X790">
        <f ca="1">_xlfn.DAYS(Table1[[#This Row],[Maturity]],TODAY())-15</f>
        <v>374</v>
      </c>
      <c r="Y7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90">
        <f>IF(Table1[[#This Row],[Ask Rate]]=0,0,Table1[[#This Row],[Face Value]]-Table1[[#This Row],[Ask Rate]])</f>
        <v>0</v>
      </c>
      <c r="AA790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790">
        <f ca="1">Table1[[#This Row],[Face Value]]*Table1[[#This Row],[Rate]]*Table1[[#This Row],[Time]]</f>
        <v>185</v>
      </c>
      <c r="AC790">
        <f ca="1">Table1[[#This Row],[SI]]+Table1[[#This Row],[Disc/Prem]]</f>
        <v>185</v>
      </c>
      <c r="AD790" s="3" t="e">
        <f ca="1">Table1[[#This Row],[Net Gain]]/Table1[[#This Row],[Ask Rate]]</f>
        <v>#DIV/0!</v>
      </c>
      <c r="AE790" s="3">
        <f>IF(Table1[[#This Row],[Ask Qty]]=0,0,Table1[[#This Row],[Gross Yield]]*365/Table1[[#This Row],[Days Left]])</f>
        <v>0</v>
      </c>
      <c r="AF790" s="9">
        <f ca="1">+Table1[[#This Row],[Net Gain]]*Table1[[#This Row],[Ask Qty]]</f>
        <v>0</v>
      </c>
      <c r="AG790" t="str">
        <f>IF(Table1[[#This Row],[YTM]]&gt;0.12,IF(Table1[[#This Row],[Gross Profit]]&gt;10000,"Invest","Review"),"Low YTM")</f>
        <v>Low YTM</v>
      </c>
    </row>
    <row r="791" spans="1:33" x14ac:dyDescent="0.3">
      <c r="A791" t="str">
        <f>RTD("nest.scriprtd",,"nse_cm|925SCL25H-Y0","Symbol")</f>
        <v>925SCL25H</v>
      </c>
      <c r="B791" t="str">
        <f>RTD("nest.scriprtd",,"nse_cm|925SCL25H-Y0","Trading Symbol")</f>
        <v>925SCL25H-Y0</v>
      </c>
      <c r="C791" t="str">
        <f>RTD("nest.scriprtd",,"nse_cm|925SCL25H-Y0","Exchange")</f>
        <v>NSE</v>
      </c>
      <c r="D791">
        <f>RTD("nest.scriprtd",,"nse_cm|925SCL25H-Y0","Bid Qty")</f>
        <v>0</v>
      </c>
      <c r="E791">
        <f>RTD("nest.scriprtd",,"nse_cm|925SCL25H-Y0","Bid Rate")</f>
        <v>0</v>
      </c>
      <c r="F791">
        <f>RTD("nest.scriprtd",,"nse_cm|925SCL25H-Y0","Ask Rate")</f>
        <v>0</v>
      </c>
      <c r="G791">
        <f>RTD("nest.scriprtd",,"nse_cm|925SCL25H-Y0","Ask Qty")</f>
        <v>0</v>
      </c>
      <c r="H791">
        <f>RTD("nest.scriprtd",,"nse_cm|925SCL25H-Y0","LTP")</f>
        <v>0</v>
      </c>
      <c r="I791" t="str">
        <f>RTD("nest.scriprtd",,"nse_cm|925SCL25H-Y0","LTT")</f>
        <v/>
      </c>
      <c r="J791">
        <f>RTD("nest.scriprtd",,"nse_cm|925SCL25H-Y0","% Change")</f>
        <v>-100</v>
      </c>
      <c r="K791">
        <f>RTD("nest.scriprtd",,"nse_cm|925SCL25H-Y0","ATP")</f>
        <v>0</v>
      </c>
      <c r="L791">
        <f>RTD("nest.scriprtd",,"nse_cm|925SCL25H-Y0","Volume Traded Today")</f>
        <v>0</v>
      </c>
      <c r="M791">
        <f>RTD("nest.scriprtd",,"nse_cm|925SCL25H-Y0","Open")</f>
        <v>0</v>
      </c>
      <c r="N791">
        <f>RTD("nest.scriprtd",,"nse_cm|925SCL25H-Y0","High")</f>
        <v>0</v>
      </c>
      <c r="O791">
        <f>RTD("nest.scriprtd",,"nse_cm|925SCL25H-Y0","Low ")</f>
        <v>0</v>
      </c>
      <c r="P791">
        <f>RTD("nest.scriprtd",,"nse_cm|925SCL25H-Y0","Prev Close")</f>
        <v>1000</v>
      </c>
      <c r="Q791">
        <f>RTD("nest.scriprtd",,"nse_cm|925SCL25H-Y0","Face Value")</f>
        <v>1000</v>
      </c>
      <c r="R791" t="str">
        <f>RTD("nest.scriprtd",,"nse_cm|925SCL25H-Y0","Isin code")</f>
        <v>INE148I07RC9</v>
      </c>
      <c r="S791" s="9">
        <f>Table1[[#This Row],[Ask Rate]]*Table1[[#This Row],[Ask Qty]]</f>
        <v>0</v>
      </c>
      <c r="T791">
        <f>VLOOKUP(Table1[[#This Row],[Isin code]],Table2[#All],7,FALSE)</f>
        <v>9.25</v>
      </c>
      <c r="U791" s="17" t="str">
        <f>VLOOKUP(Table1[[#This Row],[Isin code]],Table2[#All],8,FALSE)</f>
        <v>27-Dec-2025</v>
      </c>
      <c r="V791" s="10">
        <f ca="1">Table1[[#This Row],[Maturity]]-TODAY()</f>
        <v>437</v>
      </c>
      <c r="W791" t="str">
        <f>VLOOKUP(Table1[[#This Row],[Isin code]],Table2[#All],10,FALSE)</f>
        <v>Yearly</v>
      </c>
      <c r="X791">
        <f ca="1">_xlfn.DAYS(Table1[[#This Row],[Maturity]],TODAY())-15</f>
        <v>422</v>
      </c>
      <c r="Y7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91">
        <f>IF(Table1[[#This Row],[Ask Rate]]=0,0,Table1[[#This Row],[Face Value]]-Table1[[#This Row],[Ask Rate]])</f>
        <v>0</v>
      </c>
      <c r="AA791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791">
        <f ca="1">Table1[[#This Row],[Face Value]]*Table1[[#This Row],[Rate]]*Table1[[#This Row],[Time]]</f>
        <v>185</v>
      </c>
      <c r="AC791">
        <f ca="1">Table1[[#This Row],[SI]]+Table1[[#This Row],[Disc/Prem]]</f>
        <v>185</v>
      </c>
      <c r="AD791" s="3" t="e">
        <f ca="1">Table1[[#This Row],[Net Gain]]/Table1[[#This Row],[Ask Rate]]</f>
        <v>#DIV/0!</v>
      </c>
      <c r="AE791" s="3">
        <f>IF(Table1[[#This Row],[Ask Qty]]=0,0,Table1[[#This Row],[Gross Yield]]*365/Table1[[#This Row],[Days Left]])</f>
        <v>0</v>
      </c>
      <c r="AF791" s="9">
        <f ca="1">+Table1[[#This Row],[Net Gain]]*Table1[[#This Row],[Ask Qty]]</f>
        <v>0</v>
      </c>
      <c r="AG791" t="str">
        <f>IF(Table1[[#This Row],[YTM]]&gt;0.12,IF(Table1[[#This Row],[Gross Profit]]&gt;10000,"Invest","Review"),"Low YTM")</f>
        <v>Low YTM</v>
      </c>
    </row>
    <row r="792" spans="1:33" x14ac:dyDescent="0.3">
      <c r="A792" t="str">
        <f>RTD("nest.scriprtd",,"bse_cm|940SCL27","Symbol")</f>
        <v>940SCL27</v>
      </c>
      <c r="B792" t="str">
        <f>RTD("nest.scriprtd",,"bse_cm|940SCL27","Trading Symbol")</f>
        <v>940SCL27</v>
      </c>
      <c r="C792" t="str">
        <f>RTD("nest.scriprtd",,"bse_cm|940SCL27","Exchange")</f>
        <v>BSE</v>
      </c>
      <c r="D792">
        <f>RTD("nest.scriprtd",,"bse_cm|940SCL27","Bid Qty")</f>
        <v>11</v>
      </c>
      <c r="E792">
        <f>RTD("nest.scriprtd",,"bse_cm|940SCL27","Bid Rate")</f>
        <v>824.3</v>
      </c>
      <c r="F792">
        <f>RTD("nest.scriprtd",,"bse_cm|940SCL27","Ask Rate")</f>
        <v>0</v>
      </c>
      <c r="G792">
        <f>RTD("nest.scriprtd",,"bse_cm|940SCL27","Ask Qty")</f>
        <v>0</v>
      </c>
      <c r="H792">
        <f>RTD("nest.scriprtd",,"bse_cm|940SCL27","LTP")</f>
        <v>0</v>
      </c>
      <c r="I792" t="str">
        <f>RTD("nest.scriprtd",,"bse_cm|940SCL27","LTT")</f>
        <v>00:00:00</v>
      </c>
      <c r="J792">
        <f>RTD("nest.scriprtd",,"bse_cm|940SCL27","% Change")</f>
        <v>-100</v>
      </c>
      <c r="K792">
        <f>RTD("nest.scriprtd",,"bse_cm|940SCL27","ATP")</f>
        <v>0</v>
      </c>
      <c r="L792">
        <f>RTD("nest.scriprtd",,"bse_cm|940SCL27","Volume Traded Today")</f>
        <v>0</v>
      </c>
      <c r="M792">
        <f>RTD("nest.scriprtd",,"bse_cm|940SCL27","Open")</f>
        <v>0</v>
      </c>
      <c r="N792">
        <f>RTD("nest.scriprtd",,"bse_cm|940SCL27","High")</f>
        <v>0</v>
      </c>
      <c r="O792">
        <f>RTD("nest.scriprtd",,"bse_cm|940SCL27","Low ")</f>
        <v>0</v>
      </c>
      <c r="P792">
        <f>RTD("nest.scriprtd",,"bse_cm|940SCL27","Prev Close")</f>
        <v>1000</v>
      </c>
      <c r="Q792">
        <f>RTD("nest.scriprtd",,"bse_cm|940SCL27","Face Value")</f>
        <v>1000</v>
      </c>
      <c r="R792" t="str">
        <f>RTD("nest.scriprtd",,"bse_cm|940SCL27","Isin code")</f>
        <v>INE148I07SH6</v>
      </c>
      <c r="S792" s="9">
        <f>Table1[[#This Row],[Ask Rate]]*Table1[[#This Row],[Ask Qty]]</f>
        <v>0</v>
      </c>
      <c r="T792">
        <f>VLOOKUP(Table1[[#This Row],[Isin code]],Table2[#All],7,FALSE)</f>
        <v>9.4</v>
      </c>
      <c r="U792" s="17" t="str">
        <f>VLOOKUP(Table1[[#This Row],[Isin code]],Table2[#All],8,FALSE)</f>
        <v>26-Mar-2027</v>
      </c>
      <c r="V792" s="10">
        <f ca="1">Table1[[#This Row],[Maturity]]-TODAY()</f>
        <v>891</v>
      </c>
      <c r="W792" t="str">
        <f>VLOOKUP(Table1[[#This Row],[Isin code]],Table2[#All],10,FALSE)</f>
        <v>Annual</v>
      </c>
      <c r="X792">
        <f ca="1">_xlfn.DAYS(Table1[[#This Row],[Maturity]],TODAY())-15</f>
        <v>876</v>
      </c>
      <c r="Y79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92">
        <f>IF(Table1[[#This Row],[Ask Rate]]=0,0,Table1[[#This Row],[Face Value]]-Table1[[#This Row],[Ask Rate]])</f>
        <v>0</v>
      </c>
      <c r="AA79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92">
        <f>Table1[[#This Row],[Face Value]]*Table1[[#This Row],[Rate]]*Table1[[#This Row],[Time]]</f>
        <v>0</v>
      </c>
      <c r="AC792">
        <f>Table1[[#This Row],[SI]]+Table1[[#This Row],[Disc/Prem]]</f>
        <v>0</v>
      </c>
      <c r="AD792" s="3" t="e">
        <f>Table1[[#This Row],[Net Gain]]/Table1[[#This Row],[Ask Rate]]</f>
        <v>#DIV/0!</v>
      </c>
      <c r="AE792" s="3">
        <f>IF(Table1[[#This Row],[Ask Qty]]=0,0,Table1[[#This Row],[Gross Yield]]*365/Table1[[#This Row],[Days Left]])</f>
        <v>0</v>
      </c>
      <c r="AF792" s="9">
        <f>+Table1[[#This Row],[Net Gain]]*Table1[[#This Row],[Ask Qty]]</f>
        <v>0</v>
      </c>
      <c r="AG792" t="str">
        <f>IF(Table1[[#This Row],[YTM]]&gt;0.12,IF(Table1[[#This Row],[Gross Profit]]&gt;10000,"Invest","Review"),"Low YTM")</f>
        <v>Low YTM</v>
      </c>
    </row>
    <row r="793" spans="1:33" x14ac:dyDescent="0.3">
      <c r="A793" t="str">
        <f>RTD("nest.scriprtd",,"nse_cm|940SCL26C-AU","Symbol")</f>
        <v>940SCL26C</v>
      </c>
      <c r="B793" t="str">
        <f>RTD("nest.scriprtd",,"nse_cm|940SCL26C-AU","Trading Symbol")</f>
        <v>940SCL26C-AU</v>
      </c>
      <c r="C793" t="str">
        <f>RTD("nest.scriprtd",,"nse_cm|940SCL26C-AU","Exchange")</f>
        <v>NSE</v>
      </c>
      <c r="D793">
        <f>RTD("nest.scriprtd",,"nse_cm|940SCL26C-AU","Bid Qty")</f>
        <v>6</v>
      </c>
      <c r="E793">
        <f>RTD("nest.scriprtd",,"nse_cm|940SCL26C-AU","Bid Rate")</f>
        <v>550.1</v>
      </c>
      <c r="F793">
        <f>RTD("nest.scriprtd",,"nse_cm|940SCL26C-AU","Ask Rate")</f>
        <v>0</v>
      </c>
      <c r="G793">
        <f>RTD("nest.scriprtd",,"nse_cm|940SCL26C-AU","Ask Qty")</f>
        <v>0</v>
      </c>
      <c r="H793">
        <f>RTD("nest.scriprtd",,"nse_cm|940SCL26C-AU","LTP")</f>
        <v>0</v>
      </c>
      <c r="I793" t="str">
        <f>RTD("nest.scriprtd",,"nse_cm|940SCL26C-AU","LTT")</f>
        <v/>
      </c>
      <c r="J793">
        <f>RTD("nest.scriprtd",,"nse_cm|940SCL26C-AU","% Change")</f>
        <v>-100</v>
      </c>
      <c r="K793">
        <f>RTD("nest.scriprtd",,"nse_cm|940SCL26C-AU","ATP")</f>
        <v>0</v>
      </c>
      <c r="L793">
        <f>RTD("nest.scriprtd",,"nse_cm|940SCL26C-AU","Volume Traded Today")</f>
        <v>0</v>
      </c>
      <c r="M793">
        <f>RTD("nest.scriprtd",,"nse_cm|940SCL26C-AU","Open")</f>
        <v>0</v>
      </c>
      <c r="N793">
        <f>RTD("nest.scriprtd",,"nse_cm|940SCL26C-AU","High")</f>
        <v>0</v>
      </c>
      <c r="O793">
        <f>RTD("nest.scriprtd",,"nse_cm|940SCL26C-AU","Low ")</f>
        <v>0</v>
      </c>
      <c r="P793">
        <f>RTD("nest.scriprtd",,"nse_cm|940SCL26C-AU","Prev Close")</f>
        <v>1000</v>
      </c>
      <c r="Q793">
        <f>RTD("nest.scriprtd",,"nse_cm|940SCL26C-AU","Face Value")</f>
        <v>667</v>
      </c>
      <c r="R793" t="str">
        <f>RTD("nest.scriprtd",,"nse_cm|940SCL26C-AU","Isin code")</f>
        <v>INE148I07ON3</v>
      </c>
      <c r="S793" s="9">
        <f>Table1[[#This Row],[Ask Rate]]*Table1[[#This Row],[Ask Qty]]</f>
        <v>0</v>
      </c>
      <c r="T793">
        <f>VLOOKUP(Table1[[#This Row],[Isin code]],Table2[#All],7,FALSE)</f>
        <v>9.4</v>
      </c>
      <c r="U793" s="17" t="str">
        <f>VLOOKUP(Table1[[#This Row],[Isin code]],Table2[#All],8,FALSE)</f>
        <v>27-Jul-2026</v>
      </c>
      <c r="V793" s="10">
        <f ca="1">Table1[[#This Row],[Maturity]]-TODAY()</f>
        <v>649</v>
      </c>
      <c r="W793" t="str">
        <f>VLOOKUP(Table1[[#This Row],[Isin code]],Table2[#All],10,FALSE)</f>
        <v>Yearly</v>
      </c>
      <c r="X793">
        <f ca="1">_xlfn.DAYS(Table1[[#This Row],[Maturity]],TODAY())-15</f>
        <v>634</v>
      </c>
      <c r="Y7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93">
        <f>IF(Table1[[#This Row],[Ask Rate]]=0,0,Table1[[#This Row],[Face Value]]-Table1[[#This Row],[Ask Rate]])</f>
        <v>0</v>
      </c>
      <c r="AA793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793">
        <f ca="1">Table1[[#This Row],[Face Value]]*Table1[[#This Row],[Rate]]*Table1[[#This Row],[Time]]</f>
        <v>125.396</v>
      </c>
      <c r="AC793">
        <f ca="1">Table1[[#This Row],[SI]]+Table1[[#This Row],[Disc/Prem]]</f>
        <v>125.396</v>
      </c>
      <c r="AD793" s="3" t="e">
        <f ca="1">Table1[[#This Row],[Net Gain]]/Table1[[#This Row],[Ask Rate]]</f>
        <v>#DIV/0!</v>
      </c>
      <c r="AE793" s="3">
        <f>IF(Table1[[#This Row],[Ask Qty]]=0,0,Table1[[#This Row],[Gross Yield]]*365/Table1[[#This Row],[Days Left]])</f>
        <v>0</v>
      </c>
      <c r="AF793" s="9">
        <f ca="1">+Table1[[#This Row],[Net Gain]]*Table1[[#This Row],[Ask Qty]]</f>
        <v>0</v>
      </c>
      <c r="AG793" t="str">
        <f>IF(Table1[[#This Row],[YTM]]&gt;0.12,IF(Table1[[#This Row],[Gross Profit]]&gt;10000,"Invest","Review"),"Low YTM")</f>
        <v>Low YTM</v>
      </c>
    </row>
    <row r="794" spans="1:33" x14ac:dyDescent="0.3">
      <c r="A794" t="str">
        <f>RTD("nest.scriprtd",,"bse_cm|940SCL26C","Symbol")</f>
        <v>940SCL26C</v>
      </c>
      <c r="B794" t="str">
        <f>RTD("nest.scriprtd",,"bse_cm|940SCL26C","Trading Symbol")</f>
        <v>940SCL26C</v>
      </c>
      <c r="C794" t="str">
        <f>RTD("nest.scriprtd",,"bse_cm|940SCL26C","Exchange")</f>
        <v>BSE</v>
      </c>
      <c r="D794">
        <f>RTD("nest.scriprtd",,"bse_cm|940SCL26C","Bid Qty")</f>
        <v>20</v>
      </c>
      <c r="E794">
        <f>RTD("nest.scriprtd",,"bse_cm|940SCL26C","Bid Rate")</f>
        <v>560.20000000000005</v>
      </c>
      <c r="F794">
        <f>RTD("nest.scriprtd",,"bse_cm|940SCL26C","Ask Rate")</f>
        <v>0</v>
      </c>
      <c r="G794">
        <f>RTD("nest.scriprtd",,"bse_cm|940SCL26C","Ask Qty")</f>
        <v>0</v>
      </c>
      <c r="H794">
        <f>RTD("nest.scriprtd",,"bse_cm|940SCL26C","LTP")</f>
        <v>0</v>
      </c>
      <c r="I794" t="str">
        <f>RTD("nest.scriprtd",,"bse_cm|940SCL26C","LTT")</f>
        <v>00:00:00</v>
      </c>
      <c r="J794">
        <f>RTD("nest.scriprtd",,"bse_cm|940SCL26C","% Change")</f>
        <v>-100</v>
      </c>
      <c r="K794">
        <f>RTD("nest.scriprtd",,"bse_cm|940SCL26C","ATP")</f>
        <v>0</v>
      </c>
      <c r="L794">
        <f>RTD("nest.scriprtd",,"bse_cm|940SCL26C","Volume Traded Today")</f>
        <v>0</v>
      </c>
      <c r="M794">
        <f>RTD("nest.scriprtd",,"bse_cm|940SCL26C","Open")</f>
        <v>0</v>
      </c>
      <c r="N794">
        <f>RTD("nest.scriprtd",,"bse_cm|940SCL26C","High")</f>
        <v>0</v>
      </c>
      <c r="O794">
        <f>RTD("nest.scriprtd",,"bse_cm|940SCL26C","Low ")</f>
        <v>0</v>
      </c>
      <c r="P794">
        <f>RTD("nest.scriprtd",,"bse_cm|940SCL26C","Prev Close")</f>
        <v>667</v>
      </c>
      <c r="Q794">
        <f>RTD("nest.scriprtd",,"bse_cm|940SCL26C","Face Value")</f>
        <v>667</v>
      </c>
      <c r="R794" t="str">
        <f>RTD("nest.scriprtd",,"bse_cm|940SCL26C","Isin code")</f>
        <v>INE148I07ON3</v>
      </c>
      <c r="S794" s="9">
        <f>Table1[[#This Row],[Ask Rate]]*Table1[[#This Row],[Ask Qty]]</f>
        <v>0</v>
      </c>
      <c r="T794">
        <f>VLOOKUP(Table1[[#This Row],[Isin code]],Table2[#All],7,FALSE)</f>
        <v>9.4</v>
      </c>
      <c r="U794" s="17" t="str">
        <f>VLOOKUP(Table1[[#This Row],[Isin code]],Table2[#All],8,FALSE)</f>
        <v>27-Jul-2026</v>
      </c>
      <c r="V794" s="10">
        <f ca="1">Table1[[#This Row],[Maturity]]-TODAY()</f>
        <v>649</v>
      </c>
      <c r="W794" t="str">
        <f>VLOOKUP(Table1[[#This Row],[Isin code]],Table2[#All],10,FALSE)</f>
        <v>Yearly</v>
      </c>
      <c r="X794">
        <f ca="1">_xlfn.DAYS(Table1[[#This Row],[Maturity]],TODAY())-15</f>
        <v>634</v>
      </c>
      <c r="Y7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94">
        <f>IF(Table1[[#This Row],[Ask Rate]]=0,0,Table1[[#This Row],[Face Value]]-Table1[[#This Row],[Ask Rate]])</f>
        <v>0</v>
      </c>
      <c r="AA794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794">
        <f ca="1">Table1[[#This Row],[Face Value]]*Table1[[#This Row],[Rate]]*Table1[[#This Row],[Time]]</f>
        <v>125.396</v>
      </c>
      <c r="AC794">
        <f ca="1">Table1[[#This Row],[SI]]+Table1[[#This Row],[Disc/Prem]]</f>
        <v>125.396</v>
      </c>
      <c r="AD794" s="3" t="e">
        <f ca="1">Table1[[#This Row],[Net Gain]]/Table1[[#This Row],[Ask Rate]]</f>
        <v>#DIV/0!</v>
      </c>
      <c r="AE794" s="3">
        <f>IF(Table1[[#This Row],[Ask Qty]]=0,0,Table1[[#This Row],[Gross Yield]]*365/Table1[[#This Row],[Days Left]])</f>
        <v>0</v>
      </c>
      <c r="AF794" s="9">
        <f ca="1">+Table1[[#This Row],[Net Gain]]*Table1[[#This Row],[Ask Qty]]</f>
        <v>0</v>
      </c>
      <c r="AG794" t="str">
        <f>IF(Table1[[#This Row],[YTM]]&gt;0.12,IF(Table1[[#This Row],[Gross Profit]]&gt;10000,"Invest","Review"),"Low YTM")</f>
        <v>Low YTM</v>
      </c>
    </row>
    <row r="795" spans="1:33" x14ac:dyDescent="0.3">
      <c r="A795" t="str">
        <f>RTD("nest.scriprtd",,"nse_cm|940SCL26B-Y6","Symbol")</f>
        <v>940SCL26B</v>
      </c>
      <c r="B795" t="str">
        <f>RTD("nest.scriprtd",,"nse_cm|940SCL26B-Y6","Trading Symbol")</f>
        <v>940SCL26B-Y6</v>
      </c>
      <c r="C795" t="str">
        <f>RTD("nest.scriprtd",,"nse_cm|940SCL26B-Y6","Exchange")</f>
        <v>NSE</v>
      </c>
      <c r="D795">
        <f>RTD("nest.scriprtd",,"nse_cm|940SCL26B-Y6","Bid Qty")</f>
        <v>9</v>
      </c>
      <c r="E795">
        <f>RTD("nest.scriprtd",,"nse_cm|940SCL26B-Y6","Bid Rate")</f>
        <v>815.45</v>
      </c>
      <c r="F795">
        <f>RTD("nest.scriprtd",,"nse_cm|940SCL26B-Y6","Ask Rate")</f>
        <v>0</v>
      </c>
      <c r="G795">
        <f>RTD("nest.scriprtd",,"nse_cm|940SCL26B-Y6","Ask Qty")</f>
        <v>0</v>
      </c>
      <c r="H795">
        <f>RTD("nest.scriprtd",,"nse_cm|940SCL26B-Y6","LTP")</f>
        <v>0</v>
      </c>
      <c r="I795" t="str">
        <f>RTD("nest.scriprtd",,"nse_cm|940SCL26B-Y6","LTT")</f>
        <v/>
      </c>
      <c r="J795">
        <f>RTD("nest.scriprtd",,"nse_cm|940SCL26B-Y6","% Change")</f>
        <v>-100</v>
      </c>
      <c r="K795">
        <f>RTD("nest.scriprtd",,"nse_cm|940SCL26B-Y6","ATP")</f>
        <v>0</v>
      </c>
      <c r="L795">
        <f>RTD("nest.scriprtd",,"nse_cm|940SCL26B-Y6","Volume Traded Today")</f>
        <v>0</v>
      </c>
      <c r="M795">
        <f>RTD("nest.scriprtd",,"nse_cm|940SCL26B-Y6","Open")</f>
        <v>0</v>
      </c>
      <c r="N795">
        <f>RTD("nest.scriprtd",,"nse_cm|940SCL26B-Y6","High")</f>
        <v>0</v>
      </c>
      <c r="O795">
        <f>RTD("nest.scriprtd",,"nse_cm|940SCL26B-Y6","Low ")</f>
        <v>0</v>
      </c>
      <c r="P795">
        <f>RTD("nest.scriprtd",,"nse_cm|940SCL26B-Y6","Prev Close")</f>
        <v>1000</v>
      </c>
      <c r="Q795">
        <f>RTD("nest.scriprtd",,"nse_cm|940SCL26B-Y6","Face Value")</f>
        <v>1000</v>
      </c>
      <c r="R795" t="str">
        <f>RTD("nest.scriprtd",,"nse_cm|940SCL26B-Y6","Isin code")</f>
        <v>INE148I07RG0</v>
      </c>
      <c r="S795" s="9">
        <f>Table1[[#This Row],[Ask Rate]]*Table1[[#This Row],[Ask Qty]]</f>
        <v>0</v>
      </c>
      <c r="T795">
        <f>VLOOKUP(Table1[[#This Row],[Isin code]],Table2[#All],7,FALSE)</f>
        <v>9.4</v>
      </c>
      <c r="U795" s="17" t="str">
        <f>VLOOKUP(Table1[[#This Row],[Isin code]],Table2[#All],8,FALSE)</f>
        <v>27-Dec-2026</v>
      </c>
      <c r="V795" s="10">
        <f ca="1">Table1[[#This Row],[Maturity]]-TODAY()</f>
        <v>802</v>
      </c>
      <c r="W795" t="str">
        <f>VLOOKUP(Table1[[#This Row],[Isin code]],Table2[#All],10,FALSE)</f>
        <v>Yearly</v>
      </c>
      <c r="X795">
        <f ca="1">_xlfn.DAYS(Table1[[#This Row],[Maturity]],TODAY())-15</f>
        <v>787</v>
      </c>
      <c r="Y7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795">
        <f>IF(Table1[[#This Row],[Ask Rate]]=0,0,Table1[[#This Row],[Face Value]]-Table1[[#This Row],[Ask Rate]])</f>
        <v>0</v>
      </c>
      <c r="AA795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795">
        <f ca="1">Table1[[#This Row],[Face Value]]*Table1[[#This Row],[Rate]]*Table1[[#This Row],[Time]]</f>
        <v>282</v>
      </c>
      <c r="AC795">
        <f ca="1">Table1[[#This Row],[SI]]+Table1[[#This Row],[Disc/Prem]]</f>
        <v>282</v>
      </c>
      <c r="AD795" s="3" t="e">
        <f ca="1">Table1[[#This Row],[Net Gain]]/Table1[[#This Row],[Ask Rate]]</f>
        <v>#DIV/0!</v>
      </c>
      <c r="AE795" s="3">
        <f>IF(Table1[[#This Row],[Ask Qty]]=0,0,Table1[[#This Row],[Gross Yield]]*365/Table1[[#This Row],[Days Left]])</f>
        <v>0</v>
      </c>
      <c r="AF795" s="9">
        <f ca="1">+Table1[[#This Row],[Net Gain]]*Table1[[#This Row],[Ask Qty]]</f>
        <v>0</v>
      </c>
      <c r="AG795" t="str">
        <f>IF(Table1[[#This Row],[YTM]]&gt;0.12,IF(Table1[[#This Row],[Gross Profit]]&gt;10000,"Invest","Review"),"Low YTM")</f>
        <v>Low YTM</v>
      </c>
    </row>
    <row r="796" spans="1:33" x14ac:dyDescent="0.3">
      <c r="A796" t="str">
        <f>RTD("nest.scriprtd",,"bse_cm|990SCL27","Symbol")</f>
        <v>990SCL27</v>
      </c>
      <c r="B796" t="str">
        <f>RTD("nest.scriprtd",,"bse_cm|990SCL27","Trading Symbol")</f>
        <v>990SCL27</v>
      </c>
      <c r="C796" t="str">
        <f>RTD("nest.scriprtd",,"bse_cm|990SCL27","Exchange")</f>
        <v>BSE</v>
      </c>
      <c r="D796">
        <f>RTD("nest.scriprtd",,"bse_cm|990SCL27","Bid Qty")</f>
        <v>8</v>
      </c>
      <c r="E796">
        <f>RTD("nest.scriprtd",,"bse_cm|990SCL27","Bid Rate")</f>
        <v>824.35</v>
      </c>
      <c r="F796">
        <f>RTD("nest.scriprtd",,"bse_cm|990SCL27","Ask Rate")</f>
        <v>0</v>
      </c>
      <c r="G796">
        <f>RTD("nest.scriprtd",,"bse_cm|990SCL27","Ask Qty")</f>
        <v>0</v>
      </c>
      <c r="H796">
        <f>RTD("nest.scriprtd",,"bse_cm|990SCL27","LTP")</f>
        <v>0</v>
      </c>
      <c r="I796" t="str">
        <f>RTD("nest.scriprtd",,"bse_cm|990SCL27","LTT")</f>
        <v>00:00:00</v>
      </c>
      <c r="J796">
        <f>RTD("nest.scriprtd",,"bse_cm|990SCL27","% Change")</f>
        <v>-100</v>
      </c>
      <c r="K796">
        <f>RTD("nest.scriprtd",,"bse_cm|990SCL27","ATP")</f>
        <v>0</v>
      </c>
      <c r="L796">
        <f>RTD("nest.scriprtd",,"bse_cm|990SCL27","Volume Traded Today")</f>
        <v>0</v>
      </c>
      <c r="M796">
        <f>RTD("nest.scriprtd",,"bse_cm|990SCL27","Open")</f>
        <v>0</v>
      </c>
      <c r="N796">
        <f>RTD("nest.scriprtd",,"bse_cm|990SCL27","High")</f>
        <v>1010</v>
      </c>
      <c r="O796">
        <f>RTD("nest.scriprtd",,"bse_cm|990SCL27","Low ")</f>
        <v>1010</v>
      </c>
      <c r="P796">
        <f>RTD("nest.scriprtd",,"bse_cm|990SCL27","Prev Close")</f>
        <v>1010</v>
      </c>
      <c r="Q796">
        <f>RTD("nest.scriprtd",,"bse_cm|990SCL27","Face Value")</f>
        <v>1000</v>
      </c>
      <c r="R796" t="str">
        <f>RTD("nest.scriprtd",,"bse_cm|990SCL27","Isin code")</f>
        <v>INE148I07SG8</v>
      </c>
      <c r="S796" s="9">
        <f>Table1[[#This Row],[Ask Rate]]*Table1[[#This Row],[Ask Qty]]</f>
        <v>0</v>
      </c>
      <c r="T796">
        <f>VLOOKUP(Table1[[#This Row],[Isin code]],Table2[#All],7,FALSE)</f>
        <v>9.9</v>
      </c>
      <c r="U796" s="17" t="str">
        <f>VLOOKUP(Table1[[#This Row],[Isin code]],Table2[#All],8,FALSE)</f>
        <v>26-Mar-2027</v>
      </c>
      <c r="V796" s="10">
        <f ca="1">Table1[[#This Row],[Maturity]]-TODAY()</f>
        <v>891</v>
      </c>
      <c r="W796" t="str">
        <f>VLOOKUP(Table1[[#This Row],[Isin code]],Table2[#All],10,FALSE)</f>
        <v>Yearly</v>
      </c>
      <c r="X796">
        <f ca="1">_xlfn.DAYS(Table1[[#This Row],[Maturity]],TODAY())-15</f>
        <v>876</v>
      </c>
      <c r="Y7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796">
        <f>IF(Table1[[#This Row],[Ask Rate]]=0,0,Table1[[#This Row],[Face Value]]-Table1[[#This Row],[Ask Rate]])</f>
        <v>0</v>
      </c>
      <c r="AA796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796">
        <f ca="1">Table1[[#This Row],[Face Value]]*Table1[[#This Row],[Rate]]*Table1[[#This Row],[Time]]</f>
        <v>297</v>
      </c>
      <c r="AC796">
        <f ca="1">Table1[[#This Row],[SI]]+Table1[[#This Row],[Disc/Prem]]</f>
        <v>297</v>
      </c>
      <c r="AD796" s="3" t="e">
        <f ca="1">Table1[[#This Row],[Net Gain]]/Table1[[#This Row],[Ask Rate]]</f>
        <v>#DIV/0!</v>
      </c>
      <c r="AE796" s="3">
        <f>IF(Table1[[#This Row],[Ask Qty]]=0,0,Table1[[#This Row],[Gross Yield]]*365/Table1[[#This Row],[Days Left]])</f>
        <v>0</v>
      </c>
      <c r="AF796" s="9">
        <f ca="1">+Table1[[#This Row],[Net Gain]]*Table1[[#This Row],[Ask Qty]]</f>
        <v>0</v>
      </c>
      <c r="AG796" t="str">
        <f>IF(Table1[[#This Row],[YTM]]&gt;0.12,IF(Table1[[#This Row],[Gross Profit]]&gt;10000,"Invest","Review"),"Low YTM")</f>
        <v>Low YTM</v>
      </c>
    </row>
    <row r="797" spans="1:33" x14ac:dyDescent="0.3">
      <c r="A797" t="str">
        <f>RTD("nest.scriprtd",,"bse_cm|990SCL26I","Symbol")</f>
        <v>990SCL26I</v>
      </c>
      <c r="B797" t="str">
        <f>RTD("nest.scriprtd",,"bse_cm|990SCL26I","Trading Symbol")</f>
        <v>990SCL26I</v>
      </c>
      <c r="C797" t="str">
        <f>RTD("nest.scriprtd",,"bse_cm|990SCL26I","Exchange")</f>
        <v>BSE</v>
      </c>
      <c r="D797">
        <f>RTD("nest.scriprtd",,"bse_cm|990SCL26I","Bid Qty")</f>
        <v>0</v>
      </c>
      <c r="E797">
        <f>RTD("nest.scriprtd",,"bse_cm|990SCL26I","Bid Rate")</f>
        <v>0</v>
      </c>
      <c r="F797">
        <f>RTD("nest.scriprtd",,"bse_cm|990SCL26I","Ask Rate")</f>
        <v>0</v>
      </c>
      <c r="G797">
        <f>RTD("nest.scriprtd",,"bse_cm|990SCL26I","Ask Qty")</f>
        <v>0</v>
      </c>
      <c r="H797">
        <f>RTD("nest.scriprtd",,"bse_cm|990SCL26I","LTP")</f>
        <v>0</v>
      </c>
      <c r="I797" t="str">
        <f>RTD("nest.scriprtd",,"bse_cm|990SCL26I","LTT")</f>
        <v>00:00:00</v>
      </c>
      <c r="J797">
        <f>RTD("nest.scriprtd",,"bse_cm|990SCL26I","% Change")</f>
        <v>-100</v>
      </c>
      <c r="K797">
        <f>RTD("nest.scriprtd",,"bse_cm|990SCL26I","ATP")</f>
        <v>0</v>
      </c>
      <c r="L797">
        <f>RTD("nest.scriprtd",,"bse_cm|990SCL26I","Volume Traded Today")</f>
        <v>0</v>
      </c>
      <c r="M797">
        <f>RTD("nest.scriprtd",,"bse_cm|990SCL26I","Open")</f>
        <v>0</v>
      </c>
      <c r="N797">
        <f>RTD("nest.scriprtd",,"bse_cm|990SCL26I","High")</f>
        <v>900</v>
      </c>
      <c r="O797">
        <f>RTD("nest.scriprtd",,"bse_cm|990SCL26I","Low ")</f>
        <v>900</v>
      </c>
      <c r="P797">
        <f>RTD("nest.scriprtd",,"bse_cm|990SCL26I","Prev Close")</f>
        <v>900</v>
      </c>
      <c r="Q797">
        <f>RTD("nest.scriprtd",,"bse_cm|990SCL26I","Face Value")</f>
        <v>667</v>
      </c>
      <c r="R797" t="str">
        <f>RTD("nest.scriprtd",,"bse_cm|990SCL26I","Isin code")</f>
        <v>INE148I07OR4</v>
      </c>
      <c r="S797" s="9">
        <f>Table1[[#This Row],[Ask Rate]]*Table1[[#This Row],[Ask Qty]]</f>
        <v>0</v>
      </c>
      <c r="T797">
        <f>VLOOKUP(Table1[[#This Row],[Isin code]],Table2[#All],7,FALSE)</f>
        <v>9.9</v>
      </c>
      <c r="U797" s="17" t="str">
        <f>VLOOKUP(Table1[[#This Row],[Isin code]],Table2[#All],8,FALSE)</f>
        <v>27-Jul-2026</v>
      </c>
      <c r="V797" s="10">
        <f ca="1">Table1[[#This Row],[Maturity]]-TODAY()</f>
        <v>649</v>
      </c>
      <c r="W797" t="str">
        <f>VLOOKUP(Table1[[#This Row],[Isin code]],Table2[#All],10,FALSE)</f>
        <v>Yearly</v>
      </c>
      <c r="X797">
        <f ca="1">_xlfn.DAYS(Table1[[#This Row],[Maturity]],TODAY())-15</f>
        <v>634</v>
      </c>
      <c r="Y7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797">
        <f>IF(Table1[[#This Row],[Ask Rate]]=0,0,Table1[[#This Row],[Face Value]]-Table1[[#This Row],[Ask Rate]])</f>
        <v>0</v>
      </c>
      <c r="AA797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797">
        <f ca="1">Table1[[#This Row],[Face Value]]*Table1[[#This Row],[Rate]]*Table1[[#This Row],[Time]]</f>
        <v>132.066</v>
      </c>
      <c r="AC797">
        <f ca="1">Table1[[#This Row],[SI]]+Table1[[#This Row],[Disc/Prem]]</f>
        <v>132.066</v>
      </c>
      <c r="AD797" s="3" t="e">
        <f ca="1">Table1[[#This Row],[Net Gain]]/Table1[[#This Row],[Ask Rate]]</f>
        <v>#DIV/0!</v>
      </c>
      <c r="AE797" s="3">
        <f>IF(Table1[[#This Row],[Ask Qty]]=0,0,Table1[[#This Row],[Gross Yield]]*365/Table1[[#This Row],[Days Left]])</f>
        <v>0</v>
      </c>
      <c r="AF797" s="9">
        <f ca="1">+Table1[[#This Row],[Net Gain]]*Table1[[#This Row],[Ask Qty]]</f>
        <v>0</v>
      </c>
      <c r="AG797" t="str">
        <f>IF(Table1[[#This Row],[YTM]]&gt;0.12,IF(Table1[[#This Row],[Gross Profit]]&gt;10000,"Invest","Review"),"Low YTM")</f>
        <v>Low YTM</v>
      </c>
    </row>
    <row r="798" spans="1:33" x14ac:dyDescent="0.3">
      <c r="A798" t="str">
        <f>RTD("nest.scriprtd",,"nse_cm|990SCL26B-Y7","Symbol")</f>
        <v>990SCL26B</v>
      </c>
      <c r="B798" t="str">
        <f>RTD("nest.scriprtd",,"nse_cm|990SCL26B-Y7","Trading Symbol")</f>
        <v>990SCL26B-Y7</v>
      </c>
      <c r="C798" t="str">
        <f>RTD("nest.scriprtd",,"nse_cm|990SCL26B-Y7","Exchange")</f>
        <v>NSE</v>
      </c>
      <c r="D798">
        <f>RTD("nest.scriprtd",,"nse_cm|990SCL26B-Y7","Bid Qty")</f>
        <v>12</v>
      </c>
      <c r="E798">
        <f>RTD("nest.scriprtd",,"nse_cm|990SCL26B-Y7","Bid Rate")</f>
        <v>930.2</v>
      </c>
      <c r="F798">
        <f>RTD("nest.scriprtd",,"nse_cm|990SCL26B-Y7","Ask Rate")</f>
        <v>0</v>
      </c>
      <c r="G798">
        <f>RTD("nest.scriprtd",,"nse_cm|990SCL26B-Y7","Ask Qty")</f>
        <v>0</v>
      </c>
      <c r="H798">
        <f>RTD("nest.scriprtd",,"nse_cm|990SCL26B-Y7","LTP")</f>
        <v>960</v>
      </c>
      <c r="I798" t="str">
        <f>RTD("nest.scriprtd",,"nse_cm|990SCL26B-Y7","LTT")</f>
        <v/>
      </c>
      <c r="J798">
        <f>RTD("nest.scriprtd",,"nse_cm|990SCL26B-Y7","% Change")</f>
        <v>0</v>
      </c>
      <c r="K798">
        <f>RTD("nest.scriprtd",,"nse_cm|990SCL26B-Y7","ATP")</f>
        <v>0</v>
      </c>
      <c r="L798">
        <f>RTD("nest.scriprtd",,"nse_cm|990SCL26B-Y7","Volume Traded Today")</f>
        <v>0</v>
      </c>
      <c r="M798">
        <f>RTD("nest.scriprtd",,"nse_cm|990SCL26B-Y7","Open")</f>
        <v>0</v>
      </c>
      <c r="N798">
        <f>RTD("nest.scriprtd",,"nse_cm|990SCL26B-Y7","High")</f>
        <v>960</v>
      </c>
      <c r="O798">
        <f>RTD("nest.scriprtd",,"nse_cm|990SCL26B-Y7","Low ")</f>
        <v>960</v>
      </c>
      <c r="P798">
        <f>RTD("nest.scriprtd",,"nse_cm|990SCL26B-Y7","Prev Close")</f>
        <v>960</v>
      </c>
      <c r="Q798">
        <f>RTD("nest.scriprtd",,"nse_cm|990SCL26B-Y7","Face Value")</f>
        <v>1000</v>
      </c>
      <c r="R798" t="str">
        <f>RTD("nest.scriprtd",,"nse_cm|990SCL26B-Y7","Isin code")</f>
        <v>INE148I07RN6</v>
      </c>
      <c r="S798" s="9">
        <f>Table1[[#This Row],[Ask Rate]]*Table1[[#This Row],[Ask Qty]]</f>
        <v>0</v>
      </c>
      <c r="T798">
        <f>VLOOKUP(Table1[[#This Row],[Isin code]],Table2[#All],7,FALSE)</f>
        <v>9.9</v>
      </c>
      <c r="U798" s="17" t="str">
        <f>VLOOKUP(Table1[[#This Row],[Isin code]],Table2[#All],8,FALSE)</f>
        <v>27-Dec-2026</v>
      </c>
      <c r="V798" s="10">
        <f ca="1">Table1[[#This Row],[Maturity]]-TODAY()</f>
        <v>802</v>
      </c>
      <c r="W798" t="str">
        <f>VLOOKUP(Table1[[#This Row],[Isin code]],Table2[#All],10,FALSE)</f>
        <v>Yearly</v>
      </c>
      <c r="X798">
        <f ca="1">_xlfn.DAYS(Table1[[#This Row],[Maturity]],TODAY())-15</f>
        <v>787</v>
      </c>
      <c r="Y7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798">
        <f>IF(Table1[[#This Row],[Ask Rate]]=0,0,Table1[[#This Row],[Face Value]]-Table1[[#This Row],[Ask Rate]])</f>
        <v>0</v>
      </c>
      <c r="AA798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798">
        <f ca="1">Table1[[#This Row],[Face Value]]*Table1[[#This Row],[Rate]]*Table1[[#This Row],[Time]]</f>
        <v>297</v>
      </c>
      <c r="AC798">
        <f ca="1">Table1[[#This Row],[SI]]+Table1[[#This Row],[Disc/Prem]]</f>
        <v>297</v>
      </c>
      <c r="AD798" s="3" t="e">
        <f ca="1">Table1[[#This Row],[Net Gain]]/Table1[[#This Row],[Ask Rate]]</f>
        <v>#DIV/0!</v>
      </c>
      <c r="AE798" s="3">
        <f>IF(Table1[[#This Row],[Ask Qty]]=0,0,Table1[[#This Row],[Gross Yield]]*365/Table1[[#This Row],[Days Left]])</f>
        <v>0</v>
      </c>
      <c r="AF798" s="9">
        <f ca="1">+Table1[[#This Row],[Net Gain]]*Table1[[#This Row],[Ask Qty]]</f>
        <v>0</v>
      </c>
      <c r="AG798" t="str">
        <f>IF(Table1[[#This Row],[YTM]]&gt;0.12,IF(Table1[[#This Row],[Gross Profit]]&gt;10000,"Invest","Review"),"Low YTM")</f>
        <v>Low YTM</v>
      </c>
    </row>
    <row r="799" spans="1:33" x14ac:dyDescent="0.3">
      <c r="A799" t="str">
        <f>RTD("nest.scriprtd",,"bse_cm|SCLZC26G","Symbol")</f>
        <v>SCLZC26G</v>
      </c>
      <c r="B799" t="str">
        <f>RTD("nest.scriprtd",,"bse_cm|SCLZC26G","Trading Symbol")</f>
        <v>SCLZC26G</v>
      </c>
      <c r="C799" t="str">
        <f>RTD("nest.scriprtd",,"bse_cm|SCLZC26G","Exchange")</f>
        <v>BSE</v>
      </c>
      <c r="D799">
        <f>RTD("nest.scriprtd",,"bse_cm|SCLZC26G","Bid Qty")</f>
        <v>9</v>
      </c>
      <c r="E799">
        <f>RTD("nest.scriprtd",,"bse_cm|SCLZC26G","Bid Rate")</f>
        <v>920.1</v>
      </c>
      <c r="F799">
        <f>RTD("nest.scriprtd",,"bse_cm|SCLZC26G","Ask Rate")</f>
        <v>0</v>
      </c>
      <c r="G799">
        <f>RTD("nest.scriprtd",,"bse_cm|SCLZC26G","Ask Qty")</f>
        <v>0</v>
      </c>
      <c r="H799">
        <f>RTD("nest.scriprtd",,"bse_cm|SCLZC26G","LTP")</f>
        <v>0</v>
      </c>
      <c r="I799" t="str">
        <f>RTD("nest.scriprtd",,"bse_cm|SCLZC26G","LTT")</f>
        <v>00:00:00</v>
      </c>
      <c r="J799">
        <f>RTD("nest.scriprtd",,"bse_cm|SCLZC26G","% Change")</f>
        <v>-100</v>
      </c>
      <c r="K799">
        <f>RTD("nest.scriprtd",,"bse_cm|SCLZC26G","ATP")</f>
        <v>0</v>
      </c>
      <c r="L799">
        <f>RTD("nest.scriprtd",,"bse_cm|SCLZC26G","Volume Traded Today")</f>
        <v>0</v>
      </c>
      <c r="M799">
        <f>RTD("nest.scriprtd",,"bse_cm|SCLZC26G","Open")</f>
        <v>0</v>
      </c>
      <c r="N799">
        <f>RTD("nest.scriprtd",,"bse_cm|SCLZC26G","High")</f>
        <v>1000</v>
      </c>
      <c r="O799">
        <f>RTD("nest.scriprtd",,"bse_cm|SCLZC26G","Low ")</f>
        <v>1000</v>
      </c>
      <c r="P799">
        <f>RTD("nest.scriprtd",,"bse_cm|SCLZC26G","Prev Close")</f>
        <v>1000</v>
      </c>
      <c r="Q799">
        <f>RTD("nest.scriprtd",,"bse_cm|SCLZC26G","Face Value")</f>
        <v>1000</v>
      </c>
      <c r="R799" t="str">
        <f>RTD("nest.scriprtd",,"bse_cm|SCLZC26G","Isin code")</f>
        <v>INE148I07RL0</v>
      </c>
      <c r="S799" s="9">
        <f>Table1[[#This Row],[Ask Rate]]*Table1[[#This Row],[Ask Qty]]</f>
        <v>0</v>
      </c>
      <c r="T799">
        <f>VLOOKUP(Table1[[#This Row],[Isin code]],Table2[#All],7,FALSE)</f>
        <v>0</v>
      </c>
      <c r="U799" s="17" t="str">
        <f>VLOOKUP(Table1[[#This Row],[Isin code]],Table2[#All],8,FALSE)</f>
        <v>27-Dec-2026</v>
      </c>
      <c r="V799" s="10">
        <f ca="1">Table1[[#This Row],[Maturity]]-TODAY()</f>
        <v>802</v>
      </c>
      <c r="W799" t="str">
        <f>VLOOKUP(Table1[[#This Row],[Isin code]],Table2[#All],10,FALSE)</f>
        <v>0</v>
      </c>
      <c r="X799">
        <f ca="1">_xlfn.DAYS(Table1[[#This Row],[Maturity]],TODAY())-15</f>
        <v>787</v>
      </c>
      <c r="Y79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799">
        <f>IF(Table1[[#This Row],[Ask Rate]]=0,0,Table1[[#This Row],[Face Value]]-Table1[[#This Row],[Ask Rate]])</f>
        <v>0</v>
      </c>
      <c r="AA79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799">
        <f>Table1[[#This Row],[Face Value]]*Table1[[#This Row],[Rate]]*Table1[[#This Row],[Time]]</f>
        <v>0</v>
      </c>
      <c r="AC799">
        <f>Table1[[#This Row],[SI]]+Table1[[#This Row],[Disc/Prem]]</f>
        <v>0</v>
      </c>
      <c r="AD799" s="3" t="e">
        <f>Table1[[#This Row],[Net Gain]]/Table1[[#This Row],[Ask Rate]]</f>
        <v>#DIV/0!</v>
      </c>
      <c r="AE799" s="3">
        <f>IF(Table1[[#This Row],[Ask Qty]]=0,0,Table1[[#This Row],[Gross Yield]]*365/Table1[[#This Row],[Days Left]])</f>
        <v>0</v>
      </c>
      <c r="AF799" s="9">
        <f>+Table1[[#This Row],[Net Gain]]*Table1[[#This Row],[Ask Qty]]</f>
        <v>0</v>
      </c>
      <c r="AG799" t="str">
        <f>IF(Table1[[#This Row],[YTM]]&gt;0.12,IF(Table1[[#This Row],[Gross Profit]]&gt;10000,"Invest","Review"),"Low YTM")</f>
        <v>Low YTM</v>
      </c>
    </row>
    <row r="800" spans="1:33" x14ac:dyDescent="0.3">
      <c r="A800" t="str">
        <f>RTD("nest.scriprtd",,"nse_cm|SCLZC26F-Y9","Symbol")</f>
        <v>SCLZC26F</v>
      </c>
      <c r="B800" t="str">
        <f>RTD("nest.scriprtd",,"nse_cm|SCLZC26F-Y9","Trading Symbol")</f>
        <v>SCLZC26F-Y9</v>
      </c>
      <c r="C800" t="str">
        <f>RTD("nest.scriprtd",,"nse_cm|SCLZC26F-Y9","Exchange")</f>
        <v>NSE</v>
      </c>
      <c r="D800">
        <f>RTD("nest.scriprtd",,"nse_cm|SCLZC26F-Y9","Bid Qty")</f>
        <v>0</v>
      </c>
      <c r="E800">
        <f>RTD("nest.scriprtd",,"nse_cm|SCLZC26F-Y9","Bid Rate")</f>
        <v>0</v>
      </c>
      <c r="F800">
        <f>RTD("nest.scriprtd",,"nse_cm|SCLZC26F-Y9","Ask Rate")</f>
        <v>0</v>
      </c>
      <c r="G800">
        <f>RTD("nest.scriprtd",,"nse_cm|SCLZC26F-Y9","Ask Qty")</f>
        <v>0</v>
      </c>
      <c r="H800">
        <f>RTD("nest.scriprtd",,"nse_cm|SCLZC26F-Y9","LTP")</f>
        <v>0</v>
      </c>
      <c r="I800" t="str">
        <f>RTD("nest.scriprtd",,"nse_cm|SCLZC26F-Y9","LTT")</f>
        <v/>
      </c>
      <c r="J800">
        <f>RTD("nest.scriprtd",,"nse_cm|SCLZC26F-Y9","% Change")</f>
        <v>0</v>
      </c>
      <c r="K800">
        <f>RTD("nest.scriprtd",,"nse_cm|SCLZC26F-Y9","ATP")</f>
        <v>0</v>
      </c>
      <c r="L800">
        <f>RTD("nest.scriprtd",,"nse_cm|SCLZC26F-Y9","Volume Traded Today")</f>
        <v>0</v>
      </c>
      <c r="M800">
        <f>RTD("nest.scriprtd",,"nse_cm|SCLZC26F-Y9","Open")</f>
        <v>0</v>
      </c>
      <c r="N800">
        <f>RTD("nest.scriprtd",,"nse_cm|SCLZC26F-Y9","High")</f>
        <v>0</v>
      </c>
      <c r="O800">
        <f>RTD("nest.scriprtd",,"nse_cm|SCLZC26F-Y9","Low ")</f>
        <v>0</v>
      </c>
      <c r="P800">
        <f>RTD("nest.scriprtd",,"nse_cm|SCLZC26F-Y9","Prev Close")</f>
        <v>0</v>
      </c>
      <c r="Q800">
        <f>RTD("nest.scriprtd",,"nse_cm|SCLZC26F-Y9","Face Value")</f>
        <v>1000</v>
      </c>
      <c r="R800" t="str">
        <f>RTD("nest.scriprtd",,"nse_cm|SCLZC26F-Y9","Isin code")</f>
        <v>INE148I07RY3</v>
      </c>
      <c r="S800" s="9">
        <f>Table1[[#This Row],[Ask Rate]]*Table1[[#This Row],[Ask Qty]]</f>
        <v>0</v>
      </c>
      <c r="T800" t="str">
        <f>VLOOKUP(Table1[[#This Row],[Isin code]],Table2[#All],7,FALSE)</f>
        <v>--</v>
      </c>
      <c r="U800" s="17" t="str">
        <f>VLOOKUP(Table1[[#This Row],[Isin code]],Table2[#All],8,FALSE)</f>
        <v>27-Dec-2026</v>
      </c>
      <c r="V800" s="10">
        <f ca="1">Table1[[#This Row],[Maturity]]-TODAY()</f>
        <v>802</v>
      </c>
      <c r="W800" t="str">
        <f>VLOOKUP(Table1[[#This Row],[Isin code]],Table2[#All],10,FALSE)</f>
        <v>At the End</v>
      </c>
      <c r="X800">
        <f ca="1">_xlfn.DAYS(Table1[[#This Row],[Maturity]],TODAY())-15</f>
        <v>787</v>
      </c>
      <c r="Y80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0">
        <f>IF(Table1[[#This Row],[Ask Rate]]=0,0,Table1[[#This Row],[Face Value]]-Table1[[#This Row],[Ask Rate]])</f>
        <v>0</v>
      </c>
      <c r="AA80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0">
        <f>Table1[[#This Row],[Face Value]]*Table1[[#This Row],[Rate]]*Table1[[#This Row],[Time]]</f>
        <v>0</v>
      </c>
      <c r="AC800">
        <f>Table1[[#This Row],[SI]]+Table1[[#This Row],[Disc/Prem]]</f>
        <v>0</v>
      </c>
      <c r="AD800" s="3" t="e">
        <f>Table1[[#This Row],[Net Gain]]/Table1[[#This Row],[Ask Rate]]</f>
        <v>#DIV/0!</v>
      </c>
      <c r="AE800" s="3">
        <f>IF(Table1[[#This Row],[Ask Qty]]=0,0,Table1[[#This Row],[Gross Yield]]*365/Table1[[#This Row],[Days Left]])</f>
        <v>0</v>
      </c>
      <c r="AF800" s="9">
        <f>+Table1[[#This Row],[Net Gain]]*Table1[[#This Row],[Ask Qty]]</f>
        <v>0</v>
      </c>
      <c r="AG800" t="str">
        <f>IF(Table1[[#This Row],[YTM]]&gt;0.12,IF(Table1[[#This Row],[Gross Profit]]&gt;10000,"Invest","Review"),"Low YTM")</f>
        <v>Low YTM</v>
      </c>
    </row>
    <row r="801" spans="1:33" x14ac:dyDescent="0.3">
      <c r="A801" t="str">
        <f>RTD("nest.scriprtd",,"bse_cm|SFLZC26","Symbol")</f>
        <v>SFLZC26</v>
      </c>
      <c r="B801" t="str">
        <f>RTD("nest.scriprtd",,"bse_cm|SFLZC26","Trading Symbol")</f>
        <v>SFLZC26</v>
      </c>
      <c r="C801" t="str">
        <f>RTD("nest.scriprtd",,"bse_cm|SFLZC26","Exchange")</f>
        <v>BSE</v>
      </c>
      <c r="D801">
        <f>RTD("nest.scriprtd",,"bse_cm|SFLZC26","Bid Qty")</f>
        <v>18</v>
      </c>
      <c r="E801">
        <f>RTD("nest.scriprtd",,"bse_cm|SFLZC26","Bid Rate")</f>
        <v>1075.2</v>
      </c>
      <c r="F801">
        <f>RTD("nest.scriprtd",,"bse_cm|SFLZC26","Ask Rate")</f>
        <v>0</v>
      </c>
      <c r="G801">
        <f>RTD("nest.scriprtd",,"bse_cm|SFLZC26","Ask Qty")</f>
        <v>0</v>
      </c>
      <c r="H801">
        <f>RTD("nest.scriprtd",,"bse_cm|SFLZC26","LTP")</f>
        <v>0</v>
      </c>
      <c r="I801" t="str">
        <f>RTD("nest.scriprtd",,"bse_cm|SFLZC26","LTT")</f>
        <v>00:00:00</v>
      </c>
      <c r="J801">
        <f>RTD("nest.scriprtd",,"bse_cm|SFLZC26","% Change")</f>
        <v>-100</v>
      </c>
      <c r="K801">
        <f>RTD("nest.scriprtd",,"bse_cm|SFLZC26","ATP")</f>
        <v>0</v>
      </c>
      <c r="L801">
        <f>RTD("nest.scriprtd",,"bse_cm|SFLZC26","Volume Traded Today")</f>
        <v>0</v>
      </c>
      <c r="M801">
        <f>RTD("nest.scriprtd",,"bse_cm|SFLZC26","Open")</f>
        <v>0</v>
      </c>
      <c r="N801">
        <f>RTD("nest.scriprtd",,"bse_cm|SFLZC26","High")</f>
        <v>1160</v>
      </c>
      <c r="O801">
        <f>RTD("nest.scriprtd",,"bse_cm|SFLZC26","Low ")</f>
        <v>1160</v>
      </c>
      <c r="P801">
        <f>RTD("nest.scriprtd",,"bse_cm|SFLZC26","Prev Close")</f>
        <v>1160</v>
      </c>
      <c r="Q801">
        <f>RTD("nest.scriprtd",,"bse_cm|SFLZC26","Face Value")</f>
        <v>1000</v>
      </c>
      <c r="R801" t="str">
        <f>RTD("nest.scriprtd",,"bse_cm|SFLZC26","Isin code")</f>
        <v>INE302E08092</v>
      </c>
      <c r="S801" s="9">
        <f>Table1[[#This Row],[Ask Rate]]*Table1[[#This Row],[Ask Qty]]</f>
        <v>0</v>
      </c>
      <c r="T801" t="str">
        <f>VLOOKUP(Table1[[#This Row],[Isin code]],Table2[#All],7,FALSE)</f>
        <v>--</v>
      </c>
      <c r="U801" s="17" t="str">
        <f>VLOOKUP(Table1[[#This Row],[Isin code]],Table2[#All],8,FALSE)</f>
        <v>29-Aug-2026</v>
      </c>
      <c r="V801" s="10">
        <f ca="1">Table1[[#This Row],[Maturity]]-TODAY()</f>
        <v>682</v>
      </c>
      <c r="W801" t="str">
        <f>VLOOKUP(Table1[[#This Row],[Isin code]],Table2[#All],10,FALSE)</f>
        <v>At the End</v>
      </c>
      <c r="X801">
        <f ca="1">_xlfn.DAYS(Table1[[#This Row],[Maturity]],TODAY())-15</f>
        <v>667</v>
      </c>
      <c r="Y80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1">
        <f>IF(Table1[[#This Row],[Ask Rate]]=0,0,Table1[[#This Row],[Face Value]]-Table1[[#This Row],[Ask Rate]])</f>
        <v>0</v>
      </c>
      <c r="AA80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1">
        <f>Table1[[#This Row],[Face Value]]*Table1[[#This Row],[Rate]]*Table1[[#This Row],[Time]]</f>
        <v>0</v>
      </c>
      <c r="AC801">
        <f>Table1[[#This Row],[SI]]+Table1[[#This Row],[Disc/Prem]]</f>
        <v>0</v>
      </c>
      <c r="AD801" s="3" t="e">
        <f>Table1[[#This Row],[Net Gain]]/Table1[[#This Row],[Ask Rate]]</f>
        <v>#DIV/0!</v>
      </c>
      <c r="AE801" s="3">
        <f>IF(Table1[[#This Row],[Ask Qty]]=0,0,Table1[[#This Row],[Gross Yield]]*365/Table1[[#This Row],[Days Left]])</f>
        <v>0</v>
      </c>
      <c r="AF801" s="9">
        <f>+Table1[[#This Row],[Net Gain]]*Table1[[#This Row],[Ask Qty]]</f>
        <v>0</v>
      </c>
      <c r="AG801" t="str">
        <f>IF(Table1[[#This Row],[YTM]]&gt;0.12,IF(Table1[[#This Row],[Gross Profit]]&gt;10000,"Invest","Review"),"Low YTM")</f>
        <v>Low YTM</v>
      </c>
    </row>
    <row r="802" spans="1:33" x14ac:dyDescent="0.3">
      <c r="A802" t="str">
        <f>RTD("nest.scriprtd",,"bse_cm|SFLZC25","Symbol")</f>
        <v>SFLZC25</v>
      </c>
      <c r="B802" t="str">
        <f>RTD("nest.scriprtd",,"bse_cm|SFLZC25","Trading Symbol")</f>
        <v>SFLZC25</v>
      </c>
      <c r="C802" t="str">
        <f>RTD("nest.scriprtd",,"bse_cm|SFLZC25","Exchange")</f>
        <v>BSE</v>
      </c>
      <c r="D802">
        <f>RTD("nest.scriprtd",,"bse_cm|SFLZC25","Bid Qty")</f>
        <v>60</v>
      </c>
      <c r="E802">
        <f>RTD("nest.scriprtd",,"bse_cm|SFLZC25","Bid Rate")</f>
        <v>1162.8</v>
      </c>
      <c r="F802">
        <f>RTD("nest.scriprtd",,"bse_cm|SFLZC25","Ask Rate")</f>
        <v>0</v>
      </c>
      <c r="G802">
        <f>RTD("nest.scriprtd",,"bse_cm|SFLZC25","Ask Qty")</f>
        <v>0</v>
      </c>
      <c r="H802">
        <f>RTD("nest.scriprtd",,"bse_cm|SFLZC25","LTP")</f>
        <v>0</v>
      </c>
      <c r="I802" t="str">
        <f>RTD("nest.scriprtd",,"bse_cm|SFLZC25","LTT")</f>
        <v>00:00:00</v>
      </c>
      <c r="J802">
        <f>RTD("nest.scriprtd",,"bse_cm|SFLZC25","% Change")</f>
        <v>-100</v>
      </c>
      <c r="K802">
        <f>RTD("nest.scriprtd",,"bse_cm|SFLZC25","ATP")</f>
        <v>0</v>
      </c>
      <c r="L802">
        <f>RTD("nest.scriprtd",,"bse_cm|SFLZC25","Volume Traded Today")</f>
        <v>0</v>
      </c>
      <c r="M802">
        <f>RTD("nest.scriprtd",,"bse_cm|SFLZC25","Open")</f>
        <v>0</v>
      </c>
      <c r="N802">
        <f>RTD("nest.scriprtd",,"bse_cm|SFLZC25","High")</f>
        <v>1312.22</v>
      </c>
      <c r="O802">
        <f>RTD("nest.scriprtd",,"bse_cm|SFLZC25","Low ")</f>
        <v>1292</v>
      </c>
      <c r="P802">
        <f>RTD("nest.scriprtd",,"bse_cm|SFLZC25","Prev Close")</f>
        <v>1309.67</v>
      </c>
      <c r="Q802">
        <f>RTD("nest.scriprtd",,"bse_cm|SFLZC25","Face Value")</f>
        <v>1000</v>
      </c>
      <c r="R802" t="str">
        <f>RTD("nest.scriprtd",,"bse_cm|SFLZC25","Isin code")</f>
        <v>INE302E07383</v>
      </c>
      <c r="S802" s="9">
        <f>Table1[[#This Row],[Ask Rate]]*Table1[[#This Row],[Ask Qty]]</f>
        <v>0</v>
      </c>
      <c r="T802" t="str">
        <f>VLOOKUP(Table1[[#This Row],[Isin code]],Table2[#All],7,FALSE)</f>
        <v>--</v>
      </c>
      <c r="U802" s="17" t="str">
        <f>VLOOKUP(Table1[[#This Row],[Isin code]],Table2[#All],8,FALSE)</f>
        <v>29-Aug-2025</v>
      </c>
      <c r="V802" s="10">
        <f ca="1">Table1[[#This Row],[Maturity]]-TODAY()</f>
        <v>317</v>
      </c>
      <c r="W802" t="str">
        <f>VLOOKUP(Table1[[#This Row],[Isin code]],Table2[#All],10,FALSE)</f>
        <v>At the End</v>
      </c>
      <c r="X802">
        <f ca="1">_xlfn.DAYS(Table1[[#This Row],[Maturity]],TODAY())-15</f>
        <v>302</v>
      </c>
      <c r="Y80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2">
        <f>IF(Table1[[#This Row],[Ask Rate]]=0,0,Table1[[#This Row],[Face Value]]-Table1[[#This Row],[Ask Rate]])</f>
        <v>0</v>
      </c>
      <c r="AA80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2">
        <f>Table1[[#This Row],[Face Value]]*Table1[[#This Row],[Rate]]*Table1[[#This Row],[Time]]</f>
        <v>0</v>
      </c>
      <c r="AC802">
        <f>Table1[[#This Row],[SI]]+Table1[[#This Row],[Disc/Prem]]</f>
        <v>0</v>
      </c>
      <c r="AD802" s="3" t="e">
        <f>Table1[[#This Row],[Net Gain]]/Table1[[#This Row],[Ask Rate]]</f>
        <v>#DIV/0!</v>
      </c>
      <c r="AE802" s="3">
        <f>IF(Table1[[#This Row],[Ask Qty]]=0,0,Table1[[#This Row],[Gross Yield]]*365/Table1[[#This Row],[Days Left]])</f>
        <v>0</v>
      </c>
      <c r="AF802" s="9">
        <f>+Table1[[#This Row],[Net Gain]]*Table1[[#This Row],[Ask Qty]]</f>
        <v>0</v>
      </c>
      <c r="AG802" t="str">
        <f>IF(Table1[[#This Row],[YTM]]&gt;0.12,IF(Table1[[#This Row],[Gross Profit]]&gt;10000,"Invest","Review"),"Low YTM")</f>
        <v>Low YTM</v>
      </c>
    </row>
    <row r="803" spans="1:33" x14ac:dyDescent="0.3">
      <c r="A803" t="str">
        <f>RTD("nest.scriprtd",,"bse_cm|SFL28","Symbol")</f>
        <v>SFL28</v>
      </c>
      <c r="B803" t="str">
        <f>RTD("nest.scriprtd",,"bse_cm|SFL28","Trading Symbol")</f>
        <v>SFL28</v>
      </c>
      <c r="C803" t="str">
        <f>RTD("nest.scriprtd",,"bse_cm|SFL28","Exchange")</f>
        <v>BSE</v>
      </c>
      <c r="D803">
        <f>RTD("nest.scriprtd",,"bse_cm|SFL28","Bid Qty")</f>
        <v>25</v>
      </c>
      <c r="E803">
        <f>RTD("nest.scriprtd",,"bse_cm|SFL28","Bid Rate")</f>
        <v>897.2</v>
      </c>
      <c r="F803">
        <f>RTD("nest.scriprtd",,"bse_cm|SFL28","Ask Rate")</f>
        <v>0</v>
      </c>
      <c r="G803">
        <f>RTD("nest.scriprtd",,"bse_cm|SFL28","Ask Qty")</f>
        <v>0</v>
      </c>
      <c r="H803">
        <f>RTD("nest.scriprtd",,"bse_cm|SFL28","LTP")</f>
        <v>0</v>
      </c>
      <c r="I803" t="str">
        <f>RTD("nest.scriprtd",,"bse_cm|SFL28","LTT")</f>
        <v>00:00:00</v>
      </c>
      <c r="J803">
        <f>RTD("nest.scriprtd",,"bse_cm|SFL28","% Change")</f>
        <v>-100</v>
      </c>
      <c r="K803">
        <f>RTD("nest.scriprtd",,"bse_cm|SFL28","ATP")</f>
        <v>0</v>
      </c>
      <c r="L803">
        <f>RTD("nest.scriprtd",,"bse_cm|SFL28","Volume Traded Today")</f>
        <v>0</v>
      </c>
      <c r="M803">
        <f>RTD("nest.scriprtd",,"bse_cm|SFL28","Open")</f>
        <v>0</v>
      </c>
      <c r="N803">
        <f>RTD("nest.scriprtd",,"bse_cm|SFL28","High")</f>
        <v>0</v>
      </c>
      <c r="O803">
        <f>RTD("nest.scriprtd",,"bse_cm|SFL28","Low ")</f>
        <v>0</v>
      </c>
      <c r="P803">
        <f>RTD("nest.scriprtd",,"bse_cm|SFL28","Prev Close")</f>
        <v>1000</v>
      </c>
      <c r="Q803">
        <f>RTD("nest.scriprtd",,"bse_cm|SFL28","Face Value")</f>
        <v>1000</v>
      </c>
      <c r="R803" t="str">
        <f>RTD("nest.scriprtd",,"bse_cm|SFL28","Isin code")</f>
        <v>INE302E07524</v>
      </c>
      <c r="S803" s="9">
        <f>Table1[[#This Row],[Ask Rate]]*Table1[[#This Row],[Ask Qty]]</f>
        <v>0</v>
      </c>
      <c r="T803" t="str">
        <f>VLOOKUP(Table1[[#This Row],[Isin code]],Table2[#All],7,FALSE)</f>
        <v>--</v>
      </c>
      <c r="U803" s="17" t="str">
        <f>VLOOKUP(Table1[[#This Row],[Isin code]],Table2[#All],8,FALSE)</f>
        <v>08-May-2028</v>
      </c>
      <c r="V803" s="10">
        <f ca="1">Table1[[#This Row],[Maturity]]-TODAY()</f>
        <v>1300</v>
      </c>
      <c r="W803" t="str">
        <f>VLOOKUP(Table1[[#This Row],[Isin code]],Table2[#All],10,FALSE)</f>
        <v>At the End</v>
      </c>
      <c r="X803">
        <f ca="1">_xlfn.DAYS(Table1[[#This Row],[Maturity]],TODAY())-15</f>
        <v>1285</v>
      </c>
      <c r="Y80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3">
        <f>IF(Table1[[#This Row],[Ask Rate]]=0,0,Table1[[#This Row],[Face Value]]-Table1[[#This Row],[Ask Rate]])</f>
        <v>0</v>
      </c>
      <c r="AA80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3">
        <f>Table1[[#This Row],[Face Value]]*Table1[[#This Row],[Rate]]*Table1[[#This Row],[Time]]</f>
        <v>0</v>
      </c>
      <c r="AC803">
        <f>Table1[[#This Row],[SI]]+Table1[[#This Row],[Disc/Prem]]</f>
        <v>0</v>
      </c>
      <c r="AD803" s="3" t="e">
        <f>Table1[[#This Row],[Net Gain]]/Table1[[#This Row],[Ask Rate]]</f>
        <v>#DIV/0!</v>
      </c>
      <c r="AE803" s="3">
        <f>IF(Table1[[#This Row],[Ask Qty]]=0,0,Table1[[#This Row],[Gross Yield]]*365/Table1[[#This Row],[Days Left]])</f>
        <v>0</v>
      </c>
      <c r="AF803" s="9">
        <f>+Table1[[#This Row],[Net Gain]]*Table1[[#This Row],[Ask Qty]]</f>
        <v>0</v>
      </c>
      <c r="AG803" t="str">
        <f>IF(Table1[[#This Row],[YTM]]&gt;0.12,IF(Table1[[#This Row],[Gross Profit]]&gt;10000,"Invest","Review"),"Low YTM")</f>
        <v>Low YTM</v>
      </c>
    </row>
    <row r="804" spans="1:33" x14ac:dyDescent="0.3">
      <c r="A804" t="str">
        <f>RTD("nest.scriprtd",,"bse_cm|SFL27A","Symbol")</f>
        <v>SFL27A</v>
      </c>
      <c r="B804" t="str">
        <f>RTD("nest.scriprtd",,"bse_cm|SFL27A","Trading Symbol")</f>
        <v>SFL27A</v>
      </c>
      <c r="C804" t="str">
        <f>RTD("nest.scriprtd",,"bse_cm|SFL27A","Exchange")</f>
        <v>BSE</v>
      </c>
      <c r="D804">
        <f>RTD("nest.scriprtd",,"bse_cm|SFL27A","Bid Qty")</f>
        <v>20</v>
      </c>
      <c r="E804">
        <f>RTD("nest.scriprtd",,"bse_cm|SFL27A","Bid Rate")</f>
        <v>901.2</v>
      </c>
      <c r="F804">
        <f>RTD("nest.scriprtd",,"bse_cm|SFL27A","Ask Rate")</f>
        <v>0</v>
      </c>
      <c r="G804">
        <f>RTD("nest.scriprtd",,"bse_cm|SFL27A","Ask Qty")</f>
        <v>0</v>
      </c>
      <c r="H804">
        <f>RTD("nest.scriprtd",,"bse_cm|SFL27A","LTP")</f>
        <v>0</v>
      </c>
      <c r="I804" t="str">
        <f>RTD("nest.scriprtd",,"bse_cm|SFL27A","LTT")</f>
        <v>00:00:00</v>
      </c>
      <c r="J804">
        <f>RTD("nest.scriprtd",,"bse_cm|SFL27A","% Change")</f>
        <v>-100</v>
      </c>
      <c r="K804">
        <f>RTD("nest.scriprtd",,"bse_cm|SFL27A","ATP")</f>
        <v>0</v>
      </c>
      <c r="L804">
        <f>RTD("nest.scriprtd",,"bse_cm|SFL27A","Volume Traded Today")</f>
        <v>0</v>
      </c>
      <c r="M804">
        <f>RTD("nest.scriprtd",,"bse_cm|SFL27A","Open")</f>
        <v>0</v>
      </c>
      <c r="N804">
        <f>RTD("nest.scriprtd",,"bse_cm|SFL27A","High")</f>
        <v>0</v>
      </c>
      <c r="O804">
        <f>RTD("nest.scriprtd",,"bse_cm|SFL27A","Low ")</f>
        <v>0</v>
      </c>
      <c r="P804">
        <f>RTD("nest.scriprtd",,"bse_cm|SFL27A","Prev Close")</f>
        <v>1000</v>
      </c>
      <c r="Q804">
        <f>RTD("nest.scriprtd",,"bse_cm|SFL27A","Face Value")</f>
        <v>1000</v>
      </c>
      <c r="R804" t="str">
        <f>RTD("nest.scriprtd",,"bse_cm|SFL27A","Isin code")</f>
        <v>INE302E07490</v>
      </c>
      <c r="S804" s="9">
        <f>Table1[[#This Row],[Ask Rate]]*Table1[[#This Row],[Ask Qty]]</f>
        <v>0</v>
      </c>
      <c r="T804" t="str">
        <f>VLOOKUP(Table1[[#This Row],[Isin code]],Table2[#All],7,FALSE)</f>
        <v>--</v>
      </c>
      <c r="U804" s="17" t="str">
        <f>VLOOKUP(Table1[[#This Row],[Isin code]],Table2[#All],8,FALSE)</f>
        <v>08-May-2027</v>
      </c>
      <c r="V804" s="10">
        <f ca="1">Table1[[#This Row],[Maturity]]-TODAY()</f>
        <v>934</v>
      </c>
      <c r="W804" t="str">
        <f>VLOOKUP(Table1[[#This Row],[Isin code]],Table2[#All],10,FALSE)</f>
        <v>At the End</v>
      </c>
      <c r="X804">
        <f ca="1">_xlfn.DAYS(Table1[[#This Row],[Maturity]],TODAY())-15</f>
        <v>919</v>
      </c>
      <c r="Y80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4">
        <f>IF(Table1[[#This Row],[Ask Rate]]=0,0,Table1[[#This Row],[Face Value]]-Table1[[#This Row],[Ask Rate]])</f>
        <v>0</v>
      </c>
      <c r="AA80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4">
        <f>Table1[[#This Row],[Face Value]]*Table1[[#This Row],[Rate]]*Table1[[#This Row],[Time]]</f>
        <v>0</v>
      </c>
      <c r="AC804">
        <f>Table1[[#This Row],[SI]]+Table1[[#This Row],[Disc/Prem]]</f>
        <v>0</v>
      </c>
      <c r="AD804" s="3" t="e">
        <f>Table1[[#This Row],[Net Gain]]/Table1[[#This Row],[Ask Rate]]</f>
        <v>#DIV/0!</v>
      </c>
      <c r="AE804" s="3">
        <f>IF(Table1[[#This Row],[Ask Qty]]=0,0,Table1[[#This Row],[Gross Yield]]*365/Table1[[#This Row],[Days Left]])</f>
        <v>0</v>
      </c>
      <c r="AF804" s="9">
        <f>+Table1[[#This Row],[Net Gain]]*Table1[[#This Row],[Ask Qty]]</f>
        <v>0</v>
      </c>
      <c r="AG804" t="str">
        <f>IF(Table1[[#This Row],[YTM]]&gt;0.12,IF(Table1[[#This Row],[Gross Profit]]&gt;10000,"Invest","Review"),"Low YTM")</f>
        <v>Low YTM</v>
      </c>
    </row>
    <row r="805" spans="1:33" x14ac:dyDescent="0.3">
      <c r="A805" t="str">
        <f>RTD("nest.scriprtd",,"bse_cm|SFL27224","Symbol")</f>
        <v>SFL27224</v>
      </c>
      <c r="B805" t="str">
        <f>RTD("nest.scriprtd",,"bse_cm|SFL27224","Trading Symbol")</f>
        <v>SFL27224</v>
      </c>
      <c r="C805" t="str">
        <f>RTD("nest.scriprtd",,"bse_cm|SFL27224","Exchange")</f>
        <v>BSE</v>
      </c>
      <c r="D805">
        <f>RTD("nest.scriprtd",,"bse_cm|SFL27224","Bid Qty")</f>
        <v>12</v>
      </c>
      <c r="E805">
        <f>RTD("nest.scriprtd",,"bse_cm|SFL27224","Bid Rate")</f>
        <v>844.2</v>
      </c>
      <c r="F805">
        <f>RTD("nest.scriprtd",,"bse_cm|SFL27224","Ask Rate")</f>
        <v>0</v>
      </c>
      <c r="G805">
        <f>RTD("nest.scriprtd",,"bse_cm|SFL27224","Ask Qty")</f>
        <v>0</v>
      </c>
      <c r="H805">
        <f>RTD("nest.scriprtd",,"bse_cm|SFL27224","LTP")</f>
        <v>0</v>
      </c>
      <c r="I805" t="str">
        <f>RTD("nest.scriprtd",,"bse_cm|SFL27224","LTT")</f>
        <v>00:00:00</v>
      </c>
      <c r="J805">
        <f>RTD("nest.scriprtd",,"bse_cm|SFL27224","% Change")</f>
        <v>-100</v>
      </c>
      <c r="K805">
        <f>RTD("nest.scriprtd",,"bse_cm|SFL27224","ATP")</f>
        <v>0</v>
      </c>
      <c r="L805">
        <f>RTD("nest.scriprtd",,"bse_cm|SFL27224","Volume Traded Today")</f>
        <v>0</v>
      </c>
      <c r="M805">
        <f>RTD("nest.scriprtd",,"bse_cm|SFL27224","Open")</f>
        <v>0</v>
      </c>
      <c r="N805">
        <f>RTD("nest.scriprtd",,"bse_cm|SFL27224","High")</f>
        <v>0</v>
      </c>
      <c r="O805">
        <f>RTD("nest.scriprtd",,"bse_cm|SFL27224","Low ")</f>
        <v>0</v>
      </c>
      <c r="P805">
        <f>RTD("nest.scriprtd",,"bse_cm|SFL27224","Prev Close")</f>
        <v>1000</v>
      </c>
      <c r="Q805">
        <f>RTD("nest.scriprtd",,"bse_cm|SFL27224","Face Value")</f>
        <v>1000</v>
      </c>
      <c r="R805" t="str">
        <f>RTD("nest.scriprtd",,"bse_cm|SFL27224","Isin code")</f>
        <v>INE302E07599</v>
      </c>
      <c r="S805" s="9">
        <f>Table1[[#This Row],[Ask Rate]]*Table1[[#This Row],[Ask Qty]]</f>
        <v>0</v>
      </c>
      <c r="T805" t="str">
        <f>VLOOKUP(Table1[[#This Row],[Isin code]],Table2[#All],7,FALSE)</f>
        <v>--</v>
      </c>
      <c r="U805" s="17" t="str">
        <f>VLOOKUP(Table1[[#This Row],[Isin code]],Table2[#All],8,FALSE)</f>
        <v>27-Feb-2027</v>
      </c>
      <c r="V805" s="10">
        <f ca="1">Table1[[#This Row],[Maturity]]-TODAY()</f>
        <v>864</v>
      </c>
      <c r="W805" t="str">
        <f>VLOOKUP(Table1[[#This Row],[Isin code]],Table2[#All],10,FALSE)</f>
        <v>At the End</v>
      </c>
      <c r="X805">
        <f ca="1">_xlfn.DAYS(Table1[[#This Row],[Maturity]],TODAY())-15</f>
        <v>849</v>
      </c>
      <c r="Y80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5">
        <f>IF(Table1[[#This Row],[Ask Rate]]=0,0,Table1[[#This Row],[Face Value]]-Table1[[#This Row],[Ask Rate]])</f>
        <v>0</v>
      </c>
      <c r="AA80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5">
        <f>Table1[[#This Row],[Face Value]]*Table1[[#This Row],[Rate]]*Table1[[#This Row],[Time]]</f>
        <v>0</v>
      </c>
      <c r="AC805">
        <f>Table1[[#This Row],[SI]]+Table1[[#This Row],[Disc/Prem]]</f>
        <v>0</v>
      </c>
      <c r="AD805" s="3" t="e">
        <f>Table1[[#This Row],[Net Gain]]/Table1[[#This Row],[Ask Rate]]</f>
        <v>#DIV/0!</v>
      </c>
      <c r="AE805" s="3">
        <f>IF(Table1[[#This Row],[Ask Qty]]=0,0,Table1[[#This Row],[Gross Yield]]*365/Table1[[#This Row],[Days Left]])</f>
        <v>0</v>
      </c>
      <c r="AF805" s="9">
        <f>+Table1[[#This Row],[Net Gain]]*Table1[[#This Row],[Ask Qty]]</f>
        <v>0</v>
      </c>
      <c r="AG805" t="str">
        <f>IF(Table1[[#This Row],[YTM]]&gt;0.12,IF(Table1[[#This Row],[Gross Profit]]&gt;10000,"Invest","Review"),"Low YTM")</f>
        <v>Low YTM</v>
      </c>
    </row>
    <row r="806" spans="1:33" x14ac:dyDescent="0.3">
      <c r="A806" t="str">
        <f>RTD("nest.scriprtd",,"bse_cm|SFL2722024","Symbol")</f>
        <v>SFL2722024</v>
      </c>
      <c r="B806" t="str">
        <f>RTD("nest.scriprtd",,"bse_cm|SFL2722024","Trading Symbol")</f>
        <v>SFL2722024</v>
      </c>
      <c r="C806" t="str">
        <f>RTD("nest.scriprtd",,"bse_cm|SFL2722024","Exchange")</f>
        <v>BSE</v>
      </c>
      <c r="D806">
        <f>RTD("nest.scriprtd",,"bse_cm|SFL2722024","Bid Qty")</f>
        <v>19</v>
      </c>
      <c r="E806">
        <f>RTD("nest.scriprtd",,"bse_cm|SFL2722024","Bid Rate")</f>
        <v>840.2</v>
      </c>
      <c r="F806">
        <f>RTD("nest.scriprtd",,"bse_cm|SFL2722024","Ask Rate")</f>
        <v>0</v>
      </c>
      <c r="G806">
        <f>RTD("nest.scriprtd",,"bse_cm|SFL2722024","Ask Qty")</f>
        <v>0</v>
      </c>
      <c r="H806">
        <f>RTD("nest.scriprtd",,"bse_cm|SFL2722024","LTP")</f>
        <v>0</v>
      </c>
      <c r="I806" t="str">
        <f>RTD("nest.scriprtd",,"bse_cm|SFL2722024","LTT")</f>
        <v>00:00:00</v>
      </c>
      <c r="J806">
        <f>RTD("nest.scriprtd",,"bse_cm|SFL2722024","% Change")</f>
        <v>-100</v>
      </c>
      <c r="K806">
        <f>RTD("nest.scriprtd",,"bse_cm|SFL2722024","ATP")</f>
        <v>0</v>
      </c>
      <c r="L806">
        <f>RTD("nest.scriprtd",,"bse_cm|SFL2722024","Volume Traded Today")</f>
        <v>0</v>
      </c>
      <c r="M806">
        <f>RTD("nest.scriprtd",,"bse_cm|SFL2722024","Open")</f>
        <v>0</v>
      </c>
      <c r="N806">
        <f>RTD("nest.scriprtd",,"bse_cm|SFL2722024","High")</f>
        <v>1040</v>
      </c>
      <c r="O806">
        <f>RTD("nest.scriprtd",,"bse_cm|SFL2722024","Low ")</f>
        <v>1040</v>
      </c>
      <c r="P806">
        <f>RTD("nest.scriprtd",,"bse_cm|SFL2722024","Prev Close")</f>
        <v>1040</v>
      </c>
      <c r="Q806">
        <f>RTD("nest.scriprtd",,"bse_cm|SFL2722024","Face Value")</f>
        <v>1000</v>
      </c>
      <c r="R806" t="str">
        <f>RTD("nest.scriprtd",,"bse_cm|SFL2722024","Isin code")</f>
        <v>INE302E07631</v>
      </c>
      <c r="S806" s="9">
        <f>Table1[[#This Row],[Ask Rate]]*Table1[[#This Row],[Ask Qty]]</f>
        <v>0</v>
      </c>
      <c r="T806" t="str">
        <f>VLOOKUP(Table1[[#This Row],[Isin code]],Table2[#All],7,FALSE)</f>
        <v>--</v>
      </c>
      <c r="U806" s="17" t="str">
        <f>VLOOKUP(Table1[[#This Row],[Isin code]],Table2[#All],8,FALSE)</f>
        <v>27-Feb-2029</v>
      </c>
      <c r="V806" s="10">
        <f ca="1">Table1[[#This Row],[Maturity]]-TODAY()</f>
        <v>1595</v>
      </c>
      <c r="W806" t="str">
        <f>VLOOKUP(Table1[[#This Row],[Isin code]],Table2[#All],10,FALSE)</f>
        <v>At the End</v>
      </c>
      <c r="X806">
        <f ca="1">_xlfn.DAYS(Table1[[#This Row],[Maturity]],TODAY())-15</f>
        <v>1580</v>
      </c>
      <c r="Y80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6">
        <f>IF(Table1[[#This Row],[Ask Rate]]=0,0,Table1[[#This Row],[Face Value]]-Table1[[#This Row],[Ask Rate]])</f>
        <v>0</v>
      </c>
      <c r="AA80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6">
        <f>Table1[[#This Row],[Face Value]]*Table1[[#This Row],[Rate]]*Table1[[#This Row],[Time]]</f>
        <v>0</v>
      </c>
      <c r="AC806">
        <f>Table1[[#This Row],[SI]]+Table1[[#This Row],[Disc/Prem]]</f>
        <v>0</v>
      </c>
      <c r="AD806" s="3" t="e">
        <f>Table1[[#This Row],[Net Gain]]/Table1[[#This Row],[Ask Rate]]</f>
        <v>#DIV/0!</v>
      </c>
      <c r="AE806" s="3">
        <f>IF(Table1[[#This Row],[Ask Qty]]=0,0,Table1[[#This Row],[Gross Yield]]*365/Table1[[#This Row],[Days Left]])</f>
        <v>0</v>
      </c>
      <c r="AF806" s="9">
        <f>+Table1[[#This Row],[Net Gain]]*Table1[[#This Row],[Ask Qty]]</f>
        <v>0</v>
      </c>
      <c r="AG806" t="str">
        <f>IF(Table1[[#This Row],[YTM]]&gt;0.12,IF(Table1[[#This Row],[Gross Profit]]&gt;10000,"Invest","Review"),"Low YTM")</f>
        <v>Low YTM</v>
      </c>
    </row>
    <row r="807" spans="1:33" x14ac:dyDescent="0.3">
      <c r="A807" t="str">
        <f>RTD("nest.scriprtd",,"bse_cm|SFL270224A","Symbol")</f>
        <v>SFL270224A</v>
      </c>
      <c r="B807" t="str">
        <f>RTD("nest.scriprtd",,"bse_cm|SFL270224A","Trading Symbol")</f>
        <v>SFL270224A</v>
      </c>
      <c r="C807" t="str">
        <f>RTD("nest.scriprtd",,"bse_cm|SFL270224A","Exchange")</f>
        <v>BSE</v>
      </c>
      <c r="D807">
        <f>RTD("nest.scriprtd",,"bse_cm|SFL270224A","Bid Qty")</f>
        <v>11</v>
      </c>
      <c r="E807">
        <f>RTD("nest.scriprtd",,"bse_cm|SFL270224A","Bid Rate")</f>
        <v>842.2</v>
      </c>
      <c r="F807">
        <f>RTD("nest.scriprtd",,"bse_cm|SFL270224A","Ask Rate")</f>
        <v>0</v>
      </c>
      <c r="G807">
        <f>RTD("nest.scriprtd",,"bse_cm|SFL270224A","Ask Qty")</f>
        <v>0</v>
      </c>
      <c r="H807">
        <f>RTD("nest.scriprtd",,"bse_cm|SFL270224A","LTP")</f>
        <v>0</v>
      </c>
      <c r="I807" t="str">
        <f>RTD("nest.scriprtd",,"bse_cm|SFL270224A","LTT")</f>
        <v>00:00:00</v>
      </c>
      <c r="J807">
        <f>RTD("nest.scriprtd",,"bse_cm|SFL270224A","% Change")</f>
        <v>-100</v>
      </c>
      <c r="K807">
        <f>RTD("nest.scriprtd",,"bse_cm|SFL270224A","ATP")</f>
        <v>0</v>
      </c>
      <c r="L807">
        <f>RTD("nest.scriprtd",,"bse_cm|SFL270224A","Volume Traded Today")</f>
        <v>0</v>
      </c>
      <c r="M807">
        <f>RTD("nest.scriprtd",,"bse_cm|SFL270224A","Open")</f>
        <v>0</v>
      </c>
      <c r="N807">
        <f>RTD("nest.scriprtd",,"bse_cm|SFL270224A","High")</f>
        <v>843</v>
      </c>
      <c r="O807">
        <f>RTD("nest.scriprtd",,"bse_cm|SFL270224A","Low ")</f>
        <v>843</v>
      </c>
      <c r="P807">
        <f>RTD("nest.scriprtd",,"bse_cm|SFL270224A","Prev Close")</f>
        <v>843</v>
      </c>
      <c r="Q807">
        <f>RTD("nest.scriprtd",,"bse_cm|SFL270224A","Face Value")</f>
        <v>1000</v>
      </c>
      <c r="R807" t="str">
        <f>RTD("nest.scriprtd",,"bse_cm|SFL270224A","Isin code")</f>
        <v>INE302E07623</v>
      </c>
      <c r="S807" s="9">
        <f>Table1[[#This Row],[Ask Rate]]*Table1[[#This Row],[Ask Qty]]</f>
        <v>0</v>
      </c>
      <c r="T807" t="str">
        <f>VLOOKUP(Table1[[#This Row],[Isin code]],Table2[#All],7,FALSE)</f>
        <v>--</v>
      </c>
      <c r="U807" s="17" t="str">
        <f>VLOOKUP(Table1[[#This Row],[Isin code]],Table2[#All],8,FALSE)</f>
        <v>29-Mar-2031</v>
      </c>
      <c r="V807" s="10">
        <f ca="1">Table1[[#This Row],[Maturity]]-TODAY()</f>
        <v>2355</v>
      </c>
      <c r="W807" t="str">
        <f>VLOOKUP(Table1[[#This Row],[Isin code]],Table2[#All],10,FALSE)</f>
        <v>At the End</v>
      </c>
      <c r="X807">
        <f ca="1">_xlfn.DAYS(Table1[[#This Row],[Maturity]],TODAY())-15</f>
        <v>2340</v>
      </c>
      <c r="Y80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7">
        <f>IF(Table1[[#This Row],[Ask Rate]]=0,0,Table1[[#This Row],[Face Value]]-Table1[[#This Row],[Ask Rate]])</f>
        <v>0</v>
      </c>
      <c r="AA80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7">
        <f>Table1[[#This Row],[Face Value]]*Table1[[#This Row],[Rate]]*Table1[[#This Row],[Time]]</f>
        <v>0</v>
      </c>
      <c r="AC807">
        <f>Table1[[#This Row],[SI]]+Table1[[#This Row],[Disc/Prem]]</f>
        <v>0</v>
      </c>
      <c r="AD807" s="3" t="e">
        <f>Table1[[#This Row],[Net Gain]]/Table1[[#This Row],[Ask Rate]]</f>
        <v>#DIV/0!</v>
      </c>
      <c r="AE807" s="3">
        <f>IF(Table1[[#This Row],[Ask Qty]]=0,0,Table1[[#This Row],[Gross Yield]]*365/Table1[[#This Row],[Days Left]])</f>
        <v>0</v>
      </c>
      <c r="AF807" s="9">
        <f>+Table1[[#This Row],[Net Gain]]*Table1[[#This Row],[Ask Qty]]</f>
        <v>0</v>
      </c>
      <c r="AG807" t="str">
        <f>IF(Table1[[#This Row],[YTM]]&gt;0.12,IF(Table1[[#This Row],[Gross Profit]]&gt;10000,"Invest","Review"),"Low YTM")</f>
        <v>Low YTM</v>
      </c>
    </row>
    <row r="808" spans="1:33" x14ac:dyDescent="0.3">
      <c r="A808" t="str">
        <f>RTD("nest.scriprtd",,"bse_cm|SFL270224","Symbol")</f>
        <v>SFL270224</v>
      </c>
      <c r="B808" t="str">
        <f>RTD("nest.scriprtd",,"bse_cm|SFL270224","Trading Symbol")</f>
        <v>SFL270224</v>
      </c>
      <c r="C808" t="str">
        <f>RTD("nest.scriprtd",,"bse_cm|SFL270224","Exchange")</f>
        <v>BSE</v>
      </c>
      <c r="D808">
        <f>RTD("nest.scriprtd",,"bse_cm|SFL270224","Bid Qty")</f>
        <v>20</v>
      </c>
      <c r="E808">
        <f>RTD("nest.scriprtd",,"bse_cm|SFL270224","Bid Rate")</f>
        <v>855.8</v>
      </c>
      <c r="F808">
        <f>RTD("nest.scriprtd",,"bse_cm|SFL270224","Ask Rate")</f>
        <v>0</v>
      </c>
      <c r="G808">
        <f>RTD("nest.scriprtd",,"bse_cm|SFL270224","Ask Qty")</f>
        <v>0</v>
      </c>
      <c r="H808">
        <f>RTD("nest.scriprtd",,"bse_cm|SFL270224","LTP")</f>
        <v>0</v>
      </c>
      <c r="I808" t="str">
        <f>RTD("nest.scriprtd",,"bse_cm|SFL270224","LTT")</f>
        <v>00:00:00</v>
      </c>
      <c r="J808">
        <f>RTD("nest.scriprtd",,"bse_cm|SFL270224","% Change")</f>
        <v>-100</v>
      </c>
      <c r="K808">
        <f>RTD("nest.scriprtd",,"bse_cm|SFL270224","ATP")</f>
        <v>0</v>
      </c>
      <c r="L808">
        <f>RTD("nest.scriprtd",,"bse_cm|SFL270224","Volume Traded Today")</f>
        <v>0</v>
      </c>
      <c r="M808">
        <f>RTD("nest.scriprtd",,"bse_cm|SFL270224","Open")</f>
        <v>0</v>
      </c>
      <c r="N808">
        <f>RTD("nest.scriprtd",,"bse_cm|SFL270224","High")</f>
        <v>0</v>
      </c>
      <c r="O808">
        <f>RTD("nest.scriprtd",,"bse_cm|SFL270224","Low ")</f>
        <v>0</v>
      </c>
      <c r="P808">
        <f>RTD("nest.scriprtd",,"bse_cm|SFL270224","Prev Close")</f>
        <v>1000</v>
      </c>
      <c r="Q808">
        <f>RTD("nest.scriprtd",,"bse_cm|SFL270224","Face Value")</f>
        <v>1000</v>
      </c>
      <c r="R808" t="str">
        <f>RTD("nest.scriprtd",,"bse_cm|SFL270224","Isin code")</f>
        <v>INE302E07615</v>
      </c>
      <c r="S808" s="9">
        <f>Table1[[#This Row],[Ask Rate]]*Table1[[#This Row],[Ask Qty]]</f>
        <v>0</v>
      </c>
      <c r="T808" t="str">
        <f>VLOOKUP(Table1[[#This Row],[Isin code]],Table2[#All],7,FALSE)</f>
        <v>--</v>
      </c>
      <c r="U808" s="17" t="str">
        <f>VLOOKUP(Table1[[#This Row],[Isin code]],Table2[#All],8,FALSE)</f>
        <v>27-Feb-2026</v>
      </c>
      <c r="V808" s="10">
        <f ca="1">Table1[[#This Row],[Maturity]]-TODAY()</f>
        <v>499</v>
      </c>
      <c r="W808" t="str">
        <f>VLOOKUP(Table1[[#This Row],[Isin code]],Table2[#All],10,FALSE)</f>
        <v>At the End</v>
      </c>
      <c r="X808">
        <f ca="1">_xlfn.DAYS(Table1[[#This Row],[Maturity]],TODAY())-15</f>
        <v>484</v>
      </c>
      <c r="Y80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8">
        <f>IF(Table1[[#This Row],[Ask Rate]]=0,0,Table1[[#This Row],[Face Value]]-Table1[[#This Row],[Ask Rate]])</f>
        <v>0</v>
      </c>
      <c r="AA80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8">
        <f>Table1[[#This Row],[Face Value]]*Table1[[#This Row],[Rate]]*Table1[[#This Row],[Time]]</f>
        <v>0</v>
      </c>
      <c r="AC808">
        <f>Table1[[#This Row],[SI]]+Table1[[#This Row],[Disc/Prem]]</f>
        <v>0</v>
      </c>
      <c r="AD808" s="3" t="e">
        <f>Table1[[#This Row],[Net Gain]]/Table1[[#This Row],[Ask Rate]]</f>
        <v>#DIV/0!</v>
      </c>
      <c r="AE808" s="3">
        <f>IF(Table1[[#This Row],[Ask Qty]]=0,0,Table1[[#This Row],[Gross Yield]]*365/Table1[[#This Row],[Days Left]])</f>
        <v>0</v>
      </c>
      <c r="AF808" s="9">
        <f>+Table1[[#This Row],[Net Gain]]*Table1[[#This Row],[Ask Qty]]</f>
        <v>0</v>
      </c>
      <c r="AG808" t="str">
        <f>IF(Table1[[#This Row],[YTM]]&gt;0.12,IF(Table1[[#This Row],[Gross Profit]]&gt;10000,"Invest","Review"),"Low YTM")</f>
        <v>Low YTM</v>
      </c>
    </row>
    <row r="809" spans="1:33" x14ac:dyDescent="0.3">
      <c r="A809" t="str">
        <f>RTD("nest.scriprtd",,"bse_cm|SFL27","Symbol")</f>
        <v>SFL27</v>
      </c>
      <c r="B809" t="str">
        <f>RTD("nest.scriprtd",,"bse_cm|SFL27","Trading Symbol")</f>
        <v>SFL27</v>
      </c>
      <c r="C809" t="str">
        <f>RTD("nest.scriprtd",,"bse_cm|SFL27","Exchange")</f>
        <v>BSE</v>
      </c>
      <c r="D809">
        <f>RTD("nest.scriprtd",,"bse_cm|SFL27","Bid Qty")</f>
        <v>25</v>
      </c>
      <c r="E809">
        <f>RTD("nest.scriprtd",,"bse_cm|SFL27","Bid Rate")</f>
        <v>915.2</v>
      </c>
      <c r="F809">
        <f>RTD("nest.scriprtd",,"bse_cm|SFL27","Ask Rate")</f>
        <v>0</v>
      </c>
      <c r="G809">
        <f>RTD("nest.scriprtd",,"bse_cm|SFL27","Ask Qty")</f>
        <v>0</v>
      </c>
      <c r="H809">
        <f>RTD("nest.scriprtd",,"bse_cm|SFL27","LTP")</f>
        <v>0</v>
      </c>
      <c r="I809" t="str">
        <f>RTD("nest.scriprtd",,"bse_cm|SFL27","LTT")</f>
        <v>00:00:00</v>
      </c>
      <c r="J809">
        <f>RTD("nest.scriprtd",,"bse_cm|SFL27","% Change")</f>
        <v>-100</v>
      </c>
      <c r="K809">
        <f>RTD("nest.scriprtd",,"bse_cm|SFL27","ATP")</f>
        <v>0</v>
      </c>
      <c r="L809">
        <f>RTD("nest.scriprtd",,"bse_cm|SFL27","Volume Traded Today")</f>
        <v>0</v>
      </c>
      <c r="M809">
        <f>RTD("nest.scriprtd",,"bse_cm|SFL27","Open")</f>
        <v>0</v>
      </c>
      <c r="N809">
        <f>RTD("nest.scriprtd",,"bse_cm|SFL27","High")</f>
        <v>1000</v>
      </c>
      <c r="O809">
        <f>RTD("nest.scriprtd",,"bse_cm|SFL27","Low ")</f>
        <v>1000</v>
      </c>
      <c r="P809">
        <f>RTD("nest.scriprtd",,"bse_cm|SFL27","Prev Close")</f>
        <v>1000</v>
      </c>
      <c r="Q809">
        <f>RTD("nest.scriprtd",,"bse_cm|SFL27","Face Value")</f>
        <v>1000</v>
      </c>
      <c r="R809" t="str">
        <f>RTD("nest.scriprtd",,"bse_cm|SFL27","Isin code")</f>
        <v>INE302E07474</v>
      </c>
      <c r="S809" s="9">
        <f>Table1[[#This Row],[Ask Rate]]*Table1[[#This Row],[Ask Qty]]</f>
        <v>0</v>
      </c>
      <c r="T809" t="str">
        <f>VLOOKUP(Table1[[#This Row],[Isin code]],Table2[#All],7,FALSE)</f>
        <v>--</v>
      </c>
      <c r="U809" s="17" t="str">
        <f>VLOOKUP(Table1[[#This Row],[Isin code]],Table2[#All],8,FALSE)</f>
        <v>29-Apr-2027</v>
      </c>
      <c r="V809" s="10">
        <f ca="1">Table1[[#This Row],[Maturity]]-TODAY()</f>
        <v>925</v>
      </c>
      <c r="W809" t="str">
        <f>VLOOKUP(Table1[[#This Row],[Isin code]],Table2[#All],10,FALSE)</f>
        <v>At the End</v>
      </c>
      <c r="X809">
        <f ca="1">_xlfn.DAYS(Table1[[#This Row],[Maturity]],TODAY())-15</f>
        <v>910</v>
      </c>
      <c r="Y80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09">
        <f>IF(Table1[[#This Row],[Ask Rate]]=0,0,Table1[[#This Row],[Face Value]]-Table1[[#This Row],[Ask Rate]])</f>
        <v>0</v>
      </c>
      <c r="AA80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09">
        <f>Table1[[#This Row],[Face Value]]*Table1[[#This Row],[Rate]]*Table1[[#This Row],[Time]]</f>
        <v>0</v>
      </c>
      <c r="AC809">
        <f>Table1[[#This Row],[SI]]+Table1[[#This Row],[Disc/Prem]]</f>
        <v>0</v>
      </c>
      <c r="AD809" s="3" t="e">
        <f>Table1[[#This Row],[Net Gain]]/Table1[[#This Row],[Ask Rate]]</f>
        <v>#DIV/0!</v>
      </c>
      <c r="AE809" s="3">
        <f>IF(Table1[[#This Row],[Ask Qty]]=0,0,Table1[[#This Row],[Gross Yield]]*365/Table1[[#This Row],[Days Left]])</f>
        <v>0</v>
      </c>
      <c r="AF809" s="9">
        <f>+Table1[[#This Row],[Net Gain]]*Table1[[#This Row],[Ask Qty]]</f>
        <v>0</v>
      </c>
      <c r="AG809" t="str">
        <f>IF(Table1[[#This Row],[YTM]]&gt;0.12,IF(Table1[[#This Row],[Gross Profit]]&gt;10000,"Invest","Review"),"Low YTM")</f>
        <v>Low YTM</v>
      </c>
    </row>
    <row r="810" spans="1:33" x14ac:dyDescent="0.3">
      <c r="A810" t="str">
        <f>RTD("nest.scriprtd",,"bse_cm|SFL26A","Symbol")</f>
        <v>SFL26A</v>
      </c>
      <c r="B810" t="str">
        <f>RTD("nest.scriprtd",,"bse_cm|SFL26A","Trading Symbol")</f>
        <v>SFL26A</v>
      </c>
      <c r="C810" t="str">
        <f>RTD("nest.scriprtd",,"bse_cm|SFL26A","Exchange")</f>
        <v>BSE</v>
      </c>
      <c r="D810">
        <f>RTD("nest.scriprtd",,"bse_cm|SFL26A","Bid Qty")</f>
        <v>25</v>
      </c>
      <c r="E810">
        <f>RTD("nest.scriprtd",,"bse_cm|SFL26A","Bid Rate")</f>
        <v>938.2</v>
      </c>
      <c r="F810">
        <f>RTD("nest.scriprtd",,"bse_cm|SFL26A","Ask Rate")</f>
        <v>0</v>
      </c>
      <c r="G810">
        <f>RTD("nest.scriprtd",,"bse_cm|SFL26A","Ask Qty")</f>
        <v>0</v>
      </c>
      <c r="H810">
        <f>RTD("nest.scriprtd",,"bse_cm|SFL26A","LTP")</f>
        <v>0</v>
      </c>
      <c r="I810" t="str">
        <f>RTD("nest.scriprtd",,"bse_cm|SFL26A","LTT")</f>
        <v>00:00:00</v>
      </c>
      <c r="J810">
        <f>RTD("nest.scriprtd",,"bse_cm|SFL26A","% Change")</f>
        <v>-100</v>
      </c>
      <c r="K810">
        <f>RTD("nest.scriprtd",,"bse_cm|SFL26A","ATP")</f>
        <v>0</v>
      </c>
      <c r="L810">
        <f>RTD("nest.scriprtd",,"bse_cm|SFL26A","Volume Traded Today")</f>
        <v>0</v>
      </c>
      <c r="M810">
        <f>RTD("nest.scriprtd",,"bse_cm|SFL26A","Open")</f>
        <v>0</v>
      </c>
      <c r="N810">
        <f>RTD("nest.scriprtd",,"bse_cm|SFL26A","High")</f>
        <v>0</v>
      </c>
      <c r="O810">
        <f>RTD("nest.scriprtd",,"bse_cm|SFL26A","Low ")</f>
        <v>0</v>
      </c>
      <c r="P810">
        <f>RTD("nest.scriprtd",,"bse_cm|SFL26A","Prev Close")</f>
        <v>1000</v>
      </c>
      <c r="Q810">
        <f>RTD("nest.scriprtd",,"bse_cm|SFL26A","Face Value")</f>
        <v>1000</v>
      </c>
      <c r="R810" t="str">
        <f>RTD("nest.scriprtd",,"bse_cm|SFL26A","Isin code")</f>
        <v>INE302E07516</v>
      </c>
      <c r="S810" s="9">
        <f>Table1[[#This Row],[Ask Rate]]*Table1[[#This Row],[Ask Qty]]</f>
        <v>0</v>
      </c>
      <c r="T810" t="str">
        <f>VLOOKUP(Table1[[#This Row],[Isin code]],Table2[#All],7,FALSE)</f>
        <v>--</v>
      </c>
      <c r="U810" s="17" t="str">
        <f>VLOOKUP(Table1[[#This Row],[Isin code]],Table2[#All],8,FALSE)</f>
        <v>08-May-2026</v>
      </c>
      <c r="V810" s="10">
        <f ca="1">Table1[[#This Row],[Maturity]]-TODAY()</f>
        <v>569</v>
      </c>
      <c r="W810" t="str">
        <f>VLOOKUP(Table1[[#This Row],[Isin code]],Table2[#All],10,FALSE)</f>
        <v>At the End</v>
      </c>
      <c r="X810">
        <f ca="1">_xlfn.DAYS(Table1[[#This Row],[Maturity]],TODAY())-15</f>
        <v>554</v>
      </c>
      <c r="Y81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10">
        <f>IF(Table1[[#This Row],[Ask Rate]]=0,0,Table1[[#This Row],[Face Value]]-Table1[[#This Row],[Ask Rate]])</f>
        <v>0</v>
      </c>
      <c r="AA81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10">
        <f>Table1[[#This Row],[Face Value]]*Table1[[#This Row],[Rate]]*Table1[[#This Row],[Time]]</f>
        <v>0</v>
      </c>
      <c r="AC810">
        <f>Table1[[#This Row],[SI]]+Table1[[#This Row],[Disc/Prem]]</f>
        <v>0</v>
      </c>
      <c r="AD810" s="3" t="e">
        <f>Table1[[#This Row],[Net Gain]]/Table1[[#This Row],[Ask Rate]]</f>
        <v>#DIV/0!</v>
      </c>
      <c r="AE810" s="3">
        <f>IF(Table1[[#This Row],[Ask Qty]]=0,0,Table1[[#This Row],[Gross Yield]]*365/Table1[[#This Row],[Days Left]])</f>
        <v>0</v>
      </c>
      <c r="AF810" s="9">
        <f>+Table1[[#This Row],[Net Gain]]*Table1[[#This Row],[Ask Qty]]</f>
        <v>0</v>
      </c>
      <c r="AG810" t="str">
        <f>IF(Table1[[#This Row],[YTM]]&gt;0.12,IF(Table1[[#This Row],[Gross Profit]]&gt;10000,"Invest","Review"),"Low YTM")</f>
        <v>Low YTM</v>
      </c>
    </row>
    <row r="811" spans="1:33" x14ac:dyDescent="0.3">
      <c r="A811" t="str">
        <f>RTD("nest.scriprtd",,"bse_cm|SFL26","Symbol")</f>
        <v>SFL26</v>
      </c>
      <c r="B811" t="str">
        <f>RTD("nest.scriprtd",,"bse_cm|SFL26","Trading Symbol")</f>
        <v>SFL26</v>
      </c>
      <c r="C811" t="str">
        <f>RTD("nest.scriprtd",,"bse_cm|SFL26","Exchange")</f>
        <v>BSE</v>
      </c>
      <c r="D811">
        <f>RTD("nest.scriprtd",,"bse_cm|SFL26","Bid Qty")</f>
        <v>16</v>
      </c>
      <c r="E811">
        <f>RTD("nest.scriprtd",,"bse_cm|SFL26","Bid Rate")</f>
        <v>935.2</v>
      </c>
      <c r="F811">
        <f>RTD("nest.scriprtd",,"bse_cm|SFL26","Ask Rate")</f>
        <v>0</v>
      </c>
      <c r="G811">
        <f>RTD("nest.scriprtd",,"bse_cm|SFL26","Ask Qty")</f>
        <v>0</v>
      </c>
      <c r="H811">
        <f>RTD("nest.scriprtd",,"bse_cm|SFL26","LTP")</f>
        <v>0</v>
      </c>
      <c r="I811" t="str">
        <f>RTD("nest.scriprtd",,"bse_cm|SFL26","LTT")</f>
        <v>00:00:00</v>
      </c>
      <c r="J811">
        <f>RTD("nest.scriprtd",,"bse_cm|SFL26","% Change")</f>
        <v>-100</v>
      </c>
      <c r="K811">
        <f>RTD("nest.scriprtd",,"bse_cm|SFL26","ATP")</f>
        <v>0</v>
      </c>
      <c r="L811">
        <f>RTD("nest.scriprtd",,"bse_cm|SFL26","Volume Traded Today")</f>
        <v>0</v>
      </c>
      <c r="M811">
        <f>RTD("nest.scriprtd",,"bse_cm|SFL26","Open")</f>
        <v>0</v>
      </c>
      <c r="N811">
        <f>RTD("nest.scriprtd",,"bse_cm|SFL26","High")</f>
        <v>1025</v>
      </c>
      <c r="O811">
        <f>RTD("nest.scriprtd",,"bse_cm|SFL26","Low ")</f>
        <v>1025</v>
      </c>
      <c r="P811">
        <f>RTD("nest.scriprtd",,"bse_cm|SFL26","Prev Close")</f>
        <v>1025</v>
      </c>
      <c r="Q811">
        <f>RTD("nest.scriprtd",,"bse_cm|SFL26","Face Value")</f>
        <v>1000</v>
      </c>
      <c r="R811" t="str">
        <f>RTD("nest.scriprtd",,"bse_cm|SFL26","Isin code")</f>
        <v>INE302E07458</v>
      </c>
      <c r="S811" s="9">
        <f>Table1[[#This Row],[Ask Rate]]*Table1[[#This Row],[Ask Qty]]</f>
        <v>0</v>
      </c>
      <c r="T811" t="str">
        <f>VLOOKUP(Table1[[#This Row],[Isin code]],Table2[#All],7,FALSE)</f>
        <v>--</v>
      </c>
      <c r="U811" s="17" t="str">
        <f>VLOOKUP(Table1[[#This Row],[Isin code]],Table2[#All],8,FALSE)</f>
        <v>29-Apr-2026</v>
      </c>
      <c r="V811" s="10">
        <f ca="1">Table1[[#This Row],[Maturity]]-TODAY()</f>
        <v>560</v>
      </c>
      <c r="W811" t="str">
        <f>VLOOKUP(Table1[[#This Row],[Isin code]],Table2[#All],10,FALSE)</f>
        <v>At the End</v>
      </c>
      <c r="X811">
        <f ca="1">_xlfn.DAYS(Table1[[#This Row],[Maturity]],TODAY())-15</f>
        <v>545</v>
      </c>
      <c r="Y81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11">
        <f>IF(Table1[[#This Row],[Ask Rate]]=0,0,Table1[[#This Row],[Face Value]]-Table1[[#This Row],[Ask Rate]])</f>
        <v>0</v>
      </c>
      <c r="AA81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11">
        <f>Table1[[#This Row],[Face Value]]*Table1[[#This Row],[Rate]]*Table1[[#This Row],[Time]]</f>
        <v>0</v>
      </c>
      <c r="AC811">
        <f>Table1[[#This Row],[SI]]+Table1[[#This Row],[Disc/Prem]]</f>
        <v>0</v>
      </c>
      <c r="AD811" s="3" t="e">
        <f>Table1[[#This Row],[Net Gain]]/Table1[[#This Row],[Ask Rate]]</f>
        <v>#DIV/0!</v>
      </c>
      <c r="AE811" s="3">
        <f>IF(Table1[[#This Row],[Ask Qty]]=0,0,Table1[[#This Row],[Gross Yield]]*365/Table1[[#This Row],[Days Left]])</f>
        <v>0</v>
      </c>
      <c r="AF811" s="9">
        <f>+Table1[[#This Row],[Net Gain]]*Table1[[#This Row],[Ask Qty]]</f>
        <v>0</v>
      </c>
      <c r="AG811" t="str">
        <f>IF(Table1[[#This Row],[YTM]]&gt;0.12,IF(Table1[[#This Row],[Gross Profit]]&gt;10000,"Invest","Review"),"Low YTM")</f>
        <v>Low YTM</v>
      </c>
    </row>
    <row r="812" spans="1:33" x14ac:dyDescent="0.3">
      <c r="A812" t="str">
        <f>RTD("nest.scriprtd",,"bse_cm|SFL25A","Symbol")</f>
        <v>SFL25A</v>
      </c>
      <c r="B812" t="str">
        <f>RTD("nest.scriprtd",,"bse_cm|SFL25A","Trading Symbol")</f>
        <v>SFL25A</v>
      </c>
      <c r="C812" t="str">
        <f>RTD("nest.scriprtd",,"bse_cm|SFL25A","Exchange")</f>
        <v>BSE</v>
      </c>
      <c r="D812">
        <f>RTD("nest.scriprtd",,"bse_cm|SFL25A","Bid Qty")</f>
        <v>25</v>
      </c>
      <c r="E812">
        <f>RTD("nest.scriprtd",,"bse_cm|SFL25A","Bid Rate")</f>
        <v>948.2</v>
      </c>
      <c r="F812">
        <f>RTD("nest.scriprtd",,"bse_cm|SFL25A","Ask Rate")</f>
        <v>0</v>
      </c>
      <c r="G812">
        <f>RTD("nest.scriprtd",,"bse_cm|SFL25A","Ask Qty")</f>
        <v>0</v>
      </c>
      <c r="H812">
        <f>RTD("nest.scriprtd",,"bse_cm|SFL25A","LTP")</f>
        <v>0</v>
      </c>
      <c r="I812" t="str">
        <f>RTD("nest.scriprtd",,"bse_cm|SFL25A","LTT")</f>
        <v>00:00:00</v>
      </c>
      <c r="J812">
        <f>RTD("nest.scriprtd",,"bse_cm|SFL25A","% Change")</f>
        <v>-100</v>
      </c>
      <c r="K812">
        <f>RTD("nest.scriprtd",,"bse_cm|SFL25A","ATP")</f>
        <v>0</v>
      </c>
      <c r="L812">
        <f>RTD("nest.scriprtd",,"bse_cm|SFL25A","Volume Traded Today")</f>
        <v>0</v>
      </c>
      <c r="M812">
        <f>RTD("nest.scriprtd",,"bse_cm|SFL25A","Open")</f>
        <v>0</v>
      </c>
      <c r="N812">
        <f>RTD("nest.scriprtd",,"bse_cm|SFL25A","High")</f>
        <v>1177</v>
      </c>
      <c r="O812">
        <f>RTD("nest.scriprtd",,"bse_cm|SFL25A","Low ")</f>
        <v>1157.5899999999999</v>
      </c>
      <c r="P812">
        <f>RTD("nest.scriprtd",,"bse_cm|SFL25A","Prev Close")</f>
        <v>1177</v>
      </c>
      <c r="Q812">
        <f>RTD("nest.scriprtd",,"bse_cm|SFL25A","Face Value")</f>
        <v>1000</v>
      </c>
      <c r="R812" t="str">
        <f>RTD("nest.scriprtd",,"bse_cm|SFL25A","Isin code")</f>
        <v>INE302E07433</v>
      </c>
      <c r="S812" s="9">
        <f>Table1[[#This Row],[Ask Rate]]*Table1[[#This Row],[Ask Qty]]</f>
        <v>0</v>
      </c>
      <c r="T812" t="str">
        <f>VLOOKUP(Table1[[#This Row],[Isin code]],Table2[#All],7,FALSE)</f>
        <v>--</v>
      </c>
      <c r="U812" s="17" t="str">
        <f>VLOOKUP(Table1[[#This Row],[Isin code]],Table2[#All],8,FALSE)</f>
        <v>29-Apr-2025</v>
      </c>
      <c r="V812" s="10">
        <f ca="1">Table1[[#This Row],[Maturity]]-TODAY()</f>
        <v>195</v>
      </c>
      <c r="W812" t="str">
        <f>VLOOKUP(Table1[[#This Row],[Isin code]],Table2[#All],10,FALSE)</f>
        <v>At the End</v>
      </c>
      <c r="X812">
        <f ca="1">_xlfn.DAYS(Table1[[#This Row],[Maturity]],TODAY())-15</f>
        <v>180</v>
      </c>
      <c r="Y81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12">
        <f>IF(Table1[[#This Row],[Ask Rate]]=0,0,Table1[[#This Row],[Face Value]]-Table1[[#This Row],[Ask Rate]])</f>
        <v>0</v>
      </c>
      <c r="AA81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12">
        <f>Table1[[#This Row],[Face Value]]*Table1[[#This Row],[Rate]]*Table1[[#This Row],[Time]]</f>
        <v>0</v>
      </c>
      <c r="AC812">
        <f>Table1[[#This Row],[SI]]+Table1[[#This Row],[Disc/Prem]]</f>
        <v>0</v>
      </c>
      <c r="AD812" s="3" t="e">
        <f>Table1[[#This Row],[Net Gain]]/Table1[[#This Row],[Ask Rate]]</f>
        <v>#DIV/0!</v>
      </c>
      <c r="AE812" s="3">
        <f>IF(Table1[[#This Row],[Ask Qty]]=0,0,Table1[[#This Row],[Gross Yield]]*365/Table1[[#This Row],[Days Left]])</f>
        <v>0</v>
      </c>
      <c r="AF812" s="9">
        <f>+Table1[[#This Row],[Net Gain]]*Table1[[#This Row],[Ask Qty]]</f>
        <v>0</v>
      </c>
      <c r="AG812" t="str">
        <f>IF(Table1[[#This Row],[YTM]]&gt;0.12,IF(Table1[[#This Row],[Gross Profit]]&gt;10000,"Invest","Review"),"Low YTM")</f>
        <v>Low YTM</v>
      </c>
    </row>
    <row r="813" spans="1:33" x14ac:dyDescent="0.3">
      <c r="A813" t="str">
        <f>RTD("nest.scriprtd",,"bse_cm|SFL25","Symbol")</f>
        <v>SFL25</v>
      </c>
      <c r="B813" t="str">
        <f>RTD("nest.scriprtd",,"bse_cm|SFL25","Trading Symbol")</f>
        <v>SFL25</v>
      </c>
      <c r="C813" t="str">
        <f>RTD("nest.scriprtd",,"bse_cm|SFL25","Exchange")</f>
        <v>BSE</v>
      </c>
      <c r="D813">
        <f>RTD("nest.scriprtd",,"bse_cm|SFL25","Bid Qty")</f>
        <v>48</v>
      </c>
      <c r="E813">
        <f>RTD("nest.scriprtd",,"bse_cm|SFL25","Bid Rate")</f>
        <v>1280.01</v>
      </c>
      <c r="F813">
        <f>RTD("nest.scriprtd",,"bse_cm|SFL25","Ask Rate")</f>
        <v>0</v>
      </c>
      <c r="G813">
        <f>RTD("nest.scriprtd",,"bse_cm|SFL25","Ask Qty")</f>
        <v>0</v>
      </c>
      <c r="H813">
        <f>RTD("nest.scriprtd",,"bse_cm|SFL25","LTP")</f>
        <v>0</v>
      </c>
      <c r="I813" t="str">
        <f>RTD("nest.scriprtd",,"bse_cm|SFL25","LTT")</f>
        <v>00:00:00</v>
      </c>
      <c r="J813">
        <f>RTD("nest.scriprtd",,"bse_cm|SFL25","% Change")</f>
        <v>-100</v>
      </c>
      <c r="K813">
        <f>RTD("nest.scriprtd",,"bse_cm|SFL25","ATP")</f>
        <v>0</v>
      </c>
      <c r="L813">
        <f>RTD("nest.scriprtd",,"bse_cm|SFL25","Volume Traded Today")</f>
        <v>0</v>
      </c>
      <c r="M813">
        <f>RTD("nest.scriprtd",,"bse_cm|SFL25","Open")</f>
        <v>0</v>
      </c>
      <c r="N813">
        <f>RTD("nest.scriprtd",,"bse_cm|SFL25","High")</f>
        <v>1467.13</v>
      </c>
      <c r="O813">
        <f>RTD("nest.scriprtd",,"bse_cm|SFL25","Low ")</f>
        <v>1343.4</v>
      </c>
      <c r="P813">
        <f>RTD("nest.scriprtd",,"bse_cm|SFL25","Prev Close")</f>
        <v>1467.13</v>
      </c>
      <c r="Q813">
        <f>RTD("nest.scriprtd",,"bse_cm|SFL25","Face Value")</f>
        <v>1000</v>
      </c>
      <c r="R813" t="str">
        <f>RTD("nest.scriprtd",,"bse_cm|SFL25","Isin code")</f>
        <v>INE302E08076</v>
      </c>
      <c r="S813" s="9">
        <f>Table1[[#This Row],[Ask Rate]]*Table1[[#This Row],[Ask Qty]]</f>
        <v>0</v>
      </c>
      <c r="T813" t="str">
        <f>VLOOKUP(Table1[[#This Row],[Isin code]],Table2[#All],7,FALSE)</f>
        <v>--</v>
      </c>
      <c r="U813" s="17" t="str">
        <f>VLOOKUP(Table1[[#This Row],[Isin code]],Table2[#All],8,FALSE)</f>
        <v>08-Jul-2025</v>
      </c>
      <c r="V813" s="10">
        <f ca="1">Table1[[#This Row],[Maturity]]-TODAY()</f>
        <v>265</v>
      </c>
      <c r="W813" t="str">
        <f>VLOOKUP(Table1[[#This Row],[Isin code]],Table2[#All],10,FALSE)</f>
        <v>At the End</v>
      </c>
      <c r="X813">
        <f ca="1">_xlfn.DAYS(Table1[[#This Row],[Maturity]],TODAY())-15</f>
        <v>250</v>
      </c>
      <c r="Y81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13">
        <f>IF(Table1[[#This Row],[Ask Rate]]=0,0,Table1[[#This Row],[Face Value]]-Table1[[#This Row],[Ask Rate]])</f>
        <v>0</v>
      </c>
      <c r="AA81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13">
        <f>Table1[[#This Row],[Face Value]]*Table1[[#This Row],[Rate]]*Table1[[#This Row],[Time]]</f>
        <v>0</v>
      </c>
      <c r="AC813">
        <f>Table1[[#This Row],[SI]]+Table1[[#This Row],[Disc/Prem]]</f>
        <v>0</v>
      </c>
      <c r="AD813" s="3" t="e">
        <f>Table1[[#This Row],[Net Gain]]/Table1[[#This Row],[Ask Rate]]</f>
        <v>#DIV/0!</v>
      </c>
      <c r="AE813" s="3">
        <f>IF(Table1[[#This Row],[Ask Qty]]=0,0,Table1[[#This Row],[Gross Yield]]*365/Table1[[#This Row],[Days Left]])</f>
        <v>0</v>
      </c>
      <c r="AF813" s="9">
        <f>+Table1[[#This Row],[Net Gain]]*Table1[[#This Row],[Ask Qty]]</f>
        <v>0</v>
      </c>
      <c r="AG813" t="str">
        <f>IF(Table1[[#This Row],[YTM]]&gt;0.12,IF(Table1[[#This Row],[Gross Profit]]&gt;10000,"Invest","Review"),"Low YTM")</f>
        <v>Low YTM</v>
      </c>
    </row>
    <row r="814" spans="1:33" hidden="1" x14ac:dyDescent="0.3">
      <c r="A814" t="str">
        <f>RTD("nest.scriprtd",,"bse_cm|SCLZC26H","Symbol")</f>
        <v>SCLZC26H</v>
      </c>
      <c r="B814" t="str">
        <f>RTD("nest.scriprtd",,"bse_cm|SCLZC26H","Trading Symbol")</f>
        <v>SCLZC26H</v>
      </c>
      <c r="C814" t="str">
        <f>RTD("nest.scriprtd",,"bse_cm|SCLZC26H","Exchange")</f>
        <v>BSE</v>
      </c>
      <c r="D814">
        <f>RTD("nest.scriprtd",,"bse_cm|SCLZC26H","Bid Qty")</f>
        <v>20</v>
      </c>
      <c r="E814">
        <f>RTD("nest.scriprtd",,"bse_cm|SCLZC26H","Bid Rate")</f>
        <v>848.45</v>
      </c>
      <c r="F814">
        <f>RTD("nest.scriprtd",,"bse_cm|SCLZC26H","Ask Rate")</f>
        <v>0</v>
      </c>
      <c r="G814">
        <f>RTD("nest.scriprtd",,"bse_cm|SCLZC26H","Ask Qty")</f>
        <v>0</v>
      </c>
      <c r="H814">
        <f>RTD("nest.scriprtd",,"bse_cm|SCLZC26H","LTP")</f>
        <v>0</v>
      </c>
      <c r="I814" t="str">
        <f>RTD("nest.scriprtd",,"bse_cm|SCLZC26H","LTT")</f>
        <v>00:00:00</v>
      </c>
      <c r="J814">
        <f>RTD("nest.scriprtd",,"bse_cm|SCLZC26H","% Change")</f>
        <v>-100</v>
      </c>
      <c r="K814">
        <f>RTD("nest.scriprtd",,"bse_cm|SCLZC26H","ATP")</f>
        <v>0</v>
      </c>
      <c r="L814">
        <f>RTD("nest.scriprtd",,"bse_cm|SCLZC26H","Volume Traded Today")</f>
        <v>0</v>
      </c>
      <c r="M814">
        <f>RTD("nest.scriprtd",,"bse_cm|SCLZC26H","Open")</f>
        <v>0</v>
      </c>
      <c r="N814">
        <f>RTD("nest.scriprtd",,"bse_cm|SCLZC26H","High")</f>
        <v>0</v>
      </c>
      <c r="O814">
        <f>RTD("nest.scriprtd",,"bse_cm|SCLZC26H","Low ")</f>
        <v>0</v>
      </c>
      <c r="P814">
        <f>RTD("nest.scriprtd",,"bse_cm|SCLZC26H","Prev Close")</f>
        <v>1000</v>
      </c>
      <c r="Q814">
        <f>RTD("nest.scriprtd",,"bse_cm|SCLZC26H","Face Value")</f>
        <v>1000</v>
      </c>
      <c r="R814" t="str">
        <f>RTD("nest.scriprtd",,"bse_cm|SCLZC26H","Isin code")</f>
        <v>INEl48I07QA5</v>
      </c>
      <c r="S814" s="9">
        <f>Table1[[#This Row],[Ask Rate]]*Table1[[#This Row],[Ask Qty]]</f>
        <v>0</v>
      </c>
      <c r="T814" t="str">
        <f>VLOOKUP(Table1[[#This Row],[Isin code]],Table2[#All],7,FALSE)</f>
        <v>x</v>
      </c>
      <c r="U814" s="17" t="str">
        <f>VLOOKUP(Table1[[#This Row],[Isin code]],Table2[#All],8,FALSE)</f>
        <v>x</v>
      </c>
      <c r="V814" s="10" t="e">
        <f ca="1">Table1[[#This Row],[Maturity]]-TODAY()</f>
        <v>#VALUE!</v>
      </c>
      <c r="W814" t="str">
        <f>VLOOKUP(Table1[[#This Row],[Isin code]],Table2[#All],10,FALSE)</f>
        <v>x</v>
      </c>
      <c r="X814" t="e">
        <f ca="1">_xlfn.DAYS(Table1[[#This Row],[Maturity]],TODAY())-15</f>
        <v>#VALUE!</v>
      </c>
      <c r="Y81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14">
        <f>IF(Table1[[#This Row],[Ask Rate]]=0,0,Table1[[#This Row],[Face Value]]-Table1[[#This Row],[Ask Rate]])</f>
        <v>0</v>
      </c>
      <c r="AA81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14">
        <f>Table1[[#This Row],[Face Value]]*Table1[[#This Row],[Rate]]*Table1[[#This Row],[Time]]</f>
        <v>0</v>
      </c>
      <c r="AC814">
        <f>Table1[[#This Row],[SI]]+Table1[[#This Row],[Disc/Prem]]</f>
        <v>0</v>
      </c>
      <c r="AD814" s="3" t="e">
        <f>Table1[[#This Row],[Net Gain]]/Table1[[#This Row],[Ask Rate]]</f>
        <v>#DIV/0!</v>
      </c>
      <c r="AE814" s="3">
        <f>IF(Table1[[#This Row],[Ask Qty]]=0,0,Table1[[#This Row],[Gross Yield]]*365/Table1[[#This Row],[Days Left]])</f>
        <v>0</v>
      </c>
      <c r="AF814" s="9">
        <f>+Table1[[#This Row],[Net Gain]]*Table1[[#This Row],[Ask Qty]]</f>
        <v>0</v>
      </c>
      <c r="AG814" t="str">
        <f>IF(Table1[[#This Row],[YTM]]&gt;0.12,IF(Table1[[#This Row],[Gross Profit]]&gt;10000,"Invest","Review"),"Low YTM")</f>
        <v>Low YTM</v>
      </c>
    </row>
    <row r="815" spans="1:33" x14ac:dyDescent="0.3">
      <c r="A815" t="str">
        <f>RTD("nest.scriprtd",,"nse_cm|SCLZC26G-YA","Symbol")</f>
        <v>SCLZC26G</v>
      </c>
      <c r="B815" t="str">
        <f>RTD("nest.scriprtd",,"nse_cm|SCLZC26G-YA","Trading Symbol")</f>
        <v>SCLZC26G-YA</v>
      </c>
      <c r="C815" t="str">
        <f>RTD("nest.scriprtd",,"nse_cm|SCLZC26G-YA","Exchange")</f>
        <v>NSE</v>
      </c>
      <c r="D815">
        <f>RTD("nest.scriprtd",,"nse_cm|SCLZC26G-YA","Bid Qty")</f>
        <v>5</v>
      </c>
      <c r="E815">
        <f>RTD("nest.scriprtd",,"nse_cm|SCLZC26G-YA","Bid Rate")</f>
        <v>925</v>
      </c>
      <c r="F815">
        <f>RTD("nest.scriprtd",,"nse_cm|SCLZC26G-YA","Ask Rate")</f>
        <v>0</v>
      </c>
      <c r="G815">
        <f>RTD("nest.scriprtd",,"nse_cm|SCLZC26G-YA","Ask Qty")</f>
        <v>0</v>
      </c>
      <c r="H815">
        <f>RTD("nest.scriprtd",,"nse_cm|SCLZC26G-YA","LTP")</f>
        <v>924.3</v>
      </c>
      <c r="I815" t="str">
        <f>RTD("nest.scriprtd",,"nse_cm|SCLZC26G-YA","LTT")</f>
        <v/>
      </c>
      <c r="J815">
        <f>RTD("nest.scriprtd",,"nse_cm|SCLZC26G-YA","% Change")</f>
        <v>0</v>
      </c>
      <c r="K815">
        <f>RTD("nest.scriprtd",,"nse_cm|SCLZC26G-YA","ATP")</f>
        <v>0</v>
      </c>
      <c r="L815">
        <f>RTD("nest.scriprtd",,"nse_cm|SCLZC26G-YA","Volume Traded Today")</f>
        <v>0</v>
      </c>
      <c r="M815">
        <f>RTD("nest.scriprtd",,"nse_cm|SCLZC26G-YA","Open")</f>
        <v>0</v>
      </c>
      <c r="N815">
        <f>RTD("nest.scriprtd",,"nse_cm|SCLZC26G-YA","High")</f>
        <v>924.3</v>
      </c>
      <c r="O815">
        <f>RTD("nest.scriprtd",,"nse_cm|SCLZC26G-YA","Low ")</f>
        <v>924.3</v>
      </c>
      <c r="P815">
        <f>RTD("nest.scriprtd",,"nse_cm|SCLZC26G-YA","Prev Close")</f>
        <v>924.3</v>
      </c>
      <c r="Q815">
        <f>RTD("nest.scriprtd",,"nse_cm|SCLZC26G-YA","Face Value")</f>
        <v>1000</v>
      </c>
      <c r="R815" t="str">
        <f>RTD("nest.scriprtd",,"nse_cm|SCLZC26G-YA","Isin code")</f>
        <v>INE148I07RL0</v>
      </c>
      <c r="S815" s="9">
        <f>Table1[[#This Row],[Ask Rate]]*Table1[[#This Row],[Ask Qty]]</f>
        <v>0</v>
      </c>
      <c r="T815">
        <f>VLOOKUP(Table1[[#This Row],[Isin code]],Table2[#All],7,FALSE)</f>
        <v>0</v>
      </c>
      <c r="U815" s="17" t="str">
        <f>VLOOKUP(Table1[[#This Row],[Isin code]],Table2[#All],8,FALSE)</f>
        <v>27-Dec-2026</v>
      </c>
      <c r="V815" s="10">
        <f ca="1">Table1[[#This Row],[Maturity]]-TODAY()</f>
        <v>802</v>
      </c>
      <c r="W815" t="str">
        <f>VLOOKUP(Table1[[#This Row],[Isin code]],Table2[#All],10,FALSE)</f>
        <v>0</v>
      </c>
      <c r="X815">
        <f ca="1">_xlfn.DAYS(Table1[[#This Row],[Maturity]],TODAY())-15</f>
        <v>787</v>
      </c>
      <c r="Y81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15">
        <f>IF(Table1[[#This Row],[Ask Rate]]=0,0,Table1[[#This Row],[Face Value]]-Table1[[#This Row],[Ask Rate]])</f>
        <v>0</v>
      </c>
      <c r="AA81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15">
        <f>Table1[[#This Row],[Face Value]]*Table1[[#This Row],[Rate]]*Table1[[#This Row],[Time]]</f>
        <v>0</v>
      </c>
      <c r="AC815">
        <f>Table1[[#This Row],[SI]]+Table1[[#This Row],[Disc/Prem]]</f>
        <v>0</v>
      </c>
      <c r="AD815" s="3" t="e">
        <f>Table1[[#This Row],[Net Gain]]/Table1[[#This Row],[Ask Rate]]</f>
        <v>#DIV/0!</v>
      </c>
      <c r="AE815" s="3">
        <f>IF(Table1[[#This Row],[Ask Qty]]=0,0,Table1[[#This Row],[Gross Yield]]*365/Table1[[#This Row],[Days Left]])</f>
        <v>0</v>
      </c>
      <c r="AF815" s="9">
        <f>+Table1[[#This Row],[Net Gain]]*Table1[[#This Row],[Ask Qty]]</f>
        <v>0</v>
      </c>
      <c r="AG815" t="str">
        <f>IF(Table1[[#This Row],[YTM]]&gt;0.12,IF(Table1[[#This Row],[Gross Profit]]&gt;10000,"Invest","Review"),"Low YTM")</f>
        <v>Low YTM</v>
      </c>
    </row>
    <row r="816" spans="1:33" x14ac:dyDescent="0.3">
      <c r="A816" t="str">
        <f>RTD("nest.scriprtd",,"bse_cm|965SCL29","Symbol")</f>
        <v>965SCL29</v>
      </c>
      <c r="B816" t="str">
        <f>RTD("nest.scriprtd",,"bse_cm|965SCL29","Trading Symbol")</f>
        <v>965SCL29</v>
      </c>
      <c r="C816" t="str">
        <f>RTD("nest.scriprtd",,"bse_cm|965SCL29","Exchange")</f>
        <v>BSE</v>
      </c>
      <c r="D816">
        <f>RTD("nest.scriprtd",,"bse_cm|965SCL29","Bid Qty")</f>
        <v>20</v>
      </c>
      <c r="E816">
        <f>RTD("nest.scriprtd",,"bse_cm|965SCL29","Bid Rate")</f>
        <v>824.4</v>
      </c>
      <c r="F816">
        <f>RTD("nest.scriprtd",,"bse_cm|965SCL29","Ask Rate")</f>
        <v>0</v>
      </c>
      <c r="G816">
        <f>RTD("nest.scriprtd",,"bse_cm|965SCL29","Ask Qty")</f>
        <v>0</v>
      </c>
      <c r="H816">
        <f>RTD("nest.scriprtd",,"bse_cm|965SCL29","LTP")</f>
        <v>0</v>
      </c>
      <c r="I816" t="str">
        <f>RTD("nest.scriprtd",,"bse_cm|965SCL29","LTT")</f>
        <v>00:00:00</v>
      </c>
      <c r="J816">
        <f>RTD("nest.scriprtd",,"bse_cm|965SCL29","% Change")</f>
        <v>-100</v>
      </c>
      <c r="K816">
        <f>RTD("nest.scriprtd",,"bse_cm|965SCL29","ATP")</f>
        <v>0</v>
      </c>
      <c r="L816">
        <f>RTD("nest.scriprtd",,"bse_cm|965SCL29","Volume Traded Today")</f>
        <v>0</v>
      </c>
      <c r="M816">
        <f>RTD("nest.scriprtd",,"bse_cm|965SCL29","Open")</f>
        <v>0</v>
      </c>
      <c r="N816">
        <f>RTD("nest.scriprtd",,"bse_cm|965SCL29","High")</f>
        <v>0</v>
      </c>
      <c r="O816">
        <f>RTD("nest.scriprtd",,"bse_cm|965SCL29","Low ")</f>
        <v>0</v>
      </c>
      <c r="P816">
        <f>RTD("nest.scriprtd",,"bse_cm|965SCL29","Prev Close")</f>
        <v>1000</v>
      </c>
      <c r="Q816">
        <f>RTD("nest.scriprtd",,"bse_cm|965SCL29","Face Value")</f>
        <v>1000</v>
      </c>
      <c r="R816" t="str">
        <f>RTD("nest.scriprtd",,"bse_cm|965SCL29","Isin code")</f>
        <v>INE148I07SP9</v>
      </c>
      <c r="S816" s="9">
        <f>Table1[[#This Row],[Ask Rate]]*Table1[[#This Row],[Ask Qty]]</f>
        <v>0</v>
      </c>
      <c r="T816">
        <f>VLOOKUP(Table1[[#This Row],[Isin code]],Table2[#All],7,FALSE)</f>
        <v>9.65</v>
      </c>
      <c r="U816" s="17" t="str">
        <f>VLOOKUP(Table1[[#This Row],[Isin code]],Table2[#All],8,FALSE)</f>
        <v>26-Mar-2029</v>
      </c>
      <c r="V816" s="10">
        <f ca="1">Table1[[#This Row],[Maturity]]-TODAY()</f>
        <v>1622</v>
      </c>
      <c r="W816" t="str">
        <f>VLOOKUP(Table1[[#This Row],[Isin code]],Table2[#All],10,FALSE)</f>
        <v>Yearly</v>
      </c>
      <c r="X816">
        <f ca="1">_xlfn.DAYS(Table1[[#This Row],[Maturity]],TODAY())-15</f>
        <v>1607</v>
      </c>
      <c r="Y8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816">
        <f>IF(Table1[[#This Row],[Ask Rate]]=0,0,Table1[[#This Row],[Face Value]]-Table1[[#This Row],[Ask Rate]])</f>
        <v>0</v>
      </c>
      <c r="AA816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816">
        <f ca="1">Table1[[#This Row],[Face Value]]*Table1[[#This Row],[Rate]]*Table1[[#This Row],[Time]]</f>
        <v>482.5</v>
      </c>
      <c r="AC816">
        <f ca="1">Table1[[#This Row],[SI]]+Table1[[#This Row],[Disc/Prem]]</f>
        <v>482.5</v>
      </c>
      <c r="AD816" s="3" t="e">
        <f ca="1">Table1[[#This Row],[Net Gain]]/Table1[[#This Row],[Ask Rate]]</f>
        <v>#DIV/0!</v>
      </c>
      <c r="AE816" s="3">
        <f>IF(Table1[[#This Row],[Ask Qty]]=0,0,Table1[[#This Row],[Gross Yield]]*365/Table1[[#This Row],[Days Left]])</f>
        <v>0</v>
      </c>
      <c r="AF816" s="9">
        <f ca="1">+Table1[[#This Row],[Net Gain]]*Table1[[#This Row],[Ask Qty]]</f>
        <v>0</v>
      </c>
      <c r="AG816" t="str">
        <f>IF(Table1[[#This Row],[YTM]]&gt;0.12,IF(Table1[[#This Row],[Gross Profit]]&gt;10000,"Invest","Review"),"Low YTM")</f>
        <v>Low YTM</v>
      </c>
    </row>
    <row r="817" spans="1:33" x14ac:dyDescent="0.3">
      <c r="A817" t="str">
        <f>RTD("nest.scriprtd",,"nse_cm|965SCL28C-BR","Symbol")</f>
        <v>965SCL28C</v>
      </c>
      <c r="B817" t="str">
        <f>RTD("nest.scriprtd",,"nse_cm|965SCL28C-BR","Trading Symbol")</f>
        <v>965SCL28C-BR</v>
      </c>
      <c r="C817" t="str">
        <f>RTD("nest.scriprtd",,"nse_cm|965SCL28C-BR","Exchange")</f>
        <v>NSE</v>
      </c>
      <c r="D817">
        <f>RTD("nest.scriprtd",,"nse_cm|965SCL28C-BR","Bid Qty")</f>
        <v>7</v>
      </c>
      <c r="E817">
        <f>RTD("nest.scriprtd",,"nse_cm|965SCL28C-BR","Bid Rate")</f>
        <v>650.20000000000005</v>
      </c>
      <c r="F817">
        <f>RTD("nest.scriprtd",,"nse_cm|965SCL28C-BR","Ask Rate")</f>
        <v>0</v>
      </c>
      <c r="G817">
        <f>RTD("nest.scriprtd",,"nse_cm|965SCL28C-BR","Ask Qty")</f>
        <v>0</v>
      </c>
      <c r="H817">
        <f>RTD("nest.scriprtd",,"nse_cm|965SCL28C-BR","LTP")</f>
        <v>0</v>
      </c>
      <c r="I817" t="str">
        <f>RTD("nest.scriprtd",,"nse_cm|965SCL28C-BR","LTT")</f>
        <v/>
      </c>
      <c r="J817">
        <f>RTD("nest.scriprtd",,"nse_cm|965SCL28C-BR","% Change")</f>
        <v>-100</v>
      </c>
      <c r="K817">
        <f>RTD("nest.scriprtd",,"nse_cm|965SCL28C-BR","ATP")</f>
        <v>0</v>
      </c>
      <c r="L817">
        <f>RTD("nest.scriprtd",,"nse_cm|965SCL28C-BR","Volume Traded Today")</f>
        <v>0</v>
      </c>
      <c r="M817">
        <f>RTD("nest.scriprtd",,"nse_cm|965SCL28C-BR","Open")</f>
        <v>0</v>
      </c>
      <c r="N817">
        <f>RTD("nest.scriprtd",,"nse_cm|965SCL28C-BR","High")</f>
        <v>0</v>
      </c>
      <c r="O817">
        <f>RTD("nest.scriprtd",,"nse_cm|965SCL28C-BR","Low ")</f>
        <v>0</v>
      </c>
      <c r="P817">
        <f>RTD("nest.scriprtd",,"nse_cm|965SCL28C-BR","Prev Close")</f>
        <v>1000</v>
      </c>
      <c r="Q817">
        <f>RTD("nest.scriprtd",,"nse_cm|965SCL28C-BR","Face Value")</f>
        <v>800</v>
      </c>
      <c r="R817" t="str">
        <f>RTD("nest.scriprtd",,"nse_cm|965SCL28C-BR","Isin code")</f>
        <v>INE148I07PK6</v>
      </c>
      <c r="S817" s="9">
        <f>Table1[[#This Row],[Ask Rate]]*Table1[[#This Row],[Ask Qty]]</f>
        <v>0</v>
      </c>
      <c r="T817">
        <f>VLOOKUP(Table1[[#This Row],[Isin code]],Table2[#All],7,FALSE)</f>
        <v>9.65</v>
      </c>
      <c r="U817" s="17" t="str">
        <f>VLOOKUP(Table1[[#This Row],[Isin code]],Table2[#All],8,FALSE)</f>
        <v>26-Sep-2028</v>
      </c>
      <c r="V817" s="10">
        <f ca="1">Table1[[#This Row],[Maturity]]-TODAY()</f>
        <v>1441</v>
      </c>
      <c r="W817" t="str">
        <f>VLOOKUP(Table1[[#This Row],[Isin code]],Table2[#All],10,FALSE)</f>
        <v>Yearly</v>
      </c>
      <c r="X817">
        <f ca="1">_xlfn.DAYS(Table1[[#This Row],[Maturity]],TODAY())-15</f>
        <v>1426</v>
      </c>
      <c r="Y8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817">
        <f>IF(Table1[[#This Row],[Ask Rate]]=0,0,Table1[[#This Row],[Face Value]]-Table1[[#This Row],[Ask Rate]])</f>
        <v>0</v>
      </c>
      <c r="AA817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817">
        <f ca="1">Table1[[#This Row],[Face Value]]*Table1[[#This Row],[Rate]]*Table1[[#This Row],[Time]]</f>
        <v>308.8</v>
      </c>
      <c r="AC817">
        <f ca="1">Table1[[#This Row],[SI]]+Table1[[#This Row],[Disc/Prem]]</f>
        <v>308.8</v>
      </c>
      <c r="AD817" s="3" t="e">
        <f ca="1">Table1[[#This Row],[Net Gain]]/Table1[[#This Row],[Ask Rate]]</f>
        <v>#DIV/0!</v>
      </c>
      <c r="AE817" s="3">
        <f>IF(Table1[[#This Row],[Ask Qty]]=0,0,Table1[[#This Row],[Gross Yield]]*365/Table1[[#This Row],[Days Left]])</f>
        <v>0</v>
      </c>
      <c r="AF817" s="9">
        <f ca="1">+Table1[[#This Row],[Net Gain]]*Table1[[#This Row],[Ask Qty]]</f>
        <v>0</v>
      </c>
      <c r="AG817" t="str">
        <f>IF(Table1[[#This Row],[YTM]]&gt;0.12,IF(Table1[[#This Row],[Gross Profit]]&gt;10000,"Invest","Review"),"Low YTM")</f>
        <v>Low YTM</v>
      </c>
    </row>
    <row r="818" spans="1:33" x14ac:dyDescent="0.3">
      <c r="A818" t="str">
        <f>RTD("nest.scriprtd",,"bse_cm|965SCL28C","Symbol")</f>
        <v>965SCL28C</v>
      </c>
      <c r="B818" t="str">
        <f>RTD("nest.scriprtd",,"bse_cm|965SCL28C","Trading Symbol")</f>
        <v>965SCL28C</v>
      </c>
      <c r="C818" t="str">
        <f>RTD("nest.scriprtd",,"bse_cm|965SCL28C","Exchange")</f>
        <v>BSE</v>
      </c>
      <c r="D818">
        <f>RTD("nest.scriprtd",,"bse_cm|965SCL28C","Bid Qty")</f>
        <v>20</v>
      </c>
      <c r="E818">
        <f>RTD("nest.scriprtd",,"bse_cm|965SCL28C","Bid Rate")</f>
        <v>642.20000000000005</v>
      </c>
      <c r="F818">
        <f>RTD("nest.scriprtd",,"bse_cm|965SCL28C","Ask Rate")</f>
        <v>0</v>
      </c>
      <c r="G818">
        <f>RTD("nest.scriprtd",,"bse_cm|965SCL28C","Ask Qty")</f>
        <v>0</v>
      </c>
      <c r="H818">
        <f>RTD("nest.scriprtd",,"bse_cm|965SCL28C","LTP")</f>
        <v>0</v>
      </c>
      <c r="I818" t="str">
        <f>RTD("nest.scriprtd",,"bse_cm|965SCL28C","LTT")</f>
        <v>00:00:00</v>
      </c>
      <c r="J818">
        <f>RTD("nest.scriprtd",,"bse_cm|965SCL28C","% Change")</f>
        <v>-100</v>
      </c>
      <c r="K818">
        <f>RTD("nest.scriprtd",,"bse_cm|965SCL28C","ATP")</f>
        <v>0</v>
      </c>
      <c r="L818">
        <f>RTD("nest.scriprtd",,"bse_cm|965SCL28C","Volume Traded Today")</f>
        <v>0</v>
      </c>
      <c r="M818">
        <f>RTD("nest.scriprtd",,"bse_cm|965SCL28C","Open")</f>
        <v>0</v>
      </c>
      <c r="N818">
        <f>RTD("nest.scriprtd",,"bse_cm|965SCL28C","High")</f>
        <v>0</v>
      </c>
      <c r="O818">
        <f>RTD("nest.scriprtd",,"bse_cm|965SCL28C","Low ")</f>
        <v>0</v>
      </c>
      <c r="P818">
        <f>RTD("nest.scriprtd",,"bse_cm|965SCL28C","Prev Close")</f>
        <v>800</v>
      </c>
      <c r="Q818">
        <f>RTD("nest.scriprtd",,"bse_cm|965SCL28C","Face Value")</f>
        <v>800</v>
      </c>
      <c r="R818" t="str">
        <f>RTD("nest.scriprtd",,"bse_cm|965SCL28C","Isin code")</f>
        <v>INE148I07PK6</v>
      </c>
      <c r="S818" s="9">
        <f>Table1[[#This Row],[Ask Rate]]*Table1[[#This Row],[Ask Qty]]</f>
        <v>0</v>
      </c>
      <c r="T818">
        <f>VLOOKUP(Table1[[#This Row],[Isin code]],Table2[#All],7,FALSE)</f>
        <v>9.65</v>
      </c>
      <c r="U818" s="17" t="str">
        <f>VLOOKUP(Table1[[#This Row],[Isin code]],Table2[#All],8,FALSE)</f>
        <v>26-Sep-2028</v>
      </c>
      <c r="V818" s="10">
        <f ca="1">Table1[[#This Row],[Maturity]]-TODAY()</f>
        <v>1441</v>
      </c>
      <c r="W818" t="str">
        <f>VLOOKUP(Table1[[#This Row],[Isin code]],Table2[#All],10,FALSE)</f>
        <v>Yearly</v>
      </c>
      <c r="X818">
        <f ca="1">_xlfn.DAYS(Table1[[#This Row],[Maturity]],TODAY())-15</f>
        <v>1426</v>
      </c>
      <c r="Y8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818">
        <f>IF(Table1[[#This Row],[Ask Rate]]=0,0,Table1[[#This Row],[Face Value]]-Table1[[#This Row],[Ask Rate]])</f>
        <v>0</v>
      </c>
      <c r="AA818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818">
        <f ca="1">Table1[[#This Row],[Face Value]]*Table1[[#This Row],[Rate]]*Table1[[#This Row],[Time]]</f>
        <v>308.8</v>
      </c>
      <c r="AC818">
        <f ca="1">Table1[[#This Row],[SI]]+Table1[[#This Row],[Disc/Prem]]</f>
        <v>308.8</v>
      </c>
      <c r="AD818" s="3" t="e">
        <f ca="1">Table1[[#This Row],[Net Gain]]/Table1[[#This Row],[Ask Rate]]</f>
        <v>#DIV/0!</v>
      </c>
      <c r="AE818" s="3">
        <f>IF(Table1[[#This Row],[Ask Qty]]=0,0,Table1[[#This Row],[Gross Yield]]*365/Table1[[#This Row],[Days Left]])</f>
        <v>0</v>
      </c>
      <c r="AF818" s="9">
        <f ca="1">+Table1[[#This Row],[Net Gain]]*Table1[[#This Row],[Ask Qty]]</f>
        <v>0</v>
      </c>
      <c r="AG818" t="str">
        <f>IF(Table1[[#This Row],[YTM]]&gt;0.12,IF(Table1[[#This Row],[Gross Profit]]&gt;10000,"Invest","Review"),"Low YTM")</f>
        <v>Low YTM</v>
      </c>
    </row>
    <row r="819" spans="1:33" x14ac:dyDescent="0.3">
      <c r="A819" t="str">
        <f>RTD("nest.scriprtd",,"nse_cm|965SCL28B-YB","Symbol")</f>
        <v>965SCL28B</v>
      </c>
      <c r="B819" t="str">
        <f>RTD("nest.scriprtd",,"nse_cm|965SCL28B-YB","Trading Symbol")</f>
        <v>965SCL28B-YB</v>
      </c>
      <c r="C819" t="str">
        <f>RTD("nest.scriprtd",,"nse_cm|965SCL28B-YB","Exchange")</f>
        <v>NSE</v>
      </c>
      <c r="D819">
        <f>RTD("nest.scriprtd",,"nse_cm|965SCL28B-YB","Bid Qty")</f>
        <v>6</v>
      </c>
      <c r="E819">
        <f>RTD("nest.scriprtd",,"nse_cm|965SCL28B-YB","Bid Rate")</f>
        <v>815.7</v>
      </c>
      <c r="F819">
        <f>RTD("nest.scriprtd",,"nse_cm|965SCL28B-YB","Ask Rate")</f>
        <v>0</v>
      </c>
      <c r="G819">
        <f>RTD("nest.scriprtd",,"nse_cm|965SCL28B-YB","Ask Qty")</f>
        <v>0</v>
      </c>
      <c r="H819">
        <f>RTD("nest.scriprtd",,"nse_cm|965SCL28B-YB","LTP")</f>
        <v>0</v>
      </c>
      <c r="I819" t="str">
        <f>RTD("nest.scriprtd",,"nse_cm|965SCL28B-YB","LTT")</f>
        <v/>
      </c>
      <c r="J819">
        <f>RTD("nest.scriprtd",,"nse_cm|965SCL28B-YB","% Change")</f>
        <v>-100</v>
      </c>
      <c r="K819">
        <f>RTD("nest.scriprtd",,"nse_cm|965SCL28B-YB","ATP")</f>
        <v>0</v>
      </c>
      <c r="L819">
        <f>RTD("nest.scriprtd",,"nse_cm|965SCL28B-YB","Volume Traded Today")</f>
        <v>0</v>
      </c>
      <c r="M819">
        <f>RTD("nest.scriprtd",,"nse_cm|965SCL28B-YB","Open")</f>
        <v>0</v>
      </c>
      <c r="N819">
        <f>RTD("nest.scriprtd",,"nse_cm|965SCL28B-YB","High")</f>
        <v>0</v>
      </c>
      <c r="O819">
        <f>RTD("nest.scriprtd",,"nse_cm|965SCL28B-YB","Low ")</f>
        <v>0</v>
      </c>
      <c r="P819">
        <f>RTD("nest.scriprtd",,"nse_cm|965SCL28B-YB","Prev Close")</f>
        <v>1000</v>
      </c>
      <c r="Q819">
        <f>RTD("nest.scriprtd",,"nse_cm|965SCL28B-YB","Face Value")</f>
        <v>1000</v>
      </c>
      <c r="R819" t="str">
        <f>RTD("nest.scriprtd",,"nse_cm|965SCL28B-YB","Isin code")</f>
        <v>INE148I07RM8</v>
      </c>
      <c r="S819" s="9">
        <f>Table1[[#This Row],[Ask Rate]]*Table1[[#This Row],[Ask Qty]]</f>
        <v>0</v>
      </c>
      <c r="T819">
        <f>VLOOKUP(Table1[[#This Row],[Isin code]],Table2[#All],7,FALSE)</f>
        <v>9.65</v>
      </c>
      <c r="U819" s="17" t="str">
        <f>VLOOKUP(Table1[[#This Row],[Isin code]],Table2[#All],8,FALSE)</f>
        <v>27-Dec-2028</v>
      </c>
      <c r="V819" s="10">
        <f ca="1">Table1[[#This Row],[Maturity]]-TODAY()</f>
        <v>1533</v>
      </c>
      <c r="W819" t="str">
        <f>VLOOKUP(Table1[[#This Row],[Isin code]],Table2[#All],10,FALSE)</f>
        <v>Yearly</v>
      </c>
      <c r="X819">
        <f ca="1">_xlfn.DAYS(Table1[[#This Row],[Maturity]],TODAY())-15</f>
        <v>1518</v>
      </c>
      <c r="Y8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819">
        <f>IF(Table1[[#This Row],[Ask Rate]]=0,0,Table1[[#This Row],[Face Value]]-Table1[[#This Row],[Ask Rate]])</f>
        <v>0</v>
      </c>
      <c r="AA819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819">
        <f ca="1">Table1[[#This Row],[Face Value]]*Table1[[#This Row],[Rate]]*Table1[[#This Row],[Time]]</f>
        <v>482.5</v>
      </c>
      <c r="AC819">
        <f ca="1">Table1[[#This Row],[SI]]+Table1[[#This Row],[Disc/Prem]]</f>
        <v>482.5</v>
      </c>
      <c r="AD819" s="3" t="e">
        <f ca="1">Table1[[#This Row],[Net Gain]]/Table1[[#This Row],[Ask Rate]]</f>
        <v>#DIV/0!</v>
      </c>
      <c r="AE819" s="3">
        <f>IF(Table1[[#This Row],[Ask Qty]]=0,0,Table1[[#This Row],[Gross Yield]]*365/Table1[[#This Row],[Days Left]])</f>
        <v>0</v>
      </c>
      <c r="AF819" s="9">
        <f ca="1">+Table1[[#This Row],[Net Gain]]*Table1[[#This Row],[Ask Qty]]</f>
        <v>0</v>
      </c>
      <c r="AG819" t="str">
        <f>IF(Table1[[#This Row],[YTM]]&gt;0.12,IF(Table1[[#This Row],[Gross Profit]]&gt;10000,"Invest","Review"),"Low YTM")</f>
        <v>Low YTM</v>
      </c>
    </row>
    <row r="820" spans="1:33" x14ac:dyDescent="0.3">
      <c r="A820" t="str">
        <f>RTD("nest.scriprtd",,"bse_cm|925SCL29","Symbol")</f>
        <v>925SCL29</v>
      </c>
      <c r="B820" t="str">
        <f>RTD("nest.scriprtd",,"bse_cm|925SCL29","Trading Symbol")</f>
        <v>925SCL29</v>
      </c>
      <c r="C820" t="str">
        <f>RTD("nest.scriprtd",,"bse_cm|925SCL29","Exchange")</f>
        <v>BSE</v>
      </c>
      <c r="D820">
        <f>RTD("nest.scriprtd",,"bse_cm|925SCL29","Bid Qty")</f>
        <v>20</v>
      </c>
      <c r="E820">
        <f>RTD("nest.scriprtd",,"bse_cm|925SCL29","Bid Rate")</f>
        <v>814.3</v>
      </c>
      <c r="F820">
        <f>RTD("nest.scriprtd",,"bse_cm|925SCL29","Ask Rate")</f>
        <v>0</v>
      </c>
      <c r="G820">
        <f>RTD("nest.scriprtd",,"bse_cm|925SCL29","Ask Qty")</f>
        <v>0</v>
      </c>
      <c r="H820">
        <f>RTD("nest.scriprtd",,"bse_cm|925SCL29","LTP")</f>
        <v>0</v>
      </c>
      <c r="I820" t="str">
        <f>RTD("nest.scriprtd",,"bse_cm|925SCL29","LTT")</f>
        <v>00:00:00</v>
      </c>
      <c r="J820">
        <f>RTD("nest.scriprtd",,"bse_cm|925SCL29","% Change")</f>
        <v>-100</v>
      </c>
      <c r="K820">
        <f>RTD("nest.scriprtd",,"bse_cm|925SCL29","ATP")</f>
        <v>0</v>
      </c>
      <c r="L820">
        <f>RTD("nest.scriprtd",,"bse_cm|925SCL29","Volume Traded Today")</f>
        <v>0</v>
      </c>
      <c r="M820">
        <f>RTD("nest.scriprtd",,"bse_cm|925SCL29","Open")</f>
        <v>0</v>
      </c>
      <c r="N820">
        <f>RTD("nest.scriprtd",,"bse_cm|925SCL29","High")</f>
        <v>0</v>
      </c>
      <c r="O820">
        <f>RTD("nest.scriprtd",,"bse_cm|925SCL29","Low ")</f>
        <v>0</v>
      </c>
      <c r="P820">
        <f>RTD("nest.scriprtd",,"bse_cm|925SCL29","Prev Close")</f>
        <v>1000</v>
      </c>
      <c r="Q820">
        <f>RTD("nest.scriprtd",,"bse_cm|925SCL29","Face Value")</f>
        <v>1000</v>
      </c>
      <c r="R820" t="str">
        <f>RTD("nest.scriprtd",,"bse_cm|925SCL29","Isin code")</f>
        <v>INE148I07SO2</v>
      </c>
      <c r="S820" s="9">
        <f>Table1[[#This Row],[Ask Rate]]*Table1[[#This Row],[Ask Qty]]</f>
        <v>0</v>
      </c>
      <c r="T820">
        <f>VLOOKUP(Table1[[#This Row],[Isin code]],Table2[#All],7,FALSE)</f>
        <v>9.25</v>
      </c>
      <c r="U820" s="17" t="str">
        <f>VLOOKUP(Table1[[#This Row],[Isin code]],Table2[#All],8,FALSE)</f>
        <v>26-Mar-2029</v>
      </c>
      <c r="V820" s="10">
        <f ca="1">Table1[[#This Row],[Maturity]]-TODAY()</f>
        <v>1622</v>
      </c>
      <c r="W820" t="str">
        <f>VLOOKUP(Table1[[#This Row],[Isin code]],Table2[#All],10,FALSE)</f>
        <v>Monthly</v>
      </c>
      <c r="X820">
        <f ca="1">_xlfn.DAYS(Table1[[#This Row],[Maturity]],TODAY())-15</f>
        <v>1607</v>
      </c>
      <c r="Y8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820">
        <f>IF(Table1[[#This Row],[Ask Rate]]=0,0,Table1[[#This Row],[Face Value]]-Table1[[#This Row],[Ask Rate]])</f>
        <v>0</v>
      </c>
      <c r="AA820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20">
        <f ca="1">Table1[[#This Row],[Face Value]]*Table1[[#This Row],[Rate]]*Table1[[#This Row],[Time]]</f>
        <v>416.25000000000006</v>
      </c>
      <c r="AC820">
        <f ca="1">Table1[[#This Row],[SI]]+Table1[[#This Row],[Disc/Prem]]</f>
        <v>416.25000000000006</v>
      </c>
      <c r="AD820" s="3" t="e">
        <f ca="1">Table1[[#This Row],[Net Gain]]/Table1[[#This Row],[Ask Rate]]</f>
        <v>#DIV/0!</v>
      </c>
      <c r="AE820" s="3">
        <f>IF(Table1[[#This Row],[Ask Qty]]=0,0,Table1[[#This Row],[Gross Yield]]*365/Table1[[#This Row],[Days Left]])</f>
        <v>0</v>
      </c>
      <c r="AF820" s="9">
        <f ca="1">+Table1[[#This Row],[Net Gain]]*Table1[[#This Row],[Ask Qty]]</f>
        <v>0</v>
      </c>
      <c r="AG820" t="str">
        <f>IF(Table1[[#This Row],[YTM]]&gt;0.12,IF(Table1[[#This Row],[Gross Profit]]&gt;10000,"Invest","Review"),"Low YTM")</f>
        <v>Low YTM</v>
      </c>
    </row>
    <row r="821" spans="1:33" x14ac:dyDescent="0.3">
      <c r="A821" t="str">
        <f>RTD("nest.scriprtd",,"nse_cm|925SCL28I-BA","Symbol")</f>
        <v>925SCL28I</v>
      </c>
      <c r="B821" t="str">
        <f>RTD("nest.scriprtd",,"nse_cm|925SCL28I-BA","Trading Symbol")</f>
        <v>925SCL28I-BA</v>
      </c>
      <c r="C821" t="str">
        <f>RTD("nest.scriprtd",,"nse_cm|925SCL28I-BA","Exchange")</f>
        <v>NSE</v>
      </c>
      <c r="D821">
        <f>RTD("nest.scriprtd",,"nse_cm|925SCL28I-BA","Bid Qty")</f>
        <v>9</v>
      </c>
      <c r="E821">
        <f>RTD("nest.scriprtd",,"nse_cm|925SCL28I-BA","Bid Rate")</f>
        <v>650</v>
      </c>
      <c r="F821">
        <f>RTD("nest.scriprtd",,"nse_cm|925SCL28I-BA","Ask Rate")</f>
        <v>0</v>
      </c>
      <c r="G821">
        <f>RTD("nest.scriprtd",,"nse_cm|925SCL28I-BA","Ask Qty")</f>
        <v>0</v>
      </c>
      <c r="H821">
        <f>RTD("nest.scriprtd",,"nse_cm|925SCL28I-BA","LTP")</f>
        <v>0</v>
      </c>
      <c r="I821" t="str">
        <f>RTD("nest.scriprtd",,"nse_cm|925SCL28I-BA","LTT")</f>
        <v/>
      </c>
      <c r="J821">
        <f>RTD("nest.scriprtd",,"nse_cm|925SCL28I-BA","% Change")</f>
        <v>-100</v>
      </c>
      <c r="K821">
        <f>RTD("nest.scriprtd",,"nse_cm|925SCL28I-BA","ATP")</f>
        <v>0</v>
      </c>
      <c r="L821">
        <f>RTD("nest.scriprtd",,"nse_cm|925SCL28I-BA","Volume Traded Today")</f>
        <v>0</v>
      </c>
      <c r="M821">
        <f>RTD("nest.scriprtd",,"nse_cm|925SCL28I-BA","Open")</f>
        <v>0</v>
      </c>
      <c r="N821">
        <f>RTD("nest.scriprtd",,"nse_cm|925SCL28I-BA","High")</f>
        <v>0</v>
      </c>
      <c r="O821">
        <f>RTD("nest.scriprtd",,"nse_cm|925SCL28I-BA","Low ")</f>
        <v>0</v>
      </c>
      <c r="P821">
        <f>RTD("nest.scriprtd",,"nse_cm|925SCL28I-BA","Prev Close")</f>
        <v>1000</v>
      </c>
      <c r="Q821">
        <f>RTD("nest.scriprtd",,"nse_cm|925SCL28I-BA","Face Value")</f>
        <v>800</v>
      </c>
      <c r="R821" t="str">
        <f>RTD("nest.scriprtd",,"nse_cm|925SCL28I-BA","Isin code")</f>
        <v>INE148I07OU8</v>
      </c>
      <c r="S821" s="9">
        <f>Table1[[#This Row],[Ask Rate]]*Table1[[#This Row],[Ask Qty]]</f>
        <v>0</v>
      </c>
      <c r="T821">
        <f>VLOOKUP(Table1[[#This Row],[Isin code]],Table2[#All],7,FALSE)</f>
        <v>9.25</v>
      </c>
      <c r="U821" s="17" t="str">
        <f>VLOOKUP(Table1[[#This Row],[Isin code]],Table2[#All],8,FALSE)</f>
        <v>27-Jul-2028</v>
      </c>
      <c r="V821" s="10">
        <f ca="1">Table1[[#This Row],[Maturity]]-TODAY()</f>
        <v>1380</v>
      </c>
      <c r="W821" t="str">
        <f>VLOOKUP(Table1[[#This Row],[Isin code]],Table2[#All],10,FALSE)</f>
        <v>Monthly</v>
      </c>
      <c r="X821">
        <f ca="1">_xlfn.DAYS(Table1[[#This Row],[Maturity]],TODAY())-15</f>
        <v>1365</v>
      </c>
      <c r="Y8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821">
        <f>IF(Table1[[#This Row],[Ask Rate]]=0,0,Table1[[#This Row],[Face Value]]-Table1[[#This Row],[Ask Rate]])</f>
        <v>0</v>
      </c>
      <c r="AA821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21">
        <f ca="1">Table1[[#This Row],[Face Value]]*Table1[[#This Row],[Rate]]*Table1[[#This Row],[Time]]</f>
        <v>283.66666666666669</v>
      </c>
      <c r="AC821">
        <f ca="1">Table1[[#This Row],[SI]]+Table1[[#This Row],[Disc/Prem]]</f>
        <v>283.66666666666669</v>
      </c>
      <c r="AD821" s="3" t="e">
        <f ca="1">Table1[[#This Row],[Net Gain]]/Table1[[#This Row],[Ask Rate]]</f>
        <v>#DIV/0!</v>
      </c>
      <c r="AE821" s="3">
        <f>IF(Table1[[#This Row],[Ask Qty]]=0,0,Table1[[#This Row],[Gross Yield]]*365/Table1[[#This Row],[Days Left]])</f>
        <v>0</v>
      </c>
      <c r="AF821" s="9">
        <f ca="1">+Table1[[#This Row],[Net Gain]]*Table1[[#This Row],[Ask Qty]]</f>
        <v>0</v>
      </c>
      <c r="AG821" t="str">
        <f>IF(Table1[[#This Row],[YTM]]&gt;0.12,IF(Table1[[#This Row],[Gross Profit]]&gt;10000,"Invest","Review"),"Low YTM")</f>
        <v>Low YTM</v>
      </c>
    </row>
    <row r="822" spans="1:33" x14ac:dyDescent="0.3">
      <c r="A822" t="str">
        <f>RTD("nest.scriprtd",,"bse_cm|925SCL28I","Symbol")</f>
        <v>925SCL28I</v>
      </c>
      <c r="B822" t="str">
        <f>RTD("nest.scriprtd",,"bse_cm|925SCL28I","Trading Symbol")</f>
        <v>925SCL28I</v>
      </c>
      <c r="C822" t="str">
        <f>RTD("nest.scriprtd",,"bse_cm|925SCL28I","Exchange")</f>
        <v>BSE</v>
      </c>
      <c r="D822">
        <f>RTD("nest.scriprtd",,"bse_cm|925SCL28I","Bid Qty")</f>
        <v>0</v>
      </c>
      <c r="E822">
        <f>RTD("nest.scriprtd",,"bse_cm|925SCL28I","Bid Rate")</f>
        <v>0</v>
      </c>
      <c r="F822">
        <f>RTD("nest.scriprtd",,"bse_cm|925SCL28I","Ask Rate")</f>
        <v>0</v>
      </c>
      <c r="G822">
        <f>RTD("nest.scriprtd",,"bse_cm|925SCL28I","Ask Qty")</f>
        <v>0</v>
      </c>
      <c r="H822">
        <f>RTD("nest.scriprtd",,"bse_cm|925SCL28I","LTP")</f>
        <v>0</v>
      </c>
      <c r="I822" t="str">
        <f>RTD("nest.scriprtd",,"bse_cm|925SCL28I","LTT")</f>
        <v>00:00:00</v>
      </c>
      <c r="J822">
        <f>RTD("nest.scriprtd",,"bse_cm|925SCL28I","% Change")</f>
        <v>-100</v>
      </c>
      <c r="K822">
        <f>RTD("nest.scriprtd",,"bse_cm|925SCL28I","ATP")</f>
        <v>0</v>
      </c>
      <c r="L822">
        <f>RTD("nest.scriprtd",,"bse_cm|925SCL28I","Volume Traded Today")</f>
        <v>0</v>
      </c>
      <c r="M822">
        <f>RTD("nest.scriprtd",,"bse_cm|925SCL28I","Open")</f>
        <v>0</v>
      </c>
      <c r="N822">
        <f>RTD("nest.scriprtd",,"bse_cm|925SCL28I","High")</f>
        <v>0</v>
      </c>
      <c r="O822">
        <f>RTD("nest.scriprtd",,"bse_cm|925SCL28I","Low ")</f>
        <v>0</v>
      </c>
      <c r="P822">
        <f>RTD("nest.scriprtd",,"bse_cm|925SCL28I","Prev Close")</f>
        <v>800</v>
      </c>
      <c r="Q822">
        <f>RTD("nest.scriprtd",,"bse_cm|925SCL28I","Face Value")</f>
        <v>800</v>
      </c>
      <c r="R822" t="str">
        <f>RTD("nest.scriprtd",,"bse_cm|925SCL28I","Isin code")</f>
        <v>INE148I07OU8</v>
      </c>
      <c r="S822" s="9">
        <f>Table1[[#This Row],[Ask Rate]]*Table1[[#This Row],[Ask Qty]]</f>
        <v>0</v>
      </c>
      <c r="T822">
        <f>VLOOKUP(Table1[[#This Row],[Isin code]],Table2[#All],7,FALSE)</f>
        <v>9.25</v>
      </c>
      <c r="U822" s="17" t="str">
        <f>VLOOKUP(Table1[[#This Row],[Isin code]],Table2[#All],8,FALSE)</f>
        <v>27-Jul-2028</v>
      </c>
      <c r="V822" s="10">
        <f ca="1">Table1[[#This Row],[Maturity]]-TODAY()</f>
        <v>1380</v>
      </c>
      <c r="W822" t="str">
        <f>VLOOKUP(Table1[[#This Row],[Isin code]],Table2[#All],10,FALSE)</f>
        <v>Monthly</v>
      </c>
      <c r="X822">
        <f ca="1">_xlfn.DAYS(Table1[[#This Row],[Maturity]],TODAY())-15</f>
        <v>1365</v>
      </c>
      <c r="Y8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822">
        <f>IF(Table1[[#This Row],[Ask Rate]]=0,0,Table1[[#This Row],[Face Value]]-Table1[[#This Row],[Ask Rate]])</f>
        <v>0</v>
      </c>
      <c r="AA822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22">
        <f ca="1">Table1[[#This Row],[Face Value]]*Table1[[#This Row],[Rate]]*Table1[[#This Row],[Time]]</f>
        <v>283.66666666666669</v>
      </c>
      <c r="AC822">
        <f ca="1">Table1[[#This Row],[SI]]+Table1[[#This Row],[Disc/Prem]]</f>
        <v>283.66666666666669</v>
      </c>
      <c r="AD822" s="3" t="e">
        <f ca="1">Table1[[#This Row],[Net Gain]]/Table1[[#This Row],[Ask Rate]]</f>
        <v>#DIV/0!</v>
      </c>
      <c r="AE822" s="3">
        <f>IF(Table1[[#This Row],[Ask Qty]]=0,0,Table1[[#This Row],[Gross Yield]]*365/Table1[[#This Row],[Days Left]])</f>
        <v>0</v>
      </c>
      <c r="AF822" s="9">
        <f ca="1">+Table1[[#This Row],[Net Gain]]*Table1[[#This Row],[Ask Qty]]</f>
        <v>0</v>
      </c>
      <c r="AG822" t="str">
        <f>IF(Table1[[#This Row],[YTM]]&gt;0.12,IF(Table1[[#This Row],[Gross Profit]]&gt;10000,"Invest","Review"),"Low YTM")</f>
        <v>Low YTM</v>
      </c>
    </row>
    <row r="823" spans="1:33" x14ac:dyDescent="0.3">
      <c r="A823" t="str">
        <f>RTD("nest.scriprtd",,"nse_cm|925SCL28C-BS","Symbol")</f>
        <v>925SCL28C</v>
      </c>
      <c r="B823" t="str">
        <f>RTD("nest.scriprtd",,"nse_cm|925SCL28C-BS","Trading Symbol")</f>
        <v>925SCL28C-BS</v>
      </c>
      <c r="C823" t="str">
        <f>RTD("nest.scriprtd",,"nse_cm|925SCL28C-BS","Exchange")</f>
        <v>NSE</v>
      </c>
      <c r="D823">
        <f>RTD("nest.scriprtd",,"nse_cm|925SCL28C-BS","Bid Qty")</f>
        <v>5</v>
      </c>
      <c r="E823">
        <f>RTD("nest.scriprtd",,"nse_cm|925SCL28C-BS","Bid Rate")</f>
        <v>807.9</v>
      </c>
      <c r="F823">
        <f>RTD("nest.scriprtd",,"nse_cm|925SCL28C-BS","Ask Rate")</f>
        <v>0</v>
      </c>
      <c r="G823">
        <f>RTD("nest.scriprtd",,"nse_cm|925SCL28C-BS","Ask Qty")</f>
        <v>0</v>
      </c>
      <c r="H823">
        <f>RTD("nest.scriprtd",,"nse_cm|925SCL28C-BS","LTP")</f>
        <v>1025.1300000000001</v>
      </c>
      <c r="I823" t="str">
        <f>RTD("nest.scriprtd",,"nse_cm|925SCL28C-BS","LTT")</f>
        <v/>
      </c>
      <c r="J823">
        <f>RTD("nest.scriprtd",,"nse_cm|925SCL28C-BS","% Change")</f>
        <v>0</v>
      </c>
      <c r="K823">
        <f>RTD("nest.scriprtd",,"nse_cm|925SCL28C-BS","ATP")</f>
        <v>0</v>
      </c>
      <c r="L823">
        <f>RTD("nest.scriprtd",,"nse_cm|925SCL28C-BS","Volume Traded Today")</f>
        <v>0</v>
      </c>
      <c r="M823">
        <f>RTD("nest.scriprtd",,"nse_cm|925SCL28C-BS","Open")</f>
        <v>0</v>
      </c>
      <c r="N823">
        <f>RTD("nest.scriprtd",,"nse_cm|925SCL28C-BS","High")</f>
        <v>1025.1300000000001</v>
      </c>
      <c r="O823">
        <f>RTD("nest.scriprtd",,"nse_cm|925SCL28C-BS","Low ")</f>
        <v>1025.1300000000001</v>
      </c>
      <c r="P823">
        <f>RTD("nest.scriprtd",,"nse_cm|925SCL28C-BS","Prev Close")</f>
        <v>1025.1300000000001</v>
      </c>
      <c r="Q823">
        <f>RTD("nest.scriprtd",,"nse_cm|925SCL28C-BS","Face Value")</f>
        <v>800</v>
      </c>
      <c r="R823" t="str">
        <f>RTD("nest.scriprtd",,"nse_cm|925SCL28C-BS","Isin code")</f>
        <v>INE148I07PL4</v>
      </c>
      <c r="S823" s="9">
        <f>Table1[[#This Row],[Ask Rate]]*Table1[[#This Row],[Ask Qty]]</f>
        <v>0</v>
      </c>
      <c r="T823">
        <f>VLOOKUP(Table1[[#This Row],[Isin code]],Table2[#All],7,FALSE)</f>
        <v>10.15</v>
      </c>
      <c r="U823" s="17" t="str">
        <f>VLOOKUP(Table1[[#This Row],[Isin code]],Table2[#All],8,FALSE)</f>
        <v>26-Sep-2028</v>
      </c>
      <c r="V823" s="10">
        <f ca="1">Table1[[#This Row],[Maturity]]-TODAY()</f>
        <v>1441</v>
      </c>
      <c r="W823" t="str">
        <f>VLOOKUP(Table1[[#This Row],[Isin code]],Table2[#All],10,FALSE)</f>
        <v>Yearly</v>
      </c>
      <c r="X823">
        <f ca="1">_xlfn.DAYS(Table1[[#This Row],[Maturity]],TODAY())-15</f>
        <v>1426</v>
      </c>
      <c r="Y8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823">
        <f>IF(Table1[[#This Row],[Ask Rate]]=0,0,Table1[[#This Row],[Face Value]]-Table1[[#This Row],[Ask Rate]])</f>
        <v>0</v>
      </c>
      <c r="AA823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823">
        <f ca="1">Table1[[#This Row],[Face Value]]*Table1[[#This Row],[Rate]]*Table1[[#This Row],[Time]]</f>
        <v>324.8</v>
      </c>
      <c r="AC823">
        <f ca="1">Table1[[#This Row],[SI]]+Table1[[#This Row],[Disc/Prem]]</f>
        <v>324.8</v>
      </c>
      <c r="AD823" s="3" t="e">
        <f ca="1">Table1[[#This Row],[Net Gain]]/Table1[[#This Row],[Ask Rate]]</f>
        <v>#DIV/0!</v>
      </c>
      <c r="AE823" s="3">
        <f>IF(Table1[[#This Row],[Ask Qty]]=0,0,Table1[[#This Row],[Gross Yield]]*365/Table1[[#This Row],[Days Left]])</f>
        <v>0</v>
      </c>
      <c r="AF823" s="9">
        <f ca="1">+Table1[[#This Row],[Net Gain]]*Table1[[#This Row],[Ask Qty]]</f>
        <v>0</v>
      </c>
      <c r="AG823" t="str">
        <f>IF(Table1[[#This Row],[YTM]]&gt;0.12,IF(Table1[[#This Row],[Gross Profit]]&gt;10000,"Invest","Review"),"Low YTM")</f>
        <v>Low YTM</v>
      </c>
    </row>
    <row r="824" spans="1:33" x14ac:dyDescent="0.3">
      <c r="A824" t="str">
        <f>RTD("nest.scriprtd",,"bse_cm|925SCL28C","Symbol")</f>
        <v>925SCL28C</v>
      </c>
      <c r="B824" t="str">
        <f>RTD("nest.scriprtd",,"bse_cm|925SCL28C","Trading Symbol")</f>
        <v>925SCL28C</v>
      </c>
      <c r="C824" t="str">
        <f>RTD("nest.scriprtd",,"bse_cm|925SCL28C","Exchange")</f>
        <v>BSE</v>
      </c>
      <c r="D824">
        <f>RTD("nest.scriprtd",,"bse_cm|925SCL28C","Bid Qty")</f>
        <v>12</v>
      </c>
      <c r="E824">
        <f>RTD("nest.scriprtd",,"bse_cm|925SCL28C","Bid Rate")</f>
        <v>800.4</v>
      </c>
      <c r="F824">
        <f>RTD("nest.scriprtd",,"bse_cm|925SCL28C","Ask Rate")</f>
        <v>0</v>
      </c>
      <c r="G824">
        <f>RTD("nest.scriprtd",,"bse_cm|925SCL28C","Ask Qty")</f>
        <v>0</v>
      </c>
      <c r="H824">
        <f>RTD("nest.scriprtd",,"bse_cm|925SCL28C","LTP")</f>
        <v>0</v>
      </c>
      <c r="I824" t="str">
        <f>RTD("nest.scriprtd",,"bse_cm|925SCL28C","LTT")</f>
        <v>00:00:00</v>
      </c>
      <c r="J824">
        <f>RTD("nest.scriprtd",,"bse_cm|925SCL28C","% Change")</f>
        <v>-100</v>
      </c>
      <c r="K824">
        <f>RTD("nest.scriprtd",,"bse_cm|925SCL28C","ATP")</f>
        <v>0</v>
      </c>
      <c r="L824">
        <f>RTD("nest.scriprtd",,"bse_cm|925SCL28C","Volume Traded Today")</f>
        <v>0</v>
      </c>
      <c r="M824">
        <f>RTD("nest.scriprtd",,"bse_cm|925SCL28C","Open")</f>
        <v>0</v>
      </c>
      <c r="N824">
        <f>RTD("nest.scriprtd",,"bse_cm|925SCL28C","High")</f>
        <v>1007.09</v>
      </c>
      <c r="O824">
        <f>RTD("nest.scriprtd",,"bse_cm|925SCL28C","Low ")</f>
        <v>1007.09</v>
      </c>
      <c r="P824">
        <f>RTD("nest.scriprtd",,"bse_cm|925SCL28C","Prev Close")</f>
        <v>800</v>
      </c>
      <c r="Q824">
        <f>RTD("nest.scriprtd",,"bse_cm|925SCL28C","Face Value")</f>
        <v>800</v>
      </c>
      <c r="R824" t="str">
        <f>RTD("nest.scriprtd",,"bse_cm|925SCL28C","Isin code")</f>
        <v>INE148I07PL4</v>
      </c>
      <c r="S824" s="9">
        <f>Table1[[#This Row],[Ask Rate]]*Table1[[#This Row],[Ask Qty]]</f>
        <v>0</v>
      </c>
      <c r="T824">
        <f>VLOOKUP(Table1[[#This Row],[Isin code]],Table2[#All],7,FALSE)</f>
        <v>10.15</v>
      </c>
      <c r="U824" s="17" t="str">
        <f>VLOOKUP(Table1[[#This Row],[Isin code]],Table2[#All],8,FALSE)</f>
        <v>26-Sep-2028</v>
      </c>
      <c r="V824" s="10">
        <f ca="1">Table1[[#This Row],[Maturity]]-TODAY()</f>
        <v>1441</v>
      </c>
      <c r="W824" t="str">
        <f>VLOOKUP(Table1[[#This Row],[Isin code]],Table2[#All],10,FALSE)</f>
        <v>Yearly</v>
      </c>
      <c r="X824">
        <f ca="1">_xlfn.DAYS(Table1[[#This Row],[Maturity]],TODAY())-15</f>
        <v>1426</v>
      </c>
      <c r="Y8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824">
        <f>IF(Table1[[#This Row],[Ask Rate]]=0,0,Table1[[#This Row],[Face Value]]-Table1[[#This Row],[Ask Rate]])</f>
        <v>0</v>
      </c>
      <c r="AA824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824">
        <f ca="1">Table1[[#This Row],[Face Value]]*Table1[[#This Row],[Rate]]*Table1[[#This Row],[Time]]</f>
        <v>324.8</v>
      </c>
      <c r="AC824">
        <f ca="1">Table1[[#This Row],[SI]]+Table1[[#This Row],[Disc/Prem]]</f>
        <v>324.8</v>
      </c>
      <c r="AD824" s="3" t="e">
        <f ca="1">Table1[[#This Row],[Net Gain]]/Table1[[#This Row],[Ask Rate]]</f>
        <v>#DIV/0!</v>
      </c>
      <c r="AE824" s="3">
        <f>IF(Table1[[#This Row],[Ask Qty]]=0,0,Table1[[#This Row],[Gross Yield]]*365/Table1[[#This Row],[Days Left]])</f>
        <v>0</v>
      </c>
      <c r="AF824" s="9">
        <f ca="1">+Table1[[#This Row],[Net Gain]]*Table1[[#This Row],[Ask Qty]]</f>
        <v>0</v>
      </c>
      <c r="AG824" t="str">
        <f>IF(Table1[[#This Row],[YTM]]&gt;0.12,IF(Table1[[#This Row],[Gross Profit]]&gt;10000,"Invest","Review"),"Low YTM")</f>
        <v>Low YTM</v>
      </c>
    </row>
    <row r="825" spans="1:33" x14ac:dyDescent="0.3">
      <c r="A825" t="str">
        <f>RTD("nest.scriprtd",,"nse_cm|925SCL28B-YC","Symbol")</f>
        <v>925SCL28B</v>
      </c>
      <c r="B825" t="str">
        <f>RTD("nest.scriprtd",,"nse_cm|925SCL28B-YC","Trading Symbol")</f>
        <v>925SCL28B-YC</v>
      </c>
      <c r="C825" t="str">
        <f>RTD("nest.scriprtd",,"nse_cm|925SCL28B-YC","Exchange")</f>
        <v>NSE</v>
      </c>
      <c r="D825">
        <f>RTD("nest.scriprtd",,"nse_cm|925SCL28B-YC","Bid Qty")</f>
        <v>75</v>
      </c>
      <c r="E825">
        <f>RTD("nest.scriprtd",,"nse_cm|925SCL28B-YC","Bid Rate")</f>
        <v>820.8</v>
      </c>
      <c r="F825">
        <f>RTD("nest.scriprtd",,"nse_cm|925SCL28B-YC","Ask Rate")</f>
        <v>0</v>
      </c>
      <c r="G825">
        <f>RTD("nest.scriprtd",,"nse_cm|925SCL28B-YC","Ask Qty")</f>
        <v>0</v>
      </c>
      <c r="H825">
        <f>RTD("nest.scriprtd",,"nse_cm|925SCL28B-YC","LTP")</f>
        <v>820.8</v>
      </c>
      <c r="I825" t="str">
        <f>RTD("nest.scriprtd",,"nse_cm|925SCL28B-YC","LTT")</f>
        <v/>
      </c>
      <c r="J825">
        <f>RTD("nest.scriprtd",,"nse_cm|925SCL28B-YC","% Change")</f>
        <v>0</v>
      </c>
      <c r="K825">
        <f>RTD("nest.scriprtd",,"nse_cm|925SCL28B-YC","ATP")</f>
        <v>0</v>
      </c>
      <c r="L825">
        <f>RTD("nest.scriprtd",,"nse_cm|925SCL28B-YC","Volume Traded Today")</f>
        <v>0</v>
      </c>
      <c r="M825">
        <f>RTD("nest.scriprtd",,"nse_cm|925SCL28B-YC","Open")</f>
        <v>0</v>
      </c>
      <c r="N825">
        <f>RTD("nest.scriprtd",,"nse_cm|925SCL28B-YC","High")</f>
        <v>820.8</v>
      </c>
      <c r="O825">
        <f>RTD("nest.scriprtd",,"nse_cm|925SCL28B-YC","Low ")</f>
        <v>820.8</v>
      </c>
      <c r="P825">
        <f>RTD("nest.scriprtd",,"nse_cm|925SCL28B-YC","Prev Close")</f>
        <v>820.8</v>
      </c>
      <c r="Q825">
        <f>RTD("nest.scriprtd",,"nse_cm|925SCL28B-YC","Face Value")</f>
        <v>1000</v>
      </c>
      <c r="R825" t="str">
        <f>RTD("nest.scriprtd",,"nse_cm|925SCL28B-YC","Isin code")</f>
        <v>INE148I07RS5</v>
      </c>
      <c r="S825" s="9">
        <f>Table1[[#This Row],[Ask Rate]]*Table1[[#This Row],[Ask Qty]]</f>
        <v>0</v>
      </c>
      <c r="T825">
        <f>VLOOKUP(Table1[[#This Row],[Isin code]],Table2[#All],7,FALSE)</f>
        <v>10.15</v>
      </c>
      <c r="U825" s="17" t="str">
        <f>VLOOKUP(Table1[[#This Row],[Isin code]],Table2[#All],8,FALSE)</f>
        <v>27-Dec-2028</v>
      </c>
      <c r="V825" s="10">
        <f ca="1">Table1[[#This Row],[Maturity]]-TODAY()</f>
        <v>1533</v>
      </c>
      <c r="W825" t="str">
        <f>VLOOKUP(Table1[[#This Row],[Isin code]],Table2[#All],10,FALSE)</f>
        <v>Yearly</v>
      </c>
      <c r="X825">
        <f ca="1">_xlfn.DAYS(Table1[[#This Row],[Maturity]],TODAY())-15</f>
        <v>1518</v>
      </c>
      <c r="Y8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825">
        <f>IF(Table1[[#This Row],[Ask Rate]]=0,0,Table1[[#This Row],[Face Value]]-Table1[[#This Row],[Ask Rate]])</f>
        <v>0</v>
      </c>
      <c r="AA825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825">
        <f ca="1">Table1[[#This Row],[Face Value]]*Table1[[#This Row],[Rate]]*Table1[[#This Row],[Time]]</f>
        <v>507.5</v>
      </c>
      <c r="AC825">
        <f ca="1">Table1[[#This Row],[SI]]+Table1[[#This Row],[Disc/Prem]]</f>
        <v>507.5</v>
      </c>
      <c r="AD825" s="3" t="e">
        <f ca="1">Table1[[#This Row],[Net Gain]]/Table1[[#This Row],[Ask Rate]]</f>
        <v>#DIV/0!</v>
      </c>
      <c r="AE825" s="3">
        <f>IF(Table1[[#This Row],[Ask Qty]]=0,0,Table1[[#This Row],[Gross Yield]]*365/Table1[[#This Row],[Days Left]])</f>
        <v>0</v>
      </c>
      <c r="AF825" s="9">
        <f ca="1">+Table1[[#This Row],[Net Gain]]*Table1[[#This Row],[Ask Qty]]</f>
        <v>0</v>
      </c>
      <c r="AG825" t="str">
        <f>IF(Table1[[#This Row],[YTM]]&gt;0.12,IF(Table1[[#This Row],[Gross Profit]]&gt;10000,"Invest","Review"),"Low YTM")</f>
        <v>Low YTM</v>
      </c>
    </row>
    <row r="826" spans="1:33" x14ac:dyDescent="0.3">
      <c r="A826" t="str">
        <f>RTD("nest.scriprtd",,"nse_cm|971SCL28C-BU","Symbol")</f>
        <v>971SCL28C</v>
      </c>
      <c r="B826" t="str">
        <f>RTD("nest.scriprtd",,"nse_cm|971SCL28C-BU","Trading Symbol")</f>
        <v>971SCL28C-BU</v>
      </c>
      <c r="C826" t="str">
        <f>RTD("nest.scriprtd",,"nse_cm|971SCL28C-BU","Exchange")</f>
        <v>NSE</v>
      </c>
      <c r="D826">
        <f>RTD("nest.scriprtd",,"nse_cm|971SCL28C-BU","Bid Qty")</f>
        <v>0</v>
      </c>
      <c r="E826">
        <f>RTD("nest.scriprtd",,"nse_cm|971SCL28C-BU","Bid Rate")</f>
        <v>0</v>
      </c>
      <c r="F826">
        <f>RTD("nest.scriprtd",,"nse_cm|971SCL28C-BU","Ask Rate")</f>
        <v>0</v>
      </c>
      <c r="G826">
        <f>RTD("nest.scriprtd",,"nse_cm|971SCL28C-BU","Ask Qty")</f>
        <v>0</v>
      </c>
      <c r="H826">
        <f>RTD("nest.scriprtd",,"nse_cm|971SCL28C-BU","LTP")</f>
        <v>0</v>
      </c>
      <c r="I826" t="str">
        <f>RTD("nest.scriprtd",,"nse_cm|971SCL28C-BU","LTT")</f>
        <v/>
      </c>
      <c r="J826">
        <f>RTD("nest.scriprtd",,"nse_cm|971SCL28C-BU","% Change")</f>
        <v>0</v>
      </c>
      <c r="K826">
        <f>RTD("nest.scriprtd",,"nse_cm|971SCL28C-BU","ATP")</f>
        <v>0</v>
      </c>
      <c r="L826">
        <f>RTD("nest.scriprtd",,"nse_cm|971SCL28C-BU","Volume Traded Today")</f>
        <v>0</v>
      </c>
      <c r="M826">
        <f>RTD("nest.scriprtd",,"nse_cm|971SCL28C-BU","Open")</f>
        <v>0</v>
      </c>
      <c r="N826">
        <f>RTD("nest.scriprtd",,"nse_cm|971SCL28C-BU","High")</f>
        <v>0</v>
      </c>
      <c r="O826">
        <f>RTD("nest.scriprtd",,"nse_cm|971SCL28C-BU","Low ")</f>
        <v>0</v>
      </c>
      <c r="P826">
        <f>RTD("nest.scriprtd",,"nse_cm|971SCL28C-BU","Prev Close")</f>
        <v>0</v>
      </c>
      <c r="Q826">
        <f>RTD("nest.scriprtd",,"nse_cm|971SCL28C-BU","Face Value")</f>
        <v>800</v>
      </c>
      <c r="R826" t="str">
        <f>RTD("nest.scriprtd",,"nse_cm|971SCL28C-BU","Isin code")</f>
        <v>INE148I07PM2</v>
      </c>
      <c r="S826" s="9">
        <f>Table1[[#This Row],[Ask Rate]]*Table1[[#This Row],[Ask Qty]]</f>
        <v>0</v>
      </c>
      <c r="T826">
        <f>VLOOKUP(Table1[[#This Row],[Isin code]],Table2[#All],7,FALSE)</f>
        <v>9.25</v>
      </c>
      <c r="U826" s="17" t="str">
        <f>VLOOKUP(Table1[[#This Row],[Isin code]],Table2[#All],8,FALSE)</f>
        <v>26-Sep-2028</v>
      </c>
      <c r="V826" s="10">
        <f ca="1">Table1[[#This Row],[Maturity]]-TODAY()</f>
        <v>1441</v>
      </c>
      <c r="W826" t="str">
        <f>VLOOKUP(Table1[[#This Row],[Isin code]],Table2[#All],10,FALSE)</f>
        <v>Monthly</v>
      </c>
      <c r="X826">
        <f ca="1">_xlfn.DAYS(Table1[[#This Row],[Maturity]],TODAY())-15</f>
        <v>1426</v>
      </c>
      <c r="Y8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826">
        <f>IF(Table1[[#This Row],[Ask Rate]]=0,0,Table1[[#This Row],[Face Value]]-Table1[[#This Row],[Ask Rate]])</f>
        <v>0</v>
      </c>
      <c r="AA826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26">
        <f ca="1">Table1[[#This Row],[Face Value]]*Table1[[#This Row],[Rate]]*Table1[[#This Row],[Time]]</f>
        <v>296</v>
      </c>
      <c r="AC826">
        <f ca="1">Table1[[#This Row],[SI]]+Table1[[#This Row],[Disc/Prem]]</f>
        <v>296</v>
      </c>
      <c r="AD826" s="3" t="e">
        <f ca="1">Table1[[#This Row],[Net Gain]]/Table1[[#This Row],[Ask Rate]]</f>
        <v>#DIV/0!</v>
      </c>
      <c r="AE826" s="3">
        <f>IF(Table1[[#This Row],[Ask Qty]]=0,0,Table1[[#This Row],[Gross Yield]]*365/Table1[[#This Row],[Days Left]])</f>
        <v>0</v>
      </c>
      <c r="AF826" s="9">
        <f ca="1">+Table1[[#This Row],[Net Gain]]*Table1[[#This Row],[Ask Qty]]</f>
        <v>0</v>
      </c>
      <c r="AG826" t="str">
        <f>IF(Table1[[#This Row],[YTM]]&gt;0.12,IF(Table1[[#This Row],[Gross Profit]]&gt;10000,"Invest","Review"),"Low YTM")</f>
        <v>Low YTM</v>
      </c>
    </row>
    <row r="827" spans="1:33" x14ac:dyDescent="0.3">
      <c r="A827" t="str">
        <f>RTD("nest.scriprtd",,"bse_cm|971SCL28C","Symbol")</f>
        <v>971SCL28C</v>
      </c>
      <c r="B827" t="str">
        <f>RTD("nest.scriprtd",,"bse_cm|971SCL28C","Trading Symbol")</f>
        <v>971SCL28C</v>
      </c>
      <c r="C827" t="str">
        <f>RTD("nest.scriprtd",,"bse_cm|971SCL28C","Exchange")</f>
        <v>BSE</v>
      </c>
      <c r="D827">
        <f>RTD("nest.scriprtd",,"bse_cm|971SCL28C","Bid Qty")</f>
        <v>20</v>
      </c>
      <c r="E827">
        <f>RTD("nest.scriprtd",,"bse_cm|971SCL28C","Bid Rate")</f>
        <v>642.20000000000005</v>
      </c>
      <c r="F827">
        <f>RTD("nest.scriprtd",,"bse_cm|971SCL28C","Ask Rate")</f>
        <v>0</v>
      </c>
      <c r="G827">
        <f>RTD("nest.scriprtd",,"bse_cm|971SCL28C","Ask Qty")</f>
        <v>0</v>
      </c>
      <c r="H827">
        <f>RTD("nest.scriprtd",,"bse_cm|971SCL28C","LTP")</f>
        <v>0</v>
      </c>
      <c r="I827" t="str">
        <f>RTD("nest.scriprtd",,"bse_cm|971SCL28C","LTT")</f>
        <v>00:00:00</v>
      </c>
      <c r="J827">
        <f>RTD("nest.scriprtd",,"bse_cm|971SCL28C","% Change")</f>
        <v>-100</v>
      </c>
      <c r="K827">
        <f>RTD("nest.scriprtd",,"bse_cm|971SCL28C","ATP")</f>
        <v>0</v>
      </c>
      <c r="L827">
        <f>RTD("nest.scriprtd",,"bse_cm|971SCL28C","Volume Traded Today")</f>
        <v>0</v>
      </c>
      <c r="M827">
        <f>RTD("nest.scriprtd",,"bse_cm|971SCL28C","Open")</f>
        <v>0</v>
      </c>
      <c r="N827">
        <f>RTD("nest.scriprtd",,"bse_cm|971SCL28C","High")</f>
        <v>0</v>
      </c>
      <c r="O827">
        <f>RTD("nest.scriprtd",,"bse_cm|971SCL28C","Low ")</f>
        <v>0</v>
      </c>
      <c r="P827">
        <f>RTD("nest.scriprtd",,"bse_cm|971SCL28C","Prev Close")</f>
        <v>800</v>
      </c>
      <c r="Q827">
        <f>RTD("nest.scriprtd",,"bse_cm|971SCL28C","Face Value")</f>
        <v>800</v>
      </c>
      <c r="R827" t="str">
        <f>RTD("nest.scriprtd",,"bse_cm|971SCL28C","Isin code")</f>
        <v>INE148I07PM2</v>
      </c>
      <c r="S827" s="9">
        <f>Table1[[#This Row],[Ask Rate]]*Table1[[#This Row],[Ask Qty]]</f>
        <v>0</v>
      </c>
      <c r="T827">
        <f>VLOOKUP(Table1[[#This Row],[Isin code]],Table2[#All],7,FALSE)</f>
        <v>9.25</v>
      </c>
      <c r="U827" s="17" t="str">
        <f>VLOOKUP(Table1[[#This Row],[Isin code]],Table2[#All],8,FALSE)</f>
        <v>26-Sep-2028</v>
      </c>
      <c r="V827" s="10">
        <f ca="1">Table1[[#This Row],[Maturity]]-TODAY()</f>
        <v>1441</v>
      </c>
      <c r="W827" t="str">
        <f>VLOOKUP(Table1[[#This Row],[Isin code]],Table2[#All],10,FALSE)</f>
        <v>Monthly</v>
      </c>
      <c r="X827">
        <f ca="1">_xlfn.DAYS(Table1[[#This Row],[Maturity]],TODAY())-15</f>
        <v>1426</v>
      </c>
      <c r="Y8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827">
        <f>IF(Table1[[#This Row],[Ask Rate]]=0,0,Table1[[#This Row],[Face Value]]-Table1[[#This Row],[Ask Rate]])</f>
        <v>0</v>
      </c>
      <c r="AA827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27">
        <f ca="1">Table1[[#This Row],[Face Value]]*Table1[[#This Row],[Rate]]*Table1[[#This Row],[Time]]</f>
        <v>296</v>
      </c>
      <c r="AC827">
        <f ca="1">Table1[[#This Row],[SI]]+Table1[[#This Row],[Disc/Prem]]</f>
        <v>296</v>
      </c>
      <c r="AD827" s="3" t="e">
        <f ca="1">Table1[[#This Row],[Net Gain]]/Table1[[#This Row],[Ask Rate]]</f>
        <v>#DIV/0!</v>
      </c>
      <c r="AE827" s="3">
        <f>IF(Table1[[#This Row],[Ask Qty]]=0,0,Table1[[#This Row],[Gross Yield]]*365/Table1[[#This Row],[Days Left]])</f>
        <v>0</v>
      </c>
      <c r="AF827" s="9">
        <f ca="1">+Table1[[#This Row],[Net Gain]]*Table1[[#This Row],[Ask Qty]]</f>
        <v>0</v>
      </c>
      <c r="AG827" t="str">
        <f>IF(Table1[[#This Row],[YTM]]&gt;0.12,IF(Table1[[#This Row],[Gross Profit]]&gt;10000,"Invest","Review"),"Low YTM")</f>
        <v>Low YTM</v>
      </c>
    </row>
    <row r="828" spans="1:33" x14ac:dyDescent="0.3">
      <c r="A828" t="str">
        <f>RTD("nest.scriprtd",,"nse_cm|971SCL28B-YD","Symbol")</f>
        <v>971SCL28B</v>
      </c>
      <c r="B828" t="str">
        <f>RTD("nest.scriprtd",,"nse_cm|971SCL28B-YD","Trading Symbol")</f>
        <v>971SCL28B-YD</v>
      </c>
      <c r="C828" t="str">
        <f>RTD("nest.scriprtd",,"nse_cm|971SCL28B-YD","Exchange")</f>
        <v>NSE</v>
      </c>
      <c r="D828">
        <f>RTD("nest.scriprtd",,"nse_cm|971SCL28B-YD","Bid Qty")</f>
        <v>4</v>
      </c>
      <c r="E828">
        <f>RTD("nest.scriprtd",,"nse_cm|971SCL28B-YD","Bid Rate")</f>
        <v>815.8</v>
      </c>
      <c r="F828">
        <f>RTD("nest.scriprtd",,"nse_cm|971SCL28B-YD","Ask Rate")</f>
        <v>0</v>
      </c>
      <c r="G828">
        <f>RTD("nest.scriprtd",,"nse_cm|971SCL28B-YD","Ask Qty")</f>
        <v>0</v>
      </c>
      <c r="H828">
        <f>RTD("nest.scriprtd",,"nse_cm|971SCL28B-YD","LTP")</f>
        <v>0</v>
      </c>
      <c r="I828" t="str">
        <f>RTD("nest.scriprtd",,"nse_cm|971SCL28B-YD","LTT")</f>
        <v/>
      </c>
      <c r="J828">
        <f>RTD("nest.scriprtd",,"nse_cm|971SCL28B-YD","% Change")</f>
        <v>-100</v>
      </c>
      <c r="K828">
        <f>RTD("nest.scriprtd",,"nse_cm|971SCL28B-YD","ATP")</f>
        <v>0</v>
      </c>
      <c r="L828">
        <f>RTD("nest.scriprtd",,"nse_cm|971SCL28B-YD","Volume Traded Today")</f>
        <v>0</v>
      </c>
      <c r="M828">
        <f>RTD("nest.scriprtd",,"nse_cm|971SCL28B-YD","Open")</f>
        <v>0</v>
      </c>
      <c r="N828">
        <f>RTD("nest.scriprtd",,"nse_cm|971SCL28B-YD","High")</f>
        <v>0</v>
      </c>
      <c r="O828">
        <f>RTD("nest.scriprtd",,"nse_cm|971SCL28B-YD","Low ")</f>
        <v>0</v>
      </c>
      <c r="P828">
        <f>RTD("nest.scriprtd",,"nse_cm|971SCL28B-YD","Prev Close")</f>
        <v>1000</v>
      </c>
      <c r="Q828">
        <f>RTD("nest.scriprtd",,"nse_cm|971SCL28B-YD","Face Value")</f>
        <v>1000</v>
      </c>
      <c r="R828" t="str">
        <f>RTD("nest.scriprtd",,"nse_cm|971SCL28B-YD","Isin code")</f>
        <v>INE148I07RO4</v>
      </c>
      <c r="S828" s="9">
        <f>Table1[[#This Row],[Ask Rate]]*Table1[[#This Row],[Ask Qty]]</f>
        <v>0</v>
      </c>
      <c r="T828">
        <f>VLOOKUP(Table1[[#This Row],[Isin code]],Table2[#All],7,FALSE)</f>
        <v>9.25</v>
      </c>
      <c r="U828" s="17" t="str">
        <f>VLOOKUP(Table1[[#This Row],[Isin code]],Table2[#All],8,FALSE)</f>
        <v>27-Dec-2028</v>
      </c>
      <c r="V828" s="10">
        <f ca="1">Table1[[#This Row],[Maturity]]-TODAY()</f>
        <v>1533</v>
      </c>
      <c r="W828" t="str">
        <f>VLOOKUP(Table1[[#This Row],[Isin code]],Table2[#All],10,FALSE)</f>
        <v>Monthly</v>
      </c>
      <c r="X828">
        <f ca="1">_xlfn.DAYS(Table1[[#This Row],[Maturity]],TODAY())-15</f>
        <v>1518</v>
      </c>
      <c r="Y8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828">
        <f>IF(Table1[[#This Row],[Ask Rate]]=0,0,Table1[[#This Row],[Face Value]]-Table1[[#This Row],[Ask Rate]])</f>
        <v>0</v>
      </c>
      <c r="AA828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28">
        <f ca="1">Table1[[#This Row],[Face Value]]*Table1[[#This Row],[Rate]]*Table1[[#This Row],[Time]]</f>
        <v>393.12500000000006</v>
      </c>
      <c r="AC828">
        <f ca="1">Table1[[#This Row],[SI]]+Table1[[#This Row],[Disc/Prem]]</f>
        <v>393.12500000000006</v>
      </c>
      <c r="AD828" s="3" t="e">
        <f ca="1">Table1[[#This Row],[Net Gain]]/Table1[[#This Row],[Ask Rate]]</f>
        <v>#DIV/0!</v>
      </c>
      <c r="AE828" s="3">
        <f>IF(Table1[[#This Row],[Ask Qty]]=0,0,Table1[[#This Row],[Gross Yield]]*365/Table1[[#This Row],[Days Left]])</f>
        <v>0</v>
      </c>
      <c r="AF828" s="9">
        <f ca="1">+Table1[[#This Row],[Net Gain]]*Table1[[#This Row],[Ask Qty]]</f>
        <v>0</v>
      </c>
      <c r="AG828" t="str">
        <f>IF(Table1[[#This Row],[YTM]]&gt;0.12,IF(Table1[[#This Row],[Gross Profit]]&gt;10000,"Invest","Review"),"Low YTM")</f>
        <v>Low YTM</v>
      </c>
    </row>
    <row r="829" spans="1:33" x14ac:dyDescent="0.3">
      <c r="A829" t="str">
        <f>RTD("nest.scriprtd",,"bse_cm|980SCL34","Symbol")</f>
        <v>980SCL34</v>
      </c>
      <c r="B829" t="str">
        <f>RTD("nest.scriprtd",,"bse_cm|980SCL34","Trading Symbol")</f>
        <v>980SCL34</v>
      </c>
      <c r="C829" t="str">
        <f>RTD("nest.scriprtd",,"bse_cm|980SCL34","Exchange")</f>
        <v>BSE</v>
      </c>
      <c r="D829">
        <f>RTD("nest.scriprtd",,"bse_cm|980SCL34","Bid Qty")</f>
        <v>20</v>
      </c>
      <c r="E829">
        <f>RTD("nest.scriprtd",,"bse_cm|980SCL34","Bid Rate")</f>
        <v>820.2</v>
      </c>
      <c r="F829">
        <f>RTD("nest.scriprtd",,"bse_cm|980SCL34","Ask Rate")</f>
        <v>0</v>
      </c>
      <c r="G829">
        <f>RTD("nest.scriprtd",,"bse_cm|980SCL34","Ask Qty")</f>
        <v>0</v>
      </c>
      <c r="H829">
        <f>RTD("nest.scriprtd",,"bse_cm|980SCL34","LTP")</f>
        <v>0</v>
      </c>
      <c r="I829" t="str">
        <f>RTD("nest.scriprtd",,"bse_cm|980SCL34","LTT")</f>
        <v>00:00:00</v>
      </c>
      <c r="J829">
        <f>RTD("nest.scriprtd",,"bse_cm|980SCL34","% Change")</f>
        <v>-100</v>
      </c>
      <c r="K829">
        <f>RTD("nest.scriprtd",,"bse_cm|980SCL34","ATP")</f>
        <v>0</v>
      </c>
      <c r="L829">
        <f>RTD("nest.scriprtd",,"bse_cm|980SCL34","Volume Traded Today")</f>
        <v>0</v>
      </c>
      <c r="M829">
        <f>RTD("nest.scriprtd",,"bse_cm|980SCL34","Open")</f>
        <v>0</v>
      </c>
      <c r="N829">
        <f>RTD("nest.scriprtd",,"bse_cm|980SCL34","High")</f>
        <v>0</v>
      </c>
      <c r="O829">
        <f>RTD("nest.scriprtd",,"bse_cm|980SCL34","Low ")</f>
        <v>0</v>
      </c>
      <c r="P829">
        <f>RTD("nest.scriprtd",,"bse_cm|980SCL34","Prev Close")</f>
        <v>1000</v>
      </c>
      <c r="Q829">
        <f>RTD("nest.scriprtd",,"bse_cm|980SCL34","Face Value")</f>
        <v>1000</v>
      </c>
      <c r="R829" t="str">
        <f>RTD("nest.scriprtd",,"bse_cm|980SCL34","Isin code")</f>
        <v>INE148I07SW5</v>
      </c>
      <c r="S829" s="9">
        <f>Table1[[#This Row],[Ask Rate]]*Table1[[#This Row],[Ask Qty]]</f>
        <v>0</v>
      </c>
      <c r="T829">
        <f>VLOOKUP(Table1[[#This Row],[Isin code]],Table2[#All],7,FALSE)</f>
        <v>9.8000000000000007</v>
      </c>
      <c r="U829" s="17" t="str">
        <f>VLOOKUP(Table1[[#This Row],[Isin code]],Table2[#All],8,FALSE)</f>
        <v>26-Mar-2034</v>
      </c>
      <c r="V829" s="10">
        <f ca="1">Table1[[#This Row],[Maturity]]-TODAY()</f>
        <v>3448</v>
      </c>
      <c r="W829" t="str">
        <f>VLOOKUP(Table1[[#This Row],[Isin code]],Table2[#All],10,FALSE)</f>
        <v>Monthly</v>
      </c>
      <c r="X829">
        <f ca="1">_xlfn.DAYS(Table1[[#This Row],[Maturity]],TODAY())-15</f>
        <v>3433</v>
      </c>
      <c r="Y8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115</v>
      </c>
      <c r="Z829">
        <f>IF(Table1[[#This Row],[Ask Rate]]=0,0,Table1[[#This Row],[Face Value]]-Table1[[#This Row],[Ask Rate]])</f>
        <v>0</v>
      </c>
      <c r="AA829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829">
        <f ca="1">Table1[[#This Row],[Face Value]]*Table1[[#This Row],[Rate]]*Table1[[#This Row],[Time]]</f>
        <v>939.16666666666686</v>
      </c>
      <c r="AC829">
        <f ca="1">Table1[[#This Row],[SI]]+Table1[[#This Row],[Disc/Prem]]</f>
        <v>939.16666666666686</v>
      </c>
      <c r="AD829" s="3" t="e">
        <f ca="1">Table1[[#This Row],[Net Gain]]/Table1[[#This Row],[Ask Rate]]</f>
        <v>#DIV/0!</v>
      </c>
      <c r="AE829" s="3">
        <f>IF(Table1[[#This Row],[Ask Qty]]=0,0,Table1[[#This Row],[Gross Yield]]*365/Table1[[#This Row],[Days Left]])</f>
        <v>0</v>
      </c>
      <c r="AF829" s="9">
        <f ca="1">+Table1[[#This Row],[Net Gain]]*Table1[[#This Row],[Ask Qty]]</f>
        <v>0</v>
      </c>
      <c r="AG829" t="str">
        <f>IF(Table1[[#This Row],[YTM]]&gt;0.12,IF(Table1[[#This Row],[Gross Profit]]&gt;10000,"Invest","Review"),"Low YTM")</f>
        <v>Low YTM</v>
      </c>
    </row>
    <row r="830" spans="1:33" x14ac:dyDescent="0.3">
      <c r="A830" t="str">
        <f>RTD("nest.scriprtd",,"nse_cm|980SCL33D-YG","Symbol")</f>
        <v>980SCL33D</v>
      </c>
      <c r="B830" t="str">
        <f>RTD("nest.scriprtd",,"nse_cm|980SCL33D-YG","Trading Symbol")</f>
        <v>980SCL33D-YG</v>
      </c>
      <c r="C830" t="str">
        <f>RTD("nest.scriprtd",,"nse_cm|980SCL33D-YG","Exchange")</f>
        <v>NSE</v>
      </c>
      <c r="D830">
        <f>RTD("nest.scriprtd",,"nse_cm|980SCL33D-YG","Bid Qty")</f>
        <v>2</v>
      </c>
      <c r="E830">
        <f>RTD("nest.scriprtd",,"nse_cm|980SCL33D-YG","Bid Rate")</f>
        <v>851.5</v>
      </c>
      <c r="F830">
        <f>RTD("nest.scriprtd",,"nse_cm|980SCL33D-YG","Ask Rate")</f>
        <v>0</v>
      </c>
      <c r="G830">
        <f>RTD("nest.scriprtd",,"nse_cm|980SCL33D-YG","Ask Qty")</f>
        <v>0</v>
      </c>
      <c r="H830">
        <f>RTD("nest.scriprtd",,"nse_cm|980SCL33D-YG","LTP")</f>
        <v>930</v>
      </c>
      <c r="I830" t="str">
        <f>RTD("nest.scriprtd",,"nse_cm|980SCL33D-YG","LTT")</f>
        <v/>
      </c>
      <c r="J830">
        <f>RTD("nest.scriprtd",,"nse_cm|980SCL33D-YG","% Change")</f>
        <v>0</v>
      </c>
      <c r="K830">
        <f>RTD("nest.scriprtd",,"nse_cm|980SCL33D-YG","ATP")</f>
        <v>0</v>
      </c>
      <c r="L830">
        <f>RTD("nest.scriprtd",,"nse_cm|980SCL33D-YG","Volume Traded Today")</f>
        <v>0</v>
      </c>
      <c r="M830">
        <f>RTD("nest.scriprtd",,"nse_cm|980SCL33D-YG","Open")</f>
        <v>0</v>
      </c>
      <c r="N830">
        <f>RTD("nest.scriprtd",,"nse_cm|980SCL33D-YG","High")</f>
        <v>930</v>
      </c>
      <c r="O830">
        <f>RTD("nest.scriprtd",,"nse_cm|980SCL33D-YG","Low ")</f>
        <v>930</v>
      </c>
      <c r="P830">
        <f>RTD("nest.scriprtd",,"nse_cm|980SCL33D-YG","Prev Close")</f>
        <v>930</v>
      </c>
      <c r="Q830">
        <f>RTD("nest.scriprtd",,"nse_cm|980SCL33D-YG","Face Value")</f>
        <v>1000</v>
      </c>
      <c r="R830" t="str">
        <f>RTD("nest.scriprtd",,"nse_cm|980SCL33D-YG","Isin code")</f>
        <v>INE148I07RP1</v>
      </c>
      <c r="S830" s="9">
        <f>Table1[[#This Row],[Ask Rate]]*Table1[[#This Row],[Ask Qty]]</f>
        <v>0</v>
      </c>
      <c r="T830">
        <f>VLOOKUP(Table1[[#This Row],[Isin code]],Table2[#All],7,FALSE)</f>
        <v>9.7100000000000009</v>
      </c>
      <c r="U830" s="17" t="str">
        <f>VLOOKUP(Table1[[#This Row],[Isin code]],Table2[#All],8,FALSE)</f>
        <v>27-Dec-2028</v>
      </c>
      <c r="V830" s="10">
        <f ca="1">Table1[[#This Row],[Maturity]]-TODAY()</f>
        <v>1533</v>
      </c>
      <c r="W830" t="str">
        <f>VLOOKUP(Table1[[#This Row],[Isin code]],Table2[#All],10,FALSE)</f>
        <v>Monthly</v>
      </c>
      <c r="X830">
        <f ca="1">_xlfn.DAYS(Table1[[#This Row],[Maturity]],TODAY())-15</f>
        <v>1518</v>
      </c>
      <c r="Y8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830">
        <f>IF(Table1[[#This Row],[Ask Rate]]=0,0,Table1[[#This Row],[Face Value]]-Table1[[#This Row],[Ask Rate]])</f>
        <v>0</v>
      </c>
      <c r="AA830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830">
        <f ca="1">Table1[[#This Row],[Face Value]]*Table1[[#This Row],[Rate]]*Table1[[#This Row],[Time]]</f>
        <v>412.67500000000001</v>
      </c>
      <c r="AC830">
        <f ca="1">Table1[[#This Row],[SI]]+Table1[[#This Row],[Disc/Prem]]</f>
        <v>412.67500000000001</v>
      </c>
      <c r="AD830" s="3" t="e">
        <f ca="1">Table1[[#This Row],[Net Gain]]/Table1[[#This Row],[Ask Rate]]</f>
        <v>#DIV/0!</v>
      </c>
      <c r="AE830" s="3">
        <f>IF(Table1[[#This Row],[Ask Qty]]=0,0,Table1[[#This Row],[Gross Yield]]*365/Table1[[#This Row],[Days Left]])</f>
        <v>0</v>
      </c>
      <c r="AF830" s="9">
        <f ca="1">+Table1[[#This Row],[Net Gain]]*Table1[[#This Row],[Ask Qty]]</f>
        <v>0</v>
      </c>
      <c r="AG830" t="str">
        <f>IF(Table1[[#This Row],[YTM]]&gt;0.12,IF(Table1[[#This Row],[Gross Profit]]&gt;10000,"Invest","Review"),"Low YTM")</f>
        <v>Low YTM</v>
      </c>
    </row>
    <row r="831" spans="1:33" x14ac:dyDescent="0.3">
      <c r="A831" t="str">
        <f>RTD("nest.scriprtd",,"nse_cm|83TCHF28-N9","Symbol")</f>
        <v>83TCHF28</v>
      </c>
      <c r="B831" t="str">
        <f>RTD("nest.scriprtd",,"nse_cm|83TCHF28-N9","Trading Symbol")</f>
        <v>83TCHF28-N9</v>
      </c>
      <c r="C831" t="str">
        <f>RTD("nest.scriprtd",,"nse_cm|83TCHF28-N9","Exchange")</f>
        <v>NSE</v>
      </c>
      <c r="D831">
        <f>RTD("nest.scriprtd",,"nse_cm|83TCHF28-N9","Bid Qty")</f>
        <v>0</v>
      </c>
      <c r="E831">
        <f>RTD("nest.scriprtd",,"nse_cm|83TCHF28-N9","Bid Rate")</f>
        <v>0</v>
      </c>
      <c r="F831">
        <f>RTD("nest.scriprtd",,"nse_cm|83TCHF28-N9","Ask Rate")</f>
        <v>0</v>
      </c>
      <c r="G831">
        <f>RTD("nest.scriprtd",,"nse_cm|83TCHF28-N9","Ask Qty")</f>
        <v>0</v>
      </c>
      <c r="H831">
        <f>RTD("nest.scriprtd",,"nse_cm|83TCHF28-N9","LTP")</f>
        <v>0</v>
      </c>
      <c r="I831" t="str">
        <f>RTD("nest.scriprtd",,"nse_cm|83TCHF28-N9","LTT")</f>
        <v/>
      </c>
      <c r="J831">
        <f>RTD("nest.scriprtd",,"nse_cm|83TCHF28-N9","% Change")</f>
        <v>-100</v>
      </c>
      <c r="K831">
        <f>RTD("nest.scriprtd",,"nse_cm|83TCHF28-N9","ATP")</f>
        <v>0</v>
      </c>
      <c r="L831">
        <f>RTD("nest.scriprtd",,"nse_cm|83TCHF28-N9","Volume Traded Today")</f>
        <v>0</v>
      </c>
      <c r="M831">
        <f>RTD("nest.scriprtd",,"nse_cm|83TCHF28-N9","Open")</f>
        <v>0</v>
      </c>
      <c r="N831">
        <f>RTD("nest.scriprtd",,"nse_cm|83TCHF28-N9","High")</f>
        <v>0</v>
      </c>
      <c r="O831">
        <f>RTD("nest.scriprtd",,"nse_cm|83TCHF28-N9","Low ")</f>
        <v>0</v>
      </c>
      <c r="P831">
        <f>RTD("nest.scriprtd",,"nse_cm|83TCHF28-N9","Prev Close")</f>
        <v>1245.45</v>
      </c>
      <c r="Q831">
        <f>RTD("nest.scriprtd",,"nse_cm|83TCHF28-N9","Face Value")</f>
        <v>1000</v>
      </c>
      <c r="R831" t="str">
        <f>RTD("nest.scriprtd",,"nse_cm|83TCHF28-N9","Isin code")</f>
        <v>INE033L07GT4</v>
      </c>
      <c r="S831" s="9">
        <f>Table1[[#This Row],[Ask Rate]]*Table1[[#This Row],[Ask Qty]]</f>
        <v>0</v>
      </c>
      <c r="T831">
        <f>VLOOKUP(Table1[[#This Row],[Isin code]],Table2[#All],7,FALSE)</f>
        <v>8.3000000000000007</v>
      </c>
      <c r="U831" s="17" t="str">
        <f>VLOOKUP(Table1[[#This Row],[Isin code]],Table2[#All],8,FALSE)</f>
        <v>14-Jan-2028</v>
      </c>
      <c r="V831" s="10">
        <f ca="1">Table1[[#This Row],[Maturity]]-TODAY()</f>
        <v>1185</v>
      </c>
      <c r="W831" t="str">
        <f>VLOOKUP(Table1[[#This Row],[Isin code]],Table2[#All],10,FALSE)</f>
        <v>Yearly</v>
      </c>
      <c r="X831">
        <f ca="1">_xlfn.DAYS(Table1[[#This Row],[Maturity]],TODAY())-15</f>
        <v>1170</v>
      </c>
      <c r="Y8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831">
        <f>IF(Table1[[#This Row],[Ask Rate]]=0,0,Table1[[#This Row],[Face Value]]-Table1[[#This Row],[Ask Rate]])</f>
        <v>0</v>
      </c>
      <c r="AA831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831">
        <f ca="1">Table1[[#This Row],[Face Value]]*Table1[[#This Row],[Rate]]*Table1[[#This Row],[Time]]</f>
        <v>332</v>
      </c>
      <c r="AC831">
        <f ca="1">Table1[[#This Row],[SI]]+Table1[[#This Row],[Disc/Prem]]</f>
        <v>332</v>
      </c>
      <c r="AD831" s="3" t="e">
        <f ca="1">Table1[[#This Row],[Net Gain]]/Table1[[#This Row],[Ask Rate]]</f>
        <v>#DIV/0!</v>
      </c>
      <c r="AE831" s="3">
        <f>IF(Table1[[#This Row],[Ask Qty]]=0,0,Table1[[#This Row],[Gross Yield]]*365/Table1[[#This Row],[Days Left]])</f>
        <v>0</v>
      </c>
      <c r="AF831" s="9">
        <f ca="1">+Table1[[#This Row],[Net Gain]]*Table1[[#This Row],[Ask Qty]]</f>
        <v>0</v>
      </c>
      <c r="AG831" t="str">
        <f>IF(Table1[[#This Row],[YTM]]&gt;0.12,IF(Table1[[#This Row],[Gross Profit]]&gt;10000,"Invest","Review"),"Low YTM")</f>
        <v>Low YTM</v>
      </c>
    </row>
    <row r="832" spans="1:33" x14ac:dyDescent="0.3">
      <c r="A832" t="str">
        <f>RTD("nest.scriprtd",,"bse_cm|83TCHF28","Symbol")</f>
        <v>83TCHF28</v>
      </c>
      <c r="B832" t="str">
        <f>RTD("nest.scriprtd",,"bse_cm|83TCHF28","Trading Symbol")</f>
        <v>83TCHF28</v>
      </c>
      <c r="C832" t="str">
        <f>RTD("nest.scriprtd",,"bse_cm|83TCHF28","Exchange")</f>
        <v>BSE</v>
      </c>
      <c r="D832">
        <f>RTD("nest.scriprtd",,"bse_cm|83TCHF28","Bid Qty")</f>
        <v>20</v>
      </c>
      <c r="E832">
        <f>RTD("nest.scriprtd",,"bse_cm|83TCHF28","Bid Rate")</f>
        <v>885.3</v>
      </c>
      <c r="F832">
        <f>RTD("nest.scriprtd",,"bse_cm|83TCHF28","Ask Rate")</f>
        <v>0</v>
      </c>
      <c r="G832">
        <f>RTD("nest.scriprtd",,"bse_cm|83TCHF28","Ask Qty")</f>
        <v>0</v>
      </c>
      <c r="H832">
        <f>RTD("nest.scriprtd",,"bse_cm|83TCHF28","LTP")</f>
        <v>0</v>
      </c>
      <c r="I832" t="str">
        <f>RTD("nest.scriprtd",,"bse_cm|83TCHF28","LTT")</f>
        <v>00:00:00</v>
      </c>
      <c r="J832">
        <f>RTD("nest.scriprtd",,"bse_cm|83TCHF28","% Change")</f>
        <v>-100</v>
      </c>
      <c r="K832">
        <f>RTD("nest.scriprtd",,"bse_cm|83TCHF28","ATP")</f>
        <v>0</v>
      </c>
      <c r="L832">
        <f>RTD("nest.scriprtd",,"bse_cm|83TCHF28","Volume Traded Today")</f>
        <v>0</v>
      </c>
      <c r="M832">
        <f>RTD("nest.scriprtd",,"bse_cm|83TCHF28","Open")</f>
        <v>0</v>
      </c>
      <c r="N832">
        <f>RTD("nest.scriprtd",,"bse_cm|83TCHF28","High")</f>
        <v>0</v>
      </c>
      <c r="O832">
        <f>RTD("nest.scriprtd",,"bse_cm|83TCHF28","Low ")</f>
        <v>0</v>
      </c>
      <c r="P832">
        <f>RTD("nest.scriprtd",,"bse_cm|83TCHF28","Prev Close")</f>
        <v>1000</v>
      </c>
      <c r="Q832">
        <f>RTD("nest.scriprtd",,"bse_cm|83TCHF28","Face Value")</f>
        <v>1000</v>
      </c>
      <c r="R832" t="str">
        <f>RTD("nest.scriprtd",,"bse_cm|83TCHF28","Isin code")</f>
        <v>INE033L07GT4</v>
      </c>
      <c r="S832" s="9">
        <f>Table1[[#This Row],[Ask Rate]]*Table1[[#This Row],[Ask Qty]]</f>
        <v>0</v>
      </c>
      <c r="T832">
        <f>VLOOKUP(Table1[[#This Row],[Isin code]],Table2[#All],7,FALSE)</f>
        <v>8.3000000000000007</v>
      </c>
      <c r="U832" s="17" t="str">
        <f>VLOOKUP(Table1[[#This Row],[Isin code]],Table2[#All],8,FALSE)</f>
        <v>14-Jan-2028</v>
      </c>
      <c r="V832" s="10">
        <f ca="1">Table1[[#This Row],[Maturity]]-TODAY()</f>
        <v>1185</v>
      </c>
      <c r="W832" t="str">
        <f>VLOOKUP(Table1[[#This Row],[Isin code]],Table2[#All],10,FALSE)</f>
        <v>Yearly</v>
      </c>
      <c r="X832">
        <f ca="1">_xlfn.DAYS(Table1[[#This Row],[Maturity]],TODAY())-15</f>
        <v>1170</v>
      </c>
      <c r="Y8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832">
        <f>IF(Table1[[#This Row],[Ask Rate]]=0,0,Table1[[#This Row],[Face Value]]-Table1[[#This Row],[Ask Rate]])</f>
        <v>0</v>
      </c>
      <c r="AA832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832">
        <f ca="1">Table1[[#This Row],[Face Value]]*Table1[[#This Row],[Rate]]*Table1[[#This Row],[Time]]</f>
        <v>332</v>
      </c>
      <c r="AC832">
        <f ca="1">Table1[[#This Row],[SI]]+Table1[[#This Row],[Disc/Prem]]</f>
        <v>332</v>
      </c>
      <c r="AD832" s="3" t="e">
        <f ca="1">Table1[[#This Row],[Net Gain]]/Table1[[#This Row],[Ask Rate]]</f>
        <v>#DIV/0!</v>
      </c>
      <c r="AE832" s="3">
        <f>IF(Table1[[#This Row],[Ask Qty]]=0,0,Table1[[#This Row],[Gross Yield]]*365/Table1[[#This Row],[Days Left]])</f>
        <v>0</v>
      </c>
      <c r="AF832" s="9">
        <f ca="1">+Table1[[#This Row],[Net Gain]]*Table1[[#This Row],[Ask Qty]]</f>
        <v>0</v>
      </c>
      <c r="AG832" t="str">
        <f>IF(Table1[[#This Row],[YTM]]&gt;0.12,IF(Table1[[#This Row],[Gross Profit]]&gt;10000,"Invest","Review"),"Low YTM")</f>
        <v>Low YTM</v>
      </c>
    </row>
    <row r="833" spans="1:33" x14ac:dyDescent="0.3">
      <c r="A833" t="str">
        <f>RTD("nest.scriprtd",,"nse_cm|835SCL23A-YH","Symbol")</f>
        <v>835SCL23A</v>
      </c>
      <c r="B833" t="str">
        <f>RTD("nest.scriprtd",,"nse_cm|835SCL23A-YH","Trading Symbol")</f>
        <v>835SCL23A-YH</v>
      </c>
      <c r="C833" t="str">
        <f>RTD("nest.scriprtd",,"nse_cm|835SCL23A-YH","Exchange")</f>
        <v>NSE</v>
      </c>
      <c r="D833">
        <f>RTD("nest.scriprtd",,"nse_cm|835SCL23A-YH","Bid Qty")</f>
        <v>10</v>
      </c>
      <c r="E833">
        <f>RTD("nest.scriprtd",,"nse_cm|835SCL23A-YH","Bid Rate")</f>
        <v>815.8</v>
      </c>
      <c r="F833">
        <f>RTD("nest.scriprtd",,"nse_cm|835SCL23A-YH","Ask Rate")</f>
        <v>0</v>
      </c>
      <c r="G833">
        <f>RTD("nest.scriprtd",,"nse_cm|835SCL23A-YH","Ask Qty")</f>
        <v>0</v>
      </c>
      <c r="H833">
        <f>RTD("nest.scriprtd",,"nse_cm|835SCL23A-YH","LTP")</f>
        <v>0</v>
      </c>
      <c r="I833" t="str">
        <f>RTD("nest.scriprtd",,"nse_cm|835SCL23A-YH","LTT")</f>
        <v/>
      </c>
      <c r="J833">
        <f>RTD("nest.scriprtd",,"nse_cm|835SCL23A-YH","% Change")</f>
        <v>-100</v>
      </c>
      <c r="K833">
        <f>RTD("nest.scriprtd",,"nse_cm|835SCL23A-YH","ATP")</f>
        <v>0</v>
      </c>
      <c r="L833">
        <f>RTD("nest.scriprtd",,"nse_cm|835SCL23A-YH","Volume Traded Today")</f>
        <v>0</v>
      </c>
      <c r="M833">
        <f>RTD("nest.scriprtd",,"nse_cm|835SCL23A-YH","Open")</f>
        <v>0</v>
      </c>
      <c r="N833">
        <f>RTD("nest.scriprtd",,"nse_cm|835SCL23A-YH","High")</f>
        <v>0</v>
      </c>
      <c r="O833">
        <f>RTD("nest.scriprtd",,"nse_cm|835SCL23A-YH","Low ")</f>
        <v>0</v>
      </c>
      <c r="P833">
        <f>RTD("nest.scriprtd",,"nse_cm|835SCL23A-YH","Prev Close")</f>
        <v>1000</v>
      </c>
      <c r="Q833">
        <f>RTD("nest.scriprtd",,"nse_cm|835SCL23A-YH","Face Value")</f>
        <v>1000</v>
      </c>
      <c r="R833" t="str">
        <f>RTD("nest.scriprtd",,"nse_cm|835SCL23A-YH","Isin code")</f>
        <v>INE148I07RR7</v>
      </c>
      <c r="S833" s="9">
        <f>Table1[[#This Row],[Ask Rate]]*Table1[[#This Row],[Ask Qty]]</f>
        <v>0</v>
      </c>
      <c r="T833">
        <f>VLOOKUP(Table1[[#This Row],[Isin code]],Table2[#All],7,FALSE)</f>
        <v>10.5</v>
      </c>
      <c r="U833" s="17" t="str">
        <f>VLOOKUP(Table1[[#This Row],[Isin code]],Table2[#All],8,FALSE)</f>
        <v>27-Dec-2030</v>
      </c>
      <c r="V833" s="10">
        <f ca="1">Table1[[#This Row],[Maturity]]-TODAY()</f>
        <v>2263</v>
      </c>
      <c r="W833" t="str">
        <f>VLOOKUP(Table1[[#This Row],[Isin code]],Table2[#All],10,FALSE)</f>
        <v>Yearly</v>
      </c>
      <c r="X833">
        <f ca="1">_xlfn.DAYS(Table1[[#This Row],[Maturity]],TODAY())-15</f>
        <v>2248</v>
      </c>
      <c r="Y83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833">
        <f>IF(Table1[[#This Row],[Ask Rate]]=0,0,Table1[[#This Row],[Face Value]]-Table1[[#This Row],[Ask Rate]])</f>
        <v>0</v>
      </c>
      <c r="AA833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833">
        <f ca="1">Table1[[#This Row],[Face Value]]*Table1[[#This Row],[Rate]]*Table1[[#This Row],[Time]]</f>
        <v>735</v>
      </c>
      <c r="AC833">
        <f ca="1">Table1[[#This Row],[SI]]+Table1[[#This Row],[Disc/Prem]]</f>
        <v>735</v>
      </c>
      <c r="AD833" s="3" t="e">
        <f ca="1">Table1[[#This Row],[Net Gain]]/Table1[[#This Row],[Ask Rate]]</f>
        <v>#DIV/0!</v>
      </c>
      <c r="AE833" s="3">
        <f>IF(Table1[[#This Row],[Ask Qty]]=0,0,Table1[[#This Row],[Gross Yield]]*365/Table1[[#This Row],[Days Left]])</f>
        <v>0</v>
      </c>
      <c r="AF833" s="9">
        <f ca="1">+Table1[[#This Row],[Net Gain]]*Table1[[#This Row],[Ask Qty]]</f>
        <v>0</v>
      </c>
      <c r="AG833" t="str">
        <f>IF(Table1[[#This Row],[YTM]]&gt;0.12,IF(Table1[[#This Row],[Gross Profit]]&gt;10000,"Invest","Review"),"Low YTM")</f>
        <v>Low YTM</v>
      </c>
    </row>
    <row r="834" spans="1:33" x14ac:dyDescent="0.3">
      <c r="A834" t="str">
        <f>RTD("nest.scriprtd",,"nse_cm|1025SCL33A-N1","Symbol")</f>
        <v>1025SCL33A</v>
      </c>
      <c r="B834" t="str">
        <f>RTD("nest.scriprtd",,"nse_cm|1025SCL33A-N1","Trading Symbol")</f>
        <v>1025SCL33A-N1</v>
      </c>
      <c r="C834" t="str">
        <f>RTD("nest.scriprtd",,"nse_cm|1025SCL33A-N1","Exchange")</f>
        <v>NSE</v>
      </c>
      <c r="D834">
        <f>RTD("nest.scriprtd",,"nse_cm|1025SCL33A-N1","Bid Qty")</f>
        <v>20</v>
      </c>
      <c r="E834">
        <f>RTD("nest.scriprtd",,"nse_cm|1025SCL33A-N1","Bid Rate")</f>
        <v>750.2</v>
      </c>
      <c r="F834">
        <f>RTD("nest.scriprtd",,"nse_cm|1025SCL33A-N1","Ask Rate")</f>
        <v>0</v>
      </c>
      <c r="G834">
        <f>RTD("nest.scriprtd",,"nse_cm|1025SCL33A-N1","Ask Qty")</f>
        <v>0</v>
      </c>
      <c r="H834">
        <f>RTD("nest.scriprtd",,"nse_cm|1025SCL33A-N1","LTP")</f>
        <v>0</v>
      </c>
      <c r="I834" t="str">
        <f>RTD("nest.scriprtd",,"nse_cm|1025SCL33A-N1","LTT")</f>
        <v/>
      </c>
      <c r="J834">
        <f>RTD("nest.scriprtd",,"nse_cm|1025SCL33A-N1","% Change")</f>
        <v>-100</v>
      </c>
      <c r="K834">
        <f>RTD("nest.scriprtd",,"nse_cm|1025SCL33A-N1","ATP")</f>
        <v>0</v>
      </c>
      <c r="L834">
        <f>RTD("nest.scriprtd",,"nse_cm|1025SCL33A-N1","Volume Traded Today")</f>
        <v>0</v>
      </c>
      <c r="M834">
        <f>RTD("nest.scriprtd",,"nse_cm|1025SCL33A-N1","Open")</f>
        <v>0</v>
      </c>
      <c r="N834">
        <f>RTD("nest.scriprtd",,"nse_cm|1025SCL33A-N1","High")</f>
        <v>0</v>
      </c>
      <c r="O834">
        <f>RTD("nest.scriprtd",,"nse_cm|1025SCL33A-N1","Low ")</f>
        <v>0</v>
      </c>
      <c r="P834">
        <f>RTD("nest.scriprtd",,"nse_cm|1025SCL33A-N1","Prev Close")</f>
        <v>1000</v>
      </c>
      <c r="Q834">
        <f>RTD("nest.scriprtd",,"nse_cm|1025SCL33A-N1","Face Value")</f>
        <v>900</v>
      </c>
      <c r="R834" t="str">
        <f>RTD("nest.scriprtd",,"nse_cm|1025SCL33A-N1","Isin code")</f>
        <v>INE148I07PP5</v>
      </c>
      <c r="S834" s="9">
        <f>Table1[[#This Row],[Ask Rate]]*Table1[[#This Row],[Ask Qty]]</f>
        <v>0</v>
      </c>
      <c r="T834">
        <f>VLOOKUP(Table1[[#This Row],[Isin code]],Table2[#All],7,FALSE)</f>
        <v>10.25</v>
      </c>
      <c r="U834" s="17" t="str">
        <f>VLOOKUP(Table1[[#This Row],[Isin code]],Table2[#All],8,FALSE)</f>
        <v>26-Sep-2033</v>
      </c>
      <c r="V834" s="10">
        <f ca="1">Table1[[#This Row],[Maturity]]-TODAY()</f>
        <v>3267</v>
      </c>
      <c r="W834" t="str">
        <f>VLOOKUP(Table1[[#This Row],[Isin code]],Table2[#All],10,FALSE)</f>
        <v>Yearly</v>
      </c>
      <c r="X834">
        <f ca="1">_xlfn.DAYS(Table1[[#This Row],[Maturity]],TODAY())-15</f>
        <v>3252</v>
      </c>
      <c r="Y8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834">
        <f>IF(Table1[[#This Row],[Ask Rate]]=0,0,Table1[[#This Row],[Face Value]]-Table1[[#This Row],[Ask Rate]])</f>
        <v>0</v>
      </c>
      <c r="AA834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834">
        <f ca="1">Table1[[#This Row],[Face Value]]*Table1[[#This Row],[Rate]]*Table1[[#This Row],[Time]]</f>
        <v>830.25</v>
      </c>
      <c r="AC834">
        <f ca="1">Table1[[#This Row],[SI]]+Table1[[#This Row],[Disc/Prem]]</f>
        <v>830.25</v>
      </c>
      <c r="AD834" s="3" t="e">
        <f ca="1">Table1[[#This Row],[Net Gain]]/Table1[[#This Row],[Ask Rate]]</f>
        <v>#DIV/0!</v>
      </c>
      <c r="AE834" s="3">
        <f>IF(Table1[[#This Row],[Ask Qty]]=0,0,Table1[[#This Row],[Gross Yield]]*365/Table1[[#This Row],[Days Left]])</f>
        <v>0</v>
      </c>
      <c r="AF834" s="9">
        <f ca="1">+Table1[[#This Row],[Net Gain]]*Table1[[#This Row],[Ask Qty]]</f>
        <v>0</v>
      </c>
      <c r="AG834" t="str">
        <f>IF(Table1[[#This Row],[YTM]]&gt;0.12,IF(Table1[[#This Row],[Gross Profit]]&gt;10000,"Invest","Review"),"Low YTM")</f>
        <v>Low YTM</v>
      </c>
    </row>
    <row r="835" spans="1:33" x14ac:dyDescent="0.3">
      <c r="A835" t="str">
        <f>RTD("nest.scriprtd",,"bse_cm|1025SCL33A","Symbol")</f>
        <v>1025SCL33A</v>
      </c>
      <c r="B835" t="str">
        <f>RTD("nest.scriprtd",,"bse_cm|1025SCL33A","Trading Symbol")</f>
        <v>1025SCL33A</v>
      </c>
      <c r="C835" t="str">
        <f>RTD("nest.scriprtd",,"bse_cm|1025SCL33A","Exchange")</f>
        <v>BSE</v>
      </c>
      <c r="D835">
        <f>RTD("nest.scriprtd",,"bse_cm|1025SCL33A","Bid Qty")</f>
        <v>20</v>
      </c>
      <c r="E835">
        <f>RTD("nest.scriprtd",,"bse_cm|1025SCL33A","Bid Rate")</f>
        <v>722.2</v>
      </c>
      <c r="F835">
        <f>RTD("nest.scriprtd",,"bse_cm|1025SCL33A","Ask Rate")</f>
        <v>0</v>
      </c>
      <c r="G835">
        <f>RTD("nest.scriprtd",,"bse_cm|1025SCL33A","Ask Qty")</f>
        <v>0</v>
      </c>
      <c r="H835">
        <f>RTD("nest.scriprtd",,"bse_cm|1025SCL33A","LTP")</f>
        <v>0</v>
      </c>
      <c r="I835" t="str">
        <f>RTD("nest.scriprtd",,"bse_cm|1025SCL33A","LTT")</f>
        <v>00:00:00</v>
      </c>
      <c r="J835">
        <f>RTD("nest.scriprtd",,"bse_cm|1025SCL33A","% Change")</f>
        <v>-100</v>
      </c>
      <c r="K835">
        <f>RTD("nest.scriprtd",,"bse_cm|1025SCL33A","ATP")</f>
        <v>0</v>
      </c>
      <c r="L835">
        <f>RTD("nest.scriprtd",,"bse_cm|1025SCL33A","Volume Traded Today")</f>
        <v>0</v>
      </c>
      <c r="M835">
        <f>RTD("nest.scriprtd",,"bse_cm|1025SCL33A","Open")</f>
        <v>0</v>
      </c>
      <c r="N835">
        <f>RTD("nest.scriprtd",,"bse_cm|1025SCL33A","High")</f>
        <v>0</v>
      </c>
      <c r="O835">
        <f>RTD("nest.scriprtd",,"bse_cm|1025SCL33A","Low ")</f>
        <v>0</v>
      </c>
      <c r="P835">
        <f>RTD("nest.scriprtd",,"bse_cm|1025SCL33A","Prev Close")</f>
        <v>900</v>
      </c>
      <c r="Q835">
        <f>RTD("nest.scriprtd",,"bse_cm|1025SCL33A","Face Value")</f>
        <v>900</v>
      </c>
      <c r="R835" t="str">
        <f>RTD("nest.scriprtd",,"bse_cm|1025SCL33A","Isin code")</f>
        <v>INE148I07PP5</v>
      </c>
      <c r="S835" s="9">
        <f>Table1[[#This Row],[Ask Rate]]*Table1[[#This Row],[Ask Qty]]</f>
        <v>0</v>
      </c>
      <c r="T835">
        <f>VLOOKUP(Table1[[#This Row],[Isin code]],Table2[#All],7,FALSE)</f>
        <v>10.25</v>
      </c>
      <c r="U835" s="17" t="str">
        <f>VLOOKUP(Table1[[#This Row],[Isin code]],Table2[#All],8,FALSE)</f>
        <v>26-Sep-2033</v>
      </c>
      <c r="V835" s="10">
        <f ca="1">Table1[[#This Row],[Maturity]]-TODAY()</f>
        <v>3267</v>
      </c>
      <c r="W835" t="str">
        <f>VLOOKUP(Table1[[#This Row],[Isin code]],Table2[#All],10,FALSE)</f>
        <v>Yearly</v>
      </c>
      <c r="X835">
        <f ca="1">_xlfn.DAYS(Table1[[#This Row],[Maturity]],TODAY())-15</f>
        <v>3252</v>
      </c>
      <c r="Y83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835">
        <f>IF(Table1[[#This Row],[Ask Rate]]=0,0,Table1[[#This Row],[Face Value]]-Table1[[#This Row],[Ask Rate]])</f>
        <v>0</v>
      </c>
      <c r="AA835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835">
        <f ca="1">Table1[[#This Row],[Face Value]]*Table1[[#This Row],[Rate]]*Table1[[#This Row],[Time]]</f>
        <v>830.25</v>
      </c>
      <c r="AC835">
        <f ca="1">Table1[[#This Row],[SI]]+Table1[[#This Row],[Disc/Prem]]</f>
        <v>830.25</v>
      </c>
      <c r="AD835" s="3" t="e">
        <f ca="1">Table1[[#This Row],[Net Gain]]/Table1[[#This Row],[Ask Rate]]</f>
        <v>#DIV/0!</v>
      </c>
      <c r="AE835" s="3">
        <f>IF(Table1[[#This Row],[Ask Qty]]=0,0,Table1[[#This Row],[Gross Yield]]*365/Table1[[#This Row],[Days Left]])</f>
        <v>0</v>
      </c>
      <c r="AF835" s="9">
        <f ca="1">+Table1[[#This Row],[Net Gain]]*Table1[[#This Row],[Ask Qty]]</f>
        <v>0</v>
      </c>
      <c r="AG835" t="str">
        <f>IF(Table1[[#This Row],[YTM]]&gt;0.12,IF(Table1[[#This Row],[Gross Profit]]&gt;10000,"Invest","Review"),"Low YTM")</f>
        <v>Low YTM</v>
      </c>
    </row>
    <row r="836" spans="1:33" x14ac:dyDescent="0.3">
      <c r="A836" t="str">
        <f>RTD("nest.scriprtd",,"nse_cm|1025SCL33-YJ","Symbol")</f>
        <v>1025SCL33</v>
      </c>
      <c r="B836" t="str">
        <f>RTD("nest.scriprtd",,"nse_cm|1025SCL33-YJ","Trading Symbol")</f>
        <v>1025SCL33-YJ</v>
      </c>
      <c r="C836" t="str">
        <f>RTD("nest.scriprtd",,"nse_cm|1025SCL33-YJ","Exchange")</f>
        <v>NSE</v>
      </c>
      <c r="D836">
        <f>RTD("nest.scriprtd",,"nse_cm|1025SCL33-YJ","Bid Qty")</f>
        <v>12</v>
      </c>
      <c r="E836">
        <f>RTD("nest.scriprtd",,"nse_cm|1025SCL33-YJ","Bid Rate")</f>
        <v>827.2</v>
      </c>
      <c r="F836">
        <f>RTD("nest.scriprtd",,"nse_cm|1025SCL33-YJ","Ask Rate")</f>
        <v>0</v>
      </c>
      <c r="G836">
        <f>RTD("nest.scriprtd",,"nse_cm|1025SCL33-YJ","Ask Qty")</f>
        <v>0</v>
      </c>
      <c r="H836">
        <f>RTD("nest.scriprtd",,"nse_cm|1025SCL33-YJ","LTP")</f>
        <v>0</v>
      </c>
      <c r="I836" t="str">
        <f>RTD("nest.scriprtd",,"nse_cm|1025SCL33-YJ","LTT")</f>
        <v/>
      </c>
      <c r="J836">
        <f>RTD("nest.scriprtd",,"nse_cm|1025SCL33-YJ","% Change")</f>
        <v>-100</v>
      </c>
      <c r="K836">
        <f>RTD("nest.scriprtd",,"nse_cm|1025SCL33-YJ","ATP")</f>
        <v>0</v>
      </c>
      <c r="L836">
        <f>RTD("nest.scriprtd",,"nse_cm|1025SCL33-YJ","Volume Traded Today")</f>
        <v>0</v>
      </c>
      <c r="M836">
        <f>RTD("nest.scriprtd",,"nse_cm|1025SCL33-YJ","Open")</f>
        <v>0</v>
      </c>
      <c r="N836">
        <f>RTD("nest.scriprtd",,"nse_cm|1025SCL33-YJ","High")</f>
        <v>0</v>
      </c>
      <c r="O836">
        <f>RTD("nest.scriprtd",,"nse_cm|1025SCL33-YJ","Low ")</f>
        <v>0</v>
      </c>
      <c r="P836">
        <f>RTD("nest.scriprtd",,"nse_cm|1025SCL33-YJ","Prev Close")</f>
        <v>1000</v>
      </c>
      <c r="Q836">
        <f>RTD("nest.scriprtd",,"nse_cm|1025SCL33-YJ","Face Value")</f>
        <v>1000</v>
      </c>
      <c r="R836" t="str">
        <f>RTD("nest.scriprtd",,"nse_cm|1025SCL33-YJ","Isin code")</f>
        <v>INE148I07RV9</v>
      </c>
      <c r="S836" s="9">
        <f>Table1[[#This Row],[Ask Rate]]*Table1[[#This Row],[Ask Qty]]</f>
        <v>0</v>
      </c>
      <c r="T836">
        <f>VLOOKUP(Table1[[#This Row],[Isin code]],Table2[#All],7,FALSE)</f>
        <v>10.25</v>
      </c>
      <c r="U836" s="17" t="str">
        <f>VLOOKUP(Table1[[#This Row],[Isin code]],Table2[#All],8,FALSE)</f>
        <v>27-Dec-2033</v>
      </c>
      <c r="V836" s="10">
        <f ca="1">Table1[[#This Row],[Maturity]]-TODAY()</f>
        <v>3359</v>
      </c>
      <c r="W836" t="str">
        <f>VLOOKUP(Table1[[#This Row],[Isin code]],Table2[#All],10,FALSE)</f>
        <v>Yearly</v>
      </c>
      <c r="X836">
        <f ca="1">_xlfn.DAYS(Table1[[#This Row],[Maturity]],TODAY())-15</f>
        <v>3344</v>
      </c>
      <c r="Y8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836">
        <f>IF(Table1[[#This Row],[Ask Rate]]=0,0,Table1[[#This Row],[Face Value]]-Table1[[#This Row],[Ask Rate]])</f>
        <v>0</v>
      </c>
      <c r="AA836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836">
        <f ca="1">Table1[[#This Row],[Face Value]]*Table1[[#This Row],[Rate]]*Table1[[#This Row],[Time]]</f>
        <v>1025</v>
      </c>
      <c r="AC836">
        <f ca="1">Table1[[#This Row],[SI]]+Table1[[#This Row],[Disc/Prem]]</f>
        <v>1025</v>
      </c>
      <c r="AD836" s="3" t="e">
        <f ca="1">Table1[[#This Row],[Net Gain]]/Table1[[#This Row],[Ask Rate]]</f>
        <v>#DIV/0!</v>
      </c>
      <c r="AE836" s="3">
        <f>IF(Table1[[#This Row],[Ask Qty]]=0,0,Table1[[#This Row],[Gross Yield]]*365/Table1[[#This Row],[Days Left]])</f>
        <v>0</v>
      </c>
      <c r="AF836" s="9">
        <f ca="1">+Table1[[#This Row],[Net Gain]]*Table1[[#This Row],[Ask Qty]]</f>
        <v>0</v>
      </c>
      <c r="AG836" t="str">
        <f>IF(Table1[[#This Row],[YTM]]&gt;0.12,IF(Table1[[#This Row],[Gross Profit]]&gt;10000,"Invest","Review"),"Low YTM")</f>
        <v>Low YTM</v>
      </c>
    </row>
    <row r="837" spans="1:33" x14ac:dyDescent="0.3">
      <c r="A837" t="str">
        <f>RTD("nest.scriprtd",,"nse_cm|980SCL33B-YL","Symbol")</f>
        <v>980SCL33B</v>
      </c>
      <c r="B837" t="str">
        <f>RTD("nest.scriprtd",,"nse_cm|980SCL33B-YL","Trading Symbol")</f>
        <v>980SCL33B-YL</v>
      </c>
      <c r="C837" t="str">
        <f>RTD("nest.scriprtd",,"nse_cm|980SCL33B-YL","Exchange")</f>
        <v>NSE</v>
      </c>
      <c r="D837">
        <f>RTD("nest.scriprtd",,"nse_cm|980SCL33B-YL","Bid Qty")</f>
        <v>0</v>
      </c>
      <c r="E837">
        <f>RTD("nest.scriprtd",,"nse_cm|980SCL33B-YL","Bid Rate")</f>
        <v>0</v>
      </c>
      <c r="F837">
        <f>RTD("nest.scriprtd",,"nse_cm|980SCL33B-YL","Ask Rate")</f>
        <v>0</v>
      </c>
      <c r="G837">
        <f>RTD("nest.scriprtd",,"nse_cm|980SCL33B-YL","Ask Qty")</f>
        <v>0</v>
      </c>
      <c r="H837">
        <f>RTD("nest.scriprtd",,"nse_cm|980SCL33B-YL","LTP")</f>
        <v>0</v>
      </c>
      <c r="I837" t="str">
        <f>RTD("nest.scriprtd",,"nse_cm|980SCL33B-YL","LTT")</f>
        <v/>
      </c>
      <c r="J837">
        <f>RTD("nest.scriprtd",,"nse_cm|980SCL33B-YL","% Change")</f>
        <v>0</v>
      </c>
      <c r="K837">
        <f>RTD("nest.scriprtd",,"nse_cm|980SCL33B-YL","ATP")</f>
        <v>0</v>
      </c>
      <c r="L837">
        <f>RTD("nest.scriprtd",,"nse_cm|980SCL33B-YL","Volume Traded Today")</f>
        <v>0</v>
      </c>
      <c r="M837">
        <f>RTD("nest.scriprtd",,"nse_cm|980SCL33B-YL","Open")</f>
        <v>0</v>
      </c>
      <c r="N837">
        <f>RTD("nest.scriprtd",,"nse_cm|980SCL33B-YL","High")</f>
        <v>0</v>
      </c>
      <c r="O837">
        <f>RTD("nest.scriprtd",,"nse_cm|980SCL33B-YL","Low ")</f>
        <v>0</v>
      </c>
      <c r="P837">
        <f>RTD("nest.scriprtd",,"nse_cm|980SCL33B-YL","Prev Close")</f>
        <v>0</v>
      </c>
      <c r="Q837">
        <f>RTD("nest.scriprtd",,"nse_cm|980SCL33B-YL","Face Value")</f>
        <v>1000</v>
      </c>
      <c r="R837" t="str">
        <f>RTD("nest.scriprtd",,"nse_cm|980SCL33B-YL","Isin code")</f>
        <v>INE148I07RX5</v>
      </c>
      <c r="S837" s="9">
        <f>Table1[[#This Row],[Ask Rate]]*Table1[[#This Row],[Ask Qty]]</f>
        <v>0</v>
      </c>
      <c r="T837">
        <f>VLOOKUP(Table1[[#This Row],[Isin code]],Table2[#All],7,FALSE)</f>
        <v>9.8000000000000007</v>
      </c>
      <c r="U837" s="17" t="str">
        <f>VLOOKUP(Table1[[#This Row],[Isin code]],Table2[#All],8,FALSE)</f>
        <v>27-Dec-2033</v>
      </c>
      <c r="V837" s="10">
        <f ca="1">Table1[[#This Row],[Maturity]]-TODAY()</f>
        <v>3359</v>
      </c>
      <c r="W837" t="str">
        <f>VLOOKUP(Table1[[#This Row],[Isin code]],Table2[#All],10,FALSE)</f>
        <v>Monthly</v>
      </c>
      <c r="X837">
        <f ca="1">_xlfn.DAYS(Table1[[#This Row],[Maturity]],TODAY())-15</f>
        <v>3344</v>
      </c>
      <c r="Y8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112</v>
      </c>
      <c r="Z837">
        <f>IF(Table1[[#This Row],[Ask Rate]]=0,0,Table1[[#This Row],[Face Value]]-Table1[[#This Row],[Ask Rate]])</f>
        <v>0</v>
      </c>
      <c r="AA837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837">
        <f ca="1">Table1[[#This Row],[Face Value]]*Table1[[#This Row],[Rate]]*Table1[[#This Row],[Time]]</f>
        <v>914.66666666666674</v>
      </c>
      <c r="AC837">
        <f ca="1">Table1[[#This Row],[SI]]+Table1[[#This Row],[Disc/Prem]]</f>
        <v>914.66666666666674</v>
      </c>
      <c r="AD837" s="3" t="e">
        <f ca="1">Table1[[#This Row],[Net Gain]]/Table1[[#This Row],[Ask Rate]]</f>
        <v>#DIV/0!</v>
      </c>
      <c r="AE837" s="3">
        <f>IF(Table1[[#This Row],[Ask Qty]]=0,0,Table1[[#This Row],[Gross Yield]]*365/Table1[[#This Row],[Days Left]])</f>
        <v>0</v>
      </c>
      <c r="AF837" s="9">
        <f ca="1">+Table1[[#This Row],[Net Gain]]*Table1[[#This Row],[Ask Qty]]</f>
        <v>0</v>
      </c>
      <c r="AG837" t="str">
        <f>IF(Table1[[#This Row],[YTM]]&gt;0.12,IF(Table1[[#This Row],[Gross Profit]]&gt;10000,"Invest","Review"),"Low YTM")</f>
        <v>Low YTM</v>
      </c>
    </row>
    <row r="838" spans="1:33" x14ac:dyDescent="0.3">
      <c r="A838" t="str">
        <f>RTD("nest.scriprtd",,"nse_cm|925SCL26A-YN","Symbol")</f>
        <v>925SCL26A</v>
      </c>
      <c r="B838" t="str">
        <f>RTD("nest.scriprtd",,"nse_cm|925SCL26A-YN","Trading Symbol")</f>
        <v>925SCL26A-YN</v>
      </c>
      <c r="C838" t="str">
        <f>RTD("nest.scriprtd",,"nse_cm|925SCL26A-YN","Exchange")</f>
        <v>NSE</v>
      </c>
      <c r="D838">
        <f>RTD("nest.scriprtd",,"nse_cm|925SCL26A-YN","Bid Qty")</f>
        <v>5</v>
      </c>
      <c r="E838">
        <f>RTD("nest.scriprtd",,"nse_cm|925SCL26A-YN","Bid Rate")</f>
        <v>825.2</v>
      </c>
      <c r="F838">
        <f>RTD("nest.scriprtd",,"nse_cm|925SCL26A-YN","Ask Rate")</f>
        <v>0</v>
      </c>
      <c r="G838">
        <f>RTD("nest.scriprtd",,"nse_cm|925SCL26A-YN","Ask Qty")</f>
        <v>0</v>
      </c>
      <c r="H838">
        <f>RTD("nest.scriprtd",,"nse_cm|925SCL26A-YN","LTP")</f>
        <v>0</v>
      </c>
      <c r="I838" t="str">
        <f>RTD("nest.scriprtd",,"nse_cm|925SCL26A-YN","LTT")</f>
        <v/>
      </c>
      <c r="J838">
        <f>RTD("nest.scriprtd",,"nse_cm|925SCL26A-YN","% Change")</f>
        <v>-100</v>
      </c>
      <c r="K838">
        <f>RTD("nest.scriprtd",,"nse_cm|925SCL26A-YN","ATP")</f>
        <v>0</v>
      </c>
      <c r="L838">
        <f>RTD("nest.scriprtd",,"nse_cm|925SCL26A-YN","Volume Traded Today")</f>
        <v>0</v>
      </c>
      <c r="M838">
        <f>RTD("nest.scriprtd",,"nse_cm|925SCL26A-YN","Open")</f>
        <v>0</v>
      </c>
      <c r="N838">
        <f>RTD("nest.scriprtd",,"nse_cm|925SCL26A-YN","High")</f>
        <v>0</v>
      </c>
      <c r="O838">
        <f>RTD("nest.scriprtd",,"nse_cm|925SCL26A-YN","Low ")</f>
        <v>0</v>
      </c>
      <c r="P838">
        <f>RTD("nest.scriprtd",,"nse_cm|925SCL26A-YN","Prev Close")</f>
        <v>1000</v>
      </c>
      <c r="Q838">
        <f>RTD("nest.scriprtd",,"nse_cm|925SCL26A-YN","Face Value")</f>
        <v>1000</v>
      </c>
      <c r="R838" t="str">
        <f>RTD("nest.scriprtd",,"nse_cm|925SCL26A-YN","Isin code")</f>
        <v>INE148I07SA1</v>
      </c>
      <c r="S838" s="9">
        <f>Table1[[#This Row],[Ask Rate]]*Table1[[#This Row],[Ask Qty]]</f>
        <v>0</v>
      </c>
      <c r="T838">
        <f>VLOOKUP(Table1[[#This Row],[Isin code]],Table2[#All],7,FALSE)</f>
        <v>9.25</v>
      </c>
      <c r="U838" s="17" t="str">
        <f>VLOOKUP(Table1[[#This Row],[Isin code]],Table2[#All],8,FALSE)</f>
        <v>26-Mar-2026</v>
      </c>
      <c r="V838" s="10">
        <f ca="1">Table1[[#This Row],[Maturity]]-TODAY()</f>
        <v>526</v>
      </c>
      <c r="W838" t="str">
        <f>VLOOKUP(Table1[[#This Row],[Isin code]],Table2[#All],10,FALSE)</f>
        <v>Yearly</v>
      </c>
      <c r="X838">
        <f ca="1">_xlfn.DAYS(Table1[[#This Row],[Maturity]],TODAY())-15</f>
        <v>511</v>
      </c>
      <c r="Y8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838">
        <f>IF(Table1[[#This Row],[Ask Rate]]=0,0,Table1[[#This Row],[Face Value]]-Table1[[#This Row],[Ask Rate]])</f>
        <v>0</v>
      </c>
      <c r="AA838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838">
        <f ca="1">Table1[[#This Row],[Face Value]]*Table1[[#This Row],[Rate]]*Table1[[#This Row],[Time]]</f>
        <v>185</v>
      </c>
      <c r="AC838">
        <f ca="1">Table1[[#This Row],[SI]]+Table1[[#This Row],[Disc/Prem]]</f>
        <v>185</v>
      </c>
      <c r="AD838" s="3" t="e">
        <f ca="1">Table1[[#This Row],[Net Gain]]/Table1[[#This Row],[Ask Rate]]</f>
        <v>#DIV/0!</v>
      </c>
      <c r="AE838" s="3">
        <f>IF(Table1[[#This Row],[Ask Qty]]=0,0,Table1[[#This Row],[Gross Yield]]*365/Table1[[#This Row],[Days Left]])</f>
        <v>0</v>
      </c>
      <c r="AF838" s="9">
        <f ca="1">+Table1[[#This Row],[Net Gain]]*Table1[[#This Row],[Ask Qty]]</f>
        <v>0</v>
      </c>
      <c r="AG838" t="str">
        <f>IF(Table1[[#This Row],[YTM]]&gt;0.12,IF(Table1[[#This Row],[Gross Profit]]&gt;10000,"Invest","Review"),"Low YTM")</f>
        <v>Low YTM</v>
      </c>
    </row>
    <row r="839" spans="1:33" x14ac:dyDescent="0.3">
      <c r="A839" t="str">
        <f>RTD("nest.scriprtd",,"nse_cm|888SCL26A-ZC","Symbol")</f>
        <v>888SCL26A</v>
      </c>
      <c r="B839" t="str">
        <f>RTD("nest.scriprtd",,"nse_cm|888SCL26A-ZC","Trading Symbol")</f>
        <v>888SCL26A-ZC</v>
      </c>
      <c r="C839" t="str">
        <f>RTD("nest.scriprtd",,"nse_cm|888SCL26A-ZC","Exchange")</f>
        <v>NSE</v>
      </c>
      <c r="D839">
        <f>RTD("nest.scriprtd",,"nse_cm|888SCL26A-ZC","Bid Qty")</f>
        <v>20</v>
      </c>
      <c r="E839">
        <f>RTD("nest.scriprtd",,"nse_cm|888SCL26A-ZC","Bid Rate")</f>
        <v>811</v>
      </c>
      <c r="F839">
        <f>RTD("nest.scriprtd",,"nse_cm|888SCL26A-ZC","Ask Rate")</f>
        <v>0</v>
      </c>
      <c r="G839">
        <f>RTD("nest.scriprtd",,"nse_cm|888SCL26A-ZC","Ask Qty")</f>
        <v>0</v>
      </c>
      <c r="H839">
        <f>RTD("nest.scriprtd",,"nse_cm|888SCL26A-ZC","LTP")</f>
        <v>0</v>
      </c>
      <c r="I839" t="str">
        <f>RTD("nest.scriprtd",,"nse_cm|888SCL26A-ZC","LTT")</f>
        <v/>
      </c>
      <c r="J839">
        <f>RTD("nest.scriprtd",,"nse_cm|888SCL26A-ZC","% Change")</f>
        <v>-100</v>
      </c>
      <c r="K839">
        <f>RTD("nest.scriprtd",,"nse_cm|888SCL26A-ZC","ATP")</f>
        <v>0</v>
      </c>
      <c r="L839">
        <f>RTD("nest.scriprtd",,"nse_cm|888SCL26A-ZC","Volume Traded Today")</f>
        <v>0</v>
      </c>
      <c r="M839">
        <f>RTD("nest.scriprtd",,"nse_cm|888SCL26A-ZC","Open")</f>
        <v>0</v>
      </c>
      <c r="N839">
        <f>RTD("nest.scriprtd",,"nse_cm|888SCL26A-ZC","High")</f>
        <v>0</v>
      </c>
      <c r="O839">
        <f>RTD("nest.scriprtd",,"nse_cm|888SCL26A-ZC","Low ")</f>
        <v>0</v>
      </c>
      <c r="P839">
        <f>RTD("nest.scriprtd",,"nse_cm|888SCL26A-ZC","Prev Close")</f>
        <v>1000</v>
      </c>
      <c r="Q839">
        <f>RTD("nest.scriprtd",,"nse_cm|888SCL26A-ZC","Face Value")</f>
        <v>1000</v>
      </c>
      <c r="R839" t="str">
        <f>RTD("nest.scriprtd",,"nse_cm|888SCL26A-ZC","Isin code")</f>
        <v>INE148I07TD3</v>
      </c>
      <c r="S839" s="9">
        <f>Table1[[#This Row],[Ask Rate]]*Table1[[#This Row],[Ask Qty]]</f>
        <v>0</v>
      </c>
      <c r="T839">
        <f>VLOOKUP(Table1[[#This Row],[Isin code]],Table2[#All],7,FALSE)</f>
        <v>8.8800000000000008</v>
      </c>
      <c r="U839" s="17" t="str">
        <f>VLOOKUP(Table1[[#This Row],[Isin code]],Table2[#All],8,FALSE)</f>
        <v>31-May-2026</v>
      </c>
      <c r="V839" s="10">
        <f ca="1">Table1[[#This Row],[Maturity]]-TODAY()</f>
        <v>592</v>
      </c>
      <c r="W839" t="str">
        <f>VLOOKUP(Table1[[#This Row],[Isin code]],Table2[#All],10,FALSE)</f>
        <v>Monthly</v>
      </c>
      <c r="X839">
        <f ca="1">_xlfn.DAYS(Table1[[#This Row],[Maturity]],TODAY())-15</f>
        <v>577</v>
      </c>
      <c r="Y8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839">
        <f>IF(Table1[[#This Row],[Ask Rate]]=0,0,Table1[[#This Row],[Face Value]]-Table1[[#This Row],[Ask Rate]])</f>
        <v>0</v>
      </c>
      <c r="AA839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839">
        <f ca="1">Table1[[#This Row],[Face Value]]*Table1[[#This Row],[Rate]]*Table1[[#This Row],[Time]]</f>
        <v>148</v>
      </c>
      <c r="AC839">
        <f ca="1">Table1[[#This Row],[SI]]+Table1[[#This Row],[Disc/Prem]]</f>
        <v>148</v>
      </c>
      <c r="AD839" s="3" t="e">
        <f ca="1">Table1[[#This Row],[Net Gain]]/Table1[[#This Row],[Ask Rate]]</f>
        <v>#DIV/0!</v>
      </c>
      <c r="AE839" s="3">
        <f>IF(Table1[[#This Row],[Ask Qty]]=0,0,Table1[[#This Row],[Gross Yield]]*365/Table1[[#This Row],[Days Left]])</f>
        <v>0</v>
      </c>
      <c r="AF839" s="9">
        <f ca="1">+Table1[[#This Row],[Net Gain]]*Table1[[#This Row],[Ask Qty]]</f>
        <v>0</v>
      </c>
      <c r="AG839" t="str">
        <f>IF(Table1[[#This Row],[YTM]]&gt;0.12,IF(Table1[[#This Row],[Gross Profit]]&gt;10000,"Invest","Review"),"Low YTM")</f>
        <v>Low YTM</v>
      </c>
    </row>
    <row r="840" spans="1:33" x14ac:dyDescent="0.3">
      <c r="A840" t="str">
        <f>RTD("nest.scriprtd",,"bse_cm|888SCL26A","Symbol")</f>
        <v>888SCL26A</v>
      </c>
      <c r="B840" t="str">
        <f>RTD("nest.scriprtd",,"bse_cm|888SCL26A","Trading Symbol")</f>
        <v>888SCL26A</v>
      </c>
      <c r="C840" t="str">
        <f>RTD("nest.scriprtd",,"bse_cm|888SCL26A","Exchange")</f>
        <v>BSE</v>
      </c>
      <c r="D840">
        <f>RTD("nest.scriprtd",,"bse_cm|888SCL26A","Bid Qty")</f>
        <v>6</v>
      </c>
      <c r="E840">
        <f>RTD("nest.scriprtd",,"bse_cm|888SCL26A","Bid Rate")</f>
        <v>805.2</v>
      </c>
      <c r="F840">
        <f>RTD("nest.scriprtd",,"bse_cm|888SCL26A","Ask Rate")</f>
        <v>0</v>
      </c>
      <c r="G840">
        <f>RTD("nest.scriprtd",,"bse_cm|888SCL26A","Ask Qty")</f>
        <v>0</v>
      </c>
      <c r="H840">
        <f>RTD("nest.scriprtd",,"bse_cm|888SCL26A","LTP")</f>
        <v>0</v>
      </c>
      <c r="I840" t="str">
        <f>RTD("nest.scriprtd",,"bse_cm|888SCL26A","LTT")</f>
        <v>00:00:00</v>
      </c>
      <c r="J840">
        <f>RTD("nest.scriprtd",,"bse_cm|888SCL26A","% Change")</f>
        <v>-100</v>
      </c>
      <c r="K840">
        <f>RTD("nest.scriprtd",,"bse_cm|888SCL26A","ATP")</f>
        <v>0</v>
      </c>
      <c r="L840">
        <f>RTD("nest.scriprtd",,"bse_cm|888SCL26A","Volume Traded Today")</f>
        <v>0</v>
      </c>
      <c r="M840">
        <f>RTD("nest.scriprtd",,"bse_cm|888SCL26A","Open")</f>
        <v>0</v>
      </c>
      <c r="N840">
        <f>RTD("nest.scriprtd",,"bse_cm|888SCL26A","High")</f>
        <v>0</v>
      </c>
      <c r="O840">
        <f>RTD("nest.scriprtd",,"bse_cm|888SCL26A","Low ")</f>
        <v>0</v>
      </c>
      <c r="P840">
        <f>RTD("nest.scriprtd",,"bse_cm|888SCL26A","Prev Close")</f>
        <v>1000</v>
      </c>
      <c r="Q840">
        <f>RTD("nest.scriprtd",,"bse_cm|888SCL26A","Face Value")</f>
        <v>1000</v>
      </c>
      <c r="R840" t="str">
        <f>RTD("nest.scriprtd",,"bse_cm|888SCL26A","Isin code")</f>
        <v>INE148I07TD3</v>
      </c>
      <c r="S840" s="9">
        <f>Table1[[#This Row],[Ask Rate]]*Table1[[#This Row],[Ask Qty]]</f>
        <v>0</v>
      </c>
      <c r="T840">
        <f>VLOOKUP(Table1[[#This Row],[Isin code]],Table2[#All],7,FALSE)</f>
        <v>8.8800000000000008</v>
      </c>
      <c r="U840" s="17" t="str">
        <f>VLOOKUP(Table1[[#This Row],[Isin code]],Table2[#All],8,FALSE)</f>
        <v>31-May-2026</v>
      </c>
      <c r="V840" s="10">
        <f ca="1">Table1[[#This Row],[Maturity]]-TODAY()</f>
        <v>592</v>
      </c>
      <c r="W840" t="str">
        <f>VLOOKUP(Table1[[#This Row],[Isin code]],Table2[#All],10,FALSE)</f>
        <v>Monthly</v>
      </c>
      <c r="X840">
        <f ca="1">_xlfn.DAYS(Table1[[#This Row],[Maturity]],TODAY())-15</f>
        <v>577</v>
      </c>
      <c r="Y8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840">
        <f>IF(Table1[[#This Row],[Ask Rate]]=0,0,Table1[[#This Row],[Face Value]]-Table1[[#This Row],[Ask Rate]])</f>
        <v>0</v>
      </c>
      <c r="AA840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840">
        <f ca="1">Table1[[#This Row],[Face Value]]*Table1[[#This Row],[Rate]]*Table1[[#This Row],[Time]]</f>
        <v>148</v>
      </c>
      <c r="AC840">
        <f ca="1">Table1[[#This Row],[SI]]+Table1[[#This Row],[Disc/Prem]]</f>
        <v>148</v>
      </c>
      <c r="AD840" s="3" t="e">
        <f ca="1">Table1[[#This Row],[Net Gain]]/Table1[[#This Row],[Ask Rate]]</f>
        <v>#DIV/0!</v>
      </c>
      <c r="AE840" s="3">
        <f>IF(Table1[[#This Row],[Ask Qty]]=0,0,Table1[[#This Row],[Gross Yield]]*365/Table1[[#This Row],[Days Left]])</f>
        <v>0</v>
      </c>
      <c r="AF840" s="9">
        <f ca="1">+Table1[[#This Row],[Net Gain]]*Table1[[#This Row],[Ask Qty]]</f>
        <v>0</v>
      </c>
      <c r="AG840" t="str">
        <f>IF(Table1[[#This Row],[YTM]]&gt;0.12,IF(Table1[[#This Row],[Gross Profit]]&gt;10000,"Invest","Review"),"Low YTM")</f>
        <v>Low YTM</v>
      </c>
    </row>
    <row r="841" spans="1:33" x14ac:dyDescent="0.3">
      <c r="A841" t="str">
        <f>RTD("nest.scriprtd",,"nse_cm|888SCL26-YP","Symbol")</f>
        <v>888SCL26</v>
      </c>
      <c r="B841" t="str">
        <f>RTD("nest.scriprtd",,"nse_cm|888SCL26-YP","Trading Symbol")</f>
        <v>888SCL26-YP</v>
      </c>
      <c r="C841" t="str">
        <f>RTD("nest.scriprtd",,"nse_cm|888SCL26-YP","Exchange")</f>
        <v>NSE</v>
      </c>
      <c r="D841">
        <f>RTD("nest.scriprtd",,"nse_cm|888SCL26-YP","Bid Qty")</f>
        <v>0</v>
      </c>
      <c r="E841">
        <f>RTD("nest.scriprtd",,"nse_cm|888SCL26-YP","Bid Rate")</f>
        <v>0</v>
      </c>
      <c r="F841">
        <f>RTD("nest.scriprtd",,"nse_cm|888SCL26-YP","Ask Rate")</f>
        <v>0</v>
      </c>
      <c r="G841">
        <f>RTD("nest.scriprtd",,"nse_cm|888SCL26-YP","Ask Qty")</f>
        <v>0</v>
      </c>
      <c r="H841">
        <f>RTD("nest.scriprtd",,"nse_cm|888SCL26-YP","LTP")</f>
        <v>0</v>
      </c>
      <c r="I841" t="str">
        <f>RTD("nest.scriprtd",,"nse_cm|888SCL26-YP","LTT")</f>
        <v/>
      </c>
      <c r="J841">
        <f>RTD("nest.scriprtd",,"nse_cm|888SCL26-YP","% Change")</f>
        <v>0</v>
      </c>
      <c r="K841">
        <f>RTD("nest.scriprtd",,"nse_cm|888SCL26-YP","ATP")</f>
        <v>0</v>
      </c>
      <c r="L841">
        <f>RTD("nest.scriprtd",,"nse_cm|888SCL26-YP","Volume Traded Today")</f>
        <v>0</v>
      </c>
      <c r="M841">
        <f>RTD("nest.scriprtd",,"nse_cm|888SCL26-YP","Open")</f>
        <v>0</v>
      </c>
      <c r="N841">
        <f>RTD("nest.scriprtd",,"nse_cm|888SCL26-YP","High")</f>
        <v>0</v>
      </c>
      <c r="O841">
        <f>RTD("nest.scriprtd",,"nse_cm|888SCL26-YP","Low ")</f>
        <v>0</v>
      </c>
      <c r="P841">
        <f>RTD("nest.scriprtd",,"nse_cm|888SCL26-YP","Prev Close")</f>
        <v>0</v>
      </c>
      <c r="Q841">
        <f>RTD("nest.scriprtd",,"nse_cm|888SCL26-YP","Face Value")</f>
        <v>1000</v>
      </c>
      <c r="R841" t="str">
        <f>RTD("nest.scriprtd",,"nse_cm|888SCL26-YP","Isin code")</f>
        <v>INE148I07SB9</v>
      </c>
      <c r="S841" s="9">
        <f>Table1[[#This Row],[Ask Rate]]*Table1[[#This Row],[Ask Qty]]</f>
        <v>0</v>
      </c>
      <c r="T841">
        <f>VLOOKUP(Table1[[#This Row],[Isin code]],Table2[#All],7,FALSE)</f>
        <v>8.8800000000000008</v>
      </c>
      <c r="U841" s="17" t="str">
        <f>VLOOKUP(Table1[[#This Row],[Isin code]],Table2[#All],8,FALSE)</f>
        <v>26-Mar-2026</v>
      </c>
      <c r="V841" s="10">
        <f ca="1">Table1[[#This Row],[Maturity]]-TODAY()</f>
        <v>526</v>
      </c>
      <c r="W841" t="str">
        <f>VLOOKUP(Table1[[#This Row],[Isin code]],Table2[#All],10,FALSE)</f>
        <v>Monthly</v>
      </c>
      <c r="X841">
        <f ca="1">_xlfn.DAYS(Table1[[#This Row],[Maturity]],TODAY())-15</f>
        <v>511</v>
      </c>
      <c r="Y8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841">
        <f>IF(Table1[[#This Row],[Ask Rate]]=0,0,Table1[[#This Row],[Face Value]]-Table1[[#This Row],[Ask Rate]])</f>
        <v>0</v>
      </c>
      <c r="AA841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841">
        <f ca="1">Table1[[#This Row],[Face Value]]*Table1[[#This Row],[Rate]]*Table1[[#This Row],[Time]]</f>
        <v>133.20000000000002</v>
      </c>
      <c r="AC841">
        <f ca="1">Table1[[#This Row],[SI]]+Table1[[#This Row],[Disc/Prem]]</f>
        <v>133.20000000000002</v>
      </c>
      <c r="AD841" s="3" t="e">
        <f ca="1">Table1[[#This Row],[Net Gain]]/Table1[[#This Row],[Ask Rate]]</f>
        <v>#DIV/0!</v>
      </c>
      <c r="AE841" s="3">
        <f>IF(Table1[[#This Row],[Ask Qty]]=0,0,Table1[[#This Row],[Gross Yield]]*365/Table1[[#This Row],[Days Left]])</f>
        <v>0</v>
      </c>
      <c r="AF841" s="9">
        <f ca="1">+Table1[[#This Row],[Net Gain]]*Table1[[#This Row],[Ask Qty]]</f>
        <v>0</v>
      </c>
      <c r="AG841" t="str">
        <f>IF(Table1[[#This Row],[YTM]]&gt;0.12,IF(Table1[[#This Row],[Gross Profit]]&gt;10000,"Invest","Review"),"Low YTM")</f>
        <v>Low YTM</v>
      </c>
    </row>
    <row r="842" spans="1:33" x14ac:dyDescent="0.3">
      <c r="A842" t="str">
        <f>RTD("nest.scriprtd",,"nse_cm|940SCL27-YS","Symbol")</f>
        <v>940SCL27</v>
      </c>
      <c r="B842" t="str">
        <f>RTD("nest.scriprtd",,"nse_cm|940SCL27-YS","Trading Symbol")</f>
        <v>940SCL27-YS</v>
      </c>
      <c r="C842" t="str">
        <f>RTD("nest.scriprtd",,"nse_cm|940SCL27-YS","Exchange")</f>
        <v>NSE</v>
      </c>
      <c r="D842">
        <f>RTD("nest.scriprtd",,"nse_cm|940SCL27-YS","Bid Qty")</f>
        <v>0</v>
      </c>
      <c r="E842">
        <f>RTD("nest.scriprtd",,"nse_cm|940SCL27-YS","Bid Rate")</f>
        <v>0</v>
      </c>
      <c r="F842">
        <f>RTD("nest.scriprtd",,"nse_cm|940SCL27-YS","Ask Rate")</f>
        <v>0</v>
      </c>
      <c r="G842">
        <f>RTD("nest.scriprtd",,"nse_cm|940SCL27-YS","Ask Qty")</f>
        <v>0</v>
      </c>
      <c r="H842">
        <f>RTD("nest.scriprtd",,"nse_cm|940SCL27-YS","LTP")</f>
        <v>0</v>
      </c>
      <c r="I842" t="str">
        <f>RTD("nest.scriprtd",,"nse_cm|940SCL27-YS","LTT")</f>
        <v/>
      </c>
      <c r="J842">
        <f>RTD("nest.scriprtd",,"nse_cm|940SCL27-YS","% Change")</f>
        <v>0</v>
      </c>
      <c r="K842">
        <f>RTD("nest.scriprtd",,"nse_cm|940SCL27-YS","ATP")</f>
        <v>0</v>
      </c>
      <c r="L842">
        <f>RTD("nest.scriprtd",,"nse_cm|940SCL27-YS","Volume Traded Today")</f>
        <v>0</v>
      </c>
      <c r="M842">
        <f>RTD("nest.scriprtd",,"nse_cm|940SCL27-YS","Open")</f>
        <v>0</v>
      </c>
      <c r="N842">
        <f>RTD("nest.scriprtd",,"nse_cm|940SCL27-YS","High")</f>
        <v>0</v>
      </c>
      <c r="O842">
        <f>RTD("nest.scriprtd",,"nse_cm|940SCL27-YS","Low ")</f>
        <v>0</v>
      </c>
      <c r="P842">
        <f>RTD("nest.scriprtd",,"nse_cm|940SCL27-YS","Prev Close")</f>
        <v>0</v>
      </c>
      <c r="Q842">
        <f>RTD("nest.scriprtd",,"nse_cm|940SCL27-YS","Face Value")</f>
        <v>1000</v>
      </c>
      <c r="R842" t="str">
        <f>RTD("nest.scriprtd",,"nse_cm|940SCL27-YS","Isin code")</f>
        <v>INE148I07SH6</v>
      </c>
      <c r="S842" s="9">
        <f>Table1[[#This Row],[Ask Rate]]*Table1[[#This Row],[Ask Qty]]</f>
        <v>0</v>
      </c>
      <c r="T842">
        <f>VLOOKUP(Table1[[#This Row],[Isin code]],Table2[#All],7,FALSE)</f>
        <v>9.4</v>
      </c>
      <c r="U842" s="17" t="str">
        <f>VLOOKUP(Table1[[#This Row],[Isin code]],Table2[#All],8,FALSE)</f>
        <v>26-Mar-2027</v>
      </c>
      <c r="V842" s="10">
        <f ca="1">Table1[[#This Row],[Maturity]]-TODAY()</f>
        <v>891</v>
      </c>
      <c r="W842" t="str">
        <f>VLOOKUP(Table1[[#This Row],[Isin code]],Table2[#All],10,FALSE)</f>
        <v>Annual</v>
      </c>
      <c r="X842">
        <f ca="1">_xlfn.DAYS(Table1[[#This Row],[Maturity]],TODAY())-15</f>
        <v>876</v>
      </c>
      <c r="Y84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42">
        <f>IF(Table1[[#This Row],[Ask Rate]]=0,0,Table1[[#This Row],[Face Value]]-Table1[[#This Row],[Ask Rate]])</f>
        <v>0</v>
      </c>
      <c r="AA84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42">
        <f>Table1[[#This Row],[Face Value]]*Table1[[#This Row],[Rate]]*Table1[[#This Row],[Time]]</f>
        <v>0</v>
      </c>
      <c r="AC842">
        <f>Table1[[#This Row],[SI]]+Table1[[#This Row],[Disc/Prem]]</f>
        <v>0</v>
      </c>
      <c r="AD842" s="3" t="e">
        <f>Table1[[#This Row],[Net Gain]]/Table1[[#This Row],[Ask Rate]]</f>
        <v>#DIV/0!</v>
      </c>
      <c r="AE842" s="3">
        <f>IF(Table1[[#This Row],[Ask Qty]]=0,0,Table1[[#This Row],[Gross Yield]]*365/Table1[[#This Row],[Days Left]])</f>
        <v>0</v>
      </c>
      <c r="AF842" s="9">
        <f>+Table1[[#This Row],[Net Gain]]*Table1[[#This Row],[Ask Qty]]</f>
        <v>0</v>
      </c>
      <c r="AG842" t="str">
        <f>IF(Table1[[#This Row],[YTM]]&gt;0.12,IF(Table1[[#This Row],[Gross Profit]]&gt;10000,"Invest","Review"),"Low YTM")</f>
        <v>Low YTM</v>
      </c>
    </row>
    <row r="843" spans="1:33" x14ac:dyDescent="0.3">
      <c r="A843" t="str">
        <f>RTD("nest.scriprtd",,"bse_cm|903ONE26","Symbol")</f>
        <v>903ONE26</v>
      </c>
      <c r="B843" t="str">
        <f>RTD("nest.scriprtd",,"bse_cm|903ONE26","Trading Symbol")</f>
        <v>903ONE26</v>
      </c>
      <c r="C843" t="str">
        <f>RTD("nest.scriprtd",,"bse_cm|903ONE26","Exchange")</f>
        <v>BSE</v>
      </c>
      <c r="D843">
        <f>RTD("nest.scriprtd",,"bse_cm|903ONE26","Bid Qty")</f>
        <v>27</v>
      </c>
      <c r="E843">
        <f>RTD("nest.scriprtd",,"bse_cm|903ONE26","Bid Rate")</f>
        <v>849.8</v>
      </c>
      <c r="F843">
        <f>RTD("nest.scriprtd",,"bse_cm|903ONE26","Ask Rate")</f>
        <v>0</v>
      </c>
      <c r="G843">
        <f>RTD("nest.scriprtd",,"bse_cm|903ONE26","Ask Qty")</f>
        <v>0</v>
      </c>
      <c r="H843">
        <f>RTD("nest.scriprtd",,"bse_cm|903ONE26","LTP")</f>
        <v>0</v>
      </c>
      <c r="I843" t="str">
        <f>RTD("nest.scriprtd",,"bse_cm|903ONE26","LTT")</f>
        <v>00:00:00</v>
      </c>
      <c r="J843">
        <f>RTD("nest.scriprtd",,"bse_cm|903ONE26","% Change")</f>
        <v>-100</v>
      </c>
      <c r="K843">
        <f>RTD("nest.scriprtd",,"bse_cm|903ONE26","ATP")</f>
        <v>0</v>
      </c>
      <c r="L843">
        <f>RTD("nest.scriprtd",,"bse_cm|903ONE26","Volume Traded Today")</f>
        <v>0</v>
      </c>
      <c r="M843">
        <f>RTD("nest.scriprtd",,"bse_cm|903ONE26","Open")</f>
        <v>0</v>
      </c>
      <c r="N843">
        <f>RTD("nest.scriprtd",,"bse_cm|903ONE26","High")</f>
        <v>961.19</v>
      </c>
      <c r="O843">
        <f>RTD("nest.scriprtd",,"bse_cm|903ONE26","Low ")</f>
        <v>951</v>
      </c>
      <c r="P843">
        <f>RTD("nest.scriprtd",,"bse_cm|903ONE26","Prev Close")</f>
        <v>961.19</v>
      </c>
      <c r="Q843">
        <f>RTD("nest.scriprtd",,"bse_cm|903ONE26","Face Value")</f>
        <v>1000</v>
      </c>
      <c r="R843" t="str">
        <f>RTD("nest.scriprtd",,"bse_cm|903ONE26","Isin code")</f>
        <v>INE248U07EU2</v>
      </c>
      <c r="S843" s="9">
        <f>Table1[[#This Row],[Ask Rate]]*Table1[[#This Row],[Ask Qty]]</f>
        <v>0</v>
      </c>
      <c r="T843">
        <f>VLOOKUP(Table1[[#This Row],[Isin code]],Table2[#All],7,FALSE)</f>
        <v>9.0300000000000011</v>
      </c>
      <c r="U843" s="17" t="str">
        <f>VLOOKUP(Table1[[#This Row],[Isin code]],Table2[#All],8,FALSE)</f>
        <v>18-Jan-2026</v>
      </c>
      <c r="V843" s="10">
        <f ca="1">Table1[[#This Row],[Maturity]]-TODAY()</f>
        <v>459</v>
      </c>
      <c r="W843" t="str">
        <f>VLOOKUP(Table1[[#This Row],[Isin code]],Table2[#All],10,FALSE)</f>
        <v>Monthly</v>
      </c>
      <c r="X843">
        <f ca="1">_xlfn.DAYS(Table1[[#This Row],[Maturity]],TODAY())-15</f>
        <v>444</v>
      </c>
      <c r="Y8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843">
        <f>IF(Table1[[#This Row],[Ask Rate]]=0,0,Table1[[#This Row],[Face Value]]-Table1[[#This Row],[Ask Rate]])</f>
        <v>0</v>
      </c>
      <c r="AA843">
        <f>IF(Table1[[#This Row],[Freq]]="Yearly",Table1[[#This Row],[Coupon_Rate]]/100,IF(Table1[[#This Row],[Freq]]="Monthly",Table1[[#This Row],[Coupon_Rate]]/1200,IF(Table1[[#This Row],[Freq]]="Quarterly",Table1[[#This Row],[Coupon_Rate]]/400,0)))</f>
        <v>7.5250000000000013E-3</v>
      </c>
      <c r="AB843">
        <f ca="1">Table1[[#This Row],[Face Value]]*Table1[[#This Row],[Rate]]*Table1[[#This Row],[Time]]</f>
        <v>112.87500000000001</v>
      </c>
      <c r="AC843">
        <f ca="1">Table1[[#This Row],[SI]]+Table1[[#This Row],[Disc/Prem]]</f>
        <v>112.87500000000001</v>
      </c>
      <c r="AD843" s="3" t="e">
        <f ca="1">Table1[[#This Row],[Net Gain]]/Table1[[#This Row],[Ask Rate]]</f>
        <v>#DIV/0!</v>
      </c>
      <c r="AE843" s="3">
        <f>IF(Table1[[#This Row],[Ask Qty]]=0,0,Table1[[#This Row],[Gross Yield]]*365/Table1[[#This Row],[Days Left]])</f>
        <v>0</v>
      </c>
      <c r="AF843" s="9">
        <f ca="1">+Table1[[#This Row],[Net Gain]]*Table1[[#This Row],[Ask Qty]]</f>
        <v>0</v>
      </c>
      <c r="AG843" t="str">
        <f>IF(Table1[[#This Row],[YTM]]&gt;0.12,IF(Table1[[#This Row],[Gross Profit]]&gt;10000,"Invest","Review"),"Low YTM")</f>
        <v>Low YTM</v>
      </c>
    </row>
    <row r="844" spans="1:33" x14ac:dyDescent="0.3">
      <c r="A844" t="str">
        <f>RTD("nest.scriprtd",,"nse_cm|902SCL27-YU","Symbol")</f>
        <v>902SCL27</v>
      </c>
      <c r="B844" t="str">
        <f>RTD("nest.scriprtd",,"nse_cm|902SCL27-YU","Trading Symbol")</f>
        <v>902SCL27-YU</v>
      </c>
      <c r="C844" t="str">
        <f>RTD("nest.scriprtd",,"nse_cm|902SCL27-YU","Exchange")</f>
        <v>NSE</v>
      </c>
      <c r="D844">
        <f>RTD("nest.scriprtd",,"nse_cm|902SCL27-YU","Bid Qty")</f>
        <v>0</v>
      </c>
      <c r="E844">
        <f>RTD("nest.scriprtd",,"nse_cm|902SCL27-YU","Bid Rate")</f>
        <v>0</v>
      </c>
      <c r="F844">
        <f>RTD("nest.scriprtd",,"nse_cm|902SCL27-YU","Ask Rate")</f>
        <v>0</v>
      </c>
      <c r="G844">
        <f>RTD("nest.scriprtd",,"nse_cm|902SCL27-YU","Ask Qty")</f>
        <v>0</v>
      </c>
      <c r="H844">
        <f>RTD("nest.scriprtd",,"nse_cm|902SCL27-YU","LTP")</f>
        <v>0</v>
      </c>
      <c r="I844" t="str">
        <f>RTD("nest.scriprtd",,"nse_cm|902SCL27-YU","LTT")</f>
        <v/>
      </c>
      <c r="J844">
        <f>RTD("nest.scriprtd",,"nse_cm|902SCL27-YU","% Change")</f>
        <v>0</v>
      </c>
      <c r="K844">
        <f>RTD("nest.scriprtd",,"nse_cm|902SCL27-YU","ATP")</f>
        <v>0</v>
      </c>
      <c r="L844">
        <f>RTD("nest.scriprtd",,"nse_cm|902SCL27-YU","Volume Traded Today")</f>
        <v>0</v>
      </c>
      <c r="M844">
        <f>RTD("nest.scriprtd",,"nse_cm|902SCL27-YU","Open")</f>
        <v>0</v>
      </c>
      <c r="N844">
        <f>RTD("nest.scriprtd",,"nse_cm|902SCL27-YU","High")</f>
        <v>0</v>
      </c>
      <c r="O844">
        <f>RTD("nest.scriprtd",,"nse_cm|902SCL27-YU","Low ")</f>
        <v>0</v>
      </c>
      <c r="P844">
        <f>RTD("nest.scriprtd",,"nse_cm|902SCL27-YU","Prev Close")</f>
        <v>0</v>
      </c>
      <c r="Q844">
        <f>RTD("nest.scriprtd",,"nse_cm|902SCL27-YU","Face Value")</f>
        <v>1000</v>
      </c>
      <c r="R844" t="str">
        <f>RTD("nest.scriprtd",,"nse_cm|902SCL27-YU","Isin code")</f>
        <v>INE148I07SJ2</v>
      </c>
      <c r="S844" s="9">
        <f>Table1[[#This Row],[Ask Rate]]*Table1[[#This Row],[Ask Qty]]</f>
        <v>0</v>
      </c>
      <c r="T844">
        <f>VLOOKUP(Table1[[#This Row],[Isin code]],Table2[#All],7,FALSE)</f>
        <v>9.02</v>
      </c>
      <c r="U844" s="17" t="str">
        <f>VLOOKUP(Table1[[#This Row],[Isin code]],Table2[#All],8,FALSE)</f>
        <v>26-Mar-2027</v>
      </c>
      <c r="V844" s="10">
        <f ca="1">Table1[[#This Row],[Maturity]]-TODAY()</f>
        <v>891</v>
      </c>
      <c r="W844" t="str">
        <f>VLOOKUP(Table1[[#This Row],[Isin code]],Table2[#All],10,FALSE)</f>
        <v>Monthly</v>
      </c>
      <c r="X844">
        <f ca="1">_xlfn.DAYS(Table1[[#This Row],[Maturity]],TODAY())-15</f>
        <v>876</v>
      </c>
      <c r="Y8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844">
        <f>IF(Table1[[#This Row],[Ask Rate]]=0,0,Table1[[#This Row],[Face Value]]-Table1[[#This Row],[Ask Rate]])</f>
        <v>0</v>
      </c>
      <c r="AA844">
        <f>IF(Table1[[#This Row],[Freq]]="Yearly",Table1[[#This Row],[Coupon_Rate]]/100,IF(Table1[[#This Row],[Freq]]="Monthly",Table1[[#This Row],[Coupon_Rate]]/1200,IF(Table1[[#This Row],[Freq]]="Quarterly",Table1[[#This Row],[Coupon_Rate]]/400,0)))</f>
        <v>7.5166666666666663E-3</v>
      </c>
      <c r="AB844">
        <f ca="1">Table1[[#This Row],[Face Value]]*Table1[[#This Row],[Rate]]*Table1[[#This Row],[Time]]</f>
        <v>225.5</v>
      </c>
      <c r="AC844">
        <f ca="1">Table1[[#This Row],[SI]]+Table1[[#This Row],[Disc/Prem]]</f>
        <v>225.5</v>
      </c>
      <c r="AD844" s="3" t="e">
        <f ca="1">Table1[[#This Row],[Net Gain]]/Table1[[#This Row],[Ask Rate]]</f>
        <v>#DIV/0!</v>
      </c>
      <c r="AE844" s="3">
        <f>IF(Table1[[#This Row],[Ask Qty]]=0,0,Table1[[#This Row],[Gross Yield]]*365/Table1[[#This Row],[Days Left]])</f>
        <v>0</v>
      </c>
      <c r="AF844" s="9">
        <f ca="1">+Table1[[#This Row],[Net Gain]]*Table1[[#This Row],[Ask Qty]]</f>
        <v>0</v>
      </c>
      <c r="AG844" t="str">
        <f>IF(Table1[[#This Row],[YTM]]&gt;0.12,IF(Table1[[#This Row],[Gross Profit]]&gt;10000,"Invest","Review"),"Low YTM")</f>
        <v>Low YTM</v>
      </c>
    </row>
    <row r="845" spans="1:33" x14ac:dyDescent="0.3">
      <c r="A845" t="str">
        <f>RTD("nest.scriprtd",,"nse_cm|948SCL27A-ZJ","Symbol")</f>
        <v>948SCL27A</v>
      </c>
      <c r="B845" t="str">
        <f>RTD("nest.scriprtd",,"nse_cm|948SCL27A-ZJ","Trading Symbol")</f>
        <v>948SCL27A-ZJ</v>
      </c>
      <c r="C845" t="str">
        <f>RTD("nest.scriprtd",,"nse_cm|948SCL27A-ZJ","Exchange")</f>
        <v>NSE</v>
      </c>
      <c r="D845">
        <f>RTD("nest.scriprtd",,"nse_cm|948SCL27A-ZJ","Bid Qty")</f>
        <v>9</v>
      </c>
      <c r="E845">
        <f>RTD("nest.scriprtd",,"nse_cm|948SCL27A-ZJ","Bid Rate")</f>
        <v>900.3</v>
      </c>
      <c r="F845">
        <f>RTD("nest.scriprtd",,"nse_cm|948SCL27A-ZJ","Ask Rate")</f>
        <v>0</v>
      </c>
      <c r="G845">
        <f>RTD("nest.scriprtd",,"nse_cm|948SCL27A-ZJ","Ask Qty")</f>
        <v>0</v>
      </c>
      <c r="H845">
        <f>RTD("nest.scriprtd",,"nse_cm|948SCL27A-ZJ","LTP")</f>
        <v>0</v>
      </c>
      <c r="I845" t="str">
        <f>RTD("nest.scriprtd",,"nse_cm|948SCL27A-ZJ","LTT")</f>
        <v/>
      </c>
      <c r="J845">
        <f>RTD("nest.scriprtd",,"nse_cm|948SCL27A-ZJ","% Change")</f>
        <v>-100</v>
      </c>
      <c r="K845">
        <f>RTD("nest.scriprtd",,"nse_cm|948SCL27A-ZJ","ATP")</f>
        <v>0</v>
      </c>
      <c r="L845">
        <f>RTD("nest.scriprtd",,"nse_cm|948SCL27A-ZJ","Volume Traded Today")</f>
        <v>0</v>
      </c>
      <c r="M845">
        <f>RTD("nest.scriprtd",,"nse_cm|948SCL27A-ZJ","Open")</f>
        <v>0</v>
      </c>
      <c r="N845">
        <f>RTD("nest.scriprtd",,"nse_cm|948SCL27A-ZJ","High")</f>
        <v>0</v>
      </c>
      <c r="O845">
        <f>RTD("nest.scriprtd",,"nse_cm|948SCL27A-ZJ","Low ")</f>
        <v>0</v>
      </c>
      <c r="P845">
        <f>RTD("nest.scriprtd",,"nse_cm|948SCL27A-ZJ","Prev Close")</f>
        <v>1000</v>
      </c>
      <c r="Q845">
        <f>RTD("nest.scriprtd",,"nse_cm|948SCL27A-ZJ","Face Value")</f>
        <v>1000</v>
      </c>
      <c r="R845" t="str">
        <f>RTD("nest.scriprtd",,"nse_cm|948SCL27A-ZJ","Isin code")</f>
        <v>INE148I07TL6</v>
      </c>
      <c r="S845" s="9">
        <f>Table1[[#This Row],[Ask Rate]]*Table1[[#This Row],[Ask Qty]]</f>
        <v>0</v>
      </c>
      <c r="T845">
        <f>VLOOKUP(Table1[[#This Row],[Isin code]],Table2[#All],7,FALSE)</f>
        <v>9.48</v>
      </c>
      <c r="U845" s="17" t="str">
        <f>VLOOKUP(Table1[[#This Row],[Isin code]],Table2[#All],8,FALSE)</f>
        <v>31-May-2027</v>
      </c>
      <c r="V845" s="10">
        <f ca="1">Table1[[#This Row],[Maturity]]-TODAY()</f>
        <v>957</v>
      </c>
      <c r="W845" t="str">
        <f>VLOOKUP(Table1[[#This Row],[Isin code]],Table2[#All],10,FALSE)</f>
        <v>Monthly</v>
      </c>
      <c r="X845">
        <f ca="1">_xlfn.DAYS(Table1[[#This Row],[Maturity]],TODAY())-15</f>
        <v>942</v>
      </c>
      <c r="Y8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32</v>
      </c>
      <c r="Z845">
        <f>IF(Table1[[#This Row],[Ask Rate]]=0,0,Table1[[#This Row],[Face Value]]-Table1[[#This Row],[Ask Rate]])</f>
        <v>0</v>
      </c>
      <c r="AA845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845">
        <f ca="1">Table1[[#This Row],[Face Value]]*Table1[[#This Row],[Rate]]*Table1[[#This Row],[Time]]</f>
        <v>252.8</v>
      </c>
      <c r="AC845">
        <f ca="1">Table1[[#This Row],[SI]]+Table1[[#This Row],[Disc/Prem]]</f>
        <v>252.8</v>
      </c>
      <c r="AD845" s="3" t="e">
        <f ca="1">Table1[[#This Row],[Net Gain]]/Table1[[#This Row],[Ask Rate]]</f>
        <v>#DIV/0!</v>
      </c>
      <c r="AE845" s="3">
        <f>IF(Table1[[#This Row],[Ask Qty]]=0,0,Table1[[#This Row],[Gross Yield]]*365/Table1[[#This Row],[Days Left]])</f>
        <v>0</v>
      </c>
      <c r="AF845" s="9">
        <f ca="1">+Table1[[#This Row],[Net Gain]]*Table1[[#This Row],[Ask Qty]]</f>
        <v>0</v>
      </c>
      <c r="AG845" t="str">
        <f>IF(Table1[[#This Row],[YTM]]&gt;0.12,IF(Table1[[#This Row],[Gross Profit]]&gt;10000,"Invest","Review"),"Low YTM")</f>
        <v>Low YTM</v>
      </c>
    </row>
    <row r="846" spans="1:33" x14ac:dyDescent="0.3">
      <c r="A846" t="str">
        <f>RTD("nest.scriprtd",,"bse_cm|966ICCL25A","Symbol")</f>
        <v>966ICCL25A</v>
      </c>
      <c r="B846" t="str">
        <f>RTD("nest.scriprtd",,"bse_cm|966ICCL25A","Trading Symbol")</f>
        <v>966ICCL25A</v>
      </c>
      <c r="C846" t="str">
        <f>RTD("nest.scriprtd",,"bse_cm|966ICCL25A","Exchange")</f>
        <v>BSE</v>
      </c>
      <c r="D846">
        <f>RTD("nest.scriprtd",,"bse_cm|966ICCL25A","Bid Qty")</f>
        <v>1</v>
      </c>
      <c r="E846">
        <f>RTD("nest.scriprtd",,"bse_cm|966ICCL25A","Bid Rate")</f>
        <v>833.1</v>
      </c>
      <c r="F846">
        <f>RTD("nest.scriprtd",,"bse_cm|966ICCL25A","Ask Rate")</f>
        <v>0</v>
      </c>
      <c r="G846">
        <f>RTD("nest.scriprtd",,"bse_cm|966ICCL25A","Ask Qty")</f>
        <v>0</v>
      </c>
      <c r="H846">
        <f>RTD("nest.scriprtd",,"bse_cm|966ICCL25A","LTP")</f>
        <v>0</v>
      </c>
      <c r="I846" t="str">
        <f>RTD("nest.scriprtd",,"bse_cm|966ICCL25A","LTT")</f>
        <v>00:00:00</v>
      </c>
      <c r="J846">
        <f>RTD("nest.scriprtd",,"bse_cm|966ICCL25A","% Change")</f>
        <v>-100</v>
      </c>
      <c r="K846">
        <f>RTD("nest.scriprtd",,"bse_cm|966ICCL25A","ATP")</f>
        <v>0</v>
      </c>
      <c r="L846">
        <f>RTD("nest.scriprtd",,"bse_cm|966ICCL25A","Volume Traded Today")</f>
        <v>0</v>
      </c>
      <c r="M846">
        <f>RTD("nest.scriprtd",,"bse_cm|966ICCL25A","Open")</f>
        <v>0</v>
      </c>
      <c r="N846">
        <f>RTD("nest.scriprtd",,"bse_cm|966ICCL25A","High")</f>
        <v>818</v>
      </c>
      <c r="O846">
        <f>RTD("nest.scriprtd",,"bse_cm|966ICCL25A","Low ")</f>
        <v>818</v>
      </c>
      <c r="P846">
        <f>RTD("nest.scriprtd",,"bse_cm|966ICCL25A","Prev Close")</f>
        <v>818</v>
      </c>
      <c r="Q846">
        <f>RTD("nest.scriprtd",,"bse_cm|966ICCL25A","Face Value")</f>
        <v>677</v>
      </c>
      <c r="R846" t="str">
        <f>RTD("nest.scriprtd",,"bse_cm|966ICCL25A","Isin code")</f>
        <v>INE244L07333</v>
      </c>
      <c r="S846" s="9">
        <f>Table1[[#This Row],[Ask Rate]]*Table1[[#This Row],[Ask Qty]]</f>
        <v>0</v>
      </c>
      <c r="T846">
        <f>VLOOKUP(Table1[[#This Row],[Isin code]],Table2[#All],7,FALSE)</f>
        <v>10.050000000000001</v>
      </c>
      <c r="U846" s="17" t="str">
        <f>VLOOKUP(Table1[[#This Row],[Isin code]],Table2[#All],8,FALSE)</f>
        <v>02-Feb-2026</v>
      </c>
      <c r="V846" s="10">
        <f ca="1">Table1[[#This Row],[Maturity]]-TODAY()</f>
        <v>474</v>
      </c>
      <c r="W846" t="str">
        <f>VLOOKUP(Table1[[#This Row],[Isin code]],Table2[#All],10,FALSE)</f>
        <v>Yearly</v>
      </c>
      <c r="X846">
        <f ca="1">_xlfn.DAYS(Table1[[#This Row],[Maturity]],TODAY())-15</f>
        <v>459</v>
      </c>
      <c r="Y8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846">
        <f>IF(Table1[[#This Row],[Ask Rate]]=0,0,Table1[[#This Row],[Face Value]]-Table1[[#This Row],[Ask Rate]])</f>
        <v>0</v>
      </c>
      <c r="AA846">
        <f>IF(Table1[[#This Row],[Freq]]="Yearly",Table1[[#This Row],[Coupon_Rate]]/100,IF(Table1[[#This Row],[Freq]]="Monthly",Table1[[#This Row],[Coupon_Rate]]/1200,IF(Table1[[#This Row],[Freq]]="Quarterly",Table1[[#This Row],[Coupon_Rate]]/400,0)))</f>
        <v>0.10050000000000001</v>
      </c>
      <c r="AB846">
        <f ca="1">Table1[[#This Row],[Face Value]]*Table1[[#This Row],[Rate]]*Table1[[#This Row],[Time]]</f>
        <v>136.077</v>
      </c>
      <c r="AC846">
        <f ca="1">Table1[[#This Row],[SI]]+Table1[[#This Row],[Disc/Prem]]</f>
        <v>136.077</v>
      </c>
      <c r="AD846" s="3" t="e">
        <f ca="1">Table1[[#This Row],[Net Gain]]/Table1[[#This Row],[Ask Rate]]</f>
        <v>#DIV/0!</v>
      </c>
      <c r="AE846" s="3">
        <f>IF(Table1[[#This Row],[Ask Qty]]=0,0,Table1[[#This Row],[Gross Yield]]*365/Table1[[#This Row],[Days Left]])</f>
        <v>0</v>
      </c>
      <c r="AF846" s="9">
        <f ca="1">+Table1[[#This Row],[Net Gain]]*Table1[[#This Row],[Ask Qty]]</f>
        <v>0</v>
      </c>
      <c r="AG846" t="str">
        <f>IF(Table1[[#This Row],[YTM]]&gt;0.12,IF(Table1[[#This Row],[Gross Profit]]&gt;10000,"Invest","Review"),"Low YTM")</f>
        <v>Low YTM</v>
      </c>
    </row>
    <row r="847" spans="1:33" x14ac:dyDescent="0.3">
      <c r="A847" t="str">
        <f>RTD("nest.scriprtd",,"nse_cm|965SCL29-YX","Symbol")</f>
        <v>965SCL29</v>
      </c>
      <c r="B847" t="str">
        <f>RTD("nest.scriprtd",,"nse_cm|965SCL29-YX","Trading Symbol")</f>
        <v>965SCL29-YX</v>
      </c>
      <c r="C847" t="str">
        <f>RTD("nest.scriprtd",,"nse_cm|965SCL29-YX","Exchange")</f>
        <v>NSE</v>
      </c>
      <c r="D847">
        <f>RTD("nest.scriprtd",,"nse_cm|965SCL29-YX","Bid Qty")</f>
        <v>13</v>
      </c>
      <c r="E847">
        <f>RTD("nest.scriprtd",,"nse_cm|965SCL29-YX","Bid Rate")</f>
        <v>825.4</v>
      </c>
      <c r="F847">
        <f>RTD("nest.scriprtd",,"nse_cm|965SCL29-YX","Ask Rate")</f>
        <v>0</v>
      </c>
      <c r="G847">
        <f>RTD("nest.scriprtd",,"nse_cm|965SCL29-YX","Ask Qty")</f>
        <v>0</v>
      </c>
      <c r="H847">
        <f>RTD("nest.scriprtd",,"nse_cm|965SCL29-YX","LTP")</f>
        <v>0</v>
      </c>
      <c r="I847" t="str">
        <f>RTD("nest.scriprtd",,"nse_cm|965SCL29-YX","LTT")</f>
        <v/>
      </c>
      <c r="J847">
        <f>RTD("nest.scriprtd",,"nse_cm|965SCL29-YX","% Change")</f>
        <v>-100</v>
      </c>
      <c r="K847">
        <f>RTD("nest.scriprtd",,"nse_cm|965SCL29-YX","ATP")</f>
        <v>0</v>
      </c>
      <c r="L847">
        <f>RTD("nest.scriprtd",,"nse_cm|965SCL29-YX","Volume Traded Today")</f>
        <v>0</v>
      </c>
      <c r="M847">
        <f>RTD("nest.scriprtd",,"nse_cm|965SCL29-YX","Open")</f>
        <v>0</v>
      </c>
      <c r="N847">
        <f>RTD("nest.scriprtd",,"nse_cm|965SCL29-YX","High")</f>
        <v>0</v>
      </c>
      <c r="O847">
        <f>RTD("nest.scriprtd",,"nse_cm|965SCL29-YX","Low ")</f>
        <v>0</v>
      </c>
      <c r="P847">
        <f>RTD("nest.scriprtd",,"nse_cm|965SCL29-YX","Prev Close")</f>
        <v>1000</v>
      </c>
      <c r="Q847">
        <f>RTD("nest.scriprtd",,"nse_cm|965SCL29-YX","Face Value")</f>
        <v>1000</v>
      </c>
      <c r="R847" t="str">
        <f>RTD("nest.scriprtd",,"nse_cm|965SCL29-YX","Isin code")</f>
        <v>INE148I07SP9</v>
      </c>
      <c r="S847" s="9">
        <f>Table1[[#This Row],[Ask Rate]]*Table1[[#This Row],[Ask Qty]]</f>
        <v>0</v>
      </c>
      <c r="T847">
        <f>VLOOKUP(Table1[[#This Row],[Isin code]],Table2[#All],7,FALSE)</f>
        <v>9.65</v>
      </c>
      <c r="U847" s="17" t="str">
        <f>VLOOKUP(Table1[[#This Row],[Isin code]],Table2[#All],8,FALSE)</f>
        <v>26-Mar-2029</v>
      </c>
      <c r="V847" s="10">
        <f ca="1">Table1[[#This Row],[Maturity]]-TODAY()</f>
        <v>1622</v>
      </c>
      <c r="W847" t="str">
        <f>VLOOKUP(Table1[[#This Row],[Isin code]],Table2[#All],10,FALSE)</f>
        <v>Yearly</v>
      </c>
      <c r="X847">
        <f ca="1">_xlfn.DAYS(Table1[[#This Row],[Maturity]],TODAY())-15</f>
        <v>1607</v>
      </c>
      <c r="Y8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847">
        <f>IF(Table1[[#This Row],[Ask Rate]]=0,0,Table1[[#This Row],[Face Value]]-Table1[[#This Row],[Ask Rate]])</f>
        <v>0</v>
      </c>
      <c r="AA847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847">
        <f ca="1">Table1[[#This Row],[Face Value]]*Table1[[#This Row],[Rate]]*Table1[[#This Row],[Time]]</f>
        <v>482.5</v>
      </c>
      <c r="AC847">
        <f ca="1">Table1[[#This Row],[SI]]+Table1[[#This Row],[Disc/Prem]]</f>
        <v>482.5</v>
      </c>
      <c r="AD847" s="3" t="e">
        <f ca="1">Table1[[#This Row],[Net Gain]]/Table1[[#This Row],[Ask Rate]]</f>
        <v>#DIV/0!</v>
      </c>
      <c r="AE847" s="3">
        <f>IF(Table1[[#This Row],[Ask Qty]]=0,0,Table1[[#This Row],[Gross Yield]]*365/Table1[[#This Row],[Days Left]])</f>
        <v>0</v>
      </c>
      <c r="AF847" s="9">
        <f ca="1">+Table1[[#This Row],[Net Gain]]*Table1[[#This Row],[Ask Qty]]</f>
        <v>0</v>
      </c>
      <c r="AG847" t="str">
        <f>IF(Table1[[#This Row],[YTM]]&gt;0.12,IF(Table1[[#This Row],[Gross Profit]]&gt;10000,"Invest","Review"),"Low YTM")</f>
        <v>Low YTM</v>
      </c>
    </row>
    <row r="848" spans="1:33" x14ac:dyDescent="0.3">
      <c r="A848" t="str">
        <f>RTD("nest.scriprtd",,"bse_cm|925SFL27A","Symbol")</f>
        <v>925SFL27A</v>
      </c>
      <c r="B848" t="str">
        <f>RTD("nest.scriprtd",,"bse_cm|925SFL27A","Trading Symbol")</f>
        <v>925SFL27A</v>
      </c>
      <c r="C848" t="str">
        <f>RTD("nest.scriprtd",,"bse_cm|925SFL27A","Exchange")</f>
        <v>BSE</v>
      </c>
      <c r="D848">
        <f>RTD("nest.scriprtd",,"bse_cm|925SFL27A","Bid Qty")</f>
        <v>14</v>
      </c>
      <c r="E848">
        <f>RTD("nest.scriprtd",,"bse_cm|925SFL27A","Bid Rate")</f>
        <v>822.5</v>
      </c>
      <c r="F848">
        <f>RTD("nest.scriprtd",,"bse_cm|925SFL27A","Ask Rate")</f>
        <v>0</v>
      </c>
      <c r="G848">
        <f>RTD("nest.scriprtd",,"bse_cm|925SFL27A","Ask Qty")</f>
        <v>0</v>
      </c>
      <c r="H848">
        <f>RTD("nest.scriprtd",,"bse_cm|925SFL27A","LTP")</f>
        <v>0</v>
      </c>
      <c r="I848" t="str">
        <f>RTD("nest.scriprtd",,"bse_cm|925SFL27A","LTT")</f>
        <v>00:00:00</v>
      </c>
      <c r="J848">
        <f>RTD("nest.scriprtd",,"bse_cm|925SFL27A","% Change")</f>
        <v>-100</v>
      </c>
      <c r="K848">
        <f>RTD("nest.scriprtd",,"bse_cm|925SFL27A","ATP")</f>
        <v>0</v>
      </c>
      <c r="L848">
        <f>RTD("nest.scriprtd",,"bse_cm|925SFL27A","Volume Traded Today")</f>
        <v>0</v>
      </c>
      <c r="M848">
        <f>RTD("nest.scriprtd",,"bse_cm|925SFL27A","Open")</f>
        <v>0</v>
      </c>
      <c r="N848">
        <f>RTD("nest.scriprtd",,"bse_cm|925SFL27A","High")</f>
        <v>0</v>
      </c>
      <c r="O848">
        <f>RTD("nest.scriprtd",,"bse_cm|925SFL27A","Low ")</f>
        <v>0</v>
      </c>
      <c r="P848">
        <f>RTD("nest.scriprtd",,"bse_cm|925SFL27A","Prev Close")</f>
        <v>1000</v>
      </c>
      <c r="Q848">
        <f>RTD("nest.scriprtd",,"bse_cm|925SFL27A","Face Value")</f>
        <v>1000</v>
      </c>
      <c r="R848" t="str">
        <f>RTD("nest.scriprtd",,"bse_cm|925SFL27A","Isin code")</f>
        <v>INE302E07730</v>
      </c>
      <c r="S848" s="9">
        <f>Table1[[#This Row],[Ask Rate]]*Table1[[#This Row],[Ask Qty]]</f>
        <v>0</v>
      </c>
      <c r="T848">
        <f>VLOOKUP(Table1[[#This Row],[Isin code]],Table2[#All],7,FALSE)</f>
        <v>9.25</v>
      </c>
      <c r="U848" s="17" t="str">
        <f>VLOOKUP(Table1[[#This Row],[Isin code]],Table2[#All],8,FALSE)</f>
        <v>09-Jul-2027</v>
      </c>
      <c r="V848" s="10">
        <f ca="1">Table1[[#This Row],[Maturity]]-TODAY()</f>
        <v>996</v>
      </c>
      <c r="W848" t="str">
        <f>VLOOKUP(Table1[[#This Row],[Isin code]],Table2[#All],10,FALSE)</f>
        <v>Monthly</v>
      </c>
      <c r="X848">
        <f ca="1">_xlfn.DAYS(Table1[[#This Row],[Maturity]],TODAY())-15</f>
        <v>981</v>
      </c>
      <c r="Y8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33</v>
      </c>
      <c r="Z848">
        <f>IF(Table1[[#This Row],[Ask Rate]]=0,0,Table1[[#This Row],[Face Value]]-Table1[[#This Row],[Ask Rate]])</f>
        <v>0</v>
      </c>
      <c r="AA848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48">
        <f ca="1">Table1[[#This Row],[Face Value]]*Table1[[#This Row],[Rate]]*Table1[[#This Row],[Time]]</f>
        <v>254.37500000000003</v>
      </c>
      <c r="AC848">
        <f ca="1">Table1[[#This Row],[SI]]+Table1[[#This Row],[Disc/Prem]]</f>
        <v>254.37500000000003</v>
      </c>
      <c r="AD848" s="3" t="e">
        <f ca="1">Table1[[#This Row],[Net Gain]]/Table1[[#This Row],[Ask Rate]]</f>
        <v>#DIV/0!</v>
      </c>
      <c r="AE848" s="3">
        <f>IF(Table1[[#This Row],[Ask Qty]]=0,0,Table1[[#This Row],[Gross Yield]]*365/Table1[[#This Row],[Days Left]])</f>
        <v>0</v>
      </c>
      <c r="AF848" s="9">
        <f ca="1">+Table1[[#This Row],[Net Gain]]*Table1[[#This Row],[Ask Qty]]</f>
        <v>0</v>
      </c>
      <c r="AG848" t="str">
        <f>IF(Table1[[#This Row],[YTM]]&gt;0.12,IF(Table1[[#This Row],[Gross Profit]]&gt;10000,"Invest","Review"),"Low YTM")</f>
        <v>Low YTM</v>
      </c>
    </row>
    <row r="849" spans="1:33" x14ac:dyDescent="0.3">
      <c r="A849" t="str">
        <f>RTD("nest.scriprtd",,"bse_cm|925SFL27","Symbol")</f>
        <v>925SFL27</v>
      </c>
      <c r="B849" t="str">
        <f>RTD("nest.scriprtd",,"bse_cm|925SFL27","Trading Symbol")</f>
        <v>925SFL27</v>
      </c>
      <c r="C849" t="str">
        <f>RTD("nest.scriprtd",,"bse_cm|925SFL27","Exchange")</f>
        <v>BSE</v>
      </c>
      <c r="D849">
        <f>RTD("nest.scriprtd",,"bse_cm|925SFL27","Bid Qty")</f>
        <v>0</v>
      </c>
      <c r="E849">
        <f>RTD("nest.scriprtd",,"bse_cm|925SFL27","Bid Rate")</f>
        <v>0</v>
      </c>
      <c r="F849">
        <f>RTD("nest.scriprtd",,"bse_cm|925SFL27","Ask Rate")</f>
        <v>0</v>
      </c>
      <c r="G849">
        <f>RTD("nest.scriprtd",,"bse_cm|925SFL27","Ask Qty")</f>
        <v>0</v>
      </c>
      <c r="H849">
        <f>RTD("nest.scriprtd",,"bse_cm|925SFL27","LTP")</f>
        <v>0</v>
      </c>
      <c r="I849" t="str">
        <f>RTD("nest.scriprtd",,"bse_cm|925SFL27","LTT")</f>
        <v>00:00:00</v>
      </c>
      <c r="J849">
        <f>RTD("nest.scriprtd",,"bse_cm|925SFL27","% Change")</f>
        <v>-100</v>
      </c>
      <c r="K849">
        <f>RTD("nest.scriprtd",,"bse_cm|925SFL27","ATP")</f>
        <v>0</v>
      </c>
      <c r="L849">
        <f>RTD("nest.scriprtd",,"bse_cm|925SFL27","Volume Traded Today")</f>
        <v>0</v>
      </c>
      <c r="M849">
        <f>RTD("nest.scriprtd",,"bse_cm|925SFL27","Open")</f>
        <v>0</v>
      </c>
      <c r="N849">
        <f>RTD("nest.scriprtd",,"bse_cm|925SFL27","High")</f>
        <v>1143.3</v>
      </c>
      <c r="O849">
        <f>RTD("nest.scriprtd",,"bse_cm|925SFL27","Low ")</f>
        <v>1143.3</v>
      </c>
      <c r="P849">
        <f>RTD("nest.scriprtd",,"bse_cm|925SFL27","Prev Close")</f>
        <v>1143.3</v>
      </c>
      <c r="Q849">
        <f>RTD("nest.scriprtd",,"bse_cm|925SFL27","Face Value")</f>
        <v>1000</v>
      </c>
      <c r="R849" t="str">
        <f>RTD("nest.scriprtd",,"bse_cm|925SFL27","Isin code")</f>
        <v>INE302E07656</v>
      </c>
      <c r="S849" s="9">
        <f>Table1[[#This Row],[Ask Rate]]*Table1[[#This Row],[Ask Qty]]</f>
        <v>0</v>
      </c>
      <c r="T849">
        <f>VLOOKUP(Table1[[#This Row],[Isin code]],Table2[#All],7,FALSE)</f>
        <v>9.25</v>
      </c>
      <c r="U849" s="17" t="str">
        <f>VLOOKUP(Table1[[#This Row],[Isin code]],Table2[#All],8,FALSE)</f>
        <v>27-Feb-2027</v>
      </c>
      <c r="V849" s="10">
        <f ca="1">Table1[[#This Row],[Maturity]]-TODAY()</f>
        <v>864</v>
      </c>
      <c r="W849" t="str">
        <f>VLOOKUP(Table1[[#This Row],[Isin code]],Table2[#All],10,FALSE)</f>
        <v>Monthly</v>
      </c>
      <c r="X849">
        <f ca="1">_xlfn.DAYS(Table1[[#This Row],[Maturity]],TODAY())-15</f>
        <v>849</v>
      </c>
      <c r="Y8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29</v>
      </c>
      <c r="Z849">
        <f>IF(Table1[[#This Row],[Ask Rate]]=0,0,Table1[[#This Row],[Face Value]]-Table1[[#This Row],[Ask Rate]])</f>
        <v>0</v>
      </c>
      <c r="AA849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49">
        <f ca="1">Table1[[#This Row],[Face Value]]*Table1[[#This Row],[Rate]]*Table1[[#This Row],[Time]]</f>
        <v>223.54166666666669</v>
      </c>
      <c r="AC849">
        <f ca="1">Table1[[#This Row],[SI]]+Table1[[#This Row],[Disc/Prem]]</f>
        <v>223.54166666666669</v>
      </c>
      <c r="AD849" s="3" t="e">
        <f ca="1">Table1[[#This Row],[Net Gain]]/Table1[[#This Row],[Ask Rate]]</f>
        <v>#DIV/0!</v>
      </c>
      <c r="AE849" s="3">
        <f>IF(Table1[[#This Row],[Ask Qty]]=0,0,Table1[[#This Row],[Gross Yield]]*365/Table1[[#This Row],[Days Left]])</f>
        <v>0</v>
      </c>
      <c r="AF849" s="9">
        <f ca="1">+Table1[[#This Row],[Net Gain]]*Table1[[#This Row],[Ask Qty]]</f>
        <v>0</v>
      </c>
      <c r="AG849" t="str">
        <f>IF(Table1[[#This Row],[YTM]]&gt;0.12,IF(Table1[[#This Row],[Gross Profit]]&gt;10000,"Invest","Review"),"Low YTM")</f>
        <v>Low YTM</v>
      </c>
    </row>
    <row r="850" spans="1:33" x14ac:dyDescent="0.3">
      <c r="A850" t="str">
        <f>RTD("nest.scriprtd",,"bse_cm|925SFL26","Symbol")</f>
        <v>925SFL26</v>
      </c>
      <c r="B850" t="str">
        <f>RTD("nest.scriprtd",,"bse_cm|925SFL26","Trading Symbol")</f>
        <v>925SFL26</v>
      </c>
      <c r="C850" t="str">
        <f>RTD("nest.scriprtd",,"bse_cm|925SFL26","Exchange")</f>
        <v>BSE</v>
      </c>
      <c r="D850">
        <f>RTD("nest.scriprtd",,"bse_cm|925SFL26","Bid Qty")</f>
        <v>12</v>
      </c>
      <c r="E850">
        <f>RTD("nest.scriprtd",,"bse_cm|925SFL26","Bid Rate")</f>
        <v>827.2</v>
      </c>
      <c r="F850">
        <f>RTD("nest.scriprtd",,"bse_cm|925SFL26","Ask Rate")</f>
        <v>0</v>
      </c>
      <c r="G850">
        <f>RTD("nest.scriprtd",,"bse_cm|925SFL26","Ask Qty")</f>
        <v>0</v>
      </c>
      <c r="H850">
        <f>RTD("nest.scriprtd",,"bse_cm|925SFL26","LTP")</f>
        <v>0</v>
      </c>
      <c r="I850" t="str">
        <f>RTD("nest.scriprtd",,"bse_cm|925SFL26","LTT")</f>
        <v>00:00:00</v>
      </c>
      <c r="J850">
        <f>RTD("nest.scriprtd",,"bse_cm|925SFL26","% Change")</f>
        <v>-100</v>
      </c>
      <c r="K850">
        <f>RTD("nest.scriprtd",,"bse_cm|925SFL26","ATP")</f>
        <v>0</v>
      </c>
      <c r="L850">
        <f>RTD("nest.scriprtd",,"bse_cm|925SFL26","Volume Traded Today")</f>
        <v>0</v>
      </c>
      <c r="M850">
        <f>RTD("nest.scriprtd",,"bse_cm|925SFL26","Open")</f>
        <v>0</v>
      </c>
      <c r="N850">
        <f>RTD("nest.scriprtd",,"bse_cm|925SFL26","High")</f>
        <v>1178.4000000000001</v>
      </c>
      <c r="O850">
        <f>RTD("nest.scriprtd",,"bse_cm|925SFL26","Low ")</f>
        <v>869.25</v>
      </c>
      <c r="P850">
        <f>RTD("nest.scriprtd",,"bse_cm|925SFL26","Prev Close")</f>
        <v>914.2</v>
      </c>
      <c r="Q850">
        <f>RTD("nest.scriprtd",,"bse_cm|925SFL26","Face Value")</f>
        <v>1000</v>
      </c>
      <c r="R850" t="str">
        <f>RTD("nest.scriprtd",,"bse_cm|925SFL26","Isin code")</f>
        <v>INE302E07540</v>
      </c>
      <c r="S850" s="9">
        <f>Table1[[#This Row],[Ask Rate]]*Table1[[#This Row],[Ask Qty]]</f>
        <v>0</v>
      </c>
      <c r="T850">
        <f>VLOOKUP(Table1[[#This Row],[Isin code]],Table2[#All],7,FALSE)</f>
        <v>9.25</v>
      </c>
      <c r="U850" s="17" t="str">
        <f>VLOOKUP(Table1[[#This Row],[Isin code]],Table2[#All],8,FALSE)</f>
        <v>08-May-2026</v>
      </c>
      <c r="V850" s="10">
        <f ca="1">Table1[[#This Row],[Maturity]]-TODAY()</f>
        <v>569</v>
      </c>
      <c r="W850" t="str">
        <f>VLOOKUP(Table1[[#This Row],[Isin code]],Table2[#All],10,FALSE)</f>
        <v>Monthly</v>
      </c>
      <c r="X850">
        <f ca="1">_xlfn.DAYS(Table1[[#This Row],[Maturity]],TODAY())-15</f>
        <v>554</v>
      </c>
      <c r="Y8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850">
        <f>IF(Table1[[#This Row],[Ask Rate]]=0,0,Table1[[#This Row],[Face Value]]-Table1[[#This Row],[Ask Rate]])</f>
        <v>0</v>
      </c>
      <c r="AA850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50">
        <f ca="1">Table1[[#This Row],[Face Value]]*Table1[[#This Row],[Rate]]*Table1[[#This Row],[Time]]</f>
        <v>146.45833333333334</v>
      </c>
      <c r="AC850">
        <f ca="1">Table1[[#This Row],[SI]]+Table1[[#This Row],[Disc/Prem]]</f>
        <v>146.45833333333334</v>
      </c>
      <c r="AD850" s="3" t="e">
        <f ca="1">Table1[[#This Row],[Net Gain]]/Table1[[#This Row],[Ask Rate]]</f>
        <v>#DIV/0!</v>
      </c>
      <c r="AE850" s="3">
        <f>IF(Table1[[#This Row],[Ask Qty]]=0,0,Table1[[#This Row],[Gross Yield]]*365/Table1[[#This Row],[Days Left]])</f>
        <v>0</v>
      </c>
      <c r="AF850" s="9">
        <f ca="1">+Table1[[#This Row],[Net Gain]]*Table1[[#This Row],[Ask Qty]]</f>
        <v>0</v>
      </c>
      <c r="AG850" t="str">
        <f>IF(Table1[[#This Row],[YTM]]&gt;0.12,IF(Table1[[#This Row],[Gross Profit]]&gt;10000,"Invest","Review"),"Low YTM")</f>
        <v>Low YTM</v>
      </c>
    </row>
    <row r="851" spans="1:33" x14ac:dyDescent="0.3">
      <c r="A851" t="str">
        <f>RTD("nest.scriprtd",,"nse_cm|925SCL29-YZ","Symbol")</f>
        <v>925SCL29</v>
      </c>
      <c r="B851" t="str">
        <f>RTD("nest.scriprtd",,"nse_cm|925SCL29-YZ","Trading Symbol")</f>
        <v>925SCL29-YZ</v>
      </c>
      <c r="C851" t="str">
        <f>RTD("nest.scriprtd",,"nse_cm|925SCL29-YZ","Exchange")</f>
        <v>NSE</v>
      </c>
      <c r="D851">
        <f>RTD("nest.scriprtd",,"nse_cm|925SCL29-YZ","Bid Qty")</f>
        <v>9</v>
      </c>
      <c r="E851">
        <f>RTD("nest.scriprtd",,"nse_cm|925SCL29-YZ","Bid Rate")</f>
        <v>815.5</v>
      </c>
      <c r="F851">
        <f>RTD("nest.scriprtd",,"nse_cm|925SCL29-YZ","Ask Rate")</f>
        <v>0</v>
      </c>
      <c r="G851">
        <f>RTD("nest.scriprtd",,"nse_cm|925SCL29-YZ","Ask Qty")</f>
        <v>0</v>
      </c>
      <c r="H851">
        <f>RTD("nest.scriprtd",,"nse_cm|925SCL29-YZ","LTP")</f>
        <v>0</v>
      </c>
      <c r="I851" t="str">
        <f>RTD("nest.scriprtd",,"nse_cm|925SCL29-YZ","LTT")</f>
        <v/>
      </c>
      <c r="J851">
        <f>RTD("nest.scriprtd",,"nse_cm|925SCL29-YZ","% Change")</f>
        <v>-100</v>
      </c>
      <c r="K851">
        <f>RTD("nest.scriprtd",,"nse_cm|925SCL29-YZ","ATP")</f>
        <v>0</v>
      </c>
      <c r="L851">
        <f>RTD("nest.scriprtd",,"nse_cm|925SCL29-YZ","Volume Traded Today")</f>
        <v>0</v>
      </c>
      <c r="M851">
        <f>RTD("nest.scriprtd",,"nse_cm|925SCL29-YZ","Open")</f>
        <v>0</v>
      </c>
      <c r="N851">
        <f>RTD("nest.scriprtd",,"nse_cm|925SCL29-YZ","High")</f>
        <v>0</v>
      </c>
      <c r="O851">
        <f>RTD("nest.scriprtd",,"nse_cm|925SCL29-YZ","Low ")</f>
        <v>0</v>
      </c>
      <c r="P851">
        <f>RTD("nest.scriprtd",,"nse_cm|925SCL29-YZ","Prev Close")</f>
        <v>1000</v>
      </c>
      <c r="Q851">
        <f>RTD("nest.scriprtd",,"nse_cm|925SCL29-YZ","Face Value")</f>
        <v>1000</v>
      </c>
      <c r="R851" t="str">
        <f>RTD("nest.scriprtd",,"nse_cm|925SCL29-YZ","Isin code")</f>
        <v>INE148I07SO2</v>
      </c>
      <c r="S851" s="9">
        <f>Table1[[#This Row],[Ask Rate]]*Table1[[#This Row],[Ask Qty]]</f>
        <v>0</v>
      </c>
      <c r="T851">
        <f>VLOOKUP(Table1[[#This Row],[Isin code]],Table2[#All],7,FALSE)</f>
        <v>9.25</v>
      </c>
      <c r="U851" s="17" t="str">
        <f>VLOOKUP(Table1[[#This Row],[Isin code]],Table2[#All],8,FALSE)</f>
        <v>26-Mar-2029</v>
      </c>
      <c r="V851" s="10">
        <f ca="1">Table1[[#This Row],[Maturity]]-TODAY()</f>
        <v>1622</v>
      </c>
      <c r="W851" t="str">
        <f>VLOOKUP(Table1[[#This Row],[Isin code]],Table2[#All],10,FALSE)</f>
        <v>Monthly</v>
      </c>
      <c r="X851">
        <f ca="1">_xlfn.DAYS(Table1[[#This Row],[Maturity]],TODAY())-15</f>
        <v>1607</v>
      </c>
      <c r="Y8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851">
        <f>IF(Table1[[#This Row],[Ask Rate]]=0,0,Table1[[#This Row],[Face Value]]-Table1[[#This Row],[Ask Rate]])</f>
        <v>0</v>
      </c>
      <c r="AA851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51">
        <f ca="1">Table1[[#This Row],[Face Value]]*Table1[[#This Row],[Rate]]*Table1[[#This Row],[Time]]</f>
        <v>416.25000000000006</v>
      </c>
      <c r="AC851">
        <f ca="1">Table1[[#This Row],[SI]]+Table1[[#This Row],[Disc/Prem]]</f>
        <v>416.25000000000006</v>
      </c>
      <c r="AD851" s="3" t="e">
        <f ca="1">Table1[[#This Row],[Net Gain]]/Table1[[#This Row],[Ask Rate]]</f>
        <v>#DIV/0!</v>
      </c>
      <c r="AE851" s="3">
        <f>IF(Table1[[#This Row],[Ask Qty]]=0,0,Table1[[#This Row],[Gross Yield]]*365/Table1[[#This Row],[Days Left]])</f>
        <v>0</v>
      </c>
      <c r="AF851" s="9">
        <f ca="1">+Table1[[#This Row],[Net Gain]]*Table1[[#This Row],[Ask Qty]]</f>
        <v>0</v>
      </c>
      <c r="AG851" t="str">
        <f>IF(Table1[[#This Row],[YTM]]&gt;0.12,IF(Table1[[#This Row],[Gross Profit]]&gt;10000,"Invest","Review"),"Low YTM")</f>
        <v>Low YTM</v>
      </c>
    </row>
    <row r="852" spans="1:33" x14ac:dyDescent="0.3">
      <c r="A852" t="str">
        <f>RTD("nest.scriprtd",,"bse_cm|975MML25","Symbol")</f>
        <v>975MML25</v>
      </c>
      <c r="B852" t="str">
        <f>RTD("nest.scriprtd",,"bse_cm|975MML25","Trading Symbol")</f>
        <v>975MML25</v>
      </c>
      <c r="C852" t="str">
        <f>RTD("nest.scriprtd",,"bse_cm|975MML25","Exchange")</f>
        <v>BSE</v>
      </c>
      <c r="D852">
        <f>RTD("nest.scriprtd",,"bse_cm|975MML25","Bid Qty")</f>
        <v>15</v>
      </c>
      <c r="E852">
        <f>RTD("nest.scriprtd",,"bse_cm|975MML25","Bid Rate")</f>
        <v>839.2</v>
      </c>
      <c r="F852">
        <f>RTD("nest.scriprtd",,"bse_cm|975MML25","Ask Rate")</f>
        <v>0</v>
      </c>
      <c r="G852">
        <f>RTD("nest.scriprtd",,"bse_cm|975MML25","Ask Qty")</f>
        <v>0</v>
      </c>
      <c r="H852">
        <f>RTD("nest.scriprtd",,"bse_cm|975MML25","LTP")</f>
        <v>0</v>
      </c>
      <c r="I852" t="str">
        <f>RTD("nest.scriprtd",,"bse_cm|975MML25","LTT")</f>
        <v>00:00:00</v>
      </c>
      <c r="J852">
        <f>RTD("nest.scriprtd",,"bse_cm|975MML25","% Change")</f>
        <v>-100</v>
      </c>
      <c r="K852">
        <f>RTD("nest.scriprtd",,"bse_cm|975MML25","ATP")</f>
        <v>0</v>
      </c>
      <c r="L852">
        <f>RTD("nest.scriprtd",,"bse_cm|975MML25","Volume Traded Today")</f>
        <v>0</v>
      </c>
      <c r="M852">
        <f>RTD("nest.scriprtd",,"bse_cm|975MML25","Open")</f>
        <v>0</v>
      </c>
      <c r="N852">
        <f>RTD("nest.scriprtd",,"bse_cm|975MML25","High")</f>
        <v>979.8</v>
      </c>
      <c r="O852">
        <f>RTD("nest.scriprtd",,"bse_cm|975MML25","Low ")</f>
        <v>979.8</v>
      </c>
      <c r="P852">
        <f>RTD("nest.scriprtd",,"bse_cm|975MML25","Prev Close")</f>
        <v>979.8</v>
      </c>
      <c r="Q852">
        <f>RTD("nest.scriprtd",,"bse_cm|975MML25","Face Value")</f>
        <v>1000</v>
      </c>
      <c r="R852" t="str">
        <f>RTD("nest.scriprtd",,"bse_cm|975MML25","Isin code")</f>
        <v>INE05F407BF7</v>
      </c>
      <c r="S852" s="9">
        <f>Table1[[#This Row],[Ask Rate]]*Table1[[#This Row],[Ask Qty]]</f>
        <v>0</v>
      </c>
      <c r="T852">
        <f>VLOOKUP(Table1[[#This Row],[Isin code]],Table2[#All],7,FALSE)</f>
        <v>9.75</v>
      </c>
      <c r="U852" s="17" t="str">
        <f>VLOOKUP(Table1[[#This Row],[Isin code]],Table2[#All],8,FALSE)</f>
        <v>21-Dec-2025</v>
      </c>
      <c r="V852" s="10">
        <f ca="1">Table1[[#This Row],[Maturity]]-TODAY()</f>
        <v>431</v>
      </c>
      <c r="W852" t="str">
        <f>VLOOKUP(Table1[[#This Row],[Isin code]],Table2[#All],10,FALSE)</f>
        <v>Monthly</v>
      </c>
      <c r="X852">
        <f ca="1">_xlfn.DAYS(Table1[[#This Row],[Maturity]],TODAY())-15</f>
        <v>416</v>
      </c>
      <c r="Y8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852">
        <f>IF(Table1[[#This Row],[Ask Rate]]=0,0,Table1[[#This Row],[Face Value]]-Table1[[#This Row],[Ask Rate]])</f>
        <v>0</v>
      </c>
      <c r="AA852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852">
        <f ca="1">Table1[[#This Row],[Face Value]]*Table1[[#This Row],[Rate]]*Table1[[#This Row],[Time]]</f>
        <v>113.75</v>
      </c>
      <c r="AC852">
        <f ca="1">Table1[[#This Row],[SI]]+Table1[[#This Row],[Disc/Prem]]</f>
        <v>113.75</v>
      </c>
      <c r="AD852" s="3" t="e">
        <f ca="1">Table1[[#This Row],[Net Gain]]/Table1[[#This Row],[Ask Rate]]</f>
        <v>#DIV/0!</v>
      </c>
      <c r="AE852" s="3">
        <f>IF(Table1[[#This Row],[Ask Qty]]=0,0,Table1[[#This Row],[Gross Yield]]*365/Table1[[#This Row],[Days Left]])</f>
        <v>0</v>
      </c>
      <c r="AF852" s="9">
        <f ca="1">+Table1[[#This Row],[Net Gain]]*Table1[[#This Row],[Ask Qty]]</f>
        <v>0</v>
      </c>
      <c r="AG852" t="str">
        <f>IF(Table1[[#This Row],[YTM]]&gt;0.12,IF(Table1[[#This Row],[Gross Profit]]&gt;10000,"Invest","Review"),"Low YTM")</f>
        <v>Low YTM</v>
      </c>
    </row>
    <row r="853" spans="1:33" hidden="1" x14ac:dyDescent="0.3">
      <c r="A853" t="str">
        <f>RTD("nest.scriprtd",,"bse_cm|975MMFL24","Symbol")</f>
        <v>975MMFL24</v>
      </c>
      <c r="B853" t="str">
        <f>RTD("nest.scriprtd",,"bse_cm|975MMFL24","Trading Symbol")</f>
        <v>975MMFL24</v>
      </c>
      <c r="C853" t="str">
        <f>RTD("nest.scriprtd",,"bse_cm|975MMFL24","Exchange")</f>
        <v>BSE</v>
      </c>
      <c r="D853">
        <f>RTD("nest.scriprtd",,"bse_cm|975MMFL24","Bid Qty")</f>
        <v>110</v>
      </c>
      <c r="E853">
        <f>RTD("nest.scriprtd",,"bse_cm|975MMFL24","Bid Rate")</f>
        <v>950.54</v>
      </c>
      <c r="F853">
        <f>RTD("nest.scriprtd",,"bse_cm|975MMFL24","Ask Rate")</f>
        <v>0</v>
      </c>
      <c r="G853">
        <f>RTD("nest.scriprtd",,"bse_cm|975MMFL24","Ask Qty")</f>
        <v>0</v>
      </c>
      <c r="H853">
        <f>RTD("nest.scriprtd",,"bse_cm|975MMFL24","LTP")</f>
        <v>0</v>
      </c>
      <c r="I853" t="str">
        <f>RTD("nest.scriprtd",,"bse_cm|975MMFL24","LTT")</f>
        <v>00:00:00</v>
      </c>
      <c r="J853">
        <f>RTD("nest.scriprtd",,"bse_cm|975MMFL24","% Change")</f>
        <v>-100</v>
      </c>
      <c r="K853">
        <f>RTD("nest.scriprtd",,"bse_cm|975MMFL24","ATP")</f>
        <v>0</v>
      </c>
      <c r="L853">
        <f>RTD("nest.scriprtd",,"bse_cm|975MMFL24","Volume Traded Today")</f>
        <v>0</v>
      </c>
      <c r="M853">
        <f>RTD("nest.scriprtd",,"bse_cm|975MMFL24","Open")</f>
        <v>0</v>
      </c>
      <c r="N853">
        <f>RTD("nest.scriprtd",,"bse_cm|975MMFL24","High")</f>
        <v>990</v>
      </c>
      <c r="O853">
        <f>RTD("nest.scriprtd",,"bse_cm|975MMFL24","Low ")</f>
        <v>990</v>
      </c>
      <c r="P853">
        <f>RTD("nest.scriprtd",,"bse_cm|975MMFL24","Prev Close")</f>
        <v>990</v>
      </c>
      <c r="Q853">
        <f>RTD("nest.scriprtd",,"bse_cm|975MMFL24","Face Value")</f>
        <v>1000</v>
      </c>
      <c r="R853" t="str">
        <f>RTD("nest.scriprtd",,"bse_cm|975MMFL24","Isin code")</f>
        <v>INE101Q07946</v>
      </c>
      <c r="S853" s="9">
        <f>Table1[[#This Row],[Ask Rate]]*Table1[[#This Row],[Ask Qty]]</f>
        <v>0</v>
      </c>
      <c r="T853">
        <f>VLOOKUP(Table1[[#This Row],[Isin code]],Table2[#All],7,FALSE)</f>
        <v>9.75</v>
      </c>
      <c r="U853" s="17" t="str">
        <f>VLOOKUP(Table1[[#This Row],[Isin code]],Table2[#All],8,FALSE)</f>
        <v>02-Nov-2024</v>
      </c>
      <c r="V853" s="10">
        <f ca="1">Table1[[#This Row],[Maturity]]-TODAY()</f>
        <v>17</v>
      </c>
      <c r="W853" t="str">
        <f>VLOOKUP(Table1[[#This Row],[Isin code]],Table2[#All],10,FALSE)</f>
        <v>Monthly</v>
      </c>
      <c r="X853">
        <f ca="1">_xlfn.DAYS(Table1[[#This Row],[Maturity]],TODAY())-15</f>
        <v>2</v>
      </c>
      <c r="Y8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853">
        <f>IF(Table1[[#This Row],[Ask Rate]]=0,0,Table1[[#This Row],[Face Value]]-Table1[[#This Row],[Ask Rate]])</f>
        <v>0</v>
      </c>
      <c r="AA853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853">
        <f ca="1">Table1[[#This Row],[Face Value]]*Table1[[#This Row],[Rate]]*Table1[[#This Row],[Time]]</f>
        <v>8.125</v>
      </c>
      <c r="AC853">
        <f ca="1">Table1[[#This Row],[SI]]+Table1[[#This Row],[Disc/Prem]]</f>
        <v>8.125</v>
      </c>
      <c r="AD853" s="3" t="e">
        <f ca="1">Table1[[#This Row],[Net Gain]]/Table1[[#This Row],[Ask Rate]]</f>
        <v>#DIV/0!</v>
      </c>
      <c r="AE853" s="3">
        <f>IF(Table1[[#This Row],[Ask Qty]]=0,0,Table1[[#This Row],[Gross Yield]]*365/Table1[[#This Row],[Days Left]])</f>
        <v>0</v>
      </c>
      <c r="AF853" s="9">
        <f ca="1">+Table1[[#This Row],[Net Gain]]*Table1[[#This Row],[Ask Qty]]</f>
        <v>0</v>
      </c>
      <c r="AG853" t="str">
        <f>IF(Table1[[#This Row],[YTM]]&gt;0.12,IF(Table1[[#This Row],[Gross Profit]]&gt;10000,"Invest","Review"),"Low YTM")</f>
        <v>Low YTM</v>
      </c>
    </row>
    <row r="854" spans="1:33" x14ac:dyDescent="0.3">
      <c r="A854" t="str">
        <f>RTD("nest.scriprtd",,"bse_cm|975MFL29A","Symbol")</f>
        <v>975MFL29A</v>
      </c>
      <c r="B854" t="str">
        <f>RTD("nest.scriprtd",,"bse_cm|975MFL29A","Trading Symbol")</f>
        <v>975MFL29A</v>
      </c>
      <c r="C854" t="str">
        <f>RTD("nest.scriprtd",,"bse_cm|975MFL29A","Exchange")</f>
        <v>BSE</v>
      </c>
      <c r="D854">
        <f>RTD("nest.scriprtd",,"bse_cm|975MFL29A","Bid Qty")</f>
        <v>18</v>
      </c>
      <c r="E854">
        <f>RTD("nest.scriprtd",,"bse_cm|975MFL29A","Bid Rate")</f>
        <v>834.2</v>
      </c>
      <c r="F854">
        <f>RTD("nest.scriprtd",,"bse_cm|975MFL29A","Ask Rate")</f>
        <v>0</v>
      </c>
      <c r="G854">
        <f>RTD("nest.scriprtd",,"bse_cm|975MFL29A","Ask Qty")</f>
        <v>0</v>
      </c>
      <c r="H854">
        <f>RTD("nest.scriprtd",,"bse_cm|975MFL29A","LTP")</f>
        <v>0</v>
      </c>
      <c r="I854" t="str">
        <f>RTD("nest.scriprtd",,"bse_cm|975MFL29A","LTT")</f>
        <v>00:00:00</v>
      </c>
      <c r="J854">
        <f>RTD("nest.scriprtd",,"bse_cm|975MFL29A","% Change")</f>
        <v>-100</v>
      </c>
      <c r="K854">
        <f>RTD("nest.scriprtd",,"bse_cm|975MFL29A","ATP")</f>
        <v>0</v>
      </c>
      <c r="L854">
        <f>RTD("nest.scriprtd",,"bse_cm|975MFL29A","Volume Traded Today")</f>
        <v>0</v>
      </c>
      <c r="M854">
        <f>RTD("nest.scriprtd",,"bse_cm|975MFL29A","Open")</f>
        <v>0</v>
      </c>
      <c r="N854">
        <f>RTD("nest.scriprtd",,"bse_cm|975MFL29A","High")</f>
        <v>990</v>
      </c>
      <c r="O854">
        <f>RTD("nest.scriprtd",,"bse_cm|975MFL29A","Low ")</f>
        <v>990</v>
      </c>
      <c r="P854">
        <f>RTD("nest.scriprtd",,"bse_cm|975MFL29A","Prev Close")</f>
        <v>990</v>
      </c>
      <c r="Q854">
        <f>RTD("nest.scriprtd",,"bse_cm|975MFL29A","Face Value")</f>
        <v>1000</v>
      </c>
      <c r="R854" t="str">
        <f>RTD("nest.scriprtd",,"bse_cm|975MFL29A","Isin code")</f>
        <v>INE549K07DF7</v>
      </c>
      <c r="S854" s="9">
        <f>Table1[[#This Row],[Ask Rate]]*Table1[[#This Row],[Ask Qty]]</f>
        <v>0</v>
      </c>
      <c r="T854">
        <f>VLOOKUP(Table1[[#This Row],[Isin code]],Table2[#All],7,FALSE)</f>
        <v>9.75</v>
      </c>
      <c r="U854" s="17" t="str">
        <f>VLOOKUP(Table1[[#This Row],[Isin code]],Table2[#All],8,FALSE)</f>
        <v>31-Jan-2029</v>
      </c>
      <c r="V854" s="10">
        <f ca="1">Table1[[#This Row],[Maturity]]-TODAY()</f>
        <v>1568</v>
      </c>
      <c r="W854" t="str">
        <f>VLOOKUP(Table1[[#This Row],[Isin code]],Table2[#All],10,FALSE)</f>
        <v>Yearly</v>
      </c>
      <c r="X854">
        <f ca="1">_xlfn.DAYS(Table1[[#This Row],[Maturity]],TODAY())-15</f>
        <v>1553</v>
      </c>
      <c r="Y8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854">
        <f>IF(Table1[[#This Row],[Ask Rate]]=0,0,Table1[[#This Row],[Face Value]]-Table1[[#This Row],[Ask Rate]])</f>
        <v>0</v>
      </c>
      <c r="AA854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854">
        <f ca="1">Table1[[#This Row],[Face Value]]*Table1[[#This Row],[Rate]]*Table1[[#This Row],[Time]]</f>
        <v>487.5</v>
      </c>
      <c r="AC854">
        <f ca="1">Table1[[#This Row],[SI]]+Table1[[#This Row],[Disc/Prem]]</f>
        <v>487.5</v>
      </c>
      <c r="AD854" s="3" t="e">
        <f ca="1">Table1[[#This Row],[Net Gain]]/Table1[[#This Row],[Ask Rate]]</f>
        <v>#DIV/0!</v>
      </c>
      <c r="AE854" s="3">
        <f>IF(Table1[[#This Row],[Ask Qty]]=0,0,Table1[[#This Row],[Gross Yield]]*365/Table1[[#This Row],[Days Left]])</f>
        <v>0</v>
      </c>
      <c r="AF854" s="9">
        <f ca="1">+Table1[[#This Row],[Net Gain]]*Table1[[#This Row],[Ask Qty]]</f>
        <v>0</v>
      </c>
      <c r="AG854" t="str">
        <f>IF(Table1[[#This Row],[YTM]]&gt;0.12,IF(Table1[[#This Row],[Gross Profit]]&gt;10000,"Invest","Review"),"Low YTM")</f>
        <v>Low YTM</v>
      </c>
    </row>
    <row r="855" spans="1:33" x14ac:dyDescent="0.3">
      <c r="A855" t="str">
        <f>RTD("nest.scriprtd",,"bse_cm|975MFL25","Symbol")</f>
        <v>975MFL25</v>
      </c>
      <c r="B855" t="str">
        <f>RTD("nest.scriprtd",,"bse_cm|975MFL25","Trading Symbol")</f>
        <v>975MFL25</v>
      </c>
      <c r="C855" t="str">
        <f>RTD("nest.scriprtd",,"bse_cm|975MFL25","Exchange")</f>
        <v>BSE</v>
      </c>
      <c r="D855">
        <f>RTD("nest.scriprtd",,"bse_cm|975MFL25","Bid Qty")</f>
        <v>50</v>
      </c>
      <c r="E855">
        <f>RTD("nest.scriprtd",,"bse_cm|975MFL25","Bid Rate")</f>
        <v>985.22</v>
      </c>
      <c r="F855">
        <f>RTD("nest.scriprtd",,"bse_cm|975MFL25","Ask Rate")</f>
        <v>0</v>
      </c>
      <c r="G855">
        <f>RTD("nest.scriprtd",,"bse_cm|975MFL25","Ask Qty")</f>
        <v>0</v>
      </c>
      <c r="H855">
        <f>RTD("nest.scriprtd",,"bse_cm|975MFL25","LTP")</f>
        <v>0</v>
      </c>
      <c r="I855" t="str">
        <f>RTD("nest.scriprtd",,"bse_cm|975MFL25","LTT")</f>
        <v>00:00:00</v>
      </c>
      <c r="J855">
        <f>RTD("nest.scriprtd",,"bse_cm|975MFL25","% Change")</f>
        <v>-100</v>
      </c>
      <c r="K855">
        <f>RTD("nest.scriprtd",,"bse_cm|975MFL25","ATP")</f>
        <v>0</v>
      </c>
      <c r="L855">
        <f>RTD("nest.scriprtd",,"bse_cm|975MFL25","Volume Traded Today")</f>
        <v>0</v>
      </c>
      <c r="M855">
        <f>RTD("nest.scriprtd",,"bse_cm|975MFL25","Open")</f>
        <v>0</v>
      </c>
      <c r="N855">
        <f>RTD("nest.scriprtd",,"bse_cm|975MFL25","High")</f>
        <v>999.8</v>
      </c>
      <c r="O855">
        <f>RTD("nest.scriprtd",,"bse_cm|975MFL25","Low ")</f>
        <v>999.8</v>
      </c>
      <c r="P855">
        <f>RTD("nest.scriprtd",,"bse_cm|975MFL25","Prev Close")</f>
        <v>999.8</v>
      </c>
      <c r="Q855">
        <f>RTD("nest.scriprtd",,"bse_cm|975MFL25","Face Value")</f>
        <v>1000</v>
      </c>
      <c r="R855" t="str">
        <f>RTD("nest.scriprtd",,"bse_cm|975MFL25","Isin code")</f>
        <v>INE549K07717</v>
      </c>
      <c r="S855" s="9">
        <f>Table1[[#This Row],[Ask Rate]]*Table1[[#This Row],[Ask Qty]]</f>
        <v>0</v>
      </c>
      <c r="T855">
        <f>VLOOKUP(Table1[[#This Row],[Isin code]],Table2[#All],7,FALSE)</f>
        <v>9.75</v>
      </c>
      <c r="U855" s="17" t="str">
        <f>VLOOKUP(Table1[[#This Row],[Isin code]],Table2[#All],8,FALSE)</f>
        <v>17-Jul-2025</v>
      </c>
      <c r="V855" s="10">
        <f ca="1">Table1[[#This Row],[Maturity]]-TODAY()</f>
        <v>274</v>
      </c>
      <c r="W855" t="str">
        <f>VLOOKUP(Table1[[#This Row],[Isin code]],Table2[#All],10,FALSE)</f>
        <v>Yearly</v>
      </c>
      <c r="X855">
        <f ca="1">_xlfn.DAYS(Table1[[#This Row],[Maturity]],TODAY())-15</f>
        <v>259</v>
      </c>
      <c r="Y8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855">
        <f>IF(Table1[[#This Row],[Ask Rate]]=0,0,Table1[[#This Row],[Face Value]]-Table1[[#This Row],[Ask Rate]])</f>
        <v>0</v>
      </c>
      <c r="AA855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855">
        <f ca="1">Table1[[#This Row],[Face Value]]*Table1[[#This Row],[Rate]]*Table1[[#This Row],[Time]]</f>
        <v>97.5</v>
      </c>
      <c r="AC855">
        <f ca="1">Table1[[#This Row],[SI]]+Table1[[#This Row],[Disc/Prem]]</f>
        <v>97.5</v>
      </c>
      <c r="AD855" s="3" t="e">
        <f ca="1">Table1[[#This Row],[Net Gain]]/Table1[[#This Row],[Ask Rate]]</f>
        <v>#DIV/0!</v>
      </c>
      <c r="AE855" s="3">
        <f>IF(Table1[[#This Row],[Ask Qty]]=0,0,Table1[[#This Row],[Gross Yield]]*365/Table1[[#This Row],[Days Left]])</f>
        <v>0</v>
      </c>
      <c r="AF855" s="9">
        <f ca="1">+Table1[[#This Row],[Net Gain]]*Table1[[#This Row],[Ask Qty]]</f>
        <v>0</v>
      </c>
      <c r="AG855" t="str">
        <f>IF(Table1[[#This Row],[YTM]]&gt;0.12,IF(Table1[[#This Row],[Gross Profit]]&gt;10000,"Invest","Review"),"Low YTM")</f>
        <v>Low YTM</v>
      </c>
    </row>
    <row r="856" spans="1:33" x14ac:dyDescent="0.3">
      <c r="A856" t="str">
        <f>RTD("nest.scriprtd",,"bse_cm|975MFCL29","Symbol")</f>
        <v>975MFCL29</v>
      </c>
      <c r="B856" t="str">
        <f>RTD("nest.scriprtd",,"bse_cm|975MFCL29","Trading Symbol")</f>
        <v>975MFCL29</v>
      </c>
      <c r="C856" t="str">
        <f>RTD("nest.scriprtd",,"bse_cm|975MFCL29","Exchange")</f>
        <v>BSE</v>
      </c>
      <c r="D856">
        <f>RTD("nest.scriprtd",,"bse_cm|975MFCL29","Bid Qty")</f>
        <v>50</v>
      </c>
      <c r="E856">
        <f>RTD("nest.scriprtd",,"bse_cm|975MFCL29","Bid Rate")</f>
        <v>969</v>
      </c>
      <c r="F856">
        <f>RTD("nest.scriprtd",,"bse_cm|975MFCL29","Ask Rate")</f>
        <v>0</v>
      </c>
      <c r="G856">
        <f>RTD("nest.scriprtd",,"bse_cm|975MFCL29","Ask Qty")</f>
        <v>0</v>
      </c>
      <c r="H856">
        <f>RTD("nest.scriprtd",,"bse_cm|975MFCL29","LTP")</f>
        <v>0</v>
      </c>
      <c r="I856" t="str">
        <f>RTD("nest.scriprtd",,"bse_cm|975MFCL29","LTT")</f>
        <v>00:00:00</v>
      </c>
      <c r="J856">
        <f>RTD("nest.scriprtd",,"bse_cm|975MFCL29","% Change")</f>
        <v>-100</v>
      </c>
      <c r="K856">
        <f>RTD("nest.scriprtd",,"bse_cm|975MFCL29","ATP")</f>
        <v>0</v>
      </c>
      <c r="L856">
        <f>RTD("nest.scriprtd",,"bse_cm|975MFCL29","Volume Traded Today")</f>
        <v>0</v>
      </c>
      <c r="M856">
        <f>RTD("nest.scriprtd",,"bse_cm|975MFCL29","Open")</f>
        <v>0</v>
      </c>
      <c r="N856">
        <f>RTD("nest.scriprtd",,"bse_cm|975MFCL29","High")</f>
        <v>985</v>
      </c>
      <c r="O856">
        <f>RTD("nest.scriprtd",,"bse_cm|975MFCL29","Low ")</f>
        <v>985</v>
      </c>
      <c r="P856">
        <f>RTD("nest.scriprtd",,"bse_cm|975MFCL29","Prev Close")</f>
        <v>985</v>
      </c>
      <c r="Q856">
        <f>RTD("nest.scriprtd",,"bse_cm|975MFCL29","Face Value")</f>
        <v>1000</v>
      </c>
      <c r="R856" t="str">
        <f>RTD("nest.scriprtd",,"bse_cm|975MFCL29","Isin code")</f>
        <v>INE549K07DP6</v>
      </c>
      <c r="S856" s="9">
        <f>Table1[[#This Row],[Ask Rate]]*Table1[[#This Row],[Ask Qty]]</f>
        <v>0</v>
      </c>
      <c r="T856">
        <f>VLOOKUP(Table1[[#This Row],[Isin code]],Table2[#All],7,FALSE)</f>
        <v>9.75</v>
      </c>
      <c r="U856" s="17" t="str">
        <f>VLOOKUP(Table1[[#This Row],[Isin code]],Table2[#All],8,FALSE)</f>
        <v>30-Apr-2029</v>
      </c>
      <c r="V856" s="10">
        <f ca="1">Table1[[#This Row],[Maturity]]-TODAY()</f>
        <v>1657</v>
      </c>
      <c r="W856" t="str">
        <f>VLOOKUP(Table1[[#This Row],[Isin code]],Table2[#All],10,FALSE)</f>
        <v>Annual</v>
      </c>
      <c r="X856">
        <f ca="1">_xlfn.DAYS(Table1[[#This Row],[Maturity]],TODAY())-15</f>
        <v>1642</v>
      </c>
      <c r="Y85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56">
        <f>IF(Table1[[#This Row],[Ask Rate]]=0,0,Table1[[#This Row],[Face Value]]-Table1[[#This Row],[Ask Rate]])</f>
        <v>0</v>
      </c>
      <c r="AA85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56">
        <f>Table1[[#This Row],[Face Value]]*Table1[[#This Row],[Rate]]*Table1[[#This Row],[Time]]</f>
        <v>0</v>
      </c>
      <c r="AC856">
        <f>Table1[[#This Row],[SI]]+Table1[[#This Row],[Disc/Prem]]</f>
        <v>0</v>
      </c>
      <c r="AD856" s="3" t="e">
        <f>Table1[[#This Row],[Net Gain]]/Table1[[#This Row],[Ask Rate]]</f>
        <v>#DIV/0!</v>
      </c>
      <c r="AE856" s="3">
        <f>IF(Table1[[#This Row],[Ask Qty]]=0,0,Table1[[#This Row],[Gross Yield]]*365/Table1[[#This Row],[Days Left]])</f>
        <v>0</v>
      </c>
      <c r="AF856" s="9">
        <f>+Table1[[#This Row],[Net Gain]]*Table1[[#This Row],[Ask Qty]]</f>
        <v>0</v>
      </c>
      <c r="AG856" t="str">
        <f>IF(Table1[[#This Row],[YTM]]&gt;0.12,IF(Table1[[#This Row],[Gross Profit]]&gt;10000,"Invest","Review"),"Low YTM")</f>
        <v>Low YTM</v>
      </c>
    </row>
    <row r="857" spans="1:33" x14ac:dyDescent="0.3">
      <c r="A857" t="str">
        <f>RTD("nest.scriprtd",,"bse_cm|975KLMAF26","Symbol")</f>
        <v>975KLMAF26</v>
      </c>
      <c r="B857" t="str">
        <f>RTD("nest.scriprtd",,"bse_cm|975KLMAF26","Trading Symbol")</f>
        <v>975KLMAF26</v>
      </c>
      <c r="C857" t="str">
        <f>RTD("nest.scriprtd",,"bse_cm|975KLMAF26","Exchange")</f>
        <v>BSE</v>
      </c>
      <c r="D857">
        <f>RTD("nest.scriprtd",,"bse_cm|975KLMAF26","Bid Qty")</f>
        <v>17</v>
      </c>
      <c r="E857">
        <f>RTD("nest.scriprtd",,"bse_cm|975KLMAF26","Bid Rate")</f>
        <v>825.2</v>
      </c>
      <c r="F857">
        <f>RTD("nest.scriprtd",,"bse_cm|975KLMAF26","Ask Rate")</f>
        <v>0</v>
      </c>
      <c r="G857">
        <f>RTD("nest.scriprtd",,"bse_cm|975KLMAF26","Ask Qty")</f>
        <v>0</v>
      </c>
      <c r="H857">
        <f>RTD("nest.scriprtd",,"bse_cm|975KLMAF26","LTP")</f>
        <v>0</v>
      </c>
      <c r="I857" t="str">
        <f>RTD("nest.scriprtd",,"bse_cm|975KLMAF26","LTT")</f>
        <v>00:00:00</v>
      </c>
      <c r="J857">
        <f>RTD("nest.scriprtd",,"bse_cm|975KLMAF26","% Change")</f>
        <v>-100</v>
      </c>
      <c r="K857">
        <f>RTD("nest.scriprtd",,"bse_cm|975KLMAF26","ATP")</f>
        <v>0</v>
      </c>
      <c r="L857">
        <f>RTD("nest.scriprtd",,"bse_cm|975KLMAF26","Volume Traded Today")</f>
        <v>0</v>
      </c>
      <c r="M857">
        <f>RTD("nest.scriprtd",,"bse_cm|975KLMAF26","Open")</f>
        <v>0</v>
      </c>
      <c r="N857">
        <f>RTD("nest.scriprtd",,"bse_cm|975KLMAF26","High")</f>
        <v>0</v>
      </c>
      <c r="O857">
        <f>RTD("nest.scriprtd",,"bse_cm|975KLMAF26","Low ")</f>
        <v>0</v>
      </c>
      <c r="P857">
        <f>RTD("nest.scriprtd",,"bse_cm|975KLMAF26","Prev Close")</f>
        <v>1000</v>
      </c>
      <c r="Q857">
        <f>RTD("nest.scriprtd",,"bse_cm|975KLMAF26","Face Value")</f>
        <v>1000</v>
      </c>
      <c r="R857" t="str">
        <f>RTD("nest.scriprtd",,"bse_cm|975KLMAF26","Isin code")</f>
        <v>INE01I507729</v>
      </c>
      <c r="S857" s="9">
        <f>Table1[[#This Row],[Ask Rate]]*Table1[[#This Row],[Ask Qty]]</f>
        <v>0</v>
      </c>
      <c r="T857">
        <f>VLOOKUP(Table1[[#This Row],[Isin code]],Table2[#All],7,FALSE)</f>
        <v>9.75</v>
      </c>
      <c r="U857" s="17" t="str">
        <f>VLOOKUP(Table1[[#This Row],[Isin code]],Table2[#All],8,FALSE)</f>
        <v>09-Mar-2026</v>
      </c>
      <c r="V857" s="10">
        <f ca="1">Table1[[#This Row],[Maturity]]-TODAY()</f>
        <v>509</v>
      </c>
      <c r="W857" t="str">
        <f>VLOOKUP(Table1[[#This Row],[Isin code]],Table2[#All],10,FALSE)</f>
        <v>Yearly</v>
      </c>
      <c r="X857">
        <f ca="1">_xlfn.DAYS(Table1[[#This Row],[Maturity]],TODAY())-15</f>
        <v>494</v>
      </c>
      <c r="Y8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857">
        <f>IF(Table1[[#This Row],[Ask Rate]]=0,0,Table1[[#This Row],[Face Value]]-Table1[[#This Row],[Ask Rate]])</f>
        <v>0</v>
      </c>
      <c r="AA857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857">
        <f ca="1">Table1[[#This Row],[Face Value]]*Table1[[#This Row],[Rate]]*Table1[[#This Row],[Time]]</f>
        <v>195</v>
      </c>
      <c r="AC857">
        <f ca="1">Table1[[#This Row],[SI]]+Table1[[#This Row],[Disc/Prem]]</f>
        <v>195</v>
      </c>
      <c r="AD857" s="3" t="e">
        <f ca="1">Table1[[#This Row],[Net Gain]]/Table1[[#This Row],[Ask Rate]]</f>
        <v>#DIV/0!</v>
      </c>
      <c r="AE857" s="3">
        <f>IF(Table1[[#This Row],[Ask Qty]]=0,0,Table1[[#This Row],[Gross Yield]]*365/Table1[[#This Row],[Days Left]])</f>
        <v>0</v>
      </c>
      <c r="AF857" s="9">
        <f ca="1">+Table1[[#This Row],[Net Gain]]*Table1[[#This Row],[Ask Qty]]</f>
        <v>0</v>
      </c>
      <c r="AG857" t="str">
        <f>IF(Table1[[#This Row],[YTM]]&gt;0.12,IF(Table1[[#This Row],[Gross Profit]]&gt;10000,"Invest","Review"),"Low YTM")</f>
        <v>Low YTM</v>
      </c>
    </row>
    <row r="858" spans="1:33" x14ac:dyDescent="0.3">
      <c r="A858" t="str">
        <f>RTD("nest.scriprtd",,"bse_cm|975KLM25","Symbol")</f>
        <v>975KLM25</v>
      </c>
      <c r="B858" t="str">
        <f>RTD("nest.scriprtd",,"bse_cm|975KLM25","Trading Symbol")</f>
        <v>975KLM25</v>
      </c>
      <c r="C858" t="str">
        <f>RTD("nest.scriprtd",,"bse_cm|975KLM25","Exchange")</f>
        <v>BSE</v>
      </c>
      <c r="D858">
        <f>RTD("nest.scriprtd",,"bse_cm|975KLM25","Bid Qty")</f>
        <v>20</v>
      </c>
      <c r="E858">
        <f>RTD("nest.scriprtd",,"bse_cm|975KLM25","Bid Rate")</f>
        <v>836.2</v>
      </c>
      <c r="F858">
        <f>RTD("nest.scriprtd",,"bse_cm|975KLM25","Ask Rate")</f>
        <v>0</v>
      </c>
      <c r="G858">
        <f>RTD("nest.scriprtd",,"bse_cm|975KLM25","Ask Qty")</f>
        <v>0</v>
      </c>
      <c r="H858">
        <f>RTD("nest.scriprtd",,"bse_cm|975KLM25","LTP")</f>
        <v>0</v>
      </c>
      <c r="I858" t="str">
        <f>RTD("nest.scriprtd",,"bse_cm|975KLM25","LTT")</f>
        <v>00:00:00</v>
      </c>
      <c r="J858">
        <f>RTD("nest.scriprtd",,"bse_cm|975KLM25","% Change")</f>
        <v>-100</v>
      </c>
      <c r="K858">
        <f>RTD("nest.scriprtd",,"bse_cm|975KLM25","ATP")</f>
        <v>0</v>
      </c>
      <c r="L858">
        <f>RTD("nest.scriprtd",,"bse_cm|975KLM25","Volume Traded Today")</f>
        <v>0</v>
      </c>
      <c r="M858">
        <f>RTD("nest.scriprtd",,"bse_cm|975KLM25","Open")</f>
        <v>0</v>
      </c>
      <c r="N858">
        <f>RTD("nest.scriprtd",,"bse_cm|975KLM25","High")</f>
        <v>0</v>
      </c>
      <c r="O858">
        <f>RTD("nest.scriprtd",,"bse_cm|975KLM25","Low ")</f>
        <v>0</v>
      </c>
      <c r="P858">
        <f>RTD("nest.scriprtd",,"bse_cm|975KLM25","Prev Close")</f>
        <v>1000</v>
      </c>
      <c r="Q858">
        <f>RTD("nest.scriprtd",,"bse_cm|975KLM25","Face Value")</f>
        <v>1000</v>
      </c>
      <c r="R858" t="str">
        <f>RTD("nest.scriprtd",,"bse_cm|975KLM25","Isin code")</f>
        <v>INE01I507646</v>
      </c>
      <c r="S858" s="9">
        <f>Table1[[#This Row],[Ask Rate]]*Table1[[#This Row],[Ask Qty]]</f>
        <v>0</v>
      </c>
      <c r="T858">
        <f>VLOOKUP(Table1[[#This Row],[Isin code]],Table2[#All],7,FALSE)</f>
        <v>9.75</v>
      </c>
      <c r="U858" s="17" t="str">
        <f>VLOOKUP(Table1[[#This Row],[Isin code]],Table2[#All],8,FALSE)</f>
        <v>17-Oct-2025</v>
      </c>
      <c r="V858" s="10">
        <f ca="1">Table1[[#This Row],[Maturity]]-TODAY()</f>
        <v>366</v>
      </c>
      <c r="W858" t="str">
        <f>VLOOKUP(Table1[[#This Row],[Isin code]],Table2[#All],10,FALSE)</f>
        <v>Yearly</v>
      </c>
      <c r="X858">
        <f ca="1">_xlfn.DAYS(Table1[[#This Row],[Maturity]],TODAY())-15</f>
        <v>351</v>
      </c>
      <c r="Y8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858">
        <f>IF(Table1[[#This Row],[Ask Rate]]=0,0,Table1[[#This Row],[Face Value]]-Table1[[#This Row],[Ask Rate]])</f>
        <v>0</v>
      </c>
      <c r="AA858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858">
        <f ca="1">Table1[[#This Row],[Face Value]]*Table1[[#This Row],[Rate]]*Table1[[#This Row],[Time]]</f>
        <v>97.5</v>
      </c>
      <c r="AC858">
        <f ca="1">Table1[[#This Row],[SI]]+Table1[[#This Row],[Disc/Prem]]</f>
        <v>97.5</v>
      </c>
      <c r="AD858" s="3" t="e">
        <f ca="1">Table1[[#This Row],[Net Gain]]/Table1[[#This Row],[Ask Rate]]</f>
        <v>#DIV/0!</v>
      </c>
      <c r="AE858" s="3">
        <f>IF(Table1[[#This Row],[Ask Qty]]=0,0,Table1[[#This Row],[Gross Yield]]*365/Table1[[#This Row],[Days Left]])</f>
        <v>0</v>
      </c>
      <c r="AF858" s="9">
        <f ca="1">+Table1[[#This Row],[Net Gain]]*Table1[[#This Row],[Ask Qty]]</f>
        <v>0</v>
      </c>
      <c r="AG858" t="str">
        <f>IF(Table1[[#This Row],[YTM]]&gt;0.12,IF(Table1[[#This Row],[Gross Profit]]&gt;10000,"Invest","Review"),"Low YTM")</f>
        <v>Low YTM</v>
      </c>
    </row>
    <row r="859" spans="1:33" x14ac:dyDescent="0.3">
      <c r="A859" t="str">
        <f>RTD("nest.scriprtd",,"bse_cm|975KAFL26","Symbol")</f>
        <v>975KAFL26</v>
      </c>
      <c r="B859" t="str">
        <f>RTD("nest.scriprtd",,"bse_cm|975KAFL26","Trading Symbol")</f>
        <v>975KAFL26</v>
      </c>
      <c r="C859" t="str">
        <f>RTD("nest.scriprtd",,"bse_cm|975KAFL26","Exchange")</f>
        <v>BSE</v>
      </c>
      <c r="D859">
        <f>RTD("nest.scriprtd",,"bse_cm|975KAFL26","Bid Qty")</f>
        <v>4</v>
      </c>
      <c r="E859">
        <f>RTD("nest.scriprtd",,"bse_cm|975KAFL26","Bid Rate")</f>
        <v>901.7</v>
      </c>
      <c r="F859">
        <f>RTD("nest.scriprtd",,"bse_cm|975KAFL26","Ask Rate")</f>
        <v>0</v>
      </c>
      <c r="G859">
        <f>RTD("nest.scriprtd",,"bse_cm|975KAFL26","Ask Qty")</f>
        <v>0</v>
      </c>
      <c r="H859">
        <f>RTD("nest.scriprtd",,"bse_cm|975KAFL26","LTP")</f>
        <v>0</v>
      </c>
      <c r="I859" t="str">
        <f>RTD("nest.scriprtd",,"bse_cm|975KAFL26","LTT")</f>
        <v>00:00:00</v>
      </c>
      <c r="J859">
        <f>RTD("nest.scriprtd",,"bse_cm|975KAFL26","% Change")</f>
        <v>-100</v>
      </c>
      <c r="K859">
        <f>RTD("nest.scriprtd",,"bse_cm|975KAFL26","ATP")</f>
        <v>0</v>
      </c>
      <c r="L859">
        <f>RTD("nest.scriprtd",,"bse_cm|975KAFL26","Volume Traded Today")</f>
        <v>0</v>
      </c>
      <c r="M859">
        <f>RTD("nest.scriprtd",,"bse_cm|975KAFL26","Open")</f>
        <v>0</v>
      </c>
      <c r="N859">
        <f>RTD("nest.scriprtd",,"bse_cm|975KAFL26","High")</f>
        <v>970</v>
      </c>
      <c r="O859">
        <f>RTD("nest.scriprtd",,"bse_cm|975KAFL26","Low ")</f>
        <v>970</v>
      </c>
      <c r="P859">
        <f>RTD("nest.scriprtd",,"bse_cm|975KAFL26","Prev Close")</f>
        <v>970</v>
      </c>
      <c r="Q859">
        <f>RTD("nest.scriprtd",,"bse_cm|975KAFL26","Face Value")</f>
        <v>1000</v>
      </c>
      <c r="R859" t="str">
        <f>RTD("nest.scriprtd",,"bse_cm|975KAFL26","Isin code")</f>
        <v>INE01I507869</v>
      </c>
      <c r="S859" s="9">
        <f>Table1[[#This Row],[Ask Rate]]*Table1[[#This Row],[Ask Qty]]</f>
        <v>0</v>
      </c>
      <c r="T859">
        <f>VLOOKUP(Table1[[#This Row],[Isin code]],Table2[#All],7,FALSE)</f>
        <v>9.75</v>
      </c>
      <c r="U859" s="17" t="str">
        <f>VLOOKUP(Table1[[#This Row],[Isin code]],Table2[#All],8,FALSE)</f>
        <v>11-Sep-2026</v>
      </c>
      <c r="V859" s="10">
        <f ca="1">Table1[[#This Row],[Maturity]]-TODAY()</f>
        <v>695</v>
      </c>
      <c r="W859" t="str">
        <f>VLOOKUP(Table1[[#This Row],[Isin code]],Table2[#All],10,FALSE)</f>
        <v>Monthly</v>
      </c>
      <c r="X859">
        <f ca="1">_xlfn.DAYS(Table1[[#This Row],[Maturity]],TODAY())-15</f>
        <v>680</v>
      </c>
      <c r="Y8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23</v>
      </c>
      <c r="Z859">
        <f>IF(Table1[[#This Row],[Ask Rate]]=0,0,Table1[[#This Row],[Face Value]]-Table1[[#This Row],[Ask Rate]])</f>
        <v>0</v>
      </c>
      <c r="AA859">
        <f>IF(Table1[[#This Row],[Freq]]="Yearly",Table1[[#This Row],[Coupon_Rate]]/100,IF(Table1[[#This Row],[Freq]]="Monthly",Table1[[#This Row],[Coupon_Rate]]/1200,IF(Table1[[#This Row],[Freq]]="Quarterly",Table1[[#This Row],[Coupon_Rate]]/400,0)))</f>
        <v>8.1250000000000003E-3</v>
      </c>
      <c r="AB859">
        <f ca="1">Table1[[#This Row],[Face Value]]*Table1[[#This Row],[Rate]]*Table1[[#This Row],[Time]]</f>
        <v>186.875</v>
      </c>
      <c r="AC859">
        <f ca="1">Table1[[#This Row],[SI]]+Table1[[#This Row],[Disc/Prem]]</f>
        <v>186.875</v>
      </c>
      <c r="AD859" s="3" t="e">
        <f ca="1">Table1[[#This Row],[Net Gain]]/Table1[[#This Row],[Ask Rate]]</f>
        <v>#DIV/0!</v>
      </c>
      <c r="AE859" s="3">
        <f>IF(Table1[[#This Row],[Ask Qty]]=0,0,Table1[[#This Row],[Gross Yield]]*365/Table1[[#This Row],[Days Left]])</f>
        <v>0</v>
      </c>
      <c r="AF859" s="9">
        <f ca="1">+Table1[[#This Row],[Net Gain]]*Table1[[#This Row],[Ask Qty]]</f>
        <v>0</v>
      </c>
      <c r="AG859" t="str">
        <f>IF(Table1[[#This Row],[YTM]]&gt;0.12,IF(Table1[[#This Row],[Gross Profit]]&gt;10000,"Invest","Review"),"Low YTM")</f>
        <v>Low YTM</v>
      </c>
    </row>
    <row r="860" spans="1:33" x14ac:dyDescent="0.3">
      <c r="A860" t="str">
        <f>RTD("nest.scriprtd",,"bse_cm|975KAFL25","Symbol")</f>
        <v>975KAFL25</v>
      </c>
      <c r="B860" t="str">
        <f>RTD("nest.scriprtd",,"bse_cm|975KAFL25","Trading Symbol")</f>
        <v>975KAFL25</v>
      </c>
      <c r="C860" t="str">
        <f>RTD("nest.scriprtd",,"bse_cm|975KAFL25","Exchange")</f>
        <v>BSE</v>
      </c>
      <c r="D860">
        <f>RTD("nest.scriprtd",,"bse_cm|975KAFL25","Bid Qty")</f>
        <v>12</v>
      </c>
      <c r="E860">
        <f>RTD("nest.scriprtd",,"bse_cm|975KAFL25","Bid Rate")</f>
        <v>835.15</v>
      </c>
      <c r="F860">
        <f>RTD("nest.scriprtd",,"bse_cm|975KAFL25","Ask Rate")</f>
        <v>0</v>
      </c>
      <c r="G860">
        <f>RTD("nest.scriprtd",,"bse_cm|975KAFL25","Ask Qty")</f>
        <v>0</v>
      </c>
      <c r="H860">
        <f>RTD("nest.scriprtd",,"bse_cm|975KAFL25","LTP")</f>
        <v>0</v>
      </c>
      <c r="I860" t="str">
        <f>RTD("nest.scriprtd",,"bse_cm|975KAFL25","LTT")</f>
        <v>00:00:00</v>
      </c>
      <c r="J860">
        <f>RTD("nest.scriprtd",,"bse_cm|975KAFL25","% Change")</f>
        <v>-100</v>
      </c>
      <c r="K860">
        <f>RTD("nest.scriprtd",,"bse_cm|975KAFL25","ATP")</f>
        <v>0</v>
      </c>
      <c r="L860">
        <f>RTD("nest.scriprtd",,"bse_cm|975KAFL25","Volume Traded Today")</f>
        <v>0</v>
      </c>
      <c r="M860">
        <f>RTD("nest.scriprtd",,"bse_cm|975KAFL25","Open")</f>
        <v>0</v>
      </c>
      <c r="N860">
        <f>RTD("nest.scriprtd",,"bse_cm|975KAFL25","High")</f>
        <v>0</v>
      </c>
      <c r="O860">
        <f>RTD("nest.scriprtd",,"bse_cm|975KAFL25","Low ")</f>
        <v>0</v>
      </c>
      <c r="P860">
        <f>RTD("nest.scriprtd",,"bse_cm|975KAFL25","Prev Close")</f>
        <v>1000</v>
      </c>
      <c r="Q860">
        <f>RTD("nest.scriprtd",,"bse_cm|975KAFL25","Face Value")</f>
        <v>1000</v>
      </c>
      <c r="R860" t="str">
        <f>RTD("nest.scriprtd",,"bse_cm|975KAFL25","Isin code")</f>
        <v>INE01I507851</v>
      </c>
      <c r="S860" s="9">
        <f>Table1[[#This Row],[Ask Rate]]*Table1[[#This Row],[Ask Qty]]</f>
        <v>0</v>
      </c>
      <c r="T860">
        <f>VLOOKUP(Table1[[#This Row],[Isin code]],Table2[#All],7,FALSE)</f>
        <v>9.75</v>
      </c>
      <c r="U860" s="17" t="str">
        <f>VLOOKUP(Table1[[#This Row],[Isin code]],Table2[#All],8,FALSE)</f>
        <v>11-Sep-2025</v>
      </c>
      <c r="V860" s="10">
        <f ca="1">Table1[[#This Row],[Maturity]]-TODAY()</f>
        <v>330</v>
      </c>
      <c r="W860" t="str">
        <f>VLOOKUP(Table1[[#This Row],[Isin code]],Table2[#All],10,FALSE)</f>
        <v>Yearly</v>
      </c>
      <c r="X860">
        <f ca="1">_xlfn.DAYS(Table1[[#This Row],[Maturity]],TODAY())-15</f>
        <v>315</v>
      </c>
      <c r="Y8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860">
        <f>IF(Table1[[#This Row],[Ask Rate]]=0,0,Table1[[#This Row],[Face Value]]-Table1[[#This Row],[Ask Rate]])</f>
        <v>0</v>
      </c>
      <c r="AA860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860">
        <f ca="1">Table1[[#This Row],[Face Value]]*Table1[[#This Row],[Rate]]*Table1[[#This Row],[Time]]</f>
        <v>97.5</v>
      </c>
      <c r="AC860">
        <f ca="1">Table1[[#This Row],[SI]]+Table1[[#This Row],[Disc/Prem]]</f>
        <v>97.5</v>
      </c>
      <c r="AD860" s="3" t="e">
        <f ca="1">Table1[[#This Row],[Net Gain]]/Table1[[#This Row],[Ask Rate]]</f>
        <v>#DIV/0!</v>
      </c>
      <c r="AE860" s="3">
        <f>IF(Table1[[#This Row],[Ask Qty]]=0,0,Table1[[#This Row],[Gross Yield]]*365/Table1[[#This Row],[Days Left]])</f>
        <v>0</v>
      </c>
      <c r="AF860" s="9">
        <f ca="1">+Table1[[#This Row],[Net Gain]]*Table1[[#This Row],[Ask Qty]]</f>
        <v>0</v>
      </c>
      <c r="AG860" t="str">
        <f>IF(Table1[[#This Row],[YTM]]&gt;0.12,IF(Table1[[#This Row],[Gross Profit]]&gt;10000,"Invest","Review"),"Low YTM")</f>
        <v>Low YTM</v>
      </c>
    </row>
    <row r="861" spans="1:33" x14ac:dyDescent="0.3">
      <c r="A861" t="str">
        <f>RTD("nest.scriprtd",,"nse_cm|971SCL29A-ZN","Symbol")</f>
        <v>971SCL29A</v>
      </c>
      <c r="B861" t="str">
        <f>RTD("nest.scriprtd",,"nse_cm|971SCL29A-ZN","Trading Symbol")</f>
        <v>971SCL29A-ZN</v>
      </c>
      <c r="C861" t="str">
        <f>RTD("nest.scriprtd",,"nse_cm|971SCL29A-ZN","Exchange")</f>
        <v>NSE</v>
      </c>
      <c r="D861">
        <f>RTD("nest.scriprtd",,"nse_cm|971SCL29A-ZN","Bid Qty")</f>
        <v>20</v>
      </c>
      <c r="E861">
        <f>RTD("nest.scriprtd",,"nse_cm|971SCL29A-ZN","Bid Rate")</f>
        <v>815.2</v>
      </c>
      <c r="F861">
        <f>RTD("nest.scriprtd",,"nse_cm|971SCL29A-ZN","Ask Rate")</f>
        <v>0</v>
      </c>
      <c r="G861">
        <f>RTD("nest.scriprtd",,"nse_cm|971SCL29A-ZN","Ask Qty")</f>
        <v>0</v>
      </c>
      <c r="H861">
        <f>RTD("nest.scriprtd",,"nse_cm|971SCL29A-ZN","LTP")</f>
        <v>975</v>
      </c>
      <c r="I861" t="str">
        <f>RTD("nest.scriprtd",,"nse_cm|971SCL29A-ZN","LTT")</f>
        <v/>
      </c>
      <c r="J861">
        <f>RTD("nest.scriprtd",,"nse_cm|971SCL29A-ZN","% Change")</f>
        <v>0</v>
      </c>
      <c r="K861">
        <f>RTD("nest.scriprtd",,"nse_cm|971SCL29A-ZN","ATP")</f>
        <v>0</v>
      </c>
      <c r="L861">
        <f>RTD("nest.scriprtd",,"nse_cm|971SCL29A-ZN","Volume Traded Today")</f>
        <v>0</v>
      </c>
      <c r="M861">
        <f>RTD("nest.scriprtd",,"nse_cm|971SCL29A-ZN","Open")</f>
        <v>0</v>
      </c>
      <c r="N861">
        <f>RTD("nest.scriprtd",,"nse_cm|971SCL29A-ZN","High")</f>
        <v>979</v>
      </c>
      <c r="O861">
        <f>RTD("nest.scriprtd",,"nse_cm|971SCL29A-ZN","Low ")</f>
        <v>900.7</v>
      </c>
      <c r="P861">
        <f>RTD("nest.scriprtd",,"nse_cm|971SCL29A-ZN","Prev Close")</f>
        <v>975</v>
      </c>
      <c r="Q861">
        <f>RTD("nest.scriprtd",,"nse_cm|971SCL29A-ZN","Face Value")</f>
        <v>1000</v>
      </c>
      <c r="R861" t="str">
        <f>RTD("nest.scriprtd",,"nse_cm|971SCL29A-ZN","Isin code")</f>
        <v>INE148I07TG6</v>
      </c>
      <c r="S861" s="9">
        <f>Table1[[#This Row],[Ask Rate]]*Table1[[#This Row],[Ask Qty]]</f>
        <v>0</v>
      </c>
      <c r="T861">
        <f>VLOOKUP(Table1[[#This Row],[Isin code]],Table2[#All],7,FALSE)</f>
        <v>9.7100000000000009</v>
      </c>
      <c r="U861" s="17" t="str">
        <f>VLOOKUP(Table1[[#This Row],[Isin code]],Table2[#All],8,FALSE)</f>
        <v>31-May-2029</v>
      </c>
      <c r="V861" s="10">
        <f ca="1">Table1[[#This Row],[Maturity]]-TODAY()</f>
        <v>1688</v>
      </c>
      <c r="W861" t="str">
        <f>VLOOKUP(Table1[[#This Row],[Isin code]],Table2[#All],10,FALSE)</f>
        <v>Monthly</v>
      </c>
      <c r="X861">
        <f ca="1">_xlfn.DAYS(Table1[[#This Row],[Maturity]],TODAY())-15</f>
        <v>1673</v>
      </c>
      <c r="Y8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56</v>
      </c>
      <c r="Z861">
        <f>IF(Table1[[#This Row],[Ask Rate]]=0,0,Table1[[#This Row],[Face Value]]-Table1[[#This Row],[Ask Rate]])</f>
        <v>0</v>
      </c>
      <c r="AA861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861">
        <f ca="1">Table1[[#This Row],[Face Value]]*Table1[[#This Row],[Rate]]*Table1[[#This Row],[Time]]</f>
        <v>453.13333333333333</v>
      </c>
      <c r="AC861">
        <f ca="1">Table1[[#This Row],[SI]]+Table1[[#This Row],[Disc/Prem]]</f>
        <v>453.13333333333333</v>
      </c>
      <c r="AD861" s="3" t="e">
        <f ca="1">Table1[[#This Row],[Net Gain]]/Table1[[#This Row],[Ask Rate]]</f>
        <v>#DIV/0!</v>
      </c>
      <c r="AE861" s="3">
        <f>IF(Table1[[#This Row],[Ask Qty]]=0,0,Table1[[#This Row],[Gross Yield]]*365/Table1[[#This Row],[Days Left]])</f>
        <v>0</v>
      </c>
      <c r="AF861" s="9">
        <f ca="1">+Table1[[#This Row],[Net Gain]]*Table1[[#This Row],[Ask Qty]]</f>
        <v>0</v>
      </c>
      <c r="AG861" t="str">
        <f>IF(Table1[[#This Row],[YTM]]&gt;0.12,IF(Table1[[#This Row],[Gross Profit]]&gt;10000,"Invest","Review"),"Low YTM")</f>
        <v>Low YTM</v>
      </c>
    </row>
    <row r="862" spans="1:33" x14ac:dyDescent="0.3">
      <c r="A862" t="str">
        <f>RTD("nest.scriprtd",,"bse_cm|971SCL29A","Symbol")</f>
        <v>971SCL29A</v>
      </c>
      <c r="B862" t="str">
        <f>RTD("nest.scriprtd",,"bse_cm|971SCL29A","Trading Symbol")</f>
        <v>971SCL29A</v>
      </c>
      <c r="C862" t="str">
        <f>RTD("nest.scriprtd",,"bse_cm|971SCL29A","Exchange")</f>
        <v>BSE</v>
      </c>
      <c r="D862">
        <f>RTD("nest.scriprtd",,"bse_cm|971SCL29A","Bid Qty")</f>
        <v>50</v>
      </c>
      <c r="E862">
        <f>RTD("nest.scriprtd",,"bse_cm|971SCL29A","Bid Rate")</f>
        <v>905</v>
      </c>
      <c r="F862">
        <f>RTD("nest.scriprtd",,"bse_cm|971SCL29A","Ask Rate")</f>
        <v>0</v>
      </c>
      <c r="G862">
        <f>RTD("nest.scriprtd",,"bse_cm|971SCL29A","Ask Qty")</f>
        <v>0</v>
      </c>
      <c r="H862">
        <f>RTD("nest.scriprtd",,"bse_cm|971SCL29A","LTP")</f>
        <v>0</v>
      </c>
      <c r="I862" t="str">
        <f>RTD("nest.scriprtd",,"bse_cm|971SCL29A","LTT")</f>
        <v>00:00:00</v>
      </c>
      <c r="J862">
        <f>RTD("nest.scriprtd",,"bse_cm|971SCL29A","% Change")</f>
        <v>-100</v>
      </c>
      <c r="K862">
        <f>RTD("nest.scriprtd",,"bse_cm|971SCL29A","ATP")</f>
        <v>0</v>
      </c>
      <c r="L862">
        <f>RTD("nest.scriprtd",,"bse_cm|971SCL29A","Volume Traded Today")</f>
        <v>0</v>
      </c>
      <c r="M862">
        <f>RTD("nest.scriprtd",,"bse_cm|971SCL29A","Open")</f>
        <v>0</v>
      </c>
      <c r="N862">
        <f>RTD("nest.scriprtd",,"bse_cm|971SCL29A","High")</f>
        <v>979</v>
      </c>
      <c r="O862">
        <f>RTD("nest.scriprtd",,"bse_cm|971SCL29A","Low ")</f>
        <v>820.6</v>
      </c>
      <c r="P862">
        <f>RTD("nest.scriprtd",,"bse_cm|971SCL29A","Prev Close")</f>
        <v>979</v>
      </c>
      <c r="Q862">
        <f>RTD("nest.scriprtd",,"bse_cm|971SCL29A","Face Value")</f>
        <v>1000</v>
      </c>
      <c r="R862" t="str">
        <f>RTD("nest.scriprtd",,"bse_cm|971SCL29A","Isin code")</f>
        <v>INE148I07TG6</v>
      </c>
      <c r="S862" s="9">
        <f>Table1[[#This Row],[Ask Rate]]*Table1[[#This Row],[Ask Qty]]</f>
        <v>0</v>
      </c>
      <c r="T862">
        <f>VLOOKUP(Table1[[#This Row],[Isin code]],Table2[#All],7,FALSE)</f>
        <v>9.7100000000000009</v>
      </c>
      <c r="U862" s="17" t="str">
        <f>VLOOKUP(Table1[[#This Row],[Isin code]],Table2[#All],8,FALSE)</f>
        <v>31-May-2029</v>
      </c>
      <c r="V862" s="10">
        <f ca="1">Table1[[#This Row],[Maturity]]-TODAY()</f>
        <v>1688</v>
      </c>
      <c r="W862" t="str">
        <f>VLOOKUP(Table1[[#This Row],[Isin code]],Table2[#All],10,FALSE)</f>
        <v>Monthly</v>
      </c>
      <c r="X862">
        <f ca="1">_xlfn.DAYS(Table1[[#This Row],[Maturity]],TODAY())-15</f>
        <v>1673</v>
      </c>
      <c r="Y8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56</v>
      </c>
      <c r="Z862">
        <f>IF(Table1[[#This Row],[Ask Rate]]=0,0,Table1[[#This Row],[Face Value]]-Table1[[#This Row],[Ask Rate]])</f>
        <v>0</v>
      </c>
      <c r="AA862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862">
        <f ca="1">Table1[[#This Row],[Face Value]]*Table1[[#This Row],[Rate]]*Table1[[#This Row],[Time]]</f>
        <v>453.13333333333333</v>
      </c>
      <c r="AC862">
        <f ca="1">Table1[[#This Row],[SI]]+Table1[[#This Row],[Disc/Prem]]</f>
        <v>453.13333333333333</v>
      </c>
      <c r="AD862" s="3" t="e">
        <f ca="1">Table1[[#This Row],[Net Gain]]/Table1[[#This Row],[Ask Rate]]</f>
        <v>#DIV/0!</v>
      </c>
      <c r="AE862" s="3">
        <f>IF(Table1[[#This Row],[Ask Qty]]=0,0,Table1[[#This Row],[Gross Yield]]*365/Table1[[#This Row],[Days Left]])</f>
        <v>0</v>
      </c>
      <c r="AF862" s="9">
        <f ca="1">+Table1[[#This Row],[Net Gain]]*Table1[[#This Row],[Ask Qty]]</f>
        <v>0</v>
      </c>
      <c r="AG862" t="str">
        <f>IF(Table1[[#This Row],[YTM]]&gt;0.12,IF(Table1[[#This Row],[Gross Profit]]&gt;10000,"Invest","Review"),"Low YTM")</f>
        <v>Low YTM</v>
      </c>
    </row>
    <row r="863" spans="1:33" x14ac:dyDescent="0.3">
      <c r="A863" t="str">
        <f>RTD("nest.scriprtd",,"bse_cm|10SFL27","Symbol")</f>
        <v>10SFL27</v>
      </c>
      <c r="B863" t="str">
        <f>RTD("nest.scriprtd",,"bse_cm|10SFL27","Trading Symbol")</f>
        <v>10SFL27</v>
      </c>
      <c r="C863" t="str">
        <f>RTD("nest.scriprtd",,"bse_cm|10SFL27","Exchange")</f>
        <v>BSE</v>
      </c>
      <c r="D863">
        <f>RTD("nest.scriprtd",,"bse_cm|10SFL27","Bid Qty")</f>
        <v>14</v>
      </c>
      <c r="E863">
        <f>RTD("nest.scriprtd",,"bse_cm|10SFL27","Bid Rate")</f>
        <v>832.9</v>
      </c>
      <c r="F863">
        <f>RTD("nest.scriprtd",,"bse_cm|10SFL27","Ask Rate")</f>
        <v>0</v>
      </c>
      <c r="G863">
        <f>RTD("nest.scriprtd",,"bse_cm|10SFL27","Ask Qty")</f>
        <v>0</v>
      </c>
      <c r="H863">
        <f>RTD("nest.scriprtd",,"bse_cm|10SFL27","LTP")</f>
        <v>0</v>
      </c>
      <c r="I863" t="str">
        <f>RTD("nest.scriprtd",,"bse_cm|10SFL27","LTT")</f>
        <v>00:00:00</v>
      </c>
      <c r="J863">
        <f>RTD("nest.scriprtd",,"bse_cm|10SFL27","% Change")</f>
        <v>-100</v>
      </c>
      <c r="K863">
        <f>RTD("nest.scriprtd",,"bse_cm|10SFL27","ATP")</f>
        <v>0</v>
      </c>
      <c r="L863">
        <f>RTD("nest.scriprtd",,"bse_cm|10SFL27","Volume Traded Today")</f>
        <v>0</v>
      </c>
      <c r="M863">
        <f>RTD("nest.scriprtd",,"bse_cm|10SFL27","Open")</f>
        <v>0</v>
      </c>
      <c r="N863">
        <f>RTD("nest.scriprtd",,"bse_cm|10SFL27","High")</f>
        <v>1010</v>
      </c>
      <c r="O863">
        <f>RTD("nest.scriprtd",,"bse_cm|10SFL27","Low ")</f>
        <v>1010</v>
      </c>
      <c r="P863">
        <f>RTD("nest.scriprtd",,"bse_cm|10SFL27","Prev Close")</f>
        <v>1010</v>
      </c>
      <c r="Q863">
        <f>RTD("nest.scriprtd",,"bse_cm|10SFL27","Face Value")</f>
        <v>1000</v>
      </c>
      <c r="R863" t="str">
        <f>RTD("nest.scriprtd",,"bse_cm|10SFL27","Isin code")</f>
        <v>INE302E07466</v>
      </c>
      <c r="S863" s="9">
        <f>Table1[[#This Row],[Ask Rate]]*Table1[[#This Row],[Ask Qty]]</f>
        <v>0</v>
      </c>
      <c r="T863">
        <f>VLOOKUP(Table1[[#This Row],[Isin code]],Table2[#All],7,FALSE)</f>
        <v>10</v>
      </c>
      <c r="U863" s="17" t="str">
        <f>VLOOKUP(Table1[[#This Row],[Isin code]],Table2[#All],8,FALSE)</f>
        <v>29-Apr-2027</v>
      </c>
      <c r="V863" s="10">
        <f ca="1">Table1[[#This Row],[Maturity]]-TODAY()</f>
        <v>925</v>
      </c>
      <c r="W863" t="str">
        <f>VLOOKUP(Table1[[#This Row],[Isin code]],Table2[#All],10,FALSE)</f>
        <v>Monthly</v>
      </c>
      <c r="X863">
        <f ca="1">_xlfn.DAYS(Table1[[#This Row],[Maturity]],TODAY())-15</f>
        <v>910</v>
      </c>
      <c r="Y8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863">
        <f>IF(Table1[[#This Row],[Ask Rate]]=0,0,Table1[[#This Row],[Face Value]]-Table1[[#This Row],[Ask Rate]])</f>
        <v>0</v>
      </c>
      <c r="AA863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863">
        <f ca="1">Table1[[#This Row],[Face Value]]*Table1[[#This Row],[Rate]]*Table1[[#This Row],[Time]]</f>
        <v>258.33333333333337</v>
      </c>
      <c r="AC863">
        <f ca="1">Table1[[#This Row],[SI]]+Table1[[#This Row],[Disc/Prem]]</f>
        <v>258.33333333333337</v>
      </c>
      <c r="AD863" s="3" t="e">
        <f ca="1">Table1[[#This Row],[Net Gain]]/Table1[[#This Row],[Ask Rate]]</f>
        <v>#DIV/0!</v>
      </c>
      <c r="AE863" s="3">
        <f>IF(Table1[[#This Row],[Ask Qty]]=0,0,Table1[[#This Row],[Gross Yield]]*365/Table1[[#This Row],[Days Left]])</f>
        <v>0</v>
      </c>
      <c r="AF863" s="9">
        <f ca="1">+Table1[[#This Row],[Net Gain]]*Table1[[#This Row],[Ask Qty]]</f>
        <v>0</v>
      </c>
      <c r="AG863" t="str">
        <f>IF(Table1[[#This Row],[YTM]]&gt;0.12,IF(Table1[[#This Row],[Gross Profit]]&gt;10000,"Invest","Review"),"Low YTM")</f>
        <v>Low YTM</v>
      </c>
    </row>
    <row r="864" spans="1:33" x14ac:dyDescent="0.3">
      <c r="A864" t="str">
        <f>RTD("nest.scriprtd",,"nse_cm|10SCL31A-ZO","Symbol")</f>
        <v>10SCL31A</v>
      </c>
      <c r="B864" t="str">
        <f>RTD("nest.scriprtd",,"nse_cm|10SCL31A-ZO","Trading Symbol")</f>
        <v>10SCL31A-ZO</v>
      </c>
      <c r="C864" t="str">
        <f>RTD("nest.scriprtd",,"nse_cm|10SCL31A-ZO","Exchange")</f>
        <v>NSE</v>
      </c>
      <c r="D864">
        <f>RTD("nest.scriprtd",,"nse_cm|10SCL31A-ZO","Bid Qty")</f>
        <v>10</v>
      </c>
      <c r="E864">
        <f>RTD("nest.scriprtd",,"nse_cm|10SCL31A-ZO","Bid Rate")</f>
        <v>816</v>
      </c>
      <c r="F864">
        <f>RTD("nest.scriprtd",,"nse_cm|10SCL31A-ZO","Ask Rate")</f>
        <v>0</v>
      </c>
      <c r="G864">
        <f>RTD("nest.scriprtd",,"nse_cm|10SCL31A-ZO","Ask Qty")</f>
        <v>0</v>
      </c>
      <c r="H864">
        <f>RTD("nest.scriprtd",,"nse_cm|10SCL31A-ZO","LTP")</f>
        <v>0</v>
      </c>
      <c r="I864" t="str">
        <f>RTD("nest.scriprtd",,"nse_cm|10SCL31A-ZO","LTT")</f>
        <v/>
      </c>
      <c r="J864">
        <f>RTD("nest.scriprtd",,"nse_cm|10SCL31A-ZO","% Change")</f>
        <v>-100</v>
      </c>
      <c r="K864">
        <f>RTD("nest.scriprtd",,"nse_cm|10SCL31A-ZO","ATP")</f>
        <v>0</v>
      </c>
      <c r="L864">
        <f>RTD("nest.scriprtd",,"nse_cm|10SCL31A-ZO","Volume Traded Today")</f>
        <v>0</v>
      </c>
      <c r="M864">
        <f>RTD("nest.scriprtd",,"nse_cm|10SCL31A-ZO","Open")</f>
        <v>0</v>
      </c>
      <c r="N864">
        <f>RTD("nest.scriprtd",,"nse_cm|10SCL31A-ZO","High")</f>
        <v>0</v>
      </c>
      <c r="O864">
        <f>RTD("nest.scriprtd",,"nse_cm|10SCL31A-ZO","Low ")</f>
        <v>0</v>
      </c>
      <c r="P864">
        <f>RTD("nest.scriprtd",,"nse_cm|10SCL31A-ZO","Prev Close")</f>
        <v>1000</v>
      </c>
      <c r="Q864">
        <f>RTD("nest.scriprtd",,"nse_cm|10SCL31A-ZO","Face Value")</f>
        <v>1000</v>
      </c>
      <c r="R864" t="str">
        <f>RTD("nest.scriprtd",,"nse_cm|10SCL31A-ZO","Isin code")</f>
        <v>INE148I07TO0</v>
      </c>
      <c r="S864" s="9">
        <f>Table1[[#This Row],[Ask Rate]]*Table1[[#This Row],[Ask Qty]]</f>
        <v>0</v>
      </c>
      <c r="T864">
        <f>VLOOKUP(Table1[[#This Row],[Isin code]],Table2[#All],7,FALSE)</f>
        <v>10</v>
      </c>
      <c r="U864" s="17" t="str">
        <f>VLOOKUP(Table1[[#This Row],[Isin code]],Table2[#All],8,FALSE)</f>
        <v>31-May-2031</v>
      </c>
      <c r="V864" s="10">
        <f ca="1">Table1[[#This Row],[Maturity]]-TODAY()</f>
        <v>2418</v>
      </c>
      <c r="W864" t="str">
        <f>VLOOKUP(Table1[[#This Row],[Isin code]],Table2[#All],10,FALSE)</f>
        <v>Yearly</v>
      </c>
      <c r="X864">
        <f ca="1">_xlfn.DAYS(Table1[[#This Row],[Maturity]],TODAY())-15</f>
        <v>2403</v>
      </c>
      <c r="Y8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864">
        <f>IF(Table1[[#This Row],[Ask Rate]]=0,0,Table1[[#This Row],[Face Value]]-Table1[[#This Row],[Ask Rate]])</f>
        <v>0</v>
      </c>
      <c r="AA864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864">
        <f ca="1">Table1[[#This Row],[Face Value]]*Table1[[#This Row],[Rate]]*Table1[[#This Row],[Time]]</f>
        <v>700</v>
      </c>
      <c r="AC864">
        <f ca="1">Table1[[#This Row],[SI]]+Table1[[#This Row],[Disc/Prem]]</f>
        <v>700</v>
      </c>
      <c r="AD864" s="3" t="e">
        <f ca="1">Table1[[#This Row],[Net Gain]]/Table1[[#This Row],[Ask Rate]]</f>
        <v>#DIV/0!</v>
      </c>
      <c r="AE864" s="3">
        <f>IF(Table1[[#This Row],[Ask Qty]]=0,0,Table1[[#This Row],[Gross Yield]]*365/Table1[[#This Row],[Days Left]])</f>
        <v>0</v>
      </c>
      <c r="AF864" s="9">
        <f ca="1">+Table1[[#This Row],[Net Gain]]*Table1[[#This Row],[Ask Qty]]</f>
        <v>0</v>
      </c>
      <c r="AG864" t="str">
        <f>IF(Table1[[#This Row],[YTM]]&gt;0.12,IF(Table1[[#This Row],[Gross Profit]]&gt;10000,"Invest","Review"),"Low YTM")</f>
        <v>Low YTM</v>
      </c>
    </row>
    <row r="865" spans="1:33" x14ac:dyDescent="0.3">
      <c r="A865" t="str">
        <f>RTD("nest.scriprtd",,"bse_cm|10SCL31A","Symbol")</f>
        <v>10SCL31A</v>
      </c>
      <c r="B865" t="str">
        <f>RTD("nest.scriprtd",,"bse_cm|10SCL31A","Trading Symbol")</f>
        <v>10SCL31A</v>
      </c>
      <c r="C865" t="str">
        <f>RTD("nest.scriprtd",,"bse_cm|10SCL31A","Exchange")</f>
        <v>BSE</v>
      </c>
      <c r="D865">
        <f>RTD("nest.scriprtd",,"bse_cm|10SCL31A","Bid Qty")</f>
        <v>20</v>
      </c>
      <c r="E865">
        <f>RTD("nest.scriprtd",,"bse_cm|10SCL31A","Bid Rate")</f>
        <v>812.2</v>
      </c>
      <c r="F865">
        <f>RTD("nest.scriprtd",,"bse_cm|10SCL31A","Ask Rate")</f>
        <v>0</v>
      </c>
      <c r="G865">
        <f>RTD("nest.scriprtd",,"bse_cm|10SCL31A","Ask Qty")</f>
        <v>0</v>
      </c>
      <c r="H865">
        <f>RTD("nest.scriprtd",,"bse_cm|10SCL31A","LTP")</f>
        <v>0</v>
      </c>
      <c r="I865" t="str">
        <f>RTD("nest.scriprtd",,"bse_cm|10SCL31A","LTT")</f>
        <v>00:00:00</v>
      </c>
      <c r="J865">
        <f>RTD("nest.scriprtd",,"bse_cm|10SCL31A","% Change")</f>
        <v>-100</v>
      </c>
      <c r="K865">
        <f>RTD("nest.scriprtd",,"bse_cm|10SCL31A","ATP")</f>
        <v>0</v>
      </c>
      <c r="L865">
        <f>RTD("nest.scriprtd",,"bse_cm|10SCL31A","Volume Traded Today")</f>
        <v>0</v>
      </c>
      <c r="M865">
        <f>RTD("nest.scriprtd",,"bse_cm|10SCL31A","Open")</f>
        <v>0</v>
      </c>
      <c r="N865">
        <f>RTD("nest.scriprtd",,"bse_cm|10SCL31A","High")</f>
        <v>0</v>
      </c>
      <c r="O865">
        <f>RTD("nest.scriprtd",,"bse_cm|10SCL31A","Low ")</f>
        <v>0</v>
      </c>
      <c r="P865">
        <f>RTD("nest.scriprtd",,"bse_cm|10SCL31A","Prev Close")</f>
        <v>1000</v>
      </c>
      <c r="Q865">
        <f>RTD("nest.scriprtd",,"bse_cm|10SCL31A","Face Value")</f>
        <v>1000</v>
      </c>
      <c r="R865" t="str">
        <f>RTD("nest.scriprtd",,"bse_cm|10SCL31A","Isin code")</f>
        <v>INE148I07TO0</v>
      </c>
      <c r="S865" s="9">
        <f>Table1[[#This Row],[Ask Rate]]*Table1[[#This Row],[Ask Qty]]</f>
        <v>0</v>
      </c>
      <c r="T865">
        <f>VLOOKUP(Table1[[#This Row],[Isin code]],Table2[#All],7,FALSE)</f>
        <v>10</v>
      </c>
      <c r="U865" s="17" t="str">
        <f>VLOOKUP(Table1[[#This Row],[Isin code]],Table2[#All],8,FALSE)</f>
        <v>31-May-2031</v>
      </c>
      <c r="V865" s="10">
        <f ca="1">Table1[[#This Row],[Maturity]]-TODAY()</f>
        <v>2418</v>
      </c>
      <c r="W865" t="str">
        <f>VLOOKUP(Table1[[#This Row],[Isin code]],Table2[#All],10,FALSE)</f>
        <v>Yearly</v>
      </c>
      <c r="X865">
        <f ca="1">_xlfn.DAYS(Table1[[#This Row],[Maturity]],TODAY())-15</f>
        <v>2403</v>
      </c>
      <c r="Y8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865">
        <f>IF(Table1[[#This Row],[Ask Rate]]=0,0,Table1[[#This Row],[Face Value]]-Table1[[#This Row],[Ask Rate]])</f>
        <v>0</v>
      </c>
      <c r="AA865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865">
        <f ca="1">Table1[[#This Row],[Face Value]]*Table1[[#This Row],[Rate]]*Table1[[#This Row],[Time]]</f>
        <v>700</v>
      </c>
      <c r="AC865">
        <f ca="1">Table1[[#This Row],[SI]]+Table1[[#This Row],[Disc/Prem]]</f>
        <v>700</v>
      </c>
      <c r="AD865" s="3" t="e">
        <f ca="1">Table1[[#This Row],[Net Gain]]/Table1[[#This Row],[Ask Rate]]</f>
        <v>#DIV/0!</v>
      </c>
      <c r="AE865" s="3">
        <f>IF(Table1[[#This Row],[Ask Qty]]=0,0,Table1[[#This Row],[Gross Yield]]*365/Table1[[#This Row],[Days Left]])</f>
        <v>0</v>
      </c>
      <c r="AF865" s="9">
        <f ca="1">+Table1[[#This Row],[Net Gain]]*Table1[[#This Row],[Ask Qty]]</f>
        <v>0</v>
      </c>
      <c r="AG865" t="str">
        <f>IF(Table1[[#This Row],[YTM]]&gt;0.12,IF(Table1[[#This Row],[Gross Profit]]&gt;10000,"Invest","Review"),"Low YTM")</f>
        <v>Low YTM</v>
      </c>
    </row>
    <row r="866" spans="1:33" x14ac:dyDescent="0.3">
      <c r="A866" t="str">
        <f>RTD("nest.scriprtd",,"nse_cm|10SCL31-Z1","Symbol")</f>
        <v>10SCL31</v>
      </c>
      <c r="B866" t="str">
        <f>RTD("nest.scriprtd",,"nse_cm|10SCL31-Z1","Trading Symbol")</f>
        <v>10SCL31-Z1</v>
      </c>
      <c r="C866" t="str">
        <f>RTD("nest.scriprtd",,"nse_cm|10SCL31-Z1","Exchange")</f>
        <v>NSE</v>
      </c>
      <c r="D866">
        <f>RTD("nest.scriprtd",,"nse_cm|10SCL31-Z1","Bid Qty")</f>
        <v>0</v>
      </c>
      <c r="E866">
        <f>RTD("nest.scriprtd",,"nse_cm|10SCL31-Z1","Bid Rate")</f>
        <v>0</v>
      </c>
      <c r="F866">
        <f>RTD("nest.scriprtd",,"nse_cm|10SCL31-Z1","Ask Rate")</f>
        <v>0</v>
      </c>
      <c r="G866">
        <f>RTD("nest.scriprtd",,"nse_cm|10SCL31-Z1","Ask Qty")</f>
        <v>0</v>
      </c>
      <c r="H866">
        <f>RTD("nest.scriprtd",,"nse_cm|10SCL31-Z1","LTP")</f>
        <v>0</v>
      </c>
      <c r="I866" t="str">
        <f>RTD("nest.scriprtd",,"nse_cm|10SCL31-Z1","LTT")</f>
        <v/>
      </c>
      <c r="J866">
        <f>RTD("nest.scriprtd",,"nse_cm|10SCL31-Z1","% Change")</f>
        <v>-100</v>
      </c>
      <c r="K866">
        <f>RTD("nest.scriprtd",,"nse_cm|10SCL31-Z1","ATP")</f>
        <v>0</v>
      </c>
      <c r="L866">
        <f>RTD("nest.scriprtd",,"nse_cm|10SCL31-Z1","Volume Traded Today")</f>
        <v>0</v>
      </c>
      <c r="M866">
        <f>RTD("nest.scriprtd",,"nse_cm|10SCL31-Z1","Open")</f>
        <v>0</v>
      </c>
      <c r="N866">
        <f>RTD("nest.scriprtd",,"nse_cm|10SCL31-Z1","High")</f>
        <v>0</v>
      </c>
      <c r="O866">
        <f>RTD("nest.scriprtd",,"nse_cm|10SCL31-Z1","Low ")</f>
        <v>0</v>
      </c>
      <c r="P866">
        <f>RTD("nest.scriprtd",,"nse_cm|10SCL31-Z1","Prev Close")</f>
        <v>1000</v>
      </c>
      <c r="Q866">
        <f>RTD("nest.scriprtd",,"nse_cm|10SCL31-Z1","Face Value")</f>
        <v>1000</v>
      </c>
      <c r="R866" t="str">
        <f>RTD("nest.scriprtd",,"nse_cm|10SCL31-Z1","Isin code")</f>
        <v>INE148I07SU9</v>
      </c>
      <c r="S866" s="9">
        <f>Table1[[#This Row],[Ask Rate]]*Table1[[#This Row],[Ask Qty]]</f>
        <v>0</v>
      </c>
      <c r="T866">
        <f>VLOOKUP(Table1[[#This Row],[Isin code]],Table2[#All],7,FALSE)</f>
        <v>10</v>
      </c>
      <c r="U866" s="17" t="str">
        <f>VLOOKUP(Table1[[#This Row],[Isin code]],Table2[#All],8,FALSE)</f>
        <v>26-Mar-2031</v>
      </c>
      <c r="V866" s="10">
        <f ca="1">Table1[[#This Row],[Maturity]]-TODAY()</f>
        <v>2352</v>
      </c>
      <c r="W866" t="str">
        <f>VLOOKUP(Table1[[#This Row],[Isin code]],Table2[#All],10,FALSE)</f>
        <v>Annual</v>
      </c>
      <c r="X866">
        <f ca="1">_xlfn.DAYS(Table1[[#This Row],[Maturity]],TODAY())-15</f>
        <v>2337</v>
      </c>
      <c r="Y86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66">
        <f>IF(Table1[[#This Row],[Ask Rate]]=0,0,Table1[[#This Row],[Face Value]]-Table1[[#This Row],[Ask Rate]])</f>
        <v>0</v>
      </c>
      <c r="AA86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66">
        <f>Table1[[#This Row],[Face Value]]*Table1[[#This Row],[Rate]]*Table1[[#This Row],[Time]]</f>
        <v>0</v>
      </c>
      <c r="AC866">
        <f>Table1[[#This Row],[SI]]+Table1[[#This Row],[Disc/Prem]]</f>
        <v>0</v>
      </c>
      <c r="AD866" s="3" t="e">
        <f>Table1[[#This Row],[Net Gain]]/Table1[[#This Row],[Ask Rate]]</f>
        <v>#DIV/0!</v>
      </c>
      <c r="AE866" s="3">
        <f>IF(Table1[[#This Row],[Ask Qty]]=0,0,Table1[[#This Row],[Gross Yield]]*365/Table1[[#This Row],[Days Left]])</f>
        <v>0</v>
      </c>
      <c r="AF866" s="9">
        <f>+Table1[[#This Row],[Net Gain]]*Table1[[#This Row],[Ask Qty]]</f>
        <v>0</v>
      </c>
      <c r="AG866" t="str">
        <f>IF(Table1[[#This Row],[YTM]]&gt;0.12,IF(Table1[[#This Row],[Gross Profit]]&gt;10000,"Invest","Review"),"Low YTM")</f>
        <v>Low YTM</v>
      </c>
    </row>
    <row r="867" spans="1:33" x14ac:dyDescent="0.3">
      <c r="A867" t="str">
        <f>RTD("nest.scriprtd",,"bse_cm|1050SCL30","Symbol")</f>
        <v>1050SCL30</v>
      </c>
      <c r="B867" t="str">
        <f>RTD("nest.scriprtd",,"bse_cm|1050SCL30","Trading Symbol")</f>
        <v>1050SCL30</v>
      </c>
      <c r="C867" t="str">
        <f>RTD("nest.scriprtd",,"bse_cm|1050SCL30","Exchange")</f>
        <v>BSE</v>
      </c>
      <c r="D867">
        <f>RTD("nest.scriprtd",,"bse_cm|1050SCL30","Bid Qty")</f>
        <v>6</v>
      </c>
      <c r="E867">
        <f>RTD("nest.scriprtd",,"bse_cm|1050SCL30","Bid Rate")</f>
        <v>822.4</v>
      </c>
      <c r="F867">
        <f>RTD("nest.scriprtd",,"bse_cm|1050SCL30","Ask Rate")</f>
        <v>0</v>
      </c>
      <c r="G867">
        <f>RTD("nest.scriprtd",,"bse_cm|1050SCL30","Ask Qty")</f>
        <v>0</v>
      </c>
      <c r="H867">
        <f>RTD("nest.scriprtd",,"bse_cm|1050SCL30","LTP")</f>
        <v>0</v>
      </c>
      <c r="I867" t="str">
        <f>RTD("nest.scriprtd",,"bse_cm|1050SCL30","LTT")</f>
        <v>00:00:00</v>
      </c>
      <c r="J867">
        <f>RTD("nest.scriprtd",,"bse_cm|1050SCL30","% Change")</f>
        <v>-100</v>
      </c>
      <c r="K867">
        <f>RTD("nest.scriprtd",,"bse_cm|1050SCL30","ATP")</f>
        <v>0</v>
      </c>
      <c r="L867">
        <f>RTD("nest.scriprtd",,"bse_cm|1050SCL30","Volume Traded Today")</f>
        <v>0</v>
      </c>
      <c r="M867">
        <f>RTD("nest.scriprtd",,"bse_cm|1050SCL30","Open")</f>
        <v>0</v>
      </c>
      <c r="N867">
        <f>RTD("nest.scriprtd",,"bse_cm|1050SCL30","High")</f>
        <v>0</v>
      </c>
      <c r="O867">
        <f>RTD("nest.scriprtd",,"bse_cm|1050SCL30","Low ")</f>
        <v>0</v>
      </c>
      <c r="P867">
        <f>RTD("nest.scriprtd",,"bse_cm|1050SCL30","Prev Close")</f>
        <v>1000</v>
      </c>
      <c r="Q867">
        <f>RTD("nest.scriprtd",,"bse_cm|1050SCL30","Face Value")</f>
        <v>1000</v>
      </c>
      <c r="R867" t="str">
        <f>RTD("nest.scriprtd",,"bse_cm|1050SCL30","Isin code")</f>
        <v>INE148I07QV1</v>
      </c>
      <c r="S867" s="9">
        <f>Table1[[#This Row],[Ask Rate]]*Table1[[#This Row],[Ask Qty]]</f>
        <v>0</v>
      </c>
      <c r="T867">
        <f>VLOOKUP(Table1[[#This Row],[Isin code]],Table2[#All],7,FALSE)</f>
        <v>10.5</v>
      </c>
      <c r="U867" s="17" t="str">
        <f>VLOOKUP(Table1[[#This Row],[Isin code]],Table2[#All],8,FALSE)</f>
        <v>09-Nov-2030</v>
      </c>
      <c r="V867" s="10">
        <f ca="1">Table1[[#This Row],[Maturity]]-TODAY()</f>
        <v>2215</v>
      </c>
      <c r="W867" t="str">
        <f>VLOOKUP(Table1[[#This Row],[Isin code]],Table2[#All],10,FALSE)</f>
        <v>Yearly</v>
      </c>
      <c r="X867">
        <f ca="1">_xlfn.DAYS(Table1[[#This Row],[Maturity]],TODAY())-15</f>
        <v>2200</v>
      </c>
      <c r="Y8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867">
        <f>IF(Table1[[#This Row],[Ask Rate]]=0,0,Table1[[#This Row],[Face Value]]-Table1[[#This Row],[Ask Rate]])</f>
        <v>0</v>
      </c>
      <c r="AA867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867">
        <f ca="1">Table1[[#This Row],[Face Value]]*Table1[[#This Row],[Rate]]*Table1[[#This Row],[Time]]</f>
        <v>735</v>
      </c>
      <c r="AC867">
        <f ca="1">Table1[[#This Row],[SI]]+Table1[[#This Row],[Disc/Prem]]</f>
        <v>735</v>
      </c>
      <c r="AD867" s="3" t="e">
        <f ca="1">Table1[[#This Row],[Net Gain]]/Table1[[#This Row],[Ask Rate]]</f>
        <v>#DIV/0!</v>
      </c>
      <c r="AE867" s="3">
        <f>IF(Table1[[#This Row],[Ask Qty]]=0,0,Table1[[#This Row],[Gross Yield]]*365/Table1[[#This Row],[Days Left]])</f>
        <v>0</v>
      </c>
      <c r="AF867" s="9">
        <f ca="1">+Table1[[#This Row],[Net Gain]]*Table1[[#This Row],[Ask Qty]]</f>
        <v>0</v>
      </c>
      <c r="AG867" t="str">
        <f>IF(Table1[[#This Row],[YTM]]&gt;0.12,IF(Table1[[#This Row],[Gross Profit]]&gt;10000,"Invest","Review"),"Low YTM")</f>
        <v>Low YTM</v>
      </c>
    </row>
    <row r="868" spans="1:33" x14ac:dyDescent="0.3">
      <c r="A868" t="str">
        <f>RTD("nest.scriprtd",,"nse_cm|1050SCFL31-Z2","Symbol")</f>
        <v>1050SCFL31</v>
      </c>
      <c r="B868" t="str">
        <f>RTD("nest.scriprtd",,"nse_cm|1050SCFL31-Z2","Trading Symbol")</f>
        <v>1050SCFL31-Z2</v>
      </c>
      <c r="C868" t="str">
        <f>RTD("nest.scriprtd",,"nse_cm|1050SCFL31-Z2","Exchange")</f>
        <v>NSE</v>
      </c>
      <c r="D868">
        <f>RTD("nest.scriprtd",,"nse_cm|1050SCFL31-Z2","Bid Qty")</f>
        <v>0</v>
      </c>
      <c r="E868">
        <f>RTD("nest.scriprtd",,"nse_cm|1050SCFL31-Z2","Bid Rate")</f>
        <v>0</v>
      </c>
      <c r="F868">
        <f>RTD("nest.scriprtd",,"nse_cm|1050SCFL31-Z2","Ask Rate")</f>
        <v>0</v>
      </c>
      <c r="G868">
        <f>RTD("nest.scriprtd",,"nse_cm|1050SCFL31-Z2","Ask Qty")</f>
        <v>0</v>
      </c>
      <c r="H868">
        <f>RTD("nest.scriprtd",,"nse_cm|1050SCFL31-Z2","LTP")</f>
        <v>939</v>
      </c>
      <c r="I868" t="str">
        <f>RTD("nest.scriprtd",,"nse_cm|1050SCFL31-Z2","LTT")</f>
        <v/>
      </c>
      <c r="J868">
        <f>RTD("nest.scriprtd",,"nse_cm|1050SCFL31-Z2","% Change")</f>
        <v>0</v>
      </c>
      <c r="K868">
        <f>RTD("nest.scriprtd",,"nse_cm|1050SCFL31-Z2","ATP")</f>
        <v>0</v>
      </c>
      <c r="L868">
        <f>RTD("nest.scriprtd",,"nse_cm|1050SCFL31-Z2","Volume Traded Today")</f>
        <v>0</v>
      </c>
      <c r="M868">
        <f>RTD("nest.scriprtd",,"nse_cm|1050SCFL31-Z2","Open")</f>
        <v>0</v>
      </c>
      <c r="N868">
        <f>RTD("nest.scriprtd",,"nse_cm|1050SCFL31-Z2","High")</f>
        <v>939</v>
      </c>
      <c r="O868">
        <f>RTD("nest.scriprtd",,"nse_cm|1050SCFL31-Z2","Low ")</f>
        <v>939</v>
      </c>
      <c r="P868">
        <f>RTD("nest.scriprtd",,"nse_cm|1050SCFL31-Z2","Prev Close")</f>
        <v>939</v>
      </c>
      <c r="Q868">
        <f>RTD("nest.scriprtd",,"nse_cm|1050SCFL31-Z2","Face Value")</f>
        <v>1000</v>
      </c>
      <c r="R868" t="str">
        <f>RTD("nest.scriprtd",,"nse_cm|1050SCFL31-Z2","Isin code")</f>
        <v>INE148I07SM6</v>
      </c>
      <c r="S868" s="9">
        <f>Table1[[#This Row],[Ask Rate]]*Table1[[#This Row],[Ask Qty]]</f>
        <v>0</v>
      </c>
      <c r="T868">
        <f>VLOOKUP(Table1[[#This Row],[Isin code]],Table2[#All],7,FALSE)</f>
        <v>10.5</v>
      </c>
      <c r="U868" s="17" t="str">
        <f>VLOOKUP(Table1[[#This Row],[Isin code]],Table2[#All],8,FALSE)</f>
        <v>26-Mar-2031</v>
      </c>
      <c r="V868" s="10">
        <f ca="1">Table1[[#This Row],[Maturity]]-TODAY()</f>
        <v>2352</v>
      </c>
      <c r="W868" t="str">
        <f>VLOOKUP(Table1[[#This Row],[Isin code]],Table2[#All],10,FALSE)</f>
        <v>Annual</v>
      </c>
      <c r="X868">
        <f ca="1">_xlfn.DAYS(Table1[[#This Row],[Maturity]],TODAY())-15</f>
        <v>2337</v>
      </c>
      <c r="Y86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68">
        <f>IF(Table1[[#This Row],[Ask Rate]]=0,0,Table1[[#This Row],[Face Value]]-Table1[[#This Row],[Ask Rate]])</f>
        <v>0</v>
      </c>
      <c r="AA86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68">
        <f>Table1[[#This Row],[Face Value]]*Table1[[#This Row],[Rate]]*Table1[[#This Row],[Time]]</f>
        <v>0</v>
      </c>
      <c r="AC868">
        <f>Table1[[#This Row],[SI]]+Table1[[#This Row],[Disc/Prem]]</f>
        <v>0</v>
      </c>
      <c r="AD868" s="3" t="e">
        <f>Table1[[#This Row],[Net Gain]]/Table1[[#This Row],[Ask Rate]]</f>
        <v>#DIV/0!</v>
      </c>
      <c r="AE868" s="3">
        <f>IF(Table1[[#This Row],[Ask Qty]]=0,0,Table1[[#This Row],[Gross Yield]]*365/Table1[[#This Row],[Days Left]])</f>
        <v>0</v>
      </c>
      <c r="AF868" s="9">
        <f>+Table1[[#This Row],[Net Gain]]*Table1[[#This Row],[Ask Qty]]</f>
        <v>0</v>
      </c>
      <c r="AG868" t="str">
        <f>IF(Table1[[#This Row],[YTM]]&gt;0.12,IF(Table1[[#This Row],[Gross Profit]]&gt;10000,"Invest","Review"),"Low YTM")</f>
        <v>Low YTM</v>
      </c>
    </row>
    <row r="869" spans="1:33" x14ac:dyDescent="0.3">
      <c r="A869" t="str">
        <f>RTD("nest.scriprtd",,"bse_cm|965ARKA26","Symbol")</f>
        <v>965ARKA26</v>
      </c>
      <c r="B869" t="str">
        <f>RTD("nest.scriprtd",,"bse_cm|965ARKA26","Trading Symbol")</f>
        <v>965ARKA26</v>
      </c>
      <c r="C869" t="str">
        <f>RTD("nest.scriprtd",,"bse_cm|965ARKA26","Exchange")</f>
        <v>BSE</v>
      </c>
      <c r="D869">
        <f>RTD("nest.scriprtd",,"bse_cm|965ARKA26","Bid Qty")</f>
        <v>50</v>
      </c>
      <c r="E869">
        <f>RTD("nest.scriprtd",,"bse_cm|965ARKA26","Bid Rate")</f>
        <v>876</v>
      </c>
      <c r="F869">
        <f>RTD("nest.scriprtd",,"bse_cm|965ARKA26","Ask Rate")</f>
        <v>0</v>
      </c>
      <c r="G869">
        <f>RTD("nest.scriprtd",,"bse_cm|965ARKA26","Ask Qty")</f>
        <v>0</v>
      </c>
      <c r="H869">
        <f>RTD("nest.scriprtd",,"bse_cm|965ARKA26","LTP")</f>
        <v>0</v>
      </c>
      <c r="I869" t="str">
        <f>RTD("nest.scriprtd",,"bse_cm|965ARKA26","LTT")</f>
        <v>00:00:00</v>
      </c>
      <c r="J869">
        <f>RTD("nest.scriprtd",,"bse_cm|965ARKA26","% Change")</f>
        <v>-100</v>
      </c>
      <c r="K869">
        <f>RTD("nest.scriprtd",,"bse_cm|965ARKA26","ATP")</f>
        <v>0</v>
      </c>
      <c r="L869">
        <f>RTD("nest.scriprtd",,"bse_cm|965ARKA26","Volume Traded Today")</f>
        <v>0</v>
      </c>
      <c r="M869">
        <f>RTD("nest.scriprtd",,"bse_cm|965ARKA26","Open")</f>
        <v>0</v>
      </c>
      <c r="N869">
        <f>RTD("nest.scriprtd",,"bse_cm|965ARKA26","High")</f>
        <v>875.4</v>
      </c>
      <c r="O869">
        <f>RTD("nest.scriprtd",,"bse_cm|965ARKA26","Low ")</f>
        <v>875.4</v>
      </c>
      <c r="P869">
        <f>RTD("nest.scriprtd",,"bse_cm|965ARKA26","Prev Close")</f>
        <v>875.4</v>
      </c>
      <c r="Q869">
        <f>RTD("nest.scriprtd",,"bse_cm|965ARKA26","Face Value")</f>
        <v>1000</v>
      </c>
      <c r="R869" t="str">
        <f>RTD("nest.scriprtd",,"bse_cm|965ARKA26","Isin code")</f>
        <v>INE03W107249</v>
      </c>
      <c r="S869" s="9">
        <f>Table1[[#This Row],[Ask Rate]]*Table1[[#This Row],[Ask Qty]]</f>
        <v>0</v>
      </c>
      <c r="T869">
        <f>VLOOKUP(Table1[[#This Row],[Isin code]],Table2[#All],7,FALSE)</f>
        <v>9.65</v>
      </c>
      <c r="U869" s="17" t="str">
        <f>VLOOKUP(Table1[[#This Row],[Isin code]],Table2[#All],8,FALSE)</f>
        <v>27-Dec-2026</v>
      </c>
      <c r="V869" s="10">
        <f ca="1">Table1[[#This Row],[Maturity]]-TODAY()</f>
        <v>802</v>
      </c>
      <c r="W869" t="str">
        <f>VLOOKUP(Table1[[#This Row],[Isin code]],Table2[#All],10,FALSE)</f>
        <v>Yearly</v>
      </c>
      <c r="X869">
        <f ca="1">_xlfn.DAYS(Table1[[#This Row],[Maturity]],TODAY())-15</f>
        <v>787</v>
      </c>
      <c r="Y8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869">
        <f>IF(Table1[[#This Row],[Ask Rate]]=0,0,Table1[[#This Row],[Face Value]]-Table1[[#This Row],[Ask Rate]])</f>
        <v>0</v>
      </c>
      <c r="AA869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869">
        <f ca="1">Table1[[#This Row],[Face Value]]*Table1[[#This Row],[Rate]]*Table1[[#This Row],[Time]]</f>
        <v>289.5</v>
      </c>
      <c r="AC869">
        <f ca="1">Table1[[#This Row],[SI]]+Table1[[#This Row],[Disc/Prem]]</f>
        <v>289.5</v>
      </c>
      <c r="AD869" s="3" t="e">
        <f ca="1">Table1[[#This Row],[Net Gain]]/Table1[[#This Row],[Ask Rate]]</f>
        <v>#DIV/0!</v>
      </c>
      <c r="AE869" s="3">
        <f>IF(Table1[[#This Row],[Ask Qty]]=0,0,Table1[[#This Row],[Gross Yield]]*365/Table1[[#This Row],[Days Left]])</f>
        <v>0</v>
      </c>
      <c r="AF869" s="9">
        <f ca="1">+Table1[[#This Row],[Net Gain]]*Table1[[#This Row],[Ask Qty]]</f>
        <v>0</v>
      </c>
      <c r="AG869" t="str">
        <f>IF(Table1[[#This Row],[YTM]]&gt;0.12,IF(Table1[[#This Row],[Gross Profit]]&gt;10000,"Invest","Review"),"Low YTM")</f>
        <v>Low YTM</v>
      </c>
    </row>
    <row r="870" spans="1:33" x14ac:dyDescent="0.3">
      <c r="A870" t="str">
        <f>RTD("nest.scriprtd",,"bse_cm|960NIDO26","Symbol")</f>
        <v>960NIDO26</v>
      </c>
      <c r="B870" t="str">
        <f>RTD("nest.scriprtd",,"bse_cm|960NIDO26","Trading Symbol")</f>
        <v>960NIDO26</v>
      </c>
      <c r="C870" t="str">
        <f>RTD("nest.scriprtd",,"bse_cm|960NIDO26","Exchange")</f>
        <v>BSE</v>
      </c>
      <c r="D870">
        <f>RTD("nest.scriprtd",,"bse_cm|960NIDO26","Bid Qty")</f>
        <v>25</v>
      </c>
      <c r="E870">
        <f>RTD("nest.scriprtd",,"bse_cm|960NIDO26","Bid Rate")</f>
        <v>930</v>
      </c>
      <c r="F870">
        <f>RTD("nest.scriprtd",,"bse_cm|960NIDO26","Ask Rate")</f>
        <v>0</v>
      </c>
      <c r="G870">
        <f>RTD("nest.scriprtd",,"bse_cm|960NIDO26","Ask Qty")</f>
        <v>0</v>
      </c>
      <c r="H870">
        <f>RTD("nest.scriprtd",,"bse_cm|960NIDO26","LTP")</f>
        <v>0</v>
      </c>
      <c r="I870" t="str">
        <f>RTD("nest.scriprtd",,"bse_cm|960NIDO26","LTT")</f>
        <v>00:00:00</v>
      </c>
      <c r="J870">
        <f>RTD("nest.scriprtd",,"bse_cm|960NIDO26","% Change")</f>
        <v>-100</v>
      </c>
      <c r="K870">
        <f>RTD("nest.scriprtd",,"bse_cm|960NIDO26","ATP")</f>
        <v>0</v>
      </c>
      <c r="L870">
        <f>RTD("nest.scriprtd",,"bse_cm|960NIDO26","Volume Traded Today")</f>
        <v>0</v>
      </c>
      <c r="M870">
        <f>RTD("nest.scriprtd",,"bse_cm|960NIDO26","Open")</f>
        <v>0</v>
      </c>
      <c r="N870">
        <f>RTD("nest.scriprtd",,"bse_cm|960NIDO26","High")</f>
        <v>1000</v>
      </c>
      <c r="O870">
        <f>RTD("nest.scriprtd",,"bse_cm|960NIDO26","Low ")</f>
        <v>1000</v>
      </c>
      <c r="P870">
        <f>RTD("nest.scriprtd",,"bse_cm|960NIDO26","Prev Close")</f>
        <v>1000</v>
      </c>
      <c r="Q870">
        <f>RTD("nest.scriprtd",,"bse_cm|960NIDO26","Face Value")</f>
        <v>1000</v>
      </c>
      <c r="R870" t="str">
        <f>RTD("nest.scriprtd",,"bse_cm|960NIDO26","Isin code")</f>
        <v>INE530L07608</v>
      </c>
      <c r="S870" s="9">
        <f>Table1[[#This Row],[Ask Rate]]*Table1[[#This Row],[Ask Qty]]</f>
        <v>0</v>
      </c>
      <c r="T870">
        <f>VLOOKUP(Table1[[#This Row],[Isin code]],Table2[#All],7,FALSE)</f>
        <v>9.6</v>
      </c>
      <c r="U870" s="17" t="str">
        <f>VLOOKUP(Table1[[#This Row],[Isin code]],Table2[#All],8,FALSE)</f>
        <v>15-Sep-2026</v>
      </c>
      <c r="V870" s="10">
        <f ca="1">Table1[[#This Row],[Maturity]]-TODAY()</f>
        <v>699</v>
      </c>
      <c r="W870" t="str">
        <f>VLOOKUP(Table1[[#This Row],[Isin code]],Table2[#All],10,FALSE)</f>
        <v>Yearly</v>
      </c>
      <c r="X870">
        <f ca="1">_xlfn.DAYS(Table1[[#This Row],[Maturity]],TODAY())-15</f>
        <v>684</v>
      </c>
      <c r="Y8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870">
        <f>IF(Table1[[#This Row],[Ask Rate]]=0,0,Table1[[#This Row],[Face Value]]-Table1[[#This Row],[Ask Rate]])</f>
        <v>0</v>
      </c>
      <c r="AA870">
        <f>IF(Table1[[#This Row],[Freq]]="Yearly",Table1[[#This Row],[Coupon_Rate]]/100,IF(Table1[[#This Row],[Freq]]="Monthly",Table1[[#This Row],[Coupon_Rate]]/1200,IF(Table1[[#This Row],[Freq]]="Quarterly",Table1[[#This Row],[Coupon_Rate]]/400,0)))</f>
        <v>9.6000000000000002E-2</v>
      </c>
      <c r="AB870">
        <f ca="1">Table1[[#This Row],[Face Value]]*Table1[[#This Row],[Rate]]*Table1[[#This Row],[Time]]</f>
        <v>192</v>
      </c>
      <c r="AC870">
        <f ca="1">Table1[[#This Row],[SI]]+Table1[[#This Row],[Disc/Prem]]</f>
        <v>192</v>
      </c>
      <c r="AD870" s="3" t="e">
        <f ca="1">Table1[[#This Row],[Net Gain]]/Table1[[#This Row],[Ask Rate]]</f>
        <v>#DIV/0!</v>
      </c>
      <c r="AE870" s="3">
        <f>IF(Table1[[#This Row],[Ask Qty]]=0,0,Table1[[#This Row],[Gross Yield]]*365/Table1[[#This Row],[Days Left]])</f>
        <v>0</v>
      </c>
      <c r="AF870" s="9">
        <f ca="1">+Table1[[#This Row],[Net Gain]]*Table1[[#This Row],[Ask Qty]]</f>
        <v>0</v>
      </c>
      <c r="AG870" t="str">
        <f>IF(Table1[[#This Row],[YTM]]&gt;0.12,IF(Table1[[#This Row],[Gross Profit]]&gt;10000,"Invest","Review"),"Low YTM")</f>
        <v>Low YTM</v>
      </c>
    </row>
    <row r="871" spans="1:33" x14ac:dyDescent="0.3">
      <c r="A871" t="str">
        <f>RTD("nest.scriprtd",,"bse_cm|960ISFL25","Symbol")</f>
        <v>960ISFL25</v>
      </c>
      <c r="B871" t="str">
        <f>RTD("nest.scriprtd",,"bse_cm|960ISFL25","Trading Symbol")</f>
        <v>960ISFL25</v>
      </c>
      <c r="C871" t="str">
        <f>RTD("nest.scriprtd",,"bse_cm|960ISFL25","Exchange")</f>
        <v>BSE</v>
      </c>
      <c r="D871">
        <f>RTD("nest.scriprtd",,"bse_cm|960ISFL25","Bid Qty")</f>
        <v>160</v>
      </c>
      <c r="E871">
        <f>RTD("nest.scriprtd",,"bse_cm|960ISFL25","Bid Rate")</f>
        <v>895</v>
      </c>
      <c r="F871">
        <f>RTD("nest.scriprtd",,"bse_cm|960ISFL25","Ask Rate")</f>
        <v>0</v>
      </c>
      <c r="G871">
        <f>RTD("nest.scriprtd",,"bse_cm|960ISFL25","Ask Qty")</f>
        <v>0</v>
      </c>
      <c r="H871">
        <f>RTD("nest.scriprtd",,"bse_cm|960ISFL25","LTP")</f>
        <v>0</v>
      </c>
      <c r="I871" t="str">
        <f>RTD("nest.scriprtd",,"bse_cm|960ISFL25","LTT")</f>
        <v>00:00:00</v>
      </c>
      <c r="J871">
        <f>RTD("nest.scriprtd",,"bse_cm|960ISFL25","% Change")</f>
        <v>-100</v>
      </c>
      <c r="K871">
        <f>RTD("nest.scriprtd",,"bse_cm|960ISFL25","ATP")</f>
        <v>0</v>
      </c>
      <c r="L871">
        <f>RTD("nest.scriprtd",,"bse_cm|960ISFL25","Volume Traded Today")</f>
        <v>0</v>
      </c>
      <c r="M871">
        <f>RTD("nest.scriprtd",,"bse_cm|960ISFL25","Open")</f>
        <v>0</v>
      </c>
      <c r="N871">
        <f>RTD("nest.scriprtd",,"bse_cm|960ISFL25","High")</f>
        <v>1029.1199999999999</v>
      </c>
      <c r="O871">
        <f>RTD("nest.scriprtd",,"bse_cm|960ISFL25","Low ")</f>
        <v>1001.64</v>
      </c>
      <c r="P871">
        <f>RTD("nest.scriprtd",,"bse_cm|960ISFL25","Prev Close")</f>
        <v>1029.1199999999999</v>
      </c>
      <c r="Q871">
        <f>RTD("nest.scriprtd",,"bse_cm|960ISFL25","Face Value")</f>
        <v>1000</v>
      </c>
      <c r="R871" t="str">
        <f>RTD("nest.scriprtd",,"bse_cm|960ISFL25","Isin code")</f>
        <v>INE413U07228</v>
      </c>
      <c r="S871" s="9">
        <f>Table1[[#This Row],[Ask Rate]]*Table1[[#This Row],[Ask Qty]]</f>
        <v>0</v>
      </c>
      <c r="T871">
        <f>VLOOKUP(Table1[[#This Row],[Isin code]],Table2[#All],7,FALSE)</f>
        <v>9.6</v>
      </c>
      <c r="U871" s="17" t="str">
        <f>VLOOKUP(Table1[[#This Row],[Isin code]],Table2[#All],8,FALSE)</f>
        <v>21-Dec-2025</v>
      </c>
      <c r="V871" s="10">
        <f ca="1">Table1[[#This Row],[Maturity]]-TODAY()</f>
        <v>431</v>
      </c>
      <c r="W871" t="str">
        <f>VLOOKUP(Table1[[#This Row],[Isin code]],Table2[#All],10,FALSE)</f>
        <v>At the End</v>
      </c>
      <c r="X871">
        <f ca="1">_xlfn.DAYS(Table1[[#This Row],[Maturity]],TODAY())-15</f>
        <v>416</v>
      </c>
      <c r="Y87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71">
        <f>IF(Table1[[#This Row],[Ask Rate]]=0,0,Table1[[#This Row],[Face Value]]-Table1[[#This Row],[Ask Rate]])</f>
        <v>0</v>
      </c>
      <c r="AA87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71">
        <f>Table1[[#This Row],[Face Value]]*Table1[[#This Row],[Rate]]*Table1[[#This Row],[Time]]</f>
        <v>0</v>
      </c>
      <c r="AC871">
        <f>Table1[[#This Row],[SI]]+Table1[[#This Row],[Disc/Prem]]</f>
        <v>0</v>
      </c>
      <c r="AD871" s="3" t="e">
        <f>Table1[[#This Row],[Net Gain]]/Table1[[#This Row],[Ask Rate]]</f>
        <v>#DIV/0!</v>
      </c>
      <c r="AE871" s="3">
        <f>IF(Table1[[#This Row],[Ask Qty]]=0,0,Table1[[#This Row],[Gross Yield]]*365/Table1[[#This Row],[Days Left]])</f>
        <v>0</v>
      </c>
      <c r="AF871" s="9">
        <f>+Table1[[#This Row],[Net Gain]]*Table1[[#This Row],[Ask Qty]]</f>
        <v>0</v>
      </c>
      <c r="AG871" t="str">
        <f>IF(Table1[[#This Row],[YTM]]&gt;0.12,IF(Table1[[#This Row],[Gross Profit]]&gt;10000,"Invest","Review"),"Low YTM")</f>
        <v>Low YTM</v>
      </c>
    </row>
    <row r="872" spans="1:33" x14ac:dyDescent="0.3">
      <c r="A872" t="str">
        <f>RTD("nest.scriprtd",,"bse_cm|960IIFLS26","Symbol")</f>
        <v>960IIFLS26</v>
      </c>
      <c r="B872" t="str">
        <f>RTD("nest.scriprtd",,"bse_cm|960IIFLS26","Trading Symbol")</f>
        <v>960IIFLS26</v>
      </c>
      <c r="C872" t="str">
        <f>RTD("nest.scriprtd",,"bse_cm|960IIFLS26","Exchange")</f>
        <v>BSE</v>
      </c>
      <c r="D872">
        <f>RTD("nest.scriprtd",,"bse_cm|960IIFLS26","Bid Qty")</f>
        <v>20</v>
      </c>
      <c r="E872">
        <f>RTD("nest.scriprtd",,"bse_cm|960IIFLS26","Bid Rate")</f>
        <v>836.2</v>
      </c>
      <c r="F872">
        <f>RTD("nest.scriprtd",,"bse_cm|960IIFLS26","Ask Rate")</f>
        <v>0</v>
      </c>
      <c r="G872">
        <f>RTD("nest.scriprtd",,"bse_cm|960IIFLS26","Ask Qty")</f>
        <v>0</v>
      </c>
      <c r="H872">
        <f>RTD("nest.scriprtd",,"bse_cm|960IIFLS26","LTP")</f>
        <v>0</v>
      </c>
      <c r="I872" t="str">
        <f>RTD("nest.scriprtd",,"bse_cm|960IIFLS26","LTT")</f>
        <v>00:00:00</v>
      </c>
      <c r="J872">
        <f>RTD("nest.scriprtd",,"bse_cm|960IIFLS26","% Change")</f>
        <v>-100</v>
      </c>
      <c r="K872">
        <f>RTD("nest.scriprtd",,"bse_cm|960IIFLS26","ATP")</f>
        <v>0</v>
      </c>
      <c r="L872">
        <f>RTD("nest.scriprtd",,"bse_cm|960IIFLS26","Volume Traded Today")</f>
        <v>0</v>
      </c>
      <c r="M872">
        <f>RTD("nest.scriprtd",,"bse_cm|960IIFLS26","Open")</f>
        <v>0</v>
      </c>
      <c r="N872">
        <f>RTD("nest.scriprtd",,"bse_cm|960IIFLS26","High")</f>
        <v>990</v>
      </c>
      <c r="O872">
        <f>RTD("nest.scriprtd",,"bse_cm|960IIFLS26","Low ")</f>
        <v>990</v>
      </c>
      <c r="P872">
        <f>RTD("nest.scriprtd",,"bse_cm|960IIFLS26","Prev Close")</f>
        <v>990</v>
      </c>
      <c r="Q872">
        <f>RTD("nest.scriprtd",,"bse_cm|960IIFLS26","Face Value")</f>
        <v>1000</v>
      </c>
      <c r="R872" t="str">
        <f>RTD("nest.scriprtd",,"bse_cm|960IIFLS26","Isin code")</f>
        <v>INE413U07335</v>
      </c>
      <c r="S872" s="9">
        <f>Table1[[#This Row],[Ask Rate]]*Table1[[#This Row],[Ask Qty]]</f>
        <v>0</v>
      </c>
      <c r="T872">
        <f>VLOOKUP(Table1[[#This Row],[Isin code]],Table2[#All],7,FALSE)</f>
        <v>9.6</v>
      </c>
      <c r="U872" s="17" t="str">
        <f>VLOOKUP(Table1[[#This Row],[Isin code]],Table2[#All],8,FALSE)</f>
        <v>21-Jun-2026</v>
      </c>
      <c r="V872" s="10">
        <f ca="1">Table1[[#This Row],[Maturity]]-TODAY()</f>
        <v>613</v>
      </c>
      <c r="W872" t="str">
        <f>VLOOKUP(Table1[[#This Row],[Isin code]],Table2[#All],10,FALSE)</f>
        <v>Annual</v>
      </c>
      <c r="X872">
        <f ca="1">_xlfn.DAYS(Table1[[#This Row],[Maturity]],TODAY())-15</f>
        <v>598</v>
      </c>
      <c r="Y87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72">
        <f>IF(Table1[[#This Row],[Ask Rate]]=0,0,Table1[[#This Row],[Face Value]]-Table1[[#This Row],[Ask Rate]])</f>
        <v>0</v>
      </c>
      <c r="AA87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72">
        <f>Table1[[#This Row],[Face Value]]*Table1[[#This Row],[Rate]]*Table1[[#This Row],[Time]]</f>
        <v>0</v>
      </c>
      <c r="AC872">
        <f>Table1[[#This Row],[SI]]+Table1[[#This Row],[Disc/Prem]]</f>
        <v>0</v>
      </c>
      <c r="AD872" s="3" t="e">
        <f>Table1[[#This Row],[Net Gain]]/Table1[[#This Row],[Ask Rate]]</f>
        <v>#DIV/0!</v>
      </c>
      <c r="AE872" s="3">
        <f>IF(Table1[[#This Row],[Ask Qty]]=0,0,Table1[[#This Row],[Gross Yield]]*365/Table1[[#This Row],[Days Left]])</f>
        <v>0</v>
      </c>
      <c r="AF872" s="9">
        <f>+Table1[[#This Row],[Net Gain]]*Table1[[#This Row],[Ask Qty]]</f>
        <v>0</v>
      </c>
      <c r="AG872" t="str">
        <f>IF(Table1[[#This Row],[YTM]]&gt;0.12,IF(Table1[[#This Row],[Gross Profit]]&gt;10000,"Invest","Review"),"Low YTM")</f>
        <v>Low YTM</v>
      </c>
    </row>
    <row r="873" spans="1:33" hidden="1" x14ac:dyDescent="0.3">
      <c r="A873" t="str">
        <f>RTD("nest.scriprtd",,"bse_cm|95CCIL24A","Symbol")</f>
        <v>95CCIL24A</v>
      </c>
      <c r="B873" t="str">
        <f>RTD("nest.scriprtd",,"bse_cm|95CCIL24A","Trading Symbol")</f>
        <v>95CCIL24A</v>
      </c>
      <c r="C873" t="str">
        <f>RTD("nest.scriprtd",,"bse_cm|95CCIL24A","Exchange")</f>
        <v>BSE</v>
      </c>
      <c r="D873">
        <f>RTD("nest.scriprtd",,"bse_cm|95CCIL24A","Bid Qty")</f>
        <v>16</v>
      </c>
      <c r="E873">
        <f>RTD("nest.scriprtd",,"bse_cm|95CCIL24A","Bid Rate")</f>
        <v>850.2</v>
      </c>
      <c r="F873">
        <f>RTD("nest.scriprtd",,"bse_cm|95CCIL24A","Ask Rate")</f>
        <v>0</v>
      </c>
      <c r="G873">
        <f>RTD("nest.scriprtd",,"bse_cm|95CCIL24A","Ask Qty")</f>
        <v>0</v>
      </c>
      <c r="H873">
        <f>RTD("nest.scriprtd",,"bse_cm|95CCIL24A","LTP")</f>
        <v>0</v>
      </c>
      <c r="I873" t="str">
        <f>RTD("nest.scriprtd",,"bse_cm|95CCIL24A","LTT")</f>
        <v>00:00:00</v>
      </c>
      <c r="J873">
        <f>RTD("nest.scriprtd",,"bse_cm|95CCIL24A","% Change")</f>
        <v>-100</v>
      </c>
      <c r="K873">
        <f>RTD("nest.scriprtd",,"bse_cm|95CCIL24A","ATP")</f>
        <v>0</v>
      </c>
      <c r="L873">
        <f>RTD("nest.scriprtd",,"bse_cm|95CCIL24A","Volume Traded Today")</f>
        <v>0</v>
      </c>
      <c r="M873">
        <f>RTD("nest.scriprtd",,"bse_cm|95CCIL24A","Open")</f>
        <v>0</v>
      </c>
      <c r="N873">
        <f>RTD("nest.scriprtd",,"bse_cm|95CCIL24A","High")</f>
        <v>990.11</v>
      </c>
      <c r="O873">
        <f>RTD("nest.scriprtd",,"bse_cm|95CCIL24A","Low ")</f>
        <v>990.11</v>
      </c>
      <c r="P873">
        <f>RTD("nest.scriprtd",,"bse_cm|95CCIL24A","Prev Close")</f>
        <v>990.11</v>
      </c>
      <c r="Q873">
        <f>RTD("nest.scriprtd",,"bse_cm|95CCIL24A","Face Value")</f>
        <v>1000</v>
      </c>
      <c r="R873" t="str">
        <f>RTD("nest.scriprtd",,"bse_cm|95CCIL24A","Isin code")</f>
        <v>INE051307AP8</v>
      </c>
      <c r="S873" s="9">
        <f>Table1[[#This Row],[Ask Rate]]*Table1[[#This Row],[Ask Qty]]</f>
        <v>0</v>
      </c>
      <c r="T873">
        <f>VLOOKUP(Table1[[#This Row],[Isin code]],Table2[#All],7,FALSE)</f>
        <v>9.5</v>
      </c>
      <c r="U873" s="17" t="str">
        <f>VLOOKUP(Table1[[#This Row],[Isin code]],Table2[#All],8,FALSE)</f>
        <v>02-Nov-2024</v>
      </c>
      <c r="V873" s="10">
        <f ca="1">Table1[[#This Row],[Maturity]]-TODAY()</f>
        <v>17</v>
      </c>
      <c r="W873" t="str">
        <f>VLOOKUP(Table1[[#This Row],[Isin code]],Table2[#All],10,FALSE)</f>
        <v>Monthly</v>
      </c>
      <c r="X873">
        <f ca="1">_xlfn.DAYS(Table1[[#This Row],[Maturity]],TODAY())-15</f>
        <v>2</v>
      </c>
      <c r="Y8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873">
        <f>IF(Table1[[#This Row],[Ask Rate]]=0,0,Table1[[#This Row],[Face Value]]-Table1[[#This Row],[Ask Rate]])</f>
        <v>0</v>
      </c>
      <c r="AA873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873">
        <f ca="1">Table1[[#This Row],[Face Value]]*Table1[[#This Row],[Rate]]*Table1[[#This Row],[Time]]</f>
        <v>7.916666666666667</v>
      </c>
      <c r="AC873">
        <f ca="1">Table1[[#This Row],[SI]]+Table1[[#This Row],[Disc/Prem]]</f>
        <v>7.916666666666667</v>
      </c>
      <c r="AD873" s="3" t="e">
        <f ca="1">Table1[[#This Row],[Net Gain]]/Table1[[#This Row],[Ask Rate]]</f>
        <v>#DIV/0!</v>
      </c>
      <c r="AE873" s="3">
        <f>IF(Table1[[#This Row],[Ask Qty]]=0,0,Table1[[#This Row],[Gross Yield]]*365/Table1[[#This Row],[Days Left]])</f>
        <v>0</v>
      </c>
      <c r="AF873" s="9">
        <f ca="1">+Table1[[#This Row],[Net Gain]]*Table1[[#This Row],[Ask Qty]]</f>
        <v>0</v>
      </c>
      <c r="AG873" t="str">
        <f>IF(Table1[[#This Row],[YTM]]&gt;0.12,IF(Table1[[#This Row],[Gross Profit]]&gt;10000,"Invest","Review"),"Low YTM")</f>
        <v>Low YTM</v>
      </c>
    </row>
    <row r="874" spans="1:33" x14ac:dyDescent="0.3">
      <c r="A874" t="str">
        <f>RTD("nest.scriprtd",,"nse_cm|957SCL31-Z3","Symbol")</f>
        <v>957SCL31</v>
      </c>
      <c r="B874" t="str">
        <f>RTD("nest.scriprtd",,"nse_cm|957SCL31-Z3","Trading Symbol")</f>
        <v>957SCL31-Z3</v>
      </c>
      <c r="C874" t="str">
        <f>RTD("nest.scriprtd",,"nse_cm|957SCL31-Z3","Exchange")</f>
        <v>NSE</v>
      </c>
      <c r="D874">
        <f>RTD("nest.scriprtd",,"nse_cm|957SCL31-Z3","Bid Qty")</f>
        <v>0</v>
      </c>
      <c r="E874">
        <f>RTD("nest.scriprtd",,"nse_cm|957SCL31-Z3","Bid Rate")</f>
        <v>0</v>
      </c>
      <c r="F874">
        <f>RTD("nest.scriprtd",,"nse_cm|957SCL31-Z3","Ask Rate")</f>
        <v>0</v>
      </c>
      <c r="G874">
        <f>RTD("nest.scriprtd",,"nse_cm|957SCL31-Z3","Ask Qty")</f>
        <v>0</v>
      </c>
      <c r="H874">
        <f>RTD("nest.scriprtd",,"nse_cm|957SCL31-Z3","LTP")</f>
        <v>0</v>
      </c>
      <c r="I874" t="str">
        <f>RTD("nest.scriprtd",,"nse_cm|957SCL31-Z3","LTT")</f>
        <v/>
      </c>
      <c r="J874">
        <f>RTD("nest.scriprtd",,"nse_cm|957SCL31-Z3","% Change")</f>
        <v>0</v>
      </c>
      <c r="K874">
        <f>RTD("nest.scriprtd",,"nse_cm|957SCL31-Z3","ATP")</f>
        <v>0</v>
      </c>
      <c r="L874">
        <f>RTD("nest.scriprtd",,"nse_cm|957SCL31-Z3","Volume Traded Today")</f>
        <v>0</v>
      </c>
      <c r="M874">
        <f>RTD("nest.scriprtd",,"nse_cm|957SCL31-Z3","Open")</f>
        <v>0</v>
      </c>
      <c r="N874">
        <f>RTD("nest.scriprtd",,"nse_cm|957SCL31-Z3","High")</f>
        <v>0</v>
      </c>
      <c r="O874">
        <f>RTD("nest.scriprtd",,"nse_cm|957SCL31-Z3","Low ")</f>
        <v>0</v>
      </c>
      <c r="P874">
        <f>RTD("nest.scriprtd",,"nse_cm|957SCL31-Z3","Prev Close")</f>
        <v>0</v>
      </c>
      <c r="Q874">
        <f>RTD("nest.scriprtd",,"nse_cm|957SCL31-Z3","Face Value")</f>
        <v>1000</v>
      </c>
      <c r="R874" t="str">
        <f>RTD("nest.scriprtd",,"nse_cm|957SCL31-Z3","Isin code")</f>
        <v>INE148I07ST1</v>
      </c>
      <c r="S874" s="9">
        <f>Table1[[#This Row],[Ask Rate]]*Table1[[#This Row],[Ask Qty]]</f>
        <v>0</v>
      </c>
      <c r="T874">
        <f>VLOOKUP(Table1[[#This Row],[Isin code]],Table2[#All],7,FALSE)</f>
        <v>9.5699999999999985</v>
      </c>
      <c r="U874" s="17" t="str">
        <f>VLOOKUP(Table1[[#This Row],[Isin code]],Table2[#All],8,FALSE)</f>
        <v>26-Mar-2031</v>
      </c>
      <c r="V874" s="10">
        <f ca="1">Table1[[#This Row],[Maturity]]-TODAY()</f>
        <v>2352</v>
      </c>
      <c r="W874" t="str">
        <f>VLOOKUP(Table1[[#This Row],[Isin code]],Table2[#All],10,FALSE)</f>
        <v>Monthly</v>
      </c>
      <c r="X874">
        <f ca="1">_xlfn.DAYS(Table1[[#This Row],[Maturity]],TODAY())-15</f>
        <v>2337</v>
      </c>
      <c r="Y8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78</v>
      </c>
      <c r="Z874">
        <f>IF(Table1[[#This Row],[Ask Rate]]=0,0,Table1[[#This Row],[Face Value]]-Table1[[#This Row],[Ask Rate]])</f>
        <v>0</v>
      </c>
      <c r="AA874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874">
        <f ca="1">Table1[[#This Row],[Face Value]]*Table1[[#This Row],[Rate]]*Table1[[#This Row],[Time]]</f>
        <v>622.04999999999995</v>
      </c>
      <c r="AC874">
        <f ca="1">Table1[[#This Row],[SI]]+Table1[[#This Row],[Disc/Prem]]</f>
        <v>622.04999999999995</v>
      </c>
      <c r="AD874" s="3" t="e">
        <f ca="1">Table1[[#This Row],[Net Gain]]/Table1[[#This Row],[Ask Rate]]</f>
        <v>#DIV/0!</v>
      </c>
      <c r="AE874" s="3">
        <f>IF(Table1[[#This Row],[Ask Qty]]=0,0,Table1[[#This Row],[Gross Yield]]*365/Table1[[#This Row],[Days Left]])</f>
        <v>0</v>
      </c>
      <c r="AF874" s="9">
        <f ca="1">+Table1[[#This Row],[Net Gain]]*Table1[[#This Row],[Ask Qty]]</f>
        <v>0</v>
      </c>
      <c r="AG874" t="str">
        <f>IF(Table1[[#This Row],[YTM]]&gt;0.12,IF(Table1[[#This Row],[Gross Profit]]&gt;10000,"Invest","Review"),"Low YTM")</f>
        <v>Low YTM</v>
      </c>
    </row>
    <row r="875" spans="1:33" x14ac:dyDescent="0.3">
      <c r="A875" t="str">
        <f>RTD("nest.scriprtd",,"bse_cm|1003SCL30A","Symbol")</f>
        <v>1003SCL30A</v>
      </c>
      <c r="B875" t="str">
        <f>RTD("nest.scriprtd",,"bse_cm|1003SCL30A","Trading Symbol")</f>
        <v>1003SCL30A</v>
      </c>
      <c r="C875" t="str">
        <f>RTD("nest.scriprtd",,"bse_cm|1003SCL30A","Exchange")</f>
        <v>BSE</v>
      </c>
      <c r="D875">
        <f>RTD("nest.scriprtd",,"bse_cm|1003SCL30A","Bid Qty")</f>
        <v>6</v>
      </c>
      <c r="E875">
        <f>RTD("nest.scriprtd",,"bse_cm|1003SCL30A","Bid Rate")</f>
        <v>912</v>
      </c>
      <c r="F875">
        <f>RTD("nest.scriprtd",,"bse_cm|1003SCL30A","Ask Rate")</f>
        <v>0</v>
      </c>
      <c r="G875">
        <f>RTD("nest.scriprtd",,"bse_cm|1003SCL30A","Ask Qty")</f>
        <v>0</v>
      </c>
      <c r="H875">
        <f>RTD("nest.scriprtd",,"bse_cm|1003SCL30A","LTP")</f>
        <v>0</v>
      </c>
      <c r="I875" t="str">
        <f>RTD("nest.scriprtd",,"bse_cm|1003SCL30A","LTT")</f>
        <v>00:00:00</v>
      </c>
      <c r="J875">
        <f>RTD("nest.scriprtd",,"bse_cm|1003SCL30A","% Change")</f>
        <v>-100</v>
      </c>
      <c r="K875">
        <f>RTD("nest.scriprtd",,"bse_cm|1003SCL30A","ATP")</f>
        <v>0</v>
      </c>
      <c r="L875">
        <f>RTD("nest.scriprtd",,"bse_cm|1003SCL30A","Volume Traded Today")</f>
        <v>0</v>
      </c>
      <c r="M875">
        <f>RTD("nest.scriprtd",,"bse_cm|1003SCL30A","Open")</f>
        <v>0</v>
      </c>
      <c r="N875">
        <f>RTD("nest.scriprtd",,"bse_cm|1003SCL30A","High")</f>
        <v>912</v>
      </c>
      <c r="O875">
        <f>RTD("nest.scriprtd",,"bse_cm|1003SCL30A","Low ")</f>
        <v>912</v>
      </c>
      <c r="P875">
        <f>RTD("nest.scriprtd",,"bse_cm|1003SCL30A","Prev Close")</f>
        <v>912</v>
      </c>
      <c r="Q875">
        <f>RTD("nest.scriprtd",,"bse_cm|1003SCL30A","Face Value")</f>
        <v>1000</v>
      </c>
      <c r="R875" t="str">
        <f>RTD("nest.scriprtd",,"bse_cm|1003SCL30A","Isin code")</f>
        <v>INE148I07QX7</v>
      </c>
      <c r="S875" s="9">
        <f>Table1[[#This Row],[Ask Rate]]*Table1[[#This Row],[Ask Qty]]</f>
        <v>0</v>
      </c>
      <c r="T875">
        <f>VLOOKUP(Table1[[#This Row],[Isin code]],Table2[#All],7,FALSE)</f>
        <v>10.029999999999999</v>
      </c>
      <c r="U875" s="17" t="str">
        <f>VLOOKUP(Table1[[#This Row],[Isin code]],Table2[#All],8,FALSE)</f>
        <v>09-Nov-2030</v>
      </c>
      <c r="V875" s="10">
        <f ca="1">Table1[[#This Row],[Maturity]]-TODAY()</f>
        <v>2215</v>
      </c>
      <c r="W875" t="str">
        <f>VLOOKUP(Table1[[#This Row],[Isin code]],Table2[#All],10,FALSE)</f>
        <v>Monthly</v>
      </c>
      <c r="X875">
        <f ca="1">_xlfn.DAYS(Table1[[#This Row],[Maturity]],TODAY())-15</f>
        <v>2200</v>
      </c>
      <c r="Y8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74</v>
      </c>
      <c r="Z875">
        <f>IF(Table1[[#This Row],[Ask Rate]]=0,0,Table1[[#This Row],[Face Value]]-Table1[[#This Row],[Ask Rate]])</f>
        <v>0</v>
      </c>
      <c r="AA875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875">
        <f ca="1">Table1[[#This Row],[Face Value]]*Table1[[#This Row],[Rate]]*Table1[[#This Row],[Time]]</f>
        <v>618.51666666666665</v>
      </c>
      <c r="AC875">
        <f ca="1">Table1[[#This Row],[SI]]+Table1[[#This Row],[Disc/Prem]]</f>
        <v>618.51666666666665</v>
      </c>
      <c r="AD875" s="3" t="e">
        <f ca="1">Table1[[#This Row],[Net Gain]]/Table1[[#This Row],[Ask Rate]]</f>
        <v>#DIV/0!</v>
      </c>
      <c r="AE875" s="3">
        <f>IF(Table1[[#This Row],[Ask Qty]]=0,0,Table1[[#This Row],[Gross Yield]]*365/Table1[[#This Row],[Days Left]])</f>
        <v>0</v>
      </c>
      <c r="AF875" s="9">
        <f ca="1">+Table1[[#This Row],[Net Gain]]*Table1[[#This Row],[Ask Qty]]</f>
        <v>0</v>
      </c>
      <c r="AG875" t="str">
        <f>IF(Table1[[#This Row],[YTM]]&gt;0.12,IF(Table1[[#This Row],[Gross Profit]]&gt;10000,"Invest","Review"),"Low YTM")</f>
        <v>Low YTM</v>
      </c>
    </row>
    <row r="876" spans="1:33" x14ac:dyDescent="0.3">
      <c r="A876" t="str">
        <f>RTD("nest.scriprtd",,"nse_cm|1003SCL30-BW","Symbol")</f>
        <v>1003SCL30</v>
      </c>
      <c r="B876" t="str">
        <f>RTD("nest.scriprtd",,"nse_cm|1003SCL30-BW","Trading Symbol")</f>
        <v>1003SCL30-BW</v>
      </c>
      <c r="C876" t="str">
        <f>RTD("nest.scriprtd",,"nse_cm|1003SCL30-BW","Exchange")</f>
        <v>NSE</v>
      </c>
      <c r="D876">
        <f>RTD("nest.scriprtd",,"nse_cm|1003SCL30-BW","Bid Qty")</f>
        <v>0</v>
      </c>
      <c r="E876">
        <f>RTD("nest.scriprtd",,"nse_cm|1003SCL30-BW","Bid Rate")</f>
        <v>0</v>
      </c>
      <c r="F876">
        <f>RTD("nest.scriprtd",,"nse_cm|1003SCL30-BW","Ask Rate")</f>
        <v>0</v>
      </c>
      <c r="G876">
        <f>RTD("nest.scriprtd",,"nse_cm|1003SCL30-BW","Ask Qty")</f>
        <v>0</v>
      </c>
      <c r="H876">
        <f>RTD("nest.scriprtd",,"nse_cm|1003SCL30-BW","LTP")</f>
        <v>0</v>
      </c>
      <c r="I876" t="str">
        <f>RTD("nest.scriprtd",,"nse_cm|1003SCL30-BW","LTT")</f>
        <v/>
      </c>
      <c r="J876">
        <f>RTD("nest.scriprtd",,"nse_cm|1003SCL30-BW","% Change")</f>
        <v>0</v>
      </c>
      <c r="K876">
        <f>RTD("nest.scriprtd",,"nse_cm|1003SCL30-BW","ATP")</f>
        <v>0</v>
      </c>
      <c r="L876">
        <f>RTD("nest.scriprtd",,"nse_cm|1003SCL30-BW","Volume Traded Today")</f>
        <v>0</v>
      </c>
      <c r="M876">
        <f>RTD("nest.scriprtd",,"nse_cm|1003SCL30-BW","Open")</f>
        <v>0</v>
      </c>
      <c r="N876">
        <f>RTD("nest.scriprtd",,"nse_cm|1003SCL30-BW","High")</f>
        <v>0</v>
      </c>
      <c r="O876">
        <f>RTD("nest.scriprtd",,"nse_cm|1003SCL30-BW","Low ")</f>
        <v>0</v>
      </c>
      <c r="P876">
        <f>RTD("nest.scriprtd",,"nse_cm|1003SCL30-BW","Prev Close")</f>
        <v>0</v>
      </c>
      <c r="Q876">
        <f>RTD("nest.scriprtd",,"nse_cm|1003SCL30-BW","Face Value")</f>
        <v>857.14</v>
      </c>
      <c r="R876" t="str">
        <f>RTD("nest.scriprtd",,"nse_cm|1003SCL30-BW","Isin code")</f>
        <v>INE148I07PN0</v>
      </c>
      <c r="S876" s="9">
        <f>Table1[[#This Row],[Ask Rate]]*Table1[[#This Row],[Ask Qty]]</f>
        <v>0</v>
      </c>
      <c r="T876">
        <f>VLOOKUP(Table1[[#This Row],[Isin code]],Table2[#All],7,FALSE)</f>
        <v>10</v>
      </c>
      <c r="U876" s="17" t="str">
        <f>VLOOKUP(Table1[[#This Row],[Isin code]],Table2[#All],8,FALSE)</f>
        <v>26-Sep-2030</v>
      </c>
      <c r="V876" s="10">
        <f ca="1">Table1[[#This Row],[Maturity]]-TODAY()</f>
        <v>2171</v>
      </c>
      <c r="W876" t="str">
        <f>VLOOKUP(Table1[[#This Row],[Isin code]],Table2[#All],10,FALSE)</f>
        <v>Yearly</v>
      </c>
      <c r="X876">
        <f ca="1">_xlfn.DAYS(Table1[[#This Row],[Maturity]],TODAY())-15</f>
        <v>2156</v>
      </c>
      <c r="Y8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876">
        <f>IF(Table1[[#This Row],[Ask Rate]]=0,0,Table1[[#This Row],[Face Value]]-Table1[[#This Row],[Ask Rate]])</f>
        <v>0</v>
      </c>
      <c r="AA876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876">
        <f ca="1">Table1[[#This Row],[Face Value]]*Table1[[#This Row],[Rate]]*Table1[[#This Row],[Time]]</f>
        <v>514.28399999999999</v>
      </c>
      <c r="AC876">
        <f ca="1">Table1[[#This Row],[SI]]+Table1[[#This Row],[Disc/Prem]]</f>
        <v>514.28399999999999</v>
      </c>
      <c r="AD876" s="3" t="e">
        <f ca="1">Table1[[#This Row],[Net Gain]]/Table1[[#This Row],[Ask Rate]]</f>
        <v>#DIV/0!</v>
      </c>
      <c r="AE876" s="3">
        <f>IF(Table1[[#This Row],[Ask Qty]]=0,0,Table1[[#This Row],[Gross Yield]]*365/Table1[[#This Row],[Days Left]])</f>
        <v>0</v>
      </c>
      <c r="AF876" s="9">
        <f ca="1">+Table1[[#This Row],[Net Gain]]*Table1[[#This Row],[Ask Qty]]</f>
        <v>0</v>
      </c>
      <c r="AG876" t="str">
        <f>IF(Table1[[#This Row],[YTM]]&gt;0.12,IF(Table1[[#This Row],[Gross Profit]]&gt;10000,"Invest","Review"),"Low YTM")</f>
        <v>Low YTM</v>
      </c>
    </row>
    <row r="877" spans="1:33" x14ac:dyDescent="0.3">
      <c r="A877" t="str">
        <f>RTD("nest.scriprtd",,"bse_cm|1003SCL30","Symbol")</f>
        <v>1003SCL30</v>
      </c>
      <c r="B877" t="str">
        <f>RTD("nest.scriprtd",,"bse_cm|1003SCL30","Trading Symbol")</f>
        <v>1003SCL30</v>
      </c>
      <c r="C877" t="str">
        <f>RTD("nest.scriprtd",,"bse_cm|1003SCL30","Exchange")</f>
        <v>BSE</v>
      </c>
      <c r="D877">
        <f>RTD("nest.scriprtd",,"bse_cm|1003SCL30","Bid Qty")</f>
        <v>20</v>
      </c>
      <c r="E877">
        <f>RTD("nest.scriprtd",,"bse_cm|1003SCL30","Bid Rate")</f>
        <v>690.2</v>
      </c>
      <c r="F877">
        <f>RTD("nest.scriprtd",,"bse_cm|1003SCL30","Ask Rate")</f>
        <v>0</v>
      </c>
      <c r="G877">
        <f>RTD("nest.scriprtd",,"bse_cm|1003SCL30","Ask Qty")</f>
        <v>0</v>
      </c>
      <c r="H877">
        <f>RTD("nest.scriprtd",,"bse_cm|1003SCL30","LTP")</f>
        <v>0</v>
      </c>
      <c r="I877" t="str">
        <f>RTD("nest.scriprtd",,"bse_cm|1003SCL30","LTT")</f>
        <v>00:00:00</v>
      </c>
      <c r="J877">
        <f>RTD("nest.scriprtd",,"bse_cm|1003SCL30","% Change")</f>
        <v>-100</v>
      </c>
      <c r="K877">
        <f>RTD("nest.scriprtd",,"bse_cm|1003SCL30","ATP")</f>
        <v>0</v>
      </c>
      <c r="L877">
        <f>RTD("nest.scriprtd",,"bse_cm|1003SCL30","Volume Traded Today")</f>
        <v>0</v>
      </c>
      <c r="M877">
        <f>RTD("nest.scriprtd",,"bse_cm|1003SCL30","Open")</f>
        <v>0</v>
      </c>
      <c r="N877">
        <f>RTD("nest.scriprtd",,"bse_cm|1003SCL30","High")</f>
        <v>0</v>
      </c>
      <c r="O877">
        <f>RTD("nest.scriprtd",,"bse_cm|1003SCL30","Low ")</f>
        <v>0</v>
      </c>
      <c r="P877">
        <f>RTD("nest.scriprtd",,"bse_cm|1003SCL30","Prev Close")</f>
        <v>857.14</v>
      </c>
      <c r="Q877">
        <f>RTD("nest.scriprtd",,"bse_cm|1003SCL30","Face Value")</f>
        <v>857.14</v>
      </c>
      <c r="R877" t="str">
        <f>RTD("nest.scriprtd",,"bse_cm|1003SCL30","Isin code")</f>
        <v>INE148I07PN0</v>
      </c>
      <c r="S877" s="9">
        <f>Table1[[#This Row],[Ask Rate]]*Table1[[#This Row],[Ask Qty]]</f>
        <v>0</v>
      </c>
      <c r="T877">
        <f>VLOOKUP(Table1[[#This Row],[Isin code]],Table2[#All],7,FALSE)</f>
        <v>10</v>
      </c>
      <c r="U877" s="17" t="str">
        <f>VLOOKUP(Table1[[#This Row],[Isin code]],Table2[#All],8,FALSE)</f>
        <v>26-Sep-2030</v>
      </c>
      <c r="V877" s="10">
        <f ca="1">Table1[[#This Row],[Maturity]]-TODAY()</f>
        <v>2171</v>
      </c>
      <c r="W877" t="str">
        <f>VLOOKUP(Table1[[#This Row],[Isin code]],Table2[#All],10,FALSE)</f>
        <v>Yearly</v>
      </c>
      <c r="X877">
        <f ca="1">_xlfn.DAYS(Table1[[#This Row],[Maturity]],TODAY())-15</f>
        <v>2156</v>
      </c>
      <c r="Y8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877">
        <f>IF(Table1[[#This Row],[Ask Rate]]=0,0,Table1[[#This Row],[Face Value]]-Table1[[#This Row],[Ask Rate]])</f>
        <v>0</v>
      </c>
      <c r="AA877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877">
        <f ca="1">Table1[[#This Row],[Face Value]]*Table1[[#This Row],[Rate]]*Table1[[#This Row],[Time]]</f>
        <v>514.28399999999999</v>
      </c>
      <c r="AC877">
        <f ca="1">Table1[[#This Row],[SI]]+Table1[[#This Row],[Disc/Prem]]</f>
        <v>514.28399999999999</v>
      </c>
      <c r="AD877" s="3" t="e">
        <f ca="1">Table1[[#This Row],[Net Gain]]/Table1[[#This Row],[Ask Rate]]</f>
        <v>#DIV/0!</v>
      </c>
      <c r="AE877" s="3">
        <f>IF(Table1[[#This Row],[Ask Qty]]=0,0,Table1[[#This Row],[Gross Yield]]*365/Table1[[#This Row],[Days Left]])</f>
        <v>0</v>
      </c>
      <c r="AF877" s="9">
        <f ca="1">+Table1[[#This Row],[Net Gain]]*Table1[[#This Row],[Ask Qty]]</f>
        <v>0</v>
      </c>
      <c r="AG877" t="str">
        <f>IF(Table1[[#This Row],[YTM]]&gt;0.12,IF(Table1[[#This Row],[Gross Profit]]&gt;10000,"Invest","Review"),"Low YTM")</f>
        <v>Low YTM</v>
      </c>
    </row>
    <row r="878" spans="1:33" x14ac:dyDescent="0.3">
      <c r="A878" t="str">
        <f>RTD("nest.scriprtd",,"nse_cm|1003SCFL31-Z4","Symbol")</f>
        <v>1003SCFL31</v>
      </c>
      <c r="B878" t="str">
        <f>RTD("nest.scriprtd",,"nse_cm|1003SCFL31-Z4","Trading Symbol")</f>
        <v>1003SCFL31-Z4</v>
      </c>
      <c r="C878" t="str">
        <f>RTD("nest.scriprtd",,"nse_cm|1003SCFL31-Z4","Exchange")</f>
        <v>NSE</v>
      </c>
      <c r="D878">
        <f>RTD("nest.scriprtd",,"nse_cm|1003SCFL31-Z4","Bid Qty")</f>
        <v>8</v>
      </c>
      <c r="E878">
        <f>RTD("nest.scriprtd",,"nse_cm|1003SCFL31-Z4","Bid Rate")</f>
        <v>825.65</v>
      </c>
      <c r="F878">
        <f>RTD("nest.scriprtd",,"nse_cm|1003SCFL31-Z4","Ask Rate")</f>
        <v>0</v>
      </c>
      <c r="G878">
        <f>RTD("nest.scriprtd",,"nse_cm|1003SCFL31-Z4","Ask Qty")</f>
        <v>0</v>
      </c>
      <c r="H878">
        <f>RTD("nest.scriprtd",,"nse_cm|1003SCFL31-Z4","LTP")</f>
        <v>0</v>
      </c>
      <c r="I878" t="str">
        <f>RTD("nest.scriprtd",,"nse_cm|1003SCFL31-Z4","LTT")</f>
        <v/>
      </c>
      <c r="J878">
        <f>RTD("nest.scriprtd",,"nse_cm|1003SCFL31-Z4","% Change")</f>
        <v>-100</v>
      </c>
      <c r="K878">
        <f>RTD("nest.scriprtd",,"nse_cm|1003SCFL31-Z4","ATP")</f>
        <v>0</v>
      </c>
      <c r="L878">
        <f>RTD("nest.scriprtd",,"nse_cm|1003SCFL31-Z4","Volume Traded Today")</f>
        <v>0</v>
      </c>
      <c r="M878">
        <f>RTD("nest.scriprtd",,"nse_cm|1003SCFL31-Z4","Open")</f>
        <v>0</v>
      </c>
      <c r="N878">
        <f>RTD("nest.scriprtd",,"nse_cm|1003SCFL31-Z4","High")</f>
        <v>0</v>
      </c>
      <c r="O878">
        <f>RTD("nest.scriprtd",,"nse_cm|1003SCFL31-Z4","Low ")</f>
        <v>0</v>
      </c>
      <c r="P878">
        <f>RTD("nest.scriprtd",,"nse_cm|1003SCFL31-Z4","Prev Close")</f>
        <v>1000</v>
      </c>
      <c r="Q878">
        <f>RTD("nest.scriprtd",,"nse_cm|1003SCFL31-Z4","Face Value")</f>
        <v>1000</v>
      </c>
      <c r="R878" t="str">
        <f>RTD("nest.scriprtd",,"nse_cm|1003SCFL31-Z4","Isin code")</f>
        <v>INE148I07SX3</v>
      </c>
      <c r="S878" s="9">
        <f>Table1[[#This Row],[Ask Rate]]*Table1[[#This Row],[Ask Qty]]</f>
        <v>0</v>
      </c>
      <c r="T878">
        <f>VLOOKUP(Table1[[#This Row],[Isin code]],Table2[#All],7,FALSE)</f>
        <v>10.029999999999999</v>
      </c>
      <c r="U878" s="17" t="str">
        <f>VLOOKUP(Table1[[#This Row],[Isin code]],Table2[#All],8,FALSE)</f>
        <v>26-Mar-2031</v>
      </c>
      <c r="V878" s="10">
        <f ca="1">Table1[[#This Row],[Maturity]]-TODAY()</f>
        <v>2352</v>
      </c>
      <c r="W878" t="str">
        <f>VLOOKUP(Table1[[#This Row],[Isin code]],Table2[#All],10,FALSE)</f>
        <v>Monthly</v>
      </c>
      <c r="X878">
        <f ca="1">_xlfn.DAYS(Table1[[#This Row],[Maturity]],TODAY())-15</f>
        <v>2337</v>
      </c>
      <c r="Y8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78</v>
      </c>
      <c r="Z878">
        <f>IF(Table1[[#This Row],[Ask Rate]]=0,0,Table1[[#This Row],[Face Value]]-Table1[[#This Row],[Ask Rate]])</f>
        <v>0</v>
      </c>
      <c r="AA878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878">
        <f ca="1">Table1[[#This Row],[Face Value]]*Table1[[#This Row],[Rate]]*Table1[[#This Row],[Time]]</f>
        <v>651.94999999999993</v>
      </c>
      <c r="AC878">
        <f ca="1">Table1[[#This Row],[SI]]+Table1[[#This Row],[Disc/Prem]]</f>
        <v>651.94999999999993</v>
      </c>
      <c r="AD878" s="3" t="e">
        <f ca="1">Table1[[#This Row],[Net Gain]]/Table1[[#This Row],[Ask Rate]]</f>
        <v>#DIV/0!</v>
      </c>
      <c r="AE878" s="3">
        <f>IF(Table1[[#This Row],[Ask Qty]]=0,0,Table1[[#This Row],[Gross Yield]]*365/Table1[[#This Row],[Days Left]])</f>
        <v>0</v>
      </c>
      <c r="AF878" s="9">
        <f ca="1">+Table1[[#This Row],[Net Gain]]*Table1[[#This Row],[Ask Qty]]</f>
        <v>0</v>
      </c>
      <c r="AG878" t="str">
        <f>IF(Table1[[#This Row],[YTM]]&gt;0.12,IF(Table1[[#This Row],[Gross Profit]]&gt;10000,"Invest","Review"),"Low YTM")</f>
        <v>Low YTM</v>
      </c>
    </row>
    <row r="879" spans="1:33" x14ac:dyDescent="0.3">
      <c r="A879" t="str">
        <f>RTD("nest.scriprtd",,"bse_cm|1025SCL33","Symbol")</f>
        <v>1025SCL33</v>
      </c>
      <c r="B879" t="str">
        <f>RTD("nest.scriprtd",,"bse_cm|1025SCL33","Trading Symbol")</f>
        <v>1025SCL33</v>
      </c>
      <c r="C879" t="str">
        <f>RTD("nest.scriprtd",,"bse_cm|1025SCL33","Exchange")</f>
        <v>BSE</v>
      </c>
      <c r="D879">
        <f>RTD("nest.scriprtd",,"bse_cm|1025SCL33","Bid Qty")</f>
        <v>20</v>
      </c>
      <c r="E879">
        <f>RTD("nest.scriprtd",,"bse_cm|1025SCL33","Bid Rate")</f>
        <v>818.2</v>
      </c>
      <c r="F879">
        <f>RTD("nest.scriprtd",,"bse_cm|1025SCL33","Ask Rate")</f>
        <v>0</v>
      </c>
      <c r="G879">
        <f>RTD("nest.scriprtd",,"bse_cm|1025SCL33","Ask Qty")</f>
        <v>0</v>
      </c>
      <c r="H879">
        <f>RTD("nest.scriprtd",,"bse_cm|1025SCL33","LTP")</f>
        <v>0</v>
      </c>
      <c r="I879" t="str">
        <f>RTD("nest.scriprtd",,"bse_cm|1025SCL33","LTT")</f>
        <v>00:00:00</v>
      </c>
      <c r="J879">
        <f>RTD("nest.scriprtd",,"bse_cm|1025SCL33","% Change")</f>
        <v>-100</v>
      </c>
      <c r="K879">
        <f>RTD("nest.scriprtd",,"bse_cm|1025SCL33","ATP")</f>
        <v>0</v>
      </c>
      <c r="L879">
        <f>RTD("nest.scriprtd",,"bse_cm|1025SCL33","Volume Traded Today")</f>
        <v>0</v>
      </c>
      <c r="M879">
        <f>RTD("nest.scriprtd",,"bse_cm|1025SCL33","Open")</f>
        <v>0</v>
      </c>
      <c r="N879">
        <f>RTD("nest.scriprtd",,"bse_cm|1025SCL33","High")</f>
        <v>0</v>
      </c>
      <c r="O879">
        <f>RTD("nest.scriprtd",,"bse_cm|1025SCL33","Low ")</f>
        <v>0</v>
      </c>
      <c r="P879">
        <f>RTD("nest.scriprtd",,"bse_cm|1025SCL33","Prev Close")</f>
        <v>1000</v>
      </c>
      <c r="Q879">
        <f>RTD("nest.scriprtd",,"bse_cm|1025SCL33","Face Value")</f>
        <v>1000</v>
      </c>
      <c r="R879" t="str">
        <f>RTD("nest.scriprtd",,"bse_cm|1025SCL33","Isin code")</f>
        <v>INE148I07RV9</v>
      </c>
      <c r="S879" s="9">
        <f>Table1[[#This Row],[Ask Rate]]*Table1[[#This Row],[Ask Qty]]</f>
        <v>0</v>
      </c>
      <c r="T879">
        <f>VLOOKUP(Table1[[#This Row],[Isin code]],Table2[#All],7,FALSE)</f>
        <v>10.25</v>
      </c>
      <c r="U879" s="17" t="str">
        <f>VLOOKUP(Table1[[#This Row],[Isin code]],Table2[#All],8,FALSE)</f>
        <v>27-Dec-2033</v>
      </c>
      <c r="V879" s="10">
        <f ca="1">Table1[[#This Row],[Maturity]]-TODAY()</f>
        <v>3359</v>
      </c>
      <c r="W879" t="str">
        <f>VLOOKUP(Table1[[#This Row],[Isin code]],Table2[#All],10,FALSE)</f>
        <v>Yearly</v>
      </c>
      <c r="X879">
        <f ca="1">_xlfn.DAYS(Table1[[#This Row],[Maturity]],TODAY())-15</f>
        <v>3344</v>
      </c>
      <c r="Y8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879">
        <f>IF(Table1[[#This Row],[Ask Rate]]=0,0,Table1[[#This Row],[Face Value]]-Table1[[#This Row],[Ask Rate]])</f>
        <v>0</v>
      </c>
      <c r="AA879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879">
        <f ca="1">Table1[[#This Row],[Face Value]]*Table1[[#This Row],[Rate]]*Table1[[#This Row],[Time]]</f>
        <v>1025</v>
      </c>
      <c r="AC879">
        <f ca="1">Table1[[#This Row],[SI]]+Table1[[#This Row],[Disc/Prem]]</f>
        <v>1025</v>
      </c>
      <c r="AD879" s="3" t="e">
        <f ca="1">Table1[[#This Row],[Net Gain]]/Table1[[#This Row],[Ask Rate]]</f>
        <v>#DIV/0!</v>
      </c>
      <c r="AE879" s="3">
        <f>IF(Table1[[#This Row],[Ask Qty]]=0,0,Table1[[#This Row],[Gross Yield]]*365/Table1[[#This Row],[Days Left]])</f>
        <v>0</v>
      </c>
      <c r="AF879" s="9">
        <f ca="1">+Table1[[#This Row],[Net Gain]]*Table1[[#This Row],[Ask Qty]]</f>
        <v>0</v>
      </c>
      <c r="AG879" t="str">
        <f>IF(Table1[[#This Row],[YTM]]&gt;0.12,IF(Table1[[#This Row],[Gross Profit]]&gt;10000,"Invest","Review"),"Low YTM")</f>
        <v>Low YTM</v>
      </c>
    </row>
    <row r="880" spans="1:33" x14ac:dyDescent="0.3">
      <c r="A880" t="str">
        <f>RTD("nest.scriprtd",,"nse_cm|1025SCFL34-Z5","Symbol")</f>
        <v>1025SCFL34</v>
      </c>
      <c r="B880" t="str">
        <f>RTD("nest.scriprtd",,"nse_cm|1025SCFL34-Z5","Trading Symbol")</f>
        <v>1025SCFL34-Z5</v>
      </c>
      <c r="C880" t="str">
        <f>RTD("nest.scriprtd",,"nse_cm|1025SCFL34-Z5","Exchange")</f>
        <v>NSE</v>
      </c>
      <c r="D880">
        <f>RTD("nest.scriprtd",,"nse_cm|1025SCFL34-Z5","Bid Qty")</f>
        <v>15</v>
      </c>
      <c r="E880">
        <f>RTD("nest.scriprtd",,"nse_cm|1025SCFL34-Z5","Bid Rate")</f>
        <v>825.2</v>
      </c>
      <c r="F880">
        <f>RTD("nest.scriprtd",,"nse_cm|1025SCFL34-Z5","Ask Rate")</f>
        <v>0</v>
      </c>
      <c r="G880">
        <f>RTD("nest.scriprtd",,"nse_cm|1025SCFL34-Z5","Ask Qty")</f>
        <v>0</v>
      </c>
      <c r="H880">
        <f>RTD("nest.scriprtd",,"nse_cm|1025SCFL34-Z5","LTP")</f>
        <v>0</v>
      </c>
      <c r="I880" t="str">
        <f>RTD("nest.scriprtd",,"nse_cm|1025SCFL34-Z5","LTT")</f>
        <v/>
      </c>
      <c r="J880">
        <f>RTD("nest.scriprtd",,"nse_cm|1025SCFL34-Z5","% Change")</f>
        <v>-100</v>
      </c>
      <c r="K880">
        <f>RTD("nest.scriprtd",,"nse_cm|1025SCFL34-Z5","ATP")</f>
        <v>0</v>
      </c>
      <c r="L880">
        <f>RTD("nest.scriprtd",,"nse_cm|1025SCFL34-Z5","Volume Traded Today")</f>
        <v>0</v>
      </c>
      <c r="M880">
        <f>RTD("nest.scriprtd",,"nse_cm|1025SCFL34-Z5","Open")</f>
        <v>0</v>
      </c>
      <c r="N880">
        <f>RTD("nest.scriprtd",,"nse_cm|1025SCFL34-Z5","High")</f>
        <v>0</v>
      </c>
      <c r="O880">
        <f>RTD("nest.scriprtd",,"nse_cm|1025SCFL34-Z5","Low ")</f>
        <v>0</v>
      </c>
      <c r="P880">
        <f>RTD("nest.scriprtd",,"nse_cm|1025SCFL34-Z5","Prev Close")</f>
        <v>1000</v>
      </c>
      <c r="Q880">
        <f>RTD("nest.scriprtd",,"nse_cm|1025SCFL34-Z5","Face Value")</f>
        <v>1000</v>
      </c>
      <c r="R880" t="str">
        <f>RTD("nest.scriprtd",,"nse_cm|1025SCFL34-Z5","Isin code")</f>
        <v>INE148I07SV7</v>
      </c>
      <c r="S880" s="9">
        <f>Table1[[#This Row],[Ask Rate]]*Table1[[#This Row],[Ask Qty]]</f>
        <v>0</v>
      </c>
      <c r="T880">
        <f>VLOOKUP(Table1[[#This Row],[Isin code]],Table2[#All],7,FALSE)</f>
        <v>10.25</v>
      </c>
      <c r="U880" s="17" t="str">
        <f>VLOOKUP(Table1[[#This Row],[Isin code]],Table2[#All],8,FALSE)</f>
        <v>26-Mar-2034</v>
      </c>
      <c r="V880" s="10">
        <f ca="1">Table1[[#This Row],[Maturity]]-TODAY()</f>
        <v>3448</v>
      </c>
      <c r="W880" t="str">
        <f>VLOOKUP(Table1[[#This Row],[Isin code]],Table2[#All],10,FALSE)</f>
        <v>Annual</v>
      </c>
      <c r="X880">
        <f ca="1">_xlfn.DAYS(Table1[[#This Row],[Maturity]],TODAY())-15</f>
        <v>3433</v>
      </c>
      <c r="Y88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80">
        <f>IF(Table1[[#This Row],[Ask Rate]]=0,0,Table1[[#This Row],[Face Value]]-Table1[[#This Row],[Ask Rate]])</f>
        <v>0</v>
      </c>
      <c r="AA88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80">
        <f>Table1[[#This Row],[Face Value]]*Table1[[#This Row],[Rate]]*Table1[[#This Row],[Time]]</f>
        <v>0</v>
      </c>
      <c r="AC880">
        <f>Table1[[#This Row],[SI]]+Table1[[#This Row],[Disc/Prem]]</f>
        <v>0</v>
      </c>
      <c r="AD880" s="3" t="e">
        <f>Table1[[#This Row],[Net Gain]]/Table1[[#This Row],[Ask Rate]]</f>
        <v>#DIV/0!</v>
      </c>
      <c r="AE880" s="3">
        <f>IF(Table1[[#This Row],[Ask Qty]]=0,0,Table1[[#This Row],[Gross Yield]]*365/Table1[[#This Row],[Days Left]])</f>
        <v>0</v>
      </c>
      <c r="AF880" s="9">
        <f>+Table1[[#This Row],[Net Gain]]*Table1[[#This Row],[Ask Qty]]</f>
        <v>0</v>
      </c>
      <c r="AG880" t="str">
        <f>IF(Table1[[#This Row],[YTM]]&gt;0.12,IF(Table1[[#This Row],[Gross Profit]]&gt;10000,"Invest","Review"),"Low YTM")</f>
        <v>Low YTM</v>
      </c>
    </row>
    <row r="881" spans="1:33" x14ac:dyDescent="0.3">
      <c r="A881" t="str">
        <f>RTD("nest.scriprtd",,"bse_cm|1075SCL33","Symbol")</f>
        <v>1075SCL33</v>
      </c>
      <c r="B881" t="str">
        <f>RTD("nest.scriprtd",,"bse_cm|1075SCL33","Trading Symbol")</f>
        <v>1075SCL33</v>
      </c>
      <c r="C881" t="str">
        <f>RTD("nest.scriprtd",,"bse_cm|1075SCL33","Exchange")</f>
        <v>BSE</v>
      </c>
      <c r="D881">
        <f>RTD("nest.scriprtd",,"bse_cm|1075SCL33","Bid Qty")</f>
        <v>25</v>
      </c>
      <c r="E881">
        <f>RTD("nest.scriprtd",,"bse_cm|1075SCL33","Bid Rate")</f>
        <v>820</v>
      </c>
      <c r="F881">
        <f>RTD("nest.scriprtd",,"bse_cm|1075SCL33","Ask Rate")</f>
        <v>0</v>
      </c>
      <c r="G881">
        <f>RTD("nest.scriprtd",,"bse_cm|1075SCL33","Ask Qty")</f>
        <v>0</v>
      </c>
      <c r="H881">
        <f>RTD("nest.scriprtd",,"bse_cm|1075SCL33","LTP")</f>
        <v>0</v>
      </c>
      <c r="I881" t="str">
        <f>RTD("nest.scriprtd",,"bse_cm|1075SCL33","LTT")</f>
        <v>00:00:00</v>
      </c>
      <c r="J881">
        <f>RTD("nest.scriprtd",,"bse_cm|1075SCL33","% Change")</f>
        <v>-100</v>
      </c>
      <c r="K881">
        <f>RTD("nest.scriprtd",,"bse_cm|1075SCL33","ATP")</f>
        <v>0</v>
      </c>
      <c r="L881">
        <f>RTD("nest.scriprtd",,"bse_cm|1075SCL33","Volume Traded Today")</f>
        <v>0</v>
      </c>
      <c r="M881">
        <f>RTD("nest.scriprtd",,"bse_cm|1075SCL33","Open")</f>
        <v>0</v>
      </c>
      <c r="N881">
        <f>RTD("nest.scriprtd",,"bse_cm|1075SCL33","High")</f>
        <v>911.17</v>
      </c>
      <c r="O881">
        <f>RTD("nest.scriprtd",,"bse_cm|1075SCL33","Low ")</f>
        <v>900</v>
      </c>
      <c r="P881">
        <f>RTD("nest.scriprtd",,"bse_cm|1075SCL33","Prev Close")</f>
        <v>900</v>
      </c>
      <c r="Q881">
        <f>RTD("nest.scriprtd",,"bse_cm|1075SCL33","Face Value")</f>
        <v>1000</v>
      </c>
      <c r="R881" t="str">
        <f>RTD("nest.scriprtd",,"bse_cm|1075SCL33","Isin code")</f>
        <v>INE148I07RW7</v>
      </c>
      <c r="S881" s="9">
        <f>Table1[[#This Row],[Ask Rate]]*Table1[[#This Row],[Ask Qty]]</f>
        <v>0</v>
      </c>
      <c r="T881">
        <f>VLOOKUP(Table1[[#This Row],[Isin code]],Table2[#All],7,FALSE)</f>
        <v>10.75</v>
      </c>
      <c r="U881" s="17" t="str">
        <f>VLOOKUP(Table1[[#This Row],[Isin code]],Table2[#All],8,FALSE)</f>
        <v>27-Dec-2033</v>
      </c>
      <c r="V881" s="10">
        <f ca="1">Table1[[#This Row],[Maturity]]-TODAY()</f>
        <v>3359</v>
      </c>
      <c r="W881" t="str">
        <f>VLOOKUP(Table1[[#This Row],[Isin code]],Table2[#All],10,FALSE)</f>
        <v>Yearly</v>
      </c>
      <c r="X881">
        <f ca="1">_xlfn.DAYS(Table1[[#This Row],[Maturity]],TODAY())-15</f>
        <v>3344</v>
      </c>
      <c r="Y8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881">
        <f>IF(Table1[[#This Row],[Ask Rate]]=0,0,Table1[[#This Row],[Face Value]]-Table1[[#This Row],[Ask Rate]])</f>
        <v>0</v>
      </c>
      <c r="AA881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881">
        <f ca="1">Table1[[#This Row],[Face Value]]*Table1[[#This Row],[Rate]]*Table1[[#This Row],[Time]]</f>
        <v>1075</v>
      </c>
      <c r="AC881">
        <f ca="1">Table1[[#This Row],[SI]]+Table1[[#This Row],[Disc/Prem]]</f>
        <v>1075</v>
      </c>
      <c r="AD881" s="3" t="e">
        <f ca="1">Table1[[#This Row],[Net Gain]]/Table1[[#This Row],[Ask Rate]]</f>
        <v>#DIV/0!</v>
      </c>
      <c r="AE881" s="3">
        <f>IF(Table1[[#This Row],[Ask Qty]]=0,0,Table1[[#This Row],[Gross Yield]]*365/Table1[[#This Row],[Days Left]])</f>
        <v>0</v>
      </c>
      <c r="AF881" s="9">
        <f ca="1">+Table1[[#This Row],[Net Gain]]*Table1[[#This Row],[Ask Qty]]</f>
        <v>0</v>
      </c>
      <c r="AG881" t="str">
        <f>IF(Table1[[#This Row],[YTM]]&gt;0.12,IF(Table1[[#This Row],[Gross Profit]]&gt;10000,"Invest","Review"),"Low YTM")</f>
        <v>Low YTM</v>
      </c>
    </row>
    <row r="882" spans="1:33" x14ac:dyDescent="0.3">
      <c r="A882" t="str">
        <f>RTD("nest.scriprtd",,"nse_cm|1075SCFL34-Z6","Symbol")</f>
        <v>1075SCFL34</v>
      </c>
      <c r="B882" t="str">
        <f>RTD("nest.scriprtd",,"nse_cm|1075SCFL34-Z6","Trading Symbol")</f>
        <v>1075SCFL34-Z6</v>
      </c>
      <c r="C882" t="str">
        <f>RTD("nest.scriprtd",,"nse_cm|1075SCFL34-Z6","Exchange")</f>
        <v>NSE</v>
      </c>
      <c r="D882">
        <f>RTD("nest.scriprtd",,"nse_cm|1075SCFL34-Z6","Bid Qty")</f>
        <v>20</v>
      </c>
      <c r="E882">
        <f>RTD("nest.scriprtd",,"nse_cm|1075SCFL34-Z6","Bid Rate")</f>
        <v>810.4</v>
      </c>
      <c r="F882">
        <f>RTD("nest.scriprtd",,"nse_cm|1075SCFL34-Z6","Ask Rate")</f>
        <v>0</v>
      </c>
      <c r="G882">
        <f>RTD("nest.scriprtd",,"nse_cm|1075SCFL34-Z6","Ask Qty")</f>
        <v>0</v>
      </c>
      <c r="H882">
        <f>RTD("nest.scriprtd",,"nse_cm|1075SCFL34-Z6","LTP")</f>
        <v>960</v>
      </c>
      <c r="I882" t="str">
        <f>RTD("nest.scriprtd",,"nse_cm|1075SCFL34-Z6","LTT")</f>
        <v/>
      </c>
      <c r="J882">
        <f>RTD("nest.scriprtd",,"nse_cm|1075SCFL34-Z6","% Change")</f>
        <v>0</v>
      </c>
      <c r="K882">
        <f>RTD("nest.scriprtd",,"nse_cm|1075SCFL34-Z6","ATP")</f>
        <v>0</v>
      </c>
      <c r="L882">
        <f>RTD("nest.scriprtd",,"nse_cm|1075SCFL34-Z6","Volume Traded Today")</f>
        <v>0</v>
      </c>
      <c r="M882">
        <f>RTD("nest.scriprtd",,"nse_cm|1075SCFL34-Z6","Open")</f>
        <v>0</v>
      </c>
      <c r="N882">
        <f>RTD("nest.scriprtd",,"nse_cm|1075SCFL34-Z6","High")</f>
        <v>960</v>
      </c>
      <c r="O882">
        <f>RTD("nest.scriprtd",,"nse_cm|1075SCFL34-Z6","Low ")</f>
        <v>960</v>
      </c>
      <c r="P882">
        <f>RTD("nest.scriprtd",,"nse_cm|1075SCFL34-Z6","Prev Close")</f>
        <v>960</v>
      </c>
      <c r="Q882">
        <f>RTD("nest.scriprtd",,"nse_cm|1075SCFL34-Z6","Face Value")</f>
        <v>1000</v>
      </c>
      <c r="R882" t="str">
        <f>RTD("nest.scriprtd",,"nse_cm|1075SCFL34-Z6","Isin code")</f>
        <v>INE148I07SR5</v>
      </c>
      <c r="S882" s="9">
        <f>Table1[[#This Row],[Ask Rate]]*Table1[[#This Row],[Ask Qty]]</f>
        <v>0</v>
      </c>
      <c r="T882">
        <f>VLOOKUP(Table1[[#This Row],[Isin code]],Table2[#All],7,FALSE)</f>
        <v>10.75</v>
      </c>
      <c r="U882" s="17" t="str">
        <f>VLOOKUP(Table1[[#This Row],[Isin code]],Table2[#All],8,FALSE)</f>
        <v>26-Mar-2034</v>
      </c>
      <c r="V882" s="10">
        <f ca="1">Table1[[#This Row],[Maturity]]-TODAY()</f>
        <v>3448</v>
      </c>
      <c r="W882" t="str">
        <f>VLOOKUP(Table1[[#This Row],[Isin code]],Table2[#All],10,FALSE)</f>
        <v>Annual</v>
      </c>
      <c r="X882">
        <f ca="1">_xlfn.DAYS(Table1[[#This Row],[Maturity]],TODAY())-15</f>
        <v>3433</v>
      </c>
      <c r="Y88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82">
        <f>IF(Table1[[#This Row],[Ask Rate]]=0,0,Table1[[#This Row],[Face Value]]-Table1[[#This Row],[Ask Rate]])</f>
        <v>0</v>
      </c>
      <c r="AA88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82">
        <f>Table1[[#This Row],[Face Value]]*Table1[[#This Row],[Rate]]*Table1[[#This Row],[Time]]</f>
        <v>0</v>
      </c>
      <c r="AC882">
        <f>Table1[[#This Row],[SI]]+Table1[[#This Row],[Disc/Prem]]</f>
        <v>0</v>
      </c>
      <c r="AD882" s="3" t="e">
        <f>Table1[[#This Row],[Net Gain]]/Table1[[#This Row],[Ask Rate]]</f>
        <v>#DIV/0!</v>
      </c>
      <c r="AE882" s="3">
        <f>IF(Table1[[#This Row],[Ask Qty]]=0,0,Table1[[#This Row],[Gross Yield]]*365/Table1[[#This Row],[Days Left]])</f>
        <v>0</v>
      </c>
      <c r="AF882" s="9">
        <f>+Table1[[#This Row],[Net Gain]]*Table1[[#This Row],[Ask Qty]]</f>
        <v>0</v>
      </c>
      <c r="AG882" t="str">
        <f>IF(Table1[[#This Row],[YTM]]&gt;0.12,IF(Table1[[#This Row],[Gross Profit]]&gt;10000,"Invest","Review"),"Low YTM")</f>
        <v>Low YTM</v>
      </c>
    </row>
    <row r="883" spans="1:33" x14ac:dyDescent="0.3">
      <c r="A883" t="str">
        <f>RTD("nest.scriprtd",,"bse_cm|984ICCL26A","Symbol")</f>
        <v>984ICCL26A</v>
      </c>
      <c r="B883" t="str">
        <f>RTD("nest.scriprtd",,"bse_cm|984ICCL26A","Trading Symbol")</f>
        <v>984ICCL26A</v>
      </c>
      <c r="C883" t="str">
        <f>RTD("nest.scriprtd",,"bse_cm|984ICCL26A","Exchange")</f>
        <v>BSE</v>
      </c>
      <c r="D883">
        <f>RTD("nest.scriprtd",,"bse_cm|984ICCL26A","Bid Qty")</f>
        <v>0</v>
      </c>
      <c r="E883">
        <f>RTD("nest.scriprtd",,"bse_cm|984ICCL26A","Bid Rate")</f>
        <v>0</v>
      </c>
      <c r="F883">
        <f>RTD("nest.scriprtd",,"bse_cm|984ICCL26A","Ask Rate")</f>
        <v>0</v>
      </c>
      <c r="G883">
        <f>RTD("nest.scriprtd",,"bse_cm|984ICCL26A","Ask Qty")</f>
        <v>0</v>
      </c>
      <c r="H883">
        <f>RTD("nest.scriprtd",,"bse_cm|984ICCL26A","LTP")</f>
        <v>0</v>
      </c>
      <c r="I883" t="str">
        <f>RTD("nest.scriprtd",,"bse_cm|984ICCL26A","LTT")</f>
        <v>00:00:00</v>
      </c>
      <c r="J883">
        <f>RTD("nest.scriprtd",,"bse_cm|984ICCL26A","% Change")</f>
        <v>-100</v>
      </c>
      <c r="K883">
        <f>RTD("nest.scriprtd",,"bse_cm|984ICCL26A","ATP")</f>
        <v>0</v>
      </c>
      <c r="L883">
        <f>RTD("nest.scriprtd",,"bse_cm|984ICCL26A","Volume Traded Today")</f>
        <v>0</v>
      </c>
      <c r="M883">
        <f>RTD("nest.scriprtd",,"bse_cm|984ICCL26A","Open")</f>
        <v>0</v>
      </c>
      <c r="N883">
        <f>RTD("nest.scriprtd",,"bse_cm|984ICCL26A","High")</f>
        <v>900</v>
      </c>
      <c r="O883">
        <f>RTD("nest.scriprtd",,"bse_cm|984ICCL26A","Low ")</f>
        <v>900</v>
      </c>
      <c r="P883">
        <f>RTD("nest.scriprtd",,"bse_cm|984ICCL26A","Prev Close")</f>
        <v>900</v>
      </c>
      <c r="Q883">
        <f>RTD("nest.scriprtd",,"bse_cm|984ICCL26A","Face Value")</f>
        <v>677</v>
      </c>
      <c r="R883" t="str">
        <f>RTD("nest.scriprtd",,"bse_cm|984ICCL26A","Isin code")</f>
        <v>INE244L07390</v>
      </c>
      <c r="S883" s="9">
        <f>Table1[[#This Row],[Ask Rate]]*Table1[[#This Row],[Ask Qty]]</f>
        <v>0</v>
      </c>
      <c r="T883">
        <f>VLOOKUP(Table1[[#This Row],[Isin code]],Table2[#All],7,FALSE)</f>
        <v>9.61</v>
      </c>
      <c r="U883" s="17" t="str">
        <f>VLOOKUP(Table1[[#This Row],[Isin code]],Table2[#All],8,FALSE)</f>
        <v>02-Feb-2026</v>
      </c>
      <c r="V883" s="10">
        <f ca="1">Table1[[#This Row],[Maturity]]-TODAY()</f>
        <v>474</v>
      </c>
      <c r="W883" t="str">
        <f>VLOOKUP(Table1[[#This Row],[Isin code]],Table2[#All],10,FALSE)</f>
        <v>Monthly</v>
      </c>
      <c r="X883">
        <f ca="1">_xlfn.DAYS(Table1[[#This Row],[Maturity]],TODAY())-15</f>
        <v>459</v>
      </c>
      <c r="Y8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16</v>
      </c>
      <c r="Z883">
        <f>IF(Table1[[#This Row],[Ask Rate]]=0,0,Table1[[#This Row],[Face Value]]-Table1[[#This Row],[Ask Rate]])</f>
        <v>0</v>
      </c>
      <c r="AA883">
        <f>IF(Table1[[#This Row],[Freq]]="Yearly",Table1[[#This Row],[Coupon_Rate]]/100,IF(Table1[[#This Row],[Freq]]="Monthly",Table1[[#This Row],[Coupon_Rate]]/1200,IF(Table1[[#This Row],[Freq]]="Quarterly",Table1[[#This Row],[Coupon_Rate]]/400,0)))</f>
        <v>8.0083333333333326E-3</v>
      </c>
      <c r="AB883">
        <f ca="1">Table1[[#This Row],[Face Value]]*Table1[[#This Row],[Rate]]*Table1[[#This Row],[Time]]</f>
        <v>86.746266666666656</v>
      </c>
      <c r="AC883">
        <f ca="1">Table1[[#This Row],[SI]]+Table1[[#This Row],[Disc/Prem]]</f>
        <v>86.746266666666656</v>
      </c>
      <c r="AD883" s="3" t="e">
        <f ca="1">Table1[[#This Row],[Net Gain]]/Table1[[#This Row],[Ask Rate]]</f>
        <v>#DIV/0!</v>
      </c>
      <c r="AE883" s="3">
        <f>IF(Table1[[#This Row],[Ask Qty]]=0,0,Table1[[#This Row],[Gross Yield]]*365/Table1[[#This Row],[Days Left]])</f>
        <v>0</v>
      </c>
      <c r="AF883" s="9">
        <f ca="1">+Table1[[#This Row],[Net Gain]]*Table1[[#This Row],[Ask Qty]]</f>
        <v>0</v>
      </c>
      <c r="AG883" t="str">
        <f>IF(Table1[[#This Row],[YTM]]&gt;0.12,IF(Table1[[#This Row],[Gross Profit]]&gt;10000,"Invest","Review"),"Low YTM")</f>
        <v>Low YTM</v>
      </c>
    </row>
    <row r="884" spans="1:33" x14ac:dyDescent="0.3">
      <c r="A884" t="str">
        <f>RTD("nest.scriprtd",,"nse_cm|980SCL34-Z7","Symbol")</f>
        <v>980SCL34</v>
      </c>
      <c r="B884" t="str">
        <f>RTD("nest.scriprtd",,"nse_cm|980SCL34-Z7","Trading Symbol")</f>
        <v>980SCL34-Z7</v>
      </c>
      <c r="C884" t="str">
        <f>RTD("nest.scriprtd",,"nse_cm|980SCL34-Z7","Exchange")</f>
        <v>NSE</v>
      </c>
      <c r="D884">
        <f>RTD("nest.scriprtd",,"nse_cm|980SCL34-Z7","Bid Qty")</f>
        <v>20</v>
      </c>
      <c r="E884">
        <f>RTD("nest.scriprtd",,"nse_cm|980SCL34-Z7","Bid Rate")</f>
        <v>815.8</v>
      </c>
      <c r="F884">
        <f>RTD("nest.scriprtd",,"nse_cm|980SCL34-Z7","Ask Rate")</f>
        <v>0</v>
      </c>
      <c r="G884">
        <f>RTD("nest.scriprtd",,"nse_cm|980SCL34-Z7","Ask Qty")</f>
        <v>0</v>
      </c>
      <c r="H884">
        <f>RTD("nest.scriprtd",,"nse_cm|980SCL34-Z7","LTP")</f>
        <v>0</v>
      </c>
      <c r="I884" t="str">
        <f>RTD("nest.scriprtd",,"nse_cm|980SCL34-Z7","LTT")</f>
        <v/>
      </c>
      <c r="J884">
        <f>RTD("nest.scriprtd",,"nse_cm|980SCL34-Z7","% Change")</f>
        <v>-100</v>
      </c>
      <c r="K884">
        <f>RTD("nest.scriprtd",,"nse_cm|980SCL34-Z7","ATP")</f>
        <v>0</v>
      </c>
      <c r="L884">
        <f>RTD("nest.scriprtd",,"nse_cm|980SCL34-Z7","Volume Traded Today")</f>
        <v>0</v>
      </c>
      <c r="M884">
        <f>RTD("nest.scriprtd",,"nse_cm|980SCL34-Z7","Open")</f>
        <v>0</v>
      </c>
      <c r="N884">
        <f>RTD("nest.scriprtd",,"nse_cm|980SCL34-Z7","High")</f>
        <v>0</v>
      </c>
      <c r="O884">
        <f>RTD("nest.scriprtd",,"nse_cm|980SCL34-Z7","Low ")</f>
        <v>0</v>
      </c>
      <c r="P884">
        <f>RTD("nest.scriprtd",,"nse_cm|980SCL34-Z7","Prev Close")</f>
        <v>1000</v>
      </c>
      <c r="Q884">
        <f>RTD("nest.scriprtd",,"nse_cm|980SCL34-Z7","Face Value")</f>
        <v>1000</v>
      </c>
      <c r="R884" t="str">
        <f>RTD("nest.scriprtd",,"nse_cm|980SCL34-Z7","Isin code")</f>
        <v>INE148I07SW5</v>
      </c>
      <c r="S884" s="9">
        <f>Table1[[#This Row],[Ask Rate]]*Table1[[#This Row],[Ask Qty]]</f>
        <v>0</v>
      </c>
      <c r="T884">
        <f>VLOOKUP(Table1[[#This Row],[Isin code]],Table2[#All],7,FALSE)</f>
        <v>9.8000000000000007</v>
      </c>
      <c r="U884" s="17" t="str">
        <f>VLOOKUP(Table1[[#This Row],[Isin code]],Table2[#All],8,FALSE)</f>
        <v>26-Mar-2034</v>
      </c>
      <c r="V884" s="10">
        <f ca="1">Table1[[#This Row],[Maturity]]-TODAY()</f>
        <v>3448</v>
      </c>
      <c r="W884" t="str">
        <f>VLOOKUP(Table1[[#This Row],[Isin code]],Table2[#All],10,FALSE)</f>
        <v>Monthly</v>
      </c>
      <c r="X884">
        <f ca="1">_xlfn.DAYS(Table1[[#This Row],[Maturity]],TODAY())-15</f>
        <v>3433</v>
      </c>
      <c r="Y8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115</v>
      </c>
      <c r="Z884">
        <f>IF(Table1[[#This Row],[Ask Rate]]=0,0,Table1[[#This Row],[Face Value]]-Table1[[#This Row],[Ask Rate]])</f>
        <v>0</v>
      </c>
      <c r="AA884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884">
        <f ca="1">Table1[[#This Row],[Face Value]]*Table1[[#This Row],[Rate]]*Table1[[#This Row],[Time]]</f>
        <v>939.16666666666686</v>
      </c>
      <c r="AC884">
        <f ca="1">Table1[[#This Row],[SI]]+Table1[[#This Row],[Disc/Prem]]</f>
        <v>939.16666666666686</v>
      </c>
      <c r="AD884" s="3" t="e">
        <f ca="1">Table1[[#This Row],[Net Gain]]/Table1[[#This Row],[Ask Rate]]</f>
        <v>#DIV/0!</v>
      </c>
      <c r="AE884" s="3">
        <f>IF(Table1[[#This Row],[Ask Qty]]=0,0,Table1[[#This Row],[Gross Yield]]*365/Table1[[#This Row],[Days Left]])</f>
        <v>0</v>
      </c>
      <c r="AF884" s="9">
        <f ca="1">+Table1[[#This Row],[Net Gain]]*Table1[[#This Row],[Ask Qty]]</f>
        <v>0</v>
      </c>
      <c r="AG884" t="str">
        <f>IF(Table1[[#This Row],[YTM]]&gt;0.12,IF(Table1[[#This Row],[Gross Profit]]&gt;10000,"Invest","Review"),"Low YTM")</f>
        <v>Low YTM</v>
      </c>
    </row>
    <row r="885" spans="1:33" x14ac:dyDescent="0.3">
      <c r="A885" t="str">
        <f>RTD("nest.scriprtd",,"nse_cm|975SCL27-Z9","Symbol")</f>
        <v>975SCL27</v>
      </c>
      <c r="B885" t="str">
        <f>RTD("nest.scriprtd",,"nse_cm|975SCL27-Z9","Trading Symbol")</f>
        <v>975SCL27-Z9</v>
      </c>
      <c r="C885" t="str">
        <f>RTD("nest.scriprtd",,"nse_cm|975SCL27-Z9","Exchange")</f>
        <v>NSE</v>
      </c>
      <c r="D885">
        <f>RTD("nest.scriprtd",,"nse_cm|975SCL27-Z9","Bid Qty")</f>
        <v>0</v>
      </c>
      <c r="E885">
        <f>RTD("nest.scriprtd",,"nse_cm|975SCL27-Z9","Bid Rate")</f>
        <v>0</v>
      </c>
      <c r="F885">
        <f>RTD("nest.scriprtd",,"nse_cm|975SCL27-Z9","Ask Rate")</f>
        <v>0</v>
      </c>
      <c r="G885">
        <f>RTD("nest.scriprtd",,"nse_cm|975SCL27-Z9","Ask Qty")</f>
        <v>0</v>
      </c>
      <c r="H885">
        <f>RTD("nest.scriprtd",,"nse_cm|975SCL27-Z9","LTP")</f>
        <v>0</v>
      </c>
      <c r="I885" t="str">
        <f>RTD("nest.scriprtd",,"nse_cm|975SCL27-Z9","LTT")</f>
        <v/>
      </c>
      <c r="J885">
        <f>RTD("nest.scriprtd",,"nse_cm|975SCL27-Z9","% Change")</f>
        <v>0</v>
      </c>
      <c r="K885">
        <f>RTD("nest.scriprtd",,"nse_cm|975SCL27-Z9","ATP")</f>
        <v>0</v>
      </c>
      <c r="L885">
        <f>RTD("nest.scriprtd",,"nse_cm|975SCL27-Z9","Volume Traded Today")</f>
        <v>0</v>
      </c>
      <c r="M885">
        <f>RTD("nest.scriprtd",,"nse_cm|975SCL27-Z9","Open")</f>
        <v>0</v>
      </c>
      <c r="N885">
        <f>RTD("nest.scriprtd",,"nse_cm|975SCL27-Z9","High")</f>
        <v>0</v>
      </c>
      <c r="O885">
        <f>RTD("nest.scriprtd",,"nse_cm|975SCL27-Z9","Low ")</f>
        <v>0</v>
      </c>
      <c r="P885">
        <f>RTD("nest.scriprtd",,"nse_cm|975SCL27-Z9","Prev Close")</f>
        <v>0</v>
      </c>
      <c r="Q885">
        <f>RTD("nest.scriprtd",,"nse_cm|975SCL27-Z9","Face Value")</f>
        <v>100000</v>
      </c>
      <c r="R885" t="str">
        <f>RTD("nest.scriprtd",,"nse_cm|975SCL27-Z9","Isin code")</f>
        <v>INE148I07SY1</v>
      </c>
      <c r="S885" s="9">
        <f>Table1[[#This Row],[Ask Rate]]*Table1[[#This Row],[Ask Qty]]</f>
        <v>0</v>
      </c>
      <c r="T885">
        <f>VLOOKUP(Table1[[#This Row],[Isin code]],Table2[#All],7,FALSE)</f>
        <v>9.75</v>
      </c>
      <c r="U885" s="17" t="str">
        <f>VLOOKUP(Table1[[#This Row],[Isin code]],Table2[#All],8,FALSE)</f>
        <v>04-Mar-2027</v>
      </c>
      <c r="V885" s="10">
        <f ca="1">Table1[[#This Row],[Maturity]]-TODAY()</f>
        <v>869</v>
      </c>
      <c r="W885" t="str">
        <f>VLOOKUP(Table1[[#This Row],[Isin code]],Table2[#All],10,FALSE)</f>
        <v>ANNUALY</v>
      </c>
      <c r="X885">
        <f ca="1">_xlfn.DAYS(Table1[[#This Row],[Maturity]],TODAY())-15</f>
        <v>854</v>
      </c>
      <c r="Y88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85">
        <f>IF(Table1[[#This Row],[Ask Rate]]=0,0,Table1[[#This Row],[Face Value]]-Table1[[#This Row],[Ask Rate]])</f>
        <v>0</v>
      </c>
      <c r="AA88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85">
        <f>Table1[[#This Row],[Face Value]]*Table1[[#This Row],[Rate]]*Table1[[#This Row],[Time]]</f>
        <v>0</v>
      </c>
      <c r="AC885">
        <f>Table1[[#This Row],[SI]]+Table1[[#This Row],[Disc/Prem]]</f>
        <v>0</v>
      </c>
      <c r="AD885" s="3" t="e">
        <f>Table1[[#This Row],[Net Gain]]/Table1[[#This Row],[Ask Rate]]</f>
        <v>#DIV/0!</v>
      </c>
      <c r="AE885" s="3">
        <f>IF(Table1[[#This Row],[Ask Qty]]=0,0,Table1[[#This Row],[Gross Yield]]*365/Table1[[#This Row],[Days Left]])</f>
        <v>0</v>
      </c>
      <c r="AF885" s="9">
        <f>+Table1[[#This Row],[Net Gain]]*Table1[[#This Row],[Ask Qty]]</f>
        <v>0</v>
      </c>
      <c r="AG885" t="str">
        <f>IF(Table1[[#This Row],[YTM]]&gt;0.12,IF(Table1[[#This Row],[Gross Profit]]&gt;10000,"Invest","Review"),"Low YTM")</f>
        <v>Low YTM</v>
      </c>
    </row>
    <row r="886" spans="1:33" x14ac:dyDescent="0.3">
      <c r="A886" t="str">
        <f>RTD("nest.scriprtd",,"bse_cm|925SCL25H","Symbol")</f>
        <v>925SCL25H</v>
      </c>
      <c r="B886" t="str">
        <f>RTD("nest.scriprtd",,"bse_cm|925SCL25H","Trading Symbol")</f>
        <v>925SCL25H</v>
      </c>
      <c r="C886" t="str">
        <f>RTD("nest.scriprtd",,"bse_cm|925SCL25H","Exchange")</f>
        <v>BSE</v>
      </c>
      <c r="D886">
        <f>RTD("nest.scriprtd",,"bse_cm|925SCL25H","Bid Qty")</f>
        <v>20</v>
      </c>
      <c r="E886">
        <f>RTD("nest.scriprtd",,"bse_cm|925SCL25H","Bid Rate")</f>
        <v>835.2</v>
      </c>
      <c r="F886">
        <f>RTD("nest.scriprtd",,"bse_cm|925SCL25H","Ask Rate")</f>
        <v>0</v>
      </c>
      <c r="G886">
        <f>RTD("nest.scriprtd",,"bse_cm|925SCL25H","Ask Qty")</f>
        <v>0</v>
      </c>
      <c r="H886">
        <f>RTD("nest.scriprtd",,"bse_cm|925SCL25H","LTP")</f>
        <v>0</v>
      </c>
      <c r="I886" t="str">
        <f>RTD("nest.scriprtd",,"bse_cm|925SCL25H","LTT")</f>
        <v>00:00:00</v>
      </c>
      <c r="J886">
        <f>RTD("nest.scriprtd",,"bse_cm|925SCL25H","% Change")</f>
        <v>-100</v>
      </c>
      <c r="K886">
        <f>RTD("nest.scriprtd",,"bse_cm|925SCL25H","ATP")</f>
        <v>0</v>
      </c>
      <c r="L886">
        <f>RTD("nest.scriprtd",,"bse_cm|925SCL25H","Volume Traded Today")</f>
        <v>0</v>
      </c>
      <c r="M886">
        <f>RTD("nest.scriprtd",,"bse_cm|925SCL25H","Open")</f>
        <v>0</v>
      </c>
      <c r="N886">
        <f>RTD("nest.scriprtd",,"bse_cm|925SCL25H","High")</f>
        <v>0</v>
      </c>
      <c r="O886">
        <f>RTD("nest.scriprtd",,"bse_cm|925SCL25H","Low ")</f>
        <v>0</v>
      </c>
      <c r="P886">
        <f>RTD("nest.scriprtd",,"bse_cm|925SCL25H","Prev Close")</f>
        <v>1000</v>
      </c>
      <c r="Q886">
        <f>RTD("nest.scriprtd",,"bse_cm|925SCL25H","Face Value")</f>
        <v>1000</v>
      </c>
      <c r="R886" t="str">
        <f>RTD("nest.scriprtd",,"bse_cm|925SCL25H","Isin code")</f>
        <v>INE148I07RC9</v>
      </c>
      <c r="S886" s="9">
        <f>Table1[[#This Row],[Ask Rate]]*Table1[[#This Row],[Ask Qty]]</f>
        <v>0</v>
      </c>
      <c r="T886">
        <f>VLOOKUP(Table1[[#This Row],[Isin code]],Table2[#All],7,FALSE)</f>
        <v>9.25</v>
      </c>
      <c r="U886" s="17" t="str">
        <f>VLOOKUP(Table1[[#This Row],[Isin code]],Table2[#All],8,FALSE)</f>
        <v>27-Dec-2025</v>
      </c>
      <c r="V886" s="10">
        <f ca="1">Table1[[#This Row],[Maturity]]-TODAY()</f>
        <v>437</v>
      </c>
      <c r="W886" t="str">
        <f>VLOOKUP(Table1[[#This Row],[Isin code]],Table2[#All],10,FALSE)</f>
        <v>Yearly</v>
      </c>
      <c r="X886">
        <f ca="1">_xlfn.DAYS(Table1[[#This Row],[Maturity]],TODAY())-15</f>
        <v>422</v>
      </c>
      <c r="Y8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886">
        <f>IF(Table1[[#This Row],[Ask Rate]]=0,0,Table1[[#This Row],[Face Value]]-Table1[[#This Row],[Ask Rate]])</f>
        <v>0</v>
      </c>
      <c r="AA886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886">
        <f ca="1">Table1[[#This Row],[Face Value]]*Table1[[#This Row],[Rate]]*Table1[[#This Row],[Time]]</f>
        <v>185</v>
      </c>
      <c r="AC886">
        <f ca="1">Table1[[#This Row],[SI]]+Table1[[#This Row],[Disc/Prem]]</f>
        <v>185</v>
      </c>
      <c r="AD886" s="3" t="e">
        <f ca="1">Table1[[#This Row],[Net Gain]]/Table1[[#This Row],[Ask Rate]]</f>
        <v>#DIV/0!</v>
      </c>
      <c r="AE886" s="3">
        <f>IF(Table1[[#This Row],[Ask Qty]]=0,0,Table1[[#This Row],[Gross Yield]]*365/Table1[[#This Row],[Days Left]])</f>
        <v>0</v>
      </c>
      <c r="AF886" s="9">
        <f ca="1">+Table1[[#This Row],[Net Gain]]*Table1[[#This Row],[Ask Qty]]</f>
        <v>0</v>
      </c>
      <c r="AG886" t="str">
        <f>IF(Table1[[#This Row],[YTM]]&gt;0.12,IF(Table1[[#This Row],[Gross Profit]]&gt;10000,"Invest","Review"),"Low YTM")</f>
        <v>Low YTM</v>
      </c>
    </row>
    <row r="887" spans="1:33" x14ac:dyDescent="0.3">
      <c r="A887" t="str">
        <f>RTD("nest.scriprtd",,"nse_cm|925SCL25G-NY","Symbol")</f>
        <v>925SCL25G</v>
      </c>
      <c r="B887" t="str">
        <f>RTD("nest.scriprtd",,"nse_cm|925SCL25G-NY","Trading Symbol")</f>
        <v>925SCL25G-NY</v>
      </c>
      <c r="C887" t="str">
        <f>RTD("nest.scriprtd",,"nse_cm|925SCL25G-NY","Exchange")</f>
        <v>NSE</v>
      </c>
      <c r="D887">
        <f>RTD("nest.scriprtd",,"nse_cm|925SCL25G-NY","Bid Qty")</f>
        <v>13</v>
      </c>
      <c r="E887">
        <f>RTD("nest.scriprtd",,"nse_cm|925SCL25G-NY","Bid Rate")</f>
        <v>819.75</v>
      </c>
      <c r="F887">
        <f>RTD("nest.scriprtd",,"nse_cm|925SCL25G-NY","Ask Rate")</f>
        <v>0</v>
      </c>
      <c r="G887">
        <f>RTD("nest.scriprtd",,"nse_cm|925SCL25G-NY","Ask Qty")</f>
        <v>0</v>
      </c>
      <c r="H887">
        <f>RTD("nest.scriprtd",,"nse_cm|925SCL25G-NY","LTP")</f>
        <v>0</v>
      </c>
      <c r="I887" t="str">
        <f>RTD("nest.scriprtd",,"nse_cm|925SCL25G-NY","LTT")</f>
        <v/>
      </c>
      <c r="J887">
        <f>RTD("nest.scriprtd",,"nse_cm|925SCL25G-NY","% Change")</f>
        <v>-100</v>
      </c>
      <c r="K887">
        <f>RTD("nest.scriprtd",,"nse_cm|925SCL25G-NY","ATP")</f>
        <v>0</v>
      </c>
      <c r="L887">
        <f>RTD("nest.scriprtd",,"nse_cm|925SCL25G-NY","Volume Traded Today")</f>
        <v>0</v>
      </c>
      <c r="M887">
        <f>RTD("nest.scriprtd",,"nse_cm|925SCL25G-NY","Open")</f>
        <v>0</v>
      </c>
      <c r="N887">
        <f>RTD("nest.scriprtd",,"nse_cm|925SCL25G-NY","High")</f>
        <v>0</v>
      </c>
      <c r="O887">
        <f>RTD("nest.scriprtd",,"nse_cm|925SCL25G-NY","Low ")</f>
        <v>0</v>
      </c>
      <c r="P887">
        <f>RTD("nest.scriprtd",,"nse_cm|925SCL25G-NY","Prev Close")</f>
        <v>1000</v>
      </c>
      <c r="Q887">
        <f>RTD("nest.scriprtd",,"nse_cm|925SCL25G-NY","Face Value")</f>
        <v>1000</v>
      </c>
      <c r="R887" t="str">
        <f>RTD("nest.scriprtd",,"nse_cm|925SCL25G-NY","Isin code")</f>
        <v>INE148I07RA3</v>
      </c>
      <c r="S887" s="9">
        <f>Table1[[#This Row],[Ask Rate]]*Table1[[#This Row],[Ask Qty]]</f>
        <v>0</v>
      </c>
      <c r="T887">
        <f>VLOOKUP(Table1[[#This Row],[Isin code]],Table2[#All],7,FALSE)</f>
        <v>9.8000000000000007</v>
      </c>
      <c r="U887" s="17" t="str">
        <f>VLOOKUP(Table1[[#This Row],[Isin code]],Table2[#All],8,FALSE)</f>
        <v>09-Nov-2033</v>
      </c>
      <c r="V887" s="10">
        <f ca="1">Table1[[#This Row],[Maturity]]-TODAY()</f>
        <v>3311</v>
      </c>
      <c r="W887" t="str">
        <f>VLOOKUP(Table1[[#This Row],[Isin code]],Table2[#All],10,FALSE)</f>
        <v>Monthly</v>
      </c>
      <c r="X887">
        <f ca="1">_xlfn.DAYS(Table1[[#This Row],[Maturity]],TODAY())-15</f>
        <v>3296</v>
      </c>
      <c r="Y8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110</v>
      </c>
      <c r="Z887">
        <f>IF(Table1[[#This Row],[Ask Rate]]=0,0,Table1[[#This Row],[Face Value]]-Table1[[#This Row],[Ask Rate]])</f>
        <v>0</v>
      </c>
      <c r="AA887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887">
        <f ca="1">Table1[[#This Row],[Face Value]]*Table1[[#This Row],[Rate]]*Table1[[#This Row],[Time]]</f>
        <v>898.33333333333348</v>
      </c>
      <c r="AC887">
        <f ca="1">Table1[[#This Row],[SI]]+Table1[[#This Row],[Disc/Prem]]</f>
        <v>898.33333333333348</v>
      </c>
      <c r="AD887" s="3" t="e">
        <f ca="1">Table1[[#This Row],[Net Gain]]/Table1[[#This Row],[Ask Rate]]</f>
        <v>#DIV/0!</v>
      </c>
      <c r="AE887" s="3">
        <f>IF(Table1[[#This Row],[Ask Qty]]=0,0,Table1[[#This Row],[Gross Yield]]*365/Table1[[#This Row],[Days Left]])</f>
        <v>0</v>
      </c>
      <c r="AF887" s="9">
        <f ca="1">+Table1[[#This Row],[Net Gain]]*Table1[[#This Row],[Ask Qty]]</f>
        <v>0</v>
      </c>
      <c r="AG887" t="str">
        <f>IF(Table1[[#This Row],[YTM]]&gt;0.12,IF(Table1[[#This Row],[Gross Profit]]&gt;10000,"Invest","Review"),"Low YTM")</f>
        <v>Low YTM</v>
      </c>
    </row>
    <row r="888" spans="1:33" x14ac:dyDescent="0.3">
      <c r="A888" t="str">
        <f>RTD("nest.scriprtd",,"bse_cm|1075SCL34","Symbol")</f>
        <v>1075SCL34</v>
      </c>
      <c r="B888" t="str">
        <f>RTD("nest.scriprtd",,"bse_cm|1075SCL34","Trading Symbol")</f>
        <v>1075SCL34</v>
      </c>
      <c r="C888" t="str">
        <f>RTD("nest.scriprtd",,"bse_cm|1075SCL34","Exchange")</f>
        <v>BSE</v>
      </c>
      <c r="D888">
        <f>RTD("nest.scriprtd",,"bse_cm|1075SCL34","Bid Qty")</f>
        <v>12</v>
      </c>
      <c r="E888">
        <f>RTD("nest.scriprtd",,"bse_cm|1075SCL34","Bid Rate")</f>
        <v>900.3</v>
      </c>
      <c r="F888">
        <f>RTD("nest.scriprtd",,"bse_cm|1075SCL34","Ask Rate")</f>
        <v>0</v>
      </c>
      <c r="G888">
        <f>RTD("nest.scriprtd",,"bse_cm|1075SCL34","Ask Qty")</f>
        <v>0</v>
      </c>
      <c r="H888">
        <f>RTD("nest.scriprtd",,"bse_cm|1075SCL34","LTP")</f>
        <v>0</v>
      </c>
      <c r="I888" t="str">
        <f>RTD("nest.scriprtd",,"bse_cm|1075SCL34","LTT")</f>
        <v>00:00:00</v>
      </c>
      <c r="J888">
        <f>RTD("nest.scriprtd",,"bse_cm|1075SCL34","% Change")</f>
        <v>-100</v>
      </c>
      <c r="K888">
        <f>RTD("nest.scriprtd",,"bse_cm|1075SCL34","ATP")</f>
        <v>0</v>
      </c>
      <c r="L888">
        <f>RTD("nest.scriprtd",,"bse_cm|1075SCL34","Volume Traded Today")</f>
        <v>0</v>
      </c>
      <c r="M888">
        <f>RTD("nest.scriprtd",,"bse_cm|1075SCL34","Open")</f>
        <v>0</v>
      </c>
      <c r="N888">
        <f>RTD("nest.scriprtd",,"bse_cm|1075SCL34","High")</f>
        <v>975</v>
      </c>
      <c r="O888">
        <f>RTD("nest.scriprtd",,"bse_cm|1075SCL34","Low ")</f>
        <v>975</v>
      </c>
      <c r="P888">
        <f>RTD("nest.scriprtd",,"bse_cm|1075SCL34","Prev Close")</f>
        <v>975</v>
      </c>
      <c r="Q888">
        <f>RTD("nest.scriprtd",,"bse_cm|1075SCL34","Face Value")</f>
        <v>1000</v>
      </c>
      <c r="R888" t="str">
        <f>RTD("nest.scriprtd",,"bse_cm|1075SCL34","Isin code")</f>
        <v>INE148I07TP7</v>
      </c>
      <c r="S888" s="9">
        <f>Table1[[#This Row],[Ask Rate]]*Table1[[#This Row],[Ask Qty]]</f>
        <v>0</v>
      </c>
      <c r="T888">
        <f>VLOOKUP(Table1[[#This Row],[Isin code]],Table2[#All],7,FALSE)</f>
        <v>10.75</v>
      </c>
      <c r="U888" s="17" t="str">
        <f>VLOOKUP(Table1[[#This Row],[Isin code]],Table2[#All],8,FALSE)</f>
        <v>31-May-2034</v>
      </c>
      <c r="V888" s="10">
        <f ca="1">Table1[[#This Row],[Maturity]]-TODAY()</f>
        <v>3514</v>
      </c>
      <c r="W888" t="str">
        <f>VLOOKUP(Table1[[#This Row],[Isin code]],Table2[#All],10,FALSE)</f>
        <v>Yearly</v>
      </c>
      <c r="X888">
        <f ca="1">_xlfn.DAYS(Table1[[#This Row],[Maturity]],TODAY())-15</f>
        <v>3499</v>
      </c>
      <c r="Y8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888">
        <f>IF(Table1[[#This Row],[Ask Rate]]=0,0,Table1[[#This Row],[Face Value]]-Table1[[#This Row],[Ask Rate]])</f>
        <v>0</v>
      </c>
      <c r="AA888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888">
        <f ca="1">Table1[[#This Row],[Face Value]]*Table1[[#This Row],[Rate]]*Table1[[#This Row],[Time]]</f>
        <v>1075</v>
      </c>
      <c r="AC888">
        <f ca="1">Table1[[#This Row],[SI]]+Table1[[#This Row],[Disc/Prem]]</f>
        <v>1075</v>
      </c>
      <c r="AD888" s="3" t="e">
        <f ca="1">Table1[[#This Row],[Net Gain]]/Table1[[#This Row],[Ask Rate]]</f>
        <v>#DIV/0!</v>
      </c>
      <c r="AE888" s="3">
        <f>IF(Table1[[#This Row],[Ask Qty]]=0,0,Table1[[#This Row],[Gross Yield]]*365/Table1[[#This Row],[Days Left]])</f>
        <v>0</v>
      </c>
      <c r="AF888" s="9">
        <f ca="1">+Table1[[#This Row],[Net Gain]]*Table1[[#This Row],[Ask Qty]]</f>
        <v>0</v>
      </c>
      <c r="AG888" t="str">
        <f>IF(Table1[[#This Row],[YTM]]&gt;0.12,IF(Table1[[#This Row],[Gross Profit]]&gt;10000,"Invest","Review"),"Low YTM")</f>
        <v>Low YTM</v>
      </c>
    </row>
    <row r="889" spans="1:33" x14ac:dyDescent="0.3">
      <c r="A889" t="str">
        <f>RTD("nest.scriprtd",,"nse_cm|1075SCL33B-NW","Symbol")</f>
        <v>1075SCL33B</v>
      </c>
      <c r="B889" t="str">
        <f>RTD("nest.scriprtd",,"nse_cm|1075SCL33B-NW","Trading Symbol")</f>
        <v>1075SCL33B-NW</v>
      </c>
      <c r="C889" t="str">
        <f>RTD("nest.scriprtd",,"nse_cm|1075SCL33B-NW","Exchange")</f>
        <v>NSE</v>
      </c>
      <c r="D889">
        <f>RTD("nest.scriprtd",,"nse_cm|1075SCL33B-NW","Bid Qty")</f>
        <v>5</v>
      </c>
      <c r="E889">
        <f>RTD("nest.scriprtd",,"nse_cm|1075SCL33B-NW","Bid Rate")</f>
        <v>819.65</v>
      </c>
      <c r="F889">
        <f>RTD("nest.scriprtd",,"nse_cm|1075SCL33B-NW","Ask Rate")</f>
        <v>0</v>
      </c>
      <c r="G889">
        <f>RTD("nest.scriprtd",,"nse_cm|1075SCL33B-NW","Ask Qty")</f>
        <v>0</v>
      </c>
      <c r="H889">
        <f>RTD("nest.scriprtd",,"nse_cm|1075SCL33B-NW","LTP")</f>
        <v>0</v>
      </c>
      <c r="I889" t="str">
        <f>RTD("nest.scriprtd",,"nse_cm|1075SCL33B-NW","LTT")</f>
        <v/>
      </c>
      <c r="J889">
        <f>RTD("nest.scriprtd",,"nse_cm|1075SCL33B-NW","% Change")</f>
        <v>-100</v>
      </c>
      <c r="K889">
        <f>RTD("nest.scriprtd",,"nse_cm|1075SCL33B-NW","ATP")</f>
        <v>0</v>
      </c>
      <c r="L889">
        <f>RTD("nest.scriprtd",,"nse_cm|1075SCL33B-NW","Volume Traded Today")</f>
        <v>0</v>
      </c>
      <c r="M889">
        <f>RTD("nest.scriprtd",,"nse_cm|1075SCL33B-NW","Open")</f>
        <v>0</v>
      </c>
      <c r="N889">
        <f>RTD("nest.scriprtd",,"nse_cm|1075SCL33B-NW","High")</f>
        <v>0</v>
      </c>
      <c r="O889">
        <f>RTD("nest.scriprtd",,"nse_cm|1075SCL33B-NW","Low ")</f>
        <v>0</v>
      </c>
      <c r="P889">
        <f>RTD("nest.scriprtd",,"nse_cm|1075SCL33B-NW","Prev Close")</f>
        <v>1000</v>
      </c>
      <c r="Q889">
        <f>RTD("nest.scriprtd",,"nse_cm|1075SCL33B-NW","Face Value")</f>
        <v>1000</v>
      </c>
      <c r="R889" t="str">
        <f>RTD("nest.scriprtd",,"nse_cm|1075SCL33B-NW","Isin code")</f>
        <v>INE148I07QY5</v>
      </c>
      <c r="S889" s="9">
        <f>Table1[[#This Row],[Ask Rate]]*Table1[[#This Row],[Ask Qty]]</f>
        <v>0</v>
      </c>
      <c r="T889">
        <f>VLOOKUP(Table1[[#This Row],[Isin code]],Table2[#All],7,FALSE)</f>
        <v>10.25</v>
      </c>
      <c r="U889" s="17" t="str">
        <f>VLOOKUP(Table1[[#This Row],[Isin code]],Table2[#All],8,FALSE)</f>
        <v>09-Nov-2033</v>
      </c>
      <c r="V889" s="10">
        <f ca="1">Table1[[#This Row],[Maturity]]-TODAY()</f>
        <v>3311</v>
      </c>
      <c r="W889" t="str">
        <f>VLOOKUP(Table1[[#This Row],[Isin code]],Table2[#All],10,FALSE)</f>
        <v>Yearly</v>
      </c>
      <c r="X889">
        <f ca="1">_xlfn.DAYS(Table1[[#This Row],[Maturity]],TODAY())-15</f>
        <v>3296</v>
      </c>
      <c r="Y8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889">
        <f>IF(Table1[[#This Row],[Ask Rate]]=0,0,Table1[[#This Row],[Face Value]]-Table1[[#This Row],[Ask Rate]])</f>
        <v>0</v>
      </c>
      <c r="AA889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889">
        <f ca="1">Table1[[#This Row],[Face Value]]*Table1[[#This Row],[Rate]]*Table1[[#This Row],[Time]]</f>
        <v>1025</v>
      </c>
      <c r="AC889">
        <f ca="1">Table1[[#This Row],[SI]]+Table1[[#This Row],[Disc/Prem]]</f>
        <v>1025</v>
      </c>
      <c r="AD889" s="3" t="e">
        <f ca="1">Table1[[#This Row],[Net Gain]]/Table1[[#This Row],[Ask Rate]]</f>
        <v>#DIV/0!</v>
      </c>
      <c r="AE889" s="3">
        <f>IF(Table1[[#This Row],[Ask Qty]]=0,0,Table1[[#This Row],[Gross Yield]]*365/Table1[[#This Row],[Days Left]])</f>
        <v>0</v>
      </c>
      <c r="AF889" s="9">
        <f ca="1">+Table1[[#This Row],[Net Gain]]*Table1[[#This Row],[Ask Qty]]</f>
        <v>0</v>
      </c>
      <c r="AG889" t="str">
        <f>IF(Table1[[#This Row],[YTM]]&gt;0.12,IF(Table1[[#This Row],[Gross Profit]]&gt;10000,"Invest","Review"),"Low YTM")</f>
        <v>Low YTM</v>
      </c>
    </row>
    <row r="890" spans="1:33" x14ac:dyDescent="0.3">
      <c r="A890" t="str">
        <f>RTD("nest.scriprtd",,"bse_cm|1050SFL26","Symbol")</f>
        <v>1050SFL26</v>
      </c>
      <c r="B890" t="str">
        <f>RTD("nest.scriprtd",,"bse_cm|1050SFL26","Trading Symbol")</f>
        <v>1050SFL26</v>
      </c>
      <c r="C890" t="str">
        <f>RTD("nest.scriprtd",,"bse_cm|1050SFL26","Exchange")</f>
        <v>BSE</v>
      </c>
      <c r="D890">
        <f>RTD("nest.scriprtd",,"bse_cm|1050SFL26","Bid Qty")</f>
        <v>26</v>
      </c>
      <c r="E890">
        <f>RTD("nest.scriprtd",,"bse_cm|1050SFL26","Bid Rate")</f>
        <v>915.01</v>
      </c>
      <c r="F890">
        <f>RTD("nest.scriprtd",,"bse_cm|1050SFL26","Ask Rate")</f>
        <v>0</v>
      </c>
      <c r="G890">
        <f>RTD("nest.scriprtd",,"bse_cm|1050SFL26","Ask Qty")</f>
        <v>0</v>
      </c>
      <c r="H890">
        <f>RTD("nest.scriprtd",,"bse_cm|1050SFL26","LTP")</f>
        <v>0</v>
      </c>
      <c r="I890" t="str">
        <f>RTD("nest.scriprtd",,"bse_cm|1050SFL26","LTT")</f>
        <v>00:00:00</v>
      </c>
      <c r="J890">
        <f>RTD("nest.scriprtd",,"bse_cm|1050SFL26","% Change")</f>
        <v>-100</v>
      </c>
      <c r="K890">
        <f>RTD("nest.scriprtd",,"bse_cm|1050SFL26","ATP")</f>
        <v>0</v>
      </c>
      <c r="L890">
        <f>RTD("nest.scriprtd",,"bse_cm|1050SFL26","Volume Traded Today")</f>
        <v>0</v>
      </c>
      <c r="M890">
        <f>RTD("nest.scriprtd",,"bse_cm|1050SFL26","Open")</f>
        <v>0</v>
      </c>
      <c r="N890">
        <f>RTD("nest.scriprtd",,"bse_cm|1050SFL26","High")</f>
        <v>1020</v>
      </c>
      <c r="O890">
        <f>RTD("nest.scriprtd",,"bse_cm|1050SFL26","Low ")</f>
        <v>1020</v>
      </c>
      <c r="P890">
        <f>RTD("nest.scriprtd",,"bse_cm|1050SFL26","Prev Close")</f>
        <v>1020</v>
      </c>
      <c r="Q890">
        <f>RTD("nest.scriprtd",,"bse_cm|1050SFL26","Face Value")</f>
        <v>1000</v>
      </c>
      <c r="R890" t="str">
        <f>RTD("nest.scriprtd",,"bse_cm|1050SFL26","Isin code")</f>
        <v>INE302E08084</v>
      </c>
      <c r="S890" s="9">
        <f>Table1[[#This Row],[Ask Rate]]*Table1[[#This Row],[Ask Qty]]</f>
        <v>0</v>
      </c>
      <c r="T890">
        <f>VLOOKUP(Table1[[#This Row],[Isin code]],Table2[#All],7,FALSE)</f>
        <v>10.5</v>
      </c>
      <c r="U890" s="17" t="str">
        <f>VLOOKUP(Table1[[#This Row],[Isin code]],Table2[#All],8,FALSE)</f>
        <v>29-Aug-2026</v>
      </c>
      <c r="V890" s="10">
        <f ca="1">Table1[[#This Row],[Maturity]]-TODAY()</f>
        <v>682</v>
      </c>
      <c r="W890" t="str">
        <f>VLOOKUP(Table1[[#This Row],[Isin code]],Table2[#All],10,FALSE)</f>
        <v>Monthly</v>
      </c>
      <c r="X890">
        <f ca="1">_xlfn.DAYS(Table1[[#This Row],[Maturity]],TODAY())-15</f>
        <v>667</v>
      </c>
      <c r="Y8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23</v>
      </c>
      <c r="Z890">
        <f>IF(Table1[[#This Row],[Ask Rate]]=0,0,Table1[[#This Row],[Face Value]]-Table1[[#This Row],[Ask Rate]])</f>
        <v>0</v>
      </c>
      <c r="AA890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890">
        <f ca="1">Table1[[#This Row],[Face Value]]*Table1[[#This Row],[Rate]]*Table1[[#This Row],[Time]]</f>
        <v>201.25</v>
      </c>
      <c r="AC890">
        <f ca="1">Table1[[#This Row],[SI]]+Table1[[#This Row],[Disc/Prem]]</f>
        <v>201.25</v>
      </c>
      <c r="AD890" s="3" t="e">
        <f ca="1">Table1[[#This Row],[Net Gain]]/Table1[[#This Row],[Ask Rate]]</f>
        <v>#DIV/0!</v>
      </c>
      <c r="AE890" s="3">
        <f>IF(Table1[[#This Row],[Ask Qty]]=0,0,Table1[[#This Row],[Gross Yield]]*365/Table1[[#This Row],[Days Left]])</f>
        <v>0</v>
      </c>
      <c r="AF890" s="9">
        <f ca="1">+Table1[[#This Row],[Net Gain]]*Table1[[#This Row],[Ask Qty]]</f>
        <v>0</v>
      </c>
      <c r="AG890" t="str">
        <f>IF(Table1[[#This Row],[YTM]]&gt;0.12,IF(Table1[[#This Row],[Gross Profit]]&gt;10000,"Invest","Review"),"Low YTM")</f>
        <v>Low YTM</v>
      </c>
    </row>
    <row r="891" spans="1:33" x14ac:dyDescent="0.3">
      <c r="A891" t="str">
        <f>RTD("nest.scriprtd",,"nse_cm|1050SCL31-ZP","Symbol")</f>
        <v>1050SCL31</v>
      </c>
      <c r="B891" t="str">
        <f>RTD("nest.scriprtd",,"nse_cm|1050SCL31-ZP","Trading Symbol")</f>
        <v>1050SCL31-ZP</v>
      </c>
      <c r="C891" t="str">
        <f>RTD("nest.scriprtd",,"nse_cm|1050SCL31-ZP","Exchange")</f>
        <v>NSE</v>
      </c>
      <c r="D891">
        <f>RTD("nest.scriprtd",,"nse_cm|1050SCL31-ZP","Bid Qty")</f>
        <v>20</v>
      </c>
      <c r="E891">
        <f>RTD("nest.scriprtd",,"nse_cm|1050SCL31-ZP","Bid Rate")</f>
        <v>816.2</v>
      </c>
      <c r="F891">
        <f>RTD("nest.scriprtd",,"nse_cm|1050SCL31-ZP","Ask Rate")</f>
        <v>0</v>
      </c>
      <c r="G891">
        <f>RTD("nest.scriprtd",,"nse_cm|1050SCL31-ZP","Ask Qty")</f>
        <v>0</v>
      </c>
      <c r="H891">
        <f>RTD("nest.scriprtd",,"nse_cm|1050SCL31-ZP","LTP")</f>
        <v>0</v>
      </c>
      <c r="I891" t="str">
        <f>RTD("nest.scriprtd",,"nse_cm|1050SCL31-ZP","LTT")</f>
        <v/>
      </c>
      <c r="J891">
        <f>RTD("nest.scriprtd",,"nse_cm|1050SCL31-ZP","% Change")</f>
        <v>-100</v>
      </c>
      <c r="K891">
        <f>RTD("nest.scriprtd",,"nse_cm|1050SCL31-ZP","ATP")</f>
        <v>0</v>
      </c>
      <c r="L891">
        <f>RTD("nest.scriprtd",,"nse_cm|1050SCL31-ZP","Volume Traded Today")</f>
        <v>0</v>
      </c>
      <c r="M891">
        <f>RTD("nest.scriprtd",,"nse_cm|1050SCL31-ZP","Open")</f>
        <v>0</v>
      </c>
      <c r="N891">
        <f>RTD("nest.scriprtd",,"nse_cm|1050SCL31-ZP","High")</f>
        <v>0</v>
      </c>
      <c r="O891">
        <f>RTD("nest.scriprtd",,"nse_cm|1050SCL31-ZP","Low ")</f>
        <v>0</v>
      </c>
      <c r="P891">
        <f>RTD("nest.scriprtd",,"nse_cm|1050SCL31-ZP","Prev Close")</f>
        <v>1000</v>
      </c>
      <c r="Q891">
        <f>RTD("nest.scriprtd",,"nse_cm|1050SCL31-ZP","Face Value")</f>
        <v>1000</v>
      </c>
      <c r="R891" t="str">
        <f>RTD("nest.scriprtd",,"nse_cm|1050SCL31-ZP","Isin code")</f>
        <v>INE148I07TK8</v>
      </c>
      <c r="S891" s="9">
        <f>Table1[[#This Row],[Ask Rate]]*Table1[[#This Row],[Ask Qty]]</f>
        <v>0</v>
      </c>
      <c r="T891">
        <f>VLOOKUP(Table1[[#This Row],[Isin code]],Table2[#All],7,FALSE)</f>
        <v>10.5</v>
      </c>
      <c r="U891" s="17" t="str">
        <f>VLOOKUP(Table1[[#This Row],[Isin code]],Table2[#All],8,FALSE)</f>
        <v>31-May-2031</v>
      </c>
      <c r="V891" s="10">
        <f ca="1">Table1[[#This Row],[Maturity]]-TODAY()</f>
        <v>2418</v>
      </c>
      <c r="W891" t="str">
        <f>VLOOKUP(Table1[[#This Row],[Isin code]],Table2[#All],10,FALSE)</f>
        <v>Yearly</v>
      </c>
      <c r="X891">
        <f ca="1">_xlfn.DAYS(Table1[[#This Row],[Maturity]],TODAY())-15</f>
        <v>2403</v>
      </c>
      <c r="Y8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891">
        <f>IF(Table1[[#This Row],[Ask Rate]]=0,0,Table1[[#This Row],[Face Value]]-Table1[[#This Row],[Ask Rate]])</f>
        <v>0</v>
      </c>
      <c r="AA891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891">
        <f ca="1">Table1[[#This Row],[Face Value]]*Table1[[#This Row],[Rate]]*Table1[[#This Row],[Time]]</f>
        <v>735</v>
      </c>
      <c r="AC891">
        <f ca="1">Table1[[#This Row],[SI]]+Table1[[#This Row],[Disc/Prem]]</f>
        <v>735</v>
      </c>
      <c r="AD891" s="3" t="e">
        <f ca="1">Table1[[#This Row],[Net Gain]]/Table1[[#This Row],[Ask Rate]]</f>
        <v>#DIV/0!</v>
      </c>
      <c r="AE891" s="3">
        <f>IF(Table1[[#This Row],[Ask Qty]]=0,0,Table1[[#This Row],[Gross Yield]]*365/Table1[[#This Row],[Days Left]])</f>
        <v>0</v>
      </c>
      <c r="AF891" s="9">
        <f ca="1">+Table1[[#This Row],[Net Gain]]*Table1[[#This Row],[Ask Qty]]</f>
        <v>0</v>
      </c>
      <c r="AG891" t="str">
        <f>IF(Table1[[#This Row],[YTM]]&gt;0.12,IF(Table1[[#This Row],[Gross Profit]]&gt;10000,"Invest","Review"),"Low YTM")</f>
        <v>Low YTM</v>
      </c>
    </row>
    <row r="892" spans="1:33" x14ac:dyDescent="0.3">
      <c r="A892" t="str">
        <f>RTD("nest.scriprtd",,"bse_cm|1050SCL31","Symbol")</f>
        <v>1050SCL31</v>
      </c>
      <c r="B892" t="str">
        <f>RTD("nest.scriprtd",,"bse_cm|1050SCL31","Trading Symbol")</f>
        <v>1050SCL31</v>
      </c>
      <c r="C892" t="str">
        <f>RTD("nest.scriprtd",,"bse_cm|1050SCL31","Exchange")</f>
        <v>BSE</v>
      </c>
      <c r="D892">
        <f>RTD("nest.scriprtd",,"bse_cm|1050SCL31","Bid Qty")</f>
        <v>10</v>
      </c>
      <c r="E892">
        <f>RTD("nest.scriprtd",,"bse_cm|1050SCL31","Bid Rate")</f>
        <v>812.25</v>
      </c>
      <c r="F892">
        <f>RTD("nest.scriprtd",,"bse_cm|1050SCL31","Ask Rate")</f>
        <v>0</v>
      </c>
      <c r="G892">
        <f>RTD("nest.scriprtd",,"bse_cm|1050SCL31","Ask Qty")</f>
        <v>0</v>
      </c>
      <c r="H892">
        <f>RTD("nest.scriprtd",,"bse_cm|1050SCL31","LTP")</f>
        <v>0</v>
      </c>
      <c r="I892" t="str">
        <f>RTD("nest.scriprtd",,"bse_cm|1050SCL31","LTT")</f>
        <v>00:00:00</v>
      </c>
      <c r="J892">
        <f>RTD("nest.scriprtd",,"bse_cm|1050SCL31","% Change")</f>
        <v>-100</v>
      </c>
      <c r="K892">
        <f>RTD("nest.scriprtd",,"bse_cm|1050SCL31","ATP")</f>
        <v>0</v>
      </c>
      <c r="L892">
        <f>RTD("nest.scriprtd",,"bse_cm|1050SCL31","Volume Traded Today")</f>
        <v>0</v>
      </c>
      <c r="M892">
        <f>RTD("nest.scriprtd",,"bse_cm|1050SCL31","Open")</f>
        <v>0</v>
      </c>
      <c r="N892">
        <f>RTD("nest.scriprtd",,"bse_cm|1050SCL31","High")</f>
        <v>0</v>
      </c>
      <c r="O892">
        <f>RTD("nest.scriprtd",,"bse_cm|1050SCL31","Low ")</f>
        <v>0</v>
      </c>
      <c r="P892">
        <f>RTD("nest.scriprtd",,"bse_cm|1050SCL31","Prev Close")</f>
        <v>1000</v>
      </c>
      <c r="Q892">
        <f>RTD("nest.scriprtd",,"bse_cm|1050SCL31","Face Value")</f>
        <v>1000</v>
      </c>
      <c r="R892" t="str">
        <f>RTD("nest.scriprtd",,"bse_cm|1050SCL31","Isin code")</f>
        <v>INE148I07TK8</v>
      </c>
      <c r="S892" s="9">
        <f>Table1[[#This Row],[Ask Rate]]*Table1[[#This Row],[Ask Qty]]</f>
        <v>0</v>
      </c>
      <c r="T892">
        <f>VLOOKUP(Table1[[#This Row],[Isin code]],Table2[#All],7,FALSE)</f>
        <v>10.5</v>
      </c>
      <c r="U892" s="17" t="str">
        <f>VLOOKUP(Table1[[#This Row],[Isin code]],Table2[#All],8,FALSE)</f>
        <v>31-May-2031</v>
      </c>
      <c r="V892" s="10">
        <f ca="1">Table1[[#This Row],[Maturity]]-TODAY()</f>
        <v>2418</v>
      </c>
      <c r="W892" t="str">
        <f>VLOOKUP(Table1[[#This Row],[Isin code]],Table2[#All],10,FALSE)</f>
        <v>Yearly</v>
      </c>
      <c r="X892">
        <f ca="1">_xlfn.DAYS(Table1[[#This Row],[Maturity]],TODAY())-15</f>
        <v>2403</v>
      </c>
      <c r="Y8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892">
        <f>IF(Table1[[#This Row],[Ask Rate]]=0,0,Table1[[#This Row],[Face Value]]-Table1[[#This Row],[Ask Rate]])</f>
        <v>0</v>
      </c>
      <c r="AA892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892">
        <f ca="1">Table1[[#This Row],[Face Value]]*Table1[[#This Row],[Rate]]*Table1[[#This Row],[Time]]</f>
        <v>735</v>
      </c>
      <c r="AC892">
        <f ca="1">Table1[[#This Row],[SI]]+Table1[[#This Row],[Disc/Prem]]</f>
        <v>735</v>
      </c>
      <c r="AD892" s="3" t="e">
        <f ca="1">Table1[[#This Row],[Net Gain]]/Table1[[#This Row],[Ask Rate]]</f>
        <v>#DIV/0!</v>
      </c>
      <c r="AE892" s="3">
        <f>IF(Table1[[#This Row],[Ask Qty]]=0,0,Table1[[#This Row],[Gross Yield]]*365/Table1[[#This Row],[Days Left]])</f>
        <v>0</v>
      </c>
      <c r="AF892" s="9">
        <f ca="1">+Table1[[#This Row],[Net Gain]]*Table1[[#This Row],[Ask Qty]]</f>
        <v>0</v>
      </c>
      <c r="AG892" t="str">
        <f>IF(Table1[[#This Row],[YTM]]&gt;0.12,IF(Table1[[#This Row],[Gross Profit]]&gt;10000,"Invest","Review"),"Low YTM")</f>
        <v>Low YTM</v>
      </c>
    </row>
    <row r="893" spans="1:33" x14ac:dyDescent="0.3">
      <c r="A893" t="str">
        <f>RTD("nest.scriprtd",,"nse_cm|1050SCL30-NU","Symbol")</f>
        <v>1050SCL30</v>
      </c>
      <c r="B893" t="str">
        <f>RTD("nest.scriprtd",,"nse_cm|1050SCL30-NU","Trading Symbol")</f>
        <v>1050SCL30-NU</v>
      </c>
      <c r="C893" t="str">
        <f>RTD("nest.scriprtd",,"nse_cm|1050SCL30-NU","Exchange")</f>
        <v>NSE</v>
      </c>
      <c r="D893">
        <f>RTD("nest.scriprtd",,"nse_cm|1050SCL30-NU","Bid Qty")</f>
        <v>31</v>
      </c>
      <c r="E893">
        <f>RTD("nest.scriprtd",,"nse_cm|1050SCL30-NU","Bid Rate")</f>
        <v>819.56</v>
      </c>
      <c r="F893">
        <f>RTD("nest.scriprtd",,"nse_cm|1050SCL30-NU","Ask Rate")</f>
        <v>0</v>
      </c>
      <c r="G893">
        <f>RTD("nest.scriprtd",,"nse_cm|1050SCL30-NU","Ask Qty")</f>
        <v>0</v>
      </c>
      <c r="H893">
        <f>RTD("nest.scriprtd",,"nse_cm|1050SCL30-NU","LTP")</f>
        <v>0</v>
      </c>
      <c r="I893" t="str">
        <f>RTD("nest.scriprtd",,"nse_cm|1050SCL30-NU","LTT")</f>
        <v/>
      </c>
      <c r="J893">
        <f>RTD("nest.scriprtd",,"nse_cm|1050SCL30-NU","% Change")</f>
        <v>-100</v>
      </c>
      <c r="K893">
        <f>RTD("nest.scriprtd",,"nse_cm|1050SCL30-NU","ATP")</f>
        <v>0</v>
      </c>
      <c r="L893">
        <f>RTD("nest.scriprtd",,"nse_cm|1050SCL30-NU","Volume Traded Today")</f>
        <v>0</v>
      </c>
      <c r="M893">
        <f>RTD("nest.scriprtd",,"nse_cm|1050SCL30-NU","Open")</f>
        <v>0</v>
      </c>
      <c r="N893">
        <f>RTD("nest.scriprtd",,"nse_cm|1050SCL30-NU","High")</f>
        <v>0</v>
      </c>
      <c r="O893">
        <f>RTD("nest.scriprtd",,"nse_cm|1050SCL30-NU","Low ")</f>
        <v>0</v>
      </c>
      <c r="P893">
        <f>RTD("nest.scriprtd",,"nse_cm|1050SCL30-NU","Prev Close")</f>
        <v>1000</v>
      </c>
      <c r="Q893">
        <f>RTD("nest.scriprtd",,"nse_cm|1050SCL30-NU","Face Value")</f>
        <v>1000</v>
      </c>
      <c r="R893" t="str">
        <f>RTD("nest.scriprtd",,"nse_cm|1050SCL30-NU","Isin code")</f>
        <v>INE148I07QV1</v>
      </c>
      <c r="S893" s="9">
        <f>Table1[[#This Row],[Ask Rate]]*Table1[[#This Row],[Ask Qty]]</f>
        <v>0</v>
      </c>
      <c r="T893">
        <f>VLOOKUP(Table1[[#This Row],[Isin code]],Table2[#All],7,FALSE)</f>
        <v>10.5</v>
      </c>
      <c r="U893" s="17" t="str">
        <f>VLOOKUP(Table1[[#This Row],[Isin code]],Table2[#All],8,FALSE)</f>
        <v>09-Nov-2030</v>
      </c>
      <c r="V893" s="10">
        <f ca="1">Table1[[#This Row],[Maturity]]-TODAY()</f>
        <v>2215</v>
      </c>
      <c r="W893" t="str">
        <f>VLOOKUP(Table1[[#This Row],[Isin code]],Table2[#All],10,FALSE)</f>
        <v>Yearly</v>
      </c>
      <c r="X893">
        <f ca="1">_xlfn.DAYS(Table1[[#This Row],[Maturity]],TODAY())-15</f>
        <v>2200</v>
      </c>
      <c r="Y8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893">
        <f>IF(Table1[[#This Row],[Ask Rate]]=0,0,Table1[[#This Row],[Face Value]]-Table1[[#This Row],[Ask Rate]])</f>
        <v>0</v>
      </c>
      <c r="AA893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893">
        <f ca="1">Table1[[#This Row],[Face Value]]*Table1[[#This Row],[Rate]]*Table1[[#This Row],[Time]]</f>
        <v>735</v>
      </c>
      <c r="AC893">
        <f ca="1">Table1[[#This Row],[SI]]+Table1[[#This Row],[Disc/Prem]]</f>
        <v>735</v>
      </c>
      <c r="AD893" s="3" t="e">
        <f ca="1">Table1[[#This Row],[Net Gain]]/Table1[[#This Row],[Ask Rate]]</f>
        <v>#DIV/0!</v>
      </c>
      <c r="AE893" s="3">
        <f>IF(Table1[[#This Row],[Ask Qty]]=0,0,Table1[[#This Row],[Gross Yield]]*365/Table1[[#This Row],[Days Left]])</f>
        <v>0</v>
      </c>
      <c r="AF893" s="9">
        <f ca="1">+Table1[[#This Row],[Net Gain]]*Table1[[#This Row],[Ask Qty]]</f>
        <v>0</v>
      </c>
      <c r="AG893" t="str">
        <f>IF(Table1[[#This Row],[YTM]]&gt;0.12,IF(Table1[[#This Row],[Gross Profit]]&gt;10000,"Invest","Review"),"Low YTM")</f>
        <v>Low YTM</v>
      </c>
    </row>
    <row r="894" spans="1:33" x14ac:dyDescent="0.3">
      <c r="A894" t="str">
        <f>RTD("nest.scriprtd",,"bse_cm|925SCL28B","Symbol")</f>
        <v>925SCL28B</v>
      </c>
      <c r="B894" t="str">
        <f>RTD("nest.scriprtd",,"bse_cm|925SCL28B","Trading Symbol")</f>
        <v>925SCL28B</v>
      </c>
      <c r="C894" t="str">
        <f>RTD("nest.scriprtd",,"bse_cm|925SCL28B","Exchange")</f>
        <v>BSE</v>
      </c>
      <c r="D894">
        <f>RTD("nest.scriprtd",,"bse_cm|925SCL28B","Bid Qty")</f>
        <v>20</v>
      </c>
      <c r="E894">
        <f>RTD("nest.scriprtd",,"bse_cm|925SCL28B","Bid Rate")</f>
        <v>815.45</v>
      </c>
      <c r="F894">
        <f>RTD("nest.scriprtd",,"bse_cm|925SCL28B","Ask Rate")</f>
        <v>0</v>
      </c>
      <c r="G894">
        <f>RTD("nest.scriprtd",,"bse_cm|925SCL28B","Ask Qty")</f>
        <v>0</v>
      </c>
      <c r="H894">
        <f>RTD("nest.scriprtd",,"bse_cm|925SCL28B","LTP")</f>
        <v>0</v>
      </c>
      <c r="I894" t="str">
        <f>RTD("nest.scriprtd",,"bse_cm|925SCL28B","LTT")</f>
        <v>00:00:00</v>
      </c>
      <c r="J894">
        <f>RTD("nest.scriprtd",,"bse_cm|925SCL28B","% Change")</f>
        <v>-100</v>
      </c>
      <c r="K894">
        <f>RTD("nest.scriprtd",,"bse_cm|925SCL28B","ATP")</f>
        <v>0</v>
      </c>
      <c r="L894">
        <f>RTD("nest.scriprtd",,"bse_cm|925SCL28B","Volume Traded Today")</f>
        <v>0</v>
      </c>
      <c r="M894">
        <f>RTD("nest.scriprtd",,"bse_cm|925SCL28B","Open")</f>
        <v>0</v>
      </c>
      <c r="N894">
        <f>RTD("nest.scriprtd",,"bse_cm|925SCL28B","High")</f>
        <v>900.3</v>
      </c>
      <c r="O894">
        <f>RTD("nest.scriprtd",,"bse_cm|925SCL28B","Low ")</f>
        <v>900.3</v>
      </c>
      <c r="P894">
        <f>RTD("nest.scriprtd",,"bse_cm|925SCL28B","Prev Close")</f>
        <v>900.3</v>
      </c>
      <c r="Q894">
        <f>RTD("nest.scriprtd",,"bse_cm|925SCL28B","Face Value")</f>
        <v>1000</v>
      </c>
      <c r="R894" t="str">
        <f>RTD("nest.scriprtd",,"bse_cm|925SCL28B","Isin code")</f>
        <v>INE148I07RS5</v>
      </c>
      <c r="S894" s="9">
        <f>Table1[[#This Row],[Ask Rate]]*Table1[[#This Row],[Ask Qty]]</f>
        <v>0</v>
      </c>
      <c r="T894">
        <f>VLOOKUP(Table1[[#This Row],[Isin code]],Table2[#All],7,FALSE)</f>
        <v>10.15</v>
      </c>
      <c r="U894" s="17" t="str">
        <f>VLOOKUP(Table1[[#This Row],[Isin code]],Table2[#All],8,FALSE)</f>
        <v>27-Dec-2028</v>
      </c>
      <c r="V894" s="10">
        <f ca="1">Table1[[#This Row],[Maturity]]-TODAY()</f>
        <v>1533</v>
      </c>
      <c r="W894" t="str">
        <f>VLOOKUP(Table1[[#This Row],[Isin code]],Table2[#All],10,FALSE)</f>
        <v>Yearly</v>
      </c>
      <c r="X894">
        <f ca="1">_xlfn.DAYS(Table1[[#This Row],[Maturity]],TODAY())-15</f>
        <v>1518</v>
      </c>
      <c r="Y8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894">
        <f>IF(Table1[[#This Row],[Ask Rate]]=0,0,Table1[[#This Row],[Face Value]]-Table1[[#This Row],[Ask Rate]])</f>
        <v>0</v>
      </c>
      <c r="AA894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894">
        <f ca="1">Table1[[#This Row],[Face Value]]*Table1[[#This Row],[Rate]]*Table1[[#This Row],[Time]]</f>
        <v>507.5</v>
      </c>
      <c r="AC894">
        <f ca="1">Table1[[#This Row],[SI]]+Table1[[#This Row],[Disc/Prem]]</f>
        <v>507.5</v>
      </c>
      <c r="AD894" s="3" t="e">
        <f ca="1">Table1[[#This Row],[Net Gain]]/Table1[[#This Row],[Ask Rate]]</f>
        <v>#DIV/0!</v>
      </c>
      <c r="AE894" s="3">
        <f>IF(Table1[[#This Row],[Ask Qty]]=0,0,Table1[[#This Row],[Gross Yield]]*365/Table1[[#This Row],[Days Left]])</f>
        <v>0</v>
      </c>
      <c r="AF894" s="9">
        <f ca="1">+Table1[[#This Row],[Net Gain]]*Table1[[#This Row],[Ask Qty]]</f>
        <v>0</v>
      </c>
      <c r="AG894" t="str">
        <f>IF(Table1[[#This Row],[YTM]]&gt;0.12,IF(Table1[[#This Row],[Gross Profit]]&gt;10000,"Invest","Review"),"Low YTM")</f>
        <v>Low YTM</v>
      </c>
    </row>
    <row r="895" spans="1:33" x14ac:dyDescent="0.3">
      <c r="A895" t="str">
        <f>RTD("nest.scriprtd",,"nse_cm|925SCL28A-NS","Symbol")</f>
        <v>925SCL28A</v>
      </c>
      <c r="B895" t="str">
        <f>RTD("nest.scriprtd",,"nse_cm|925SCL28A-NS","Trading Symbol")</f>
        <v>925SCL28A-NS</v>
      </c>
      <c r="C895" t="str">
        <f>RTD("nest.scriprtd",,"nse_cm|925SCL28A-NS","Exchange")</f>
        <v>NSE</v>
      </c>
      <c r="D895">
        <f>RTD("nest.scriprtd",,"nse_cm|925SCL28A-NS","Bid Qty")</f>
        <v>7</v>
      </c>
      <c r="E895">
        <f>RTD("nest.scriprtd",,"nse_cm|925SCL28A-NS","Bid Rate")</f>
        <v>819.45</v>
      </c>
      <c r="F895">
        <f>RTD("nest.scriprtd",,"nse_cm|925SCL28A-NS","Ask Rate")</f>
        <v>0</v>
      </c>
      <c r="G895">
        <f>RTD("nest.scriprtd",,"nse_cm|925SCL28A-NS","Ask Qty")</f>
        <v>0</v>
      </c>
      <c r="H895">
        <f>RTD("nest.scriprtd",,"nse_cm|925SCL28A-NS","LTP")</f>
        <v>0</v>
      </c>
      <c r="I895" t="str">
        <f>RTD("nest.scriprtd",,"nse_cm|925SCL28A-NS","LTT")</f>
        <v/>
      </c>
      <c r="J895">
        <f>RTD("nest.scriprtd",,"nse_cm|925SCL28A-NS","% Change")</f>
        <v>-100</v>
      </c>
      <c r="K895">
        <f>RTD("nest.scriprtd",,"nse_cm|925SCL28A-NS","ATP")</f>
        <v>0</v>
      </c>
      <c r="L895">
        <f>RTD("nest.scriprtd",,"nse_cm|925SCL28A-NS","Volume Traded Today")</f>
        <v>0</v>
      </c>
      <c r="M895">
        <f>RTD("nest.scriprtd",,"nse_cm|925SCL28A-NS","Open")</f>
        <v>0</v>
      </c>
      <c r="N895">
        <f>RTD("nest.scriprtd",,"nse_cm|925SCL28A-NS","High")</f>
        <v>0</v>
      </c>
      <c r="O895">
        <f>RTD("nest.scriprtd",,"nse_cm|925SCL28A-NS","Low ")</f>
        <v>0</v>
      </c>
      <c r="P895">
        <f>RTD("nest.scriprtd",,"nse_cm|925SCL28A-NS","Prev Close")</f>
        <v>1000</v>
      </c>
      <c r="Q895">
        <f>RTD("nest.scriprtd",,"nse_cm|925SCL28A-NS","Face Value")</f>
        <v>1000</v>
      </c>
      <c r="R895" t="str">
        <f>RTD("nest.scriprtd",,"nse_cm|925SCL28A-NS","Isin code")</f>
        <v>INE148I07QS7</v>
      </c>
      <c r="S895" s="9">
        <f>Table1[[#This Row],[Ask Rate]]*Table1[[#This Row],[Ask Qty]]</f>
        <v>0</v>
      </c>
      <c r="T895">
        <f>VLOOKUP(Table1[[#This Row],[Isin code]],Table2[#All],7,FALSE)</f>
        <v>9.25</v>
      </c>
      <c r="U895" s="17" t="str">
        <f>VLOOKUP(Table1[[#This Row],[Isin code]],Table2[#All],8,FALSE)</f>
        <v>09-Nov-2028</v>
      </c>
      <c r="V895" s="10">
        <f ca="1">Table1[[#This Row],[Maturity]]-TODAY()</f>
        <v>1485</v>
      </c>
      <c r="W895" t="str">
        <f>VLOOKUP(Table1[[#This Row],[Isin code]],Table2[#All],10,FALSE)</f>
        <v>Monthly</v>
      </c>
      <c r="X895">
        <f ca="1">_xlfn.DAYS(Table1[[#This Row],[Maturity]],TODAY())-15</f>
        <v>1470</v>
      </c>
      <c r="Y8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49</v>
      </c>
      <c r="Z895">
        <f>IF(Table1[[#This Row],[Ask Rate]]=0,0,Table1[[#This Row],[Face Value]]-Table1[[#This Row],[Ask Rate]])</f>
        <v>0</v>
      </c>
      <c r="AA895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895">
        <f ca="1">Table1[[#This Row],[Face Value]]*Table1[[#This Row],[Rate]]*Table1[[#This Row],[Time]]</f>
        <v>377.70833333333337</v>
      </c>
      <c r="AC895">
        <f ca="1">Table1[[#This Row],[SI]]+Table1[[#This Row],[Disc/Prem]]</f>
        <v>377.70833333333337</v>
      </c>
      <c r="AD895" s="3" t="e">
        <f ca="1">Table1[[#This Row],[Net Gain]]/Table1[[#This Row],[Ask Rate]]</f>
        <v>#DIV/0!</v>
      </c>
      <c r="AE895" s="3">
        <f>IF(Table1[[#This Row],[Ask Qty]]=0,0,Table1[[#This Row],[Gross Yield]]*365/Table1[[#This Row],[Days Left]])</f>
        <v>0</v>
      </c>
      <c r="AF895" s="9">
        <f ca="1">+Table1[[#This Row],[Net Gain]]*Table1[[#This Row],[Ask Qty]]</f>
        <v>0</v>
      </c>
      <c r="AG895" t="str">
        <f>IF(Table1[[#This Row],[YTM]]&gt;0.12,IF(Table1[[#This Row],[Gross Profit]]&gt;10000,"Invest","Review"),"Low YTM")</f>
        <v>Low YTM</v>
      </c>
    </row>
    <row r="896" spans="1:33" x14ac:dyDescent="0.3">
      <c r="A896" t="str">
        <f>RTD("nest.scriprtd",,"bse_cm|965SCL28B","Symbol")</f>
        <v>965SCL28B</v>
      </c>
      <c r="B896" t="str">
        <f>RTD("nest.scriprtd",,"bse_cm|965SCL28B","Trading Symbol")</f>
        <v>965SCL28B</v>
      </c>
      <c r="C896" t="str">
        <f>RTD("nest.scriprtd",,"bse_cm|965SCL28B","Exchange")</f>
        <v>BSE</v>
      </c>
      <c r="D896">
        <f>RTD("nest.scriprtd",,"bse_cm|965SCL28B","Bid Qty")</f>
        <v>10</v>
      </c>
      <c r="E896">
        <f>RTD("nest.scriprtd",,"bse_cm|965SCL28B","Bid Rate")</f>
        <v>812.4</v>
      </c>
      <c r="F896">
        <f>RTD("nest.scriprtd",,"bse_cm|965SCL28B","Ask Rate")</f>
        <v>0</v>
      </c>
      <c r="G896">
        <f>RTD("nest.scriprtd",,"bse_cm|965SCL28B","Ask Qty")</f>
        <v>0</v>
      </c>
      <c r="H896">
        <f>RTD("nest.scriprtd",,"bse_cm|965SCL28B","LTP")</f>
        <v>0</v>
      </c>
      <c r="I896" t="str">
        <f>RTD("nest.scriprtd",,"bse_cm|965SCL28B","LTT")</f>
        <v>00:00:00</v>
      </c>
      <c r="J896">
        <f>RTD("nest.scriprtd",,"bse_cm|965SCL28B","% Change")</f>
        <v>-100</v>
      </c>
      <c r="K896">
        <f>RTD("nest.scriprtd",,"bse_cm|965SCL28B","ATP")</f>
        <v>0</v>
      </c>
      <c r="L896">
        <f>RTD("nest.scriprtd",,"bse_cm|965SCL28B","Volume Traded Today")</f>
        <v>0</v>
      </c>
      <c r="M896">
        <f>RTD("nest.scriprtd",,"bse_cm|965SCL28B","Open")</f>
        <v>0</v>
      </c>
      <c r="N896">
        <f>RTD("nest.scriprtd",,"bse_cm|965SCL28B","High")</f>
        <v>0</v>
      </c>
      <c r="O896">
        <f>RTD("nest.scriprtd",,"bse_cm|965SCL28B","Low ")</f>
        <v>0</v>
      </c>
      <c r="P896">
        <f>RTD("nest.scriprtd",,"bse_cm|965SCL28B","Prev Close")</f>
        <v>1000</v>
      </c>
      <c r="Q896">
        <f>RTD("nest.scriprtd",,"bse_cm|965SCL28B","Face Value")</f>
        <v>1000</v>
      </c>
      <c r="R896" t="str">
        <f>RTD("nest.scriprtd",,"bse_cm|965SCL28B","Isin code")</f>
        <v>INE148I07RM8</v>
      </c>
      <c r="S896" s="9">
        <f>Table1[[#This Row],[Ask Rate]]*Table1[[#This Row],[Ask Qty]]</f>
        <v>0</v>
      </c>
      <c r="T896">
        <f>VLOOKUP(Table1[[#This Row],[Isin code]],Table2[#All],7,FALSE)</f>
        <v>9.65</v>
      </c>
      <c r="U896" s="17" t="str">
        <f>VLOOKUP(Table1[[#This Row],[Isin code]],Table2[#All],8,FALSE)</f>
        <v>27-Dec-2028</v>
      </c>
      <c r="V896" s="10">
        <f ca="1">Table1[[#This Row],[Maturity]]-TODAY()</f>
        <v>1533</v>
      </c>
      <c r="W896" t="str">
        <f>VLOOKUP(Table1[[#This Row],[Isin code]],Table2[#All],10,FALSE)</f>
        <v>Yearly</v>
      </c>
      <c r="X896">
        <f ca="1">_xlfn.DAYS(Table1[[#This Row],[Maturity]],TODAY())-15</f>
        <v>1518</v>
      </c>
      <c r="Y8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896">
        <f>IF(Table1[[#This Row],[Ask Rate]]=0,0,Table1[[#This Row],[Face Value]]-Table1[[#This Row],[Ask Rate]])</f>
        <v>0</v>
      </c>
      <c r="AA896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896">
        <f ca="1">Table1[[#This Row],[Face Value]]*Table1[[#This Row],[Rate]]*Table1[[#This Row],[Time]]</f>
        <v>482.5</v>
      </c>
      <c r="AC896">
        <f ca="1">Table1[[#This Row],[SI]]+Table1[[#This Row],[Disc/Prem]]</f>
        <v>482.5</v>
      </c>
      <c r="AD896" s="3" t="e">
        <f ca="1">Table1[[#This Row],[Net Gain]]/Table1[[#This Row],[Ask Rate]]</f>
        <v>#DIV/0!</v>
      </c>
      <c r="AE896" s="3">
        <f>IF(Table1[[#This Row],[Ask Qty]]=0,0,Table1[[#This Row],[Gross Yield]]*365/Table1[[#This Row],[Days Left]])</f>
        <v>0</v>
      </c>
      <c r="AF896" s="9">
        <f ca="1">+Table1[[#This Row],[Net Gain]]*Table1[[#This Row],[Ask Qty]]</f>
        <v>0</v>
      </c>
      <c r="AG896" t="str">
        <f>IF(Table1[[#This Row],[YTM]]&gt;0.12,IF(Table1[[#This Row],[Gross Profit]]&gt;10000,"Invest","Review"),"Low YTM")</f>
        <v>Low YTM</v>
      </c>
    </row>
    <row r="897" spans="1:33" x14ac:dyDescent="0.3">
      <c r="A897" t="str">
        <f>RTD("nest.scriprtd",,"nse_cm|965SCL28A-NQ","Symbol")</f>
        <v>965SCL28A</v>
      </c>
      <c r="B897" t="str">
        <f>RTD("nest.scriprtd",,"nse_cm|965SCL28A-NQ","Trading Symbol")</f>
        <v>965SCL28A-NQ</v>
      </c>
      <c r="C897" t="str">
        <f>RTD("nest.scriprtd",,"nse_cm|965SCL28A-NQ","Exchange")</f>
        <v>NSE</v>
      </c>
      <c r="D897">
        <f>RTD("nest.scriprtd",,"nse_cm|965SCL28A-NQ","Bid Qty")</f>
        <v>6</v>
      </c>
      <c r="E897">
        <f>RTD("nest.scriprtd",,"nse_cm|965SCL28A-NQ","Bid Rate")</f>
        <v>819.35</v>
      </c>
      <c r="F897">
        <f>RTD("nest.scriprtd",,"nse_cm|965SCL28A-NQ","Ask Rate")</f>
        <v>0</v>
      </c>
      <c r="G897">
        <f>RTD("nest.scriprtd",,"nse_cm|965SCL28A-NQ","Ask Qty")</f>
        <v>0</v>
      </c>
      <c r="H897">
        <f>RTD("nest.scriprtd",,"nse_cm|965SCL28A-NQ","LTP")</f>
        <v>0</v>
      </c>
      <c r="I897" t="str">
        <f>RTD("nest.scriprtd",,"nse_cm|965SCL28A-NQ","LTT")</f>
        <v/>
      </c>
      <c r="J897">
        <f>RTD("nest.scriprtd",,"nse_cm|965SCL28A-NQ","% Change")</f>
        <v>-100</v>
      </c>
      <c r="K897">
        <f>RTD("nest.scriprtd",,"nse_cm|965SCL28A-NQ","ATP")</f>
        <v>0</v>
      </c>
      <c r="L897">
        <f>RTD("nest.scriprtd",,"nse_cm|965SCL28A-NQ","Volume Traded Today")</f>
        <v>0</v>
      </c>
      <c r="M897">
        <f>RTD("nest.scriprtd",,"nse_cm|965SCL28A-NQ","Open")</f>
        <v>0</v>
      </c>
      <c r="N897">
        <f>RTD("nest.scriprtd",,"nse_cm|965SCL28A-NQ","High")</f>
        <v>0</v>
      </c>
      <c r="O897">
        <f>RTD("nest.scriprtd",,"nse_cm|965SCL28A-NQ","Low ")</f>
        <v>0</v>
      </c>
      <c r="P897">
        <f>RTD("nest.scriprtd",,"nse_cm|965SCL28A-NQ","Prev Close")</f>
        <v>1000</v>
      </c>
      <c r="Q897">
        <f>RTD("nest.scriprtd",,"nse_cm|965SCL28A-NQ","Face Value")</f>
        <v>1000</v>
      </c>
      <c r="R897" t="str">
        <f>RTD("nest.scriprtd",,"nse_cm|965SCL28A-NQ","Isin code")</f>
        <v>INE148I07QQ1</v>
      </c>
      <c r="S897" s="9">
        <f>Table1[[#This Row],[Ask Rate]]*Table1[[#This Row],[Ask Qty]]</f>
        <v>0</v>
      </c>
      <c r="T897">
        <f>VLOOKUP(Table1[[#This Row],[Isin code]],Table2[#All],7,FALSE)</f>
        <v>9.65</v>
      </c>
      <c r="U897" s="17" t="str">
        <f>VLOOKUP(Table1[[#This Row],[Isin code]],Table2[#All],8,FALSE)</f>
        <v>09-Nov-2028</v>
      </c>
      <c r="V897" s="10">
        <f ca="1">Table1[[#This Row],[Maturity]]-TODAY()</f>
        <v>1485</v>
      </c>
      <c r="W897" t="str">
        <f>VLOOKUP(Table1[[#This Row],[Isin code]],Table2[#All],10,FALSE)</f>
        <v>Yearly</v>
      </c>
      <c r="X897">
        <f ca="1">_xlfn.DAYS(Table1[[#This Row],[Maturity]],TODAY())-15</f>
        <v>1470</v>
      </c>
      <c r="Y8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897">
        <f>IF(Table1[[#This Row],[Ask Rate]]=0,0,Table1[[#This Row],[Face Value]]-Table1[[#This Row],[Ask Rate]])</f>
        <v>0</v>
      </c>
      <c r="AA897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897">
        <f ca="1">Table1[[#This Row],[Face Value]]*Table1[[#This Row],[Rate]]*Table1[[#This Row],[Time]]</f>
        <v>482.5</v>
      </c>
      <c r="AC897">
        <f ca="1">Table1[[#This Row],[SI]]+Table1[[#This Row],[Disc/Prem]]</f>
        <v>482.5</v>
      </c>
      <c r="AD897" s="3" t="e">
        <f ca="1">Table1[[#This Row],[Net Gain]]/Table1[[#This Row],[Ask Rate]]</f>
        <v>#DIV/0!</v>
      </c>
      <c r="AE897" s="3">
        <f>IF(Table1[[#This Row],[Ask Qty]]=0,0,Table1[[#This Row],[Gross Yield]]*365/Table1[[#This Row],[Days Left]])</f>
        <v>0</v>
      </c>
      <c r="AF897" s="9">
        <f ca="1">+Table1[[#This Row],[Net Gain]]*Table1[[#This Row],[Ask Qty]]</f>
        <v>0</v>
      </c>
      <c r="AG897" t="str">
        <f>IF(Table1[[#This Row],[YTM]]&gt;0.12,IF(Table1[[#This Row],[Gross Profit]]&gt;10000,"Invest","Review"),"Low YTM")</f>
        <v>Low YTM</v>
      </c>
    </row>
    <row r="898" spans="1:33" x14ac:dyDescent="0.3">
      <c r="A898" t="str">
        <f>RTD("nest.scriprtd",,"bse_cm|SCLZC26F","Symbol")</f>
        <v>SCLZC26F</v>
      </c>
      <c r="B898" t="str">
        <f>RTD("nest.scriprtd",,"bse_cm|SCLZC26F","Trading Symbol")</f>
        <v>SCLZC26F</v>
      </c>
      <c r="C898" t="str">
        <f>RTD("nest.scriprtd",,"bse_cm|SCLZC26F","Exchange")</f>
        <v>BSE</v>
      </c>
      <c r="D898">
        <f>RTD("nest.scriprtd",,"bse_cm|SCLZC26F","Bid Qty")</f>
        <v>20</v>
      </c>
      <c r="E898">
        <f>RTD("nest.scriprtd",,"bse_cm|SCLZC26F","Bid Rate")</f>
        <v>850.2</v>
      </c>
      <c r="F898">
        <f>RTD("nest.scriprtd",,"bse_cm|SCLZC26F","Ask Rate")</f>
        <v>0</v>
      </c>
      <c r="G898">
        <f>RTD("nest.scriprtd",,"bse_cm|SCLZC26F","Ask Qty")</f>
        <v>0</v>
      </c>
      <c r="H898">
        <f>RTD("nest.scriprtd",,"bse_cm|SCLZC26F","LTP")</f>
        <v>0</v>
      </c>
      <c r="I898" t="str">
        <f>RTD("nest.scriprtd",,"bse_cm|SCLZC26F","LTT")</f>
        <v>00:00:00</v>
      </c>
      <c r="J898">
        <f>RTD("nest.scriprtd",,"bse_cm|SCLZC26F","% Change")</f>
        <v>-100</v>
      </c>
      <c r="K898">
        <f>RTD("nest.scriprtd",,"bse_cm|SCLZC26F","ATP")</f>
        <v>0</v>
      </c>
      <c r="L898">
        <f>RTD("nest.scriprtd",,"bse_cm|SCLZC26F","Volume Traded Today")</f>
        <v>0</v>
      </c>
      <c r="M898">
        <f>RTD("nest.scriprtd",,"bse_cm|SCLZC26F","Open")</f>
        <v>0</v>
      </c>
      <c r="N898">
        <f>RTD("nest.scriprtd",,"bse_cm|SCLZC26F","High")</f>
        <v>0</v>
      </c>
      <c r="O898">
        <f>RTD("nest.scriprtd",,"bse_cm|SCLZC26F","Low ")</f>
        <v>0</v>
      </c>
      <c r="P898">
        <f>RTD("nest.scriprtd",,"bse_cm|SCLZC26F","Prev Close")</f>
        <v>1000</v>
      </c>
      <c r="Q898">
        <f>RTD("nest.scriprtd",,"bse_cm|SCLZC26F","Face Value")</f>
        <v>1000</v>
      </c>
      <c r="R898" t="str">
        <f>RTD("nest.scriprtd",,"bse_cm|SCLZC26F","Isin code")</f>
        <v>INE148I07RY3</v>
      </c>
      <c r="S898" s="9">
        <f>Table1[[#This Row],[Ask Rate]]*Table1[[#This Row],[Ask Qty]]</f>
        <v>0</v>
      </c>
      <c r="T898" t="str">
        <f>VLOOKUP(Table1[[#This Row],[Isin code]],Table2[#All],7,FALSE)</f>
        <v>--</v>
      </c>
      <c r="U898" s="17" t="str">
        <f>VLOOKUP(Table1[[#This Row],[Isin code]],Table2[#All],8,FALSE)</f>
        <v>27-Dec-2026</v>
      </c>
      <c r="V898" s="10">
        <f ca="1">Table1[[#This Row],[Maturity]]-TODAY()</f>
        <v>802</v>
      </c>
      <c r="W898" t="str">
        <f>VLOOKUP(Table1[[#This Row],[Isin code]],Table2[#All],10,FALSE)</f>
        <v>At the End</v>
      </c>
      <c r="X898">
        <f ca="1">_xlfn.DAYS(Table1[[#This Row],[Maturity]],TODAY())-15</f>
        <v>787</v>
      </c>
      <c r="Y89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898">
        <f>IF(Table1[[#This Row],[Ask Rate]]=0,0,Table1[[#This Row],[Face Value]]-Table1[[#This Row],[Ask Rate]])</f>
        <v>0</v>
      </c>
      <c r="AA89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98">
        <f>Table1[[#This Row],[Face Value]]*Table1[[#This Row],[Rate]]*Table1[[#This Row],[Time]]</f>
        <v>0</v>
      </c>
      <c r="AC898">
        <f>Table1[[#This Row],[SI]]+Table1[[#This Row],[Disc/Prem]]</f>
        <v>0</v>
      </c>
      <c r="AD898" s="3" t="e">
        <f>Table1[[#This Row],[Net Gain]]/Table1[[#This Row],[Ask Rate]]</f>
        <v>#DIV/0!</v>
      </c>
      <c r="AE898" s="3">
        <f>IF(Table1[[#This Row],[Ask Qty]]=0,0,Table1[[#This Row],[Gross Yield]]*365/Table1[[#This Row],[Days Left]])</f>
        <v>0</v>
      </c>
      <c r="AF898" s="9">
        <f>+Table1[[#This Row],[Net Gain]]*Table1[[#This Row],[Ask Qty]]</f>
        <v>0</v>
      </c>
      <c r="AG898" t="str">
        <f>IF(Table1[[#This Row],[YTM]]&gt;0.12,IF(Table1[[#This Row],[Gross Profit]]&gt;10000,"Invest","Review"),"Low YTM")</f>
        <v>Low YTM</v>
      </c>
    </row>
    <row r="899" spans="1:33" x14ac:dyDescent="0.3">
      <c r="A899" t="str">
        <f>RTD("nest.scriprtd",,"nse_cm|SCLZC26E-NP","Symbol")</f>
        <v>SCLZC26E</v>
      </c>
      <c r="B899" t="str">
        <f>RTD("nest.scriprtd",,"nse_cm|SCLZC26E-NP","Trading Symbol")</f>
        <v>SCLZC26E-NP</v>
      </c>
      <c r="C899" t="str">
        <f>RTD("nest.scriprtd",,"nse_cm|SCLZC26E-NP","Exchange")</f>
        <v>NSE</v>
      </c>
      <c r="D899">
        <f>RTD("nest.scriprtd",,"nse_cm|SCLZC26E-NP","Bid Qty")</f>
        <v>5</v>
      </c>
      <c r="E899">
        <f>RTD("nest.scriprtd",,"nse_cm|SCLZC26E-NP","Bid Rate")</f>
        <v>819.3</v>
      </c>
      <c r="F899">
        <f>RTD("nest.scriprtd",,"nse_cm|SCLZC26E-NP","Ask Rate")</f>
        <v>0</v>
      </c>
      <c r="G899">
        <f>RTD("nest.scriprtd",,"nse_cm|SCLZC26E-NP","Ask Qty")</f>
        <v>0</v>
      </c>
      <c r="H899">
        <f>RTD("nest.scriprtd",,"nse_cm|SCLZC26E-NP","LTP")</f>
        <v>980</v>
      </c>
      <c r="I899" t="str">
        <f>RTD("nest.scriprtd",,"nse_cm|SCLZC26E-NP","LTT")</f>
        <v/>
      </c>
      <c r="J899">
        <f>RTD("nest.scriprtd",,"nse_cm|SCLZC26E-NP","% Change")</f>
        <v>0</v>
      </c>
      <c r="K899">
        <f>RTD("nest.scriprtd",,"nse_cm|SCLZC26E-NP","ATP")</f>
        <v>0</v>
      </c>
      <c r="L899">
        <f>RTD("nest.scriprtd",,"nse_cm|SCLZC26E-NP","Volume Traded Today")</f>
        <v>0</v>
      </c>
      <c r="M899">
        <f>RTD("nest.scriprtd",,"nse_cm|SCLZC26E-NP","Open")</f>
        <v>0</v>
      </c>
      <c r="N899">
        <f>RTD("nest.scriprtd",,"nse_cm|SCLZC26E-NP","High")</f>
        <v>980</v>
      </c>
      <c r="O899">
        <f>RTD("nest.scriprtd",,"nse_cm|SCLZC26E-NP","Low ")</f>
        <v>980</v>
      </c>
      <c r="P899">
        <f>RTD("nest.scriprtd",,"nse_cm|SCLZC26E-NP","Prev Close")</f>
        <v>980</v>
      </c>
      <c r="Q899">
        <f>RTD("nest.scriprtd",,"nse_cm|SCLZC26E-NP","Face Value")</f>
        <v>1000</v>
      </c>
      <c r="R899" t="str">
        <f>RTD("nest.scriprtd",,"nse_cm|SCLZC26E-NP","Isin code")</f>
        <v>INE148I07QO6</v>
      </c>
      <c r="S899" s="9">
        <f>Table1[[#This Row],[Ask Rate]]*Table1[[#This Row],[Ask Qty]]</f>
        <v>0</v>
      </c>
      <c r="T899">
        <f>VLOOKUP(Table1[[#This Row],[Isin code]],Table2[#All],7,FALSE)</f>
        <v>0</v>
      </c>
      <c r="U899" s="17" t="str">
        <f>VLOOKUP(Table1[[#This Row],[Isin code]],Table2[#All],8,FALSE)</f>
        <v>09-Nov-2026</v>
      </c>
      <c r="V899" s="10">
        <f ca="1">Table1[[#This Row],[Maturity]]-TODAY()</f>
        <v>754</v>
      </c>
      <c r="W899" t="str">
        <f>VLOOKUP(Table1[[#This Row],[Isin code]],Table2[#All],10,FALSE)</f>
        <v>Monthly</v>
      </c>
      <c r="X899">
        <f ca="1">_xlfn.DAYS(Table1[[#This Row],[Maturity]],TODAY())-15</f>
        <v>739</v>
      </c>
      <c r="Y8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899">
        <f>IF(Table1[[#This Row],[Ask Rate]]=0,0,Table1[[#This Row],[Face Value]]-Table1[[#This Row],[Ask Rate]])</f>
        <v>0</v>
      </c>
      <c r="AA89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899">
        <f ca="1">Table1[[#This Row],[Face Value]]*Table1[[#This Row],[Rate]]*Table1[[#This Row],[Time]]</f>
        <v>0</v>
      </c>
      <c r="AC899">
        <f ca="1">Table1[[#This Row],[SI]]+Table1[[#This Row],[Disc/Prem]]</f>
        <v>0</v>
      </c>
      <c r="AD899" s="3" t="e">
        <f ca="1">Table1[[#This Row],[Net Gain]]/Table1[[#This Row],[Ask Rate]]</f>
        <v>#DIV/0!</v>
      </c>
      <c r="AE899" s="3">
        <f>IF(Table1[[#This Row],[Ask Qty]]=0,0,Table1[[#This Row],[Gross Yield]]*365/Table1[[#This Row],[Days Left]])</f>
        <v>0</v>
      </c>
      <c r="AF899" s="9">
        <f ca="1">+Table1[[#This Row],[Net Gain]]*Table1[[#This Row],[Ask Qty]]</f>
        <v>0</v>
      </c>
      <c r="AG899" t="str">
        <f>IF(Table1[[#This Row],[YTM]]&gt;0.12,IF(Table1[[#This Row],[Gross Profit]]&gt;10000,"Invest","Review"),"Low YTM")</f>
        <v>Low YTM</v>
      </c>
    </row>
    <row r="900" spans="1:33" x14ac:dyDescent="0.3">
      <c r="A900" t="str">
        <f>RTD("nest.scriprtd",,"bse_cm|SCLZC26E","Symbol")</f>
        <v>SCLZC26E</v>
      </c>
      <c r="B900" t="str">
        <f>RTD("nest.scriprtd",,"bse_cm|SCLZC26E","Trading Symbol")</f>
        <v>SCLZC26E</v>
      </c>
      <c r="C900" t="str">
        <f>RTD("nest.scriprtd",,"bse_cm|SCLZC26E","Exchange")</f>
        <v>BSE</v>
      </c>
      <c r="D900">
        <f>RTD("nest.scriprtd",,"bse_cm|SCLZC26E","Bid Qty")</f>
        <v>20</v>
      </c>
      <c r="E900">
        <f>RTD("nest.scriprtd",,"bse_cm|SCLZC26E","Bid Rate")</f>
        <v>840.1</v>
      </c>
      <c r="F900">
        <f>RTD("nest.scriprtd",,"bse_cm|SCLZC26E","Ask Rate")</f>
        <v>0</v>
      </c>
      <c r="G900">
        <f>RTD("nest.scriprtd",,"bse_cm|SCLZC26E","Ask Qty")</f>
        <v>0</v>
      </c>
      <c r="H900">
        <f>RTD("nest.scriprtd",,"bse_cm|SCLZC26E","LTP")</f>
        <v>0</v>
      </c>
      <c r="I900" t="str">
        <f>RTD("nest.scriprtd",,"bse_cm|SCLZC26E","LTT")</f>
        <v>00:00:00</v>
      </c>
      <c r="J900">
        <f>RTD("nest.scriprtd",,"bse_cm|SCLZC26E","% Change")</f>
        <v>-100</v>
      </c>
      <c r="K900">
        <f>RTD("nest.scriprtd",,"bse_cm|SCLZC26E","ATP")</f>
        <v>0</v>
      </c>
      <c r="L900">
        <f>RTD("nest.scriprtd",,"bse_cm|SCLZC26E","Volume Traded Today")</f>
        <v>0</v>
      </c>
      <c r="M900">
        <f>RTD("nest.scriprtd",,"bse_cm|SCLZC26E","Open")</f>
        <v>0</v>
      </c>
      <c r="N900">
        <f>RTD("nest.scriprtd",,"bse_cm|SCLZC26E","High")</f>
        <v>0</v>
      </c>
      <c r="O900">
        <f>RTD("nest.scriprtd",,"bse_cm|SCLZC26E","Low ")</f>
        <v>0</v>
      </c>
      <c r="P900">
        <f>RTD("nest.scriprtd",,"bse_cm|SCLZC26E","Prev Close")</f>
        <v>1000</v>
      </c>
      <c r="Q900">
        <f>RTD("nest.scriprtd",,"bse_cm|SCLZC26E","Face Value")</f>
        <v>1000</v>
      </c>
      <c r="R900" t="str">
        <f>RTD("nest.scriprtd",,"bse_cm|SCLZC26E","Isin code")</f>
        <v>INE148I07QO6</v>
      </c>
      <c r="S900" s="9">
        <f>Table1[[#This Row],[Ask Rate]]*Table1[[#This Row],[Ask Qty]]</f>
        <v>0</v>
      </c>
      <c r="T900">
        <f>VLOOKUP(Table1[[#This Row],[Isin code]],Table2[#All],7,FALSE)</f>
        <v>0</v>
      </c>
      <c r="U900" s="17" t="str">
        <f>VLOOKUP(Table1[[#This Row],[Isin code]],Table2[#All],8,FALSE)</f>
        <v>09-Nov-2026</v>
      </c>
      <c r="V900" s="10">
        <f ca="1">Table1[[#This Row],[Maturity]]-TODAY()</f>
        <v>754</v>
      </c>
      <c r="W900" t="str">
        <f>VLOOKUP(Table1[[#This Row],[Isin code]],Table2[#All],10,FALSE)</f>
        <v>Monthly</v>
      </c>
      <c r="X900">
        <f ca="1">_xlfn.DAYS(Table1[[#This Row],[Maturity]],TODAY())-15</f>
        <v>739</v>
      </c>
      <c r="Y9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900">
        <f>IF(Table1[[#This Row],[Ask Rate]]=0,0,Table1[[#This Row],[Face Value]]-Table1[[#This Row],[Ask Rate]])</f>
        <v>0</v>
      </c>
      <c r="AA90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00">
        <f ca="1">Table1[[#This Row],[Face Value]]*Table1[[#This Row],[Rate]]*Table1[[#This Row],[Time]]</f>
        <v>0</v>
      </c>
      <c r="AC900">
        <f ca="1">Table1[[#This Row],[SI]]+Table1[[#This Row],[Disc/Prem]]</f>
        <v>0</v>
      </c>
      <c r="AD900" s="3" t="e">
        <f ca="1">Table1[[#This Row],[Net Gain]]/Table1[[#This Row],[Ask Rate]]</f>
        <v>#DIV/0!</v>
      </c>
      <c r="AE900" s="3">
        <f>IF(Table1[[#This Row],[Ask Qty]]=0,0,Table1[[#This Row],[Gross Yield]]*365/Table1[[#This Row],[Days Left]])</f>
        <v>0</v>
      </c>
      <c r="AF900" s="9">
        <f ca="1">+Table1[[#This Row],[Net Gain]]*Table1[[#This Row],[Ask Qty]]</f>
        <v>0</v>
      </c>
      <c r="AG900" t="str">
        <f>IF(Table1[[#This Row],[YTM]]&gt;0.12,IF(Table1[[#This Row],[Gross Profit]]&gt;10000,"Invest","Review"),"Low YTM")</f>
        <v>Low YTM</v>
      </c>
    </row>
    <row r="901" spans="1:33" x14ac:dyDescent="0.3">
      <c r="A901" t="str">
        <f>RTD("nest.scriprtd",,"nse_cm|SCLZC26D-NO","Symbol")</f>
        <v>SCLZC26D</v>
      </c>
      <c r="B901" t="str">
        <f>RTD("nest.scriprtd",,"nse_cm|SCLZC26D-NO","Trading Symbol")</f>
        <v>SCLZC26D-NO</v>
      </c>
      <c r="C901" t="str">
        <f>RTD("nest.scriprtd",,"nse_cm|SCLZC26D-NO","Exchange")</f>
        <v>NSE</v>
      </c>
      <c r="D901">
        <f>RTD("nest.scriprtd",,"nse_cm|SCLZC26D-NO","Bid Qty")</f>
        <v>0</v>
      </c>
      <c r="E901">
        <f>RTD("nest.scriprtd",,"nse_cm|SCLZC26D-NO","Bid Rate")</f>
        <v>0</v>
      </c>
      <c r="F901">
        <f>RTD("nest.scriprtd",,"nse_cm|SCLZC26D-NO","Ask Rate")</f>
        <v>0</v>
      </c>
      <c r="G901">
        <f>RTD("nest.scriprtd",,"nse_cm|SCLZC26D-NO","Ask Qty")</f>
        <v>0</v>
      </c>
      <c r="H901">
        <f>RTD("nest.scriprtd",,"nse_cm|SCLZC26D-NO","LTP")</f>
        <v>0</v>
      </c>
      <c r="I901" t="str">
        <f>RTD("nest.scriprtd",,"nse_cm|SCLZC26D-NO","LTT")</f>
        <v/>
      </c>
      <c r="J901">
        <f>RTD("nest.scriprtd",,"nse_cm|SCLZC26D-NO","% Change")</f>
        <v>-100</v>
      </c>
      <c r="K901">
        <f>RTD("nest.scriprtd",,"nse_cm|SCLZC26D-NO","ATP")</f>
        <v>0</v>
      </c>
      <c r="L901">
        <f>RTD("nest.scriprtd",,"nse_cm|SCLZC26D-NO","Volume Traded Today")</f>
        <v>0</v>
      </c>
      <c r="M901">
        <f>RTD("nest.scriprtd",,"nse_cm|SCLZC26D-NO","Open")</f>
        <v>0</v>
      </c>
      <c r="N901">
        <f>RTD("nest.scriprtd",,"nse_cm|SCLZC26D-NO","High")</f>
        <v>0</v>
      </c>
      <c r="O901">
        <f>RTD("nest.scriprtd",,"nse_cm|SCLZC26D-NO","Low ")</f>
        <v>0</v>
      </c>
      <c r="P901">
        <f>RTD("nest.scriprtd",,"nse_cm|SCLZC26D-NO","Prev Close")</f>
        <v>1000</v>
      </c>
      <c r="Q901">
        <f>RTD("nest.scriprtd",,"nse_cm|SCLZC26D-NO","Face Value")</f>
        <v>1000</v>
      </c>
      <c r="R901" t="str">
        <f>RTD("nest.scriprtd",,"nse_cm|SCLZC26D-NO","Isin code")</f>
        <v>INE148I07QP3</v>
      </c>
      <c r="S901" s="9">
        <f>Table1[[#This Row],[Ask Rate]]*Table1[[#This Row],[Ask Qty]]</f>
        <v>0</v>
      </c>
      <c r="T901" t="str">
        <f>VLOOKUP(Table1[[#This Row],[Isin code]],Table2[#All],7,FALSE)</f>
        <v>--</v>
      </c>
      <c r="U901" s="17" t="str">
        <f>VLOOKUP(Table1[[#This Row],[Isin code]],Table2[#All],8,FALSE)</f>
        <v>09-Nov-2026</v>
      </c>
      <c r="V901" s="10">
        <f ca="1">Table1[[#This Row],[Maturity]]-TODAY()</f>
        <v>754</v>
      </c>
      <c r="W901" t="str">
        <f>VLOOKUP(Table1[[#This Row],[Isin code]],Table2[#All],10,FALSE)</f>
        <v>At the End</v>
      </c>
      <c r="X901">
        <f ca="1">_xlfn.DAYS(Table1[[#This Row],[Maturity]],TODAY())-15</f>
        <v>739</v>
      </c>
      <c r="Y90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01">
        <f>IF(Table1[[#This Row],[Ask Rate]]=0,0,Table1[[#This Row],[Face Value]]-Table1[[#This Row],[Ask Rate]])</f>
        <v>0</v>
      </c>
      <c r="AA90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01">
        <f>Table1[[#This Row],[Face Value]]*Table1[[#This Row],[Rate]]*Table1[[#This Row],[Time]]</f>
        <v>0</v>
      </c>
      <c r="AC901">
        <f>Table1[[#This Row],[SI]]+Table1[[#This Row],[Disc/Prem]]</f>
        <v>0</v>
      </c>
      <c r="AD901" s="3" t="e">
        <f>Table1[[#This Row],[Net Gain]]/Table1[[#This Row],[Ask Rate]]</f>
        <v>#DIV/0!</v>
      </c>
      <c r="AE901" s="3">
        <f>IF(Table1[[#This Row],[Ask Qty]]=0,0,Table1[[#This Row],[Gross Yield]]*365/Table1[[#This Row],[Days Left]])</f>
        <v>0</v>
      </c>
      <c r="AF901" s="9">
        <f>+Table1[[#This Row],[Net Gain]]*Table1[[#This Row],[Ask Qty]]</f>
        <v>0</v>
      </c>
      <c r="AG901" t="str">
        <f>IF(Table1[[#This Row],[YTM]]&gt;0.12,IF(Table1[[#This Row],[Gross Profit]]&gt;10000,"Invest","Review"),"Low YTM")</f>
        <v>Low YTM</v>
      </c>
    </row>
    <row r="902" spans="1:33" x14ac:dyDescent="0.3">
      <c r="A902" t="str">
        <f>RTD("nest.scriprtd",,"bse_cm|902SCL27","Symbol")</f>
        <v>902SCL27</v>
      </c>
      <c r="B902" t="str">
        <f>RTD("nest.scriprtd",,"bse_cm|902SCL27","Trading Symbol")</f>
        <v>902SCL27</v>
      </c>
      <c r="C902" t="str">
        <f>RTD("nest.scriprtd",,"bse_cm|902SCL27","Exchange")</f>
        <v>BSE</v>
      </c>
      <c r="D902">
        <f>RTD("nest.scriprtd",,"bse_cm|902SCL27","Bid Qty")</f>
        <v>20</v>
      </c>
      <c r="E902">
        <f>RTD("nest.scriprtd",,"bse_cm|902SCL27","Bid Rate")</f>
        <v>814.2</v>
      </c>
      <c r="F902">
        <f>RTD("nest.scriprtd",,"bse_cm|902SCL27","Ask Rate")</f>
        <v>0</v>
      </c>
      <c r="G902">
        <f>RTD("nest.scriprtd",,"bse_cm|902SCL27","Ask Qty")</f>
        <v>0</v>
      </c>
      <c r="H902">
        <f>RTD("nest.scriprtd",,"bse_cm|902SCL27","LTP")</f>
        <v>0</v>
      </c>
      <c r="I902" t="str">
        <f>RTD("nest.scriprtd",,"bse_cm|902SCL27","LTT")</f>
        <v>00:00:00</v>
      </c>
      <c r="J902">
        <f>RTD("nest.scriprtd",,"bse_cm|902SCL27","% Change")</f>
        <v>-100</v>
      </c>
      <c r="K902">
        <f>RTD("nest.scriprtd",,"bse_cm|902SCL27","ATP")</f>
        <v>0</v>
      </c>
      <c r="L902">
        <f>RTD("nest.scriprtd",,"bse_cm|902SCL27","Volume Traded Today")</f>
        <v>0</v>
      </c>
      <c r="M902">
        <f>RTD("nest.scriprtd",,"bse_cm|902SCL27","Open")</f>
        <v>0</v>
      </c>
      <c r="N902">
        <f>RTD("nest.scriprtd",,"bse_cm|902SCL27","High")</f>
        <v>0</v>
      </c>
      <c r="O902">
        <f>RTD("nest.scriprtd",,"bse_cm|902SCL27","Low ")</f>
        <v>0</v>
      </c>
      <c r="P902">
        <f>RTD("nest.scriprtd",,"bse_cm|902SCL27","Prev Close")</f>
        <v>1000</v>
      </c>
      <c r="Q902">
        <f>RTD("nest.scriprtd",,"bse_cm|902SCL27","Face Value")</f>
        <v>1000</v>
      </c>
      <c r="R902" t="str">
        <f>RTD("nest.scriprtd",,"bse_cm|902SCL27","Isin code")</f>
        <v>INE148I07SJ2</v>
      </c>
      <c r="S902" s="9">
        <f>Table1[[#This Row],[Ask Rate]]*Table1[[#This Row],[Ask Qty]]</f>
        <v>0</v>
      </c>
      <c r="T902">
        <f>VLOOKUP(Table1[[#This Row],[Isin code]],Table2[#All],7,FALSE)</f>
        <v>9.02</v>
      </c>
      <c r="U902" s="17" t="str">
        <f>VLOOKUP(Table1[[#This Row],[Isin code]],Table2[#All],8,FALSE)</f>
        <v>26-Mar-2027</v>
      </c>
      <c r="V902" s="10">
        <f ca="1">Table1[[#This Row],[Maturity]]-TODAY()</f>
        <v>891</v>
      </c>
      <c r="W902" t="str">
        <f>VLOOKUP(Table1[[#This Row],[Isin code]],Table2[#All],10,FALSE)</f>
        <v>Monthly</v>
      </c>
      <c r="X902">
        <f ca="1">_xlfn.DAYS(Table1[[#This Row],[Maturity]],TODAY())-15</f>
        <v>876</v>
      </c>
      <c r="Y9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902">
        <f>IF(Table1[[#This Row],[Ask Rate]]=0,0,Table1[[#This Row],[Face Value]]-Table1[[#This Row],[Ask Rate]])</f>
        <v>0</v>
      </c>
      <c r="AA902">
        <f>IF(Table1[[#This Row],[Freq]]="Yearly",Table1[[#This Row],[Coupon_Rate]]/100,IF(Table1[[#This Row],[Freq]]="Monthly",Table1[[#This Row],[Coupon_Rate]]/1200,IF(Table1[[#This Row],[Freq]]="Quarterly",Table1[[#This Row],[Coupon_Rate]]/400,0)))</f>
        <v>7.5166666666666663E-3</v>
      </c>
      <c r="AB902">
        <f ca="1">Table1[[#This Row],[Face Value]]*Table1[[#This Row],[Rate]]*Table1[[#This Row],[Time]]</f>
        <v>225.5</v>
      </c>
      <c r="AC902">
        <f ca="1">Table1[[#This Row],[SI]]+Table1[[#This Row],[Disc/Prem]]</f>
        <v>225.5</v>
      </c>
      <c r="AD902" s="3" t="e">
        <f ca="1">Table1[[#This Row],[Net Gain]]/Table1[[#This Row],[Ask Rate]]</f>
        <v>#DIV/0!</v>
      </c>
      <c r="AE902" s="3">
        <f>IF(Table1[[#This Row],[Ask Qty]]=0,0,Table1[[#This Row],[Gross Yield]]*365/Table1[[#This Row],[Days Left]])</f>
        <v>0</v>
      </c>
      <c r="AF902" s="9">
        <f ca="1">+Table1[[#This Row],[Net Gain]]*Table1[[#This Row],[Ask Qty]]</f>
        <v>0</v>
      </c>
      <c r="AG902" t="str">
        <f>IF(Table1[[#This Row],[YTM]]&gt;0.12,IF(Table1[[#This Row],[Gross Profit]]&gt;10000,"Invest","Review"),"Low YTM")</f>
        <v>Low YTM</v>
      </c>
    </row>
    <row r="903" spans="1:33" x14ac:dyDescent="0.3">
      <c r="A903" t="str">
        <f>RTD("nest.scriprtd",,"bse_cm|902SCL26I","Symbol")</f>
        <v>902SCL26I</v>
      </c>
      <c r="B903" t="str">
        <f>RTD("nest.scriprtd",,"bse_cm|902SCL26I","Trading Symbol")</f>
        <v>902SCL26I</v>
      </c>
      <c r="C903" t="str">
        <f>RTD("nest.scriprtd",,"bse_cm|902SCL26I","Exchange")</f>
        <v>BSE</v>
      </c>
      <c r="D903">
        <f>RTD("nest.scriprtd",,"bse_cm|902SCL26I","Bid Qty")</f>
        <v>0</v>
      </c>
      <c r="E903">
        <f>RTD("nest.scriprtd",,"bse_cm|902SCL26I","Bid Rate")</f>
        <v>0</v>
      </c>
      <c r="F903">
        <f>RTD("nest.scriprtd",,"bse_cm|902SCL26I","Ask Rate")</f>
        <v>0</v>
      </c>
      <c r="G903">
        <f>RTD("nest.scriprtd",,"bse_cm|902SCL26I","Ask Qty")</f>
        <v>0</v>
      </c>
      <c r="H903">
        <f>RTD("nest.scriprtd",,"bse_cm|902SCL26I","LTP")</f>
        <v>0</v>
      </c>
      <c r="I903" t="str">
        <f>RTD("nest.scriprtd",,"bse_cm|902SCL26I","LTT")</f>
        <v>00:00:00</v>
      </c>
      <c r="J903">
        <f>RTD("nest.scriprtd",,"bse_cm|902SCL26I","% Change")</f>
        <v>-100</v>
      </c>
      <c r="K903">
        <f>RTD("nest.scriprtd",,"bse_cm|902SCL26I","ATP")</f>
        <v>0</v>
      </c>
      <c r="L903">
        <f>RTD("nest.scriprtd",,"bse_cm|902SCL26I","Volume Traded Today")</f>
        <v>0</v>
      </c>
      <c r="M903">
        <f>RTD("nest.scriprtd",,"bse_cm|902SCL26I","Open")</f>
        <v>0</v>
      </c>
      <c r="N903">
        <f>RTD("nest.scriprtd",,"bse_cm|902SCL26I","High")</f>
        <v>750</v>
      </c>
      <c r="O903">
        <f>RTD("nest.scriprtd",,"bse_cm|902SCL26I","Low ")</f>
        <v>750</v>
      </c>
      <c r="P903">
        <f>RTD("nest.scriprtd",,"bse_cm|902SCL26I","Prev Close")</f>
        <v>750</v>
      </c>
      <c r="Q903">
        <f>RTD("nest.scriprtd",,"bse_cm|902SCL26I","Face Value")</f>
        <v>667</v>
      </c>
      <c r="R903" t="str">
        <f>RTD("nest.scriprtd",,"bse_cm|902SCL26I","Isin code")</f>
        <v>INE148I07OQ6</v>
      </c>
      <c r="S903" s="9">
        <f>Table1[[#This Row],[Ask Rate]]*Table1[[#This Row],[Ask Qty]]</f>
        <v>0</v>
      </c>
      <c r="T903">
        <f>VLOOKUP(Table1[[#This Row],[Isin code]],Table2[#All],7,FALSE)</f>
        <v>9.02</v>
      </c>
      <c r="U903" s="17" t="str">
        <f>VLOOKUP(Table1[[#This Row],[Isin code]],Table2[#All],8,FALSE)</f>
        <v>27-Jul-2026</v>
      </c>
      <c r="V903" s="10">
        <f ca="1">Table1[[#This Row],[Maturity]]-TODAY()</f>
        <v>649</v>
      </c>
      <c r="W903" t="str">
        <f>VLOOKUP(Table1[[#This Row],[Isin code]],Table2[#All],10,FALSE)</f>
        <v>Monthly</v>
      </c>
      <c r="X903">
        <f ca="1">_xlfn.DAYS(Table1[[#This Row],[Maturity]],TODAY())-15</f>
        <v>634</v>
      </c>
      <c r="Y9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903">
        <f>IF(Table1[[#This Row],[Ask Rate]]=0,0,Table1[[#This Row],[Face Value]]-Table1[[#This Row],[Ask Rate]])</f>
        <v>0</v>
      </c>
      <c r="AA903">
        <f>IF(Table1[[#This Row],[Freq]]="Yearly",Table1[[#This Row],[Coupon_Rate]]/100,IF(Table1[[#This Row],[Freq]]="Monthly",Table1[[#This Row],[Coupon_Rate]]/1200,IF(Table1[[#This Row],[Freq]]="Quarterly",Table1[[#This Row],[Coupon_Rate]]/400,0)))</f>
        <v>7.5166666666666663E-3</v>
      </c>
      <c r="AB903">
        <f ca="1">Table1[[#This Row],[Face Value]]*Table1[[#This Row],[Rate]]*Table1[[#This Row],[Time]]</f>
        <v>110.29956666666666</v>
      </c>
      <c r="AC903">
        <f ca="1">Table1[[#This Row],[SI]]+Table1[[#This Row],[Disc/Prem]]</f>
        <v>110.29956666666666</v>
      </c>
      <c r="AD903" s="3" t="e">
        <f ca="1">Table1[[#This Row],[Net Gain]]/Table1[[#This Row],[Ask Rate]]</f>
        <v>#DIV/0!</v>
      </c>
      <c r="AE903" s="3">
        <f>IF(Table1[[#This Row],[Ask Qty]]=0,0,Table1[[#This Row],[Gross Yield]]*365/Table1[[#This Row],[Days Left]])</f>
        <v>0</v>
      </c>
      <c r="AF903" s="9">
        <f ca="1">+Table1[[#This Row],[Net Gain]]*Table1[[#This Row],[Ask Qty]]</f>
        <v>0</v>
      </c>
      <c r="AG903" t="str">
        <f>IF(Table1[[#This Row],[YTM]]&gt;0.12,IF(Table1[[#This Row],[Gross Profit]]&gt;10000,"Invest","Review"),"Low YTM")</f>
        <v>Low YTM</v>
      </c>
    </row>
    <row r="904" spans="1:33" x14ac:dyDescent="0.3">
      <c r="A904" t="str">
        <f>RTD("nest.scriprtd",,"nse_cm|902SCL26A-NM","Symbol")</f>
        <v>902SCL26A</v>
      </c>
      <c r="B904" t="str">
        <f>RTD("nest.scriprtd",,"nse_cm|902SCL26A-NM","Trading Symbol")</f>
        <v>902SCL26A-NM</v>
      </c>
      <c r="C904" t="str">
        <f>RTD("nest.scriprtd",,"nse_cm|902SCL26A-NM","Exchange")</f>
        <v>NSE</v>
      </c>
      <c r="D904">
        <f>RTD("nest.scriprtd",,"nse_cm|902SCL26A-NM","Bid Qty")</f>
        <v>5</v>
      </c>
      <c r="E904">
        <f>RTD("nest.scriprtd",,"nse_cm|902SCL26A-NM","Bid Rate")</f>
        <v>819.15</v>
      </c>
      <c r="F904">
        <f>RTD("nest.scriprtd",,"nse_cm|902SCL26A-NM","Ask Rate")</f>
        <v>0</v>
      </c>
      <c r="G904">
        <f>RTD("nest.scriprtd",,"nse_cm|902SCL26A-NM","Ask Qty")</f>
        <v>0</v>
      </c>
      <c r="H904">
        <f>RTD("nest.scriprtd",,"nse_cm|902SCL26A-NM","LTP")</f>
        <v>0</v>
      </c>
      <c r="I904" t="str">
        <f>RTD("nest.scriprtd",,"nse_cm|902SCL26A-NM","LTT")</f>
        <v/>
      </c>
      <c r="J904">
        <f>RTD("nest.scriprtd",,"nse_cm|902SCL26A-NM","% Change")</f>
        <v>-100</v>
      </c>
      <c r="K904">
        <f>RTD("nest.scriprtd",,"nse_cm|902SCL26A-NM","ATP")</f>
        <v>0</v>
      </c>
      <c r="L904">
        <f>RTD("nest.scriprtd",,"nse_cm|902SCL26A-NM","Volume Traded Today")</f>
        <v>0</v>
      </c>
      <c r="M904">
        <f>RTD("nest.scriprtd",,"nse_cm|902SCL26A-NM","Open")</f>
        <v>0</v>
      </c>
      <c r="N904">
        <f>RTD("nest.scriprtd",,"nse_cm|902SCL26A-NM","High")</f>
        <v>0</v>
      </c>
      <c r="O904">
        <f>RTD("nest.scriprtd",,"nse_cm|902SCL26A-NM","Low ")</f>
        <v>0</v>
      </c>
      <c r="P904">
        <f>RTD("nest.scriprtd",,"nse_cm|902SCL26A-NM","Prev Close")</f>
        <v>1000</v>
      </c>
      <c r="Q904">
        <f>RTD("nest.scriprtd",,"nse_cm|902SCL26A-NM","Face Value")</f>
        <v>1000</v>
      </c>
      <c r="R904" t="str">
        <f>RTD("nest.scriprtd",,"nse_cm|902SCL26A-NM","Isin code")</f>
        <v>INE148I07QM0</v>
      </c>
      <c r="S904" s="9">
        <f>Table1[[#This Row],[Ask Rate]]*Table1[[#This Row],[Ask Qty]]</f>
        <v>0</v>
      </c>
      <c r="T904">
        <f>VLOOKUP(Table1[[#This Row],[Isin code]],Table2[#All],7,FALSE)</f>
        <v>9.02</v>
      </c>
      <c r="U904" s="17" t="str">
        <f>VLOOKUP(Table1[[#This Row],[Isin code]],Table2[#All],8,FALSE)</f>
        <v>09-Nov-2026</v>
      </c>
      <c r="V904" s="10">
        <f ca="1">Table1[[#This Row],[Maturity]]-TODAY()</f>
        <v>754</v>
      </c>
      <c r="W904" t="str">
        <f>VLOOKUP(Table1[[#This Row],[Isin code]],Table2[#All],10,FALSE)</f>
        <v>Monthly</v>
      </c>
      <c r="X904">
        <f ca="1">_xlfn.DAYS(Table1[[#This Row],[Maturity]],TODAY())-15</f>
        <v>739</v>
      </c>
      <c r="Y9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904">
        <f>IF(Table1[[#This Row],[Ask Rate]]=0,0,Table1[[#This Row],[Face Value]]-Table1[[#This Row],[Ask Rate]])</f>
        <v>0</v>
      </c>
      <c r="AA904">
        <f>IF(Table1[[#This Row],[Freq]]="Yearly",Table1[[#This Row],[Coupon_Rate]]/100,IF(Table1[[#This Row],[Freq]]="Monthly",Table1[[#This Row],[Coupon_Rate]]/1200,IF(Table1[[#This Row],[Freq]]="Quarterly",Table1[[#This Row],[Coupon_Rate]]/400,0)))</f>
        <v>7.5166666666666663E-3</v>
      </c>
      <c r="AB904">
        <f ca="1">Table1[[#This Row],[Face Value]]*Table1[[#This Row],[Rate]]*Table1[[#This Row],[Time]]</f>
        <v>187.91666666666666</v>
      </c>
      <c r="AC904">
        <f ca="1">Table1[[#This Row],[SI]]+Table1[[#This Row],[Disc/Prem]]</f>
        <v>187.91666666666666</v>
      </c>
      <c r="AD904" s="3" t="e">
        <f ca="1">Table1[[#This Row],[Net Gain]]/Table1[[#This Row],[Ask Rate]]</f>
        <v>#DIV/0!</v>
      </c>
      <c r="AE904" s="3">
        <f>IF(Table1[[#This Row],[Ask Qty]]=0,0,Table1[[#This Row],[Gross Yield]]*365/Table1[[#This Row],[Days Left]])</f>
        <v>0</v>
      </c>
      <c r="AF904" s="9">
        <f ca="1">+Table1[[#This Row],[Net Gain]]*Table1[[#This Row],[Ask Qty]]</f>
        <v>0</v>
      </c>
      <c r="AG904" t="str">
        <f>IF(Table1[[#This Row],[YTM]]&gt;0.12,IF(Table1[[#This Row],[Gross Profit]]&gt;10000,"Invest","Review"),"Low YTM")</f>
        <v>Low YTM</v>
      </c>
    </row>
    <row r="905" spans="1:33" x14ac:dyDescent="0.3">
      <c r="A905" t="str">
        <f>RTD("nest.scriprtd",,"bse_cm|940SCL26B","Symbol")</f>
        <v>940SCL26B</v>
      </c>
      <c r="B905" t="str">
        <f>RTD("nest.scriprtd",,"bse_cm|940SCL26B","Trading Symbol")</f>
        <v>940SCL26B</v>
      </c>
      <c r="C905" t="str">
        <f>RTD("nest.scriprtd",,"bse_cm|940SCL26B","Exchange")</f>
        <v>BSE</v>
      </c>
      <c r="D905">
        <f>RTD("nest.scriprtd",,"bse_cm|940SCL26B","Bid Qty")</f>
        <v>4</v>
      </c>
      <c r="E905">
        <f>RTD("nest.scriprtd",,"bse_cm|940SCL26B","Bid Rate")</f>
        <v>812.25</v>
      </c>
      <c r="F905">
        <f>RTD("nest.scriprtd",,"bse_cm|940SCL26B","Ask Rate")</f>
        <v>0</v>
      </c>
      <c r="G905">
        <f>RTD("nest.scriprtd",,"bse_cm|940SCL26B","Ask Qty")</f>
        <v>0</v>
      </c>
      <c r="H905">
        <f>RTD("nest.scriprtd",,"bse_cm|940SCL26B","LTP")</f>
        <v>0</v>
      </c>
      <c r="I905" t="str">
        <f>RTD("nest.scriprtd",,"bse_cm|940SCL26B","LTT")</f>
        <v>00:00:00</v>
      </c>
      <c r="J905">
        <f>RTD("nest.scriprtd",,"bse_cm|940SCL26B","% Change")</f>
        <v>-100</v>
      </c>
      <c r="K905">
        <f>RTD("nest.scriprtd",,"bse_cm|940SCL26B","ATP")</f>
        <v>0</v>
      </c>
      <c r="L905">
        <f>RTD("nest.scriprtd",,"bse_cm|940SCL26B","Volume Traded Today")</f>
        <v>0</v>
      </c>
      <c r="M905">
        <f>RTD("nest.scriprtd",,"bse_cm|940SCL26B","Open")</f>
        <v>0</v>
      </c>
      <c r="N905">
        <f>RTD("nest.scriprtd",,"bse_cm|940SCL26B","High")</f>
        <v>0</v>
      </c>
      <c r="O905">
        <f>RTD("nest.scriprtd",,"bse_cm|940SCL26B","Low ")</f>
        <v>0</v>
      </c>
      <c r="P905">
        <f>RTD("nest.scriprtd",,"bse_cm|940SCL26B","Prev Close")</f>
        <v>1000</v>
      </c>
      <c r="Q905">
        <f>RTD("nest.scriprtd",,"bse_cm|940SCL26B","Face Value")</f>
        <v>1000</v>
      </c>
      <c r="R905" t="str">
        <f>RTD("nest.scriprtd",,"bse_cm|940SCL26B","Isin code")</f>
        <v>INE148I07RG0</v>
      </c>
      <c r="S905" s="9">
        <f>Table1[[#This Row],[Ask Rate]]*Table1[[#This Row],[Ask Qty]]</f>
        <v>0</v>
      </c>
      <c r="T905">
        <f>VLOOKUP(Table1[[#This Row],[Isin code]],Table2[#All],7,FALSE)</f>
        <v>9.4</v>
      </c>
      <c r="U905" s="17" t="str">
        <f>VLOOKUP(Table1[[#This Row],[Isin code]],Table2[#All],8,FALSE)</f>
        <v>27-Dec-2026</v>
      </c>
      <c r="V905" s="10">
        <f ca="1">Table1[[#This Row],[Maturity]]-TODAY()</f>
        <v>802</v>
      </c>
      <c r="W905" t="str">
        <f>VLOOKUP(Table1[[#This Row],[Isin code]],Table2[#All],10,FALSE)</f>
        <v>Yearly</v>
      </c>
      <c r="X905">
        <f ca="1">_xlfn.DAYS(Table1[[#This Row],[Maturity]],TODAY())-15</f>
        <v>787</v>
      </c>
      <c r="Y9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05">
        <f>IF(Table1[[#This Row],[Ask Rate]]=0,0,Table1[[#This Row],[Face Value]]-Table1[[#This Row],[Ask Rate]])</f>
        <v>0</v>
      </c>
      <c r="AA905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905">
        <f ca="1">Table1[[#This Row],[Face Value]]*Table1[[#This Row],[Rate]]*Table1[[#This Row],[Time]]</f>
        <v>282</v>
      </c>
      <c r="AC905">
        <f ca="1">Table1[[#This Row],[SI]]+Table1[[#This Row],[Disc/Prem]]</f>
        <v>282</v>
      </c>
      <c r="AD905" s="3" t="e">
        <f ca="1">Table1[[#This Row],[Net Gain]]/Table1[[#This Row],[Ask Rate]]</f>
        <v>#DIV/0!</v>
      </c>
      <c r="AE905" s="3">
        <f>IF(Table1[[#This Row],[Ask Qty]]=0,0,Table1[[#This Row],[Gross Yield]]*365/Table1[[#This Row],[Days Left]])</f>
        <v>0</v>
      </c>
      <c r="AF905" s="9">
        <f ca="1">+Table1[[#This Row],[Net Gain]]*Table1[[#This Row],[Ask Qty]]</f>
        <v>0</v>
      </c>
      <c r="AG905" t="str">
        <f>IF(Table1[[#This Row],[YTM]]&gt;0.12,IF(Table1[[#This Row],[Gross Profit]]&gt;10000,"Invest","Review"),"Low YTM")</f>
        <v>Low YTM</v>
      </c>
    </row>
    <row r="906" spans="1:33" x14ac:dyDescent="0.3">
      <c r="A906" t="str">
        <f>RTD("nest.scriprtd",,"nse_cm|940SCL26A-NK","Symbol")</f>
        <v>940SCL26A</v>
      </c>
      <c r="B906" t="str">
        <f>RTD("nest.scriprtd",,"nse_cm|940SCL26A-NK","Trading Symbol")</f>
        <v>940SCL26A-NK</v>
      </c>
      <c r="C906" t="str">
        <f>RTD("nest.scriprtd",,"nse_cm|940SCL26A-NK","Exchange")</f>
        <v>NSE</v>
      </c>
      <c r="D906">
        <f>RTD("nest.scriprtd",,"nse_cm|940SCL26A-NK","Bid Qty")</f>
        <v>12</v>
      </c>
      <c r="E906">
        <f>RTD("nest.scriprtd",,"nse_cm|940SCL26A-NK","Bid Rate")</f>
        <v>819.1</v>
      </c>
      <c r="F906">
        <f>RTD("nest.scriprtd",,"nse_cm|940SCL26A-NK","Ask Rate")</f>
        <v>0</v>
      </c>
      <c r="G906">
        <f>RTD("nest.scriprtd",,"nse_cm|940SCL26A-NK","Ask Qty")</f>
        <v>0</v>
      </c>
      <c r="H906">
        <f>RTD("nest.scriprtd",,"nse_cm|940SCL26A-NK","LTP")</f>
        <v>0</v>
      </c>
      <c r="I906" t="str">
        <f>RTD("nest.scriprtd",,"nse_cm|940SCL26A-NK","LTT")</f>
        <v/>
      </c>
      <c r="J906">
        <f>RTD("nest.scriprtd",,"nse_cm|940SCL26A-NK","% Change")</f>
        <v>-100</v>
      </c>
      <c r="K906">
        <f>RTD("nest.scriprtd",,"nse_cm|940SCL26A-NK","ATP")</f>
        <v>0</v>
      </c>
      <c r="L906">
        <f>RTD("nest.scriprtd",,"nse_cm|940SCL26A-NK","Volume Traded Today")</f>
        <v>0</v>
      </c>
      <c r="M906">
        <f>RTD("nest.scriprtd",,"nse_cm|940SCL26A-NK","Open")</f>
        <v>0</v>
      </c>
      <c r="N906">
        <f>RTD("nest.scriprtd",,"nse_cm|940SCL26A-NK","High")</f>
        <v>0</v>
      </c>
      <c r="O906">
        <f>RTD("nest.scriprtd",,"nse_cm|940SCL26A-NK","Low ")</f>
        <v>0</v>
      </c>
      <c r="P906">
        <f>RTD("nest.scriprtd",,"nse_cm|940SCL26A-NK","Prev Close")</f>
        <v>1000</v>
      </c>
      <c r="Q906">
        <f>RTD("nest.scriprtd",,"nse_cm|940SCL26A-NK","Face Value")</f>
        <v>1000</v>
      </c>
      <c r="R906" t="str">
        <f>RTD("nest.scriprtd",,"nse_cm|940SCL26A-NK","Isin code")</f>
        <v>INE148I07QH0</v>
      </c>
      <c r="S906" s="9">
        <f>Table1[[#This Row],[Ask Rate]]*Table1[[#This Row],[Ask Qty]]</f>
        <v>0</v>
      </c>
      <c r="T906">
        <f>VLOOKUP(Table1[[#This Row],[Isin code]],Table2[#All],7,FALSE)</f>
        <v>9.4</v>
      </c>
      <c r="U906" s="17" t="str">
        <f>VLOOKUP(Table1[[#This Row],[Isin code]],Table2[#All],8,FALSE)</f>
        <v>09-Nov-2026</v>
      </c>
      <c r="V906" s="10">
        <f ca="1">Table1[[#This Row],[Maturity]]-TODAY()</f>
        <v>754</v>
      </c>
      <c r="W906" t="str">
        <f>VLOOKUP(Table1[[#This Row],[Isin code]],Table2[#All],10,FALSE)</f>
        <v>Yearly</v>
      </c>
      <c r="X906">
        <f ca="1">_xlfn.DAYS(Table1[[#This Row],[Maturity]],TODAY())-15</f>
        <v>739</v>
      </c>
      <c r="Y9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06">
        <f>IF(Table1[[#This Row],[Ask Rate]]=0,0,Table1[[#This Row],[Face Value]]-Table1[[#This Row],[Ask Rate]])</f>
        <v>0</v>
      </c>
      <c r="AA906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906">
        <f ca="1">Table1[[#This Row],[Face Value]]*Table1[[#This Row],[Rate]]*Table1[[#This Row],[Time]]</f>
        <v>282</v>
      </c>
      <c r="AC906">
        <f ca="1">Table1[[#This Row],[SI]]+Table1[[#This Row],[Disc/Prem]]</f>
        <v>282</v>
      </c>
      <c r="AD906" s="3" t="e">
        <f ca="1">Table1[[#This Row],[Net Gain]]/Table1[[#This Row],[Ask Rate]]</f>
        <v>#DIV/0!</v>
      </c>
      <c r="AE906" s="3">
        <f>IF(Table1[[#This Row],[Ask Qty]]=0,0,Table1[[#This Row],[Gross Yield]]*365/Table1[[#This Row],[Days Left]])</f>
        <v>0</v>
      </c>
      <c r="AF906" s="9">
        <f ca="1">+Table1[[#This Row],[Net Gain]]*Table1[[#This Row],[Ask Qty]]</f>
        <v>0</v>
      </c>
      <c r="AG906" t="str">
        <f>IF(Table1[[#This Row],[YTM]]&gt;0.12,IF(Table1[[#This Row],[Gross Profit]]&gt;10000,"Invest","Review"),"Low YTM")</f>
        <v>Low YTM</v>
      </c>
    </row>
    <row r="907" spans="1:33" x14ac:dyDescent="0.3">
      <c r="A907" t="str">
        <f>RTD("nest.scriprtd",,"bse_cm|SCLZC25E","Symbol")</f>
        <v>SCLZC25E</v>
      </c>
      <c r="B907" t="str">
        <f>RTD("nest.scriprtd",,"bse_cm|SCLZC25E","Trading Symbol")</f>
        <v>SCLZC25E</v>
      </c>
      <c r="C907" t="str">
        <f>RTD("nest.scriprtd",,"bse_cm|SCLZC25E","Exchange")</f>
        <v>BSE</v>
      </c>
      <c r="D907">
        <f>RTD("nest.scriprtd",,"bse_cm|SCLZC25E","Bid Qty")</f>
        <v>20</v>
      </c>
      <c r="E907">
        <f>RTD("nest.scriprtd",,"bse_cm|SCLZC25E","Bid Rate")</f>
        <v>862.2</v>
      </c>
      <c r="F907">
        <f>RTD("nest.scriprtd",,"bse_cm|SCLZC25E","Ask Rate")</f>
        <v>0</v>
      </c>
      <c r="G907">
        <f>RTD("nest.scriprtd",,"bse_cm|SCLZC25E","Ask Qty")</f>
        <v>0</v>
      </c>
      <c r="H907">
        <f>RTD("nest.scriprtd",,"bse_cm|SCLZC25E","LTP")</f>
        <v>0</v>
      </c>
      <c r="I907" t="str">
        <f>RTD("nest.scriprtd",,"bse_cm|SCLZC25E","LTT")</f>
        <v>00:00:00</v>
      </c>
      <c r="J907">
        <f>RTD("nest.scriprtd",,"bse_cm|SCLZC25E","% Change")</f>
        <v>-100</v>
      </c>
      <c r="K907">
        <f>RTD("nest.scriprtd",,"bse_cm|SCLZC25E","ATP")</f>
        <v>0</v>
      </c>
      <c r="L907">
        <f>RTD("nest.scriprtd",,"bse_cm|SCLZC25E","Volume Traded Today")</f>
        <v>0</v>
      </c>
      <c r="M907">
        <f>RTD("nest.scriprtd",,"bse_cm|SCLZC25E","Open")</f>
        <v>0</v>
      </c>
      <c r="N907">
        <f>RTD("nest.scriprtd",,"bse_cm|SCLZC25E","High")</f>
        <v>0</v>
      </c>
      <c r="O907">
        <f>RTD("nest.scriprtd",,"bse_cm|SCLZC25E","Low ")</f>
        <v>0</v>
      </c>
      <c r="P907">
        <f>RTD("nest.scriprtd",,"bse_cm|SCLZC25E","Prev Close")</f>
        <v>1000</v>
      </c>
      <c r="Q907">
        <f>RTD("nest.scriprtd",,"bse_cm|SCLZC25E","Face Value")</f>
        <v>1000</v>
      </c>
      <c r="R907" t="str">
        <f>RTD("nest.scriprtd",,"bse_cm|SCLZC25E","Isin code")</f>
        <v>INE148I07RF2</v>
      </c>
      <c r="S907" s="9">
        <f>Table1[[#This Row],[Ask Rate]]*Table1[[#This Row],[Ask Qty]]</f>
        <v>0</v>
      </c>
      <c r="T907">
        <f>VLOOKUP(Table1[[#This Row],[Isin code]],Table2[#All],7,FALSE)</f>
        <v>0</v>
      </c>
      <c r="U907" s="17" t="str">
        <f>VLOOKUP(Table1[[#This Row],[Isin code]],Table2[#All],8,FALSE)</f>
        <v>27-Dec-2025</v>
      </c>
      <c r="V907" s="10">
        <f ca="1">Table1[[#This Row],[Maturity]]-TODAY()</f>
        <v>437</v>
      </c>
      <c r="W907" t="str">
        <f>VLOOKUP(Table1[[#This Row],[Isin code]],Table2[#All],10,FALSE)</f>
        <v>Yearly</v>
      </c>
      <c r="X907">
        <f ca="1">_xlfn.DAYS(Table1[[#This Row],[Maturity]],TODAY())-15</f>
        <v>422</v>
      </c>
      <c r="Y9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07">
        <f>IF(Table1[[#This Row],[Ask Rate]]=0,0,Table1[[#This Row],[Face Value]]-Table1[[#This Row],[Ask Rate]])</f>
        <v>0</v>
      </c>
      <c r="AA90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07">
        <f ca="1">Table1[[#This Row],[Face Value]]*Table1[[#This Row],[Rate]]*Table1[[#This Row],[Time]]</f>
        <v>0</v>
      </c>
      <c r="AC907">
        <f ca="1">Table1[[#This Row],[SI]]+Table1[[#This Row],[Disc/Prem]]</f>
        <v>0</v>
      </c>
      <c r="AD907" s="3" t="e">
        <f ca="1">Table1[[#This Row],[Net Gain]]/Table1[[#This Row],[Ask Rate]]</f>
        <v>#DIV/0!</v>
      </c>
      <c r="AE907" s="3">
        <f>IF(Table1[[#This Row],[Ask Qty]]=0,0,Table1[[#This Row],[Gross Yield]]*365/Table1[[#This Row],[Days Left]])</f>
        <v>0</v>
      </c>
      <c r="AF907" s="9">
        <f ca="1">+Table1[[#This Row],[Net Gain]]*Table1[[#This Row],[Ask Qty]]</f>
        <v>0</v>
      </c>
      <c r="AG907" t="str">
        <f>IF(Table1[[#This Row],[YTM]]&gt;0.12,IF(Table1[[#This Row],[Gross Profit]]&gt;10000,"Invest","Review"),"Low YTM")</f>
        <v>Low YTM</v>
      </c>
    </row>
    <row r="908" spans="1:33" x14ac:dyDescent="0.3">
      <c r="A908" t="str">
        <f>RTD("nest.scriprtd",,"nse_cm|SCLZC25C-NI","Symbol")</f>
        <v>SCLZC25C</v>
      </c>
      <c r="B908" t="str">
        <f>RTD("nest.scriprtd",,"nse_cm|SCLZC25C-NI","Trading Symbol")</f>
        <v>SCLZC25C-NI</v>
      </c>
      <c r="C908" t="str">
        <f>RTD("nest.scriprtd",,"nse_cm|SCLZC25C-NI","Exchange")</f>
        <v>NSE</v>
      </c>
      <c r="D908">
        <f>RTD("nest.scriprtd",,"nse_cm|SCLZC25C-NI","Bid Qty")</f>
        <v>6</v>
      </c>
      <c r="E908">
        <f>RTD("nest.scriprtd",,"nse_cm|SCLZC25C-NI","Bid Rate")</f>
        <v>819</v>
      </c>
      <c r="F908">
        <f>RTD("nest.scriprtd",,"nse_cm|SCLZC25C-NI","Ask Rate")</f>
        <v>0</v>
      </c>
      <c r="G908">
        <f>RTD("nest.scriprtd",,"nse_cm|SCLZC25C-NI","Ask Qty")</f>
        <v>0</v>
      </c>
      <c r="H908">
        <f>RTD("nest.scriprtd",,"nse_cm|SCLZC25C-NI","LTP")</f>
        <v>0</v>
      </c>
      <c r="I908" t="str">
        <f>RTD("nest.scriprtd",,"nse_cm|SCLZC25C-NI","LTT")</f>
        <v/>
      </c>
      <c r="J908">
        <f>RTD("nest.scriprtd",,"nse_cm|SCLZC25C-NI","% Change")</f>
        <v>-100</v>
      </c>
      <c r="K908">
        <f>RTD("nest.scriprtd",,"nse_cm|SCLZC25C-NI","ATP")</f>
        <v>0</v>
      </c>
      <c r="L908">
        <f>RTD("nest.scriprtd",,"nse_cm|SCLZC25C-NI","Volume Traded Today")</f>
        <v>0</v>
      </c>
      <c r="M908">
        <f>RTD("nest.scriprtd",,"nse_cm|SCLZC25C-NI","Open")</f>
        <v>0</v>
      </c>
      <c r="N908">
        <f>RTD("nest.scriprtd",,"nse_cm|SCLZC25C-NI","High")</f>
        <v>0</v>
      </c>
      <c r="O908">
        <f>RTD("nest.scriprtd",,"nse_cm|SCLZC25C-NI","Low ")</f>
        <v>0</v>
      </c>
      <c r="P908">
        <f>RTD("nest.scriprtd",,"nse_cm|SCLZC25C-NI","Prev Close")</f>
        <v>1000</v>
      </c>
      <c r="Q908">
        <f>RTD("nest.scriprtd",,"nse_cm|SCLZC25C-NI","Face Value")</f>
        <v>1000</v>
      </c>
      <c r="R908" t="str">
        <f>RTD("nest.scriprtd",,"nse_cm|SCLZC25C-NI","Isin code")</f>
        <v>INE148I07QJ6</v>
      </c>
      <c r="S908" s="9">
        <f>Table1[[#This Row],[Ask Rate]]*Table1[[#This Row],[Ask Qty]]</f>
        <v>0</v>
      </c>
      <c r="T908">
        <f>VLOOKUP(Table1[[#This Row],[Isin code]],Table2[#All],7,FALSE)</f>
        <v>0</v>
      </c>
      <c r="U908" s="17" t="str">
        <f>VLOOKUP(Table1[[#This Row],[Isin code]],Table2[#All],8,FALSE)</f>
        <v>09-Nov-2025</v>
      </c>
      <c r="V908" s="10">
        <f ca="1">Table1[[#This Row],[Maturity]]-TODAY()</f>
        <v>389</v>
      </c>
      <c r="W908" t="str">
        <f>VLOOKUP(Table1[[#This Row],[Isin code]],Table2[#All],10,FALSE)</f>
        <v>0</v>
      </c>
      <c r="X908">
        <f ca="1">_xlfn.DAYS(Table1[[#This Row],[Maturity]],TODAY())-15</f>
        <v>374</v>
      </c>
      <c r="Y90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08">
        <f>IF(Table1[[#This Row],[Ask Rate]]=0,0,Table1[[#This Row],[Face Value]]-Table1[[#This Row],[Ask Rate]])</f>
        <v>0</v>
      </c>
      <c r="AA90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08">
        <f>Table1[[#This Row],[Face Value]]*Table1[[#This Row],[Rate]]*Table1[[#This Row],[Time]]</f>
        <v>0</v>
      </c>
      <c r="AC908">
        <f>Table1[[#This Row],[SI]]+Table1[[#This Row],[Disc/Prem]]</f>
        <v>0</v>
      </c>
      <c r="AD908" s="3" t="e">
        <f>Table1[[#This Row],[Net Gain]]/Table1[[#This Row],[Ask Rate]]</f>
        <v>#DIV/0!</v>
      </c>
      <c r="AE908" s="3">
        <f>IF(Table1[[#This Row],[Ask Qty]]=0,0,Table1[[#This Row],[Gross Yield]]*365/Table1[[#This Row],[Days Left]])</f>
        <v>0</v>
      </c>
      <c r="AF908" s="9">
        <f>+Table1[[#This Row],[Net Gain]]*Table1[[#This Row],[Ask Qty]]</f>
        <v>0</v>
      </c>
      <c r="AG908" t="str">
        <f>IF(Table1[[#This Row],[YTM]]&gt;0.12,IF(Table1[[#This Row],[Gross Profit]]&gt;10000,"Invest","Review"),"Low YTM")</f>
        <v>Low YTM</v>
      </c>
    </row>
    <row r="909" spans="1:33" x14ac:dyDescent="0.3">
      <c r="A909" t="str">
        <f>RTD("nest.scriprtd",,"bse_cm|888SCL25B","Symbol")</f>
        <v>888SCL25B</v>
      </c>
      <c r="B909" t="str">
        <f>RTD("nest.scriprtd",,"bse_cm|888SCL25B","Trading Symbol")</f>
        <v>888SCL25B</v>
      </c>
      <c r="C909" t="str">
        <f>RTD("nest.scriprtd",,"bse_cm|888SCL25B","Exchange")</f>
        <v>BSE</v>
      </c>
      <c r="D909">
        <f>RTD("nest.scriprtd",,"bse_cm|888SCL25B","Bid Qty")</f>
        <v>4</v>
      </c>
      <c r="E909">
        <f>RTD("nest.scriprtd",,"bse_cm|888SCL25B","Bid Rate")</f>
        <v>812.25</v>
      </c>
      <c r="F909">
        <f>RTD("nest.scriprtd",,"bse_cm|888SCL25B","Ask Rate")</f>
        <v>0</v>
      </c>
      <c r="G909">
        <f>RTD("nest.scriprtd",,"bse_cm|888SCL25B","Ask Qty")</f>
        <v>0</v>
      </c>
      <c r="H909">
        <f>RTD("nest.scriprtd",,"bse_cm|888SCL25B","LTP")</f>
        <v>0</v>
      </c>
      <c r="I909" t="str">
        <f>RTD("nest.scriprtd",,"bse_cm|888SCL25B","LTT")</f>
        <v>00:00:00</v>
      </c>
      <c r="J909">
        <f>RTD("nest.scriprtd",,"bse_cm|888SCL25B","% Change")</f>
        <v>-100</v>
      </c>
      <c r="K909">
        <f>RTD("nest.scriprtd",,"bse_cm|888SCL25B","ATP")</f>
        <v>0</v>
      </c>
      <c r="L909">
        <f>RTD("nest.scriprtd",,"bse_cm|888SCL25B","Volume Traded Today")</f>
        <v>0</v>
      </c>
      <c r="M909">
        <f>RTD("nest.scriprtd",,"bse_cm|888SCL25B","Open")</f>
        <v>0</v>
      </c>
      <c r="N909">
        <f>RTD("nest.scriprtd",,"bse_cm|888SCL25B","High")</f>
        <v>0</v>
      </c>
      <c r="O909">
        <f>RTD("nest.scriprtd",,"bse_cm|888SCL25B","Low ")</f>
        <v>0</v>
      </c>
      <c r="P909">
        <f>RTD("nest.scriprtd",,"bse_cm|888SCL25B","Prev Close")</f>
        <v>1000</v>
      </c>
      <c r="Q909">
        <f>RTD("nest.scriprtd",,"bse_cm|888SCL25B","Face Value")</f>
        <v>1000</v>
      </c>
      <c r="R909" t="str">
        <f>RTD("nest.scriprtd",,"bse_cm|888SCL25B","Isin code")</f>
        <v>INE148I07RE5</v>
      </c>
      <c r="S909" s="9">
        <f>Table1[[#This Row],[Ask Rate]]*Table1[[#This Row],[Ask Qty]]</f>
        <v>0</v>
      </c>
      <c r="T909">
        <f>VLOOKUP(Table1[[#This Row],[Isin code]],Table2[#All],7,FALSE)</f>
        <v>8.8800000000000008</v>
      </c>
      <c r="U909" s="17" t="str">
        <f>VLOOKUP(Table1[[#This Row],[Isin code]],Table2[#All],8,FALSE)</f>
        <v>27-Dec-2025</v>
      </c>
      <c r="V909" s="10">
        <f ca="1">Table1[[#This Row],[Maturity]]-TODAY()</f>
        <v>437</v>
      </c>
      <c r="W909" t="str">
        <f>VLOOKUP(Table1[[#This Row],[Isin code]],Table2[#All],10,FALSE)</f>
        <v>Monthly</v>
      </c>
      <c r="X909">
        <f ca="1">_xlfn.DAYS(Table1[[#This Row],[Maturity]],TODAY())-15</f>
        <v>422</v>
      </c>
      <c r="Y9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909">
        <f>IF(Table1[[#This Row],[Ask Rate]]=0,0,Table1[[#This Row],[Face Value]]-Table1[[#This Row],[Ask Rate]])</f>
        <v>0</v>
      </c>
      <c r="AA909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909">
        <f ca="1">Table1[[#This Row],[Face Value]]*Table1[[#This Row],[Rate]]*Table1[[#This Row],[Time]]</f>
        <v>111</v>
      </c>
      <c r="AC909">
        <f ca="1">Table1[[#This Row],[SI]]+Table1[[#This Row],[Disc/Prem]]</f>
        <v>111</v>
      </c>
      <c r="AD909" s="3" t="e">
        <f ca="1">Table1[[#This Row],[Net Gain]]/Table1[[#This Row],[Ask Rate]]</f>
        <v>#DIV/0!</v>
      </c>
      <c r="AE909" s="3">
        <f>IF(Table1[[#This Row],[Ask Qty]]=0,0,Table1[[#This Row],[Gross Yield]]*365/Table1[[#This Row],[Days Left]])</f>
        <v>0</v>
      </c>
      <c r="AF909" s="9">
        <f ca="1">+Table1[[#This Row],[Net Gain]]*Table1[[#This Row],[Ask Qty]]</f>
        <v>0</v>
      </c>
      <c r="AG909" t="str">
        <f>IF(Table1[[#This Row],[YTM]]&gt;0.12,IF(Table1[[#This Row],[Gross Profit]]&gt;10000,"Invest","Review"),"Low YTM")</f>
        <v>Low YTM</v>
      </c>
    </row>
    <row r="910" spans="1:33" x14ac:dyDescent="0.3">
      <c r="A910" t="str">
        <f>RTD("nest.scriprtd",,"nse_cm|888SCL25A-AQ","Symbol")</f>
        <v>888SCL25A</v>
      </c>
      <c r="B910" t="str">
        <f>RTD("nest.scriprtd",,"nse_cm|888SCL25A-AQ","Trading Symbol")</f>
        <v>888SCL25A-AQ</v>
      </c>
      <c r="C910" t="str">
        <f>RTD("nest.scriprtd",,"nse_cm|888SCL25A-AQ","Exchange")</f>
        <v>NSE</v>
      </c>
      <c r="D910">
        <f>RTD("nest.scriprtd",,"nse_cm|888SCL25A-AQ","Bid Qty")</f>
        <v>9</v>
      </c>
      <c r="E910">
        <f>RTD("nest.scriprtd",,"nse_cm|888SCL25A-AQ","Bid Rate")</f>
        <v>815.2</v>
      </c>
      <c r="F910">
        <f>RTD("nest.scriprtd",,"nse_cm|888SCL25A-AQ","Ask Rate")</f>
        <v>0</v>
      </c>
      <c r="G910">
        <f>RTD("nest.scriprtd",,"nse_cm|888SCL25A-AQ","Ask Qty")</f>
        <v>0</v>
      </c>
      <c r="H910">
        <f>RTD("nest.scriprtd",,"nse_cm|888SCL25A-AQ","LTP")</f>
        <v>0</v>
      </c>
      <c r="I910" t="str">
        <f>RTD("nest.scriprtd",,"nse_cm|888SCL25A-AQ","LTT")</f>
        <v/>
      </c>
      <c r="J910">
        <f>RTD("nest.scriprtd",,"nse_cm|888SCL25A-AQ","% Change")</f>
        <v>-100</v>
      </c>
      <c r="K910">
        <f>RTD("nest.scriprtd",,"nse_cm|888SCL25A-AQ","ATP")</f>
        <v>0</v>
      </c>
      <c r="L910">
        <f>RTD("nest.scriprtd",,"nse_cm|888SCL25A-AQ","Volume Traded Today")</f>
        <v>0</v>
      </c>
      <c r="M910">
        <f>RTD("nest.scriprtd",,"nse_cm|888SCL25A-AQ","Open")</f>
        <v>0</v>
      </c>
      <c r="N910">
        <f>RTD("nest.scriprtd",,"nse_cm|888SCL25A-AQ","High")</f>
        <v>0</v>
      </c>
      <c r="O910">
        <f>RTD("nest.scriprtd",,"nse_cm|888SCL25A-AQ","Low ")</f>
        <v>0</v>
      </c>
      <c r="P910">
        <f>RTD("nest.scriprtd",,"nse_cm|888SCL25A-AQ","Prev Close")</f>
        <v>1000</v>
      </c>
      <c r="Q910">
        <f>RTD("nest.scriprtd",,"nse_cm|888SCL25A-AQ","Face Value")</f>
        <v>1000</v>
      </c>
      <c r="R910" t="str">
        <f>RTD("nest.scriprtd",,"nse_cm|888SCL25A-AQ","Isin code")</f>
        <v>INE148I07OJ1</v>
      </c>
      <c r="S910" s="9">
        <f>Table1[[#This Row],[Ask Rate]]*Table1[[#This Row],[Ask Qty]]</f>
        <v>0</v>
      </c>
      <c r="T910">
        <f>VLOOKUP(Table1[[#This Row],[Isin code]],Table2[#All],7,FALSE)</f>
        <v>8.8800000000000008</v>
      </c>
      <c r="U910" s="17" t="str">
        <f>VLOOKUP(Table1[[#This Row],[Isin code]],Table2[#All],8,FALSE)</f>
        <v>27-Jul-2025</v>
      </c>
      <c r="V910" s="10">
        <f ca="1">Table1[[#This Row],[Maturity]]-TODAY()</f>
        <v>284</v>
      </c>
      <c r="W910" t="str">
        <f>VLOOKUP(Table1[[#This Row],[Isin code]],Table2[#All],10,FALSE)</f>
        <v>Monthly</v>
      </c>
      <c r="X910">
        <f ca="1">_xlfn.DAYS(Table1[[#This Row],[Maturity]],TODAY())-15</f>
        <v>269</v>
      </c>
      <c r="Y9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910">
        <f>IF(Table1[[#This Row],[Ask Rate]]=0,0,Table1[[#This Row],[Face Value]]-Table1[[#This Row],[Ask Rate]])</f>
        <v>0</v>
      </c>
      <c r="AA910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910">
        <f ca="1">Table1[[#This Row],[Face Value]]*Table1[[#This Row],[Rate]]*Table1[[#This Row],[Time]]</f>
        <v>66.600000000000009</v>
      </c>
      <c r="AC910">
        <f ca="1">Table1[[#This Row],[SI]]+Table1[[#This Row],[Disc/Prem]]</f>
        <v>66.600000000000009</v>
      </c>
      <c r="AD910" s="3" t="e">
        <f ca="1">Table1[[#This Row],[Net Gain]]/Table1[[#This Row],[Ask Rate]]</f>
        <v>#DIV/0!</v>
      </c>
      <c r="AE910" s="3">
        <f>IF(Table1[[#This Row],[Ask Qty]]=0,0,Table1[[#This Row],[Gross Yield]]*365/Table1[[#This Row],[Days Left]])</f>
        <v>0</v>
      </c>
      <c r="AF910" s="9">
        <f ca="1">+Table1[[#This Row],[Net Gain]]*Table1[[#This Row],[Ask Qty]]</f>
        <v>0</v>
      </c>
      <c r="AG910" t="str">
        <f>IF(Table1[[#This Row],[YTM]]&gt;0.12,IF(Table1[[#This Row],[Gross Profit]]&gt;10000,"Invest","Review"),"Low YTM")</f>
        <v>Low YTM</v>
      </c>
    </row>
    <row r="911" spans="1:33" x14ac:dyDescent="0.3">
      <c r="A911" t="str">
        <f>RTD("nest.scriprtd",,"bse_cm|888SCL25A","Symbol")</f>
        <v>888SCL25A</v>
      </c>
      <c r="B911" t="str">
        <f>RTD("nest.scriprtd",,"bse_cm|888SCL25A","Trading Symbol")</f>
        <v>888SCL25A</v>
      </c>
      <c r="C911" t="str">
        <f>RTD("nest.scriprtd",,"bse_cm|888SCL25A","Exchange")</f>
        <v>BSE</v>
      </c>
      <c r="D911">
        <f>RTD("nest.scriprtd",,"bse_cm|888SCL25A","Bid Qty")</f>
        <v>20</v>
      </c>
      <c r="E911">
        <f>RTD("nest.scriprtd",,"bse_cm|888SCL25A","Bid Rate")</f>
        <v>820.2</v>
      </c>
      <c r="F911">
        <f>RTD("nest.scriprtd",,"bse_cm|888SCL25A","Ask Rate")</f>
        <v>0</v>
      </c>
      <c r="G911">
        <f>RTD("nest.scriprtd",,"bse_cm|888SCL25A","Ask Qty")</f>
        <v>0</v>
      </c>
      <c r="H911">
        <f>RTD("nest.scriprtd",,"bse_cm|888SCL25A","LTP")</f>
        <v>0</v>
      </c>
      <c r="I911" t="str">
        <f>RTD("nest.scriprtd",,"bse_cm|888SCL25A","LTT")</f>
        <v>00:00:00</v>
      </c>
      <c r="J911">
        <f>RTD("nest.scriprtd",,"bse_cm|888SCL25A","% Change")</f>
        <v>-100</v>
      </c>
      <c r="K911">
        <f>RTD("nest.scriprtd",,"bse_cm|888SCL25A","ATP")</f>
        <v>0</v>
      </c>
      <c r="L911">
        <f>RTD("nest.scriprtd",,"bse_cm|888SCL25A","Volume Traded Today")</f>
        <v>0</v>
      </c>
      <c r="M911">
        <f>RTD("nest.scriprtd",,"bse_cm|888SCL25A","Open")</f>
        <v>0</v>
      </c>
      <c r="N911">
        <f>RTD("nest.scriprtd",,"bse_cm|888SCL25A","High")</f>
        <v>979.8</v>
      </c>
      <c r="O911">
        <f>RTD("nest.scriprtd",,"bse_cm|888SCL25A","Low ")</f>
        <v>979.8</v>
      </c>
      <c r="P911">
        <f>RTD("nest.scriprtd",,"bse_cm|888SCL25A","Prev Close")</f>
        <v>979.8</v>
      </c>
      <c r="Q911">
        <f>RTD("nest.scriprtd",,"bse_cm|888SCL25A","Face Value")</f>
        <v>1000</v>
      </c>
      <c r="R911" t="str">
        <f>RTD("nest.scriprtd",,"bse_cm|888SCL25A","Isin code")</f>
        <v>INE148I07OJ1</v>
      </c>
      <c r="S911" s="9">
        <f>Table1[[#This Row],[Ask Rate]]*Table1[[#This Row],[Ask Qty]]</f>
        <v>0</v>
      </c>
      <c r="T911">
        <f>VLOOKUP(Table1[[#This Row],[Isin code]],Table2[#All],7,FALSE)</f>
        <v>8.8800000000000008</v>
      </c>
      <c r="U911" s="17" t="str">
        <f>VLOOKUP(Table1[[#This Row],[Isin code]],Table2[#All],8,FALSE)</f>
        <v>27-Jul-2025</v>
      </c>
      <c r="V911" s="10">
        <f ca="1">Table1[[#This Row],[Maturity]]-TODAY()</f>
        <v>284</v>
      </c>
      <c r="W911" t="str">
        <f>VLOOKUP(Table1[[#This Row],[Isin code]],Table2[#All],10,FALSE)</f>
        <v>Monthly</v>
      </c>
      <c r="X911">
        <f ca="1">_xlfn.DAYS(Table1[[#This Row],[Maturity]],TODAY())-15</f>
        <v>269</v>
      </c>
      <c r="Y9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911">
        <f>IF(Table1[[#This Row],[Ask Rate]]=0,0,Table1[[#This Row],[Face Value]]-Table1[[#This Row],[Ask Rate]])</f>
        <v>0</v>
      </c>
      <c r="AA911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911">
        <f ca="1">Table1[[#This Row],[Face Value]]*Table1[[#This Row],[Rate]]*Table1[[#This Row],[Time]]</f>
        <v>66.600000000000009</v>
      </c>
      <c r="AC911">
        <f ca="1">Table1[[#This Row],[SI]]+Table1[[#This Row],[Disc/Prem]]</f>
        <v>66.600000000000009</v>
      </c>
      <c r="AD911" s="3" t="e">
        <f ca="1">Table1[[#This Row],[Net Gain]]/Table1[[#This Row],[Ask Rate]]</f>
        <v>#DIV/0!</v>
      </c>
      <c r="AE911" s="3">
        <f>IF(Table1[[#This Row],[Ask Qty]]=0,0,Table1[[#This Row],[Gross Yield]]*365/Table1[[#This Row],[Days Left]])</f>
        <v>0</v>
      </c>
      <c r="AF911" s="9">
        <f ca="1">+Table1[[#This Row],[Net Gain]]*Table1[[#This Row],[Ask Qty]]</f>
        <v>0</v>
      </c>
      <c r="AG911" t="str">
        <f>IF(Table1[[#This Row],[YTM]]&gt;0.12,IF(Table1[[#This Row],[Gross Profit]]&gt;10000,"Invest","Review"),"Low YTM")</f>
        <v>Low YTM</v>
      </c>
    </row>
    <row r="912" spans="1:33" x14ac:dyDescent="0.3">
      <c r="A912" t="str">
        <f>RTD("nest.scriprtd",,"nse_cm|888SCL25-NG","Symbol")</f>
        <v>888SCL25</v>
      </c>
      <c r="B912" t="str">
        <f>RTD("nest.scriprtd",,"nse_cm|888SCL25-NG","Trading Symbol")</f>
        <v>888SCL25-NG</v>
      </c>
      <c r="C912" t="str">
        <f>RTD("nest.scriprtd",,"nse_cm|888SCL25-NG","Exchange")</f>
        <v>NSE</v>
      </c>
      <c r="D912">
        <f>RTD("nest.scriprtd",,"nse_cm|888SCL25-NG","Bid Qty")</f>
        <v>0</v>
      </c>
      <c r="E912">
        <f>RTD("nest.scriprtd",,"nse_cm|888SCL25-NG","Bid Rate")</f>
        <v>0</v>
      </c>
      <c r="F912">
        <f>RTD("nest.scriprtd",,"nse_cm|888SCL25-NG","Ask Rate")</f>
        <v>0</v>
      </c>
      <c r="G912">
        <f>RTD("nest.scriprtd",,"nse_cm|888SCL25-NG","Ask Qty")</f>
        <v>0</v>
      </c>
      <c r="H912">
        <f>RTD("nest.scriprtd",,"nse_cm|888SCL25-NG","LTP")</f>
        <v>0</v>
      </c>
      <c r="I912" t="str">
        <f>RTD("nest.scriprtd",,"nse_cm|888SCL25-NG","LTT")</f>
        <v/>
      </c>
      <c r="J912">
        <f>RTD("nest.scriprtd",,"nse_cm|888SCL25-NG","% Change")</f>
        <v>0</v>
      </c>
      <c r="K912">
        <f>RTD("nest.scriprtd",,"nse_cm|888SCL25-NG","ATP")</f>
        <v>0</v>
      </c>
      <c r="L912">
        <f>RTD("nest.scriprtd",,"nse_cm|888SCL25-NG","Volume Traded Today")</f>
        <v>0</v>
      </c>
      <c r="M912">
        <f>RTD("nest.scriprtd",,"nse_cm|888SCL25-NG","Open")</f>
        <v>0</v>
      </c>
      <c r="N912">
        <f>RTD("nest.scriprtd",,"nse_cm|888SCL25-NG","High")</f>
        <v>0</v>
      </c>
      <c r="O912">
        <f>RTD("nest.scriprtd",,"nse_cm|888SCL25-NG","Low ")</f>
        <v>0</v>
      </c>
      <c r="P912">
        <f>RTD("nest.scriprtd",,"nse_cm|888SCL25-NG","Prev Close")</f>
        <v>0</v>
      </c>
      <c r="Q912">
        <f>RTD("nest.scriprtd",,"nse_cm|888SCL25-NG","Face Value")</f>
        <v>1000</v>
      </c>
      <c r="R912" t="str">
        <f>RTD("nest.scriprtd",,"nse_cm|888SCL25-NG","Isin code")</f>
        <v>INE148I07QF4</v>
      </c>
      <c r="S912" s="9">
        <f>Table1[[#This Row],[Ask Rate]]*Table1[[#This Row],[Ask Qty]]</f>
        <v>0</v>
      </c>
      <c r="T912">
        <f>VLOOKUP(Table1[[#This Row],[Isin code]],Table2[#All],7,FALSE)</f>
        <v>8.8800000000000008</v>
      </c>
      <c r="U912" s="17" t="str">
        <f>VLOOKUP(Table1[[#This Row],[Isin code]],Table2[#All],8,FALSE)</f>
        <v>09-Nov-2025</v>
      </c>
      <c r="V912" s="10">
        <f ca="1">Table1[[#This Row],[Maturity]]-TODAY()</f>
        <v>389</v>
      </c>
      <c r="W912" t="str">
        <f>VLOOKUP(Table1[[#This Row],[Isin code]],Table2[#All],10,FALSE)</f>
        <v>Monthly</v>
      </c>
      <c r="X912">
        <f ca="1">_xlfn.DAYS(Table1[[#This Row],[Maturity]],TODAY())-15</f>
        <v>374</v>
      </c>
      <c r="Y9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912">
        <f>IF(Table1[[#This Row],[Ask Rate]]=0,0,Table1[[#This Row],[Face Value]]-Table1[[#This Row],[Ask Rate]])</f>
        <v>0</v>
      </c>
      <c r="AA912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912">
        <f ca="1">Table1[[#This Row],[Face Value]]*Table1[[#This Row],[Rate]]*Table1[[#This Row],[Time]]</f>
        <v>96.2</v>
      </c>
      <c r="AC912">
        <f ca="1">Table1[[#This Row],[SI]]+Table1[[#This Row],[Disc/Prem]]</f>
        <v>96.2</v>
      </c>
      <c r="AD912" s="3" t="e">
        <f ca="1">Table1[[#This Row],[Net Gain]]/Table1[[#This Row],[Ask Rate]]</f>
        <v>#DIV/0!</v>
      </c>
      <c r="AE912" s="3">
        <f>IF(Table1[[#This Row],[Ask Qty]]=0,0,Table1[[#This Row],[Gross Yield]]*365/Table1[[#This Row],[Days Left]])</f>
        <v>0</v>
      </c>
      <c r="AF912" s="9">
        <f ca="1">+Table1[[#This Row],[Net Gain]]*Table1[[#This Row],[Ask Qty]]</f>
        <v>0</v>
      </c>
      <c r="AG912" t="str">
        <f>IF(Table1[[#This Row],[YTM]]&gt;0.12,IF(Table1[[#This Row],[Gross Profit]]&gt;10000,"Invest","Review"),"Low YTM")</f>
        <v>Low YTM</v>
      </c>
    </row>
    <row r="913" spans="1:33" x14ac:dyDescent="0.3">
      <c r="A913" t="str">
        <f>RTD("nest.scriprtd",,"bse_cm|925SCL26","Symbol")</f>
        <v>925SCL26</v>
      </c>
      <c r="B913" t="str">
        <f>RTD("nest.scriprtd",,"bse_cm|925SCL26","Trading Symbol")</f>
        <v>925SCL26</v>
      </c>
      <c r="C913" t="str">
        <f>RTD("nest.scriprtd",,"bse_cm|925SCL26","Exchange")</f>
        <v>BSE</v>
      </c>
      <c r="D913">
        <f>RTD("nest.scriprtd",,"bse_cm|925SCL26","Bid Qty")</f>
        <v>20</v>
      </c>
      <c r="E913">
        <f>RTD("nest.scriprtd",,"bse_cm|925SCL26","Bid Rate")</f>
        <v>815.85</v>
      </c>
      <c r="F913">
        <f>RTD("nest.scriprtd",,"bse_cm|925SCL26","Ask Rate")</f>
        <v>0</v>
      </c>
      <c r="G913">
        <f>RTD("nest.scriprtd",,"bse_cm|925SCL26","Ask Qty")</f>
        <v>0</v>
      </c>
      <c r="H913">
        <f>RTD("nest.scriprtd",,"bse_cm|925SCL26","LTP")</f>
        <v>0</v>
      </c>
      <c r="I913" t="str">
        <f>RTD("nest.scriprtd",,"bse_cm|925SCL26","LTT")</f>
        <v>00:00:00</v>
      </c>
      <c r="J913">
        <f>RTD("nest.scriprtd",,"bse_cm|925SCL26","% Change")</f>
        <v>-100</v>
      </c>
      <c r="K913">
        <f>RTD("nest.scriprtd",,"bse_cm|925SCL26","ATP")</f>
        <v>0</v>
      </c>
      <c r="L913">
        <f>RTD("nest.scriprtd",,"bse_cm|925SCL26","Volume Traded Today")</f>
        <v>0</v>
      </c>
      <c r="M913">
        <f>RTD("nest.scriprtd",,"bse_cm|925SCL26","Open")</f>
        <v>0</v>
      </c>
      <c r="N913">
        <f>RTD("nest.scriprtd",,"bse_cm|925SCL26","High")</f>
        <v>0</v>
      </c>
      <c r="O913">
        <f>RTD("nest.scriprtd",,"bse_cm|925SCL26","Low ")</f>
        <v>0</v>
      </c>
      <c r="P913">
        <f>RTD("nest.scriprtd",,"bse_cm|925SCL26","Prev Close")</f>
        <v>1000</v>
      </c>
      <c r="Q913">
        <f>RTD("nest.scriprtd",,"bse_cm|925SCL26","Face Value")</f>
        <v>1000</v>
      </c>
      <c r="R913" t="str">
        <f>RTD("nest.scriprtd",,"bse_cm|925SCL26","Isin code")</f>
        <v>INE148I07KM3</v>
      </c>
      <c r="S913" s="9">
        <f>Table1[[#This Row],[Ask Rate]]*Table1[[#This Row],[Ask Qty]]</f>
        <v>0</v>
      </c>
      <c r="T913">
        <f>VLOOKUP(Table1[[#This Row],[Isin code]],Table2[#All],7,FALSE)</f>
        <v>8.75</v>
      </c>
      <c r="U913" s="17" t="str">
        <f>VLOOKUP(Table1[[#This Row],[Isin code]],Table2[#All],8,FALSE)</f>
        <v>24-Sep-2026</v>
      </c>
      <c r="V913" s="10">
        <f ca="1">Table1[[#This Row],[Maturity]]-TODAY()</f>
        <v>708</v>
      </c>
      <c r="W913" t="str">
        <f>VLOOKUP(Table1[[#This Row],[Isin code]],Table2[#All],10,FALSE)</f>
        <v>Yearly</v>
      </c>
      <c r="X913">
        <f ca="1">_xlfn.DAYS(Table1[[#This Row],[Maturity]],TODAY())-15</f>
        <v>693</v>
      </c>
      <c r="Y9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13">
        <f>IF(Table1[[#This Row],[Ask Rate]]=0,0,Table1[[#This Row],[Face Value]]-Table1[[#This Row],[Ask Rate]])</f>
        <v>0</v>
      </c>
      <c r="AA913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913">
        <f ca="1">Table1[[#This Row],[Face Value]]*Table1[[#This Row],[Rate]]*Table1[[#This Row],[Time]]</f>
        <v>175</v>
      </c>
      <c r="AC913">
        <f ca="1">Table1[[#This Row],[SI]]+Table1[[#This Row],[Disc/Prem]]</f>
        <v>175</v>
      </c>
      <c r="AD913" s="3" t="e">
        <f ca="1">Table1[[#This Row],[Net Gain]]/Table1[[#This Row],[Ask Rate]]</f>
        <v>#DIV/0!</v>
      </c>
      <c r="AE913" s="3">
        <f>IF(Table1[[#This Row],[Ask Qty]]=0,0,Table1[[#This Row],[Gross Yield]]*365/Table1[[#This Row],[Days Left]])</f>
        <v>0</v>
      </c>
      <c r="AF913" s="9">
        <f ca="1">+Table1[[#This Row],[Net Gain]]*Table1[[#This Row],[Ask Qty]]</f>
        <v>0</v>
      </c>
      <c r="AG913" t="str">
        <f>IF(Table1[[#This Row],[YTM]]&gt;0.12,IF(Table1[[#This Row],[Gross Profit]]&gt;10000,"Invest","Review"),"Low YTM")</f>
        <v>Low YTM</v>
      </c>
    </row>
    <row r="914" spans="1:33" x14ac:dyDescent="0.3">
      <c r="A914" t="str">
        <f>RTD("nest.scriprtd",,"nse_cm|925SCL25Z-NE","Symbol")</f>
        <v>925SCL25Z</v>
      </c>
      <c r="B914" t="str">
        <f>RTD("nest.scriprtd",,"nse_cm|925SCL25Z-NE","Trading Symbol")</f>
        <v>925SCL25Z-NE</v>
      </c>
      <c r="C914" t="str">
        <f>RTD("nest.scriprtd",,"nse_cm|925SCL25Z-NE","Exchange")</f>
        <v>NSE</v>
      </c>
      <c r="D914">
        <f>RTD("nest.scriprtd",,"nse_cm|925SCL25Z-NE","Bid Qty")</f>
        <v>10</v>
      </c>
      <c r="E914">
        <f>RTD("nest.scriprtd",,"nse_cm|925SCL25Z-NE","Bid Rate")</f>
        <v>818.8</v>
      </c>
      <c r="F914">
        <f>RTD("nest.scriprtd",,"nse_cm|925SCL25Z-NE","Ask Rate")</f>
        <v>0</v>
      </c>
      <c r="G914">
        <f>RTD("nest.scriprtd",,"nse_cm|925SCL25Z-NE","Ask Qty")</f>
        <v>0</v>
      </c>
      <c r="H914">
        <f>RTD("nest.scriprtd",,"nse_cm|925SCL25Z-NE","LTP")</f>
        <v>0</v>
      </c>
      <c r="I914" t="str">
        <f>RTD("nest.scriprtd",,"nse_cm|925SCL25Z-NE","LTT")</f>
        <v/>
      </c>
      <c r="J914">
        <f>RTD("nest.scriprtd",,"nse_cm|925SCL25Z-NE","% Change")</f>
        <v>-100</v>
      </c>
      <c r="K914">
        <f>RTD("nest.scriprtd",,"nse_cm|925SCL25Z-NE","ATP")</f>
        <v>0</v>
      </c>
      <c r="L914">
        <f>RTD("nest.scriprtd",,"nse_cm|925SCL25Z-NE","Volume Traded Today")</f>
        <v>0</v>
      </c>
      <c r="M914">
        <f>RTD("nest.scriprtd",,"nse_cm|925SCL25Z-NE","Open")</f>
        <v>0</v>
      </c>
      <c r="N914">
        <f>RTD("nest.scriprtd",,"nse_cm|925SCL25Z-NE","High")</f>
        <v>0</v>
      </c>
      <c r="O914">
        <f>RTD("nest.scriprtd",,"nse_cm|925SCL25Z-NE","Low ")</f>
        <v>0</v>
      </c>
      <c r="P914">
        <f>RTD("nest.scriprtd",,"nse_cm|925SCL25Z-NE","Prev Close")</f>
        <v>1000</v>
      </c>
      <c r="Q914">
        <f>RTD("nest.scriprtd",,"nse_cm|925SCL25Z-NE","Face Value")</f>
        <v>1000</v>
      </c>
      <c r="R914" t="str">
        <f>RTD("nest.scriprtd",,"nse_cm|925SCL25Z-NE","Isin code")</f>
        <v>INE148I07PW1</v>
      </c>
      <c r="S914" s="9">
        <f>Table1[[#This Row],[Ask Rate]]*Table1[[#This Row],[Ask Qty]]</f>
        <v>0</v>
      </c>
      <c r="T914">
        <f>VLOOKUP(Table1[[#This Row],[Isin code]],Table2[#All],7,FALSE)</f>
        <v>9.25</v>
      </c>
      <c r="U914" s="17" t="str">
        <f>VLOOKUP(Table1[[#This Row],[Isin code]],Table2[#All],8,FALSE)</f>
        <v>09-Nov-2025</v>
      </c>
      <c r="V914" s="10">
        <f ca="1">Table1[[#This Row],[Maturity]]-TODAY()</f>
        <v>389</v>
      </c>
      <c r="W914" t="str">
        <f>VLOOKUP(Table1[[#This Row],[Isin code]],Table2[#All],10,FALSE)</f>
        <v>Yearly</v>
      </c>
      <c r="X914">
        <f ca="1">_xlfn.DAYS(Table1[[#This Row],[Maturity]],TODAY())-15</f>
        <v>374</v>
      </c>
      <c r="Y9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14">
        <f>IF(Table1[[#This Row],[Ask Rate]]=0,0,Table1[[#This Row],[Face Value]]-Table1[[#This Row],[Ask Rate]])</f>
        <v>0</v>
      </c>
      <c r="AA914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914">
        <f ca="1">Table1[[#This Row],[Face Value]]*Table1[[#This Row],[Rate]]*Table1[[#This Row],[Time]]</f>
        <v>185</v>
      </c>
      <c r="AC914">
        <f ca="1">Table1[[#This Row],[SI]]+Table1[[#This Row],[Disc/Prem]]</f>
        <v>185</v>
      </c>
      <c r="AD914" s="3" t="e">
        <f ca="1">Table1[[#This Row],[Net Gain]]/Table1[[#This Row],[Ask Rate]]</f>
        <v>#DIV/0!</v>
      </c>
      <c r="AE914" s="3">
        <f>IF(Table1[[#This Row],[Ask Qty]]=0,0,Table1[[#This Row],[Gross Yield]]*365/Table1[[#This Row],[Days Left]])</f>
        <v>0</v>
      </c>
      <c r="AF914" s="9">
        <f ca="1">+Table1[[#This Row],[Net Gain]]*Table1[[#This Row],[Ask Qty]]</f>
        <v>0</v>
      </c>
      <c r="AG914" t="str">
        <f>IF(Table1[[#This Row],[YTM]]&gt;0.12,IF(Table1[[#This Row],[Gross Profit]]&gt;10000,"Invest","Review"),"Low YTM")</f>
        <v>Low YTM</v>
      </c>
    </row>
    <row r="915" spans="1:33" x14ac:dyDescent="0.3">
      <c r="A915" t="str">
        <f>RTD("nest.scriprtd",,"bse_cm|888SCL26","Symbol")</f>
        <v>888SCL26</v>
      </c>
      <c r="B915" t="str">
        <f>RTD("nest.scriprtd",,"bse_cm|888SCL26","Trading Symbol")</f>
        <v>888SCL26</v>
      </c>
      <c r="C915" t="str">
        <f>RTD("nest.scriprtd",,"bse_cm|888SCL26","Exchange")</f>
        <v>BSE</v>
      </c>
      <c r="D915">
        <f>RTD("nest.scriprtd",,"bse_cm|888SCL26","Bid Qty")</f>
        <v>9</v>
      </c>
      <c r="E915">
        <f>RTD("nest.scriprtd",,"bse_cm|888SCL26","Bid Rate")</f>
        <v>814.2</v>
      </c>
      <c r="F915">
        <f>RTD("nest.scriprtd",,"bse_cm|888SCL26","Ask Rate")</f>
        <v>0</v>
      </c>
      <c r="G915">
        <f>RTD("nest.scriprtd",,"bse_cm|888SCL26","Ask Qty")</f>
        <v>0</v>
      </c>
      <c r="H915">
        <f>RTD("nest.scriprtd",,"bse_cm|888SCL26","LTP")</f>
        <v>0</v>
      </c>
      <c r="I915" t="str">
        <f>RTD("nest.scriprtd",,"bse_cm|888SCL26","LTT")</f>
        <v>00:00:00</v>
      </c>
      <c r="J915">
        <f>RTD("nest.scriprtd",,"bse_cm|888SCL26","% Change")</f>
        <v>-100</v>
      </c>
      <c r="K915">
        <f>RTD("nest.scriprtd",,"bse_cm|888SCL26","ATP")</f>
        <v>0</v>
      </c>
      <c r="L915">
        <f>RTD("nest.scriprtd",,"bse_cm|888SCL26","Volume Traded Today")</f>
        <v>0</v>
      </c>
      <c r="M915">
        <f>RTD("nest.scriprtd",,"bse_cm|888SCL26","Open")</f>
        <v>0</v>
      </c>
      <c r="N915">
        <f>RTD("nest.scriprtd",,"bse_cm|888SCL26","High")</f>
        <v>0</v>
      </c>
      <c r="O915">
        <f>RTD("nest.scriprtd",,"bse_cm|888SCL26","Low ")</f>
        <v>0</v>
      </c>
      <c r="P915">
        <f>RTD("nest.scriprtd",,"bse_cm|888SCL26","Prev Close")</f>
        <v>1000</v>
      </c>
      <c r="Q915">
        <f>RTD("nest.scriprtd",,"bse_cm|888SCL26","Face Value")</f>
        <v>1000</v>
      </c>
      <c r="R915" t="str">
        <f>RTD("nest.scriprtd",,"bse_cm|888SCL26","Isin code")</f>
        <v>INE148I07SB9</v>
      </c>
      <c r="S915" s="9">
        <f>Table1[[#This Row],[Ask Rate]]*Table1[[#This Row],[Ask Qty]]</f>
        <v>0</v>
      </c>
      <c r="T915">
        <f>VLOOKUP(Table1[[#This Row],[Isin code]],Table2[#All],7,FALSE)</f>
        <v>8.8800000000000008</v>
      </c>
      <c r="U915" s="17" t="str">
        <f>VLOOKUP(Table1[[#This Row],[Isin code]],Table2[#All],8,FALSE)</f>
        <v>26-Mar-2026</v>
      </c>
      <c r="V915" s="10">
        <f ca="1">Table1[[#This Row],[Maturity]]-TODAY()</f>
        <v>526</v>
      </c>
      <c r="W915" t="str">
        <f>VLOOKUP(Table1[[#This Row],[Isin code]],Table2[#All],10,FALSE)</f>
        <v>Monthly</v>
      </c>
      <c r="X915">
        <f ca="1">_xlfn.DAYS(Table1[[#This Row],[Maturity]],TODAY())-15</f>
        <v>511</v>
      </c>
      <c r="Y9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915">
        <f>IF(Table1[[#This Row],[Ask Rate]]=0,0,Table1[[#This Row],[Face Value]]-Table1[[#This Row],[Ask Rate]])</f>
        <v>0</v>
      </c>
      <c r="AA915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915">
        <f ca="1">Table1[[#This Row],[Face Value]]*Table1[[#This Row],[Rate]]*Table1[[#This Row],[Time]]</f>
        <v>133.20000000000002</v>
      </c>
      <c r="AC915">
        <f ca="1">Table1[[#This Row],[SI]]+Table1[[#This Row],[Disc/Prem]]</f>
        <v>133.20000000000002</v>
      </c>
      <c r="AD915" s="3" t="e">
        <f ca="1">Table1[[#This Row],[Net Gain]]/Table1[[#This Row],[Ask Rate]]</f>
        <v>#DIV/0!</v>
      </c>
      <c r="AE915" s="3">
        <f>IF(Table1[[#This Row],[Ask Qty]]=0,0,Table1[[#This Row],[Gross Yield]]*365/Table1[[#This Row],[Days Left]])</f>
        <v>0</v>
      </c>
      <c r="AF915" s="9">
        <f ca="1">+Table1[[#This Row],[Net Gain]]*Table1[[#This Row],[Ask Qty]]</f>
        <v>0</v>
      </c>
      <c r="AG915" t="str">
        <f>IF(Table1[[#This Row],[YTM]]&gt;0.12,IF(Table1[[#This Row],[Gross Profit]]&gt;10000,"Invest","Review"),"Low YTM")</f>
        <v>Low YTM</v>
      </c>
    </row>
    <row r="916" spans="1:33" hidden="1" x14ac:dyDescent="0.3">
      <c r="A916" t="str">
        <f>RTD("nest.scriprtd",,"nse_cm|888SCL25D-NC","Symbol")</f>
        <v>888SCL25D</v>
      </c>
      <c r="B916" t="str">
        <f>RTD("nest.scriprtd",,"nse_cm|888SCL25D-NC","Trading Symbol")</f>
        <v>888SCL25D-NC</v>
      </c>
      <c r="C916" t="str">
        <f>RTD("nest.scriprtd",,"nse_cm|888SCL25D-NC","Exchange")</f>
        <v>NSE</v>
      </c>
      <c r="D916">
        <f>RTD("nest.scriprtd",,"nse_cm|888SCL25D-NC","Bid Qty")</f>
        <v>0</v>
      </c>
      <c r="E916">
        <f>RTD("nest.scriprtd",,"nse_cm|888SCL25D-NC","Bid Rate")</f>
        <v>0</v>
      </c>
      <c r="F916">
        <f>RTD("nest.scriprtd",,"nse_cm|888SCL25D-NC","Ask Rate")</f>
        <v>0</v>
      </c>
      <c r="G916">
        <f>RTD("nest.scriprtd",,"nse_cm|888SCL25D-NC","Ask Qty")</f>
        <v>0</v>
      </c>
      <c r="H916">
        <f>RTD("nest.scriprtd",,"nse_cm|888SCL25D-NC","LTP")</f>
        <v>0</v>
      </c>
      <c r="I916" t="str">
        <f>RTD("nest.scriprtd",,"nse_cm|888SCL25D-NC","LTT")</f>
        <v/>
      </c>
      <c r="J916">
        <f>RTD("nest.scriprtd",,"nse_cm|888SCL25D-NC","% Change")</f>
        <v>0</v>
      </c>
      <c r="K916">
        <f>RTD("nest.scriprtd",,"nse_cm|888SCL25D-NC","ATP")</f>
        <v>0</v>
      </c>
      <c r="L916">
        <f>RTD("nest.scriprtd",,"nse_cm|888SCL25D-NC","Volume Traded Today")</f>
        <v>0</v>
      </c>
      <c r="M916">
        <f>RTD("nest.scriprtd",,"nse_cm|888SCL25D-NC","Open")</f>
        <v>0</v>
      </c>
      <c r="N916">
        <f>RTD("nest.scriprtd",,"nse_cm|888SCL25D-NC","High")</f>
        <v>0</v>
      </c>
      <c r="O916">
        <f>RTD("nest.scriprtd",,"nse_cm|888SCL25D-NC","Low ")</f>
        <v>0</v>
      </c>
      <c r="P916">
        <f>RTD("nest.scriprtd",,"nse_cm|888SCL25D-NC","Prev Close")</f>
        <v>0</v>
      </c>
      <c r="Q916">
        <f>RTD("nest.scriprtd",,"nse_cm|888SCL25D-NC","Face Value")</f>
        <v>857.14</v>
      </c>
      <c r="R916" t="str">
        <f>RTD("nest.scriprtd",,"nse_cm|888SCL25D-NC","Isin code")</f>
        <v>INE148I07QC1</v>
      </c>
      <c r="S916" s="9">
        <f>Table1[[#This Row],[Ask Rate]]*Table1[[#This Row],[Ask Qty]]</f>
        <v>0</v>
      </c>
      <c r="T916" t="str">
        <f>VLOOKUP(Table1[[#This Row],[Isin code]],Table2[#All],7,FALSE)</f>
        <v>x</v>
      </c>
      <c r="U916" s="17" t="str">
        <f>VLOOKUP(Table1[[#This Row],[Isin code]],Table2[#All],8,FALSE)</f>
        <v>x</v>
      </c>
      <c r="V916" s="10" t="e">
        <f ca="1">Table1[[#This Row],[Maturity]]-TODAY()</f>
        <v>#VALUE!</v>
      </c>
      <c r="W916" t="str">
        <f>VLOOKUP(Table1[[#This Row],[Isin code]],Table2[#All],10,FALSE)</f>
        <v>x</v>
      </c>
      <c r="X916" t="e">
        <f ca="1">_xlfn.DAYS(Table1[[#This Row],[Maturity]],TODAY())-15</f>
        <v>#VALUE!</v>
      </c>
      <c r="Y91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16">
        <f>IF(Table1[[#This Row],[Ask Rate]]=0,0,Table1[[#This Row],[Face Value]]-Table1[[#This Row],[Ask Rate]])</f>
        <v>0</v>
      </c>
      <c r="AA91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16">
        <f>Table1[[#This Row],[Face Value]]*Table1[[#This Row],[Rate]]*Table1[[#This Row],[Time]]</f>
        <v>0</v>
      </c>
      <c r="AC916">
        <f>Table1[[#This Row],[SI]]+Table1[[#This Row],[Disc/Prem]]</f>
        <v>0</v>
      </c>
      <c r="AD916" s="3" t="e">
        <f>Table1[[#This Row],[Net Gain]]/Table1[[#This Row],[Ask Rate]]</f>
        <v>#DIV/0!</v>
      </c>
      <c r="AE916" s="3">
        <f>IF(Table1[[#This Row],[Ask Qty]]=0,0,Table1[[#This Row],[Gross Yield]]*365/Table1[[#This Row],[Days Left]])</f>
        <v>0</v>
      </c>
      <c r="AF916" s="9">
        <f>+Table1[[#This Row],[Net Gain]]*Table1[[#This Row],[Ask Qty]]</f>
        <v>0</v>
      </c>
      <c r="AG916" t="str">
        <f>IF(Table1[[#This Row],[YTM]]&gt;0.12,IF(Table1[[#This Row],[Gross Profit]]&gt;10000,"Invest","Review"),"Low YTM")</f>
        <v>Low YTM</v>
      </c>
    </row>
    <row r="917" spans="1:33" x14ac:dyDescent="0.3">
      <c r="A917" t="str">
        <f>RTD("nest.scriprtd",,"bse_cm|SCLZC25","Symbol")</f>
        <v>SCLZC25</v>
      </c>
      <c r="B917" t="str">
        <f>RTD("nest.scriprtd",,"bse_cm|SCLZC25","Trading Symbol")</f>
        <v>SCLZC25</v>
      </c>
      <c r="C917" t="str">
        <f>RTD("nest.scriprtd",,"bse_cm|SCLZC25","Exchange")</f>
        <v>BSE</v>
      </c>
      <c r="D917">
        <f>RTD("nest.scriprtd",,"bse_cm|SCLZC25","Bid Qty")</f>
        <v>12</v>
      </c>
      <c r="E917">
        <f>RTD("nest.scriprtd",,"bse_cm|SCLZC25","Bid Rate")</f>
        <v>1150</v>
      </c>
      <c r="F917">
        <f>RTD("nest.scriprtd",,"bse_cm|SCLZC25","Ask Rate")</f>
        <v>0</v>
      </c>
      <c r="G917">
        <f>RTD("nest.scriprtd",,"bse_cm|SCLZC25","Ask Qty")</f>
        <v>0</v>
      </c>
      <c r="H917">
        <f>RTD("nest.scriprtd",,"bse_cm|SCLZC25","LTP")</f>
        <v>0</v>
      </c>
      <c r="I917" t="str">
        <f>RTD("nest.scriprtd",,"bse_cm|SCLZC25","LTT")</f>
        <v>00:00:00</v>
      </c>
      <c r="J917">
        <f>RTD("nest.scriprtd",,"bse_cm|SCLZC25","% Change")</f>
        <v>-100</v>
      </c>
      <c r="K917">
        <f>RTD("nest.scriprtd",,"bse_cm|SCLZC25","ATP")</f>
        <v>0</v>
      </c>
      <c r="L917">
        <f>RTD("nest.scriprtd",,"bse_cm|SCLZC25","Volume Traded Today")</f>
        <v>0</v>
      </c>
      <c r="M917">
        <f>RTD("nest.scriprtd",,"bse_cm|SCLZC25","Open")</f>
        <v>0</v>
      </c>
      <c r="N917">
        <f>RTD("nest.scriprtd",,"bse_cm|SCLZC25","High")</f>
        <v>1193</v>
      </c>
      <c r="O917">
        <f>RTD("nest.scriprtd",,"bse_cm|SCLZC25","Low ")</f>
        <v>1193</v>
      </c>
      <c r="P917">
        <f>RTD("nest.scriprtd",,"bse_cm|SCLZC25","Prev Close")</f>
        <v>1193</v>
      </c>
      <c r="Q917">
        <f>RTD("nest.scriprtd",,"bse_cm|SCLZC25","Face Value")</f>
        <v>1000</v>
      </c>
      <c r="R917" t="str">
        <f>RTD("nest.scriprtd",,"bse_cm|SCLZC25","Isin code")</f>
        <v>INE148I07LP4</v>
      </c>
      <c r="S917" s="9">
        <f>Table1[[#This Row],[Ask Rate]]*Table1[[#This Row],[Ask Qty]]</f>
        <v>0</v>
      </c>
      <c r="T917">
        <f>VLOOKUP(Table1[[#This Row],[Isin code]],Table2[#All],7,FALSE)</f>
        <v>0</v>
      </c>
      <c r="U917" s="17" t="str">
        <f>VLOOKUP(Table1[[#This Row],[Isin code]],Table2[#All],8,FALSE)</f>
        <v>28-Apr-2025</v>
      </c>
      <c r="V917" s="10">
        <f ca="1">Table1[[#This Row],[Maturity]]-TODAY()</f>
        <v>194</v>
      </c>
      <c r="W917" t="str">
        <f>VLOOKUP(Table1[[#This Row],[Isin code]],Table2[#All],10,FALSE)</f>
        <v>0</v>
      </c>
      <c r="X917">
        <f ca="1">_xlfn.DAYS(Table1[[#This Row],[Maturity]],TODAY())-15</f>
        <v>179</v>
      </c>
      <c r="Y91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17">
        <f>IF(Table1[[#This Row],[Ask Rate]]=0,0,Table1[[#This Row],[Face Value]]-Table1[[#This Row],[Ask Rate]])</f>
        <v>0</v>
      </c>
      <c r="AA91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17">
        <f>Table1[[#This Row],[Face Value]]*Table1[[#This Row],[Rate]]*Table1[[#This Row],[Time]]</f>
        <v>0</v>
      </c>
      <c r="AC917">
        <f>Table1[[#This Row],[SI]]+Table1[[#This Row],[Disc/Prem]]</f>
        <v>0</v>
      </c>
      <c r="AD917" s="3" t="e">
        <f>Table1[[#This Row],[Net Gain]]/Table1[[#This Row],[Ask Rate]]</f>
        <v>#DIV/0!</v>
      </c>
      <c r="AE917" s="3">
        <f>IF(Table1[[#This Row],[Ask Qty]]=0,0,Table1[[#This Row],[Gross Yield]]*365/Table1[[#This Row],[Days Left]])</f>
        <v>0</v>
      </c>
      <c r="AF917" s="9">
        <f>+Table1[[#This Row],[Net Gain]]*Table1[[#This Row],[Ask Qty]]</f>
        <v>0</v>
      </c>
      <c r="AG917" t="str">
        <f>IF(Table1[[#This Row],[YTM]]&gt;0.12,IF(Table1[[#This Row],[Gross Profit]]&gt;10000,"Invest","Review"),"Low YTM")</f>
        <v>Low YTM</v>
      </c>
    </row>
    <row r="918" spans="1:33" x14ac:dyDescent="0.3">
      <c r="A918" t="str">
        <f>RTD("nest.scriprtd",,"bse_cm|SCL310524A","Symbol")</f>
        <v>SCL310524A</v>
      </c>
      <c r="B918" t="str">
        <f>RTD("nest.scriprtd",,"bse_cm|SCL310524A","Trading Symbol")</f>
        <v>SCL310524A</v>
      </c>
      <c r="C918" t="str">
        <f>RTD("nest.scriprtd",,"bse_cm|SCL310524A","Exchange")</f>
        <v>BSE</v>
      </c>
      <c r="D918">
        <f>RTD("nest.scriprtd",,"bse_cm|SCL310524A","Bid Qty")</f>
        <v>20</v>
      </c>
      <c r="E918">
        <f>RTD("nest.scriprtd",,"bse_cm|SCL310524A","Bid Rate")</f>
        <v>853.25</v>
      </c>
      <c r="F918">
        <f>RTD("nest.scriprtd",,"bse_cm|SCL310524A","Ask Rate")</f>
        <v>0</v>
      </c>
      <c r="G918">
        <f>RTD("nest.scriprtd",,"bse_cm|SCL310524A","Ask Qty")</f>
        <v>0</v>
      </c>
      <c r="H918">
        <f>RTD("nest.scriprtd",,"bse_cm|SCL310524A","LTP")</f>
        <v>0</v>
      </c>
      <c r="I918" t="str">
        <f>RTD("nest.scriprtd",,"bse_cm|SCL310524A","LTT")</f>
        <v>00:00:00</v>
      </c>
      <c r="J918">
        <f>RTD("nest.scriprtd",,"bse_cm|SCL310524A","% Change")</f>
        <v>-100</v>
      </c>
      <c r="K918">
        <f>RTD("nest.scriprtd",,"bse_cm|SCL310524A","ATP")</f>
        <v>0</v>
      </c>
      <c r="L918">
        <f>RTD("nest.scriprtd",,"bse_cm|SCL310524A","Volume Traded Today")</f>
        <v>0</v>
      </c>
      <c r="M918">
        <f>RTD("nest.scriprtd",,"bse_cm|SCL310524A","Open")</f>
        <v>0</v>
      </c>
      <c r="N918">
        <f>RTD("nest.scriprtd",,"bse_cm|SCL310524A","High")</f>
        <v>0</v>
      </c>
      <c r="O918">
        <f>RTD("nest.scriprtd",,"bse_cm|SCL310524A","Low ")</f>
        <v>0</v>
      </c>
      <c r="P918">
        <f>RTD("nest.scriprtd",,"bse_cm|SCL310524A","Prev Close")</f>
        <v>1000</v>
      </c>
      <c r="Q918">
        <f>RTD("nest.scriprtd",,"bse_cm|SCL310524A","Face Value")</f>
        <v>1000</v>
      </c>
      <c r="R918" t="str">
        <f>RTD("nest.scriprtd",,"bse_cm|SCL310524A","Isin code")</f>
        <v>INE148I07TM4</v>
      </c>
      <c r="S918" s="9">
        <f>Table1[[#This Row],[Ask Rate]]*Table1[[#This Row],[Ask Qty]]</f>
        <v>0</v>
      </c>
      <c r="T918" t="str">
        <f>VLOOKUP(Table1[[#This Row],[Isin code]],Table2[#All],7,FALSE)</f>
        <v>--</v>
      </c>
      <c r="U918" s="17" t="str">
        <f>VLOOKUP(Table1[[#This Row],[Isin code]],Table2[#All],8,FALSE)</f>
        <v>31-May-2027</v>
      </c>
      <c r="V918" s="10">
        <f ca="1">Table1[[#This Row],[Maturity]]-TODAY()</f>
        <v>957</v>
      </c>
      <c r="W918" t="str">
        <f>VLOOKUP(Table1[[#This Row],[Isin code]],Table2[#All],10,FALSE)</f>
        <v>At the End</v>
      </c>
      <c r="X918">
        <f ca="1">_xlfn.DAYS(Table1[[#This Row],[Maturity]],TODAY())-15</f>
        <v>942</v>
      </c>
      <c r="Y91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18">
        <f>IF(Table1[[#This Row],[Ask Rate]]=0,0,Table1[[#This Row],[Face Value]]-Table1[[#This Row],[Ask Rate]])</f>
        <v>0</v>
      </c>
      <c r="AA91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18">
        <f>Table1[[#This Row],[Face Value]]*Table1[[#This Row],[Rate]]*Table1[[#This Row],[Time]]</f>
        <v>0</v>
      </c>
      <c r="AC918">
        <f>Table1[[#This Row],[SI]]+Table1[[#This Row],[Disc/Prem]]</f>
        <v>0</v>
      </c>
      <c r="AD918" s="3" t="e">
        <f>Table1[[#This Row],[Net Gain]]/Table1[[#This Row],[Ask Rate]]</f>
        <v>#DIV/0!</v>
      </c>
      <c r="AE918" s="3">
        <f>IF(Table1[[#This Row],[Ask Qty]]=0,0,Table1[[#This Row],[Gross Yield]]*365/Table1[[#This Row],[Days Left]])</f>
        <v>0</v>
      </c>
      <c r="AF918" s="9">
        <f>+Table1[[#This Row],[Net Gain]]*Table1[[#This Row],[Ask Qty]]</f>
        <v>0</v>
      </c>
      <c r="AG918" t="str">
        <f>IF(Table1[[#This Row],[YTM]]&gt;0.12,IF(Table1[[#This Row],[Gross Profit]]&gt;10000,"Invest","Review"),"Low YTM")</f>
        <v>Low YTM</v>
      </c>
    </row>
    <row r="919" spans="1:33" hidden="1" x14ac:dyDescent="0.3">
      <c r="A919" t="str">
        <f>RTD("nest.scriprtd",,"nse_cm|SCL26-NA","Symbol")</f>
        <v>SCL26</v>
      </c>
      <c r="B919" t="str">
        <f>RTD("nest.scriprtd",,"nse_cm|SCL26-NA","Trading Symbol")</f>
        <v>SCL26-NA</v>
      </c>
      <c r="C919" t="str">
        <f>RTD("nest.scriprtd",,"nse_cm|SCL26-NA","Exchange")</f>
        <v>NSE</v>
      </c>
      <c r="D919">
        <f>RTD("nest.scriprtd",,"nse_cm|SCL26-NA","Bid Qty")</f>
        <v>0</v>
      </c>
      <c r="E919">
        <f>RTD("nest.scriprtd",,"nse_cm|SCL26-NA","Bid Rate")</f>
        <v>0</v>
      </c>
      <c r="F919">
        <f>RTD("nest.scriprtd",,"nse_cm|SCL26-NA","Ask Rate")</f>
        <v>0</v>
      </c>
      <c r="G919">
        <f>RTD("nest.scriprtd",,"nse_cm|SCL26-NA","Ask Qty")</f>
        <v>0</v>
      </c>
      <c r="H919">
        <f>RTD("nest.scriprtd",,"nse_cm|SCL26-NA","LTP")</f>
        <v>0</v>
      </c>
      <c r="I919" t="str">
        <f>RTD("nest.scriprtd",,"nse_cm|SCL26-NA","LTT")</f>
        <v/>
      </c>
      <c r="J919">
        <f>RTD("nest.scriprtd",,"nse_cm|SCL26-NA","% Change")</f>
        <v>-100</v>
      </c>
      <c r="K919">
        <f>RTD("nest.scriprtd",,"nse_cm|SCL26-NA","ATP")</f>
        <v>0</v>
      </c>
      <c r="L919">
        <f>RTD("nest.scriprtd",,"nse_cm|SCL26-NA","Volume Traded Today")</f>
        <v>0</v>
      </c>
      <c r="M919">
        <f>RTD("nest.scriprtd",,"nse_cm|SCL26-NA","Open")</f>
        <v>0</v>
      </c>
      <c r="N919">
        <f>RTD("nest.scriprtd",,"nse_cm|SCL26-NA","High")</f>
        <v>0</v>
      </c>
      <c r="O919">
        <f>RTD("nest.scriprtd",,"nse_cm|SCL26-NA","Low ")</f>
        <v>0</v>
      </c>
      <c r="P919">
        <f>RTD("nest.scriprtd",,"nse_cm|SCL26-NA","Prev Close")</f>
        <v>1000</v>
      </c>
      <c r="Q919">
        <f>RTD("nest.scriprtd",,"nse_cm|SCL26-NA","Face Value")</f>
        <v>1000</v>
      </c>
      <c r="R919" t="str">
        <f>RTD("nest.scriprtd",,"nse_cm|SCL26-NA","Isin code")</f>
        <v>INE148I07QA5</v>
      </c>
      <c r="S919" s="9">
        <f>Table1[[#This Row],[Ask Rate]]*Table1[[#This Row],[Ask Qty]]</f>
        <v>0</v>
      </c>
      <c r="T919" t="str">
        <f>VLOOKUP(Table1[[#This Row],[Isin code]],Table2[#All],7,FALSE)</f>
        <v>x</v>
      </c>
      <c r="U919" s="17" t="str">
        <f>VLOOKUP(Table1[[#This Row],[Isin code]],Table2[#All],8,FALSE)</f>
        <v>x</v>
      </c>
      <c r="V919" s="10" t="e">
        <f ca="1">Table1[[#This Row],[Maturity]]-TODAY()</f>
        <v>#VALUE!</v>
      </c>
      <c r="W919" t="str">
        <f>VLOOKUP(Table1[[#This Row],[Isin code]],Table2[#All],10,FALSE)</f>
        <v>x</v>
      </c>
      <c r="X919" t="e">
        <f ca="1">_xlfn.DAYS(Table1[[#This Row],[Maturity]],TODAY())-15</f>
        <v>#VALUE!</v>
      </c>
      <c r="Y91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19">
        <f>IF(Table1[[#This Row],[Ask Rate]]=0,0,Table1[[#This Row],[Face Value]]-Table1[[#This Row],[Ask Rate]])</f>
        <v>0</v>
      </c>
      <c r="AA91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19">
        <f>Table1[[#This Row],[Face Value]]*Table1[[#This Row],[Rate]]*Table1[[#This Row],[Time]]</f>
        <v>0</v>
      </c>
      <c r="AC919">
        <f>Table1[[#This Row],[SI]]+Table1[[#This Row],[Disc/Prem]]</f>
        <v>0</v>
      </c>
      <c r="AD919" s="3" t="e">
        <f>Table1[[#This Row],[Net Gain]]/Table1[[#This Row],[Ask Rate]]</f>
        <v>#DIV/0!</v>
      </c>
      <c r="AE919" s="3">
        <f>IF(Table1[[#This Row],[Ask Qty]]=0,0,Table1[[#This Row],[Gross Yield]]*365/Table1[[#This Row],[Days Left]])</f>
        <v>0</v>
      </c>
      <c r="AF919" s="9">
        <f>+Table1[[#This Row],[Net Gain]]*Table1[[#This Row],[Ask Qty]]</f>
        <v>0</v>
      </c>
      <c r="AG919" t="str">
        <f>IF(Table1[[#This Row],[YTM]]&gt;0.12,IF(Table1[[#This Row],[Gross Profit]]&gt;10000,"Invest","Review"),"Low YTM")</f>
        <v>Low YTM</v>
      </c>
    </row>
    <row r="920" spans="1:33" x14ac:dyDescent="0.3">
      <c r="A920" t="str">
        <f>RTD("nest.scriprtd",,"bse_cm|940SCL26A","Symbol")</f>
        <v>940SCL26A</v>
      </c>
      <c r="B920" t="str">
        <f>RTD("nest.scriprtd",,"bse_cm|940SCL26A","Trading Symbol")</f>
        <v>940SCL26A</v>
      </c>
      <c r="C920" t="str">
        <f>RTD("nest.scriprtd",,"bse_cm|940SCL26A","Exchange")</f>
        <v>BSE</v>
      </c>
      <c r="D920">
        <f>RTD("nest.scriprtd",,"bse_cm|940SCL26A","Bid Qty")</f>
        <v>11</v>
      </c>
      <c r="E920">
        <f>RTD("nest.scriprtd",,"bse_cm|940SCL26A","Bid Rate")</f>
        <v>820.4</v>
      </c>
      <c r="F920">
        <f>RTD("nest.scriprtd",,"bse_cm|940SCL26A","Ask Rate")</f>
        <v>0</v>
      </c>
      <c r="G920">
        <f>RTD("nest.scriprtd",,"bse_cm|940SCL26A","Ask Qty")</f>
        <v>0</v>
      </c>
      <c r="H920">
        <f>RTD("nest.scriprtd",,"bse_cm|940SCL26A","LTP")</f>
        <v>0</v>
      </c>
      <c r="I920" t="str">
        <f>RTD("nest.scriprtd",,"bse_cm|940SCL26A","LTT")</f>
        <v>00:00:00</v>
      </c>
      <c r="J920">
        <f>RTD("nest.scriprtd",,"bse_cm|940SCL26A","% Change")</f>
        <v>-100</v>
      </c>
      <c r="K920">
        <f>RTD("nest.scriprtd",,"bse_cm|940SCL26A","ATP")</f>
        <v>0</v>
      </c>
      <c r="L920">
        <f>RTD("nest.scriprtd",,"bse_cm|940SCL26A","Volume Traded Today")</f>
        <v>0</v>
      </c>
      <c r="M920">
        <f>RTD("nest.scriprtd",,"bse_cm|940SCL26A","Open")</f>
        <v>0</v>
      </c>
      <c r="N920">
        <f>RTD("nest.scriprtd",,"bse_cm|940SCL26A","High")</f>
        <v>0</v>
      </c>
      <c r="O920">
        <f>RTD("nest.scriprtd",,"bse_cm|940SCL26A","Low ")</f>
        <v>0</v>
      </c>
      <c r="P920">
        <f>RTD("nest.scriprtd",,"bse_cm|940SCL26A","Prev Close")</f>
        <v>1000</v>
      </c>
      <c r="Q920">
        <f>RTD("nest.scriprtd",,"bse_cm|940SCL26A","Face Value")</f>
        <v>1000</v>
      </c>
      <c r="R920" t="str">
        <f>RTD("nest.scriprtd",,"bse_cm|940SCL26A","Isin code")</f>
        <v>INE148I07QH0</v>
      </c>
      <c r="S920" s="9">
        <f>Table1[[#This Row],[Ask Rate]]*Table1[[#This Row],[Ask Qty]]</f>
        <v>0</v>
      </c>
      <c r="T920">
        <f>VLOOKUP(Table1[[#This Row],[Isin code]],Table2[#All],7,FALSE)</f>
        <v>9.4</v>
      </c>
      <c r="U920" s="17" t="str">
        <f>VLOOKUP(Table1[[#This Row],[Isin code]],Table2[#All],8,FALSE)</f>
        <v>09-Nov-2026</v>
      </c>
      <c r="V920" s="10">
        <f ca="1">Table1[[#This Row],[Maturity]]-TODAY()</f>
        <v>754</v>
      </c>
      <c r="W920" t="str">
        <f>VLOOKUP(Table1[[#This Row],[Isin code]],Table2[#All],10,FALSE)</f>
        <v>Yearly</v>
      </c>
      <c r="X920">
        <f ca="1">_xlfn.DAYS(Table1[[#This Row],[Maturity]],TODAY())-15</f>
        <v>739</v>
      </c>
      <c r="Y9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20">
        <f>IF(Table1[[#This Row],[Ask Rate]]=0,0,Table1[[#This Row],[Face Value]]-Table1[[#This Row],[Ask Rate]])</f>
        <v>0</v>
      </c>
      <c r="AA920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920">
        <f ca="1">Table1[[#This Row],[Face Value]]*Table1[[#This Row],[Rate]]*Table1[[#This Row],[Time]]</f>
        <v>282</v>
      </c>
      <c r="AC920">
        <f ca="1">Table1[[#This Row],[SI]]+Table1[[#This Row],[Disc/Prem]]</f>
        <v>282</v>
      </c>
      <c r="AD920" s="3" t="e">
        <f ca="1">Table1[[#This Row],[Net Gain]]/Table1[[#This Row],[Ask Rate]]</f>
        <v>#DIV/0!</v>
      </c>
      <c r="AE920" s="3">
        <f>IF(Table1[[#This Row],[Ask Qty]]=0,0,Table1[[#This Row],[Gross Yield]]*365/Table1[[#This Row],[Days Left]])</f>
        <v>0</v>
      </c>
      <c r="AF920" s="9">
        <f ca="1">+Table1[[#This Row],[Net Gain]]*Table1[[#This Row],[Ask Qty]]</f>
        <v>0</v>
      </c>
      <c r="AG920" t="str">
        <f>IF(Table1[[#This Row],[YTM]]&gt;0.12,IF(Table1[[#This Row],[Gross Profit]]&gt;10000,"Invest","Review"),"Low YTM")</f>
        <v>Low YTM</v>
      </c>
    </row>
    <row r="921" spans="1:33" hidden="1" x14ac:dyDescent="0.3">
      <c r="A921" t="str">
        <f>RTD("nest.scriprtd",,"nse_cm|940SCL26-N6","Symbol")</f>
        <v>940SCL26</v>
      </c>
      <c r="B921" t="str">
        <f>RTD("nest.scriprtd",,"nse_cm|940SCL26-N6","Trading Symbol")</f>
        <v>940SCL26-N6</v>
      </c>
      <c r="C921" t="str">
        <f>RTD("nest.scriprtd",,"nse_cm|940SCL26-N6","Exchange")</f>
        <v>NSE</v>
      </c>
      <c r="D921">
        <f>RTD("nest.scriprtd",,"nse_cm|940SCL26-N6","Bid Qty")</f>
        <v>0</v>
      </c>
      <c r="E921">
        <f>RTD("nest.scriprtd",,"nse_cm|940SCL26-N6","Bid Rate")</f>
        <v>0</v>
      </c>
      <c r="F921">
        <f>RTD("nest.scriprtd",,"nse_cm|940SCL26-N6","Ask Rate")</f>
        <v>0</v>
      </c>
      <c r="G921">
        <f>RTD("nest.scriprtd",,"nse_cm|940SCL26-N6","Ask Qty")</f>
        <v>0</v>
      </c>
      <c r="H921">
        <f>RTD("nest.scriprtd",,"nse_cm|940SCL26-N6","LTP")</f>
        <v>0</v>
      </c>
      <c r="I921" t="str">
        <f>RTD("nest.scriprtd",,"nse_cm|940SCL26-N6","LTT")</f>
        <v/>
      </c>
      <c r="J921">
        <f>RTD("nest.scriprtd",,"nse_cm|940SCL26-N6","% Change")</f>
        <v>-100</v>
      </c>
      <c r="K921">
        <f>RTD("nest.scriprtd",,"nse_cm|940SCL26-N6","ATP")</f>
        <v>0</v>
      </c>
      <c r="L921">
        <f>RTD("nest.scriprtd",,"nse_cm|940SCL26-N6","Volume Traded Today")</f>
        <v>0</v>
      </c>
      <c r="M921">
        <f>RTD("nest.scriprtd",,"nse_cm|940SCL26-N6","Open")</f>
        <v>0</v>
      </c>
      <c r="N921">
        <f>RTD("nest.scriprtd",,"nse_cm|940SCL26-N6","High")</f>
        <v>0</v>
      </c>
      <c r="O921">
        <f>RTD("nest.scriprtd",,"nse_cm|940SCL26-N6","Low ")</f>
        <v>0</v>
      </c>
      <c r="P921">
        <f>RTD("nest.scriprtd",,"nse_cm|940SCL26-N6","Prev Close")</f>
        <v>1000</v>
      </c>
      <c r="Q921">
        <f>RTD("nest.scriprtd",,"nse_cm|940SCL26-N6","Face Value")</f>
        <v>667</v>
      </c>
      <c r="R921" t="str">
        <f>RTD("nest.scriprtd",,"nse_cm|940SCL26-N6","Isin code")</f>
        <v>INE148I07PX9</v>
      </c>
      <c r="S921" s="9">
        <f>Table1[[#This Row],[Ask Rate]]*Table1[[#This Row],[Ask Qty]]</f>
        <v>0</v>
      </c>
      <c r="T921" t="str">
        <f>VLOOKUP(Table1[[#This Row],[Isin code]],Table2[#All],7,FALSE)</f>
        <v>x</v>
      </c>
      <c r="U921" s="17" t="str">
        <f>VLOOKUP(Table1[[#This Row],[Isin code]],Table2[#All],8,FALSE)</f>
        <v>x</v>
      </c>
      <c r="V921" s="10" t="e">
        <f ca="1">Table1[[#This Row],[Maturity]]-TODAY()</f>
        <v>#VALUE!</v>
      </c>
      <c r="W921" t="str">
        <f>VLOOKUP(Table1[[#This Row],[Isin code]],Table2[#All],10,FALSE)</f>
        <v>x</v>
      </c>
      <c r="X921" t="e">
        <f ca="1">_xlfn.DAYS(Table1[[#This Row],[Maturity]],TODAY())-15</f>
        <v>#VALUE!</v>
      </c>
      <c r="Y92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21">
        <f>IF(Table1[[#This Row],[Ask Rate]]=0,0,Table1[[#This Row],[Face Value]]-Table1[[#This Row],[Ask Rate]])</f>
        <v>0</v>
      </c>
      <c r="AA92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21">
        <f>Table1[[#This Row],[Face Value]]*Table1[[#This Row],[Rate]]*Table1[[#This Row],[Time]]</f>
        <v>0</v>
      </c>
      <c r="AC921">
        <f>Table1[[#This Row],[SI]]+Table1[[#This Row],[Disc/Prem]]</f>
        <v>0</v>
      </c>
      <c r="AD921" s="3" t="e">
        <f>Table1[[#This Row],[Net Gain]]/Table1[[#This Row],[Ask Rate]]</f>
        <v>#DIV/0!</v>
      </c>
      <c r="AE921" s="3">
        <f>IF(Table1[[#This Row],[Ask Qty]]=0,0,Table1[[#This Row],[Gross Yield]]*365/Table1[[#This Row],[Days Left]])</f>
        <v>0</v>
      </c>
      <c r="AF921" s="9">
        <f>+Table1[[#This Row],[Net Gain]]*Table1[[#This Row],[Ask Qty]]</f>
        <v>0</v>
      </c>
      <c r="AG921" t="str">
        <f>IF(Table1[[#This Row],[YTM]]&gt;0.12,IF(Table1[[#This Row],[Gross Profit]]&gt;10000,"Invest","Review"),"Low YTM")</f>
        <v>Low YTM</v>
      </c>
    </row>
    <row r="922" spans="1:33" x14ac:dyDescent="0.3">
      <c r="A922" t="str">
        <f>RTD("nest.scriprtd",,"nse_cm|850SCL25-YL","Symbol")</f>
        <v>850SCL25</v>
      </c>
      <c r="B922" t="str">
        <f>RTD("nest.scriprtd",,"nse_cm|850SCL25-YL","Trading Symbol")</f>
        <v>850SCL25-YL</v>
      </c>
      <c r="C922" t="str">
        <f>RTD("nest.scriprtd",,"nse_cm|850SCL25-YL","Exchange")</f>
        <v>NSE</v>
      </c>
      <c r="D922">
        <f>RTD("nest.scriprtd",,"nse_cm|850SCL25-YL","Bid Qty")</f>
        <v>20</v>
      </c>
      <c r="E922">
        <f>RTD("nest.scriprtd",,"nse_cm|850SCL25-YL","Bid Rate")</f>
        <v>830.2</v>
      </c>
      <c r="F922">
        <f>RTD("nest.scriprtd",,"nse_cm|850SCL25-YL","Ask Rate")</f>
        <v>0</v>
      </c>
      <c r="G922">
        <f>RTD("nest.scriprtd",,"nse_cm|850SCL25-YL","Ask Qty")</f>
        <v>0</v>
      </c>
      <c r="H922">
        <f>RTD("nest.scriprtd",,"nse_cm|850SCL25-YL","LTP")</f>
        <v>0</v>
      </c>
      <c r="I922" t="str">
        <f>RTD("nest.scriprtd",,"nse_cm|850SCL25-YL","LTT")</f>
        <v/>
      </c>
      <c r="J922">
        <f>RTD("nest.scriprtd",,"nse_cm|850SCL25-YL","% Change")</f>
        <v>-100</v>
      </c>
      <c r="K922">
        <f>RTD("nest.scriprtd",,"nse_cm|850SCL25-YL","ATP")</f>
        <v>0</v>
      </c>
      <c r="L922">
        <f>RTD("nest.scriprtd",,"nse_cm|850SCL25-YL","Volume Traded Today")</f>
        <v>0</v>
      </c>
      <c r="M922">
        <f>RTD("nest.scriprtd",,"nse_cm|850SCL25-YL","Open")</f>
        <v>0</v>
      </c>
      <c r="N922">
        <f>RTD("nest.scriprtd",,"nse_cm|850SCL25-YL","High")</f>
        <v>0</v>
      </c>
      <c r="O922">
        <f>RTD("nest.scriprtd",,"nse_cm|850SCL25-YL","Low ")</f>
        <v>0</v>
      </c>
      <c r="P922">
        <f>RTD("nest.scriprtd",,"nse_cm|850SCL25-YL","Prev Close")</f>
        <v>1000</v>
      </c>
      <c r="Q922">
        <f>RTD("nest.scriprtd",,"nse_cm|850SCL25-YL","Face Value")</f>
        <v>1000</v>
      </c>
      <c r="R922" t="str">
        <f>RTD("nest.scriprtd",,"nse_cm|850SCL25-YL","Isin code")</f>
        <v>INE148I07LM1</v>
      </c>
      <c r="S922" s="9">
        <f>Table1[[#This Row],[Ask Rate]]*Table1[[#This Row],[Ask Qty]]</f>
        <v>0</v>
      </c>
      <c r="T922">
        <f>VLOOKUP(Table1[[#This Row],[Isin code]],Table2[#All],7,FALSE)</f>
        <v>8.5</v>
      </c>
      <c r="U922" s="17" t="str">
        <f>VLOOKUP(Table1[[#This Row],[Isin code]],Table2[#All],8,FALSE)</f>
        <v>28-Apr-2025</v>
      </c>
      <c r="V922" s="10">
        <f ca="1">Table1[[#This Row],[Maturity]]-TODAY()</f>
        <v>194</v>
      </c>
      <c r="W922" t="str">
        <f>VLOOKUP(Table1[[#This Row],[Isin code]],Table2[#All],10,FALSE)</f>
        <v>Yearly</v>
      </c>
      <c r="X922">
        <f ca="1">_xlfn.DAYS(Table1[[#This Row],[Maturity]],TODAY())-15</f>
        <v>179</v>
      </c>
      <c r="Y9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22">
        <f>IF(Table1[[#This Row],[Ask Rate]]=0,0,Table1[[#This Row],[Face Value]]-Table1[[#This Row],[Ask Rate]])</f>
        <v>0</v>
      </c>
      <c r="AA922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922">
        <f ca="1">Table1[[#This Row],[Face Value]]*Table1[[#This Row],[Rate]]*Table1[[#This Row],[Time]]</f>
        <v>85</v>
      </c>
      <c r="AC922">
        <f ca="1">Table1[[#This Row],[SI]]+Table1[[#This Row],[Disc/Prem]]</f>
        <v>85</v>
      </c>
      <c r="AD922" s="3" t="e">
        <f ca="1">Table1[[#This Row],[Net Gain]]/Table1[[#This Row],[Ask Rate]]</f>
        <v>#DIV/0!</v>
      </c>
      <c r="AE922" s="3">
        <f>IF(Table1[[#This Row],[Ask Qty]]=0,0,Table1[[#This Row],[Gross Yield]]*365/Table1[[#This Row],[Days Left]])</f>
        <v>0</v>
      </c>
      <c r="AF922" s="9">
        <f ca="1">+Table1[[#This Row],[Net Gain]]*Table1[[#This Row],[Ask Qty]]</f>
        <v>0</v>
      </c>
      <c r="AG922" t="str">
        <f>IF(Table1[[#This Row],[YTM]]&gt;0.12,IF(Table1[[#This Row],[Gross Profit]]&gt;10000,"Invest","Review"),"Low YTM")</f>
        <v>Low YTM</v>
      </c>
    </row>
    <row r="923" spans="1:33" x14ac:dyDescent="0.3">
      <c r="A923" t="str">
        <f>RTD("nest.scriprtd",,"bse_cm|850SCL25","Symbol")</f>
        <v>850SCL25</v>
      </c>
      <c r="B923" t="str">
        <f>RTD("nest.scriprtd",,"bse_cm|850SCL25","Trading Symbol")</f>
        <v>850SCL25</v>
      </c>
      <c r="C923" t="str">
        <f>RTD("nest.scriprtd",,"bse_cm|850SCL25","Exchange")</f>
        <v>BSE</v>
      </c>
      <c r="D923">
        <f>RTD("nest.scriprtd",,"bse_cm|850SCL25","Bid Qty")</f>
        <v>20</v>
      </c>
      <c r="E923">
        <f>RTD("nest.scriprtd",,"bse_cm|850SCL25","Bid Rate")</f>
        <v>832.2</v>
      </c>
      <c r="F923">
        <f>RTD("nest.scriprtd",,"bse_cm|850SCL25","Ask Rate")</f>
        <v>0</v>
      </c>
      <c r="G923">
        <f>RTD("nest.scriprtd",,"bse_cm|850SCL25","Ask Qty")</f>
        <v>0</v>
      </c>
      <c r="H923">
        <f>RTD("nest.scriprtd",,"bse_cm|850SCL25","LTP")</f>
        <v>0</v>
      </c>
      <c r="I923" t="str">
        <f>RTD("nest.scriprtd",,"bse_cm|850SCL25","LTT")</f>
        <v>00:00:00</v>
      </c>
      <c r="J923">
        <f>RTD("nest.scriprtd",,"bse_cm|850SCL25","% Change")</f>
        <v>-100</v>
      </c>
      <c r="K923">
        <f>RTD("nest.scriprtd",,"bse_cm|850SCL25","ATP")</f>
        <v>0</v>
      </c>
      <c r="L923">
        <f>RTD("nest.scriprtd",,"bse_cm|850SCL25","Volume Traded Today")</f>
        <v>0</v>
      </c>
      <c r="M923">
        <f>RTD("nest.scriprtd",,"bse_cm|850SCL25","Open")</f>
        <v>0</v>
      </c>
      <c r="N923">
        <f>RTD("nest.scriprtd",,"bse_cm|850SCL25","High")</f>
        <v>0</v>
      </c>
      <c r="O923">
        <f>RTD("nest.scriprtd",,"bse_cm|850SCL25","Low ")</f>
        <v>0</v>
      </c>
      <c r="P923">
        <f>RTD("nest.scriprtd",,"bse_cm|850SCL25","Prev Close")</f>
        <v>1000</v>
      </c>
      <c r="Q923">
        <f>RTD("nest.scriprtd",,"bse_cm|850SCL25","Face Value")</f>
        <v>1000</v>
      </c>
      <c r="R923" t="str">
        <f>RTD("nest.scriprtd",,"bse_cm|850SCL25","Isin code")</f>
        <v>INE148I07LM1</v>
      </c>
      <c r="S923" s="9">
        <f>Table1[[#This Row],[Ask Rate]]*Table1[[#This Row],[Ask Qty]]</f>
        <v>0</v>
      </c>
      <c r="T923">
        <f>VLOOKUP(Table1[[#This Row],[Isin code]],Table2[#All],7,FALSE)</f>
        <v>8.5</v>
      </c>
      <c r="U923" s="17" t="str">
        <f>VLOOKUP(Table1[[#This Row],[Isin code]],Table2[#All],8,FALSE)</f>
        <v>28-Apr-2025</v>
      </c>
      <c r="V923" s="10">
        <f ca="1">Table1[[#This Row],[Maturity]]-TODAY()</f>
        <v>194</v>
      </c>
      <c r="W923" t="str">
        <f>VLOOKUP(Table1[[#This Row],[Isin code]],Table2[#All],10,FALSE)</f>
        <v>Yearly</v>
      </c>
      <c r="X923">
        <f ca="1">_xlfn.DAYS(Table1[[#This Row],[Maturity]],TODAY())-15</f>
        <v>179</v>
      </c>
      <c r="Y9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23">
        <f>IF(Table1[[#This Row],[Ask Rate]]=0,0,Table1[[#This Row],[Face Value]]-Table1[[#This Row],[Ask Rate]])</f>
        <v>0</v>
      </c>
      <c r="AA923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923">
        <f ca="1">Table1[[#This Row],[Face Value]]*Table1[[#This Row],[Rate]]*Table1[[#This Row],[Time]]</f>
        <v>85</v>
      </c>
      <c r="AC923">
        <f ca="1">Table1[[#This Row],[SI]]+Table1[[#This Row],[Disc/Prem]]</f>
        <v>85</v>
      </c>
      <c r="AD923" s="3" t="e">
        <f ca="1">Table1[[#This Row],[Net Gain]]/Table1[[#This Row],[Ask Rate]]</f>
        <v>#DIV/0!</v>
      </c>
      <c r="AE923" s="3">
        <f>IF(Table1[[#This Row],[Ask Qty]]=0,0,Table1[[#This Row],[Gross Yield]]*365/Table1[[#This Row],[Days Left]])</f>
        <v>0</v>
      </c>
      <c r="AF923" s="9">
        <f ca="1">+Table1[[#This Row],[Net Gain]]*Table1[[#This Row],[Ask Qty]]</f>
        <v>0</v>
      </c>
      <c r="AG923" t="str">
        <f>IF(Table1[[#This Row],[YTM]]&gt;0.12,IF(Table1[[#This Row],[Gross Profit]]&gt;10000,"Invest","Review"),"Low YTM")</f>
        <v>Low YTM</v>
      </c>
    </row>
    <row r="924" spans="1:33" hidden="1" x14ac:dyDescent="0.3">
      <c r="A924" t="str">
        <f>RTD("nest.scriprtd",,"nse_cm|850SCFL25-Y4","Symbol")</f>
        <v>850SCFL25</v>
      </c>
      <c r="B924" t="str">
        <f>RTD("nest.scriprtd",,"nse_cm|850SCFL25-Y4","Trading Symbol")</f>
        <v>850SCFL25-Y4</v>
      </c>
      <c r="C924" t="str">
        <f>RTD("nest.scriprtd",,"nse_cm|850SCFL25-Y4","Exchange")</f>
        <v>NSE</v>
      </c>
      <c r="D924">
        <f>RTD("nest.scriprtd",,"nse_cm|850SCFL25-Y4","Bid Qty")</f>
        <v>13</v>
      </c>
      <c r="E924">
        <f>RTD("nest.scriprtd",,"nse_cm|850SCFL25-Y4","Bid Rate")</f>
        <v>822.2</v>
      </c>
      <c r="F924">
        <f>RTD("nest.scriprtd",,"nse_cm|850SCFL25-Y4","Ask Rate")</f>
        <v>0</v>
      </c>
      <c r="G924">
        <f>RTD("nest.scriprtd",,"nse_cm|850SCFL25-Y4","Ask Qty")</f>
        <v>0</v>
      </c>
      <c r="H924">
        <f>RTD("nest.scriprtd",,"nse_cm|850SCFL25-Y4","LTP")</f>
        <v>0</v>
      </c>
      <c r="I924" t="str">
        <f>RTD("nest.scriprtd",,"nse_cm|850SCFL25-Y4","LTT")</f>
        <v/>
      </c>
      <c r="J924">
        <f>RTD("nest.scriprtd",,"nse_cm|850SCFL25-Y4","% Change")</f>
        <v>-100</v>
      </c>
      <c r="K924">
        <f>RTD("nest.scriprtd",,"nse_cm|850SCFL25-Y4","ATP")</f>
        <v>0</v>
      </c>
      <c r="L924">
        <f>RTD("nest.scriprtd",,"nse_cm|850SCFL25-Y4","Volume Traded Today")</f>
        <v>0</v>
      </c>
      <c r="M924">
        <f>RTD("nest.scriprtd",,"nse_cm|850SCFL25-Y4","Open")</f>
        <v>0</v>
      </c>
      <c r="N924">
        <f>RTD("nest.scriprtd",,"nse_cm|850SCFL25-Y4","High")</f>
        <v>0</v>
      </c>
      <c r="O924">
        <f>RTD("nest.scriprtd",,"nse_cm|850SCFL25-Y4","Low ")</f>
        <v>0</v>
      </c>
      <c r="P924">
        <f>RTD("nest.scriprtd",,"nse_cm|850SCFL25-Y4","Prev Close")</f>
        <v>1000</v>
      </c>
      <c r="Q924">
        <f>RTD("nest.scriprtd",,"nse_cm|850SCFL25-Y4","Face Value")</f>
        <v>1000</v>
      </c>
      <c r="R924" t="str">
        <f>RTD("nest.scriprtd",,"nse_cm|850SCFL25-Y4","Isin code")</f>
        <v>INE148I07KW2</v>
      </c>
      <c r="S924" s="9">
        <f>Table1[[#This Row],[Ask Rate]]*Table1[[#This Row],[Ask Qty]]</f>
        <v>0</v>
      </c>
      <c r="T924">
        <f>VLOOKUP(Table1[[#This Row],[Isin code]],Table2[#All],7,FALSE)</f>
        <v>8.5</v>
      </c>
      <c r="U924" s="17" t="str">
        <f>VLOOKUP(Table1[[#This Row],[Isin code]],Table2[#All],8,FALSE)</f>
        <v>06-Jan-2025</v>
      </c>
      <c r="V924" s="10">
        <f ca="1">Table1[[#This Row],[Maturity]]-TODAY()</f>
        <v>82</v>
      </c>
      <c r="W924" t="str">
        <f>VLOOKUP(Table1[[#This Row],[Isin code]],Table2[#All],10,FALSE)</f>
        <v>Yearly</v>
      </c>
      <c r="X924">
        <f ca="1">_xlfn.DAYS(Table1[[#This Row],[Maturity]],TODAY())-15</f>
        <v>67</v>
      </c>
      <c r="Y9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24">
        <f>IF(Table1[[#This Row],[Ask Rate]]=0,0,Table1[[#This Row],[Face Value]]-Table1[[#This Row],[Ask Rate]])</f>
        <v>0</v>
      </c>
      <c r="AA924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924">
        <f ca="1">Table1[[#This Row],[Face Value]]*Table1[[#This Row],[Rate]]*Table1[[#This Row],[Time]]</f>
        <v>85</v>
      </c>
      <c r="AC924">
        <f ca="1">Table1[[#This Row],[SI]]+Table1[[#This Row],[Disc/Prem]]</f>
        <v>85</v>
      </c>
      <c r="AD924" s="3" t="e">
        <f ca="1">Table1[[#This Row],[Net Gain]]/Table1[[#This Row],[Ask Rate]]</f>
        <v>#DIV/0!</v>
      </c>
      <c r="AE924" s="3">
        <f>IF(Table1[[#This Row],[Ask Qty]]=0,0,Table1[[#This Row],[Gross Yield]]*365/Table1[[#This Row],[Days Left]])</f>
        <v>0</v>
      </c>
      <c r="AF924" s="9">
        <f ca="1">+Table1[[#This Row],[Net Gain]]*Table1[[#This Row],[Ask Qty]]</f>
        <v>0</v>
      </c>
      <c r="AG924" t="str">
        <f>IF(Table1[[#This Row],[YTM]]&gt;0.12,IF(Table1[[#This Row],[Gross Profit]]&gt;10000,"Invest","Review"),"Low YTM")</f>
        <v>Low YTM</v>
      </c>
    </row>
    <row r="925" spans="1:33" x14ac:dyDescent="0.3">
      <c r="A925" t="str">
        <f>RTD("nest.scriprtd",,"bse_cm|820SCL25","Symbol")</f>
        <v>820SCL25</v>
      </c>
      <c r="B925" t="str">
        <f>RTD("nest.scriprtd",,"bse_cm|820SCL25","Trading Symbol")</f>
        <v>820SCL25</v>
      </c>
      <c r="C925" t="str">
        <f>RTD("nest.scriprtd",,"bse_cm|820SCL25","Exchange")</f>
        <v>BSE</v>
      </c>
      <c r="D925">
        <f>RTD("nest.scriprtd",,"bse_cm|820SCL25","Bid Qty")</f>
        <v>5</v>
      </c>
      <c r="E925">
        <f>RTD("nest.scriprtd",,"bse_cm|820SCL25","Bid Rate")</f>
        <v>815.7</v>
      </c>
      <c r="F925">
        <f>RTD("nest.scriprtd",,"bse_cm|820SCL25","Ask Rate")</f>
        <v>0</v>
      </c>
      <c r="G925">
        <f>RTD("nest.scriprtd",,"bse_cm|820SCL25","Ask Qty")</f>
        <v>0</v>
      </c>
      <c r="H925">
        <f>RTD("nest.scriprtd",,"bse_cm|820SCL25","LTP")</f>
        <v>0</v>
      </c>
      <c r="I925" t="str">
        <f>RTD("nest.scriprtd",,"bse_cm|820SCL25","LTT")</f>
        <v>00:00:00</v>
      </c>
      <c r="J925">
        <f>RTD("nest.scriprtd",,"bse_cm|820SCL25","% Change")</f>
        <v>-100</v>
      </c>
      <c r="K925">
        <f>RTD("nest.scriprtd",,"bse_cm|820SCL25","ATP")</f>
        <v>0</v>
      </c>
      <c r="L925">
        <f>RTD("nest.scriprtd",,"bse_cm|820SCL25","Volume Traded Today")</f>
        <v>0</v>
      </c>
      <c r="M925">
        <f>RTD("nest.scriprtd",,"bse_cm|820SCL25","Open")</f>
        <v>0</v>
      </c>
      <c r="N925">
        <f>RTD("nest.scriprtd",,"bse_cm|820SCL25","High")</f>
        <v>0</v>
      </c>
      <c r="O925">
        <f>RTD("nest.scriprtd",,"bse_cm|820SCL25","Low ")</f>
        <v>0</v>
      </c>
      <c r="P925">
        <f>RTD("nest.scriprtd",,"bse_cm|820SCL25","Prev Close")</f>
        <v>1000</v>
      </c>
      <c r="Q925">
        <f>RTD("nest.scriprtd",,"bse_cm|820SCL25","Face Value")</f>
        <v>1000</v>
      </c>
      <c r="R925" t="str">
        <f>RTD("nest.scriprtd",,"bse_cm|820SCL25","Isin code")</f>
        <v>INE148I07LQ2</v>
      </c>
      <c r="S925" s="9">
        <f>Table1[[#This Row],[Ask Rate]]*Table1[[#This Row],[Ask Qty]]</f>
        <v>0</v>
      </c>
      <c r="T925">
        <f>VLOOKUP(Table1[[#This Row],[Isin code]],Table2[#All],7,FALSE)</f>
        <v>8.1999999999999993</v>
      </c>
      <c r="U925" s="17" t="str">
        <f>VLOOKUP(Table1[[#This Row],[Isin code]],Table2[#All],8,FALSE)</f>
        <v>28-Apr-2025</v>
      </c>
      <c r="V925" s="10">
        <f ca="1">Table1[[#This Row],[Maturity]]-TODAY()</f>
        <v>194</v>
      </c>
      <c r="W925" t="str">
        <f>VLOOKUP(Table1[[#This Row],[Isin code]],Table2[#All],10,FALSE)</f>
        <v>Monthly</v>
      </c>
      <c r="X925">
        <f ca="1">_xlfn.DAYS(Table1[[#This Row],[Maturity]],TODAY())-15</f>
        <v>179</v>
      </c>
      <c r="Y9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925">
        <f>IF(Table1[[#This Row],[Ask Rate]]=0,0,Table1[[#This Row],[Face Value]]-Table1[[#This Row],[Ask Rate]])</f>
        <v>0</v>
      </c>
      <c r="AA925">
        <f>IF(Table1[[#This Row],[Freq]]="Yearly",Table1[[#This Row],[Coupon_Rate]]/100,IF(Table1[[#This Row],[Freq]]="Monthly",Table1[[#This Row],[Coupon_Rate]]/1200,IF(Table1[[#This Row],[Freq]]="Quarterly",Table1[[#This Row],[Coupon_Rate]]/400,0)))</f>
        <v>6.8333333333333328E-3</v>
      </c>
      <c r="AB925">
        <f ca="1">Table1[[#This Row],[Face Value]]*Table1[[#This Row],[Rate]]*Table1[[#This Row],[Time]]</f>
        <v>41</v>
      </c>
      <c r="AC925">
        <f ca="1">Table1[[#This Row],[SI]]+Table1[[#This Row],[Disc/Prem]]</f>
        <v>41</v>
      </c>
      <c r="AD925" s="3" t="e">
        <f ca="1">Table1[[#This Row],[Net Gain]]/Table1[[#This Row],[Ask Rate]]</f>
        <v>#DIV/0!</v>
      </c>
      <c r="AE925" s="3">
        <f>IF(Table1[[#This Row],[Ask Qty]]=0,0,Table1[[#This Row],[Gross Yield]]*365/Table1[[#This Row],[Days Left]])</f>
        <v>0</v>
      </c>
      <c r="AF925" s="9">
        <f ca="1">+Table1[[#This Row],[Net Gain]]*Table1[[#This Row],[Ask Qty]]</f>
        <v>0</v>
      </c>
      <c r="AG925" t="str">
        <f>IF(Table1[[#This Row],[YTM]]&gt;0.12,IF(Table1[[#This Row],[Gross Profit]]&gt;10000,"Invest","Review"),"Low YTM")</f>
        <v>Low YTM</v>
      </c>
    </row>
    <row r="926" spans="1:33" hidden="1" x14ac:dyDescent="0.3">
      <c r="A926" t="str">
        <f>RTD("nest.scriprtd",,"nse_cm|820SCFL25-Y7","Symbol")</f>
        <v>820SCFL25</v>
      </c>
      <c r="B926" t="str">
        <f>RTD("nest.scriprtd",,"nse_cm|820SCFL25-Y7","Trading Symbol")</f>
        <v>820SCFL25-Y7</v>
      </c>
      <c r="C926" t="str">
        <f>RTD("nest.scriprtd",,"nse_cm|820SCFL25-Y7","Exchange")</f>
        <v>NSE</v>
      </c>
      <c r="D926">
        <f>RTD("nest.scriprtd",,"nse_cm|820SCFL25-Y7","Bid Qty")</f>
        <v>20</v>
      </c>
      <c r="E926">
        <f>RTD("nest.scriprtd",,"nse_cm|820SCFL25-Y7","Bid Rate")</f>
        <v>818.2</v>
      </c>
      <c r="F926">
        <f>RTD("nest.scriprtd",,"nse_cm|820SCFL25-Y7","Ask Rate")</f>
        <v>0</v>
      </c>
      <c r="G926">
        <f>RTD("nest.scriprtd",,"nse_cm|820SCFL25-Y7","Ask Qty")</f>
        <v>0</v>
      </c>
      <c r="H926">
        <f>RTD("nest.scriprtd",,"nse_cm|820SCFL25-Y7","LTP")</f>
        <v>0</v>
      </c>
      <c r="I926" t="str">
        <f>RTD("nest.scriprtd",,"nse_cm|820SCFL25-Y7","LTT")</f>
        <v/>
      </c>
      <c r="J926">
        <f>RTD("nest.scriprtd",,"nse_cm|820SCFL25-Y7","% Change")</f>
        <v>-100</v>
      </c>
      <c r="K926">
        <f>RTD("nest.scriprtd",,"nse_cm|820SCFL25-Y7","ATP")</f>
        <v>0</v>
      </c>
      <c r="L926">
        <f>RTD("nest.scriprtd",,"nse_cm|820SCFL25-Y7","Volume Traded Today")</f>
        <v>0</v>
      </c>
      <c r="M926">
        <f>RTD("nest.scriprtd",,"nse_cm|820SCFL25-Y7","Open")</f>
        <v>0</v>
      </c>
      <c r="N926">
        <f>RTD("nest.scriprtd",,"nse_cm|820SCFL25-Y7","High")</f>
        <v>0</v>
      </c>
      <c r="O926">
        <f>RTD("nest.scriprtd",,"nse_cm|820SCFL25-Y7","Low ")</f>
        <v>0</v>
      </c>
      <c r="P926">
        <f>RTD("nest.scriprtd",,"nse_cm|820SCFL25-Y7","Prev Close")</f>
        <v>1000</v>
      </c>
      <c r="Q926">
        <f>RTD("nest.scriprtd",,"nse_cm|820SCFL25-Y7","Face Value")</f>
        <v>1000</v>
      </c>
      <c r="R926" t="str">
        <f>RTD("nest.scriprtd",,"nse_cm|820SCFL25-Y7","Isin code")</f>
        <v>INE148I07KZ5</v>
      </c>
      <c r="S926" s="9">
        <f>Table1[[#This Row],[Ask Rate]]*Table1[[#This Row],[Ask Qty]]</f>
        <v>0</v>
      </c>
      <c r="T926">
        <f>VLOOKUP(Table1[[#This Row],[Isin code]],Table2[#All],7,FALSE)</f>
        <v>8.1999999999999993</v>
      </c>
      <c r="U926" s="17" t="str">
        <f>VLOOKUP(Table1[[#This Row],[Isin code]],Table2[#All],8,FALSE)</f>
        <v>06-Jan-2025</v>
      </c>
      <c r="V926" s="10">
        <f ca="1">Table1[[#This Row],[Maturity]]-TODAY()</f>
        <v>82</v>
      </c>
      <c r="W926" t="str">
        <f>VLOOKUP(Table1[[#This Row],[Isin code]],Table2[#All],10,FALSE)</f>
        <v>Monthly</v>
      </c>
      <c r="X926">
        <f ca="1">_xlfn.DAYS(Table1[[#This Row],[Maturity]],TODAY())-15</f>
        <v>67</v>
      </c>
      <c r="Y9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26">
        <f>IF(Table1[[#This Row],[Ask Rate]]=0,0,Table1[[#This Row],[Face Value]]-Table1[[#This Row],[Ask Rate]])</f>
        <v>0</v>
      </c>
      <c r="AA926">
        <f>IF(Table1[[#This Row],[Freq]]="Yearly",Table1[[#This Row],[Coupon_Rate]]/100,IF(Table1[[#This Row],[Freq]]="Monthly",Table1[[#This Row],[Coupon_Rate]]/1200,IF(Table1[[#This Row],[Freq]]="Quarterly",Table1[[#This Row],[Coupon_Rate]]/400,0)))</f>
        <v>6.8333333333333328E-3</v>
      </c>
      <c r="AB926">
        <f ca="1">Table1[[#This Row],[Face Value]]*Table1[[#This Row],[Rate]]*Table1[[#This Row],[Time]]</f>
        <v>20.5</v>
      </c>
      <c r="AC926">
        <f ca="1">Table1[[#This Row],[SI]]+Table1[[#This Row],[Disc/Prem]]</f>
        <v>20.5</v>
      </c>
      <c r="AD926" s="3" t="e">
        <f ca="1">Table1[[#This Row],[Net Gain]]/Table1[[#This Row],[Ask Rate]]</f>
        <v>#DIV/0!</v>
      </c>
      <c r="AE926" s="3">
        <f>IF(Table1[[#This Row],[Ask Qty]]=0,0,Table1[[#This Row],[Gross Yield]]*365/Table1[[#This Row],[Days Left]])</f>
        <v>0</v>
      </c>
      <c r="AF926" s="9">
        <f ca="1">+Table1[[#This Row],[Net Gain]]*Table1[[#This Row],[Ask Qty]]</f>
        <v>0</v>
      </c>
      <c r="AG926" t="str">
        <f>IF(Table1[[#This Row],[YTM]]&gt;0.12,IF(Table1[[#This Row],[Gross Profit]]&gt;10000,"Invest","Review"),"Low YTM")</f>
        <v>Low YTM</v>
      </c>
    </row>
    <row r="927" spans="1:33" x14ac:dyDescent="0.3">
      <c r="A927" t="str">
        <f>RTD("nest.scriprtd",,"nse_cm|875SCFL27-Y9","Symbol")</f>
        <v>875SCFL27</v>
      </c>
      <c r="B927" t="str">
        <f>RTD("nest.scriprtd",,"nse_cm|875SCFL27-Y9","Trading Symbol")</f>
        <v>875SCFL27-Y9</v>
      </c>
      <c r="C927" t="str">
        <f>RTD("nest.scriprtd",,"nse_cm|875SCFL27-Y9","Exchange")</f>
        <v>NSE</v>
      </c>
      <c r="D927">
        <f>RTD("nest.scriprtd",,"nse_cm|875SCFL27-Y9","Bid Qty")</f>
        <v>20</v>
      </c>
      <c r="E927">
        <f>RTD("nest.scriprtd",,"nse_cm|875SCFL27-Y9","Bid Rate")</f>
        <v>820.2</v>
      </c>
      <c r="F927">
        <f>RTD("nest.scriprtd",,"nse_cm|875SCFL27-Y9","Ask Rate")</f>
        <v>0</v>
      </c>
      <c r="G927">
        <f>RTD("nest.scriprtd",,"nse_cm|875SCFL27-Y9","Ask Qty")</f>
        <v>0</v>
      </c>
      <c r="H927">
        <f>RTD("nest.scriprtd",,"nse_cm|875SCFL27-Y9","LTP")</f>
        <v>0</v>
      </c>
      <c r="I927" t="str">
        <f>RTD("nest.scriprtd",,"nse_cm|875SCFL27-Y9","LTT")</f>
        <v/>
      </c>
      <c r="J927">
        <f>RTD("nest.scriprtd",,"nse_cm|875SCFL27-Y9","% Change")</f>
        <v>-100</v>
      </c>
      <c r="K927">
        <f>RTD("nest.scriprtd",,"nse_cm|875SCFL27-Y9","ATP")</f>
        <v>0</v>
      </c>
      <c r="L927">
        <f>RTD("nest.scriprtd",,"nse_cm|875SCFL27-Y9","Volume Traded Today")</f>
        <v>0</v>
      </c>
      <c r="M927">
        <f>RTD("nest.scriprtd",,"nse_cm|875SCFL27-Y9","Open")</f>
        <v>0</v>
      </c>
      <c r="N927">
        <f>RTD("nest.scriprtd",,"nse_cm|875SCFL27-Y9","High")</f>
        <v>0</v>
      </c>
      <c r="O927">
        <f>RTD("nest.scriprtd",,"nse_cm|875SCFL27-Y9","Low ")</f>
        <v>0</v>
      </c>
      <c r="P927">
        <f>RTD("nest.scriprtd",,"nse_cm|875SCFL27-Y9","Prev Close")</f>
        <v>1000</v>
      </c>
      <c r="Q927">
        <f>RTD("nest.scriprtd",,"nse_cm|875SCFL27-Y9","Face Value")</f>
        <v>1000</v>
      </c>
      <c r="R927" t="str">
        <f>RTD("nest.scriprtd",,"nse_cm|875SCFL27-Y9","Isin code")</f>
        <v>INE148I07LB4</v>
      </c>
      <c r="S927" s="9">
        <f>Table1[[#This Row],[Ask Rate]]*Table1[[#This Row],[Ask Qty]]</f>
        <v>0</v>
      </c>
      <c r="T927">
        <f>VLOOKUP(Table1[[#This Row],[Isin code]],Table2[#All],7,FALSE)</f>
        <v>8.75</v>
      </c>
      <c r="U927" s="17" t="str">
        <f>VLOOKUP(Table1[[#This Row],[Isin code]],Table2[#All],8,FALSE)</f>
        <v>06-Jan-2027</v>
      </c>
      <c r="V927" s="10">
        <f ca="1">Table1[[#This Row],[Maturity]]-TODAY()</f>
        <v>812</v>
      </c>
      <c r="W927" t="str">
        <f>VLOOKUP(Table1[[#This Row],[Isin code]],Table2[#All],10,FALSE)</f>
        <v>Yearly</v>
      </c>
      <c r="X927">
        <f ca="1">_xlfn.DAYS(Table1[[#This Row],[Maturity]],TODAY())-15</f>
        <v>797</v>
      </c>
      <c r="Y9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27">
        <f>IF(Table1[[#This Row],[Ask Rate]]=0,0,Table1[[#This Row],[Face Value]]-Table1[[#This Row],[Ask Rate]])</f>
        <v>0</v>
      </c>
      <c r="AA927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927">
        <f ca="1">Table1[[#This Row],[Face Value]]*Table1[[#This Row],[Rate]]*Table1[[#This Row],[Time]]</f>
        <v>262.5</v>
      </c>
      <c r="AC927">
        <f ca="1">Table1[[#This Row],[SI]]+Table1[[#This Row],[Disc/Prem]]</f>
        <v>262.5</v>
      </c>
      <c r="AD927" s="3" t="e">
        <f ca="1">Table1[[#This Row],[Net Gain]]/Table1[[#This Row],[Ask Rate]]</f>
        <v>#DIV/0!</v>
      </c>
      <c r="AE927" s="3">
        <f>IF(Table1[[#This Row],[Ask Qty]]=0,0,Table1[[#This Row],[Gross Yield]]*365/Table1[[#This Row],[Days Left]])</f>
        <v>0</v>
      </c>
      <c r="AF927" s="9">
        <f ca="1">+Table1[[#This Row],[Net Gain]]*Table1[[#This Row],[Ask Qty]]</f>
        <v>0</v>
      </c>
      <c r="AG927" t="str">
        <f>IF(Table1[[#This Row],[YTM]]&gt;0.12,IF(Table1[[#This Row],[Gross Profit]]&gt;10000,"Invest","Review"),"Low YTM")</f>
        <v>Low YTM</v>
      </c>
    </row>
    <row r="928" spans="1:33" x14ac:dyDescent="0.3">
      <c r="A928" t="str">
        <f>RTD("nest.scriprtd",,"bse_cm|843SCL27","Symbol")</f>
        <v>843SCL27</v>
      </c>
      <c r="B928" t="str">
        <f>RTD("nest.scriprtd",,"bse_cm|843SCL27","Trading Symbol")</f>
        <v>843SCL27</v>
      </c>
      <c r="C928" t="str">
        <f>RTD("nest.scriprtd",,"bse_cm|843SCL27","Exchange")</f>
        <v>BSE</v>
      </c>
      <c r="D928">
        <f>RTD("nest.scriprtd",,"bse_cm|843SCL27","Bid Qty")</f>
        <v>4</v>
      </c>
      <c r="E928">
        <f>RTD("nest.scriprtd",,"bse_cm|843SCL27","Bid Rate")</f>
        <v>815.9</v>
      </c>
      <c r="F928">
        <f>RTD("nest.scriprtd",,"bse_cm|843SCL27","Ask Rate")</f>
        <v>0</v>
      </c>
      <c r="G928">
        <f>RTD("nest.scriprtd",,"bse_cm|843SCL27","Ask Qty")</f>
        <v>0</v>
      </c>
      <c r="H928">
        <f>RTD("nest.scriprtd",,"bse_cm|843SCL27","LTP")</f>
        <v>0</v>
      </c>
      <c r="I928" t="str">
        <f>RTD("nest.scriprtd",,"bse_cm|843SCL27","LTT")</f>
        <v>00:00:00</v>
      </c>
      <c r="J928">
        <f>RTD("nest.scriprtd",,"bse_cm|843SCL27","% Change")</f>
        <v>-100</v>
      </c>
      <c r="K928">
        <f>RTD("nest.scriprtd",,"bse_cm|843SCL27","ATP")</f>
        <v>0</v>
      </c>
      <c r="L928">
        <f>RTD("nest.scriprtd",,"bse_cm|843SCL27","Volume Traded Today")</f>
        <v>0</v>
      </c>
      <c r="M928">
        <f>RTD("nest.scriprtd",,"bse_cm|843SCL27","Open")</f>
        <v>0</v>
      </c>
      <c r="N928">
        <f>RTD("nest.scriprtd",,"bse_cm|843SCL27","High")</f>
        <v>1179.8</v>
      </c>
      <c r="O928">
        <f>RTD("nest.scriprtd",,"bse_cm|843SCL27","Low ")</f>
        <v>849.4</v>
      </c>
      <c r="P928">
        <f>RTD("nest.scriprtd",,"bse_cm|843SCL27","Prev Close")</f>
        <v>849.4</v>
      </c>
      <c r="Q928">
        <f>RTD("nest.scriprtd",,"bse_cm|843SCL27","Face Value")</f>
        <v>1000</v>
      </c>
      <c r="R928" t="str">
        <f>RTD("nest.scriprtd",,"bse_cm|843SCL27","Isin code")</f>
        <v>INE148I07LU4</v>
      </c>
      <c r="S928" s="9">
        <f>Table1[[#This Row],[Ask Rate]]*Table1[[#This Row],[Ask Qty]]</f>
        <v>0</v>
      </c>
      <c r="T928">
        <f>VLOOKUP(Table1[[#This Row],[Isin code]],Table2[#All],7,FALSE)</f>
        <v>8.43</v>
      </c>
      <c r="U928" s="17" t="str">
        <f>VLOOKUP(Table1[[#This Row],[Isin code]],Table2[#All],8,FALSE)</f>
        <v>28-Apr-2027</v>
      </c>
      <c r="V928" s="10">
        <f ca="1">Table1[[#This Row],[Maturity]]-TODAY()</f>
        <v>924</v>
      </c>
      <c r="W928" t="str">
        <f>VLOOKUP(Table1[[#This Row],[Isin code]],Table2[#All],10,FALSE)</f>
        <v>Monthly</v>
      </c>
      <c r="X928">
        <f ca="1">_xlfn.DAYS(Table1[[#This Row],[Maturity]],TODAY())-15</f>
        <v>909</v>
      </c>
      <c r="Y9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928">
        <f>IF(Table1[[#This Row],[Ask Rate]]=0,0,Table1[[#This Row],[Face Value]]-Table1[[#This Row],[Ask Rate]])</f>
        <v>0</v>
      </c>
      <c r="AA928">
        <f>IF(Table1[[#This Row],[Freq]]="Yearly",Table1[[#This Row],[Coupon_Rate]]/100,IF(Table1[[#This Row],[Freq]]="Monthly",Table1[[#This Row],[Coupon_Rate]]/1200,IF(Table1[[#This Row],[Freq]]="Quarterly",Table1[[#This Row],[Coupon_Rate]]/400,0)))</f>
        <v>7.025E-3</v>
      </c>
      <c r="AB928">
        <f ca="1">Table1[[#This Row],[Face Value]]*Table1[[#This Row],[Rate]]*Table1[[#This Row],[Time]]</f>
        <v>217.77500000000001</v>
      </c>
      <c r="AC928">
        <f ca="1">Table1[[#This Row],[SI]]+Table1[[#This Row],[Disc/Prem]]</f>
        <v>217.77500000000001</v>
      </c>
      <c r="AD928" s="3" t="e">
        <f ca="1">Table1[[#This Row],[Net Gain]]/Table1[[#This Row],[Ask Rate]]</f>
        <v>#DIV/0!</v>
      </c>
      <c r="AE928" s="3">
        <f>IF(Table1[[#This Row],[Ask Qty]]=0,0,Table1[[#This Row],[Gross Yield]]*365/Table1[[#This Row],[Days Left]])</f>
        <v>0</v>
      </c>
      <c r="AF928" s="9">
        <f ca="1">+Table1[[#This Row],[Net Gain]]*Table1[[#This Row],[Ask Qty]]</f>
        <v>0</v>
      </c>
      <c r="AG928" t="str">
        <f>IF(Table1[[#This Row],[YTM]]&gt;0.12,IF(Table1[[#This Row],[Gross Profit]]&gt;10000,"Invest","Review"),"Low YTM")</f>
        <v>Low YTM</v>
      </c>
    </row>
    <row r="929" spans="1:33" x14ac:dyDescent="0.3">
      <c r="A929" t="str">
        <f>RTD("nest.scriprtd",,"nse_cm|843SCFL27-YB","Symbol")</f>
        <v>843SCFL27</v>
      </c>
      <c r="B929" t="str">
        <f>RTD("nest.scriprtd",,"nse_cm|843SCFL27-YB","Trading Symbol")</f>
        <v>843SCFL27-YB</v>
      </c>
      <c r="C929" t="str">
        <f>RTD("nest.scriprtd",,"nse_cm|843SCFL27-YB","Exchange")</f>
        <v>NSE</v>
      </c>
      <c r="D929">
        <f>RTD("nest.scriprtd",,"nse_cm|843SCFL27-YB","Bid Qty")</f>
        <v>0</v>
      </c>
      <c r="E929">
        <f>RTD("nest.scriprtd",,"nse_cm|843SCFL27-YB","Bid Rate")</f>
        <v>0</v>
      </c>
      <c r="F929">
        <f>RTD("nest.scriprtd",,"nse_cm|843SCFL27-YB","Ask Rate")</f>
        <v>0</v>
      </c>
      <c r="G929">
        <f>RTD("nest.scriprtd",,"nse_cm|843SCFL27-YB","Ask Qty")</f>
        <v>0</v>
      </c>
      <c r="H929">
        <f>RTD("nest.scriprtd",,"nse_cm|843SCFL27-YB","LTP")</f>
        <v>0</v>
      </c>
      <c r="I929" t="str">
        <f>RTD("nest.scriprtd",,"nse_cm|843SCFL27-YB","LTT")</f>
        <v/>
      </c>
      <c r="J929">
        <f>RTD("nest.scriprtd",,"nse_cm|843SCFL27-YB","% Change")</f>
        <v>0</v>
      </c>
      <c r="K929">
        <f>RTD("nest.scriprtd",,"nse_cm|843SCFL27-YB","ATP")</f>
        <v>0</v>
      </c>
      <c r="L929">
        <f>RTD("nest.scriprtd",,"nse_cm|843SCFL27-YB","Volume Traded Today")</f>
        <v>0</v>
      </c>
      <c r="M929">
        <f>RTD("nest.scriprtd",,"nse_cm|843SCFL27-YB","Open")</f>
        <v>0</v>
      </c>
      <c r="N929">
        <f>RTD("nest.scriprtd",,"nse_cm|843SCFL27-YB","High")</f>
        <v>0</v>
      </c>
      <c r="O929">
        <f>RTD("nest.scriprtd",,"nse_cm|843SCFL27-YB","Low ")</f>
        <v>0</v>
      </c>
      <c r="P929">
        <f>RTD("nest.scriprtd",,"nse_cm|843SCFL27-YB","Prev Close")</f>
        <v>0</v>
      </c>
      <c r="Q929">
        <f>RTD("nest.scriprtd",,"nse_cm|843SCFL27-YB","Face Value")</f>
        <v>1000</v>
      </c>
      <c r="R929" t="str">
        <f>RTD("nest.scriprtd",,"nse_cm|843SCFL27-YB","Isin code")</f>
        <v>INE148I07LD0</v>
      </c>
      <c r="S929" s="9">
        <f>Table1[[#This Row],[Ask Rate]]*Table1[[#This Row],[Ask Qty]]</f>
        <v>0</v>
      </c>
      <c r="T929">
        <f>VLOOKUP(Table1[[#This Row],[Isin code]],Table2[#All],7,FALSE)</f>
        <v>8.43</v>
      </c>
      <c r="U929" s="17" t="str">
        <f>VLOOKUP(Table1[[#This Row],[Isin code]],Table2[#All],8,FALSE)</f>
        <v>06-Jan-2027</v>
      </c>
      <c r="V929" s="10">
        <f ca="1">Table1[[#This Row],[Maturity]]-TODAY()</f>
        <v>812</v>
      </c>
      <c r="W929" t="str">
        <f>VLOOKUP(Table1[[#This Row],[Isin code]],Table2[#All],10,FALSE)</f>
        <v>Monthly</v>
      </c>
      <c r="X929">
        <f ca="1">_xlfn.DAYS(Table1[[#This Row],[Maturity]],TODAY())-15</f>
        <v>797</v>
      </c>
      <c r="Y9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929">
        <f>IF(Table1[[#This Row],[Ask Rate]]=0,0,Table1[[#This Row],[Face Value]]-Table1[[#This Row],[Ask Rate]])</f>
        <v>0</v>
      </c>
      <c r="AA929">
        <f>IF(Table1[[#This Row],[Freq]]="Yearly",Table1[[#This Row],[Coupon_Rate]]/100,IF(Table1[[#This Row],[Freq]]="Monthly",Table1[[#This Row],[Coupon_Rate]]/1200,IF(Table1[[#This Row],[Freq]]="Quarterly",Table1[[#This Row],[Coupon_Rate]]/400,0)))</f>
        <v>7.025E-3</v>
      </c>
      <c r="AB929">
        <f ca="1">Table1[[#This Row],[Face Value]]*Table1[[#This Row],[Rate]]*Table1[[#This Row],[Time]]</f>
        <v>189.67500000000001</v>
      </c>
      <c r="AC929">
        <f ca="1">Table1[[#This Row],[SI]]+Table1[[#This Row],[Disc/Prem]]</f>
        <v>189.67500000000001</v>
      </c>
      <c r="AD929" s="3" t="e">
        <f ca="1">Table1[[#This Row],[Net Gain]]/Table1[[#This Row],[Ask Rate]]</f>
        <v>#DIV/0!</v>
      </c>
      <c r="AE929" s="3">
        <f>IF(Table1[[#This Row],[Ask Qty]]=0,0,Table1[[#This Row],[Gross Yield]]*365/Table1[[#This Row],[Days Left]])</f>
        <v>0</v>
      </c>
      <c r="AF929" s="9">
        <f ca="1">+Table1[[#This Row],[Net Gain]]*Table1[[#This Row],[Ask Qty]]</f>
        <v>0</v>
      </c>
      <c r="AG929" t="str">
        <f>IF(Table1[[#This Row],[YTM]]&gt;0.12,IF(Table1[[#This Row],[Gross Profit]]&gt;10000,"Invest","Review"),"Low YTM")</f>
        <v>Low YTM</v>
      </c>
    </row>
    <row r="930" spans="1:33" hidden="1" x14ac:dyDescent="0.3">
      <c r="A930" t="str">
        <f>RTD("nest.scriprtd",,"bse_cm|829PFL29","Symbol")</f>
        <v>829PFL29</v>
      </c>
      <c r="B930" t="str">
        <f>RTD("nest.scriprtd",,"bse_cm|829PFL29","Trading Symbol")</f>
        <v>829PFL29</v>
      </c>
      <c r="C930" t="str">
        <f>RTD("nest.scriprtd",,"bse_cm|829PFL29","Exchange")</f>
        <v>BSE</v>
      </c>
      <c r="D930">
        <f>RTD("nest.scriprtd",,"bse_cm|829PFL29","Bid Qty")</f>
        <v>20</v>
      </c>
      <c r="E930">
        <f>RTD("nest.scriprtd",,"bse_cm|829PFL29","Bid Rate")</f>
        <v>880.2</v>
      </c>
      <c r="F930">
        <f>RTD("nest.scriprtd",,"bse_cm|829PFL29","Ask Rate")</f>
        <v>0</v>
      </c>
      <c r="G930">
        <f>RTD("nest.scriprtd",,"bse_cm|829PFL29","Ask Qty")</f>
        <v>0</v>
      </c>
      <c r="H930">
        <f>RTD("nest.scriprtd",,"bse_cm|829PFL29","LTP")</f>
        <v>0</v>
      </c>
      <c r="I930" t="str">
        <f>RTD("nest.scriprtd",,"bse_cm|829PFL29","LTT")</f>
        <v>00:00:00</v>
      </c>
      <c r="J930">
        <f>RTD("nest.scriprtd",,"bse_cm|829PFL29","% Change")</f>
        <v>-100</v>
      </c>
      <c r="K930">
        <f>RTD("nest.scriprtd",,"bse_cm|829PFL29","ATP")</f>
        <v>0</v>
      </c>
      <c r="L930">
        <f>RTD("nest.scriprtd",,"bse_cm|829PFL29","Volume Traded Today")</f>
        <v>0</v>
      </c>
      <c r="M930">
        <f>RTD("nest.scriprtd",,"bse_cm|829PFL29","Open")</f>
        <v>0</v>
      </c>
      <c r="N930">
        <f>RTD("nest.scriprtd",,"bse_cm|829PFL29","High")</f>
        <v>1000</v>
      </c>
      <c r="O930">
        <f>RTD("nest.scriprtd",,"bse_cm|829PFL29","Low ")</f>
        <v>1000</v>
      </c>
      <c r="P930">
        <f>RTD("nest.scriprtd",,"bse_cm|829PFL29","Prev Close")</f>
        <v>1000</v>
      </c>
      <c r="Q930">
        <f>RTD("nest.scriprtd",,"bse_cm|829PFL29","Face Value")</f>
        <v>1000</v>
      </c>
      <c r="R930" t="str">
        <f>RTD("nest.scriprtd",,"bse_cm|829PFL29","Isin code")</f>
        <v>INE511C07706</v>
      </c>
      <c r="S930" s="9">
        <f>Table1[[#This Row],[Ask Rate]]*Table1[[#This Row],[Ask Qty]]</f>
        <v>0</v>
      </c>
      <c r="T930">
        <f>VLOOKUP(Table1[[#This Row],[Isin code]],Table2[#All],7,FALSE)</f>
        <v>0</v>
      </c>
      <c r="U930" s="17" t="str">
        <f>VLOOKUP(Table1[[#This Row],[Isin code]],Table2[#All],8,FALSE)</f>
        <v>-</v>
      </c>
      <c r="V930" s="10" t="e">
        <f ca="1">Table1[[#This Row],[Maturity]]-TODAY()</f>
        <v>#VALUE!</v>
      </c>
      <c r="W930" t="str">
        <f>VLOOKUP(Table1[[#This Row],[Isin code]],Table2[#All],10,FALSE)</f>
        <v>Yearly</v>
      </c>
      <c r="X930" t="e">
        <f ca="1">_xlfn.DAYS(Table1[[#This Row],[Maturity]],TODAY())-15</f>
        <v>#VALUE!</v>
      </c>
      <c r="Y930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930">
        <f>IF(Table1[[#This Row],[Ask Rate]]=0,0,Table1[[#This Row],[Face Value]]-Table1[[#This Row],[Ask Rate]])</f>
        <v>0</v>
      </c>
      <c r="AA93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30" t="e">
        <f ca="1">Table1[[#This Row],[Face Value]]*Table1[[#This Row],[Rate]]*Table1[[#This Row],[Time]]</f>
        <v>#VALUE!</v>
      </c>
      <c r="AC930" t="e">
        <f ca="1">Table1[[#This Row],[SI]]+Table1[[#This Row],[Disc/Prem]]</f>
        <v>#VALUE!</v>
      </c>
      <c r="AD930" s="3" t="e">
        <f ca="1">Table1[[#This Row],[Net Gain]]/Table1[[#This Row],[Ask Rate]]</f>
        <v>#VALUE!</v>
      </c>
      <c r="AE930" s="3">
        <f>IF(Table1[[#This Row],[Ask Qty]]=0,0,Table1[[#This Row],[Gross Yield]]*365/Table1[[#This Row],[Days Left]])</f>
        <v>0</v>
      </c>
      <c r="AF930" s="9" t="e">
        <f ca="1">+Table1[[#This Row],[Net Gain]]*Table1[[#This Row],[Ask Qty]]</f>
        <v>#VALUE!</v>
      </c>
      <c r="AG930" t="str">
        <f>IF(Table1[[#This Row],[YTM]]&gt;0.12,IF(Table1[[#This Row],[Gross Profit]]&gt;10000,"Invest","Review"),"Low YTM")</f>
        <v>Low YTM</v>
      </c>
    </row>
    <row r="931" spans="1:33" x14ac:dyDescent="0.3">
      <c r="A931" t="str">
        <f>RTD("nest.scriprtd",,"bse_cm|825MFL25A","Symbol")</f>
        <v>825MFL25A</v>
      </c>
      <c r="B931" t="str">
        <f>RTD("nest.scriprtd",,"bse_cm|825MFL25A","Trading Symbol")</f>
        <v>825MFL25A</v>
      </c>
      <c r="C931" t="str">
        <f>RTD("nest.scriprtd",,"bse_cm|825MFL25A","Exchange")</f>
        <v>BSE</v>
      </c>
      <c r="D931">
        <f>RTD("nest.scriprtd",,"bse_cm|825MFL25A","Bid Qty")</f>
        <v>190</v>
      </c>
      <c r="E931">
        <f>RTD("nest.scriprtd",,"bse_cm|825MFL25A","Bid Rate")</f>
        <v>963.2</v>
      </c>
      <c r="F931">
        <f>RTD("nest.scriprtd",,"bse_cm|825MFL25A","Ask Rate")</f>
        <v>0</v>
      </c>
      <c r="G931">
        <f>RTD("nest.scriprtd",,"bse_cm|825MFL25A","Ask Qty")</f>
        <v>0</v>
      </c>
      <c r="H931">
        <f>RTD("nest.scriprtd",,"bse_cm|825MFL25A","LTP")</f>
        <v>0</v>
      </c>
      <c r="I931" t="str">
        <f>RTD("nest.scriprtd",,"bse_cm|825MFL25A","LTT")</f>
        <v>00:00:00</v>
      </c>
      <c r="J931">
        <f>RTD("nest.scriprtd",,"bse_cm|825MFL25A","% Change")</f>
        <v>-100</v>
      </c>
      <c r="K931">
        <f>RTD("nest.scriprtd",,"bse_cm|825MFL25A","ATP")</f>
        <v>0</v>
      </c>
      <c r="L931">
        <f>RTD("nest.scriprtd",,"bse_cm|825MFL25A","Volume Traded Today")</f>
        <v>0</v>
      </c>
      <c r="M931">
        <f>RTD("nest.scriprtd",,"bse_cm|825MFL25A","Open")</f>
        <v>0</v>
      </c>
      <c r="N931">
        <f>RTD("nest.scriprtd",,"bse_cm|825MFL25A","High")</f>
        <v>975</v>
      </c>
      <c r="O931">
        <f>RTD("nest.scriprtd",,"bse_cm|825MFL25A","Low ")</f>
        <v>975</v>
      </c>
      <c r="P931">
        <f>RTD("nest.scriprtd",,"bse_cm|825MFL25A","Prev Close")</f>
        <v>975</v>
      </c>
      <c r="Q931">
        <f>RTD("nest.scriprtd",,"bse_cm|825MFL25A","Face Value")</f>
        <v>1000</v>
      </c>
      <c r="R931" t="str">
        <f>RTD("nest.scriprtd",,"bse_cm|825MFL25A","Isin code")</f>
        <v>INE549K07BO3</v>
      </c>
      <c r="S931" s="9">
        <f>Table1[[#This Row],[Ask Rate]]*Table1[[#This Row],[Ask Qty]]</f>
        <v>0</v>
      </c>
      <c r="T931">
        <f>VLOOKUP(Table1[[#This Row],[Isin code]],Table2[#All],7,FALSE)</f>
        <v>8.25</v>
      </c>
      <c r="U931" s="17" t="str">
        <f>VLOOKUP(Table1[[#This Row],[Isin code]],Table2[#All],8,FALSE)</f>
        <v>05-Nov-2025</v>
      </c>
      <c r="V931" s="10">
        <f ca="1">Table1[[#This Row],[Maturity]]-TODAY()</f>
        <v>385</v>
      </c>
      <c r="W931" t="str">
        <f>VLOOKUP(Table1[[#This Row],[Isin code]],Table2[#All],10,FALSE)</f>
        <v>Monthly</v>
      </c>
      <c r="X931">
        <f ca="1">_xlfn.DAYS(Table1[[#This Row],[Maturity]],TODAY())-15</f>
        <v>370</v>
      </c>
      <c r="Y9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931">
        <f>IF(Table1[[#This Row],[Ask Rate]]=0,0,Table1[[#This Row],[Face Value]]-Table1[[#This Row],[Ask Rate]])</f>
        <v>0</v>
      </c>
      <c r="AA931">
        <f>IF(Table1[[#This Row],[Freq]]="Yearly",Table1[[#This Row],[Coupon_Rate]]/100,IF(Table1[[#This Row],[Freq]]="Monthly",Table1[[#This Row],[Coupon_Rate]]/1200,IF(Table1[[#This Row],[Freq]]="Quarterly",Table1[[#This Row],[Coupon_Rate]]/400,0)))</f>
        <v>6.875E-3</v>
      </c>
      <c r="AB931">
        <f ca="1">Table1[[#This Row],[Face Value]]*Table1[[#This Row],[Rate]]*Table1[[#This Row],[Time]]</f>
        <v>89.375</v>
      </c>
      <c r="AC931">
        <f ca="1">Table1[[#This Row],[SI]]+Table1[[#This Row],[Disc/Prem]]</f>
        <v>89.375</v>
      </c>
      <c r="AD931" s="3" t="e">
        <f ca="1">Table1[[#This Row],[Net Gain]]/Table1[[#This Row],[Ask Rate]]</f>
        <v>#DIV/0!</v>
      </c>
      <c r="AE931" s="3">
        <f>IF(Table1[[#This Row],[Ask Qty]]=0,0,Table1[[#This Row],[Gross Yield]]*365/Table1[[#This Row],[Days Left]])</f>
        <v>0</v>
      </c>
      <c r="AF931" s="9">
        <f ca="1">+Table1[[#This Row],[Net Gain]]*Table1[[#This Row],[Ask Qty]]</f>
        <v>0</v>
      </c>
      <c r="AG931" t="str">
        <f>IF(Table1[[#This Row],[YTM]]&gt;0.12,IF(Table1[[#This Row],[Gross Profit]]&gt;10000,"Invest","Review"),"Low YTM")</f>
        <v>Low YTM</v>
      </c>
    </row>
    <row r="932" spans="1:33" x14ac:dyDescent="0.3">
      <c r="A932" t="str">
        <f>RTD("nest.scriprtd",,"nse_cm|820SCL25-YO","Symbol")</f>
        <v>820SCL25</v>
      </c>
      <c r="B932" t="str">
        <f>RTD("nest.scriprtd",,"nse_cm|820SCL25-YO","Trading Symbol")</f>
        <v>820SCL25-YO</v>
      </c>
      <c r="C932" t="str">
        <f>RTD("nest.scriprtd",,"nse_cm|820SCL25-YO","Exchange")</f>
        <v>NSE</v>
      </c>
      <c r="D932">
        <f>RTD("nest.scriprtd",,"nse_cm|820SCL25-YO","Bid Qty")</f>
        <v>20</v>
      </c>
      <c r="E932">
        <f>RTD("nest.scriprtd",,"nse_cm|820SCL25-YO","Bid Rate")</f>
        <v>820.2</v>
      </c>
      <c r="F932">
        <f>RTD("nest.scriprtd",,"nse_cm|820SCL25-YO","Ask Rate")</f>
        <v>0</v>
      </c>
      <c r="G932">
        <f>RTD("nest.scriprtd",,"nse_cm|820SCL25-YO","Ask Qty")</f>
        <v>0</v>
      </c>
      <c r="H932">
        <f>RTD("nest.scriprtd",,"nse_cm|820SCL25-YO","LTP")</f>
        <v>0</v>
      </c>
      <c r="I932" t="str">
        <f>RTD("nest.scriprtd",,"nse_cm|820SCL25-YO","LTT")</f>
        <v/>
      </c>
      <c r="J932">
        <f>RTD("nest.scriprtd",,"nse_cm|820SCL25-YO","% Change")</f>
        <v>-100</v>
      </c>
      <c r="K932">
        <f>RTD("nest.scriprtd",,"nse_cm|820SCL25-YO","ATP")</f>
        <v>0</v>
      </c>
      <c r="L932">
        <f>RTD("nest.scriprtd",,"nse_cm|820SCL25-YO","Volume Traded Today")</f>
        <v>0</v>
      </c>
      <c r="M932">
        <f>RTD("nest.scriprtd",,"nse_cm|820SCL25-YO","Open")</f>
        <v>0</v>
      </c>
      <c r="N932">
        <f>RTD("nest.scriprtd",,"nse_cm|820SCL25-YO","High")</f>
        <v>0</v>
      </c>
      <c r="O932">
        <f>RTD("nest.scriprtd",,"nse_cm|820SCL25-YO","Low ")</f>
        <v>0</v>
      </c>
      <c r="P932">
        <f>RTD("nest.scriprtd",,"nse_cm|820SCL25-YO","Prev Close")</f>
        <v>1000</v>
      </c>
      <c r="Q932">
        <f>RTD("nest.scriprtd",,"nse_cm|820SCL25-YO","Face Value")</f>
        <v>1000</v>
      </c>
      <c r="R932" t="str">
        <f>RTD("nest.scriprtd",,"nse_cm|820SCL25-YO","Isin code")</f>
        <v>INE148I07LQ2</v>
      </c>
      <c r="S932" s="9">
        <f>Table1[[#This Row],[Ask Rate]]*Table1[[#This Row],[Ask Qty]]</f>
        <v>0</v>
      </c>
      <c r="T932">
        <f>VLOOKUP(Table1[[#This Row],[Isin code]],Table2[#All],7,FALSE)</f>
        <v>8.1999999999999993</v>
      </c>
      <c r="U932" s="17" t="str">
        <f>VLOOKUP(Table1[[#This Row],[Isin code]],Table2[#All],8,FALSE)</f>
        <v>28-Apr-2025</v>
      </c>
      <c r="V932" s="10">
        <f ca="1">Table1[[#This Row],[Maturity]]-TODAY()</f>
        <v>194</v>
      </c>
      <c r="W932" t="str">
        <f>VLOOKUP(Table1[[#This Row],[Isin code]],Table2[#All],10,FALSE)</f>
        <v>Monthly</v>
      </c>
      <c r="X932">
        <f ca="1">_xlfn.DAYS(Table1[[#This Row],[Maturity]],TODAY())-15</f>
        <v>179</v>
      </c>
      <c r="Y9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932">
        <f>IF(Table1[[#This Row],[Ask Rate]]=0,0,Table1[[#This Row],[Face Value]]-Table1[[#This Row],[Ask Rate]])</f>
        <v>0</v>
      </c>
      <c r="AA932">
        <f>IF(Table1[[#This Row],[Freq]]="Yearly",Table1[[#This Row],[Coupon_Rate]]/100,IF(Table1[[#This Row],[Freq]]="Monthly",Table1[[#This Row],[Coupon_Rate]]/1200,IF(Table1[[#This Row],[Freq]]="Quarterly",Table1[[#This Row],[Coupon_Rate]]/400,0)))</f>
        <v>6.8333333333333328E-3</v>
      </c>
      <c r="AB932">
        <f ca="1">Table1[[#This Row],[Face Value]]*Table1[[#This Row],[Rate]]*Table1[[#This Row],[Time]]</f>
        <v>41</v>
      </c>
      <c r="AC932">
        <f ca="1">Table1[[#This Row],[SI]]+Table1[[#This Row],[Disc/Prem]]</f>
        <v>41</v>
      </c>
      <c r="AD932" s="3" t="e">
        <f ca="1">Table1[[#This Row],[Net Gain]]/Table1[[#This Row],[Ask Rate]]</f>
        <v>#DIV/0!</v>
      </c>
      <c r="AE932" s="3">
        <f>IF(Table1[[#This Row],[Ask Qty]]=0,0,Table1[[#This Row],[Gross Yield]]*365/Table1[[#This Row],[Days Left]])</f>
        <v>0</v>
      </c>
      <c r="AF932" s="9">
        <f ca="1">+Table1[[#This Row],[Net Gain]]*Table1[[#This Row],[Ask Qty]]</f>
        <v>0</v>
      </c>
      <c r="AG932" t="str">
        <f>IF(Table1[[#This Row],[YTM]]&gt;0.12,IF(Table1[[#This Row],[Gross Profit]]&gt;10000,"Invest","Review"),"Low YTM")</f>
        <v>Low YTM</v>
      </c>
    </row>
    <row r="933" spans="1:33" x14ac:dyDescent="0.3">
      <c r="A933" t="str">
        <f>RTD("nest.scriprtd",,"nse_cm|866SCL25-YP","Symbol")</f>
        <v>866SCL25</v>
      </c>
      <c r="B933" t="str">
        <f>RTD("nest.scriprtd",,"nse_cm|866SCL25-YP","Trading Symbol")</f>
        <v>866SCL25-YP</v>
      </c>
      <c r="C933" t="str">
        <f>RTD("nest.scriprtd",,"nse_cm|866SCL25-YP","Exchange")</f>
        <v>NSE</v>
      </c>
      <c r="D933">
        <f>RTD("nest.scriprtd",,"nse_cm|866SCL25-YP","Bid Qty")</f>
        <v>1</v>
      </c>
      <c r="E933">
        <f>RTD("nest.scriprtd",,"nse_cm|866SCL25-YP","Bid Rate")</f>
        <v>960</v>
      </c>
      <c r="F933">
        <f>RTD("nest.scriprtd",,"nse_cm|866SCL25-YP","Ask Rate")</f>
        <v>0</v>
      </c>
      <c r="G933">
        <f>RTD("nest.scriprtd",,"nse_cm|866SCL25-YP","Ask Qty")</f>
        <v>0</v>
      </c>
      <c r="H933">
        <f>RTD("nest.scriprtd",,"nse_cm|866SCL25-YP","LTP")</f>
        <v>960</v>
      </c>
      <c r="I933" t="str">
        <f>RTD("nest.scriprtd",,"nse_cm|866SCL25-YP","LTT")</f>
        <v/>
      </c>
      <c r="J933">
        <f>RTD("nest.scriprtd",,"nse_cm|866SCL25-YP","% Change")</f>
        <v>0</v>
      </c>
      <c r="K933">
        <f>RTD("nest.scriprtd",,"nse_cm|866SCL25-YP","ATP")</f>
        <v>0</v>
      </c>
      <c r="L933">
        <f>RTD("nest.scriprtd",,"nse_cm|866SCL25-YP","Volume Traded Today")</f>
        <v>0</v>
      </c>
      <c r="M933">
        <f>RTD("nest.scriprtd",,"nse_cm|866SCL25-YP","Open")</f>
        <v>0</v>
      </c>
      <c r="N933">
        <f>RTD("nest.scriprtd",,"nse_cm|866SCL25-YP","High")</f>
        <v>960</v>
      </c>
      <c r="O933">
        <f>RTD("nest.scriprtd",,"nse_cm|866SCL25-YP","Low ")</f>
        <v>960</v>
      </c>
      <c r="P933">
        <f>RTD("nest.scriprtd",,"nse_cm|866SCL25-YP","Prev Close")</f>
        <v>960</v>
      </c>
      <c r="Q933">
        <f>RTD("nest.scriprtd",,"nse_cm|866SCL25-YP","Face Value")</f>
        <v>1000</v>
      </c>
      <c r="R933" t="str">
        <f>RTD("nest.scriprtd",,"nse_cm|866SCL25-YP","Isin code")</f>
        <v>INE148I07LR0</v>
      </c>
      <c r="S933" s="9">
        <f>Table1[[#This Row],[Ask Rate]]*Table1[[#This Row],[Ask Qty]]</f>
        <v>0</v>
      </c>
      <c r="T933">
        <f>VLOOKUP(Table1[[#This Row],[Isin code]],Table2[#All],7,FALSE)</f>
        <v>8.66</v>
      </c>
      <c r="U933" s="17" t="str">
        <f>VLOOKUP(Table1[[#This Row],[Isin code]],Table2[#All],8,FALSE)</f>
        <v>28-Apr-2025</v>
      </c>
      <c r="V933" s="10">
        <f ca="1">Table1[[#This Row],[Maturity]]-TODAY()</f>
        <v>194</v>
      </c>
      <c r="W933" t="str">
        <f>VLOOKUP(Table1[[#This Row],[Isin code]],Table2[#All],10,FALSE)</f>
        <v>Monthly</v>
      </c>
      <c r="X933">
        <f ca="1">_xlfn.DAYS(Table1[[#This Row],[Maturity]],TODAY())-15</f>
        <v>179</v>
      </c>
      <c r="Y93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933">
        <f>IF(Table1[[#This Row],[Ask Rate]]=0,0,Table1[[#This Row],[Face Value]]-Table1[[#This Row],[Ask Rate]])</f>
        <v>0</v>
      </c>
      <c r="AA933">
        <f>IF(Table1[[#This Row],[Freq]]="Yearly",Table1[[#This Row],[Coupon_Rate]]/100,IF(Table1[[#This Row],[Freq]]="Monthly",Table1[[#This Row],[Coupon_Rate]]/1200,IF(Table1[[#This Row],[Freq]]="Quarterly",Table1[[#This Row],[Coupon_Rate]]/400,0)))</f>
        <v>7.2166666666666664E-3</v>
      </c>
      <c r="AB933">
        <f ca="1">Table1[[#This Row],[Face Value]]*Table1[[#This Row],[Rate]]*Table1[[#This Row],[Time]]</f>
        <v>43.3</v>
      </c>
      <c r="AC933">
        <f ca="1">Table1[[#This Row],[SI]]+Table1[[#This Row],[Disc/Prem]]</f>
        <v>43.3</v>
      </c>
      <c r="AD933" s="3" t="e">
        <f ca="1">Table1[[#This Row],[Net Gain]]/Table1[[#This Row],[Ask Rate]]</f>
        <v>#DIV/0!</v>
      </c>
      <c r="AE933" s="3">
        <f>IF(Table1[[#This Row],[Ask Qty]]=0,0,Table1[[#This Row],[Gross Yield]]*365/Table1[[#This Row],[Days Left]])</f>
        <v>0</v>
      </c>
      <c r="AF933" s="9">
        <f ca="1">+Table1[[#This Row],[Net Gain]]*Table1[[#This Row],[Ask Qty]]</f>
        <v>0</v>
      </c>
      <c r="AG933" t="str">
        <f>IF(Table1[[#This Row],[YTM]]&gt;0.12,IF(Table1[[#This Row],[Gross Profit]]&gt;10000,"Invest","Review"),"Low YTM")</f>
        <v>Low YTM</v>
      </c>
    </row>
    <row r="934" spans="1:33" hidden="1" x14ac:dyDescent="0.3">
      <c r="A934" t="str">
        <f>RTD("nest.scriprtd",,"nse_cm|875TCAPS29-NB","Symbol")</f>
        <v>875TCAPS29</v>
      </c>
      <c r="B934" t="str">
        <f>RTD("nest.scriprtd",,"nse_cm|875TCAPS29-NB","Trading Symbol")</f>
        <v>875TCAPS29-NB</v>
      </c>
      <c r="C934" t="str">
        <f>RTD("nest.scriprtd",,"nse_cm|875TCAPS29-NB","Exchange")</f>
        <v>NSE</v>
      </c>
      <c r="D934">
        <f>RTD("nest.scriprtd",,"nse_cm|875TCAPS29-NB","Bid Qty")</f>
        <v>0</v>
      </c>
      <c r="E934">
        <f>RTD("nest.scriprtd",,"nse_cm|875TCAPS29-NB","Bid Rate")</f>
        <v>0</v>
      </c>
      <c r="F934">
        <f>RTD("nest.scriprtd",,"nse_cm|875TCAPS29-NB","Ask Rate")</f>
        <v>0</v>
      </c>
      <c r="G934">
        <f>RTD("nest.scriprtd",,"nse_cm|875TCAPS29-NB","Ask Qty")</f>
        <v>0</v>
      </c>
      <c r="H934">
        <f>RTD("nest.scriprtd",,"nse_cm|875TCAPS29-NB","LTP")</f>
        <v>0</v>
      </c>
      <c r="I934" t="str">
        <f>RTD("nest.scriprtd",,"nse_cm|875TCAPS29-NB","LTT")</f>
        <v/>
      </c>
      <c r="J934">
        <f>RTD("nest.scriprtd",,"nse_cm|875TCAPS29-NB","% Change")</f>
        <v>-100</v>
      </c>
      <c r="K934">
        <f>RTD("nest.scriprtd",,"nse_cm|875TCAPS29-NB","ATP")</f>
        <v>0</v>
      </c>
      <c r="L934">
        <f>RTD("nest.scriprtd",,"nse_cm|875TCAPS29-NB","Volume Traded Today")</f>
        <v>0</v>
      </c>
      <c r="M934">
        <f>RTD("nest.scriprtd",,"nse_cm|875TCAPS29-NB","Open")</f>
        <v>0</v>
      </c>
      <c r="N934">
        <f>RTD("nest.scriprtd",,"nse_cm|875TCAPS29-NB","High")</f>
        <v>0</v>
      </c>
      <c r="O934">
        <f>RTD("nest.scriprtd",,"nse_cm|875TCAPS29-NB","Low ")</f>
        <v>0</v>
      </c>
      <c r="P934">
        <f>RTD("nest.scriprtd",,"nse_cm|875TCAPS29-NB","Prev Close")</f>
        <v>1000</v>
      </c>
      <c r="Q934">
        <f>RTD("nest.scriprtd",,"nse_cm|875TCAPS29-NB","Face Value")</f>
        <v>1000</v>
      </c>
      <c r="R934" t="str">
        <f>RTD("nest.scriprtd",,"nse_cm|875TCAPS29-NB","Isin code")</f>
        <v>INE306N08334</v>
      </c>
      <c r="S934" s="9">
        <f>Table1[[#This Row],[Ask Rate]]*Table1[[#This Row],[Ask Qty]]</f>
        <v>0</v>
      </c>
      <c r="T934">
        <f>VLOOKUP(Table1[[#This Row],[Isin code]],Table2[#All],7,FALSE)</f>
        <v>0</v>
      </c>
      <c r="U934" s="17" t="str">
        <f>VLOOKUP(Table1[[#This Row],[Isin code]],Table2[#All],8,FALSE)</f>
        <v>-</v>
      </c>
      <c r="V934" s="10" t="e">
        <f ca="1">Table1[[#This Row],[Maturity]]-TODAY()</f>
        <v>#VALUE!</v>
      </c>
      <c r="W934" t="str">
        <f>VLOOKUP(Table1[[#This Row],[Isin code]],Table2[#All],10,FALSE)</f>
        <v>0</v>
      </c>
      <c r="X934" t="e">
        <f ca="1">_xlfn.DAYS(Table1[[#This Row],[Maturity]],TODAY())-15</f>
        <v>#VALUE!</v>
      </c>
      <c r="Y93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34">
        <f>IF(Table1[[#This Row],[Ask Rate]]=0,0,Table1[[#This Row],[Face Value]]-Table1[[#This Row],[Ask Rate]])</f>
        <v>0</v>
      </c>
      <c r="AA93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34">
        <f>Table1[[#This Row],[Face Value]]*Table1[[#This Row],[Rate]]*Table1[[#This Row],[Time]]</f>
        <v>0</v>
      </c>
      <c r="AC934">
        <f>Table1[[#This Row],[SI]]+Table1[[#This Row],[Disc/Prem]]</f>
        <v>0</v>
      </c>
      <c r="AD934" s="3" t="e">
        <f>Table1[[#This Row],[Net Gain]]/Table1[[#This Row],[Ask Rate]]</f>
        <v>#DIV/0!</v>
      </c>
      <c r="AE934" s="3">
        <f>IF(Table1[[#This Row],[Ask Qty]]=0,0,Table1[[#This Row],[Gross Yield]]*365/Table1[[#This Row],[Days Left]])</f>
        <v>0</v>
      </c>
      <c r="AF934" s="9">
        <f>+Table1[[#This Row],[Net Gain]]*Table1[[#This Row],[Ask Qty]]</f>
        <v>0</v>
      </c>
      <c r="AG934" t="str">
        <f>IF(Table1[[#This Row],[YTM]]&gt;0.12,IF(Table1[[#This Row],[Gross Profit]]&gt;10000,"Invest","Review"),"Low YTM")</f>
        <v>Low YTM</v>
      </c>
    </row>
    <row r="935" spans="1:33" hidden="1" x14ac:dyDescent="0.3">
      <c r="A935" t="str">
        <f>RTD("nest.scriprtd",,"bse_cm|875TCAPS29","Symbol")</f>
        <v>875TCAPS29</v>
      </c>
      <c r="B935" t="str">
        <f>RTD("nest.scriprtd",,"bse_cm|875TCAPS29","Trading Symbol")</f>
        <v>875TCAPS29</v>
      </c>
      <c r="C935" t="str">
        <f>RTD("nest.scriprtd",,"bse_cm|875TCAPS29","Exchange")</f>
        <v>BSE</v>
      </c>
      <c r="D935">
        <f>RTD("nest.scriprtd",,"bse_cm|875TCAPS29","Bid Qty")</f>
        <v>16</v>
      </c>
      <c r="E935">
        <f>RTD("nest.scriprtd",,"bse_cm|875TCAPS29","Bid Rate")</f>
        <v>905.2</v>
      </c>
      <c r="F935">
        <f>RTD("nest.scriprtd",,"bse_cm|875TCAPS29","Ask Rate")</f>
        <v>0</v>
      </c>
      <c r="G935">
        <f>RTD("nest.scriprtd",,"bse_cm|875TCAPS29","Ask Qty")</f>
        <v>0</v>
      </c>
      <c r="H935">
        <f>RTD("nest.scriprtd",,"bse_cm|875TCAPS29","LTP")</f>
        <v>0</v>
      </c>
      <c r="I935" t="str">
        <f>RTD("nest.scriprtd",,"bse_cm|875TCAPS29","LTT")</f>
        <v>00:00:00</v>
      </c>
      <c r="J935">
        <f>RTD("nest.scriprtd",,"bse_cm|875TCAPS29","% Change")</f>
        <v>-100</v>
      </c>
      <c r="K935">
        <f>RTD("nest.scriprtd",,"bse_cm|875TCAPS29","ATP")</f>
        <v>0</v>
      </c>
      <c r="L935">
        <f>RTD("nest.scriprtd",,"bse_cm|875TCAPS29","Volume Traded Today")</f>
        <v>0</v>
      </c>
      <c r="M935">
        <f>RTD("nest.scriprtd",,"bse_cm|875TCAPS29","Open")</f>
        <v>0</v>
      </c>
      <c r="N935">
        <f>RTD("nest.scriprtd",,"bse_cm|875TCAPS29","High")</f>
        <v>0</v>
      </c>
      <c r="O935">
        <f>RTD("nest.scriprtd",,"bse_cm|875TCAPS29","Low ")</f>
        <v>0</v>
      </c>
      <c r="P935">
        <f>RTD("nest.scriprtd",,"bse_cm|875TCAPS29","Prev Close")</f>
        <v>1005</v>
      </c>
      <c r="Q935">
        <f>RTD("nest.scriprtd",,"bse_cm|875TCAPS29","Face Value")</f>
        <v>1000</v>
      </c>
      <c r="R935" t="str">
        <f>RTD("nest.scriprtd",,"bse_cm|875TCAPS29","Isin code")</f>
        <v>INE306N08334</v>
      </c>
      <c r="S935" s="9">
        <f>Table1[[#This Row],[Ask Rate]]*Table1[[#This Row],[Ask Qty]]</f>
        <v>0</v>
      </c>
      <c r="T935">
        <f>VLOOKUP(Table1[[#This Row],[Isin code]],Table2[#All],7,FALSE)</f>
        <v>0</v>
      </c>
      <c r="U935" s="17" t="str">
        <f>VLOOKUP(Table1[[#This Row],[Isin code]],Table2[#All],8,FALSE)</f>
        <v>-</v>
      </c>
      <c r="V935" s="10" t="e">
        <f ca="1">Table1[[#This Row],[Maturity]]-TODAY()</f>
        <v>#VALUE!</v>
      </c>
      <c r="W935" t="str">
        <f>VLOOKUP(Table1[[#This Row],[Isin code]],Table2[#All],10,FALSE)</f>
        <v>0</v>
      </c>
      <c r="X935" t="e">
        <f ca="1">_xlfn.DAYS(Table1[[#This Row],[Maturity]],TODAY())-15</f>
        <v>#VALUE!</v>
      </c>
      <c r="Y93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35">
        <f>IF(Table1[[#This Row],[Ask Rate]]=0,0,Table1[[#This Row],[Face Value]]-Table1[[#This Row],[Ask Rate]])</f>
        <v>0</v>
      </c>
      <c r="AA93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35">
        <f>Table1[[#This Row],[Face Value]]*Table1[[#This Row],[Rate]]*Table1[[#This Row],[Time]]</f>
        <v>0</v>
      </c>
      <c r="AC935">
        <f>Table1[[#This Row],[SI]]+Table1[[#This Row],[Disc/Prem]]</f>
        <v>0</v>
      </c>
      <c r="AD935" s="3" t="e">
        <f>Table1[[#This Row],[Net Gain]]/Table1[[#This Row],[Ask Rate]]</f>
        <v>#DIV/0!</v>
      </c>
      <c r="AE935" s="3">
        <f>IF(Table1[[#This Row],[Ask Qty]]=0,0,Table1[[#This Row],[Gross Yield]]*365/Table1[[#This Row],[Days Left]])</f>
        <v>0</v>
      </c>
      <c r="AF935" s="9">
        <f>+Table1[[#This Row],[Net Gain]]*Table1[[#This Row],[Ask Qty]]</f>
        <v>0</v>
      </c>
      <c r="AG935" t="str">
        <f>IF(Table1[[#This Row],[YTM]]&gt;0.12,IF(Table1[[#This Row],[Gross Profit]]&gt;10000,"Invest","Review"),"Low YTM")</f>
        <v>Low YTM</v>
      </c>
    </row>
    <row r="936" spans="1:33" x14ac:dyDescent="0.3">
      <c r="A936" t="str">
        <f>RTD("nest.scriprtd",,"bse_cm|875SFL25","Symbol")</f>
        <v>875SFL25</v>
      </c>
      <c r="B936" t="str">
        <f>RTD("nest.scriprtd",,"bse_cm|875SFL25","Trading Symbol")</f>
        <v>875SFL25</v>
      </c>
      <c r="C936" t="str">
        <f>RTD("nest.scriprtd",,"bse_cm|875SFL25","Exchange")</f>
        <v>BSE</v>
      </c>
      <c r="D936">
        <f>RTD("nest.scriprtd",,"bse_cm|875SFL25","Bid Qty")</f>
        <v>54</v>
      </c>
      <c r="E936">
        <f>RTD("nest.scriprtd",,"bse_cm|875SFL25","Bid Rate")</f>
        <v>875.2</v>
      </c>
      <c r="F936">
        <f>RTD("nest.scriprtd",,"bse_cm|875SFL25","Ask Rate")</f>
        <v>0</v>
      </c>
      <c r="G936">
        <f>RTD("nest.scriprtd",,"bse_cm|875SFL25","Ask Qty")</f>
        <v>0</v>
      </c>
      <c r="H936">
        <f>RTD("nest.scriprtd",,"bse_cm|875SFL25","LTP")</f>
        <v>0</v>
      </c>
      <c r="I936" t="str">
        <f>RTD("nest.scriprtd",,"bse_cm|875SFL25","LTT")</f>
        <v>00:00:00</v>
      </c>
      <c r="J936">
        <f>RTD("nest.scriprtd",,"bse_cm|875SFL25","% Change")</f>
        <v>-100</v>
      </c>
      <c r="K936">
        <f>RTD("nest.scriprtd",,"bse_cm|875SFL25","ATP")</f>
        <v>0</v>
      </c>
      <c r="L936">
        <f>RTD("nest.scriprtd",,"bse_cm|875SFL25","Volume Traded Today")</f>
        <v>0</v>
      </c>
      <c r="M936">
        <f>RTD("nest.scriprtd",,"bse_cm|875SFL25","Open")</f>
        <v>0</v>
      </c>
      <c r="N936">
        <f>RTD("nest.scriprtd",,"bse_cm|875SFL25","High")</f>
        <v>0</v>
      </c>
      <c r="O936">
        <f>RTD("nest.scriprtd",,"bse_cm|875SFL25","Low ")</f>
        <v>0</v>
      </c>
      <c r="P936">
        <f>RTD("nest.scriprtd",,"bse_cm|875SFL25","Prev Close")</f>
        <v>835.2</v>
      </c>
      <c r="Q936">
        <f>RTD("nest.scriprtd",,"bse_cm|875SFL25","Face Value")</f>
        <v>1000</v>
      </c>
      <c r="R936" t="str">
        <f>RTD("nest.scriprtd",,"bse_cm|875SFL25","Isin code")</f>
        <v>INE302E07425</v>
      </c>
      <c r="S936" s="9">
        <f>Table1[[#This Row],[Ask Rate]]*Table1[[#This Row],[Ask Qty]]</f>
        <v>0</v>
      </c>
      <c r="T936">
        <f>VLOOKUP(Table1[[#This Row],[Isin code]],Table2[#All],7,FALSE)</f>
        <v>8.75</v>
      </c>
      <c r="U936" s="17" t="str">
        <f>VLOOKUP(Table1[[#This Row],[Isin code]],Table2[#All],8,FALSE)</f>
        <v>29-Apr-2025</v>
      </c>
      <c r="V936" s="10">
        <f ca="1">Table1[[#This Row],[Maturity]]-TODAY()</f>
        <v>195</v>
      </c>
      <c r="W936" t="str">
        <f>VLOOKUP(Table1[[#This Row],[Isin code]],Table2[#All],10,FALSE)</f>
        <v>Monthly</v>
      </c>
      <c r="X936">
        <f ca="1">_xlfn.DAYS(Table1[[#This Row],[Maturity]],TODAY())-15</f>
        <v>180</v>
      </c>
      <c r="Y9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936">
        <f>IF(Table1[[#This Row],[Ask Rate]]=0,0,Table1[[#This Row],[Face Value]]-Table1[[#This Row],[Ask Rate]])</f>
        <v>0</v>
      </c>
      <c r="AA936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936">
        <f ca="1">Table1[[#This Row],[Face Value]]*Table1[[#This Row],[Rate]]*Table1[[#This Row],[Time]]</f>
        <v>43.75</v>
      </c>
      <c r="AC936">
        <f ca="1">Table1[[#This Row],[SI]]+Table1[[#This Row],[Disc/Prem]]</f>
        <v>43.75</v>
      </c>
      <c r="AD936" s="3" t="e">
        <f ca="1">Table1[[#This Row],[Net Gain]]/Table1[[#This Row],[Ask Rate]]</f>
        <v>#DIV/0!</v>
      </c>
      <c r="AE936" s="3">
        <f>IF(Table1[[#This Row],[Ask Qty]]=0,0,Table1[[#This Row],[Gross Yield]]*365/Table1[[#This Row],[Days Left]])</f>
        <v>0</v>
      </c>
      <c r="AF936" s="9">
        <f ca="1">+Table1[[#This Row],[Net Gain]]*Table1[[#This Row],[Ask Qty]]</f>
        <v>0</v>
      </c>
      <c r="AG936" t="str">
        <f>IF(Table1[[#This Row],[YTM]]&gt;0.12,IF(Table1[[#This Row],[Gross Profit]]&gt;10000,"Invest","Review"),"Low YTM")</f>
        <v>Low YTM</v>
      </c>
    </row>
    <row r="937" spans="1:33" x14ac:dyDescent="0.3">
      <c r="A937" t="str">
        <f>RTD("nest.scriprtd",,"nse_cm|875SCL27-YQ","Symbol")</f>
        <v>875SCL27</v>
      </c>
      <c r="B937" t="str">
        <f>RTD("nest.scriprtd",,"nse_cm|875SCL27-YQ","Trading Symbol")</f>
        <v>875SCL27-YQ</v>
      </c>
      <c r="C937" t="str">
        <f>RTD("nest.scriprtd",,"nse_cm|875SCL27-YQ","Exchange")</f>
        <v>NSE</v>
      </c>
      <c r="D937">
        <f>RTD("nest.scriprtd",,"nse_cm|875SCL27-YQ","Bid Qty")</f>
        <v>0</v>
      </c>
      <c r="E937">
        <f>RTD("nest.scriprtd",,"nse_cm|875SCL27-YQ","Bid Rate")</f>
        <v>0</v>
      </c>
      <c r="F937">
        <f>RTD("nest.scriprtd",,"nse_cm|875SCL27-YQ","Ask Rate")</f>
        <v>0</v>
      </c>
      <c r="G937">
        <f>RTD("nest.scriprtd",,"nse_cm|875SCL27-YQ","Ask Qty")</f>
        <v>0</v>
      </c>
      <c r="H937">
        <f>RTD("nest.scriprtd",,"nse_cm|875SCL27-YQ","LTP")</f>
        <v>0</v>
      </c>
      <c r="I937" t="str">
        <f>RTD("nest.scriprtd",,"nse_cm|875SCL27-YQ","LTT")</f>
        <v/>
      </c>
      <c r="J937">
        <f>RTD("nest.scriprtd",,"nse_cm|875SCL27-YQ","% Change")</f>
        <v>0</v>
      </c>
      <c r="K937">
        <f>RTD("nest.scriprtd",,"nse_cm|875SCL27-YQ","ATP")</f>
        <v>0</v>
      </c>
      <c r="L937">
        <f>RTD("nest.scriprtd",,"nse_cm|875SCL27-YQ","Volume Traded Today")</f>
        <v>0</v>
      </c>
      <c r="M937">
        <f>RTD("nest.scriprtd",,"nse_cm|875SCL27-YQ","Open")</f>
        <v>0</v>
      </c>
      <c r="N937">
        <f>RTD("nest.scriprtd",,"nse_cm|875SCL27-YQ","High")</f>
        <v>0</v>
      </c>
      <c r="O937">
        <f>RTD("nest.scriprtd",,"nse_cm|875SCL27-YQ","Low ")</f>
        <v>0</v>
      </c>
      <c r="P937">
        <f>RTD("nest.scriprtd",,"nse_cm|875SCL27-YQ","Prev Close")</f>
        <v>0</v>
      </c>
      <c r="Q937">
        <f>RTD("nest.scriprtd",,"nse_cm|875SCL27-YQ","Face Value")</f>
        <v>1000</v>
      </c>
      <c r="R937" t="str">
        <f>RTD("nest.scriprtd",,"nse_cm|875SCL27-YQ","Isin code")</f>
        <v>INE148I07LS8</v>
      </c>
      <c r="S937" s="9">
        <f>Table1[[#This Row],[Ask Rate]]*Table1[[#This Row],[Ask Qty]]</f>
        <v>0</v>
      </c>
      <c r="T937">
        <f>VLOOKUP(Table1[[#This Row],[Isin code]],Table2[#All],7,FALSE)</f>
        <v>8.75</v>
      </c>
      <c r="U937" s="17" t="str">
        <f>VLOOKUP(Table1[[#This Row],[Isin code]],Table2[#All],8,FALSE)</f>
        <v>28-Apr-2027</v>
      </c>
      <c r="V937" s="10">
        <f ca="1">Table1[[#This Row],[Maturity]]-TODAY()</f>
        <v>924</v>
      </c>
      <c r="W937" t="str">
        <f>VLOOKUP(Table1[[#This Row],[Isin code]],Table2[#All],10,FALSE)</f>
        <v>Yearly</v>
      </c>
      <c r="X937">
        <f ca="1">_xlfn.DAYS(Table1[[#This Row],[Maturity]],TODAY())-15</f>
        <v>909</v>
      </c>
      <c r="Y9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37">
        <f>IF(Table1[[#This Row],[Ask Rate]]=0,0,Table1[[#This Row],[Face Value]]-Table1[[#This Row],[Ask Rate]])</f>
        <v>0</v>
      </c>
      <c r="AA937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937">
        <f ca="1">Table1[[#This Row],[Face Value]]*Table1[[#This Row],[Rate]]*Table1[[#This Row],[Time]]</f>
        <v>262.5</v>
      </c>
      <c r="AC937">
        <f ca="1">Table1[[#This Row],[SI]]+Table1[[#This Row],[Disc/Prem]]</f>
        <v>262.5</v>
      </c>
      <c r="AD937" s="3" t="e">
        <f ca="1">Table1[[#This Row],[Net Gain]]/Table1[[#This Row],[Ask Rate]]</f>
        <v>#DIV/0!</v>
      </c>
      <c r="AE937" s="3">
        <f>IF(Table1[[#This Row],[Ask Qty]]=0,0,Table1[[#This Row],[Gross Yield]]*365/Table1[[#This Row],[Days Left]])</f>
        <v>0</v>
      </c>
      <c r="AF937" s="9">
        <f ca="1">+Table1[[#This Row],[Net Gain]]*Table1[[#This Row],[Ask Qty]]</f>
        <v>0</v>
      </c>
      <c r="AG937" t="str">
        <f>IF(Table1[[#This Row],[YTM]]&gt;0.12,IF(Table1[[#This Row],[Gross Profit]]&gt;10000,"Invest","Review"),"Low YTM")</f>
        <v>Low YTM</v>
      </c>
    </row>
    <row r="938" spans="1:33" x14ac:dyDescent="0.3">
      <c r="A938" t="str">
        <f>RTD("nest.scriprtd",,"bse_cm|925SCL28A","Symbol")</f>
        <v>925SCL28A</v>
      </c>
      <c r="B938" t="str">
        <f>RTD("nest.scriprtd",,"bse_cm|925SCL28A","Trading Symbol")</f>
        <v>925SCL28A</v>
      </c>
      <c r="C938" t="str">
        <f>RTD("nest.scriprtd",,"bse_cm|925SCL28A","Exchange")</f>
        <v>BSE</v>
      </c>
      <c r="D938">
        <f>RTD("nest.scriprtd",,"bse_cm|925SCL28A","Bid Qty")</f>
        <v>8</v>
      </c>
      <c r="E938">
        <f>RTD("nest.scriprtd",,"bse_cm|925SCL28A","Bid Rate")</f>
        <v>822.4</v>
      </c>
      <c r="F938">
        <f>RTD("nest.scriprtd",,"bse_cm|925SCL28A","Ask Rate")</f>
        <v>0</v>
      </c>
      <c r="G938">
        <f>RTD("nest.scriprtd",,"bse_cm|925SCL28A","Ask Qty")</f>
        <v>0</v>
      </c>
      <c r="H938">
        <f>RTD("nest.scriprtd",,"bse_cm|925SCL28A","LTP")</f>
        <v>0</v>
      </c>
      <c r="I938" t="str">
        <f>RTD("nest.scriprtd",,"bse_cm|925SCL28A","LTT")</f>
        <v>00:00:00</v>
      </c>
      <c r="J938">
        <f>RTD("nest.scriprtd",,"bse_cm|925SCL28A","% Change")</f>
        <v>-100</v>
      </c>
      <c r="K938">
        <f>RTD("nest.scriprtd",,"bse_cm|925SCL28A","ATP")</f>
        <v>0</v>
      </c>
      <c r="L938">
        <f>RTD("nest.scriprtd",,"bse_cm|925SCL28A","Volume Traded Today")</f>
        <v>0</v>
      </c>
      <c r="M938">
        <f>RTD("nest.scriprtd",,"bse_cm|925SCL28A","Open")</f>
        <v>0</v>
      </c>
      <c r="N938">
        <f>RTD("nest.scriprtd",,"bse_cm|925SCL28A","High")</f>
        <v>1183.8</v>
      </c>
      <c r="O938">
        <f>RTD("nest.scriprtd",,"bse_cm|925SCL28A","Low ")</f>
        <v>839.35</v>
      </c>
      <c r="P938">
        <f>RTD("nest.scriprtd",,"bse_cm|925SCL28A","Prev Close")</f>
        <v>839.35</v>
      </c>
      <c r="Q938">
        <f>RTD("nest.scriprtd",,"bse_cm|925SCL28A","Face Value")</f>
        <v>1000</v>
      </c>
      <c r="R938" t="str">
        <f>RTD("nest.scriprtd",,"bse_cm|925SCL28A","Isin code")</f>
        <v>INE148I07QS7</v>
      </c>
      <c r="S938" s="9">
        <f>Table1[[#This Row],[Ask Rate]]*Table1[[#This Row],[Ask Qty]]</f>
        <v>0</v>
      </c>
      <c r="T938">
        <f>VLOOKUP(Table1[[#This Row],[Isin code]],Table2[#All],7,FALSE)</f>
        <v>9.25</v>
      </c>
      <c r="U938" s="17" t="str">
        <f>VLOOKUP(Table1[[#This Row],[Isin code]],Table2[#All],8,FALSE)</f>
        <v>09-Nov-2028</v>
      </c>
      <c r="V938" s="10">
        <f ca="1">Table1[[#This Row],[Maturity]]-TODAY()</f>
        <v>1485</v>
      </c>
      <c r="W938" t="str">
        <f>VLOOKUP(Table1[[#This Row],[Isin code]],Table2[#All],10,FALSE)</f>
        <v>Monthly</v>
      </c>
      <c r="X938">
        <f ca="1">_xlfn.DAYS(Table1[[#This Row],[Maturity]],TODAY())-15</f>
        <v>1470</v>
      </c>
      <c r="Y9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49</v>
      </c>
      <c r="Z938">
        <f>IF(Table1[[#This Row],[Ask Rate]]=0,0,Table1[[#This Row],[Face Value]]-Table1[[#This Row],[Ask Rate]])</f>
        <v>0</v>
      </c>
      <c r="AA938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938">
        <f ca="1">Table1[[#This Row],[Face Value]]*Table1[[#This Row],[Rate]]*Table1[[#This Row],[Time]]</f>
        <v>377.70833333333337</v>
      </c>
      <c r="AC938">
        <f ca="1">Table1[[#This Row],[SI]]+Table1[[#This Row],[Disc/Prem]]</f>
        <v>377.70833333333337</v>
      </c>
      <c r="AD938" s="3" t="e">
        <f ca="1">Table1[[#This Row],[Net Gain]]/Table1[[#This Row],[Ask Rate]]</f>
        <v>#DIV/0!</v>
      </c>
      <c r="AE938" s="3">
        <f>IF(Table1[[#This Row],[Ask Qty]]=0,0,Table1[[#This Row],[Gross Yield]]*365/Table1[[#This Row],[Days Left]])</f>
        <v>0</v>
      </c>
      <c r="AF938" s="9">
        <f ca="1">+Table1[[#This Row],[Net Gain]]*Table1[[#This Row],[Ask Qty]]</f>
        <v>0</v>
      </c>
      <c r="AG938" t="str">
        <f>IF(Table1[[#This Row],[YTM]]&gt;0.12,IF(Table1[[#This Row],[Gross Profit]]&gt;10000,"Invest","Review"),"Low YTM")</f>
        <v>Low YTM</v>
      </c>
    </row>
    <row r="939" spans="1:33" x14ac:dyDescent="0.3">
      <c r="A939" t="str">
        <f>RTD("nest.scriprtd",,"nse_cm|925SCL28-AM","Symbol")</f>
        <v>925SCL28</v>
      </c>
      <c r="B939" t="str">
        <f>RTD("nest.scriprtd",,"nse_cm|925SCL28-AM","Trading Symbol")</f>
        <v>925SCL28-AM</v>
      </c>
      <c r="C939" t="str">
        <f>RTD("nest.scriprtd",,"nse_cm|925SCL28-AM","Exchange")</f>
        <v>NSE</v>
      </c>
      <c r="D939">
        <f>RTD("nest.scriprtd",,"nse_cm|925SCL28-AM","Bid Qty")</f>
        <v>10</v>
      </c>
      <c r="E939">
        <f>RTD("nest.scriprtd",,"nse_cm|925SCL28-AM","Bid Rate")</f>
        <v>655.4</v>
      </c>
      <c r="F939">
        <f>RTD("nest.scriprtd",,"nse_cm|925SCL28-AM","Ask Rate")</f>
        <v>0</v>
      </c>
      <c r="G939">
        <f>RTD("nest.scriprtd",,"nse_cm|925SCL28-AM","Ask Qty")</f>
        <v>0</v>
      </c>
      <c r="H939">
        <f>RTD("nest.scriprtd",,"nse_cm|925SCL28-AM","LTP")</f>
        <v>0</v>
      </c>
      <c r="I939" t="str">
        <f>RTD("nest.scriprtd",,"nse_cm|925SCL28-AM","LTT")</f>
        <v/>
      </c>
      <c r="J939">
        <f>RTD("nest.scriprtd",,"nse_cm|925SCL28-AM","% Change")</f>
        <v>-100</v>
      </c>
      <c r="K939">
        <f>RTD("nest.scriprtd",,"nse_cm|925SCL28-AM","ATP")</f>
        <v>0</v>
      </c>
      <c r="L939">
        <f>RTD("nest.scriprtd",,"nse_cm|925SCL28-AM","Volume Traded Today")</f>
        <v>0</v>
      </c>
      <c r="M939">
        <f>RTD("nest.scriprtd",,"nse_cm|925SCL28-AM","Open")</f>
        <v>0</v>
      </c>
      <c r="N939">
        <f>RTD("nest.scriprtd",,"nse_cm|925SCL28-AM","High")</f>
        <v>0</v>
      </c>
      <c r="O939">
        <f>RTD("nest.scriprtd",,"nse_cm|925SCL28-AM","Low ")</f>
        <v>0</v>
      </c>
      <c r="P939">
        <f>RTD("nest.scriprtd",,"nse_cm|925SCL28-AM","Prev Close")</f>
        <v>1000</v>
      </c>
      <c r="Q939">
        <f>RTD("nest.scriprtd",,"nse_cm|925SCL28-AM","Face Value")</f>
        <v>800</v>
      </c>
      <c r="R939" t="str">
        <f>RTD("nest.scriprtd",,"nse_cm|925SCL28-AM","Isin code")</f>
        <v>INE148I07NX4</v>
      </c>
      <c r="S939" s="9">
        <f>Table1[[#This Row],[Ask Rate]]*Table1[[#This Row],[Ask Qty]]</f>
        <v>0</v>
      </c>
      <c r="T939">
        <f>VLOOKUP(Table1[[#This Row],[Isin code]],Table2[#All],7,FALSE)</f>
        <v>9.25</v>
      </c>
      <c r="U939" s="17" t="str">
        <f>VLOOKUP(Table1[[#This Row],[Isin code]],Table2[#All],8,FALSE)</f>
        <v>23-Mar-2028</v>
      </c>
      <c r="V939" s="10">
        <f ca="1">Table1[[#This Row],[Maturity]]-TODAY()</f>
        <v>1254</v>
      </c>
      <c r="W939" t="str">
        <f>VLOOKUP(Table1[[#This Row],[Isin code]],Table2[#All],10,FALSE)</f>
        <v>Monthly</v>
      </c>
      <c r="X939">
        <f ca="1">_xlfn.DAYS(Table1[[#This Row],[Maturity]],TODAY())-15</f>
        <v>1239</v>
      </c>
      <c r="Y9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42</v>
      </c>
      <c r="Z939">
        <f>IF(Table1[[#This Row],[Ask Rate]]=0,0,Table1[[#This Row],[Face Value]]-Table1[[#This Row],[Ask Rate]])</f>
        <v>0</v>
      </c>
      <c r="AA939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939">
        <f ca="1">Table1[[#This Row],[Face Value]]*Table1[[#This Row],[Rate]]*Table1[[#This Row],[Time]]</f>
        <v>259</v>
      </c>
      <c r="AC939">
        <f ca="1">Table1[[#This Row],[SI]]+Table1[[#This Row],[Disc/Prem]]</f>
        <v>259</v>
      </c>
      <c r="AD939" s="3" t="e">
        <f ca="1">Table1[[#This Row],[Net Gain]]/Table1[[#This Row],[Ask Rate]]</f>
        <v>#DIV/0!</v>
      </c>
      <c r="AE939" s="3">
        <f>IF(Table1[[#This Row],[Ask Qty]]=0,0,Table1[[#This Row],[Gross Yield]]*365/Table1[[#This Row],[Days Left]])</f>
        <v>0</v>
      </c>
      <c r="AF939" s="9">
        <f ca="1">+Table1[[#This Row],[Net Gain]]*Table1[[#This Row],[Ask Qty]]</f>
        <v>0</v>
      </c>
      <c r="AG939" t="str">
        <f>IF(Table1[[#This Row],[YTM]]&gt;0.12,IF(Table1[[#This Row],[Gross Profit]]&gt;10000,"Invest","Review"),"Low YTM")</f>
        <v>Low YTM</v>
      </c>
    </row>
    <row r="940" spans="1:33" x14ac:dyDescent="0.3">
      <c r="A940" t="str">
        <f>RTD("nest.scriprtd",,"bse_cm|925SCL28","Symbol")</f>
        <v>925SCL28</v>
      </c>
      <c r="B940" t="str">
        <f>RTD("nest.scriprtd",,"bse_cm|925SCL28","Trading Symbol")</f>
        <v>925SCL28</v>
      </c>
      <c r="C940" t="str">
        <f>RTD("nest.scriprtd",,"bse_cm|925SCL28","Exchange")</f>
        <v>BSE</v>
      </c>
      <c r="D940">
        <f>RTD("nest.scriprtd",,"bse_cm|925SCL28","Bid Qty")</f>
        <v>20</v>
      </c>
      <c r="E940">
        <f>RTD("nest.scriprtd",,"bse_cm|925SCL28","Bid Rate")</f>
        <v>682</v>
      </c>
      <c r="F940">
        <f>RTD("nest.scriprtd",,"bse_cm|925SCL28","Ask Rate")</f>
        <v>0</v>
      </c>
      <c r="G940">
        <f>RTD("nest.scriprtd",,"bse_cm|925SCL28","Ask Qty")</f>
        <v>0</v>
      </c>
      <c r="H940">
        <f>RTD("nest.scriprtd",,"bse_cm|925SCL28","LTP")</f>
        <v>0</v>
      </c>
      <c r="I940" t="str">
        <f>RTD("nest.scriprtd",,"bse_cm|925SCL28","LTT")</f>
        <v>00:00:00</v>
      </c>
      <c r="J940">
        <f>RTD("nest.scriprtd",,"bse_cm|925SCL28","% Change")</f>
        <v>-100</v>
      </c>
      <c r="K940">
        <f>RTD("nest.scriprtd",,"bse_cm|925SCL28","ATP")</f>
        <v>0</v>
      </c>
      <c r="L940">
        <f>RTD("nest.scriprtd",,"bse_cm|925SCL28","Volume Traded Today")</f>
        <v>0</v>
      </c>
      <c r="M940">
        <f>RTD("nest.scriprtd",,"bse_cm|925SCL28","Open")</f>
        <v>0</v>
      </c>
      <c r="N940">
        <f>RTD("nest.scriprtd",,"bse_cm|925SCL28","High")</f>
        <v>0</v>
      </c>
      <c r="O940">
        <f>RTD("nest.scriprtd",,"bse_cm|925SCL28","Low ")</f>
        <v>0</v>
      </c>
      <c r="P940">
        <f>RTD("nest.scriprtd",,"bse_cm|925SCL28","Prev Close")</f>
        <v>800</v>
      </c>
      <c r="Q940">
        <f>RTD("nest.scriprtd",,"bse_cm|925SCL28","Face Value")</f>
        <v>800</v>
      </c>
      <c r="R940" t="str">
        <f>RTD("nest.scriprtd",,"bse_cm|925SCL28","Isin code")</f>
        <v>INE148I07NX4</v>
      </c>
      <c r="S940" s="9">
        <f>Table1[[#This Row],[Ask Rate]]*Table1[[#This Row],[Ask Qty]]</f>
        <v>0</v>
      </c>
      <c r="T940">
        <f>VLOOKUP(Table1[[#This Row],[Isin code]],Table2[#All],7,FALSE)</f>
        <v>9.25</v>
      </c>
      <c r="U940" s="17" t="str">
        <f>VLOOKUP(Table1[[#This Row],[Isin code]],Table2[#All],8,FALSE)</f>
        <v>23-Mar-2028</v>
      </c>
      <c r="V940" s="10">
        <f ca="1">Table1[[#This Row],[Maturity]]-TODAY()</f>
        <v>1254</v>
      </c>
      <c r="W940" t="str">
        <f>VLOOKUP(Table1[[#This Row],[Isin code]],Table2[#All],10,FALSE)</f>
        <v>Monthly</v>
      </c>
      <c r="X940">
        <f ca="1">_xlfn.DAYS(Table1[[#This Row],[Maturity]],TODAY())-15</f>
        <v>1239</v>
      </c>
      <c r="Y9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42</v>
      </c>
      <c r="Z940">
        <f>IF(Table1[[#This Row],[Ask Rate]]=0,0,Table1[[#This Row],[Face Value]]-Table1[[#This Row],[Ask Rate]])</f>
        <v>0</v>
      </c>
      <c r="AA940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940">
        <f ca="1">Table1[[#This Row],[Face Value]]*Table1[[#This Row],[Rate]]*Table1[[#This Row],[Time]]</f>
        <v>259</v>
      </c>
      <c r="AC940">
        <f ca="1">Table1[[#This Row],[SI]]+Table1[[#This Row],[Disc/Prem]]</f>
        <v>259</v>
      </c>
      <c r="AD940" s="3" t="e">
        <f ca="1">Table1[[#This Row],[Net Gain]]/Table1[[#This Row],[Ask Rate]]</f>
        <v>#DIV/0!</v>
      </c>
      <c r="AE940" s="3">
        <f>IF(Table1[[#This Row],[Ask Qty]]=0,0,Table1[[#This Row],[Gross Yield]]*365/Table1[[#This Row],[Days Left]])</f>
        <v>0</v>
      </c>
      <c r="AF940" s="9">
        <f ca="1">+Table1[[#This Row],[Net Gain]]*Table1[[#This Row],[Ask Qty]]</f>
        <v>0</v>
      </c>
      <c r="AG940" t="str">
        <f>IF(Table1[[#This Row],[YTM]]&gt;0.12,IF(Table1[[#This Row],[Gross Profit]]&gt;10000,"Invest","Review"),"Low YTM")</f>
        <v>Low YTM</v>
      </c>
    </row>
    <row r="941" spans="1:33" x14ac:dyDescent="0.3">
      <c r="A941" t="str">
        <f>RTD("nest.scriprtd",,"bse_cm|847SCL25","Symbol")</f>
        <v>847SCL25</v>
      </c>
      <c r="B941" t="str">
        <f>RTD("nest.scriprtd",,"bse_cm|847SCL25","Trading Symbol")</f>
        <v>847SCL25</v>
      </c>
      <c r="C941" t="str">
        <f>RTD("nest.scriprtd",,"bse_cm|847SCL25","Exchange")</f>
        <v>BSE</v>
      </c>
      <c r="D941">
        <f>RTD("nest.scriprtd",,"bse_cm|847SCL25","Bid Qty")</f>
        <v>12</v>
      </c>
      <c r="E941">
        <f>RTD("nest.scriprtd",,"bse_cm|847SCL25","Bid Rate")</f>
        <v>920.1</v>
      </c>
      <c r="F941">
        <f>RTD("nest.scriprtd",,"bse_cm|847SCL25","Ask Rate")</f>
        <v>0</v>
      </c>
      <c r="G941">
        <f>RTD("nest.scriprtd",,"bse_cm|847SCL25","Ask Qty")</f>
        <v>0</v>
      </c>
      <c r="H941">
        <f>RTD("nest.scriprtd",,"bse_cm|847SCL25","LTP")</f>
        <v>0</v>
      </c>
      <c r="I941" t="str">
        <f>RTD("nest.scriprtd",,"bse_cm|847SCL25","LTT")</f>
        <v>00:00:00</v>
      </c>
      <c r="J941">
        <f>RTD("nest.scriprtd",,"bse_cm|847SCL25","% Change")</f>
        <v>-100</v>
      </c>
      <c r="K941">
        <f>RTD("nest.scriprtd",,"bse_cm|847SCL25","ATP")</f>
        <v>0</v>
      </c>
      <c r="L941">
        <f>RTD("nest.scriprtd",,"bse_cm|847SCL25","Volume Traded Today")</f>
        <v>0</v>
      </c>
      <c r="M941">
        <f>RTD("nest.scriprtd",,"bse_cm|847SCL25","Open")</f>
        <v>0</v>
      </c>
      <c r="N941">
        <f>RTD("nest.scriprtd",,"bse_cm|847SCL25","High")</f>
        <v>980.11</v>
      </c>
      <c r="O941">
        <f>RTD("nest.scriprtd",,"bse_cm|847SCL25","Low ")</f>
        <v>980.11</v>
      </c>
      <c r="P941">
        <f>RTD("nest.scriprtd",,"bse_cm|847SCL25","Prev Close")</f>
        <v>980.11</v>
      </c>
      <c r="Q941">
        <f>RTD("nest.scriprtd",,"bse_cm|847SCL25","Face Value")</f>
        <v>1000</v>
      </c>
      <c r="R941" t="str">
        <f>RTD("nest.scriprtd",,"bse_cm|847SCL25","Isin code")</f>
        <v>INE148I07MB2</v>
      </c>
      <c r="S941" s="9">
        <f>Table1[[#This Row],[Ask Rate]]*Table1[[#This Row],[Ask Qty]]</f>
        <v>0</v>
      </c>
      <c r="T941">
        <f>VLOOKUP(Table1[[#This Row],[Isin code]],Table2[#All],7,FALSE)</f>
        <v>9.3000000000000007</v>
      </c>
      <c r="U941" s="17">
        <f>VLOOKUP(Table1[[#This Row],[Isin code]],Table2[#All],8,FALSE)</f>
        <v>45928</v>
      </c>
      <c r="V941" s="10">
        <f ca="1">Table1[[#This Row],[Maturity]]-TODAY()</f>
        <v>347</v>
      </c>
      <c r="W941" t="str">
        <f>VLOOKUP(Table1[[#This Row],[Isin code]],Table2[#All],10,FALSE)</f>
        <v>Yearly</v>
      </c>
      <c r="X941">
        <f ca="1">_xlfn.DAYS(Table1[[#This Row],[Maturity]],TODAY())-15</f>
        <v>332</v>
      </c>
      <c r="Y9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41">
        <f>IF(Table1[[#This Row],[Ask Rate]]=0,0,Table1[[#This Row],[Face Value]]-Table1[[#This Row],[Ask Rate]])</f>
        <v>0</v>
      </c>
      <c r="AA941">
        <f>IF(Table1[[#This Row],[Freq]]="Yearly",Table1[[#This Row],[Coupon_Rate]]/100,IF(Table1[[#This Row],[Freq]]="Monthly",Table1[[#This Row],[Coupon_Rate]]/1200,IF(Table1[[#This Row],[Freq]]="Quarterly",Table1[[#This Row],[Coupon_Rate]]/400,0)))</f>
        <v>9.3000000000000013E-2</v>
      </c>
      <c r="AB941">
        <f ca="1">Table1[[#This Row],[Face Value]]*Table1[[#This Row],[Rate]]*Table1[[#This Row],[Time]]</f>
        <v>93.000000000000014</v>
      </c>
      <c r="AC941">
        <f ca="1">Table1[[#This Row],[SI]]+Table1[[#This Row],[Disc/Prem]]</f>
        <v>93.000000000000014</v>
      </c>
      <c r="AD941" s="3" t="e">
        <f ca="1">Table1[[#This Row],[Net Gain]]/Table1[[#This Row],[Ask Rate]]</f>
        <v>#DIV/0!</v>
      </c>
      <c r="AE941" s="3">
        <f>IF(Table1[[#This Row],[Ask Qty]]=0,0,Table1[[#This Row],[Gross Yield]]*365/Table1[[#This Row],[Days Left]])</f>
        <v>0</v>
      </c>
      <c r="AF941" s="9">
        <f ca="1">+Table1[[#This Row],[Net Gain]]*Table1[[#This Row],[Ask Qty]]</f>
        <v>0</v>
      </c>
      <c r="AG941" t="str">
        <f>IF(Table1[[#This Row],[YTM]]&gt;0.12,IF(Table1[[#This Row],[Gross Profit]]&gt;10000,"Invest","Review"),"Low YTM")</f>
        <v>Low YTM</v>
      </c>
    </row>
    <row r="942" spans="1:33" hidden="1" x14ac:dyDescent="0.3">
      <c r="A942" t="str">
        <f>RTD("nest.scriprtd",,"nse_cm|845LTF24-NI","Symbol")</f>
        <v>845LTF24</v>
      </c>
      <c r="B942" t="str">
        <f>RTD("nest.scriprtd",,"nse_cm|845LTF24-NI","Trading Symbol")</f>
        <v>845LTF24-NI</v>
      </c>
      <c r="C942" t="str">
        <f>RTD("nest.scriprtd",,"nse_cm|845LTF24-NI","Exchange")</f>
        <v>NSE</v>
      </c>
      <c r="D942">
        <f>RTD("nest.scriprtd",,"nse_cm|845LTF24-NI","Bid Qty")</f>
        <v>0</v>
      </c>
      <c r="E942">
        <f>RTD("nest.scriprtd",,"nse_cm|845LTF24-NI","Bid Rate")</f>
        <v>0</v>
      </c>
      <c r="F942">
        <f>RTD("nest.scriprtd",,"nse_cm|845LTF24-NI","Ask Rate")</f>
        <v>0</v>
      </c>
      <c r="G942">
        <f>RTD("nest.scriprtd",,"nse_cm|845LTF24-NI","Ask Qty")</f>
        <v>0</v>
      </c>
      <c r="H942">
        <f>RTD("nest.scriprtd",,"nse_cm|845LTF24-NI","LTP")</f>
        <v>0</v>
      </c>
      <c r="I942" t="str">
        <f>RTD("nest.scriprtd",,"nse_cm|845LTF24-NI","LTT")</f>
        <v/>
      </c>
      <c r="J942">
        <f>RTD("nest.scriprtd",,"nse_cm|845LTF24-NI","% Change")</f>
        <v>0</v>
      </c>
      <c r="K942">
        <f>RTD("nest.scriprtd",,"nse_cm|845LTF24-NI","ATP")</f>
        <v>0</v>
      </c>
      <c r="L942">
        <f>RTD("nest.scriprtd",,"nse_cm|845LTF24-NI","Volume Traded Today")</f>
        <v>0</v>
      </c>
      <c r="M942">
        <f>RTD("nest.scriprtd",,"nse_cm|845LTF24-NI","Open")</f>
        <v>0</v>
      </c>
      <c r="N942">
        <f>RTD("nest.scriprtd",,"nse_cm|845LTF24-NI","High")</f>
        <v>0</v>
      </c>
      <c r="O942">
        <f>RTD("nest.scriprtd",,"nse_cm|845LTF24-NI","Low ")</f>
        <v>0</v>
      </c>
      <c r="P942">
        <f>RTD("nest.scriprtd",,"nse_cm|845LTF24-NI","Prev Close")</f>
        <v>0</v>
      </c>
      <c r="Q942">
        <f>RTD("nest.scriprtd",,"nse_cm|845LTF24-NI","Face Value")</f>
        <v>1000</v>
      </c>
      <c r="R942" t="str">
        <f>RTD("nest.scriprtd",,"nse_cm|845LTF24-NI","Isin code")</f>
        <v>INE027E07AX6</v>
      </c>
      <c r="S942" s="9">
        <f>Table1[[#This Row],[Ask Rate]]*Table1[[#This Row],[Ask Qty]]</f>
        <v>0</v>
      </c>
      <c r="T942">
        <f>VLOOKUP(Table1[[#This Row],[Isin code]],Table2[#All],7,FALSE)</f>
        <v>8.4500000000000011</v>
      </c>
      <c r="U942" s="17" t="str">
        <f>VLOOKUP(Table1[[#This Row],[Isin code]],Table2[#All],8,FALSE)</f>
        <v>23-Dec-2024</v>
      </c>
      <c r="V942" s="10">
        <f ca="1">Table1[[#This Row],[Maturity]]-TODAY()</f>
        <v>68</v>
      </c>
      <c r="W942" t="str">
        <f>VLOOKUP(Table1[[#This Row],[Isin code]],Table2[#All],10,FALSE)</f>
        <v>Yearly</v>
      </c>
      <c r="X942">
        <f ca="1">_xlfn.DAYS(Table1[[#This Row],[Maturity]],TODAY())-15</f>
        <v>53</v>
      </c>
      <c r="Y9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42">
        <f>IF(Table1[[#This Row],[Ask Rate]]=0,0,Table1[[#This Row],[Face Value]]-Table1[[#This Row],[Ask Rate]])</f>
        <v>0</v>
      </c>
      <c r="AA942">
        <f>IF(Table1[[#This Row],[Freq]]="Yearly",Table1[[#This Row],[Coupon_Rate]]/100,IF(Table1[[#This Row],[Freq]]="Monthly",Table1[[#This Row],[Coupon_Rate]]/1200,IF(Table1[[#This Row],[Freq]]="Quarterly",Table1[[#This Row],[Coupon_Rate]]/400,0)))</f>
        <v>8.4500000000000006E-2</v>
      </c>
      <c r="AB942">
        <f ca="1">Table1[[#This Row],[Face Value]]*Table1[[#This Row],[Rate]]*Table1[[#This Row],[Time]]</f>
        <v>84.5</v>
      </c>
      <c r="AC942">
        <f ca="1">Table1[[#This Row],[SI]]+Table1[[#This Row],[Disc/Prem]]</f>
        <v>84.5</v>
      </c>
      <c r="AD942" s="3" t="e">
        <f ca="1">Table1[[#This Row],[Net Gain]]/Table1[[#This Row],[Ask Rate]]</f>
        <v>#DIV/0!</v>
      </c>
      <c r="AE942" s="3">
        <f>IF(Table1[[#This Row],[Ask Qty]]=0,0,Table1[[#This Row],[Gross Yield]]*365/Table1[[#This Row],[Days Left]])</f>
        <v>0</v>
      </c>
      <c r="AF942" s="9">
        <f ca="1">+Table1[[#This Row],[Net Gain]]*Table1[[#This Row],[Ask Qty]]</f>
        <v>0</v>
      </c>
      <c r="AG942" t="str">
        <f>IF(Table1[[#This Row],[YTM]]&gt;0.12,IF(Table1[[#This Row],[Gross Profit]]&gt;10000,"Invest","Review"),"Low YTM")</f>
        <v>Low YTM</v>
      </c>
    </row>
    <row r="943" spans="1:33" hidden="1" x14ac:dyDescent="0.3">
      <c r="A943" t="str">
        <f>RTD("nest.scriprtd",,"bse_cm|845LTF24","Symbol")</f>
        <v>845LTF24</v>
      </c>
      <c r="B943" t="str">
        <f>RTD("nest.scriprtd",,"bse_cm|845LTF24","Trading Symbol")</f>
        <v>845LTF24</v>
      </c>
      <c r="C943" t="str">
        <f>RTD("nest.scriprtd",,"bse_cm|845LTF24","Exchange")</f>
        <v>BSE</v>
      </c>
      <c r="D943">
        <f>RTD("nest.scriprtd",,"bse_cm|845LTF24","Bid Qty")</f>
        <v>20</v>
      </c>
      <c r="E943">
        <f>RTD("nest.scriprtd",,"bse_cm|845LTF24","Bid Rate")</f>
        <v>960.2</v>
      </c>
      <c r="F943">
        <f>RTD("nest.scriprtd",,"bse_cm|845LTF24","Ask Rate")</f>
        <v>0</v>
      </c>
      <c r="G943">
        <f>RTD("nest.scriprtd",,"bse_cm|845LTF24","Ask Qty")</f>
        <v>0</v>
      </c>
      <c r="H943">
        <f>RTD("nest.scriprtd",,"bse_cm|845LTF24","LTP")</f>
        <v>0</v>
      </c>
      <c r="I943" t="str">
        <f>RTD("nest.scriprtd",,"bse_cm|845LTF24","LTT")</f>
        <v>00:00:00</v>
      </c>
      <c r="J943">
        <f>RTD("nest.scriprtd",,"bse_cm|845LTF24","% Change")</f>
        <v>-100</v>
      </c>
      <c r="K943">
        <f>RTD("nest.scriprtd",,"bse_cm|845LTF24","ATP")</f>
        <v>0</v>
      </c>
      <c r="L943">
        <f>RTD("nest.scriprtd",,"bse_cm|845LTF24","Volume Traded Today")</f>
        <v>0</v>
      </c>
      <c r="M943">
        <f>RTD("nest.scriprtd",,"bse_cm|845LTF24","Open")</f>
        <v>0</v>
      </c>
      <c r="N943">
        <f>RTD("nest.scriprtd",,"bse_cm|845LTF24","High")</f>
        <v>1030</v>
      </c>
      <c r="O943">
        <f>RTD("nest.scriprtd",,"bse_cm|845LTF24","Low ")</f>
        <v>1012.14</v>
      </c>
      <c r="P943">
        <f>RTD("nest.scriprtd",,"bse_cm|845LTF24","Prev Close")</f>
        <v>1030</v>
      </c>
      <c r="Q943">
        <f>RTD("nest.scriprtd",,"bse_cm|845LTF24","Face Value")</f>
        <v>1000</v>
      </c>
      <c r="R943" t="str">
        <f>RTD("nest.scriprtd",,"bse_cm|845LTF24","Isin code")</f>
        <v>INE027E07AX6</v>
      </c>
      <c r="S943" s="9">
        <f>Table1[[#This Row],[Ask Rate]]*Table1[[#This Row],[Ask Qty]]</f>
        <v>0</v>
      </c>
      <c r="T943">
        <f>VLOOKUP(Table1[[#This Row],[Isin code]],Table2[#All],7,FALSE)</f>
        <v>8.4500000000000011</v>
      </c>
      <c r="U943" s="17" t="str">
        <f>VLOOKUP(Table1[[#This Row],[Isin code]],Table2[#All],8,FALSE)</f>
        <v>23-Dec-2024</v>
      </c>
      <c r="V943" s="10">
        <f ca="1">Table1[[#This Row],[Maturity]]-TODAY()</f>
        <v>68</v>
      </c>
      <c r="W943" t="str">
        <f>VLOOKUP(Table1[[#This Row],[Isin code]],Table2[#All],10,FALSE)</f>
        <v>Yearly</v>
      </c>
      <c r="X943">
        <f ca="1">_xlfn.DAYS(Table1[[#This Row],[Maturity]],TODAY())-15</f>
        <v>53</v>
      </c>
      <c r="Y9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43">
        <f>IF(Table1[[#This Row],[Ask Rate]]=0,0,Table1[[#This Row],[Face Value]]-Table1[[#This Row],[Ask Rate]])</f>
        <v>0</v>
      </c>
      <c r="AA943">
        <f>IF(Table1[[#This Row],[Freq]]="Yearly",Table1[[#This Row],[Coupon_Rate]]/100,IF(Table1[[#This Row],[Freq]]="Monthly",Table1[[#This Row],[Coupon_Rate]]/1200,IF(Table1[[#This Row],[Freq]]="Quarterly",Table1[[#This Row],[Coupon_Rate]]/400,0)))</f>
        <v>8.4500000000000006E-2</v>
      </c>
      <c r="AB943">
        <f ca="1">Table1[[#This Row],[Face Value]]*Table1[[#This Row],[Rate]]*Table1[[#This Row],[Time]]</f>
        <v>84.5</v>
      </c>
      <c r="AC943">
        <f ca="1">Table1[[#This Row],[SI]]+Table1[[#This Row],[Disc/Prem]]</f>
        <v>84.5</v>
      </c>
      <c r="AD943" s="3" t="e">
        <f ca="1">Table1[[#This Row],[Net Gain]]/Table1[[#This Row],[Ask Rate]]</f>
        <v>#DIV/0!</v>
      </c>
      <c r="AE943" s="3">
        <f>IF(Table1[[#This Row],[Ask Qty]]=0,0,Table1[[#This Row],[Gross Yield]]*365/Table1[[#This Row],[Days Left]])</f>
        <v>0</v>
      </c>
      <c r="AF943" s="9">
        <f ca="1">+Table1[[#This Row],[Net Gain]]*Table1[[#This Row],[Ask Qty]]</f>
        <v>0</v>
      </c>
      <c r="AG943" t="str">
        <f>IF(Table1[[#This Row],[YTM]]&gt;0.12,IF(Table1[[#This Row],[Gross Profit]]&gt;10000,"Invest","Review"),"Low YTM")</f>
        <v>Low YTM</v>
      </c>
    </row>
    <row r="944" spans="1:33" x14ac:dyDescent="0.3">
      <c r="A944" t="str">
        <f>RTD("nest.scriprtd",,"nse_cm|843SCL27-YS","Symbol")</f>
        <v>843SCL27</v>
      </c>
      <c r="B944" t="str">
        <f>RTD("nest.scriprtd",,"nse_cm|843SCL27-YS","Trading Symbol")</f>
        <v>843SCL27-YS</v>
      </c>
      <c r="C944" t="str">
        <f>RTD("nest.scriprtd",,"nse_cm|843SCL27-YS","Exchange")</f>
        <v>NSE</v>
      </c>
      <c r="D944">
        <f>RTD("nest.scriprtd",,"nse_cm|843SCL27-YS","Bid Qty")</f>
        <v>20</v>
      </c>
      <c r="E944">
        <f>RTD("nest.scriprtd",,"nse_cm|843SCL27-YS","Bid Rate")</f>
        <v>820.2</v>
      </c>
      <c r="F944">
        <f>RTD("nest.scriprtd",,"nse_cm|843SCL27-YS","Ask Rate")</f>
        <v>0</v>
      </c>
      <c r="G944">
        <f>RTD("nest.scriprtd",,"nse_cm|843SCL27-YS","Ask Qty")</f>
        <v>0</v>
      </c>
      <c r="H944">
        <f>RTD("nest.scriprtd",,"nse_cm|843SCL27-YS","LTP")</f>
        <v>0</v>
      </c>
      <c r="I944" t="str">
        <f>RTD("nest.scriprtd",,"nse_cm|843SCL27-YS","LTT")</f>
        <v/>
      </c>
      <c r="J944">
        <f>RTD("nest.scriprtd",,"nse_cm|843SCL27-YS","% Change")</f>
        <v>-100</v>
      </c>
      <c r="K944">
        <f>RTD("nest.scriprtd",,"nse_cm|843SCL27-YS","ATP")</f>
        <v>0</v>
      </c>
      <c r="L944">
        <f>RTD("nest.scriprtd",,"nse_cm|843SCL27-YS","Volume Traded Today")</f>
        <v>0</v>
      </c>
      <c r="M944">
        <f>RTD("nest.scriprtd",,"nse_cm|843SCL27-YS","Open")</f>
        <v>0</v>
      </c>
      <c r="N944">
        <f>RTD("nest.scriprtd",,"nse_cm|843SCL27-YS","High")</f>
        <v>0</v>
      </c>
      <c r="O944">
        <f>RTD("nest.scriprtd",,"nse_cm|843SCL27-YS","Low ")</f>
        <v>0</v>
      </c>
      <c r="P944">
        <f>RTD("nest.scriprtd",,"nse_cm|843SCL27-YS","Prev Close")</f>
        <v>1000</v>
      </c>
      <c r="Q944">
        <f>RTD("nest.scriprtd",,"nse_cm|843SCL27-YS","Face Value")</f>
        <v>1000</v>
      </c>
      <c r="R944" t="str">
        <f>RTD("nest.scriprtd",,"nse_cm|843SCL27-YS","Isin code")</f>
        <v>INE148I07LU4</v>
      </c>
      <c r="S944" s="9">
        <f>Table1[[#This Row],[Ask Rate]]*Table1[[#This Row],[Ask Qty]]</f>
        <v>0</v>
      </c>
      <c r="T944">
        <f>VLOOKUP(Table1[[#This Row],[Isin code]],Table2[#All],7,FALSE)</f>
        <v>8.43</v>
      </c>
      <c r="U944" s="17" t="str">
        <f>VLOOKUP(Table1[[#This Row],[Isin code]],Table2[#All],8,FALSE)</f>
        <v>28-Apr-2027</v>
      </c>
      <c r="V944" s="10">
        <f ca="1">Table1[[#This Row],[Maturity]]-TODAY()</f>
        <v>924</v>
      </c>
      <c r="W944" t="str">
        <f>VLOOKUP(Table1[[#This Row],[Isin code]],Table2[#All],10,FALSE)</f>
        <v>Monthly</v>
      </c>
      <c r="X944">
        <f ca="1">_xlfn.DAYS(Table1[[#This Row],[Maturity]],TODAY())-15</f>
        <v>909</v>
      </c>
      <c r="Y9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944">
        <f>IF(Table1[[#This Row],[Ask Rate]]=0,0,Table1[[#This Row],[Face Value]]-Table1[[#This Row],[Ask Rate]])</f>
        <v>0</v>
      </c>
      <c r="AA944">
        <f>IF(Table1[[#This Row],[Freq]]="Yearly",Table1[[#This Row],[Coupon_Rate]]/100,IF(Table1[[#This Row],[Freq]]="Monthly",Table1[[#This Row],[Coupon_Rate]]/1200,IF(Table1[[#This Row],[Freq]]="Quarterly",Table1[[#This Row],[Coupon_Rate]]/400,0)))</f>
        <v>7.025E-3</v>
      </c>
      <c r="AB944">
        <f ca="1">Table1[[#This Row],[Face Value]]*Table1[[#This Row],[Rate]]*Table1[[#This Row],[Time]]</f>
        <v>217.77500000000001</v>
      </c>
      <c r="AC944">
        <f ca="1">Table1[[#This Row],[SI]]+Table1[[#This Row],[Disc/Prem]]</f>
        <v>217.77500000000001</v>
      </c>
      <c r="AD944" s="3" t="e">
        <f ca="1">Table1[[#This Row],[Net Gain]]/Table1[[#This Row],[Ask Rate]]</f>
        <v>#DIV/0!</v>
      </c>
      <c r="AE944" s="3">
        <f>IF(Table1[[#This Row],[Ask Qty]]=0,0,Table1[[#This Row],[Gross Yield]]*365/Table1[[#This Row],[Days Left]])</f>
        <v>0</v>
      </c>
      <c r="AF944" s="9">
        <f ca="1">+Table1[[#This Row],[Net Gain]]*Table1[[#This Row],[Ask Qty]]</f>
        <v>0</v>
      </c>
      <c r="AG944" t="str">
        <f>IF(Table1[[#This Row],[YTM]]&gt;0.12,IF(Table1[[#This Row],[Gross Profit]]&gt;10000,"Invest","Review"),"Low YTM")</f>
        <v>Low YTM</v>
      </c>
    </row>
    <row r="945" spans="1:33" hidden="1" x14ac:dyDescent="0.3">
      <c r="A945" t="str">
        <f>RTD("nest.scriprtd",,"bse_cm|93SCL24","Symbol")</f>
        <v>93SCL24</v>
      </c>
      <c r="B945" t="str">
        <f>RTD("nest.scriprtd",,"bse_cm|93SCL24","Trading Symbol")</f>
        <v>93SCL24</v>
      </c>
      <c r="C945" t="str">
        <f>RTD("nest.scriprtd",,"bse_cm|93SCL24","Exchange")</f>
        <v>BSE</v>
      </c>
      <c r="D945">
        <f>RTD("nest.scriprtd",,"bse_cm|93SCL24","Bid Qty")</f>
        <v>170</v>
      </c>
      <c r="E945">
        <f>RTD("nest.scriprtd",,"bse_cm|93SCL24","Bid Rate")</f>
        <v>1050.2</v>
      </c>
      <c r="F945">
        <f>RTD("nest.scriprtd",,"bse_cm|93SCL24","Ask Rate")</f>
        <v>0</v>
      </c>
      <c r="G945">
        <f>RTD("nest.scriprtd",,"bse_cm|93SCL24","Ask Qty")</f>
        <v>0</v>
      </c>
      <c r="H945">
        <f>RTD("nest.scriprtd",,"bse_cm|93SCL24","LTP")</f>
        <v>0</v>
      </c>
      <c r="I945" t="str">
        <f>RTD("nest.scriprtd",,"bse_cm|93SCL24","LTT")</f>
        <v>00:00:00</v>
      </c>
      <c r="J945">
        <f>RTD("nest.scriprtd",,"bse_cm|93SCL24","% Change")</f>
        <v>-100</v>
      </c>
      <c r="K945">
        <f>RTD("nest.scriprtd",,"bse_cm|93SCL24","ATP")</f>
        <v>0</v>
      </c>
      <c r="L945">
        <f>RTD("nest.scriprtd",,"bse_cm|93SCL24","Volume Traded Today")</f>
        <v>0</v>
      </c>
      <c r="M945">
        <f>RTD("nest.scriprtd",,"bse_cm|93SCL24","Open")</f>
        <v>0</v>
      </c>
      <c r="N945">
        <f>RTD("nest.scriprtd",,"bse_cm|93SCL24","High")</f>
        <v>1057</v>
      </c>
      <c r="O945">
        <f>RTD("nest.scriprtd",,"bse_cm|93SCL24","Low ")</f>
        <v>1057</v>
      </c>
      <c r="P945">
        <f>RTD("nest.scriprtd",,"bse_cm|93SCL24","Prev Close")</f>
        <v>1057</v>
      </c>
      <c r="Q945">
        <f>RTD("nest.scriprtd",,"bse_cm|93SCL24","Face Value")</f>
        <v>1000</v>
      </c>
      <c r="R945" t="str">
        <f>RTD("nest.scriprtd",,"bse_cm|93SCL24","Isin code")</f>
        <v>INE148I07NC8</v>
      </c>
      <c r="S945" s="9">
        <f>Table1[[#This Row],[Ask Rate]]*Table1[[#This Row],[Ask Qty]]</f>
        <v>0</v>
      </c>
      <c r="T945">
        <f>VLOOKUP(Table1[[#This Row],[Isin code]],Table2[#All],7,FALSE)</f>
        <v>9.3000000000000007</v>
      </c>
      <c r="U945" s="17" t="str">
        <f>VLOOKUP(Table1[[#This Row],[Isin code]],Table2[#All],8,FALSE)</f>
        <v>28-Dec-2024</v>
      </c>
      <c r="V945" s="10">
        <f ca="1">Table1[[#This Row],[Maturity]]-TODAY()</f>
        <v>73</v>
      </c>
      <c r="W945" t="str">
        <f>VLOOKUP(Table1[[#This Row],[Isin code]],Table2[#All],10,FALSE)</f>
        <v>Yearly</v>
      </c>
      <c r="X945">
        <f ca="1">_xlfn.DAYS(Table1[[#This Row],[Maturity]],TODAY())-15</f>
        <v>58</v>
      </c>
      <c r="Y9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45">
        <f>IF(Table1[[#This Row],[Ask Rate]]=0,0,Table1[[#This Row],[Face Value]]-Table1[[#This Row],[Ask Rate]])</f>
        <v>0</v>
      </c>
      <c r="AA945">
        <f>IF(Table1[[#This Row],[Freq]]="Yearly",Table1[[#This Row],[Coupon_Rate]]/100,IF(Table1[[#This Row],[Freq]]="Monthly",Table1[[#This Row],[Coupon_Rate]]/1200,IF(Table1[[#This Row],[Freq]]="Quarterly",Table1[[#This Row],[Coupon_Rate]]/400,0)))</f>
        <v>9.3000000000000013E-2</v>
      </c>
      <c r="AB945">
        <f ca="1">Table1[[#This Row],[Face Value]]*Table1[[#This Row],[Rate]]*Table1[[#This Row],[Time]]</f>
        <v>93.000000000000014</v>
      </c>
      <c r="AC945">
        <f ca="1">Table1[[#This Row],[SI]]+Table1[[#This Row],[Disc/Prem]]</f>
        <v>93.000000000000014</v>
      </c>
      <c r="AD945" s="3" t="e">
        <f ca="1">Table1[[#This Row],[Net Gain]]/Table1[[#This Row],[Ask Rate]]</f>
        <v>#DIV/0!</v>
      </c>
      <c r="AE945" s="3">
        <f>IF(Table1[[#This Row],[Ask Qty]]=0,0,Table1[[#This Row],[Gross Yield]]*365/Table1[[#This Row],[Days Left]])</f>
        <v>0</v>
      </c>
      <c r="AF945" s="9">
        <f ca="1">+Table1[[#This Row],[Net Gain]]*Table1[[#This Row],[Ask Qty]]</f>
        <v>0</v>
      </c>
      <c r="AG945" t="str">
        <f>IF(Table1[[#This Row],[YTM]]&gt;0.12,IF(Table1[[#This Row],[Gross Profit]]&gt;10000,"Invest","Review"),"Low YTM")</f>
        <v>Low YTM</v>
      </c>
    </row>
    <row r="946" spans="1:33" x14ac:dyDescent="0.3">
      <c r="A946" t="str">
        <f>RTD("nest.scriprtd",,"nse_cm|93SCFL25-Z1","Symbol")</f>
        <v>93SCFL25</v>
      </c>
      <c r="B946" t="str">
        <f>RTD("nest.scriprtd",,"nse_cm|93SCFL25-Z1","Trading Symbol")</f>
        <v>93SCFL25-Z1</v>
      </c>
      <c r="C946" t="str">
        <f>RTD("nest.scriprtd",,"nse_cm|93SCFL25-Z1","Exchange")</f>
        <v>NSE</v>
      </c>
      <c r="D946">
        <f>RTD("nest.scriprtd",,"nse_cm|93SCFL25-Z1","Bid Qty")</f>
        <v>0</v>
      </c>
      <c r="E946">
        <f>RTD("nest.scriprtd",,"nse_cm|93SCFL25-Z1","Bid Rate")</f>
        <v>0</v>
      </c>
      <c r="F946">
        <f>RTD("nest.scriprtd",,"nse_cm|93SCFL25-Z1","Ask Rate")</f>
        <v>0</v>
      </c>
      <c r="G946">
        <f>RTD("nest.scriprtd",,"nse_cm|93SCFL25-Z1","Ask Qty")</f>
        <v>0</v>
      </c>
      <c r="H946">
        <f>RTD("nest.scriprtd",,"nse_cm|93SCFL25-Z1","LTP")</f>
        <v>0</v>
      </c>
      <c r="I946" t="str">
        <f>RTD("nest.scriprtd",,"nse_cm|93SCFL25-Z1","LTT")</f>
        <v/>
      </c>
      <c r="J946">
        <f>RTD("nest.scriprtd",,"nse_cm|93SCFL25-Z1","% Change")</f>
        <v>0</v>
      </c>
      <c r="K946">
        <f>RTD("nest.scriprtd",,"nse_cm|93SCFL25-Z1","ATP")</f>
        <v>0</v>
      </c>
      <c r="L946">
        <f>RTD("nest.scriprtd",,"nse_cm|93SCFL25-Z1","Volume Traded Today")</f>
        <v>0</v>
      </c>
      <c r="M946">
        <f>RTD("nest.scriprtd",,"nse_cm|93SCFL25-Z1","Open")</f>
        <v>0</v>
      </c>
      <c r="N946">
        <f>RTD("nest.scriprtd",,"nse_cm|93SCFL25-Z1","High")</f>
        <v>0</v>
      </c>
      <c r="O946">
        <f>RTD("nest.scriprtd",,"nse_cm|93SCFL25-Z1","Low ")</f>
        <v>0</v>
      </c>
      <c r="P946">
        <f>RTD("nest.scriprtd",,"nse_cm|93SCFL25-Z1","Prev Close")</f>
        <v>0</v>
      </c>
      <c r="Q946">
        <f>RTD("nest.scriprtd",,"nse_cm|93SCFL25-Z1","Face Value")</f>
        <v>1000</v>
      </c>
      <c r="R946" t="str">
        <f>RTD("nest.scriprtd",,"nse_cm|93SCFL25-Z1","Isin code")</f>
        <v>INE148I07MA4</v>
      </c>
      <c r="S946" s="9">
        <f>Table1[[#This Row],[Ask Rate]]*Table1[[#This Row],[Ask Qty]]</f>
        <v>0</v>
      </c>
      <c r="T946">
        <f>VLOOKUP(Table1[[#This Row],[Isin code]],Table2[#All],7,FALSE)</f>
        <v>8.7999999999999989</v>
      </c>
      <c r="U946" s="17" t="str">
        <f>VLOOKUP(Table1[[#This Row],[Isin code]],Table2[#All],8,FALSE)</f>
        <v>28-Sep-2025</v>
      </c>
      <c r="V946" s="10">
        <f ca="1">Table1[[#This Row],[Maturity]]-TODAY()</f>
        <v>347</v>
      </c>
      <c r="W946" t="str">
        <f>VLOOKUP(Table1[[#This Row],[Isin code]],Table2[#All],10,FALSE)</f>
        <v>Yearly</v>
      </c>
      <c r="X946">
        <f ca="1">_xlfn.DAYS(Table1[[#This Row],[Maturity]],TODAY())-15</f>
        <v>332</v>
      </c>
      <c r="Y9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46">
        <f>IF(Table1[[#This Row],[Ask Rate]]=0,0,Table1[[#This Row],[Face Value]]-Table1[[#This Row],[Ask Rate]])</f>
        <v>0</v>
      </c>
      <c r="AA946">
        <f>IF(Table1[[#This Row],[Freq]]="Yearly",Table1[[#This Row],[Coupon_Rate]]/100,IF(Table1[[#This Row],[Freq]]="Monthly",Table1[[#This Row],[Coupon_Rate]]/1200,IF(Table1[[#This Row],[Freq]]="Quarterly",Table1[[#This Row],[Coupon_Rate]]/400,0)))</f>
        <v>8.7999999999999995E-2</v>
      </c>
      <c r="AB946">
        <f ca="1">Table1[[#This Row],[Face Value]]*Table1[[#This Row],[Rate]]*Table1[[#This Row],[Time]]</f>
        <v>88</v>
      </c>
      <c r="AC946">
        <f ca="1">Table1[[#This Row],[SI]]+Table1[[#This Row],[Disc/Prem]]</f>
        <v>88</v>
      </c>
      <c r="AD946" s="3" t="e">
        <f ca="1">Table1[[#This Row],[Net Gain]]/Table1[[#This Row],[Ask Rate]]</f>
        <v>#DIV/0!</v>
      </c>
      <c r="AE946" s="3">
        <f>IF(Table1[[#This Row],[Ask Qty]]=0,0,Table1[[#This Row],[Gross Yield]]*365/Table1[[#This Row],[Days Left]])</f>
        <v>0</v>
      </c>
      <c r="AF946" s="9">
        <f ca="1">+Table1[[#This Row],[Net Gain]]*Table1[[#This Row],[Ask Qty]]</f>
        <v>0</v>
      </c>
      <c r="AG946" t="str">
        <f>IF(Table1[[#This Row],[YTM]]&gt;0.12,IF(Table1[[#This Row],[Gross Profit]]&gt;10000,"Invest","Review"),"Low YTM")</f>
        <v>Low YTM</v>
      </c>
    </row>
    <row r="947" spans="1:33" x14ac:dyDescent="0.3">
      <c r="A947" t="str">
        <f>RTD("nest.scriprtd",,"nse_cm|905SCL27-Z4","Symbol")</f>
        <v>905SCL27</v>
      </c>
      <c r="B947" t="str">
        <f>RTD("nest.scriprtd",,"nse_cm|905SCL27-Z4","Trading Symbol")</f>
        <v>905SCL27-Z4</v>
      </c>
      <c r="C947" t="str">
        <f>RTD("nest.scriprtd",,"nse_cm|905SCL27-Z4","Exchange")</f>
        <v>NSE</v>
      </c>
      <c r="D947">
        <f>RTD("nest.scriprtd",,"nse_cm|905SCL27-Z4","Bid Qty")</f>
        <v>10</v>
      </c>
      <c r="E947">
        <f>RTD("nest.scriprtd",,"nse_cm|905SCL27-Z4","Bid Rate")</f>
        <v>815.2</v>
      </c>
      <c r="F947">
        <f>RTD("nest.scriprtd",,"nse_cm|905SCL27-Z4","Ask Rate")</f>
        <v>0</v>
      </c>
      <c r="G947">
        <f>RTD("nest.scriprtd",,"nse_cm|905SCL27-Z4","Ask Qty")</f>
        <v>0</v>
      </c>
      <c r="H947">
        <f>RTD("nest.scriprtd",,"nse_cm|905SCL27-Z4","LTP")</f>
        <v>0</v>
      </c>
      <c r="I947" t="str">
        <f>RTD("nest.scriprtd",,"nse_cm|905SCL27-Z4","LTT")</f>
        <v/>
      </c>
      <c r="J947">
        <f>RTD("nest.scriprtd",,"nse_cm|905SCL27-Z4","% Change")</f>
        <v>-100</v>
      </c>
      <c r="K947">
        <f>RTD("nest.scriprtd",,"nse_cm|905SCL27-Z4","ATP")</f>
        <v>0</v>
      </c>
      <c r="L947">
        <f>RTD("nest.scriprtd",,"nse_cm|905SCL27-Z4","Volume Traded Today")</f>
        <v>0</v>
      </c>
      <c r="M947">
        <f>RTD("nest.scriprtd",,"nse_cm|905SCL27-Z4","Open")</f>
        <v>0</v>
      </c>
      <c r="N947">
        <f>RTD("nest.scriprtd",,"nse_cm|905SCL27-Z4","High")</f>
        <v>0</v>
      </c>
      <c r="O947">
        <f>RTD("nest.scriprtd",,"nse_cm|905SCL27-Z4","Low ")</f>
        <v>0</v>
      </c>
      <c r="P947">
        <f>RTD("nest.scriprtd",,"nse_cm|905SCL27-Z4","Prev Close")</f>
        <v>1000</v>
      </c>
      <c r="Q947">
        <f>RTD("nest.scriprtd",,"nse_cm|905SCL27-Z4","Face Value")</f>
        <v>1000</v>
      </c>
      <c r="R947" t="str">
        <f>RTD("nest.scriprtd",,"nse_cm|905SCL27-Z4","Isin code")</f>
        <v>INE148I07MI7</v>
      </c>
      <c r="S947" s="9">
        <f>Table1[[#This Row],[Ask Rate]]*Table1[[#This Row],[Ask Qty]]</f>
        <v>0</v>
      </c>
      <c r="T947">
        <f>VLOOKUP(Table1[[#This Row],[Isin code]],Table2[#All],7,FALSE)</f>
        <v>8.4699999999999989</v>
      </c>
      <c r="U947" s="17" t="str">
        <f>VLOOKUP(Table1[[#This Row],[Isin code]],Table2[#All],8,FALSE)</f>
        <v>28-Sep-2025</v>
      </c>
      <c r="V947" s="10">
        <f ca="1">Table1[[#This Row],[Maturity]]-TODAY()</f>
        <v>347</v>
      </c>
      <c r="W947" t="str">
        <f>VLOOKUP(Table1[[#This Row],[Isin code]],Table2[#All],10,FALSE)</f>
        <v>Monthly</v>
      </c>
      <c r="X947">
        <f ca="1">_xlfn.DAYS(Table1[[#This Row],[Maturity]],TODAY())-15</f>
        <v>332</v>
      </c>
      <c r="Y9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947">
        <f>IF(Table1[[#This Row],[Ask Rate]]=0,0,Table1[[#This Row],[Face Value]]-Table1[[#This Row],[Ask Rate]])</f>
        <v>0</v>
      </c>
      <c r="AA947">
        <f>IF(Table1[[#This Row],[Freq]]="Yearly",Table1[[#This Row],[Coupon_Rate]]/100,IF(Table1[[#This Row],[Freq]]="Monthly",Table1[[#This Row],[Coupon_Rate]]/1200,IF(Table1[[#This Row],[Freq]]="Quarterly",Table1[[#This Row],[Coupon_Rate]]/400,0)))</f>
        <v>7.0583333333333323E-3</v>
      </c>
      <c r="AB947">
        <f ca="1">Table1[[#This Row],[Face Value]]*Table1[[#This Row],[Rate]]*Table1[[#This Row],[Time]]</f>
        <v>84.699999999999989</v>
      </c>
      <c r="AC947">
        <f ca="1">Table1[[#This Row],[SI]]+Table1[[#This Row],[Disc/Prem]]</f>
        <v>84.699999999999989</v>
      </c>
      <c r="AD947" s="3" t="e">
        <f ca="1">Table1[[#This Row],[Net Gain]]/Table1[[#This Row],[Ask Rate]]</f>
        <v>#DIV/0!</v>
      </c>
      <c r="AE947" s="3">
        <f>IF(Table1[[#This Row],[Ask Qty]]=0,0,Table1[[#This Row],[Gross Yield]]*365/Table1[[#This Row],[Days Left]])</f>
        <v>0</v>
      </c>
      <c r="AF947" s="9">
        <f ca="1">+Table1[[#This Row],[Net Gain]]*Table1[[#This Row],[Ask Qty]]</f>
        <v>0</v>
      </c>
      <c r="AG947" t="str">
        <f>IF(Table1[[#This Row],[YTM]]&gt;0.12,IF(Table1[[#This Row],[Gross Profit]]&gt;10000,"Invest","Review"),"Low YTM")</f>
        <v>Low YTM</v>
      </c>
    </row>
    <row r="948" spans="1:33" x14ac:dyDescent="0.3">
      <c r="A948" t="str">
        <f>RTD("nest.scriprtd",,"bse_cm|955SCL27A","Symbol")</f>
        <v>955SCL27A</v>
      </c>
      <c r="B948" t="str">
        <f>RTD("nest.scriprtd",,"bse_cm|955SCL27A","Trading Symbol")</f>
        <v>955SCL27A</v>
      </c>
      <c r="C948" t="str">
        <f>RTD("nest.scriprtd",,"bse_cm|955SCL27A","Exchange")</f>
        <v>BSE</v>
      </c>
      <c r="D948">
        <f>RTD("nest.scriprtd",,"bse_cm|955SCL27A","Bid Qty")</f>
        <v>10</v>
      </c>
      <c r="E948">
        <f>RTD("nest.scriprtd",,"bse_cm|955SCL27A","Bid Rate")</f>
        <v>895.2</v>
      </c>
      <c r="F948">
        <f>RTD("nest.scriprtd",,"bse_cm|955SCL27A","Ask Rate")</f>
        <v>0</v>
      </c>
      <c r="G948">
        <f>RTD("nest.scriprtd",,"bse_cm|955SCL27A","Ask Qty")</f>
        <v>0</v>
      </c>
      <c r="H948">
        <f>RTD("nest.scriprtd",,"bse_cm|955SCL27A","LTP")</f>
        <v>0</v>
      </c>
      <c r="I948" t="str">
        <f>RTD("nest.scriprtd",,"bse_cm|955SCL27A","LTT")</f>
        <v>00:00:00</v>
      </c>
      <c r="J948">
        <f>RTD("nest.scriprtd",,"bse_cm|955SCL27A","% Change")</f>
        <v>-100</v>
      </c>
      <c r="K948">
        <f>RTD("nest.scriprtd",,"bse_cm|955SCL27A","ATP")</f>
        <v>0</v>
      </c>
      <c r="L948">
        <f>RTD("nest.scriprtd",,"bse_cm|955SCL27A","Volume Traded Today")</f>
        <v>0</v>
      </c>
      <c r="M948">
        <f>RTD("nest.scriprtd",,"bse_cm|955SCL27A","Open")</f>
        <v>0</v>
      </c>
      <c r="N948">
        <f>RTD("nest.scriprtd",,"bse_cm|955SCL27A","High")</f>
        <v>872</v>
      </c>
      <c r="O948">
        <f>RTD("nest.scriprtd",,"bse_cm|955SCL27A","Low ")</f>
        <v>872</v>
      </c>
      <c r="P948">
        <f>RTD("nest.scriprtd",,"bse_cm|955SCL27A","Prev Close")</f>
        <v>872</v>
      </c>
      <c r="Q948">
        <f>RTD("nest.scriprtd",,"bse_cm|955SCL27A","Face Value")</f>
        <v>1000</v>
      </c>
      <c r="R948" t="str">
        <f>RTD("nest.scriprtd",,"bse_cm|955SCL27A","Isin code")</f>
        <v>INE148I07MS6</v>
      </c>
      <c r="S948" s="9">
        <f>Table1[[#This Row],[Ask Rate]]*Table1[[#This Row],[Ask Qty]]</f>
        <v>0</v>
      </c>
      <c r="T948" t="str">
        <f>VLOOKUP(Table1[[#This Row],[Isin code]],Table2[#All],7,FALSE)</f>
        <v>--</v>
      </c>
      <c r="U948" s="17" t="str">
        <f>VLOOKUP(Table1[[#This Row],[Isin code]],Table2[#All],8,FALSE)</f>
        <v>03-Nov-2025</v>
      </c>
      <c r="V948" s="10">
        <f ca="1">Table1[[#This Row],[Maturity]]-TODAY()</f>
        <v>383</v>
      </c>
      <c r="W948" t="str">
        <f>VLOOKUP(Table1[[#This Row],[Isin code]],Table2[#All],10,FALSE)</f>
        <v>At the End</v>
      </c>
      <c r="X948">
        <f ca="1">_xlfn.DAYS(Table1[[#This Row],[Maturity]],TODAY())-15</f>
        <v>368</v>
      </c>
      <c r="Y94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48">
        <f>IF(Table1[[#This Row],[Ask Rate]]=0,0,Table1[[#This Row],[Face Value]]-Table1[[#This Row],[Ask Rate]])</f>
        <v>0</v>
      </c>
      <c r="AA94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48">
        <f>Table1[[#This Row],[Face Value]]*Table1[[#This Row],[Rate]]*Table1[[#This Row],[Time]]</f>
        <v>0</v>
      </c>
      <c r="AC948">
        <f>Table1[[#This Row],[SI]]+Table1[[#This Row],[Disc/Prem]]</f>
        <v>0</v>
      </c>
      <c r="AD948" s="3" t="e">
        <f>Table1[[#This Row],[Net Gain]]/Table1[[#This Row],[Ask Rate]]</f>
        <v>#DIV/0!</v>
      </c>
      <c r="AE948" s="3">
        <f>IF(Table1[[#This Row],[Ask Qty]]=0,0,Table1[[#This Row],[Gross Yield]]*365/Table1[[#This Row],[Days Left]])</f>
        <v>0</v>
      </c>
      <c r="AF948" s="9">
        <f>+Table1[[#This Row],[Net Gain]]*Table1[[#This Row],[Ask Qty]]</f>
        <v>0</v>
      </c>
      <c r="AG948" t="str">
        <f>IF(Table1[[#This Row],[YTM]]&gt;0.12,IF(Table1[[#This Row],[Gross Profit]]&gt;10000,"Invest","Review"),"Low YTM")</f>
        <v>Low YTM</v>
      </c>
    </row>
    <row r="949" spans="1:33" x14ac:dyDescent="0.3">
      <c r="A949" t="str">
        <f>RTD("nest.scriprtd",,"nse_cm|955SCL27-Z5","Symbol")</f>
        <v>955SCL27</v>
      </c>
      <c r="B949" t="str">
        <f>RTD("nest.scriprtd",,"nse_cm|955SCL27-Z5","Trading Symbol")</f>
        <v>955SCL27-Z5</v>
      </c>
      <c r="C949" t="str">
        <f>RTD("nest.scriprtd",,"nse_cm|955SCL27-Z5","Exchange")</f>
        <v>NSE</v>
      </c>
      <c r="D949">
        <f>RTD("nest.scriprtd",,"nse_cm|955SCL27-Z5","Bid Qty")</f>
        <v>10</v>
      </c>
      <c r="E949">
        <f>RTD("nest.scriprtd",,"nse_cm|955SCL27-Z5","Bid Rate")</f>
        <v>941</v>
      </c>
      <c r="F949">
        <f>RTD("nest.scriprtd",,"nse_cm|955SCL27-Z5","Ask Rate")</f>
        <v>0</v>
      </c>
      <c r="G949">
        <f>RTD("nest.scriprtd",,"nse_cm|955SCL27-Z5","Ask Qty")</f>
        <v>0</v>
      </c>
      <c r="H949">
        <f>RTD("nest.scriprtd",,"nse_cm|955SCL27-Z5","LTP")</f>
        <v>960</v>
      </c>
      <c r="I949" t="str">
        <f>RTD("nest.scriprtd",,"nse_cm|955SCL27-Z5","LTT")</f>
        <v/>
      </c>
      <c r="J949">
        <f>RTD("nest.scriprtd",,"nse_cm|955SCL27-Z5","% Change")</f>
        <v>0</v>
      </c>
      <c r="K949">
        <f>RTD("nest.scriprtd",,"nse_cm|955SCL27-Z5","ATP")</f>
        <v>0</v>
      </c>
      <c r="L949">
        <f>RTD("nest.scriprtd",,"nse_cm|955SCL27-Z5","Volume Traded Today")</f>
        <v>0</v>
      </c>
      <c r="M949">
        <f>RTD("nest.scriprtd",,"nse_cm|955SCL27-Z5","Open")</f>
        <v>0</v>
      </c>
      <c r="N949">
        <f>RTD("nest.scriprtd",,"nse_cm|955SCL27-Z5","High")</f>
        <v>960</v>
      </c>
      <c r="O949">
        <f>RTD("nest.scriprtd",,"nse_cm|955SCL27-Z5","Low ")</f>
        <v>960</v>
      </c>
      <c r="P949">
        <f>RTD("nest.scriprtd",,"nse_cm|955SCL27-Z5","Prev Close")</f>
        <v>960</v>
      </c>
      <c r="Q949">
        <f>RTD("nest.scriprtd",,"nse_cm|955SCL27-Z5","Face Value")</f>
        <v>1000</v>
      </c>
      <c r="R949" t="str">
        <f>RTD("nest.scriprtd",,"nse_cm|955SCL27-Z5","Isin code")</f>
        <v>INE148I07MJ5</v>
      </c>
      <c r="S949" s="9">
        <f>Table1[[#This Row],[Ask Rate]]*Table1[[#This Row],[Ask Qty]]</f>
        <v>0</v>
      </c>
      <c r="T949">
        <f>VLOOKUP(Table1[[#This Row],[Isin code]],Table2[#All],7,FALSE)</f>
        <v>8.94</v>
      </c>
      <c r="U949" s="17" t="str">
        <f>VLOOKUP(Table1[[#This Row],[Isin code]],Table2[#All],8,FALSE)</f>
        <v>28-Sep-2025</v>
      </c>
      <c r="V949" s="10">
        <f ca="1">Table1[[#This Row],[Maturity]]-TODAY()</f>
        <v>347</v>
      </c>
      <c r="W949" t="str">
        <f>VLOOKUP(Table1[[#This Row],[Isin code]],Table2[#All],10,FALSE)</f>
        <v>Monthly</v>
      </c>
      <c r="X949">
        <f ca="1">_xlfn.DAYS(Table1[[#This Row],[Maturity]],TODAY())-15</f>
        <v>332</v>
      </c>
      <c r="Y9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949">
        <f>IF(Table1[[#This Row],[Ask Rate]]=0,0,Table1[[#This Row],[Face Value]]-Table1[[#This Row],[Ask Rate]])</f>
        <v>0</v>
      </c>
      <c r="AA949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7.4499999999999992E-3</v>
      </c>
      <c r="AB949">
        <f ca="1">Table1[[#This Row],[Face Value]]*Table1[[#This Row],[Rate]]*Table1[[#This Row],[Time]]</f>
        <v>89.399999999999991</v>
      </c>
      <c r="AC949">
        <f ca="1">Table1[[#This Row],[SI]]+Table1[[#This Row],[Disc/Prem]]</f>
        <v>89.399999999999991</v>
      </c>
      <c r="AD949" s="3" t="e">
        <f ca="1">Table1[[#This Row],[Net Gain]]/Table1[[#This Row],[Ask Rate]]</f>
        <v>#DIV/0!</v>
      </c>
      <c r="AE949" s="3">
        <f>IF(Table1[[#This Row],[Ask Qty]]=0,0,Table1[[#This Row],[Gross Yield]]*365/Table1[[#This Row],[Days Left]])</f>
        <v>0</v>
      </c>
      <c r="AF949" s="9">
        <f ca="1">+Table1[[#This Row],[Net Gain]]*Table1[[#This Row],[Ask Qty]]</f>
        <v>0</v>
      </c>
      <c r="AG949" t="str">
        <f>IF(Table1[[#This Row],[YTM]]&gt;0.12,IF(Table1[[#This Row],[Gross Profit]]&gt;10000,"Invest","Review"),"Low YTM")</f>
        <v>Low YTM</v>
      </c>
    </row>
    <row r="950" spans="1:33" x14ac:dyDescent="0.3">
      <c r="A950" t="str">
        <f>RTD("nest.scriprtd",,"nse_cm|87SCL27-Z6","Symbol")</f>
        <v>87SCL27</v>
      </c>
      <c r="B950" t="str">
        <f>RTD("nest.scriprtd",,"nse_cm|87SCL27-Z6","Trading Symbol")</f>
        <v>87SCL27-Z6</v>
      </c>
      <c r="C950" t="str">
        <f>RTD("nest.scriprtd",,"nse_cm|87SCL27-Z6","Exchange")</f>
        <v>NSE</v>
      </c>
      <c r="D950">
        <f>RTD("nest.scriprtd",,"nse_cm|87SCL27-Z6","Bid Qty")</f>
        <v>10</v>
      </c>
      <c r="E950">
        <f>RTD("nest.scriprtd",,"nse_cm|87SCL27-Z6","Bid Rate")</f>
        <v>825.8</v>
      </c>
      <c r="F950">
        <f>RTD("nest.scriprtd",,"nse_cm|87SCL27-Z6","Ask Rate")</f>
        <v>0</v>
      </c>
      <c r="G950">
        <f>RTD("nest.scriprtd",,"nse_cm|87SCL27-Z6","Ask Qty")</f>
        <v>0</v>
      </c>
      <c r="H950">
        <f>RTD("nest.scriprtd",,"nse_cm|87SCL27-Z6","LTP")</f>
        <v>830</v>
      </c>
      <c r="I950" t="str">
        <f>RTD("nest.scriprtd",,"nse_cm|87SCL27-Z6","LTT")</f>
        <v/>
      </c>
      <c r="J950">
        <f>RTD("nest.scriprtd",,"nse_cm|87SCL27-Z6","% Change")</f>
        <v>0</v>
      </c>
      <c r="K950">
        <f>RTD("nest.scriprtd",,"nse_cm|87SCL27-Z6","ATP")</f>
        <v>0</v>
      </c>
      <c r="L950">
        <f>RTD("nest.scriprtd",,"nse_cm|87SCL27-Z6","Volume Traded Today")</f>
        <v>0</v>
      </c>
      <c r="M950">
        <f>RTD("nest.scriprtd",,"nse_cm|87SCL27-Z6","Open")</f>
        <v>0</v>
      </c>
      <c r="N950">
        <f>RTD("nest.scriprtd",,"nse_cm|87SCL27-Z6","High")</f>
        <v>830</v>
      </c>
      <c r="O950">
        <f>RTD("nest.scriprtd",,"nse_cm|87SCL27-Z6","Low ")</f>
        <v>830</v>
      </c>
      <c r="P950">
        <f>RTD("nest.scriprtd",,"nse_cm|87SCL27-Z6","Prev Close")</f>
        <v>830</v>
      </c>
      <c r="Q950">
        <f>RTD("nest.scriprtd",,"nse_cm|87SCL27-Z6","Face Value")</f>
        <v>1000</v>
      </c>
      <c r="R950" t="str">
        <f>RTD("nest.scriprtd",,"nse_cm|87SCL27-Z6","Isin code")</f>
        <v>INE148I07MD8</v>
      </c>
      <c r="S950" s="9">
        <f>Table1[[#This Row],[Ask Rate]]*Table1[[#This Row],[Ask Qty]]</f>
        <v>0</v>
      </c>
      <c r="T950">
        <f>VLOOKUP(Table1[[#This Row],[Isin code]],Table2[#All],7,FALSE)</f>
        <v>9.0499999999999989</v>
      </c>
      <c r="U950" s="17" t="str">
        <f>VLOOKUP(Table1[[#This Row],[Isin code]],Table2[#All],8,FALSE)</f>
        <v>28-Sep-2027</v>
      </c>
      <c r="V950" s="10">
        <f ca="1">Table1[[#This Row],[Maturity]]-TODAY()</f>
        <v>1077</v>
      </c>
      <c r="W950" t="str">
        <f>VLOOKUP(Table1[[#This Row],[Isin code]],Table2[#All],10,FALSE)</f>
        <v>Yearly</v>
      </c>
      <c r="X950">
        <f ca="1">_xlfn.DAYS(Table1[[#This Row],[Maturity]],TODAY())-15</f>
        <v>1062</v>
      </c>
      <c r="Y9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50">
        <f>IF(Table1[[#This Row],[Ask Rate]]=0,0,Table1[[#This Row],[Face Value]]-Table1[[#This Row],[Ask Rate]])</f>
        <v>0</v>
      </c>
      <c r="AA950">
        <f>IF(Table1[[#This Row],[Freq]]="Yearly",Table1[[#This Row],[Coupon_Rate]]/100,IF(Table1[[#This Row],[Freq]]="Monthly",Table1[[#This Row],[Coupon_Rate]]/1200,IF(Table1[[#This Row],[Freq]]="Quarterly",Table1[[#This Row],[Coupon_Rate]]/400,0)))</f>
        <v>9.0499999999999983E-2</v>
      </c>
      <c r="AB950">
        <f ca="1">Table1[[#This Row],[Face Value]]*Table1[[#This Row],[Rate]]*Table1[[#This Row],[Time]]</f>
        <v>271.49999999999994</v>
      </c>
      <c r="AC950">
        <f ca="1">Table1[[#This Row],[SI]]+Table1[[#This Row],[Disc/Prem]]</f>
        <v>271.49999999999994</v>
      </c>
      <c r="AD950" s="3" t="e">
        <f ca="1">Table1[[#This Row],[Net Gain]]/Table1[[#This Row],[Ask Rate]]</f>
        <v>#DIV/0!</v>
      </c>
      <c r="AE950" s="3">
        <f>IF(Table1[[#This Row],[Ask Qty]]=0,0,Table1[[#This Row],[Gross Yield]]*365/Table1[[#This Row],[Days Left]])</f>
        <v>0</v>
      </c>
      <c r="AF950" s="9">
        <f ca="1">+Table1[[#This Row],[Net Gain]]*Table1[[#This Row],[Ask Qty]]</f>
        <v>0</v>
      </c>
      <c r="AG950" t="str">
        <f>IF(Table1[[#This Row],[YTM]]&gt;0.12,IF(Table1[[#This Row],[Gross Profit]]&gt;10000,"Invest","Review"),"Low YTM")</f>
        <v>Low YTM</v>
      </c>
    </row>
    <row r="951" spans="1:33" x14ac:dyDescent="0.3">
      <c r="A951" t="str">
        <f>RTD("nest.scriprtd",,"bse_cm|915SCL27A","Symbol")</f>
        <v>915SCL27A</v>
      </c>
      <c r="B951" t="str">
        <f>RTD("nest.scriprtd",,"bse_cm|915SCL27A","Trading Symbol")</f>
        <v>915SCL27A</v>
      </c>
      <c r="C951" t="str">
        <f>RTD("nest.scriprtd",,"bse_cm|915SCL27A","Exchange")</f>
        <v>BSE</v>
      </c>
      <c r="D951">
        <f>RTD("nest.scriprtd",,"bse_cm|915SCL27A","Bid Qty")</f>
        <v>9</v>
      </c>
      <c r="E951">
        <f>RTD("nest.scriprtd",,"bse_cm|915SCL27A","Bid Rate")</f>
        <v>900.3</v>
      </c>
      <c r="F951">
        <f>RTD("nest.scriprtd",,"bse_cm|915SCL27A","Ask Rate")</f>
        <v>0</v>
      </c>
      <c r="G951">
        <f>RTD("nest.scriprtd",,"bse_cm|915SCL27A","Ask Qty")</f>
        <v>0</v>
      </c>
      <c r="H951">
        <f>RTD("nest.scriprtd",,"bse_cm|915SCL27A","LTP")</f>
        <v>0</v>
      </c>
      <c r="I951" t="str">
        <f>RTD("nest.scriprtd",,"bse_cm|915SCL27A","LTT")</f>
        <v>00:00:00</v>
      </c>
      <c r="J951">
        <f>RTD("nest.scriprtd",,"bse_cm|915SCL27A","% Change")</f>
        <v>-100</v>
      </c>
      <c r="K951">
        <f>RTD("nest.scriprtd",,"bse_cm|915SCL27A","ATP")</f>
        <v>0</v>
      </c>
      <c r="L951">
        <f>RTD("nest.scriprtd",,"bse_cm|915SCL27A","Volume Traded Today")</f>
        <v>0</v>
      </c>
      <c r="M951">
        <f>RTD("nest.scriprtd",,"bse_cm|915SCL27A","Open")</f>
        <v>0</v>
      </c>
      <c r="N951">
        <f>RTD("nest.scriprtd",,"bse_cm|915SCL27A","High")</f>
        <v>985.5</v>
      </c>
      <c r="O951">
        <f>RTD("nest.scriprtd",,"bse_cm|915SCL27A","Low ")</f>
        <v>968.9</v>
      </c>
      <c r="P951">
        <f>RTD("nest.scriprtd",,"bse_cm|915SCL27A","Prev Close")</f>
        <v>985.5</v>
      </c>
      <c r="Q951">
        <f>RTD("nest.scriprtd",,"bse_cm|915SCL27A","Face Value")</f>
        <v>1000</v>
      </c>
      <c r="R951" t="str">
        <f>RTD("nest.scriprtd",,"bse_cm|915SCL27A","Isin code")</f>
        <v>INE148I07MV0</v>
      </c>
      <c r="S951" s="9">
        <f>Table1[[#This Row],[Ask Rate]]*Table1[[#This Row],[Ask Qty]]</f>
        <v>0</v>
      </c>
      <c r="T951">
        <f>VLOOKUP(Table1[[#This Row],[Isin code]],Table2[#All],7,FALSE)</f>
        <v>9.5500000000000007</v>
      </c>
      <c r="U951" s="17" t="str">
        <f>VLOOKUP(Table1[[#This Row],[Isin code]],Table2[#All],8,FALSE)</f>
        <v>03-Nov-2027</v>
      </c>
      <c r="V951" s="10">
        <f ca="1">Table1[[#This Row],[Maturity]]-TODAY()</f>
        <v>1113</v>
      </c>
      <c r="W951" t="str">
        <f>VLOOKUP(Table1[[#This Row],[Isin code]],Table2[#All],10,FALSE)</f>
        <v>Yearly</v>
      </c>
      <c r="X951">
        <f ca="1">_xlfn.DAYS(Table1[[#This Row],[Maturity]],TODAY())-15</f>
        <v>1098</v>
      </c>
      <c r="Y9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951">
        <f>IF(Table1[[#This Row],[Ask Rate]]=0,0,Table1[[#This Row],[Face Value]]-Table1[[#This Row],[Ask Rate]])</f>
        <v>0</v>
      </c>
      <c r="AA951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951">
        <f ca="1">Table1[[#This Row],[Face Value]]*Table1[[#This Row],[Rate]]*Table1[[#This Row],[Time]]</f>
        <v>382</v>
      </c>
      <c r="AC951">
        <f ca="1">Table1[[#This Row],[SI]]+Table1[[#This Row],[Disc/Prem]]</f>
        <v>382</v>
      </c>
      <c r="AD951" s="3" t="e">
        <f ca="1">Table1[[#This Row],[Net Gain]]/Table1[[#This Row],[Ask Rate]]</f>
        <v>#DIV/0!</v>
      </c>
      <c r="AE951" s="3">
        <f>IF(Table1[[#This Row],[Ask Qty]]=0,0,Table1[[#This Row],[Gross Yield]]*365/Table1[[#This Row],[Days Left]])</f>
        <v>0</v>
      </c>
      <c r="AF951" s="9">
        <f ca="1">+Table1[[#This Row],[Net Gain]]*Table1[[#This Row],[Ask Qty]]</f>
        <v>0</v>
      </c>
      <c r="AG951" t="str">
        <f>IF(Table1[[#This Row],[YTM]]&gt;0.12,IF(Table1[[#This Row],[Gross Profit]]&gt;10000,"Invest","Review"),"Low YTM")</f>
        <v>Low YTM</v>
      </c>
    </row>
    <row r="952" spans="1:33" x14ac:dyDescent="0.3">
      <c r="A952" t="str">
        <f>RTD("nest.scriprtd",,"nse_cm|865SCL24B-Z8","Symbol")</f>
        <v>865SCL24B</v>
      </c>
      <c r="B952" t="str">
        <f>RTD("nest.scriprtd",,"nse_cm|865SCL24B-Z8","Trading Symbol")</f>
        <v>865SCL24B-Z8</v>
      </c>
      <c r="C952" t="str">
        <f>RTD("nest.scriprtd",,"nse_cm|865SCL24B-Z8","Exchange")</f>
        <v>NSE</v>
      </c>
      <c r="D952">
        <f>RTD("nest.scriprtd",,"nse_cm|865SCL24B-Z8","Bid Qty")</f>
        <v>15</v>
      </c>
      <c r="E952">
        <f>RTD("nest.scriprtd",,"nse_cm|865SCL24B-Z8","Bid Rate")</f>
        <v>825.8</v>
      </c>
      <c r="F952">
        <f>RTD("nest.scriprtd",,"nse_cm|865SCL24B-Z8","Ask Rate")</f>
        <v>0</v>
      </c>
      <c r="G952">
        <f>RTD("nest.scriprtd",,"nse_cm|865SCL24B-Z8","Ask Qty")</f>
        <v>0</v>
      </c>
      <c r="H952">
        <f>RTD("nest.scriprtd",,"nse_cm|865SCL24B-Z8","LTP")</f>
        <v>830</v>
      </c>
      <c r="I952" t="str">
        <f>RTD("nest.scriprtd",,"nse_cm|865SCL24B-Z8","LTT")</f>
        <v/>
      </c>
      <c r="J952">
        <f>RTD("nest.scriprtd",,"nse_cm|865SCL24B-Z8","% Change")</f>
        <v>0</v>
      </c>
      <c r="K952">
        <f>RTD("nest.scriprtd",,"nse_cm|865SCL24B-Z8","ATP")</f>
        <v>0</v>
      </c>
      <c r="L952">
        <f>RTD("nest.scriprtd",,"nse_cm|865SCL24B-Z8","Volume Traded Today")</f>
        <v>0</v>
      </c>
      <c r="M952">
        <f>RTD("nest.scriprtd",,"nse_cm|865SCL24B-Z8","Open")</f>
        <v>0</v>
      </c>
      <c r="N952">
        <f>RTD("nest.scriprtd",,"nse_cm|865SCL24B-Z8","High")</f>
        <v>830</v>
      </c>
      <c r="O952">
        <f>RTD("nest.scriprtd",,"nse_cm|865SCL24B-Z8","Low ")</f>
        <v>830</v>
      </c>
      <c r="P952">
        <f>RTD("nest.scriprtd",,"nse_cm|865SCL24B-Z8","Prev Close")</f>
        <v>830</v>
      </c>
      <c r="Q952">
        <f>RTD("nest.scriprtd",,"nse_cm|865SCL24B-Z8","Face Value")</f>
        <v>1000</v>
      </c>
      <c r="R952" t="str">
        <f>RTD("nest.scriprtd",,"nse_cm|865SCL24B-Z8","Isin code")</f>
        <v>INE148I07MK3</v>
      </c>
      <c r="S952" s="9">
        <f>Table1[[#This Row],[Ask Rate]]*Table1[[#This Row],[Ask Qty]]</f>
        <v>0</v>
      </c>
      <c r="T952">
        <f>VLOOKUP(Table1[[#This Row],[Isin code]],Table2[#All],7,FALSE)</f>
        <v>8.6999999999999993</v>
      </c>
      <c r="U952" s="17" t="str">
        <f>VLOOKUP(Table1[[#This Row],[Isin code]],Table2[#All],8,FALSE)</f>
        <v>28-Sep-2027</v>
      </c>
      <c r="V952" s="10">
        <f ca="1">Table1[[#This Row],[Maturity]]-TODAY()</f>
        <v>1077</v>
      </c>
      <c r="W952" t="str">
        <f>VLOOKUP(Table1[[#This Row],[Isin code]],Table2[#All],10,FALSE)</f>
        <v>Monthly</v>
      </c>
      <c r="X952">
        <f ca="1">_xlfn.DAYS(Table1[[#This Row],[Maturity]],TODAY())-15</f>
        <v>1062</v>
      </c>
      <c r="Y9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36</v>
      </c>
      <c r="Z952">
        <f>IF(Table1[[#This Row],[Ask Rate]]=0,0,Table1[[#This Row],[Face Value]]-Table1[[#This Row],[Ask Rate]])</f>
        <v>0</v>
      </c>
      <c r="AA952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952">
        <f ca="1">Table1[[#This Row],[Face Value]]*Table1[[#This Row],[Rate]]*Table1[[#This Row],[Time]]</f>
        <v>260.99999999999994</v>
      </c>
      <c r="AC952">
        <f ca="1">Table1[[#This Row],[SI]]+Table1[[#This Row],[Disc/Prem]]</f>
        <v>260.99999999999994</v>
      </c>
      <c r="AD952" s="3" t="e">
        <f ca="1">Table1[[#This Row],[Net Gain]]/Table1[[#This Row],[Ask Rate]]</f>
        <v>#DIV/0!</v>
      </c>
      <c r="AE952" s="3">
        <f>IF(Table1[[#This Row],[Ask Qty]]=0,0,Table1[[#This Row],[Gross Yield]]*365/Table1[[#This Row],[Days Left]])</f>
        <v>0</v>
      </c>
      <c r="AF952" s="9">
        <f ca="1">+Table1[[#This Row],[Net Gain]]*Table1[[#This Row],[Ask Qty]]</f>
        <v>0</v>
      </c>
      <c r="AG952" t="str">
        <f>IF(Table1[[#This Row],[YTM]]&gt;0.12,IF(Table1[[#This Row],[Gross Profit]]&gt;10000,"Invest","Review"),"Low YTM")</f>
        <v>Low YTM</v>
      </c>
    </row>
    <row r="953" spans="1:33" x14ac:dyDescent="0.3">
      <c r="A953" t="str">
        <f>RTD("nest.scriprtd",,"bse_cm|865SCL24B","Symbol")</f>
        <v>865SCL24B</v>
      </c>
      <c r="B953" t="str">
        <f>RTD("nest.scriprtd",,"bse_cm|865SCL24B","Trading Symbol")</f>
        <v>865SCL24B</v>
      </c>
      <c r="C953" t="str">
        <f>RTD("nest.scriprtd",,"bse_cm|865SCL24B","Exchange")</f>
        <v>BSE</v>
      </c>
      <c r="D953">
        <f>RTD("nest.scriprtd",,"bse_cm|865SCL24B","Bid Qty")</f>
        <v>20</v>
      </c>
      <c r="E953">
        <f>RTD("nest.scriprtd",,"bse_cm|865SCL24B","Bid Rate")</f>
        <v>813.95</v>
      </c>
      <c r="F953">
        <f>RTD("nest.scriprtd",,"bse_cm|865SCL24B","Ask Rate")</f>
        <v>0</v>
      </c>
      <c r="G953">
        <f>RTD("nest.scriprtd",,"bse_cm|865SCL24B","Ask Qty")</f>
        <v>0</v>
      </c>
      <c r="H953">
        <f>RTD("nest.scriprtd",,"bse_cm|865SCL24B","LTP")</f>
        <v>0</v>
      </c>
      <c r="I953" t="str">
        <f>RTD("nest.scriprtd",,"bse_cm|865SCL24B","LTT")</f>
        <v>00:00:00</v>
      </c>
      <c r="J953">
        <f>RTD("nest.scriprtd",,"bse_cm|865SCL24B","% Change")</f>
        <v>-100</v>
      </c>
      <c r="K953">
        <f>RTD("nest.scriprtd",,"bse_cm|865SCL24B","ATP")</f>
        <v>0</v>
      </c>
      <c r="L953">
        <f>RTD("nest.scriprtd",,"bse_cm|865SCL24B","Volume Traded Today")</f>
        <v>0</v>
      </c>
      <c r="M953">
        <f>RTD("nest.scriprtd",,"bse_cm|865SCL24B","Open")</f>
        <v>0</v>
      </c>
      <c r="N953">
        <f>RTD("nest.scriprtd",,"bse_cm|865SCL24B","High")</f>
        <v>1198.25</v>
      </c>
      <c r="O953">
        <f>RTD("nest.scriprtd",,"bse_cm|865SCL24B","Low ")</f>
        <v>842.8</v>
      </c>
      <c r="P953">
        <f>RTD("nest.scriprtd",,"bse_cm|865SCL24B","Prev Close")</f>
        <v>842.8</v>
      </c>
      <c r="Q953">
        <f>RTD("nest.scriprtd",,"bse_cm|865SCL24B","Face Value")</f>
        <v>1000</v>
      </c>
      <c r="R953" t="str">
        <f>RTD("nest.scriprtd",,"bse_cm|865SCL24B","Isin code")</f>
        <v>INE148I07MK3</v>
      </c>
      <c r="S953" s="9">
        <f>Table1[[#This Row],[Ask Rate]]*Table1[[#This Row],[Ask Qty]]</f>
        <v>0</v>
      </c>
      <c r="T953">
        <f>VLOOKUP(Table1[[#This Row],[Isin code]],Table2[#All],7,FALSE)</f>
        <v>8.6999999999999993</v>
      </c>
      <c r="U953" s="17" t="str">
        <f>VLOOKUP(Table1[[#This Row],[Isin code]],Table2[#All],8,FALSE)</f>
        <v>28-Sep-2027</v>
      </c>
      <c r="V953" s="10">
        <f ca="1">Table1[[#This Row],[Maturity]]-TODAY()</f>
        <v>1077</v>
      </c>
      <c r="W953" t="str">
        <f>VLOOKUP(Table1[[#This Row],[Isin code]],Table2[#All],10,FALSE)</f>
        <v>Monthly</v>
      </c>
      <c r="X953">
        <f ca="1">_xlfn.DAYS(Table1[[#This Row],[Maturity]],TODAY())-15</f>
        <v>1062</v>
      </c>
      <c r="Y9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36</v>
      </c>
      <c r="Z953">
        <f>IF(Table1[[#This Row],[Ask Rate]]=0,0,Table1[[#This Row],[Face Value]]-Table1[[#This Row],[Ask Rate]])</f>
        <v>0</v>
      </c>
      <c r="AA953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953">
        <f ca="1">Table1[[#This Row],[Face Value]]*Table1[[#This Row],[Rate]]*Table1[[#This Row],[Time]]</f>
        <v>260.99999999999994</v>
      </c>
      <c r="AC953">
        <f ca="1">Table1[[#This Row],[SI]]+Table1[[#This Row],[Disc/Prem]]</f>
        <v>260.99999999999994</v>
      </c>
      <c r="AD953" s="3" t="e">
        <f ca="1">Table1[[#This Row],[Net Gain]]/Table1[[#This Row],[Ask Rate]]</f>
        <v>#DIV/0!</v>
      </c>
      <c r="AE953" s="3">
        <f>IF(Table1[[#This Row],[Ask Qty]]=0,0,Table1[[#This Row],[Gross Yield]]*365/Table1[[#This Row],[Days Left]])</f>
        <v>0</v>
      </c>
      <c r="AF953" s="9">
        <f ca="1">+Table1[[#This Row],[Net Gain]]*Table1[[#This Row],[Ask Qty]]</f>
        <v>0</v>
      </c>
      <c r="AG953" t="str">
        <f>IF(Table1[[#This Row],[YTM]]&gt;0.12,IF(Table1[[#This Row],[Gross Profit]]&gt;10000,"Invest","Review"),"Low YTM")</f>
        <v>Low YTM</v>
      </c>
    </row>
    <row r="954" spans="1:33" hidden="1" x14ac:dyDescent="0.3">
      <c r="A954" t="str">
        <f>RTD("nest.scriprtd",,"nse_cm|865SCL24-ZA","Symbol")</f>
        <v>865SCL24</v>
      </c>
      <c r="B954" t="str">
        <f>RTD("nest.scriprtd",,"nse_cm|865SCL24-ZA","Trading Symbol")</f>
        <v>865SCL24-ZA</v>
      </c>
      <c r="C954" t="str">
        <f>RTD("nest.scriprtd",,"nse_cm|865SCL24-ZA","Exchange")</f>
        <v>NSE</v>
      </c>
      <c r="D954">
        <f>RTD("nest.scriprtd",,"nse_cm|865SCL24-ZA","Bid Qty")</f>
        <v>20</v>
      </c>
      <c r="E954">
        <f>RTD("nest.scriprtd",,"nse_cm|865SCL24-ZA","Bid Rate")</f>
        <v>865.2</v>
      </c>
      <c r="F954">
        <f>RTD("nest.scriprtd",,"nse_cm|865SCL24-ZA","Ask Rate")</f>
        <v>0</v>
      </c>
      <c r="G954">
        <f>RTD("nest.scriprtd",,"nse_cm|865SCL24-ZA","Ask Qty")</f>
        <v>0</v>
      </c>
      <c r="H954">
        <f>RTD("nest.scriprtd",,"nse_cm|865SCL24-ZA","LTP")</f>
        <v>0</v>
      </c>
      <c r="I954" t="str">
        <f>RTD("nest.scriprtd",,"nse_cm|865SCL24-ZA","LTT")</f>
        <v/>
      </c>
      <c r="J954">
        <f>RTD("nest.scriprtd",,"nse_cm|865SCL24-ZA","% Change")</f>
        <v>-100</v>
      </c>
      <c r="K954">
        <f>RTD("nest.scriprtd",,"nse_cm|865SCL24-ZA","ATP")</f>
        <v>0</v>
      </c>
      <c r="L954">
        <f>RTD("nest.scriprtd",,"nse_cm|865SCL24-ZA","Volume Traded Today")</f>
        <v>0</v>
      </c>
      <c r="M954">
        <f>RTD("nest.scriprtd",,"nse_cm|865SCL24-ZA","Open")</f>
        <v>0</v>
      </c>
      <c r="N954">
        <f>RTD("nest.scriprtd",,"nse_cm|865SCL24-ZA","High")</f>
        <v>0</v>
      </c>
      <c r="O954">
        <f>RTD("nest.scriprtd",,"nse_cm|865SCL24-ZA","Low ")</f>
        <v>0</v>
      </c>
      <c r="P954">
        <f>RTD("nest.scriprtd",,"nse_cm|865SCL24-ZA","Prev Close")</f>
        <v>1000</v>
      </c>
      <c r="Q954">
        <f>RTD("nest.scriprtd",,"nse_cm|865SCL24-ZA","Face Value")</f>
        <v>1000</v>
      </c>
      <c r="R954" t="str">
        <f>RTD("nest.scriprtd",,"nse_cm|865SCL24-ZA","Isin code")</f>
        <v>INE148I07MM9</v>
      </c>
      <c r="S954" s="9">
        <f>Table1[[#This Row],[Ask Rate]]*Table1[[#This Row],[Ask Qty]]</f>
        <v>0</v>
      </c>
      <c r="T954">
        <f>VLOOKUP(Table1[[#This Row],[Isin code]],Table2[#All],7,FALSE)</f>
        <v>8.6499999999999986</v>
      </c>
      <c r="U954" s="17" t="str">
        <f>VLOOKUP(Table1[[#This Row],[Isin code]],Table2[#All],8,FALSE)</f>
        <v>03-Nov-2024</v>
      </c>
      <c r="V954" s="10">
        <f ca="1">Table1[[#This Row],[Maturity]]-TODAY()</f>
        <v>18</v>
      </c>
      <c r="W954" t="str">
        <f>VLOOKUP(Table1[[#This Row],[Isin code]],Table2[#All],10,FALSE)</f>
        <v>Yearly</v>
      </c>
      <c r="X954">
        <f ca="1">_xlfn.DAYS(Table1[[#This Row],[Maturity]],TODAY())-15</f>
        <v>3</v>
      </c>
      <c r="Y9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54">
        <f>IF(Table1[[#This Row],[Ask Rate]]=0,0,Table1[[#This Row],[Face Value]]-Table1[[#This Row],[Ask Rate]])</f>
        <v>0</v>
      </c>
      <c r="AA954">
        <f>IF(Table1[[#This Row],[Freq]]="Yearly",Table1[[#This Row],[Coupon_Rate]]/100,IF(Table1[[#This Row],[Freq]]="Monthly",Table1[[#This Row],[Coupon_Rate]]/1200,IF(Table1[[#This Row],[Freq]]="Quarterly",Table1[[#This Row],[Coupon_Rate]]/400,0)))</f>
        <v>8.649999999999998E-2</v>
      </c>
      <c r="AB954">
        <f ca="1">Table1[[#This Row],[Face Value]]*Table1[[#This Row],[Rate]]*Table1[[#This Row],[Time]]</f>
        <v>86.499999999999986</v>
      </c>
      <c r="AC954">
        <f ca="1">Table1[[#This Row],[SI]]+Table1[[#This Row],[Disc/Prem]]</f>
        <v>86.499999999999986</v>
      </c>
      <c r="AD954" s="3" t="e">
        <f ca="1">Table1[[#This Row],[Net Gain]]/Table1[[#This Row],[Ask Rate]]</f>
        <v>#DIV/0!</v>
      </c>
      <c r="AE954" s="3">
        <f>IF(Table1[[#This Row],[Ask Qty]]=0,0,Table1[[#This Row],[Gross Yield]]*365/Table1[[#This Row],[Days Left]])</f>
        <v>0</v>
      </c>
      <c r="AF954" s="9">
        <f ca="1">+Table1[[#This Row],[Net Gain]]*Table1[[#This Row],[Ask Qty]]</f>
        <v>0</v>
      </c>
      <c r="AG954" t="str">
        <f>IF(Table1[[#This Row],[YTM]]&gt;0.12,IF(Table1[[#This Row],[Gross Profit]]&gt;10000,"Invest","Review"),"Low YTM")</f>
        <v>Low YTM</v>
      </c>
    </row>
    <row r="955" spans="1:33" hidden="1" x14ac:dyDescent="0.3">
      <c r="A955" t="str">
        <f>RTD("nest.scriprtd",,"nse_cm|SCL22-ZC","Symbol")</f>
        <v>SCL22</v>
      </c>
      <c r="B955" t="str">
        <f>RTD("nest.scriprtd",,"nse_cm|SCL22-ZC","Trading Symbol")</f>
        <v>SCL22-ZC</v>
      </c>
      <c r="C955" t="str">
        <f>RTD("nest.scriprtd",,"nse_cm|SCL22-ZC","Exchange")</f>
        <v>NSE</v>
      </c>
      <c r="D955">
        <f>RTD("nest.scriprtd",,"nse_cm|SCL22-ZC","Bid Qty")</f>
        <v>13</v>
      </c>
      <c r="E955">
        <f>RTD("nest.scriprtd",,"nse_cm|SCL22-ZC","Bid Rate")</f>
        <v>1020.2</v>
      </c>
      <c r="F955">
        <f>RTD("nest.scriprtd",,"nse_cm|SCL22-ZC","Ask Rate")</f>
        <v>0</v>
      </c>
      <c r="G955">
        <f>RTD("nest.scriprtd",,"nse_cm|SCL22-ZC","Ask Qty")</f>
        <v>0</v>
      </c>
      <c r="H955">
        <f>RTD("nest.scriprtd",,"nse_cm|SCL22-ZC","LTP")</f>
        <v>0</v>
      </c>
      <c r="I955" t="str">
        <f>RTD("nest.scriprtd",,"nse_cm|SCL22-ZC","LTT")</f>
        <v/>
      </c>
      <c r="J955">
        <f>RTD("nest.scriprtd",,"nse_cm|SCL22-ZC","% Change")</f>
        <v>-100</v>
      </c>
      <c r="K955">
        <f>RTD("nest.scriprtd",,"nse_cm|SCL22-ZC","ATP")</f>
        <v>0</v>
      </c>
      <c r="L955">
        <f>RTD("nest.scriprtd",,"nse_cm|SCL22-ZC","Volume Traded Today")</f>
        <v>0</v>
      </c>
      <c r="M955">
        <f>RTD("nest.scriprtd",,"nse_cm|SCL22-ZC","Open")</f>
        <v>0</v>
      </c>
      <c r="N955">
        <f>RTD("nest.scriprtd",,"nse_cm|SCL22-ZC","High")</f>
        <v>0</v>
      </c>
      <c r="O955">
        <f>RTD("nest.scriprtd",,"nse_cm|SCL22-ZC","Low ")</f>
        <v>0</v>
      </c>
      <c r="P955">
        <f>RTD("nest.scriprtd",,"nse_cm|SCL22-ZC","Prev Close")</f>
        <v>1194.9000000000001</v>
      </c>
      <c r="Q955">
        <f>RTD("nest.scriprtd",,"nse_cm|SCL22-ZC","Face Value")</f>
        <v>1000</v>
      </c>
      <c r="R955" t="str">
        <f>RTD("nest.scriprtd",,"nse_cm|SCL22-ZC","Isin code")</f>
        <v>INE148I07MP2</v>
      </c>
      <c r="S955" s="9">
        <f>Table1[[#This Row],[Ask Rate]]*Table1[[#This Row],[Ask Qty]]</f>
        <v>0</v>
      </c>
      <c r="T955" t="str">
        <f>VLOOKUP(Table1[[#This Row],[Isin code]],Table2[#All],7,FALSE)</f>
        <v>--</v>
      </c>
      <c r="U955" s="17" t="str">
        <f>VLOOKUP(Table1[[#This Row],[Isin code]],Table2[#All],8,FALSE)</f>
        <v>03-Nov-2024</v>
      </c>
      <c r="V955" s="10">
        <f ca="1">Table1[[#This Row],[Maturity]]-TODAY()</f>
        <v>18</v>
      </c>
      <c r="W955" t="str">
        <f>VLOOKUP(Table1[[#This Row],[Isin code]],Table2[#All],10,FALSE)</f>
        <v>At the End</v>
      </c>
      <c r="X955">
        <f ca="1">_xlfn.DAYS(Table1[[#This Row],[Maturity]],TODAY())-15</f>
        <v>3</v>
      </c>
      <c r="Y95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55">
        <f>IF(Table1[[#This Row],[Ask Rate]]=0,0,Table1[[#This Row],[Face Value]]-Table1[[#This Row],[Ask Rate]])</f>
        <v>0</v>
      </c>
      <c r="AA95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55">
        <f>Table1[[#This Row],[Face Value]]*Table1[[#This Row],[Rate]]*Table1[[#This Row],[Time]]</f>
        <v>0</v>
      </c>
      <c r="AC955">
        <f>Table1[[#This Row],[SI]]+Table1[[#This Row],[Disc/Prem]]</f>
        <v>0</v>
      </c>
      <c r="AD955" s="3" t="e">
        <f>Table1[[#This Row],[Net Gain]]/Table1[[#This Row],[Ask Rate]]</f>
        <v>#DIV/0!</v>
      </c>
      <c r="AE955" s="3">
        <f>IF(Table1[[#This Row],[Ask Qty]]=0,0,Table1[[#This Row],[Gross Yield]]*365/Table1[[#This Row],[Days Left]])</f>
        <v>0</v>
      </c>
      <c r="AF955" s="9">
        <f>+Table1[[#This Row],[Net Gain]]*Table1[[#This Row],[Ask Qty]]</f>
        <v>0</v>
      </c>
      <c r="AG955" t="str">
        <f>IF(Table1[[#This Row],[YTM]]&gt;0.12,IF(Table1[[#This Row],[Gross Profit]]&gt;10000,"Invest","Review"),"Low YTM")</f>
        <v>Low YTM</v>
      </c>
    </row>
    <row r="956" spans="1:33" hidden="1" x14ac:dyDescent="0.3">
      <c r="A956" t="str">
        <f>RTD("nest.scriprtd",,"nse_cm|SCL24-ZD","Symbol")</f>
        <v>SCL24</v>
      </c>
      <c r="B956" t="str">
        <f>RTD("nest.scriprtd",,"nse_cm|SCL24-ZD","Trading Symbol")</f>
        <v>SCL24-ZD</v>
      </c>
      <c r="C956" t="str">
        <f>RTD("nest.scriprtd",,"nse_cm|SCL24-ZD","Exchange")</f>
        <v>NSE</v>
      </c>
      <c r="D956">
        <f>RTD("nest.scriprtd",,"nse_cm|SCL24-ZD","Bid Qty")</f>
        <v>11</v>
      </c>
      <c r="E956">
        <f>RTD("nest.scriprtd",,"nse_cm|SCL24-ZD","Bid Rate")</f>
        <v>980.2</v>
      </c>
      <c r="F956">
        <f>RTD("nest.scriprtd",,"nse_cm|SCL24-ZD","Ask Rate")</f>
        <v>0</v>
      </c>
      <c r="G956">
        <f>RTD("nest.scriprtd",,"nse_cm|SCL24-ZD","Ask Qty")</f>
        <v>0</v>
      </c>
      <c r="H956">
        <f>RTD("nest.scriprtd",,"nse_cm|SCL24-ZD","LTP")</f>
        <v>1165</v>
      </c>
      <c r="I956" t="str">
        <f>RTD("nest.scriprtd",,"nse_cm|SCL24-ZD","LTT")</f>
        <v/>
      </c>
      <c r="J956">
        <f>RTD("nest.scriprtd",,"nse_cm|SCL24-ZD","% Change")</f>
        <v>0</v>
      </c>
      <c r="K956">
        <f>RTD("nest.scriprtd",,"nse_cm|SCL24-ZD","ATP")</f>
        <v>0</v>
      </c>
      <c r="L956">
        <f>RTD("nest.scriprtd",,"nse_cm|SCL24-ZD","Volume Traded Today")</f>
        <v>0</v>
      </c>
      <c r="M956">
        <f>RTD("nest.scriprtd",,"nse_cm|SCL24-ZD","Open")</f>
        <v>0</v>
      </c>
      <c r="N956">
        <f>RTD("nest.scriprtd",,"nse_cm|SCL24-ZD","High")</f>
        <v>1165</v>
      </c>
      <c r="O956">
        <f>RTD("nest.scriprtd",,"nse_cm|SCL24-ZD","Low ")</f>
        <v>1165</v>
      </c>
      <c r="P956">
        <f>RTD("nest.scriprtd",,"nse_cm|SCL24-ZD","Prev Close")</f>
        <v>1165</v>
      </c>
      <c r="Q956">
        <f>RTD("nest.scriprtd",,"nse_cm|SCL24-ZD","Face Value")</f>
        <v>1000</v>
      </c>
      <c r="R956" t="str">
        <f>RTD("nest.scriprtd",,"nse_cm|SCL24-ZD","Isin code")</f>
        <v>INE148I07MO5</v>
      </c>
      <c r="S956" s="9">
        <f>Table1[[#This Row],[Ask Rate]]*Table1[[#This Row],[Ask Qty]]</f>
        <v>0</v>
      </c>
      <c r="T956" t="str">
        <f>VLOOKUP(Table1[[#This Row],[Isin code]],Table2[#All],7,FALSE)</f>
        <v>--</v>
      </c>
      <c r="U956" s="17" t="str">
        <f>VLOOKUP(Table1[[#This Row],[Isin code]],Table2[#All],8,FALSE)</f>
        <v>03-Nov-2024</v>
      </c>
      <c r="V956" s="10">
        <f ca="1">Table1[[#This Row],[Maturity]]-TODAY()</f>
        <v>18</v>
      </c>
      <c r="W956" t="str">
        <f>VLOOKUP(Table1[[#This Row],[Isin code]],Table2[#All],10,FALSE)</f>
        <v>At the End</v>
      </c>
      <c r="X956">
        <f ca="1">_xlfn.DAYS(Table1[[#This Row],[Maturity]],TODAY())-15</f>
        <v>3</v>
      </c>
      <c r="Y95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56">
        <f>IF(Table1[[#This Row],[Ask Rate]]=0,0,Table1[[#This Row],[Face Value]]-Table1[[#This Row],[Ask Rate]])</f>
        <v>0</v>
      </c>
      <c r="AA95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56">
        <f>Table1[[#This Row],[Face Value]]*Table1[[#This Row],[Rate]]*Table1[[#This Row],[Time]]</f>
        <v>0</v>
      </c>
      <c r="AC956">
        <f>Table1[[#This Row],[SI]]+Table1[[#This Row],[Disc/Prem]]</f>
        <v>0</v>
      </c>
      <c r="AD956" s="3" t="e">
        <f>Table1[[#This Row],[Net Gain]]/Table1[[#This Row],[Ask Rate]]</f>
        <v>#DIV/0!</v>
      </c>
      <c r="AE956" s="3">
        <f>IF(Table1[[#This Row],[Ask Qty]]=0,0,Table1[[#This Row],[Gross Yield]]*365/Table1[[#This Row],[Days Left]])</f>
        <v>0</v>
      </c>
      <c r="AF956" s="9">
        <f>+Table1[[#This Row],[Net Gain]]*Table1[[#This Row],[Ask Qty]]</f>
        <v>0</v>
      </c>
      <c r="AG956" t="str">
        <f>IF(Table1[[#This Row],[YTM]]&gt;0.12,IF(Table1[[#This Row],[Gross Profit]]&gt;10000,"Invest","Review"),"Low YTM")</f>
        <v>Low YTM</v>
      </c>
    </row>
    <row r="957" spans="1:33" hidden="1" x14ac:dyDescent="0.3">
      <c r="A957" t="str">
        <f>RTD("nest.scriprtd",,"nse_cm|833SCL24-ZE","Symbol")</f>
        <v>833SCL24</v>
      </c>
      <c r="B957" t="str">
        <f>RTD("nest.scriprtd",,"nse_cm|833SCL24-ZE","Trading Symbol")</f>
        <v>833SCL24-ZE</v>
      </c>
      <c r="C957" t="str">
        <f>RTD("nest.scriprtd",,"nse_cm|833SCL24-ZE","Exchange")</f>
        <v>NSE</v>
      </c>
      <c r="D957">
        <f>RTD("nest.scriprtd",,"nse_cm|833SCL24-ZE","Bid Qty")</f>
        <v>10</v>
      </c>
      <c r="E957">
        <f>RTD("nest.scriprtd",,"nse_cm|833SCL24-ZE","Bid Rate")</f>
        <v>835.2</v>
      </c>
      <c r="F957">
        <f>RTD("nest.scriprtd",,"nse_cm|833SCL24-ZE","Ask Rate")</f>
        <v>0</v>
      </c>
      <c r="G957">
        <f>RTD("nest.scriprtd",,"nse_cm|833SCL24-ZE","Ask Qty")</f>
        <v>0</v>
      </c>
      <c r="H957">
        <f>RTD("nest.scriprtd",,"nse_cm|833SCL24-ZE","LTP")</f>
        <v>0</v>
      </c>
      <c r="I957" t="str">
        <f>RTD("nest.scriprtd",,"nse_cm|833SCL24-ZE","LTT")</f>
        <v/>
      </c>
      <c r="J957">
        <f>RTD("nest.scriprtd",,"nse_cm|833SCL24-ZE","% Change")</f>
        <v>-100</v>
      </c>
      <c r="K957">
        <f>RTD("nest.scriprtd",,"nse_cm|833SCL24-ZE","ATP")</f>
        <v>0</v>
      </c>
      <c r="L957">
        <f>RTD("nest.scriprtd",,"nse_cm|833SCL24-ZE","Volume Traded Today")</f>
        <v>0</v>
      </c>
      <c r="M957">
        <f>RTD("nest.scriprtd",,"nse_cm|833SCL24-ZE","Open")</f>
        <v>0</v>
      </c>
      <c r="N957">
        <f>RTD("nest.scriprtd",,"nse_cm|833SCL24-ZE","High")</f>
        <v>0</v>
      </c>
      <c r="O957">
        <f>RTD("nest.scriprtd",,"nse_cm|833SCL24-ZE","Low ")</f>
        <v>0</v>
      </c>
      <c r="P957">
        <f>RTD("nest.scriprtd",,"nse_cm|833SCL24-ZE","Prev Close")</f>
        <v>1000</v>
      </c>
      <c r="Q957">
        <f>RTD("nest.scriprtd",,"nse_cm|833SCL24-ZE","Face Value")</f>
        <v>1000</v>
      </c>
      <c r="R957" t="str">
        <f>RTD("nest.scriprtd",,"nse_cm|833SCL24-ZE","Isin code")</f>
        <v>INE148I07MW8</v>
      </c>
      <c r="S957" s="9">
        <f>Table1[[#This Row],[Ask Rate]]*Table1[[#This Row],[Ask Qty]]</f>
        <v>0</v>
      </c>
      <c r="T957">
        <f>VLOOKUP(Table1[[#This Row],[Isin code]],Table2[#All],7,FALSE)</f>
        <v>8.33</v>
      </c>
      <c r="U957" s="17" t="str">
        <f>VLOOKUP(Table1[[#This Row],[Isin code]],Table2[#All],8,FALSE)</f>
        <v>03-Nov-2024</v>
      </c>
      <c r="V957" s="10">
        <f ca="1">Table1[[#This Row],[Maturity]]-TODAY()</f>
        <v>18</v>
      </c>
      <c r="W957" t="str">
        <f>VLOOKUP(Table1[[#This Row],[Isin code]],Table2[#All],10,FALSE)</f>
        <v>Monthly</v>
      </c>
      <c r="X957">
        <f ca="1">_xlfn.DAYS(Table1[[#This Row],[Maturity]],TODAY())-15</f>
        <v>3</v>
      </c>
      <c r="Y9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57">
        <f>IF(Table1[[#This Row],[Ask Rate]]=0,0,Table1[[#This Row],[Face Value]]-Table1[[#This Row],[Ask Rate]])</f>
        <v>0</v>
      </c>
      <c r="AA957">
        <f>IF(Table1[[#This Row],[Freq]]="Yearly",Table1[[#This Row],[Coupon_Rate]]/100,IF(Table1[[#This Row],[Freq]]="Monthly",Table1[[#This Row],[Coupon_Rate]]/1200,IF(Table1[[#This Row],[Freq]]="Quarterly",Table1[[#This Row],[Coupon_Rate]]/400,0)))</f>
        <v>6.9416666666666663E-3</v>
      </c>
      <c r="AB957">
        <f ca="1">Table1[[#This Row],[Face Value]]*Table1[[#This Row],[Rate]]*Table1[[#This Row],[Time]]</f>
        <v>6.9416666666666664</v>
      </c>
      <c r="AC957">
        <f ca="1">Table1[[#This Row],[SI]]+Table1[[#This Row],[Disc/Prem]]</f>
        <v>6.9416666666666664</v>
      </c>
      <c r="AD957" s="3" t="e">
        <f ca="1">Table1[[#This Row],[Net Gain]]/Table1[[#This Row],[Ask Rate]]</f>
        <v>#DIV/0!</v>
      </c>
      <c r="AE957" s="3">
        <f>IF(Table1[[#This Row],[Ask Qty]]=0,0,Table1[[#This Row],[Gross Yield]]*365/Table1[[#This Row],[Days Left]])</f>
        <v>0</v>
      </c>
      <c r="AF957" s="9">
        <f ca="1">+Table1[[#This Row],[Net Gain]]*Table1[[#This Row],[Ask Qty]]</f>
        <v>0</v>
      </c>
      <c r="AG957" t="str">
        <f>IF(Table1[[#This Row],[YTM]]&gt;0.12,IF(Table1[[#This Row],[Gross Profit]]&gt;10000,"Invest","Review"),"Low YTM")</f>
        <v>Low YTM</v>
      </c>
    </row>
    <row r="958" spans="1:33" x14ac:dyDescent="0.3">
      <c r="A958" t="str">
        <f>RTD("nest.scriprtd",,"bse_cm|87SCL25","Symbol")</f>
        <v>87SCL25</v>
      </c>
      <c r="B958" t="str">
        <f>RTD("nest.scriprtd",,"bse_cm|87SCL25","Trading Symbol")</f>
        <v>87SCL25</v>
      </c>
      <c r="C958" t="str">
        <f>RTD("nest.scriprtd",,"bse_cm|87SCL25","Exchange")</f>
        <v>BSE</v>
      </c>
      <c r="D958">
        <f>RTD("nest.scriprtd",,"bse_cm|87SCL25","Bid Qty")</f>
        <v>17</v>
      </c>
      <c r="E958">
        <f>RTD("nest.scriprtd",,"bse_cm|87SCL25","Bid Rate")</f>
        <v>550.20000000000005</v>
      </c>
      <c r="F958">
        <f>RTD("nest.scriprtd",,"bse_cm|87SCL25","Ask Rate")</f>
        <v>0</v>
      </c>
      <c r="G958">
        <f>RTD("nest.scriprtd",,"bse_cm|87SCL25","Ask Qty")</f>
        <v>0</v>
      </c>
      <c r="H958">
        <f>RTD("nest.scriprtd",,"bse_cm|87SCL25","LTP")</f>
        <v>0</v>
      </c>
      <c r="I958" t="str">
        <f>RTD("nest.scriprtd",,"bse_cm|87SCL25","LTT")</f>
        <v>00:00:00</v>
      </c>
      <c r="J958">
        <f>RTD("nest.scriprtd",,"bse_cm|87SCL25","% Change")</f>
        <v>-100</v>
      </c>
      <c r="K958">
        <f>RTD("nest.scriprtd",,"bse_cm|87SCL25","ATP")</f>
        <v>0</v>
      </c>
      <c r="L958">
        <f>RTD("nest.scriprtd",,"bse_cm|87SCL25","Volume Traded Today")</f>
        <v>0</v>
      </c>
      <c r="M958">
        <f>RTD("nest.scriprtd",,"bse_cm|87SCL25","Open")</f>
        <v>0</v>
      </c>
      <c r="N958">
        <f>RTD("nest.scriprtd",,"bse_cm|87SCL25","High")</f>
        <v>0</v>
      </c>
      <c r="O958">
        <f>RTD("nest.scriprtd",,"bse_cm|87SCL25","Low ")</f>
        <v>0</v>
      </c>
      <c r="P958">
        <f>RTD("nest.scriprtd",,"bse_cm|87SCL25","Prev Close")</f>
        <v>667</v>
      </c>
      <c r="Q958">
        <f>RTD("nest.scriprtd",,"bse_cm|87SCL25","Face Value")</f>
        <v>667</v>
      </c>
      <c r="R958" t="str">
        <f>RTD("nest.scriprtd",,"bse_cm|87SCL25","Isin code")</f>
        <v>INE148I07NP0</v>
      </c>
      <c r="S958" s="9">
        <f>Table1[[#This Row],[Ask Rate]]*Table1[[#This Row],[Ask Qty]]</f>
        <v>0</v>
      </c>
      <c r="T958">
        <f>VLOOKUP(Table1[[#This Row],[Isin code]],Table2[#All],7,FALSE)</f>
        <v>8.6999999999999993</v>
      </c>
      <c r="U958" s="17" t="str">
        <f>VLOOKUP(Table1[[#This Row],[Isin code]],Table2[#All],8,FALSE)</f>
        <v>28-Dec-2025</v>
      </c>
      <c r="V958" s="10">
        <f ca="1">Table1[[#This Row],[Maturity]]-TODAY()</f>
        <v>438</v>
      </c>
      <c r="W958" t="str">
        <f>VLOOKUP(Table1[[#This Row],[Isin code]],Table2[#All],10,FALSE)</f>
        <v>Monthly</v>
      </c>
      <c r="X958">
        <f ca="1">_xlfn.DAYS(Table1[[#This Row],[Maturity]],TODAY())-15</f>
        <v>423</v>
      </c>
      <c r="Y9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958">
        <f>IF(Table1[[#This Row],[Ask Rate]]=0,0,Table1[[#This Row],[Face Value]]-Table1[[#This Row],[Ask Rate]])</f>
        <v>0</v>
      </c>
      <c r="AA958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958">
        <f ca="1">Table1[[#This Row],[Face Value]]*Table1[[#This Row],[Rate]]*Table1[[#This Row],[Time]]</f>
        <v>72.536249999999995</v>
      </c>
      <c r="AC958">
        <f ca="1">Table1[[#This Row],[SI]]+Table1[[#This Row],[Disc/Prem]]</f>
        <v>72.536249999999995</v>
      </c>
      <c r="AD958" s="3" t="e">
        <f ca="1">Table1[[#This Row],[Net Gain]]/Table1[[#This Row],[Ask Rate]]</f>
        <v>#DIV/0!</v>
      </c>
      <c r="AE958" s="3">
        <f>IF(Table1[[#This Row],[Ask Qty]]=0,0,Table1[[#This Row],[Gross Yield]]*365/Table1[[#This Row],[Days Left]])</f>
        <v>0</v>
      </c>
      <c r="AF958" s="9">
        <f ca="1">+Table1[[#This Row],[Net Gain]]*Table1[[#This Row],[Ask Qty]]</f>
        <v>0</v>
      </c>
      <c r="AG958" t="str">
        <f>IF(Table1[[#This Row],[YTM]]&gt;0.12,IF(Table1[[#This Row],[Gross Profit]]&gt;10000,"Invest","Review"),"Low YTM")</f>
        <v>Low YTM</v>
      </c>
    </row>
    <row r="959" spans="1:33" hidden="1" x14ac:dyDescent="0.3">
      <c r="A959" t="str">
        <f>RTD("nest.scriprtd",,"nse_cm|87SCL24A-ZF","Symbol")</f>
        <v>87SCL24A</v>
      </c>
      <c r="B959" t="str">
        <f>RTD("nest.scriprtd",,"nse_cm|87SCL24A-ZF","Trading Symbol")</f>
        <v>87SCL24A-ZF</v>
      </c>
      <c r="C959" t="str">
        <f>RTD("nest.scriprtd",,"nse_cm|87SCL24A-ZF","Exchange")</f>
        <v>NSE</v>
      </c>
      <c r="D959">
        <f>RTD("nest.scriprtd",,"nse_cm|87SCL24A-ZF","Bid Qty")</f>
        <v>12</v>
      </c>
      <c r="E959">
        <f>RTD("nest.scriprtd",,"nse_cm|87SCL24A-ZF","Bid Rate")</f>
        <v>960.1</v>
      </c>
      <c r="F959">
        <f>RTD("nest.scriprtd",,"nse_cm|87SCL24A-ZF","Ask Rate")</f>
        <v>0</v>
      </c>
      <c r="G959">
        <f>RTD("nest.scriprtd",,"nse_cm|87SCL24A-ZF","Ask Qty")</f>
        <v>0</v>
      </c>
      <c r="H959">
        <f>RTD("nest.scriprtd",,"nse_cm|87SCL24A-ZF","LTP")</f>
        <v>990</v>
      </c>
      <c r="I959" t="str">
        <f>RTD("nest.scriprtd",,"nse_cm|87SCL24A-ZF","LTT")</f>
        <v/>
      </c>
      <c r="J959">
        <f>RTD("nest.scriprtd",,"nse_cm|87SCL24A-ZF","% Change")</f>
        <v>0</v>
      </c>
      <c r="K959">
        <f>RTD("nest.scriprtd",,"nse_cm|87SCL24A-ZF","ATP")</f>
        <v>0</v>
      </c>
      <c r="L959">
        <f>RTD("nest.scriprtd",,"nse_cm|87SCL24A-ZF","Volume Traded Today")</f>
        <v>0</v>
      </c>
      <c r="M959">
        <f>RTD("nest.scriprtd",,"nse_cm|87SCL24A-ZF","Open")</f>
        <v>0</v>
      </c>
      <c r="N959">
        <f>RTD("nest.scriprtd",,"nse_cm|87SCL24A-ZF","High")</f>
        <v>990</v>
      </c>
      <c r="O959">
        <f>RTD("nest.scriprtd",,"nse_cm|87SCL24A-ZF","Low ")</f>
        <v>990</v>
      </c>
      <c r="P959">
        <f>RTD("nest.scriprtd",,"nse_cm|87SCL24A-ZF","Prev Close")</f>
        <v>990</v>
      </c>
      <c r="Q959">
        <f>RTD("nest.scriprtd",,"nse_cm|87SCL24A-ZF","Face Value")</f>
        <v>1000</v>
      </c>
      <c r="R959" t="str">
        <f>RTD("nest.scriprtd",,"nse_cm|87SCL24A-ZF","Isin code")</f>
        <v>INE148I07MX6</v>
      </c>
      <c r="S959" s="9">
        <f>Table1[[#This Row],[Ask Rate]]*Table1[[#This Row],[Ask Qty]]</f>
        <v>0</v>
      </c>
      <c r="T959">
        <f>VLOOKUP(Table1[[#This Row],[Isin code]],Table2[#All],7,FALSE)</f>
        <v>8.6999999999999993</v>
      </c>
      <c r="U959" s="17" t="str">
        <f>VLOOKUP(Table1[[#This Row],[Isin code]],Table2[#All],8,FALSE)</f>
        <v>03-Nov-2024</v>
      </c>
      <c r="V959" s="10">
        <f ca="1">Table1[[#This Row],[Maturity]]-TODAY()</f>
        <v>18</v>
      </c>
      <c r="W959" t="str">
        <f>VLOOKUP(Table1[[#This Row],[Isin code]],Table2[#All],10,FALSE)</f>
        <v>Monthly</v>
      </c>
      <c r="X959">
        <f ca="1">_xlfn.DAYS(Table1[[#This Row],[Maturity]],TODAY())-15</f>
        <v>3</v>
      </c>
      <c r="Y9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59">
        <f>IF(Table1[[#This Row],[Ask Rate]]=0,0,Table1[[#This Row],[Face Value]]-Table1[[#This Row],[Ask Rate]])</f>
        <v>0</v>
      </c>
      <c r="AA959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959">
        <f ca="1">Table1[[#This Row],[Face Value]]*Table1[[#This Row],[Rate]]*Table1[[#This Row],[Time]]</f>
        <v>7.2499999999999991</v>
      </c>
      <c r="AC959">
        <f ca="1">Table1[[#This Row],[SI]]+Table1[[#This Row],[Disc/Prem]]</f>
        <v>7.2499999999999991</v>
      </c>
      <c r="AD959" s="3" t="e">
        <f ca="1">Table1[[#This Row],[Net Gain]]/Table1[[#This Row],[Ask Rate]]</f>
        <v>#DIV/0!</v>
      </c>
      <c r="AE959" s="3">
        <f>IF(Table1[[#This Row],[Ask Qty]]=0,0,Table1[[#This Row],[Gross Yield]]*365/Table1[[#This Row],[Days Left]])</f>
        <v>0</v>
      </c>
      <c r="AF959" s="9">
        <f ca="1">+Table1[[#This Row],[Net Gain]]*Table1[[#This Row],[Ask Qty]]</f>
        <v>0</v>
      </c>
      <c r="AG959" t="str">
        <f>IF(Table1[[#This Row],[YTM]]&gt;0.12,IF(Table1[[#This Row],[Gross Profit]]&gt;10000,"Invest","Review"),"Low YTM")</f>
        <v>Low YTM</v>
      </c>
    </row>
    <row r="960" spans="1:33" x14ac:dyDescent="0.3">
      <c r="A960" t="str">
        <f>RTD("nest.scriprtd",,"nse_cm|88SCL25-ZG","Symbol")</f>
        <v>88SCL25</v>
      </c>
      <c r="B960" t="str">
        <f>RTD("nest.scriprtd",,"nse_cm|88SCL25-ZG","Trading Symbol")</f>
        <v>88SCL25-ZG</v>
      </c>
      <c r="C960" t="str">
        <f>RTD("nest.scriprtd",,"nse_cm|88SCL25-ZG","Exchange")</f>
        <v>NSE</v>
      </c>
      <c r="D960">
        <f>RTD("nest.scriprtd",,"nse_cm|88SCL25-ZG","Bid Qty")</f>
        <v>20</v>
      </c>
      <c r="E960">
        <f>RTD("nest.scriprtd",,"nse_cm|88SCL25-ZG","Bid Rate")</f>
        <v>872.2</v>
      </c>
      <c r="F960">
        <f>RTD("nest.scriprtd",,"nse_cm|88SCL25-ZG","Ask Rate")</f>
        <v>0</v>
      </c>
      <c r="G960">
        <f>RTD("nest.scriprtd",,"nse_cm|88SCL25-ZG","Ask Qty")</f>
        <v>0</v>
      </c>
      <c r="H960">
        <f>RTD("nest.scriprtd",,"nse_cm|88SCL25-ZG","LTP")</f>
        <v>1026</v>
      </c>
      <c r="I960" t="str">
        <f>RTD("nest.scriprtd",,"nse_cm|88SCL25-ZG","LTT")</f>
        <v/>
      </c>
      <c r="J960">
        <f>RTD("nest.scriprtd",,"nse_cm|88SCL25-ZG","% Change")</f>
        <v>0</v>
      </c>
      <c r="K960">
        <f>RTD("nest.scriprtd",,"nse_cm|88SCL25-ZG","ATP")</f>
        <v>0</v>
      </c>
      <c r="L960">
        <f>RTD("nest.scriprtd",,"nse_cm|88SCL25-ZG","Volume Traded Today")</f>
        <v>0</v>
      </c>
      <c r="M960">
        <f>RTD("nest.scriprtd",,"nse_cm|88SCL25-ZG","Open")</f>
        <v>0</v>
      </c>
      <c r="N960">
        <f>RTD("nest.scriprtd",,"nse_cm|88SCL25-ZG","High")</f>
        <v>1026</v>
      </c>
      <c r="O960">
        <f>RTD("nest.scriprtd",,"nse_cm|88SCL25-ZG","Low ")</f>
        <v>1026</v>
      </c>
      <c r="P960">
        <f>RTD("nest.scriprtd",,"nse_cm|88SCL25-ZG","Prev Close")</f>
        <v>1026</v>
      </c>
      <c r="Q960">
        <f>RTD("nest.scriprtd",,"nse_cm|88SCL25-ZG","Face Value")</f>
        <v>1000</v>
      </c>
      <c r="R960" t="str">
        <f>RTD("nest.scriprtd",,"nse_cm|88SCL25-ZG","Isin code")</f>
        <v>INE148I07MQ0</v>
      </c>
      <c r="S960" s="9">
        <f>Table1[[#This Row],[Ask Rate]]*Table1[[#This Row],[Ask Qty]]</f>
        <v>0</v>
      </c>
      <c r="T960">
        <f>VLOOKUP(Table1[[#This Row],[Isin code]],Table2[#All],7,FALSE)</f>
        <v>8.7999999999999989</v>
      </c>
      <c r="U960" s="17" t="str">
        <f>VLOOKUP(Table1[[#This Row],[Isin code]],Table2[#All],8,FALSE)</f>
        <v>03-Nov-2025</v>
      </c>
      <c r="V960" s="10">
        <f ca="1">Table1[[#This Row],[Maturity]]-TODAY()</f>
        <v>383</v>
      </c>
      <c r="W960" t="str">
        <f>VLOOKUP(Table1[[#This Row],[Isin code]],Table2[#All],10,FALSE)</f>
        <v>Yearly</v>
      </c>
      <c r="X960">
        <f ca="1">_xlfn.DAYS(Table1[[#This Row],[Maturity]],TODAY())-15</f>
        <v>368</v>
      </c>
      <c r="Y9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60">
        <f>IF(Table1[[#This Row],[Ask Rate]]=0,0,Table1[[#This Row],[Face Value]]-Table1[[#This Row],[Ask Rate]])</f>
        <v>0</v>
      </c>
      <c r="AA960">
        <f>IF(Table1[[#This Row],[Freq]]="Yearly",Table1[[#This Row],[Coupon_Rate]]/100,IF(Table1[[#This Row],[Freq]]="Monthly",Table1[[#This Row],[Coupon_Rate]]/1200,IF(Table1[[#This Row],[Freq]]="Quarterly",Table1[[#This Row],[Coupon_Rate]]/400,0)))</f>
        <v>8.7999999999999995E-2</v>
      </c>
      <c r="AB960">
        <f ca="1">Table1[[#This Row],[Face Value]]*Table1[[#This Row],[Rate]]*Table1[[#This Row],[Time]]</f>
        <v>176</v>
      </c>
      <c r="AC960">
        <f ca="1">Table1[[#This Row],[SI]]+Table1[[#This Row],[Disc/Prem]]</f>
        <v>176</v>
      </c>
      <c r="AD960" s="3" t="e">
        <f ca="1">Table1[[#This Row],[Net Gain]]/Table1[[#This Row],[Ask Rate]]</f>
        <v>#DIV/0!</v>
      </c>
      <c r="AE960" s="3">
        <f>IF(Table1[[#This Row],[Ask Qty]]=0,0,Table1[[#This Row],[Gross Yield]]*365/Table1[[#This Row],[Days Left]])</f>
        <v>0</v>
      </c>
      <c r="AF960" s="9">
        <f ca="1">+Table1[[#This Row],[Net Gain]]*Table1[[#This Row],[Ask Qty]]</f>
        <v>0</v>
      </c>
      <c r="AG960" t="str">
        <f>IF(Table1[[#This Row],[YTM]]&gt;0.12,IF(Table1[[#This Row],[Gross Profit]]&gt;10000,"Invest","Review"),"Low YTM")</f>
        <v>Low YTM</v>
      </c>
    </row>
    <row r="961" spans="1:33" x14ac:dyDescent="0.3">
      <c r="A961" t="str">
        <f>RTD("nest.scriprtd",,"nse_cm|93SCL25-ZH","Symbol")</f>
        <v>93SCL25</v>
      </c>
      <c r="B961" t="str">
        <f>RTD("nest.scriprtd",,"nse_cm|93SCL25-ZH","Trading Symbol")</f>
        <v>93SCL25-ZH</v>
      </c>
      <c r="C961" t="str">
        <f>RTD("nest.scriprtd",,"nse_cm|93SCL25-ZH","Exchange")</f>
        <v>NSE</v>
      </c>
      <c r="D961">
        <f>RTD("nest.scriprtd",,"nse_cm|93SCL25-ZH","Bid Qty")</f>
        <v>11</v>
      </c>
      <c r="E961">
        <f>RTD("nest.scriprtd",,"nse_cm|93SCL25-ZH","Bid Rate")</f>
        <v>832.2</v>
      </c>
      <c r="F961">
        <f>RTD("nest.scriprtd",,"nse_cm|93SCL25-ZH","Ask Rate")</f>
        <v>0</v>
      </c>
      <c r="G961">
        <f>RTD("nest.scriprtd",,"nse_cm|93SCL25-ZH","Ask Qty")</f>
        <v>0</v>
      </c>
      <c r="H961">
        <f>RTD("nest.scriprtd",,"nse_cm|93SCL25-ZH","LTP")</f>
        <v>1035</v>
      </c>
      <c r="I961" t="str">
        <f>RTD("nest.scriprtd",,"nse_cm|93SCL25-ZH","LTT")</f>
        <v/>
      </c>
      <c r="J961">
        <f>RTD("nest.scriprtd",,"nse_cm|93SCL25-ZH","% Change")</f>
        <v>0</v>
      </c>
      <c r="K961">
        <f>RTD("nest.scriprtd",,"nse_cm|93SCL25-ZH","ATP")</f>
        <v>0</v>
      </c>
      <c r="L961">
        <f>RTD("nest.scriprtd",,"nse_cm|93SCL25-ZH","Volume Traded Today")</f>
        <v>0</v>
      </c>
      <c r="M961">
        <f>RTD("nest.scriprtd",,"nse_cm|93SCL25-ZH","Open")</f>
        <v>0</v>
      </c>
      <c r="N961">
        <f>RTD("nest.scriprtd",,"nse_cm|93SCL25-ZH","High")</f>
        <v>1035</v>
      </c>
      <c r="O961">
        <f>RTD("nest.scriprtd",,"nse_cm|93SCL25-ZH","Low ")</f>
        <v>1035</v>
      </c>
      <c r="P961">
        <f>RTD("nest.scriprtd",,"nse_cm|93SCL25-ZH","Prev Close")</f>
        <v>1035</v>
      </c>
      <c r="Q961">
        <f>RTD("nest.scriprtd",,"nse_cm|93SCL25-ZH","Face Value")</f>
        <v>1000</v>
      </c>
      <c r="R961" t="str">
        <f>RTD("nest.scriprtd",,"nse_cm|93SCL25-ZH","Isin code")</f>
        <v>INE148I07MR8</v>
      </c>
      <c r="S961" s="9">
        <f>Table1[[#This Row],[Ask Rate]]*Table1[[#This Row],[Ask Qty]]</f>
        <v>0</v>
      </c>
      <c r="T961">
        <f>VLOOKUP(Table1[[#This Row],[Isin code]],Table2[#All],7,FALSE)</f>
        <v>9.3000000000000007</v>
      </c>
      <c r="U961" s="17" t="str">
        <f>VLOOKUP(Table1[[#This Row],[Isin code]],Table2[#All],8,FALSE)</f>
        <v>03-Nov-2025</v>
      </c>
      <c r="V961" s="10">
        <f ca="1">Table1[[#This Row],[Maturity]]-TODAY()</f>
        <v>383</v>
      </c>
      <c r="W961" t="str">
        <f>VLOOKUP(Table1[[#This Row],[Isin code]],Table2[#All],10,FALSE)</f>
        <v>Yearly</v>
      </c>
      <c r="X961">
        <f ca="1">_xlfn.DAYS(Table1[[#This Row],[Maturity]],TODAY())-15</f>
        <v>368</v>
      </c>
      <c r="Y9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61">
        <f>IF(Table1[[#This Row],[Ask Rate]]=0,0,Table1[[#This Row],[Face Value]]-Table1[[#This Row],[Ask Rate]])</f>
        <v>0</v>
      </c>
      <c r="AA961">
        <f>IF(Table1[[#This Row],[Freq]]="Yearly",Table1[[#This Row],[Coupon_Rate]]/100,IF(Table1[[#This Row],[Freq]]="Monthly",Table1[[#This Row],[Coupon_Rate]]/1200,IF(Table1[[#This Row],[Freq]]="Quarterly",Table1[[#This Row],[Coupon_Rate]]/400,0)))</f>
        <v>9.3000000000000013E-2</v>
      </c>
      <c r="AB961">
        <f ca="1">Table1[[#This Row],[Face Value]]*Table1[[#This Row],[Rate]]*Table1[[#This Row],[Time]]</f>
        <v>186.00000000000003</v>
      </c>
      <c r="AC961">
        <f ca="1">Table1[[#This Row],[SI]]+Table1[[#This Row],[Disc/Prem]]</f>
        <v>186.00000000000003</v>
      </c>
      <c r="AD961" s="3" t="e">
        <f ca="1">Table1[[#This Row],[Net Gain]]/Table1[[#This Row],[Ask Rate]]</f>
        <v>#DIV/0!</v>
      </c>
      <c r="AE961" s="3">
        <f>IF(Table1[[#This Row],[Ask Qty]]=0,0,Table1[[#This Row],[Gross Yield]]*365/Table1[[#This Row],[Days Left]])</f>
        <v>0</v>
      </c>
      <c r="AF961" s="9">
        <f ca="1">+Table1[[#This Row],[Net Gain]]*Table1[[#This Row],[Ask Qty]]</f>
        <v>0</v>
      </c>
      <c r="AG961" t="str">
        <f>IF(Table1[[#This Row],[YTM]]&gt;0.12,IF(Table1[[#This Row],[Gross Profit]]&gt;10000,"Invest","Review"),"Low YTM")</f>
        <v>Low YTM</v>
      </c>
    </row>
    <row r="962" spans="1:33" x14ac:dyDescent="0.3">
      <c r="A962" t="str">
        <f>RTD("nest.scriprtd",,"bse_cm|894SCL27","Symbol")</f>
        <v>894SCL27</v>
      </c>
      <c r="B962" t="str">
        <f>RTD("nest.scriprtd",,"bse_cm|894SCL27","Trading Symbol")</f>
        <v>894SCL27</v>
      </c>
      <c r="C962" t="str">
        <f>RTD("nest.scriprtd",,"bse_cm|894SCL27","Exchange")</f>
        <v>BSE</v>
      </c>
      <c r="D962">
        <f>RTD("nest.scriprtd",,"bse_cm|894SCL27","Bid Qty")</f>
        <v>5</v>
      </c>
      <c r="E962">
        <f>RTD("nest.scriprtd",,"bse_cm|894SCL27","Bid Rate")</f>
        <v>840.4</v>
      </c>
      <c r="F962">
        <f>RTD("nest.scriprtd",,"bse_cm|894SCL27","Ask Rate")</f>
        <v>0</v>
      </c>
      <c r="G962">
        <f>RTD("nest.scriprtd",,"bse_cm|894SCL27","Ask Qty")</f>
        <v>0</v>
      </c>
      <c r="H962">
        <f>RTD("nest.scriprtd",,"bse_cm|894SCL27","LTP")</f>
        <v>0</v>
      </c>
      <c r="I962" t="str">
        <f>RTD("nest.scriprtd",,"bse_cm|894SCL27","LTT")</f>
        <v>00:00:00</v>
      </c>
      <c r="J962">
        <f>RTD("nest.scriprtd",,"bse_cm|894SCL27","% Change")</f>
        <v>-100</v>
      </c>
      <c r="K962">
        <f>RTD("nest.scriprtd",,"bse_cm|894SCL27","ATP")</f>
        <v>0</v>
      </c>
      <c r="L962">
        <f>RTD("nest.scriprtd",,"bse_cm|894SCL27","Volume Traded Today")</f>
        <v>0</v>
      </c>
      <c r="M962">
        <f>RTD("nest.scriprtd",,"bse_cm|894SCL27","Open")</f>
        <v>0</v>
      </c>
      <c r="N962">
        <f>RTD("nest.scriprtd",,"bse_cm|894SCL27","High")</f>
        <v>899.8</v>
      </c>
      <c r="O962">
        <f>RTD("nest.scriprtd",,"bse_cm|894SCL27","Low ")</f>
        <v>850</v>
      </c>
      <c r="P962">
        <f>RTD("nest.scriprtd",,"bse_cm|894SCL27","Prev Close")</f>
        <v>850</v>
      </c>
      <c r="Q962">
        <f>RTD("nest.scriprtd",,"bse_cm|894SCL27","Face Value")</f>
        <v>800</v>
      </c>
      <c r="R962" t="str">
        <f>RTD("nest.scriprtd",,"bse_cm|894SCL27","Isin code")</f>
        <v>INE148I07NG9</v>
      </c>
      <c r="S962" s="9">
        <f>Table1[[#This Row],[Ask Rate]]*Table1[[#This Row],[Ask Qty]]</f>
        <v>0</v>
      </c>
      <c r="T962">
        <f>VLOOKUP(Table1[[#This Row],[Isin code]],Table2[#All],7,FALSE)</f>
        <v>9.8000000000000007</v>
      </c>
      <c r="U962" s="17" t="str">
        <f>VLOOKUP(Table1[[#This Row],[Isin code]],Table2[#All],8,FALSE)</f>
        <v>28-Dec-2027</v>
      </c>
      <c r="V962" s="10">
        <f ca="1">Table1[[#This Row],[Maturity]]-TODAY()</f>
        <v>1168</v>
      </c>
      <c r="W962" t="str">
        <f>VLOOKUP(Table1[[#This Row],[Isin code]],Table2[#All],10,FALSE)</f>
        <v>Yearly</v>
      </c>
      <c r="X962">
        <f ca="1">_xlfn.DAYS(Table1[[#This Row],[Maturity]],TODAY())-15</f>
        <v>1153</v>
      </c>
      <c r="Y9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962">
        <f>IF(Table1[[#This Row],[Ask Rate]]=0,0,Table1[[#This Row],[Face Value]]-Table1[[#This Row],[Ask Rate]])</f>
        <v>0</v>
      </c>
      <c r="AA962">
        <f>IF(Table1[[#This Row],[Freq]]="Yearly",Table1[[#This Row],[Coupon_Rate]]/100,IF(Table1[[#This Row],[Freq]]="Monthly",Table1[[#This Row],[Coupon_Rate]]/1200,IF(Table1[[#This Row],[Freq]]="Quarterly",Table1[[#This Row],[Coupon_Rate]]/400,0)))</f>
        <v>9.8000000000000004E-2</v>
      </c>
      <c r="AB962">
        <f ca="1">Table1[[#This Row],[Face Value]]*Table1[[#This Row],[Rate]]*Table1[[#This Row],[Time]]</f>
        <v>313.60000000000002</v>
      </c>
      <c r="AC962">
        <f ca="1">Table1[[#This Row],[SI]]+Table1[[#This Row],[Disc/Prem]]</f>
        <v>313.60000000000002</v>
      </c>
      <c r="AD962" s="3" t="e">
        <f ca="1">Table1[[#This Row],[Net Gain]]/Table1[[#This Row],[Ask Rate]]</f>
        <v>#DIV/0!</v>
      </c>
      <c r="AE962" s="3">
        <f>IF(Table1[[#This Row],[Ask Qty]]=0,0,Table1[[#This Row],[Gross Yield]]*365/Table1[[#This Row],[Days Left]])</f>
        <v>0</v>
      </c>
      <c r="AF962" s="9">
        <f ca="1">+Table1[[#This Row],[Net Gain]]*Table1[[#This Row],[Ask Qty]]</f>
        <v>0</v>
      </c>
      <c r="AG962" t="str">
        <f>IF(Table1[[#This Row],[YTM]]&gt;0.12,IF(Table1[[#This Row],[Gross Profit]]&gt;10000,"Invest","Review"),"Low YTM")</f>
        <v>Low YTM</v>
      </c>
    </row>
    <row r="963" spans="1:33" x14ac:dyDescent="0.3">
      <c r="A963" t="str">
        <f>RTD("nest.scriprtd",,"nse_cm|894SCL25A-ZI","Symbol")</f>
        <v>894SCL25A</v>
      </c>
      <c r="B963" t="str">
        <f>RTD("nest.scriprtd",,"nse_cm|894SCL25A-ZI","Trading Symbol")</f>
        <v>894SCL25A-ZI</v>
      </c>
      <c r="C963" t="str">
        <f>RTD("nest.scriprtd",,"nse_cm|894SCL25A-ZI","Exchange")</f>
        <v>NSE</v>
      </c>
      <c r="D963">
        <f>RTD("nest.scriprtd",,"nse_cm|894SCL25A-ZI","Bid Qty")</f>
        <v>10</v>
      </c>
      <c r="E963">
        <f>RTD("nest.scriprtd",,"nse_cm|894SCL25A-ZI","Bid Rate")</f>
        <v>862.2</v>
      </c>
      <c r="F963">
        <f>RTD("nest.scriprtd",,"nse_cm|894SCL25A-ZI","Ask Rate")</f>
        <v>0</v>
      </c>
      <c r="G963">
        <f>RTD("nest.scriprtd",,"nse_cm|894SCL25A-ZI","Ask Qty")</f>
        <v>0</v>
      </c>
      <c r="H963">
        <f>RTD("nest.scriprtd",,"nse_cm|894SCL25A-ZI","LTP")</f>
        <v>0</v>
      </c>
      <c r="I963" t="str">
        <f>RTD("nest.scriprtd",,"nse_cm|894SCL25A-ZI","LTT")</f>
        <v/>
      </c>
      <c r="J963">
        <f>RTD("nest.scriprtd",,"nse_cm|894SCL25A-ZI","% Change")</f>
        <v>-100</v>
      </c>
      <c r="K963">
        <f>RTD("nest.scriprtd",,"nse_cm|894SCL25A-ZI","ATP")</f>
        <v>0</v>
      </c>
      <c r="L963">
        <f>RTD("nest.scriprtd",,"nse_cm|894SCL25A-ZI","Volume Traded Today")</f>
        <v>0</v>
      </c>
      <c r="M963">
        <f>RTD("nest.scriprtd",,"nse_cm|894SCL25A-ZI","Open")</f>
        <v>0</v>
      </c>
      <c r="N963">
        <f>RTD("nest.scriprtd",,"nse_cm|894SCL25A-ZI","High")</f>
        <v>0</v>
      </c>
      <c r="O963">
        <f>RTD("nest.scriprtd",,"nse_cm|894SCL25A-ZI","Low ")</f>
        <v>0</v>
      </c>
      <c r="P963">
        <f>RTD("nest.scriprtd",,"nse_cm|894SCL25A-ZI","Prev Close")</f>
        <v>1000</v>
      </c>
      <c r="Q963">
        <f>RTD("nest.scriprtd",,"nse_cm|894SCL25A-ZI","Face Value")</f>
        <v>1000</v>
      </c>
      <c r="R963" t="str">
        <f>RTD("nest.scriprtd",,"nse_cm|894SCL25A-ZI","Isin code")</f>
        <v>INE148I07MT4</v>
      </c>
      <c r="S963" s="9">
        <f>Table1[[#This Row],[Ask Rate]]*Table1[[#This Row],[Ask Qty]]</f>
        <v>0</v>
      </c>
      <c r="T963" t="str">
        <f>VLOOKUP(Table1[[#This Row],[Isin code]],Table2[#All],7,FALSE)</f>
        <v>--</v>
      </c>
      <c r="U963" s="17" t="str">
        <f>VLOOKUP(Table1[[#This Row],[Isin code]],Table2[#All],8,FALSE)</f>
        <v>03-Nov-2025</v>
      </c>
      <c r="V963" s="10">
        <f ca="1">Table1[[#This Row],[Maturity]]-TODAY()</f>
        <v>383</v>
      </c>
      <c r="W963" t="str">
        <f>VLOOKUP(Table1[[#This Row],[Isin code]],Table2[#All],10,FALSE)</f>
        <v>At the End</v>
      </c>
      <c r="X963">
        <f ca="1">_xlfn.DAYS(Table1[[#This Row],[Maturity]],TODAY())-15</f>
        <v>368</v>
      </c>
      <c r="Y96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63">
        <f>IF(Table1[[#This Row],[Ask Rate]]=0,0,Table1[[#This Row],[Face Value]]-Table1[[#This Row],[Ask Rate]])</f>
        <v>0</v>
      </c>
      <c r="AA96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63">
        <f>Table1[[#This Row],[Face Value]]*Table1[[#This Row],[Rate]]*Table1[[#This Row],[Time]]</f>
        <v>0</v>
      </c>
      <c r="AC963">
        <f>Table1[[#This Row],[SI]]+Table1[[#This Row],[Disc/Prem]]</f>
        <v>0</v>
      </c>
      <c r="AD963" s="3" t="e">
        <f>Table1[[#This Row],[Net Gain]]/Table1[[#This Row],[Ask Rate]]</f>
        <v>#DIV/0!</v>
      </c>
      <c r="AE963" s="3">
        <f>IF(Table1[[#This Row],[Ask Qty]]=0,0,Table1[[#This Row],[Gross Yield]]*365/Table1[[#This Row],[Days Left]])</f>
        <v>0</v>
      </c>
      <c r="AF963" s="9">
        <f>+Table1[[#This Row],[Net Gain]]*Table1[[#This Row],[Ask Qty]]</f>
        <v>0</v>
      </c>
      <c r="AG963" t="str">
        <f>IF(Table1[[#This Row],[YTM]]&gt;0.12,IF(Table1[[#This Row],[Gross Profit]]&gt;10000,"Invest","Review"),"Low YTM")</f>
        <v>Low YTM</v>
      </c>
    </row>
    <row r="964" spans="1:33" x14ac:dyDescent="0.3">
      <c r="A964" t="str">
        <f>RTD("nest.scriprtd",,"bse_cm|916SCL25","Symbol")</f>
        <v>916SCL25</v>
      </c>
      <c r="B964" t="str">
        <f>RTD("nest.scriprtd",,"bse_cm|916SCL25","Trading Symbol")</f>
        <v>916SCL25</v>
      </c>
      <c r="C964" t="str">
        <f>RTD("nest.scriprtd",,"bse_cm|916SCL25","Exchange")</f>
        <v>BSE</v>
      </c>
      <c r="D964">
        <f>RTD("nest.scriprtd",,"bse_cm|916SCL25","Bid Qty")</f>
        <v>1</v>
      </c>
      <c r="E964">
        <f>RTD("nest.scriprtd",,"bse_cm|916SCL25","Bid Rate")</f>
        <v>850</v>
      </c>
      <c r="F964">
        <f>RTD("nest.scriprtd",,"bse_cm|916SCL25","Ask Rate")</f>
        <v>0</v>
      </c>
      <c r="G964">
        <f>RTD("nest.scriprtd",,"bse_cm|916SCL25","Ask Qty")</f>
        <v>0</v>
      </c>
      <c r="H964">
        <f>RTD("nest.scriprtd",,"bse_cm|916SCL25","LTP")</f>
        <v>900</v>
      </c>
      <c r="I964" t="str">
        <f>RTD("nest.scriprtd",,"bse_cm|916SCL25","LTT")</f>
        <v>15:15:15</v>
      </c>
      <c r="J964">
        <f>RTD("nest.scriprtd",,"bse_cm|916SCL25","% Change")</f>
        <v>0</v>
      </c>
      <c r="K964">
        <f>RTD("nest.scriprtd",,"bse_cm|916SCL25","ATP")</f>
        <v>900</v>
      </c>
      <c r="L964">
        <f>RTD("nest.scriprtd",,"bse_cm|916SCL25","Volume Traded Today")</f>
        <v>50</v>
      </c>
      <c r="M964">
        <f>RTD("nest.scriprtd",,"bse_cm|916SCL25","Open")</f>
        <v>900</v>
      </c>
      <c r="N964">
        <f>RTD("nest.scriprtd",,"bse_cm|916SCL25","High")</f>
        <v>900</v>
      </c>
      <c r="O964">
        <f>RTD("nest.scriprtd",,"bse_cm|916SCL25","Low ")</f>
        <v>900</v>
      </c>
      <c r="P964">
        <f>RTD("nest.scriprtd",,"bse_cm|916SCL25","Prev Close")</f>
        <v>900</v>
      </c>
      <c r="Q964">
        <f>RTD("nest.scriprtd",,"bse_cm|916SCL25","Face Value")</f>
        <v>667</v>
      </c>
      <c r="R964" t="str">
        <f>RTD("nest.scriprtd",,"bse_cm|916SCL25","Isin code")</f>
        <v>INE148I07NM7</v>
      </c>
      <c r="S964" s="9">
        <f>Table1[[#This Row],[Ask Rate]]*Table1[[#This Row],[Ask Qty]]</f>
        <v>0</v>
      </c>
      <c r="T964">
        <f>VLOOKUP(Table1[[#This Row],[Isin code]],Table2[#All],7,FALSE)</f>
        <v>9.16</v>
      </c>
      <c r="U964" s="17">
        <f>VLOOKUP(Table1[[#This Row],[Isin code]],Table2[#All],8,FALSE)</f>
        <v>46019</v>
      </c>
      <c r="V964" s="10">
        <f ca="1">Table1[[#This Row],[Maturity]]-TODAY()</f>
        <v>438</v>
      </c>
      <c r="W964" t="str">
        <f>VLOOKUP(Table1[[#This Row],[Isin code]],Table2[#All],10,FALSE)</f>
        <v>Monthly</v>
      </c>
      <c r="X964">
        <f ca="1">_xlfn.DAYS(Table1[[#This Row],[Maturity]],TODAY())-15</f>
        <v>423</v>
      </c>
      <c r="Y9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964">
        <f>IF(Table1[[#This Row],[Ask Rate]]=0,0,Table1[[#This Row],[Face Value]]-Table1[[#This Row],[Ask Rate]])</f>
        <v>0</v>
      </c>
      <c r="AA964">
        <f>IF(Table1[[#This Row],[Freq]]="Yearly",Table1[[#This Row],[Coupon_Rate]]/100,IF(Table1[[#This Row],[Freq]]="Monthly",Table1[[#This Row],[Coupon_Rate]]/1200,IF(Table1[[#This Row],[Freq]]="Quarterly",Table1[[#This Row],[Coupon_Rate]]/400,0)))</f>
        <v>7.6333333333333331E-3</v>
      </c>
      <c r="AB964">
        <f ca="1">Table1[[#This Row],[Face Value]]*Table1[[#This Row],[Rate]]*Table1[[#This Row],[Time]]</f>
        <v>76.371499999999997</v>
      </c>
      <c r="AC964">
        <f ca="1">Table1[[#This Row],[SI]]+Table1[[#This Row],[Disc/Prem]]</f>
        <v>76.371499999999997</v>
      </c>
      <c r="AD964" s="3" t="e">
        <f ca="1">Table1[[#This Row],[Net Gain]]/Table1[[#This Row],[Ask Rate]]</f>
        <v>#DIV/0!</v>
      </c>
      <c r="AE964" s="3">
        <f>IF(Table1[[#This Row],[Ask Qty]]=0,0,Table1[[#This Row],[Gross Yield]]*365/Table1[[#This Row],[Days Left]])</f>
        <v>0</v>
      </c>
      <c r="AF964" s="9">
        <f ca="1">+Table1[[#This Row],[Net Gain]]*Table1[[#This Row],[Ask Qty]]</f>
        <v>0</v>
      </c>
      <c r="AG964" t="str">
        <f>IF(Table1[[#This Row],[YTM]]&gt;0.12,IF(Table1[[#This Row],[Gross Profit]]&gt;10000,"Invest","Review"),"Low YTM")</f>
        <v>Low YTM</v>
      </c>
    </row>
    <row r="965" spans="1:33" x14ac:dyDescent="0.3">
      <c r="A965" t="str">
        <f>RTD("nest.scriprtd",,"bse_cm|916ONE25","Symbol")</f>
        <v>916ONE25</v>
      </c>
      <c r="B965" t="str">
        <f>RTD("nest.scriprtd",,"bse_cm|916ONE25","Trading Symbol")</f>
        <v>916ONE25</v>
      </c>
      <c r="C965" t="str">
        <f>RTD("nest.scriprtd",,"bse_cm|916ONE25","Exchange")</f>
        <v>BSE</v>
      </c>
      <c r="D965">
        <f>RTD("nest.scriprtd",,"bse_cm|916ONE25","Bid Qty")</f>
        <v>50</v>
      </c>
      <c r="E965">
        <f>RTD("nest.scriprtd",,"bse_cm|916ONE25","Bid Rate")</f>
        <v>900.11</v>
      </c>
      <c r="F965">
        <f>RTD("nest.scriprtd",,"bse_cm|916ONE25","Ask Rate")</f>
        <v>0</v>
      </c>
      <c r="G965">
        <f>RTD("nest.scriprtd",,"bse_cm|916ONE25","Ask Qty")</f>
        <v>0</v>
      </c>
      <c r="H965">
        <f>RTD("nest.scriprtd",,"bse_cm|916ONE25","LTP")</f>
        <v>0</v>
      </c>
      <c r="I965" t="str">
        <f>RTD("nest.scriprtd",,"bse_cm|916ONE25","LTT")</f>
        <v>00:00:00</v>
      </c>
      <c r="J965">
        <f>RTD("nest.scriprtd",,"bse_cm|916ONE25","% Change")</f>
        <v>-100</v>
      </c>
      <c r="K965">
        <f>RTD("nest.scriprtd",,"bse_cm|916ONE25","ATP")</f>
        <v>0</v>
      </c>
      <c r="L965">
        <f>RTD("nest.scriprtd",,"bse_cm|916ONE25","Volume Traded Today")</f>
        <v>0</v>
      </c>
      <c r="M965">
        <f>RTD("nest.scriprtd",,"bse_cm|916ONE25","Open")</f>
        <v>0</v>
      </c>
      <c r="N965">
        <f>RTD("nest.scriprtd",,"bse_cm|916ONE25","High")</f>
        <v>996.79</v>
      </c>
      <c r="O965">
        <f>RTD("nest.scriprtd",,"bse_cm|916ONE25","Low ")</f>
        <v>964.33</v>
      </c>
      <c r="P965">
        <f>RTD("nest.scriprtd",,"bse_cm|916ONE25","Prev Close")</f>
        <v>996.79</v>
      </c>
      <c r="Q965">
        <f>RTD("nest.scriprtd",,"bse_cm|916ONE25","Face Value")</f>
        <v>1000</v>
      </c>
      <c r="R965" t="str">
        <f>RTD("nest.scriprtd",,"bse_cm|916ONE25","Isin code")</f>
        <v>INE248U07FD5</v>
      </c>
      <c r="S965" s="9">
        <f>Table1[[#This Row],[Ask Rate]]*Table1[[#This Row],[Ask Qty]]</f>
        <v>0</v>
      </c>
      <c r="T965">
        <f>VLOOKUP(Table1[[#This Row],[Isin code]],Table2[#All],7,FALSE)</f>
        <v>9.16</v>
      </c>
      <c r="U965" s="17" t="str">
        <f>VLOOKUP(Table1[[#This Row],[Isin code]],Table2[#All],8,FALSE)</f>
        <v>12-Dec-2025</v>
      </c>
      <c r="V965" s="10">
        <f ca="1">Table1[[#This Row],[Maturity]]-TODAY()</f>
        <v>422</v>
      </c>
      <c r="W965" t="str">
        <f>VLOOKUP(Table1[[#This Row],[Isin code]],Table2[#All],10,FALSE)</f>
        <v>Annual</v>
      </c>
      <c r="X965">
        <f ca="1">_xlfn.DAYS(Table1[[#This Row],[Maturity]],TODAY())-15</f>
        <v>407</v>
      </c>
      <c r="Y96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65">
        <f>IF(Table1[[#This Row],[Ask Rate]]=0,0,Table1[[#This Row],[Face Value]]-Table1[[#This Row],[Ask Rate]])</f>
        <v>0</v>
      </c>
      <c r="AA96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65">
        <f>Table1[[#This Row],[Face Value]]*Table1[[#This Row],[Rate]]*Table1[[#This Row],[Time]]</f>
        <v>0</v>
      </c>
      <c r="AC965">
        <f>Table1[[#This Row],[SI]]+Table1[[#This Row],[Disc/Prem]]</f>
        <v>0</v>
      </c>
      <c r="AD965" s="3" t="e">
        <f>Table1[[#This Row],[Net Gain]]/Table1[[#This Row],[Ask Rate]]</f>
        <v>#DIV/0!</v>
      </c>
      <c r="AE965" s="3">
        <f>IF(Table1[[#This Row],[Ask Qty]]=0,0,Table1[[#This Row],[Gross Yield]]*365/Table1[[#This Row],[Days Left]])</f>
        <v>0</v>
      </c>
      <c r="AF965" s="9">
        <f>+Table1[[#This Row],[Net Gain]]*Table1[[#This Row],[Ask Qty]]</f>
        <v>0</v>
      </c>
      <c r="AG965" t="str">
        <f>IF(Table1[[#This Row],[YTM]]&gt;0.12,IF(Table1[[#This Row],[Gross Profit]]&gt;10000,"Invest","Review"),"Low YTM")</f>
        <v>Low YTM</v>
      </c>
    </row>
    <row r="966" spans="1:33" x14ac:dyDescent="0.3">
      <c r="A966" t="str">
        <f>RTD("nest.scriprtd",,"nse_cm|915SCL27A-ZL","Symbol")</f>
        <v>915SCL27A</v>
      </c>
      <c r="B966" t="str">
        <f>RTD("nest.scriprtd",,"nse_cm|915SCL27A-ZL","Trading Symbol")</f>
        <v>915SCL27A-ZL</v>
      </c>
      <c r="C966" t="str">
        <f>RTD("nest.scriprtd",,"nse_cm|915SCL27A-ZL","Exchange")</f>
        <v>NSE</v>
      </c>
      <c r="D966">
        <f>RTD("nest.scriprtd",,"nse_cm|915SCL27A-ZL","Bid Qty")</f>
        <v>9</v>
      </c>
      <c r="E966">
        <f>RTD("nest.scriprtd",,"nse_cm|915SCL27A-ZL","Bid Rate")</f>
        <v>900.3</v>
      </c>
      <c r="F966">
        <f>RTD("nest.scriprtd",,"nse_cm|915SCL27A-ZL","Ask Rate")</f>
        <v>0</v>
      </c>
      <c r="G966">
        <f>RTD("nest.scriprtd",,"nse_cm|915SCL27A-ZL","Ask Qty")</f>
        <v>0</v>
      </c>
      <c r="H966">
        <f>RTD("nest.scriprtd",,"nse_cm|915SCL27A-ZL","LTP")</f>
        <v>993.62</v>
      </c>
      <c r="I966" t="str">
        <f>RTD("nest.scriprtd",,"nse_cm|915SCL27A-ZL","LTT")</f>
        <v/>
      </c>
      <c r="J966">
        <f>RTD("nest.scriprtd",,"nse_cm|915SCL27A-ZL","% Change")</f>
        <v>0</v>
      </c>
      <c r="K966">
        <f>RTD("nest.scriprtd",,"nse_cm|915SCL27A-ZL","ATP")</f>
        <v>0</v>
      </c>
      <c r="L966">
        <f>RTD("nest.scriprtd",,"nse_cm|915SCL27A-ZL","Volume Traded Today")</f>
        <v>0</v>
      </c>
      <c r="M966">
        <f>RTD("nest.scriprtd",,"nse_cm|915SCL27A-ZL","Open")</f>
        <v>0</v>
      </c>
      <c r="N966">
        <f>RTD("nest.scriprtd",,"nse_cm|915SCL27A-ZL","High")</f>
        <v>993.62</v>
      </c>
      <c r="O966">
        <f>RTD("nest.scriprtd",,"nse_cm|915SCL27A-ZL","Low ")</f>
        <v>993.62</v>
      </c>
      <c r="P966">
        <f>RTD("nest.scriprtd",,"nse_cm|915SCL27A-ZL","Prev Close")</f>
        <v>993.62</v>
      </c>
      <c r="Q966">
        <f>RTD("nest.scriprtd",,"nse_cm|915SCL27A-ZL","Face Value")</f>
        <v>1000</v>
      </c>
      <c r="R966" t="str">
        <f>RTD("nest.scriprtd",,"nse_cm|915SCL27A-ZL","Isin code")</f>
        <v>INE148I07MV0</v>
      </c>
      <c r="S966" s="9">
        <f>Table1[[#This Row],[Ask Rate]]*Table1[[#This Row],[Ask Qty]]</f>
        <v>0</v>
      </c>
      <c r="T966">
        <f>VLOOKUP(Table1[[#This Row],[Isin code]],Table2[#All],7,FALSE)</f>
        <v>9.5500000000000007</v>
      </c>
      <c r="U966" s="17" t="str">
        <f>VLOOKUP(Table1[[#This Row],[Isin code]],Table2[#All],8,FALSE)</f>
        <v>03-Nov-2027</v>
      </c>
      <c r="V966" s="10">
        <f ca="1">Table1[[#This Row],[Maturity]]-TODAY()</f>
        <v>1113</v>
      </c>
      <c r="W966" t="str">
        <f>VLOOKUP(Table1[[#This Row],[Isin code]],Table2[#All],10,FALSE)</f>
        <v>Yearly</v>
      </c>
      <c r="X966">
        <f ca="1">_xlfn.DAYS(Table1[[#This Row],[Maturity]],TODAY())-15</f>
        <v>1098</v>
      </c>
      <c r="Y9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966">
        <f>IF(Table1[[#This Row],[Ask Rate]]=0,0,Table1[[#This Row],[Face Value]]-Table1[[#This Row],[Ask Rate]])</f>
        <v>0</v>
      </c>
      <c r="AA966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966">
        <f ca="1">Table1[[#This Row],[Face Value]]*Table1[[#This Row],[Rate]]*Table1[[#This Row],[Time]]</f>
        <v>382</v>
      </c>
      <c r="AC966">
        <f ca="1">Table1[[#This Row],[SI]]+Table1[[#This Row],[Disc/Prem]]</f>
        <v>382</v>
      </c>
      <c r="AD966" s="3" t="e">
        <f ca="1">Table1[[#This Row],[Net Gain]]/Table1[[#This Row],[Ask Rate]]</f>
        <v>#DIV/0!</v>
      </c>
      <c r="AE966" s="3">
        <f>IF(Table1[[#This Row],[Ask Qty]]=0,0,Table1[[#This Row],[Gross Yield]]*365/Table1[[#This Row],[Days Left]])</f>
        <v>0</v>
      </c>
      <c r="AF966" s="9">
        <f ca="1">+Table1[[#This Row],[Net Gain]]*Table1[[#This Row],[Ask Qty]]</f>
        <v>0</v>
      </c>
      <c r="AG966" t="str">
        <f>IF(Table1[[#This Row],[YTM]]&gt;0.12,IF(Table1[[#This Row],[Gross Profit]]&gt;10000,"Invest","Review"),"Low YTM")</f>
        <v>Low YTM</v>
      </c>
    </row>
    <row r="967" spans="1:33" x14ac:dyDescent="0.3">
      <c r="A967" t="str">
        <f>RTD("nest.scriprtd",,"bse_cm|902SCL26A","Symbol")</f>
        <v>902SCL26A</v>
      </c>
      <c r="B967" t="str">
        <f>RTD("nest.scriprtd",,"bse_cm|902SCL26A","Trading Symbol")</f>
        <v>902SCL26A</v>
      </c>
      <c r="C967" t="str">
        <f>RTD("nest.scriprtd",,"bse_cm|902SCL26A","Exchange")</f>
        <v>BSE</v>
      </c>
      <c r="D967">
        <f>RTD("nest.scriprtd",,"bse_cm|902SCL26A","Bid Qty")</f>
        <v>12</v>
      </c>
      <c r="E967">
        <f>RTD("nest.scriprtd",,"bse_cm|902SCL26A","Bid Rate")</f>
        <v>820.5</v>
      </c>
      <c r="F967">
        <f>RTD("nest.scriprtd",,"bse_cm|902SCL26A","Ask Rate")</f>
        <v>0</v>
      </c>
      <c r="G967">
        <f>RTD("nest.scriprtd",,"bse_cm|902SCL26A","Ask Qty")</f>
        <v>0</v>
      </c>
      <c r="H967">
        <f>RTD("nest.scriprtd",,"bse_cm|902SCL26A","LTP")</f>
        <v>0</v>
      </c>
      <c r="I967" t="str">
        <f>RTD("nest.scriprtd",,"bse_cm|902SCL26A","LTT")</f>
        <v>00:00:00</v>
      </c>
      <c r="J967">
        <f>RTD("nest.scriprtd",,"bse_cm|902SCL26A","% Change")</f>
        <v>-100</v>
      </c>
      <c r="K967">
        <f>RTD("nest.scriprtd",,"bse_cm|902SCL26A","ATP")</f>
        <v>0</v>
      </c>
      <c r="L967">
        <f>RTD("nest.scriprtd",,"bse_cm|902SCL26A","Volume Traded Today")</f>
        <v>0</v>
      </c>
      <c r="M967">
        <f>RTD("nest.scriprtd",,"bse_cm|902SCL26A","Open")</f>
        <v>0</v>
      </c>
      <c r="N967">
        <f>RTD("nest.scriprtd",,"bse_cm|902SCL26A","High")</f>
        <v>0</v>
      </c>
      <c r="O967">
        <f>RTD("nest.scriprtd",,"bse_cm|902SCL26A","Low ")</f>
        <v>0</v>
      </c>
      <c r="P967">
        <f>RTD("nest.scriprtd",,"bse_cm|902SCL26A","Prev Close")</f>
        <v>1000</v>
      </c>
      <c r="Q967">
        <f>RTD("nest.scriprtd",,"bse_cm|902SCL26A","Face Value")</f>
        <v>1000</v>
      </c>
      <c r="R967" t="str">
        <f>RTD("nest.scriprtd",,"bse_cm|902SCL26A","Isin code")</f>
        <v>INE148I07QM0</v>
      </c>
      <c r="S967" s="9">
        <f>Table1[[#This Row],[Ask Rate]]*Table1[[#This Row],[Ask Qty]]</f>
        <v>0</v>
      </c>
      <c r="T967">
        <f>VLOOKUP(Table1[[#This Row],[Isin code]],Table2[#All],7,FALSE)</f>
        <v>9.02</v>
      </c>
      <c r="U967" s="17" t="str">
        <f>VLOOKUP(Table1[[#This Row],[Isin code]],Table2[#All],8,FALSE)</f>
        <v>09-Nov-2026</v>
      </c>
      <c r="V967" s="10">
        <f ca="1">Table1[[#This Row],[Maturity]]-TODAY()</f>
        <v>754</v>
      </c>
      <c r="W967" t="str">
        <f>VLOOKUP(Table1[[#This Row],[Isin code]],Table2[#All],10,FALSE)</f>
        <v>Monthly</v>
      </c>
      <c r="X967">
        <f ca="1">_xlfn.DAYS(Table1[[#This Row],[Maturity]],TODAY())-15</f>
        <v>739</v>
      </c>
      <c r="Y9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967">
        <f>IF(Table1[[#This Row],[Ask Rate]]=0,0,Table1[[#This Row],[Face Value]]-Table1[[#This Row],[Ask Rate]])</f>
        <v>0</v>
      </c>
      <c r="AA967">
        <f>IF(Table1[[#This Row],[Freq]]="Yearly",Table1[[#This Row],[Coupon_Rate]]/100,IF(Table1[[#This Row],[Freq]]="Monthly",Table1[[#This Row],[Coupon_Rate]]/1200,IF(Table1[[#This Row],[Freq]]="Quarterly",Table1[[#This Row],[Coupon_Rate]]/400,0)))</f>
        <v>7.5166666666666663E-3</v>
      </c>
      <c r="AB967">
        <f ca="1">Table1[[#This Row],[Face Value]]*Table1[[#This Row],[Rate]]*Table1[[#This Row],[Time]]</f>
        <v>187.91666666666666</v>
      </c>
      <c r="AC967">
        <f ca="1">Table1[[#This Row],[SI]]+Table1[[#This Row],[Disc/Prem]]</f>
        <v>187.91666666666666</v>
      </c>
      <c r="AD967" s="3" t="e">
        <f ca="1">Table1[[#This Row],[Net Gain]]/Table1[[#This Row],[Ask Rate]]</f>
        <v>#DIV/0!</v>
      </c>
      <c r="AE967" s="3">
        <f>IF(Table1[[#This Row],[Ask Qty]]=0,0,Table1[[#This Row],[Gross Yield]]*365/Table1[[#This Row],[Days Left]])</f>
        <v>0</v>
      </c>
      <c r="AF967" s="9">
        <f ca="1">+Table1[[#This Row],[Net Gain]]*Table1[[#This Row],[Ask Qty]]</f>
        <v>0</v>
      </c>
      <c r="AG967" t="str">
        <f>IF(Table1[[#This Row],[YTM]]&gt;0.12,IF(Table1[[#This Row],[Gross Profit]]&gt;10000,"Invest","Review"),"Low YTM")</f>
        <v>Low YTM</v>
      </c>
    </row>
    <row r="968" spans="1:33" hidden="1" x14ac:dyDescent="0.3">
      <c r="A968" t="str">
        <f>RTD("nest.scriprtd",,"nse_cm|902SCL26-N8","Symbol")</f>
        <v>902SCL26</v>
      </c>
      <c r="B968" t="str">
        <f>RTD("nest.scriprtd",,"nse_cm|902SCL26-N8","Trading Symbol")</f>
        <v>902SCL26-N8</v>
      </c>
      <c r="C968" t="str">
        <f>RTD("nest.scriprtd",,"nse_cm|902SCL26-N8","Exchange")</f>
        <v>NSE</v>
      </c>
      <c r="D968">
        <f>RTD("nest.scriprtd",,"nse_cm|902SCL26-N8","Bid Qty")</f>
        <v>0</v>
      </c>
      <c r="E968">
        <f>RTD("nest.scriprtd",,"nse_cm|902SCL26-N8","Bid Rate")</f>
        <v>0</v>
      </c>
      <c r="F968">
        <f>RTD("nest.scriprtd",,"nse_cm|902SCL26-N8","Ask Rate")</f>
        <v>0</v>
      </c>
      <c r="G968">
        <f>RTD("nest.scriprtd",,"nse_cm|902SCL26-N8","Ask Qty")</f>
        <v>0</v>
      </c>
      <c r="H968">
        <f>RTD("nest.scriprtd",,"nse_cm|902SCL26-N8","LTP")</f>
        <v>0</v>
      </c>
      <c r="I968" t="str">
        <f>RTD("nest.scriprtd",,"nse_cm|902SCL26-N8","LTT")</f>
        <v/>
      </c>
      <c r="J968">
        <f>RTD("nest.scriprtd",,"nse_cm|902SCL26-N8","% Change")</f>
        <v>-100</v>
      </c>
      <c r="K968">
        <f>RTD("nest.scriprtd",,"nse_cm|902SCL26-N8","ATP")</f>
        <v>0</v>
      </c>
      <c r="L968">
        <f>RTD("nest.scriprtd",,"nse_cm|902SCL26-N8","Volume Traded Today")</f>
        <v>0</v>
      </c>
      <c r="M968">
        <f>RTD("nest.scriprtd",,"nse_cm|902SCL26-N8","Open")</f>
        <v>0</v>
      </c>
      <c r="N968">
        <f>RTD("nest.scriprtd",,"nse_cm|902SCL26-N8","High")</f>
        <v>0</v>
      </c>
      <c r="O968">
        <f>RTD("nest.scriprtd",,"nse_cm|902SCL26-N8","Low ")</f>
        <v>0</v>
      </c>
      <c r="P968">
        <f>RTD("nest.scriprtd",,"nse_cm|902SCL26-N8","Prev Close")</f>
        <v>1000</v>
      </c>
      <c r="Q968">
        <f>RTD("nest.scriprtd",,"nse_cm|902SCL26-N8","Face Value")</f>
        <v>667</v>
      </c>
      <c r="R968" t="str">
        <f>RTD("nest.scriprtd",,"nse_cm|902SCL26-N8","Isin code")</f>
        <v>INE148I07QE7</v>
      </c>
      <c r="S968" s="9">
        <f>Table1[[#This Row],[Ask Rate]]*Table1[[#This Row],[Ask Qty]]</f>
        <v>0</v>
      </c>
      <c r="T968" t="str">
        <f>VLOOKUP(Table1[[#This Row],[Isin code]],Table2[#All],7,FALSE)</f>
        <v>x</v>
      </c>
      <c r="U968" s="17" t="str">
        <f>VLOOKUP(Table1[[#This Row],[Isin code]],Table2[#All],8,FALSE)</f>
        <v>x</v>
      </c>
      <c r="V968" s="10" t="e">
        <f ca="1">Table1[[#This Row],[Maturity]]-TODAY()</f>
        <v>#VALUE!</v>
      </c>
      <c r="W968" t="str">
        <f>VLOOKUP(Table1[[#This Row],[Isin code]],Table2[#All],10,FALSE)</f>
        <v>x</v>
      </c>
      <c r="X968" t="e">
        <f ca="1">_xlfn.DAYS(Table1[[#This Row],[Maturity]],TODAY())-15</f>
        <v>#VALUE!</v>
      </c>
      <c r="Y96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68">
        <f>IF(Table1[[#This Row],[Ask Rate]]=0,0,Table1[[#This Row],[Face Value]]-Table1[[#This Row],[Ask Rate]])</f>
        <v>0</v>
      </c>
      <c r="AA96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68">
        <f>Table1[[#This Row],[Face Value]]*Table1[[#This Row],[Rate]]*Table1[[#This Row],[Time]]</f>
        <v>0</v>
      </c>
      <c r="AC968">
        <f>Table1[[#This Row],[SI]]+Table1[[#This Row],[Disc/Prem]]</f>
        <v>0</v>
      </c>
      <c r="AD968" s="3" t="e">
        <f>Table1[[#This Row],[Net Gain]]/Table1[[#This Row],[Ask Rate]]</f>
        <v>#DIV/0!</v>
      </c>
      <c r="AE968" s="3">
        <f>IF(Table1[[#This Row],[Ask Qty]]=0,0,Table1[[#This Row],[Gross Yield]]*365/Table1[[#This Row],[Days Left]])</f>
        <v>0</v>
      </c>
      <c r="AF968" s="9">
        <f>+Table1[[#This Row],[Net Gain]]*Table1[[#This Row],[Ask Qty]]</f>
        <v>0</v>
      </c>
      <c r="AG968" t="str">
        <f>IF(Table1[[#This Row],[YTM]]&gt;0.12,IF(Table1[[#This Row],[Gross Profit]]&gt;10000,"Invest","Review"),"Low YTM")</f>
        <v>Low YTM</v>
      </c>
    </row>
    <row r="969" spans="1:33" hidden="1" x14ac:dyDescent="0.3">
      <c r="A969" t="str">
        <f>RTD("nest.scriprtd",,"bse_cm|902SCL26","Symbol")</f>
        <v>902SCL26</v>
      </c>
      <c r="B969" t="str">
        <f>RTD("nest.scriprtd",,"bse_cm|902SCL26","Trading Symbol")</f>
        <v>902SCL26</v>
      </c>
      <c r="C969" t="str">
        <f>RTD("nest.scriprtd",,"bse_cm|902SCL26","Exchange")</f>
        <v>BSE</v>
      </c>
      <c r="D969">
        <f>RTD("nest.scriprtd",,"bse_cm|902SCL26","Bid Qty")</f>
        <v>6</v>
      </c>
      <c r="E969">
        <f>RTD("nest.scriprtd",,"bse_cm|902SCL26","Bid Rate")</f>
        <v>535.20000000000005</v>
      </c>
      <c r="F969">
        <f>RTD("nest.scriprtd",,"bse_cm|902SCL26","Ask Rate")</f>
        <v>0</v>
      </c>
      <c r="G969">
        <f>RTD("nest.scriprtd",,"bse_cm|902SCL26","Ask Qty")</f>
        <v>0</v>
      </c>
      <c r="H969">
        <f>RTD("nest.scriprtd",,"bse_cm|902SCL26","LTP")</f>
        <v>0</v>
      </c>
      <c r="I969" t="str">
        <f>RTD("nest.scriprtd",,"bse_cm|902SCL26","LTT")</f>
        <v>00:00:00</v>
      </c>
      <c r="J969">
        <f>RTD("nest.scriprtd",,"bse_cm|902SCL26","% Change")</f>
        <v>-100</v>
      </c>
      <c r="K969">
        <f>RTD("nest.scriprtd",,"bse_cm|902SCL26","ATP")</f>
        <v>0</v>
      </c>
      <c r="L969">
        <f>RTD("nest.scriprtd",,"bse_cm|902SCL26","Volume Traded Today")</f>
        <v>0</v>
      </c>
      <c r="M969">
        <f>RTD("nest.scriprtd",,"bse_cm|902SCL26","Open")</f>
        <v>0</v>
      </c>
      <c r="N969">
        <f>RTD("nest.scriprtd",,"bse_cm|902SCL26","High")</f>
        <v>0</v>
      </c>
      <c r="O969">
        <f>RTD("nest.scriprtd",,"bse_cm|902SCL26","Low ")</f>
        <v>0</v>
      </c>
      <c r="P969">
        <f>RTD("nest.scriprtd",,"bse_cm|902SCL26","Prev Close")</f>
        <v>667</v>
      </c>
      <c r="Q969">
        <f>RTD("nest.scriprtd",,"bse_cm|902SCL26","Face Value")</f>
        <v>667</v>
      </c>
      <c r="R969" t="str">
        <f>RTD("nest.scriprtd",,"bse_cm|902SCL26","Isin code")</f>
        <v>INE148I07QE7</v>
      </c>
      <c r="S969" s="9">
        <f>Table1[[#This Row],[Ask Rate]]*Table1[[#This Row],[Ask Qty]]</f>
        <v>0</v>
      </c>
      <c r="T969" t="str">
        <f>VLOOKUP(Table1[[#This Row],[Isin code]],Table2[#All],7,FALSE)</f>
        <v>x</v>
      </c>
      <c r="U969" s="17" t="str">
        <f>VLOOKUP(Table1[[#This Row],[Isin code]],Table2[#All],8,FALSE)</f>
        <v>x</v>
      </c>
      <c r="V969" s="10" t="e">
        <f ca="1">Table1[[#This Row],[Maturity]]-TODAY()</f>
        <v>#VALUE!</v>
      </c>
      <c r="W969" t="str">
        <f>VLOOKUP(Table1[[#This Row],[Isin code]],Table2[#All],10,FALSE)</f>
        <v>x</v>
      </c>
      <c r="X969" t="e">
        <f ca="1">_xlfn.DAYS(Table1[[#This Row],[Maturity]],TODAY())-15</f>
        <v>#VALUE!</v>
      </c>
      <c r="Y96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69">
        <f>IF(Table1[[#This Row],[Ask Rate]]=0,0,Table1[[#This Row],[Face Value]]-Table1[[#This Row],[Ask Rate]])</f>
        <v>0</v>
      </c>
      <c r="AA96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69">
        <f>Table1[[#This Row],[Face Value]]*Table1[[#This Row],[Rate]]*Table1[[#This Row],[Time]]</f>
        <v>0</v>
      </c>
      <c r="AC969">
        <f>Table1[[#This Row],[SI]]+Table1[[#This Row],[Disc/Prem]]</f>
        <v>0</v>
      </c>
      <c r="AD969" s="3" t="e">
        <f>Table1[[#This Row],[Net Gain]]/Table1[[#This Row],[Ask Rate]]</f>
        <v>#DIV/0!</v>
      </c>
      <c r="AE969" s="3">
        <f>IF(Table1[[#This Row],[Ask Qty]]=0,0,Table1[[#This Row],[Gross Yield]]*365/Table1[[#This Row],[Days Left]])</f>
        <v>0</v>
      </c>
      <c r="AF969" s="9">
        <f>+Table1[[#This Row],[Net Gain]]*Table1[[#This Row],[Ask Qty]]</f>
        <v>0</v>
      </c>
      <c r="AG969" t="str">
        <f>IF(Table1[[#This Row],[YTM]]&gt;0.12,IF(Table1[[#This Row],[Gross Profit]]&gt;10000,"Invest","Review"),"Low YTM")</f>
        <v>Low YTM</v>
      </c>
    </row>
    <row r="970" spans="1:33" x14ac:dyDescent="0.3">
      <c r="A970" t="str">
        <f>RTD("nest.scriprtd",,"nse_cm|89SCL24A-ZM","Symbol")</f>
        <v>89SCL24A</v>
      </c>
      <c r="B970" t="str">
        <f>RTD("nest.scriprtd",,"nse_cm|89SCL24A-ZM","Trading Symbol")</f>
        <v>89SCL24A-ZM</v>
      </c>
      <c r="C970" t="str">
        <f>RTD("nest.scriprtd",,"nse_cm|89SCL24A-ZM","Exchange")</f>
        <v>NSE</v>
      </c>
      <c r="D970">
        <f>RTD("nest.scriprtd",,"nse_cm|89SCL24A-ZM","Bid Qty")</f>
        <v>0</v>
      </c>
      <c r="E970">
        <f>RTD("nest.scriprtd",,"nse_cm|89SCL24A-ZM","Bid Rate")</f>
        <v>0</v>
      </c>
      <c r="F970">
        <f>RTD("nest.scriprtd",,"nse_cm|89SCL24A-ZM","Ask Rate")</f>
        <v>0</v>
      </c>
      <c r="G970">
        <f>RTD("nest.scriprtd",,"nse_cm|89SCL24A-ZM","Ask Qty")</f>
        <v>0</v>
      </c>
      <c r="H970">
        <f>RTD("nest.scriprtd",,"nse_cm|89SCL24A-ZM","LTP")</f>
        <v>0</v>
      </c>
      <c r="I970" t="str">
        <f>RTD("nest.scriprtd",,"nse_cm|89SCL24A-ZM","LTT")</f>
        <v/>
      </c>
      <c r="J970">
        <f>RTD("nest.scriprtd",,"nse_cm|89SCL24A-ZM","% Change")</f>
        <v>0</v>
      </c>
      <c r="K970">
        <f>RTD("nest.scriprtd",,"nse_cm|89SCL24A-ZM","ATP")</f>
        <v>0</v>
      </c>
      <c r="L970">
        <f>RTD("nest.scriprtd",,"nse_cm|89SCL24A-ZM","Volume Traded Today")</f>
        <v>0</v>
      </c>
      <c r="M970">
        <f>RTD("nest.scriprtd",,"nse_cm|89SCL24A-ZM","Open")</f>
        <v>0</v>
      </c>
      <c r="N970">
        <f>RTD("nest.scriprtd",,"nse_cm|89SCL24A-ZM","High")</f>
        <v>0</v>
      </c>
      <c r="O970">
        <f>RTD("nest.scriprtd",,"nse_cm|89SCL24A-ZM","Low ")</f>
        <v>0</v>
      </c>
      <c r="P970">
        <f>RTD("nest.scriprtd",,"nse_cm|89SCL24A-ZM","Prev Close")</f>
        <v>0</v>
      </c>
      <c r="Q970">
        <f>RTD("nest.scriprtd",,"nse_cm|89SCL24A-ZM","Face Value")</f>
        <v>1000</v>
      </c>
      <c r="R970" t="str">
        <f>RTD("nest.scriprtd",,"nse_cm|89SCL24A-ZM","Isin code")</f>
        <v>INE148I07NA2</v>
      </c>
      <c r="S970" s="9">
        <f>Table1[[#This Row],[Ask Rate]]*Table1[[#This Row],[Ask Qty]]</f>
        <v>0</v>
      </c>
      <c r="T970">
        <f>VLOOKUP(Table1[[#This Row],[Isin code]],Table2[#All],7,FALSE)</f>
        <v>8.6999999999999993</v>
      </c>
      <c r="U970" s="17" t="str">
        <f>VLOOKUP(Table1[[#This Row],[Isin code]],Table2[#All],8,FALSE)</f>
        <v>03-Nov-2027</v>
      </c>
      <c r="V970" s="10">
        <f ca="1">Table1[[#This Row],[Maturity]]-TODAY()</f>
        <v>1113</v>
      </c>
      <c r="W970" t="str">
        <f>VLOOKUP(Table1[[#This Row],[Isin code]],Table2[#All],10,FALSE)</f>
        <v>Monthly</v>
      </c>
      <c r="X970">
        <f ca="1">_xlfn.DAYS(Table1[[#This Row],[Maturity]],TODAY())-15</f>
        <v>1098</v>
      </c>
      <c r="Y9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37</v>
      </c>
      <c r="Z970">
        <f>IF(Table1[[#This Row],[Ask Rate]]=0,0,Table1[[#This Row],[Face Value]]-Table1[[#This Row],[Ask Rate]])</f>
        <v>0</v>
      </c>
      <c r="AA970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970">
        <f ca="1">Table1[[#This Row],[Face Value]]*Table1[[#This Row],[Rate]]*Table1[[#This Row],[Time]]</f>
        <v>268.24999999999994</v>
      </c>
      <c r="AC970">
        <f ca="1">Table1[[#This Row],[SI]]+Table1[[#This Row],[Disc/Prem]]</f>
        <v>268.24999999999994</v>
      </c>
      <c r="AD970" s="3" t="e">
        <f ca="1">Table1[[#This Row],[Net Gain]]/Table1[[#This Row],[Ask Rate]]</f>
        <v>#DIV/0!</v>
      </c>
      <c r="AE970" s="3">
        <f>IF(Table1[[#This Row],[Ask Qty]]=0,0,Table1[[#This Row],[Gross Yield]]*365/Table1[[#This Row],[Days Left]])</f>
        <v>0</v>
      </c>
      <c r="AF970" s="9">
        <f ca="1">+Table1[[#This Row],[Net Gain]]*Table1[[#This Row],[Ask Qty]]</f>
        <v>0</v>
      </c>
      <c r="AG970" t="str">
        <f>IF(Table1[[#This Row],[YTM]]&gt;0.12,IF(Table1[[#This Row],[Gross Profit]]&gt;10000,"Invest","Review"),"Low YTM")</f>
        <v>Low YTM</v>
      </c>
    </row>
    <row r="971" spans="1:33" x14ac:dyDescent="0.3">
      <c r="A971" t="str">
        <f>RTD("nest.scriprtd",,"bse_cm|89SCL24A","Symbol")</f>
        <v>89SCL24A</v>
      </c>
      <c r="B971" t="str">
        <f>RTD("nest.scriprtd",,"bse_cm|89SCL24A","Trading Symbol")</f>
        <v>89SCL24A</v>
      </c>
      <c r="C971" t="str">
        <f>RTD("nest.scriprtd",,"bse_cm|89SCL24A","Exchange")</f>
        <v>BSE</v>
      </c>
      <c r="D971">
        <f>RTD("nest.scriprtd",,"bse_cm|89SCL24A","Bid Qty")</f>
        <v>50</v>
      </c>
      <c r="E971">
        <f>RTD("nest.scriprtd",,"bse_cm|89SCL24A","Bid Rate")</f>
        <v>825.4</v>
      </c>
      <c r="F971">
        <f>RTD("nest.scriprtd",,"bse_cm|89SCL24A","Ask Rate")</f>
        <v>0</v>
      </c>
      <c r="G971">
        <f>RTD("nest.scriprtd",,"bse_cm|89SCL24A","Ask Qty")</f>
        <v>0</v>
      </c>
      <c r="H971">
        <f>RTD("nest.scriprtd",,"bse_cm|89SCL24A","LTP")</f>
        <v>0</v>
      </c>
      <c r="I971" t="str">
        <f>RTD("nest.scriprtd",,"bse_cm|89SCL24A","LTT")</f>
        <v>00:00:00</v>
      </c>
      <c r="J971">
        <f>RTD("nest.scriprtd",,"bse_cm|89SCL24A","% Change")</f>
        <v>-100</v>
      </c>
      <c r="K971">
        <f>RTD("nest.scriprtd",,"bse_cm|89SCL24A","ATP")</f>
        <v>0</v>
      </c>
      <c r="L971">
        <f>RTD("nest.scriprtd",,"bse_cm|89SCL24A","Volume Traded Today")</f>
        <v>0</v>
      </c>
      <c r="M971">
        <f>RTD("nest.scriprtd",,"bse_cm|89SCL24A","Open")</f>
        <v>0</v>
      </c>
      <c r="N971">
        <f>RTD("nest.scriprtd",,"bse_cm|89SCL24A","High")</f>
        <v>1196.8</v>
      </c>
      <c r="O971">
        <f>RTD("nest.scriprtd",,"bse_cm|89SCL24A","Low ")</f>
        <v>839.2</v>
      </c>
      <c r="P971">
        <f>RTD("nest.scriprtd",,"bse_cm|89SCL24A","Prev Close")</f>
        <v>839.2</v>
      </c>
      <c r="Q971">
        <f>RTD("nest.scriprtd",,"bse_cm|89SCL24A","Face Value")</f>
        <v>1000</v>
      </c>
      <c r="R971" t="str">
        <f>RTD("nest.scriprtd",,"bse_cm|89SCL24A","Isin code")</f>
        <v>INE148I07NA2</v>
      </c>
      <c r="S971" s="9">
        <f>Table1[[#This Row],[Ask Rate]]*Table1[[#This Row],[Ask Qty]]</f>
        <v>0</v>
      </c>
      <c r="T971">
        <f>VLOOKUP(Table1[[#This Row],[Isin code]],Table2[#All],7,FALSE)</f>
        <v>8.6999999999999993</v>
      </c>
      <c r="U971" s="17" t="str">
        <f>VLOOKUP(Table1[[#This Row],[Isin code]],Table2[#All],8,FALSE)</f>
        <v>03-Nov-2027</v>
      </c>
      <c r="V971" s="10">
        <f ca="1">Table1[[#This Row],[Maturity]]-TODAY()</f>
        <v>1113</v>
      </c>
      <c r="W971" t="str">
        <f>VLOOKUP(Table1[[#This Row],[Isin code]],Table2[#All],10,FALSE)</f>
        <v>Monthly</v>
      </c>
      <c r="X971">
        <f ca="1">_xlfn.DAYS(Table1[[#This Row],[Maturity]],TODAY())-15</f>
        <v>1098</v>
      </c>
      <c r="Y9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37</v>
      </c>
      <c r="Z971">
        <f>IF(Table1[[#This Row],[Ask Rate]]=0,0,Table1[[#This Row],[Face Value]]-Table1[[#This Row],[Ask Rate]])</f>
        <v>0</v>
      </c>
      <c r="AA971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971">
        <f ca="1">Table1[[#This Row],[Face Value]]*Table1[[#This Row],[Rate]]*Table1[[#This Row],[Time]]</f>
        <v>268.24999999999994</v>
      </c>
      <c r="AC971">
        <f ca="1">Table1[[#This Row],[SI]]+Table1[[#This Row],[Disc/Prem]]</f>
        <v>268.24999999999994</v>
      </c>
      <c r="AD971" s="3" t="e">
        <f ca="1">Table1[[#This Row],[Net Gain]]/Table1[[#This Row],[Ask Rate]]</f>
        <v>#DIV/0!</v>
      </c>
      <c r="AE971" s="3">
        <f>IF(Table1[[#This Row],[Ask Qty]]=0,0,Table1[[#This Row],[Gross Yield]]*365/Table1[[#This Row],[Days Left]])</f>
        <v>0</v>
      </c>
      <c r="AF971" s="9">
        <f ca="1">+Table1[[#This Row],[Net Gain]]*Table1[[#This Row],[Ask Qty]]</f>
        <v>0</v>
      </c>
      <c r="AG971" t="str">
        <f>IF(Table1[[#This Row],[YTM]]&gt;0.12,IF(Table1[[#This Row],[Gross Profit]]&gt;10000,"Invest","Review"),"Low YTM")</f>
        <v>Low YTM</v>
      </c>
    </row>
    <row r="972" spans="1:33" hidden="1" x14ac:dyDescent="0.3">
      <c r="A972" t="str">
        <f>RTD("nest.scriprtd",,"nse_cm|89SCL24-ZO","Symbol")</f>
        <v>89SCL24</v>
      </c>
      <c r="B972" t="str">
        <f>RTD("nest.scriprtd",,"nse_cm|89SCL24-ZO","Trading Symbol")</f>
        <v>89SCL24-ZO</v>
      </c>
      <c r="C972" t="str">
        <f>RTD("nest.scriprtd",,"nse_cm|89SCL24-ZO","Exchange")</f>
        <v>NSE</v>
      </c>
      <c r="D972">
        <f>RTD("nest.scriprtd",,"nse_cm|89SCL24-ZO","Bid Qty")</f>
        <v>25</v>
      </c>
      <c r="E972">
        <f>RTD("nest.scriprtd",,"nse_cm|89SCL24-ZO","Bid Rate")</f>
        <v>850.2</v>
      </c>
      <c r="F972">
        <f>RTD("nest.scriprtd",,"nse_cm|89SCL24-ZO","Ask Rate")</f>
        <v>0</v>
      </c>
      <c r="G972">
        <f>RTD("nest.scriprtd",,"nse_cm|89SCL24-ZO","Ask Qty")</f>
        <v>0</v>
      </c>
      <c r="H972">
        <f>RTD("nest.scriprtd",,"nse_cm|89SCL24-ZO","LTP")</f>
        <v>0</v>
      </c>
      <c r="I972" t="str">
        <f>RTD("nest.scriprtd",,"nse_cm|89SCL24-ZO","LTT")</f>
        <v/>
      </c>
      <c r="J972">
        <f>RTD("nest.scriprtd",,"nse_cm|89SCL24-ZO","% Change")</f>
        <v>-100</v>
      </c>
      <c r="K972">
        <f>RTD("nest.scriprtd",,"nse_cm|89SCL24-ZO","ATP")</f>
        <v>0</v>
      </c>
      <c r="L972">
        <f>RTD("nest.scriprtd",,"nse_cm|89SCL24-ZO","Volume Traded Today")</f>
        <v>0</v>
      </c>
      <c r="M972">
        <f>RTD("nest.scriprtd",,"nse_cm|89SCL24-ZO","Open")</f>
        <v>0</v>
      </c>
      <c r="N972">
        <f>RTD("nest.scriprtd",,"nse_cm|89SCL24-ZO","High")</f>
        <v>46</v>
      </c>
      <c r="O972">
        <f>RTD("nest.scriprtd",,"nse_cm|89SCL24-ZO","Low ")</f>
        <v>44.1</v>
      </c>
      <c r="P972">
        <f>RTD("nest.scriprtd",,"nse_cm|89SCL24-ZO","Prev Close")</f>
        <v>1000</v>
      </c>
      <c r="Q972">
        <f>RTD("nest.scriprtd",,"nse_cm|89SCL24-ZO","Face Value")</f>
        <v>1000</v>
      </c>
      <c r="R972" t="str">
        <f>RTD("nest.scriprtd",,"nse_cm|89SCL24-ZO","Isin code")</f>
        <v>INE148I07NE4</v>
      </c>
      <c r="S972" s="9">
        <f>Table1[[#This Row],[Ask Rate]]*Table1[[#This Row],[Ask Qty]]</f>
        <v>0</v>
      </c>
      <c r="T972">
        <f>VLOOKUP(Table1[[#This Row],[Isin code]],Table2[#All],7,FALSE)</f>
        <v>8.9</v>
      </c>
      <c r="U972" s="17" t="str">
        <f>VLOOKUP(Table1[[#This Row],[Isin code]],Table2[#All],8,FALSE)</f>
        <v>28-Dec-2024</v>
      </c>
      <c r="V972" s="10">
        <f ca="1">Table1[[#This Row],[Maturity]]-TODAY()</f>
        <v>73</v>
      </c>
      <c r="W972" t="str">
        <f>VLOOKUP(Table1[[#This Row],[Isin code]],Table2[#All],10,FALSE)</f>
        <v>Yearly</v>
      </c>
      <c r="X972">
        <f ca="1">_xlfn.DAYS(Table1[[#This Row],[Maturity]],TODAY())-15</f>
        <v>58</v>
      </c>
      <c r="Y9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72">
        <f>IF(Table1[[#This Row],[Ask Rate]]=0,0,Table1[[#This Row],[Face Value]]-Table1[[#This Row],[Ask Rate]])</f>
        <v>0</v>
      </c>
      <c r="AA972">
        <f>IF(Table1[[#This Row],[Freq]]="Yearly",Table1[[#This Row],[Coupon_Rate]]/100,IF(Table1[[#This Row],[Freq]]="Monthly",Table1[[#This Row],[Coupon_Rate]]/1200,IF(Table1[[#This Row],[Freq]]="Quarterly",Table1[[#This Row],[Coupon_Rate]]/400,0)))</f>
        <v>8.900000000000001E-2</v>
      </c>
      <c r="AB972">
        <f ca="1">Table1[[#This Row],[Face Value]]*Table1[[#This Row],[Rate]]*Table1[[#This Row],[Time]]</f>
        <v>89.000000000000014</v>
      </c>
      <c r="AC972">
        <f ca="1">Table1[[#This Row],[SI]]+Table1[[#This Row],[Disc/Prem]]</f>
        <v>89.000000000000014</v>
      </c>
      <c r="AD972" s="3" t="e">
        <f ca="1">Table1[[#This Row],[Net Gain]]/Table1[[#This Row],[Ask Rate]]</f>
        <v>#DIV/0!</v>
      </c>
      <c r="AE972" s="3">
        <f>IF(Table1[[#This Row],[Ask Qty]]=0,0,Table1[[#This Row],[Gross Yield]]*365/Table1[[#This Row],[Days Left]])</f>
        <v>0</v>
      </c>
      <c r="AF972" s="9">
        <f ca="1">+Table1[[#This Row],[Net Gain]]*Table1[[#This Row],[Ask Qty]]</f>
        <v>0</v>
      </c>
      <c r="AG972" t="str">
        <f>IF(Table1[[#This Row],[YTM]]&gt;0.12,IF(Table1[[#This Row],[Gross Profit]]&gt;10000,"Invest","Review"),"Low YTM")</f>
        <v>Low YTM</v>
      </c>
    </row>
    <row r="973" spans="1:33" x14ac:dyDescent="0.3">
      <c r="A973" t="str">
        <f>RTD("nest.scriprtd",,"nse_cm|85CIFC27-NL","Symbol")</f>
        <v>85CIFC27</v>
      </c>
      <c r="B973" t="str">
        <f>RTD("nest.scriprtd",,"nse_cm|85CIFC27-NL","Trading Symbol")</f>
        <v>85CIFC27-NL</v>
      </c>
      <c r="C973" t="str">
        <f>RTD("nest.scriprtd",,"nse_cm|85CIFC27-NL","Exchange")</f>
        <v>NSE</v>
      </c>
      <c r="D973">
        <f>RTD("nest.scriprtd",,"nse_cm|85CIFC27-NL","Bid Qty")</f>
        <v>25</v>
      </c>
      <c r="E973">
        <f>RTD("nest.scriprtd",,"nse_cm|85CIFC27-NL","Bid Rate")</f>
        <v>1021.01</v>
      </c>
      <c r="F973">
        <f>RTD("nest.scriprtd",,"nse_cm|85CIFC27-NL","Ask Rate")</f>
        <v>0</v>
      </c>
      <c r="G973">
        <f>RTD("nest.scriprtd",,"nse_cm|85CIFC27-NL","Ask Qty")</f>
        <v>0</v>
      </c>
      <c r="H973">
        <f>RTD("nest.scriprtd",,"nse_cm|85CIFC27-NL","LTP")</f>
        <v>1010</v>
      </c>
      <c r="I973" t="str">
        <f>RTD("nest.scriprtd",,"nse_cm|85CIFC27-NL","LTT")</f>
        <v/>
      </c>
      <c r="J973">
        <f>RTD("nest.scriprtd",,"nse_cm|85CIFC27-NL","% Change")</f>
        <v>0</v>
      </c>
      <c r="K973">
        <f>RTD("nest.scriprtd",,"nse_cm|85CIFC27-NL","ATP")</f>
        <v>0</v>
      </c>
      <c r="L973">
        <f>RTD("nest.scriprtd",,"nse_cm|85CIFC27-NL","Volume Traded Today")</f>
        <v>0</v>
      </c>
      <c r="M973">
        <f>RTD("nest.scriprtd",,"nse_cm|85CIFC27-NL","Open")</f>
        <v>0</v>
      </c>
      <c r="N973">
        <f>RTD("nest.scriprtd",,"nse_cm|85CIFC27-NL","High")</f>
        <v>1010</v>
      </c>
      <c r="O973">
        <f>RTD("nest.scriprtd",,"nse_cm|85CIFC27-NL","Low ")</f>
        <v>1010</v>
      </c>
      <c r="P973">
        <f>RTD("nest.scriprtd",,"nse_cm|85CIFC27-NL","Prev Close")</f>
        <v>1010</v>
      </c>
      <c r="Q973">
        <f>RTD("nest.scriprtd",,"nse_cm|85CIFC27-NL","Face Value")</f>
        <v>1000</v>
      </c>
      <c r="R973" t="str">
        <f>RTD("nest.scriprtd",,"nse_cm|85CIFC27-NL","Isin code")</f>
        <v>INE121A07RT7</v>
      </c>
      <c r="S973" s="9">
        <f>Table1[[#This Row],[Ask Rate]]*Table1[[#This Row],[Ask Qty]]</f>
        <v>0</v>
      </c>
      <c r="T973">
        <f>VLOOKUP(Table1[[#This Row],[Isin code]],Table2[#All],7,FALSE)</f>
        <v>8.5</v>
      </c>
      <c r="U973" s="17" t="str">
        <f>VLOOKUP(Table1[[#This Row],[Isin code]],Table2[#All],8,FALSE)</f>
        <v>31-Jan-2027</v>
      </c>
      <c r="V973" s="10">
        <f ca="1">Table1[[#This Row],[Maturity]]-TODAY()</f>
        <v>837</v>
      </c>
      <c r="W973" t="str">
        <f>VLOOKUP(Table1[[#This Row],[Isin code]],Table2[#All],10,FALSE)</f>
        <v>Yearly</v>
      </c>
      <c r="X973">
        <f ca="1">_xlfn.DAYS(Table1[[#This Row],[Maturity]],TODAY())-15</f>
        <v>822</v>
      </c>
      <c r="Y9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73">
        <f>IF(Table1[[#This Row],[Ask Rate]]=0,0,Table1[[#This Row],[Face Value]]-Table1[[#This Row],[Ask Rate]])</f>
        <v>0</v>
      </c>
      <c r="AA973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973">
        <f ca="1">Table1[[#This Row],[Face Value]]*Table1[[#This Row],[Rate]]*Table1[[#This Row],[Time]]</f>
        <v>255</v>
      </c>
      <c r="AC973">
        <f ca="1">Table1[[#This Row],[SI]]+Table1[[#This Row],[Disc/Prem]]</f>
        <v>255</v>
      </c>
      <c r="AD973" s="3" t="e">
        <f ca="1">Table1[[#This Row],[Net Gain]]/Table1[[#This Row],[Ask Rate]]</f>
        <v>#DIV/0!</v>
      </c>
      <c r="AE973" s="3">
        <f>IF(Table1[[#This Row],[Ask Qty]]=0,0,Table1[[#This Row],[Gross Yield]]*365/Table1[[#This Row],[Days Left]])</f>
        <v>0</v>
      </c>
      <c r="AF973" s="9">
        <f ca="1">+Table1[[#This Row],[Net Gain]]*Table1[[#This Row],[Ask Qty]]</f>
        <v>0</v>
      </c>
      <c r="AG973" t="str">
        <f>IF(Table1[[#This Row],[YTM]]&gt;0.12,IF(Table1[[#This Row],[Gross Profit]]&gt;10000,"Invest","Review"),"Low YTM")</f>
        <v>Low YTM</v>
      </c>
    </row>
    <row r="974" spans="1:33" x14ac:dyDescent="0.3">
      <c r="A974" t="str">
        <f>RTD("nest.scriprtd",,"bse_cm|85CIFC27","Symbol")</f>
        <v>85CIFC27</v>
      </c>
      <c r="B974" t="str">
        <f>RTD("nest.scriprtd",,"bse_cm|85CIFC27","Trading Symbol")</f>
        <v>85CIFC27</v>
      </c>
      <c r="C974" t="str">
        <f>RTD("nest.scriprtd",,"bse_cm|85CIFC27","Exchange")</f>
        <v>BSE</v>
      </c>
      <c r="D974">
        <f>RTD("nest.scriprtd",,"bse_cm|85CIFC27","Bid Qty")</f>
        <v>12</v>
      </c>
      <c r="E974">
        <f>RTD("nest.scriprtd",,"bse_cm|85CIFC27","Bid Rate")</f>
        <v>1000.2</v>
      </c>
      <c r="F974">
        <f>RTD("nest.scriprtd",,"bse_cm|85CIFC27","Ask Rate")</f>
        <v>0</v>
      </c>
      <c r="G974">
        <f>RTD("nest.scriprtd",,"bse_cm|85CIFC27","Ask Qty")</f>
        <v>0</v>
      </c>
      <c r="H974">
        <f>RTD("nest.scriprtd",,"bse_cm|85CIFC27","LTP")</f>
        <v>0</v>
      </c>
      <c r="I974" t="str">
        <f>RTD("nest.scriprtd",,"bse_cm|85CIFC27","LTT")</f>
        <v>00:00:00</v>
      </c>
      <c r="J974">
        <f>RTD("nest.scriprtd",,"bse_cm|85CIFC27","% Change")</f>
        <v>-100</v>
      </c>
      <c r="K974">
        <f>RTD("nest.scriprtd",,"bse_cm|85CIFC27","ATP")</f>
        <v>0</v>
      </c>
      <c r="L974">
        <f>RTD("nest.scriprtd",,"bse_cm|85CIFC27","Volume Traded Today")</f>
        <v>0</v>
      </c>
      <c r="M974">
        <f>RTD("nest.scriprtd",,"bse_cm|85CIFC27","Open")</f>
        <v>0</v>
      </c>
      <c r="N974">
        <f>RTD("nest.scriprtd",,"bse_cm|85CIFC27","High")</f>
        <v>1033</v>
      </c>
      <c r="O974">
        <f>RTD("nest.scriprtd",,"bse_cm|85CIFC27","Low ")</f>
        <v>900</v>
      </c>
      <c r="P974">
        <f>RTD("nest.scriprtd",,"bse_cm|85CIFC27","Prev Close")</f>
        <v>1033</v>
      </c>
      <c r="Q974">
        <f>RTD("nest.scriprtd",,"bse_cm|85CIFC27","Face Value")</f>
        <v>1000</v>
      </c>
      <c r="R974" t="str">
        <f>RTD("nest.scriprtd",,"bse_cm|85CIFC27","Isin code")</f>
        <v>INE121A07RT7</v>
      </c>
      <c r="S974" s="9">
        <f>Table1[[#This Row],[Ask Rate]]*Table1[[#This Row],[Ask Qty]]</f>
        <v>0</v>
      </c>
      <c r="T974">
        <f>VLOOKUP(Table1[[#This Row],[Isin code]],Table2[#All],7,FALSE)</f>
        <v>8.5</v>
      </c>
      <c r="U974" s="17" t="str">
        <f>VLOOKUP(Table1[[#This Row],[Isin code]],Table2[#All],8,FALSE)</f>
        <v>31-Jan-2027</v>
      </c>
      <c r="V974" s="10">
        <f ca="1">Table1[[#This Row],[Maturity]]-TODAY()</f>
        <v>837</v>
      </c>
      <c r="W974" t="str">
        <f>VLOOKUP(Table1[[#This Row],[Isin code]],Table2[#All],10,FALSE)</f>
        <v>Yearly</v>
      </c>
      <c r="X974">
        <f ca="1">_xlfn.DAYS(Table1[[#This Row],[Maturity]],TODAY())-15</f>
        <v>822</v>
      </c>
      <c r="Y9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74">
        <f>IF(Table1[[#This Row],[Ask Rate]]=0,0,Table1[[#This Row],[Face Value]]-Table1[[#This Row],[Ask Rate]])</f>
        <v>0</v>
      </c>
      <c r="AA974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974">
        <f ca="1">Table1[[#This Row],[Face Value]]*Table1[[#This Row],[Rate]]*Table1[[#This Row],[Time]]</f>
        <v>255</v>
      </c>
      <c r="AC974">
        <f ca="1">Table1[[#This Row],[SI]]+Table1[[#This Row],[Disc/Prem]]</f>
        <v>255</v>
      </c>
      <c r="AD974" s="3" t="e">
        <f ca="1">Table1[[#This Row],[Net Gain]]/Table1[[#This Row],[Ask Rate]]</f>
        <v>#DIV/0!</v>
      </c>
      <c r="AE974" s="3">
        <f>IF(Table1[[#This Row],[Ask Qty]]=0,0,Table1[[#This Row],[Gross Yield]]*365/Table1[[#This Row],[Days Left]])</f>
        <v>0</v>
      </c>
      <c r="AF974" s="9">
        <f ca="1">+Table1[[#This Row],[Net Gain]]*Table1[[#This Row],[Ask Qty]]</f>
        <v>0</v>
      </c>
      <c r="AG974" t="str">
        <f>IF(Table1[[#This Row],[YTM]]&gt;0.12,IF(Table1[[#This Row],[Gross Profit]]&gt;10000,"Invest","Review"),"Low YTM")</f>
        <v>Low YTM</v>
      </c>
    </row>
    <row r="975" spans="1:33" hidden="1" x14ac:dyDescent="0.3">
      <c r="A975" t="str">
        <f>RTD("nest.scriprtd",,"nse_cm|857SCL24-ZQ","Symbol")</f>
        <v>857SCL24</v>
      </c>
      <c r="B975" t="str">
        <f>RTD("nest.scriprtd",,"nse_cm|857SCL24-ZQ","Trading Symbol")</f>
        <v>857SCL24-ZQ</v>
      </c>
      <c r="C975" t="str">
        <f>RTD("nest.scriprtd",,"nse_cm|857SCL24-ZQ","Exchange")</f>
        <v>NSE</v>
      </c>
      <c r="D975">
        <f>RTD("nest.scriprtd",,"nse_cm|857SCL24-ZQ","Bid Qty")</f>
        <v>0</v>
      </c>
      <c r="E975">
        <f>RTD("nest.scriprtd",,"nse_cm|857SCL24-ZQ","Bid Rate")</f>
        <v>0</v>
      </c>
      <c r="F975">
        <f>RTD("nest.scriprtd",,"nse_cm|857SCL24-ZQ","Ask Rate")</f>
        <v>0</v>
      </c>
      <c r="G975">
        <f>RTD("nest.scriprtd",,"nse_cm|857SCL24-ZQ","Ask Qty")</f>
        <v>0</v>
      </c>
      <c r="H975">
        <f>RTD("nest.scriprtd",,"nse_cm|857SCL24-ZQ","LTP")</f>
        <v>0</v>
      </c>
      <c r="I975" t="str">
        <f>RTD("nest.scriprtd",,"nse_cm|857SCL24-ZQ","LTT")</f>
        <v/>
      </c>
      <c r="J975">
        <f>RTD("nest.scriprtd",,"nse_cm|857SCL24-ZQ","% Change")</f>
        <v>0</v>
      </c>
      <c r="K975">
        <f>RTD("nest.scriprtd",,"nse_cm|857SCL24-ZQ","ATP")</f>
        <v>0</v>
      </c>
      <c r="L975">
        <f>RTD("nest.scriprtd",,"nse_cm|857SCL24-ZQ","Volume Traded Today")</f>
        <v>0</v>
      </c>
      <c r="M975">
        <f>RTD("nest.scriprtd",,"nse_cm|857SCL24-ZQ","Open")</f>
        <v>0</v>
      </c>
      <c r="N975">
        <f>RTD("nest.scriprtd",,"nse_cm|857SCL24-ZQ","High")</f>
        <v>0</v>
      </c>
      <c r="O975">
        <f>RTD("nest.scriprtd",,"nse_cm|857SCL24-ZQ","Low ")</f>
        <v>0</v>
      </c>
      <c r="P975">
        <f>RTD("nest.scriprtd",,"nse_cm|857SCL24-ZQ","Prev Close")</f>
        <v>0</v>
      </c>
      <c r="Q975">
        <f>RTD("nest.scriprtd",,"nse_cm|857SCL24-ZQ","Face Value")</f>
        <v>1000</v>
      </c>
      <c r="R975" t="str">
        <f>RTD("nest.scriprtd",,"nse_cm|857SCL24-ZQ","Isin code")</f>
        <v>INE148I07NR6</v>
      </c>
      <c r="S975" s="9">
        <f>Table1[[#This Row],[Ask Rate]]*Table1[[#This Row],[Ask Qty]]</f>
        <v>0</v>
      </c>
      <c r="T975">
        <f>VLOOKUP(Table1[[#This Row],[Isin code]],Table2[#All],7,FALSE)</f>
        <v>8.57</v>
      </c>
      <c r="U975" s="17" t="str">
        <f>VLOOKUP(Table1[[#This Row],[Isin code]],Table2[#All],8,FALSE)</f>
        <v>28-Dec-2024</v>
      </c>
      <c r="V975" s="10">
        <f ca="1">Table1[[#This Row],[Maturity]]-TODAY()</f>
        <v>73</v>
      </c>
      <c r="W975" t="str">
        <f>VLOOKUP(Table1[[#This Row],[Isin code]],Table2[#All],10,FALSE)</f>
        <v>Monthly</v>
      </c>
      <c r="X975">
        <f ca="1">_xlfn.DAYS(Table1[[#This Row],[Maturity]],TODAY())-15</f>
        <v>58</v>
      </c>
      <c r="Y9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75">
        <f>IF(Table1[[#This Row],[Ask Rate]]=0,0,Table1[[#This Row],[Face Value]]-Table1[[#This Row],[Ask Rate]])</f>
        <v>0</v>
      </c>
      <c r="AA975">
        <f>IF(Table1[[#This Row],[Freq]]="Yearly",Table1[[#This Row],[Coupon_Rate]]/100,IF(Table1[[#This Row],[Freq]]="Monthly",Table1[[#This Row],[Coupon_Rate]]/1200,IF(Table1[[#This Row],[Freq]]="Quarterly",Table1[[#This Row],[Coupon_Rate]]/400,0)))</f>
        <v>7.1416666666666668E-3</v>
      </c>
      <c r="AB975">
        <f ca="1">Table1[[#This Row],[Face Value]]*Table1[[#This Row],[Rate]]*Table1[[#This Row],[Time]]</f>
        <v>14.283333333333333</v>
      </c>
      <c r="AC975">
        <f ca="1">Table1[[#This Row],[SI]]+Table1[[#This Row],[Disc/Prem]]</f>
        <v>14.283333333333333</v>
      </c>
      <c r="AD975" s="3" t="e">
        <f ca="1">Table1[[#This Row],[Net Gain]]/Table1[[#This Row],[Ask Rate]]</f>
        <v>#DIV/0!</v>
      </c>
      <c r="AE975" s="3">
        <f>IF(Table1[[#This Row],[Ask Qty]]=0,0,Table1[[#This Row],[Gross Yield]]*365/Table1[[#This Row],[Days Left]])</f>
        <v>0</v>
      </c>
      <c r="AF975" s="9">
        <f ca="1">+Table1[[#This Row],[Net Gain]]*Table1[[#This Row],[Ask Qty]]</f>
        <v>0</v>
      </c>
      <c r="AG975" t="str">
        <f>IF(Table1[[#This Row],[YTM]]&gt;0.12,IF(Table1[[#This Row],[Gross Profit]]&gt;10000,"Invest","Review"),"Low YTM")</f>
        <v>Low YTM</v>
      </c>
    </row>
    <row r="976" spans="1:33" x14ac:dyDescent="0.3">
      <c r="A976" t="str">
        <f>RTD("nest.scriprtd",,"bse_cm|905SCL27","Symbol")</f>
        <v>905SCL27</v>
      </c>
      <c r="B976" t="str">
        <f>RTD("nest.scriprtd",,"bse_cm|905SCL27","Trading Symbol")</f>
        <v>905SCL27</v>
      </c>
      <c r="C976" t="str">
        <f>RTD("nest.scriprtd",,"bse_cm|905SCL27","Exchange")</f>
        <v>BSE</v>
      </c>
      <c r="D976">
        <f>RTD("nest.scriprtd",,"bse_cm|905SCL27","Bid Qty")</f>
        <v>20</v>
      </c>
      <c r="E976">
        <f>RTD("nest.scriprtd",,"bse_cm|905SCL27","Bid Rate")</f>
        <v>813.65</v>
      </c>
      <c r="F976">
        <f>RTD("nest.scriprtd",,"bse_cm|905SCL27","Ask Rate")</f>
        <v>0</v>
      </c>
      <c r="G976">
        <f>RTD("nest.scriprtd",,"bse_cm|905SCL27","Ask Qty")</f>
        <v>0</v>
      </c>
      <c r="H976">
        <f>RTD("nest.scriprtd",,"bse_cm|905SCL27","LTP")</f>
        <v>0</v>
      </c>
      <c r="I976" t="str">
        <f>RTD("nest.scriprtd",,"bse_cm|905SCL27","LTT")</f>
        <v>00:00:00</v>
      </c>
      <c r="J976">
        <f>RTD("nest.scriprtd",,"bse_cm|905SCL27","% Change")</f>
        <v>-100</v>
      </c>
      <c r="K976">
        <f>RTD("nest.scriprtd",,"bse_cm|905SCL27","ATP")</f>
        <v>0</v>
      </c>
      <c r="L976">
        <f>RTD("nest.scriprtd",,"bse_cm|905SCL27","Volume Traded Today")</f>
        <v>0</v>
      </c>
      <c r="M976">
        <f>RTD("nest.scriprtd",,"bse_cm|905SCL27","Open")</f>
        <v>0</v>
      </c>
      <c r="N976">
        <f>RTD("nest.scriprtd",,"bse_cm|905SCL27","High")</f>
        <v>0</v>
      </c>
      <c r="O976">
        <f>RTD("nest.scriprtd",,"bse_cm|905SCL27","Low ")</f>
        <v>0</v>
      </c>
      <c r="P976">
        <f>RTD("nest.scriprtd",,"bse_cm|905SCL27","Prev Close")</f>
        <v>1000</v>
      </c>
      <c r="Q976">
        <f>RTD("nest.scriprtd",,"bse_cm|905SCL27","Face Value")</f>
        <v>1000</v>
      </c>
      <c r="R976" t="str">
        <f>RTD("nest.scriprtd",,"bse_cm|905SCL27","Isin code")</f>
        <v>INE148I07MI7</v>
      </c>
      <c r="S976" s="9">
        <f>Table1[[#This Row],[Ask Rate]]*Table1[[#This Row],[Ask Qty]]</f>
        <v>0</v>
      </c>
      <c r="T976">
        <f>VLOOKUP(Table1[[#This Row],[Isin code]],Table2[#All],7,FALSE)</f>
        <v>8.4699999999999989</v>
      </c>
      <c r="U976" s="17" t="str">
        <f>VLOOKUP(Table1[[#This Row],[Isin code]],Table2[#All],8,FALSE)</f>
        <v>28-Sep-2025</v>
      </c>
      <c r="V976" s="10">
        <f ca="1">Table1[[#This Row],[Maturity]]-TODAY()</f>
        <v>347</v>
      </c>
      <c r="W976" t="str">
        <f>VLOOKUP(Table1[[#This Row],[Isin code]],Table2[#All],10,FALSE)</f>
        <v>Monthly</v>
      </c>
      <c r="X976">
        <f ca="1">_xlfn.DAYS(Table1[[#This Row],[Maturity]],TODAY())-15</f>
        <v>332</v>
      </c>
      <c r="Y9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976">
        <f>IF(Table1[[#This Row],[Ask Rate]]=0,0,Table1[[#This Row],[Face Value]]-Table1[[#This Row],[Ask Rate]])</f>
        <v>0</v>
      </c>
      <c r="AA976">
        <f>IF(Table1[[#This Row],[Freq]]="Yearly",Table1[[#This Row],[Coupon_Rate]]/100,IF(Table1[[#This Row],[Freq]]="Monthly",Table1[[#This Row],[Coupon_Rate]]/1200,IF(Table1[[#This Row],[Freq]]="Quarterly",Table1[[#This Row],[Coupon_Rate]]/400,0)))</f>
        <v>7.0583333333333323E-3</v>
      </c>
      <c r="AB976">
        <f ca="1">Table1[[#This Row],[Face Value]]*Table1[[#This Row],[Rate]]*Table1[[#This Row],[Time]]</f>
        <v>84.699999999999989</v>
      </c>
      <c r="AC976">
        <f ca="1">Table1[[#This Row],[SI]]+Table1[[#This Row],[Disc/Prem]]</f>
        <v>84.699999999999989</v>
      </c>
      <c r="AD976" s="3" t="e">
        <f ca="1">Table1[[#This Row],[Net Gain]]/Table1[[#This Row],[Ask Rate]]</f>
        <v>#DIV/0!</v>
      </c>
      <c r="AE976" s="3">
        <f>IF(Table1[[#This Row],[Ask Qty]]=0,0,Table1[[#This Row],[Gross Yield]]*365/Table1[[#This Row],[Days Left]])</f>
        <v>0</v>
      </c>
      <c r="AF976" s="9">
        <f ca="1">+Table1[[#This Row],[Net Gain]]*Table1[[#This Row],[Ask Qty]]</f>
        <v>0</v>
      </c>
      <c r="AG976" t="str">
        <f>IF(Table1[[#This Row],[YTM]]&gt;0.12,IF(Table1[[#This Row],[Gross Profit]]&gt;10000,"Invest","Review"),"Low YTM")</f>
        <v>Low YTM</v>
      </c>
    </row>
    <row r="977" spans="1:33" x14ac:dyDescent="0.3">
      <c r="A977" t="str">
        <f>RTD("nest.scriprtd",,"nse_cm|905SCL25-ZT","Symbol")</f>
        <v>905SCL25</v>
      </c>
      <c r="B977" t="str">
        <f>RTD("nest.scriprtd",,"nse_cm|905SCL25-ZT","Trading Symbol")</f>
        <v>905SCL25-ZT</v>
      </c>
      <c r="C977" t="str">
        <f>RTD("nest.scriprtd",,"nse_cm|905SCL25-ZT","Exchange")</f>
        <v>NSE</v>
      </c>
      <c r="D977">
        <f>RTD("nest.scriprtd",,"nse_cm|905SCL25-ZT","Bid Qty")</f>
        <v>10</v>
      </c>
      <c r="E977">
        <f>RTD("nest.scriprtd",,"nse_cm|905SCL25-ZT","Bid Rate")</f>
        <v>555.20000000000005</v>
      </c>
      <c r="F977">
        <f>RTD("nest.scriprtd",,"nse_cm|905SCL25-ZT","Ask Rate")</f>
        <v>0</v>
      </c>
      <c r="G977">
        <f>RTD("nest.scriprtd",,"nse_cm|905SCL25-ZT","Ask Qty")</f>
        <v>0</v>
      </c>
      <c r="H977">
        <f>RTD("nest.scriprtd",,"nse_cm|905SCL25-ZT","LTP")</f>
        <v>0</v>
      </c>
      <c r="I977" t="str">
        <f>RTD("nest.scriprtd",,"nse_cm|905SCL25-ZT","LTT")</f>
        <v/>
      </c>
      <c r="J977">
        <f>RTD("nest.scriprtd",,"nse_cm|905SCL25-ZT","% Change")</f>
        <v>-100</v>
      </c>
      <c r="K977">
        <f>RTD("nest.scriprtd",,"nse_cm|905SCL25-ZT","ATP")</f>
        <v>0</v>
      </c>
      <c r="L977">
        <f>RTD("nest.scriprtd",,"nse_cm|905SCL25-ZT","Volume Traded Today")</f>
        <v>0</v>
      </c>
      <c r="M977">
        <f>RTD("nest.scriprtd",,"nse_cm|905SCL25-ZT","Open")</f>
        <v>0</v>
      </c>
      <c r="N977">
        <f>RTD("nest.scriprtd",,"nse_cm|905SCL25-ZT","High")</f>
        <v>0</v>
      </c>
      <c r="O977">
        <f>RTD("nest.scriprtd",,"nse_cm|905SCL25-ZT","Low ")</f>
        <v>0</v>
      </c>
      <c r="P977">
        <f>RTD("nest.scriprtd",,"nse_cm|905SCL25-ZT","Prev Close")</f>
        <v>1000</v>
      </c>
      <c r="Q977">
        <f>RTD("nest.scriprtd",,"nse_cm|905SCL25-ZT","Face Value")</f>
        <v>667</v>
      </c>
      <c r="R977" t="str">
        <f>RTD("nest.scriprtd",,"nse_cm|905SCL25-ZT","Isin code")</f>
        <v>INE148I07NI5</v>
      </c>
      <c r="S977" s="9">
        <f>Table1[[#This Row],[Ask Rate]]*Table1[[#This Row],[Ask Qty]]</f>
        <v>0</v>
      </c>
      <c r="T977">
        <f>VLOOKUP(Table1[[#This Row],[Isin code]],Table2[#All],7,FALSE)</f>
        <v>9.0499999999999989</v>
      </c>
      <c r="U977" s="17" t="str">
        <f>VLOOKUP(Table1[[#This Row],[Isin code]],Table2[#All],8,FALSE)</f>
        <v>28-Dec-2025</v>
      </c>
      <c r="V977" s="10">
        <f ca="1">Table1[[#This Row],[Maturity]]-TODAY()</f>
        <v>438</v>
      </c>
      <c r="W977" t="str">
        <f>VLOOKUP(Table1[[#This Row],[Isin code]],Table2[#All],10,FALSE)</f>
        <v>Yearly</v>
      </c>
      <c r="X977">
        <f ca="1">_xlfn.DAYS(Table1[[#This Row],[Maturity]],TODAY())-15</f>
        <v>423</v>
      </c>
      <c r="Y9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77">
        <f>IF(Table1[[#This Row],[Ask Rate]]=0,0,Table1[[#This Row],[Face Value]]-Table1[[#This Row],[Ask Rate]])</f>
        <v>0</v>
      </c>
      <c r="AA977">
        <f>IF(Table1[[#This Row],[Freq]]="Yearly",Table1[[#This Row],[Coupon_Rate]]/100,IF(Table1[[#This Row],[Freq]]="Monthly",Table1[[#This Row],[Coupon_Rate]]/1200,IF(Table1[[#This Row],[Freq]]="Quarterly",Table1[[#This Row],[Coupon_Rate]]/400,0)))</f>
        <v>9.0499999999999983E-2</v>
      </c>
      <c r="AB977">
        <f ca="1">Table1[[#This Row],[Face Value]]*Table1[[#This Row],[Rate]]*Table1[[#This Row],[Time]]</f>
        <v>120.72699999999998</v>
      </c>
      <c r="AC977">
        <f ca="1">Table1[[#This Row],[SI]]+Table1[[#This Row],[Disc/Prem]]</f>
        <v>120.72699999999998</v>
      </c>
      <c r="AD977" s="3" t="e">
        <f ca="1">Table1[[#This Row],[Net Gain]]/Table1[[#This Row],[Ask Rate]]</f>
        <v>#DIV/0!</v>
      </c>
      <c r="AE977" s="3">
        <f>IF(Table1[[#This Row],[Ask Qty]]=0,0,Table1[[#This Row],[Gross Yield]]*365/Table1[[#This Row],[Days Left]])</f>
        <v>0</v>
      </c>
      <c r="AF977" s="9">
        <f ca="1">+Table1[[#This Row],[Net Gain]]*Table1[[#This Row],[Ask Qty]]</f>
        <v>0</v>
      </c>
      <c r="AG977" t="str">
        <f>IF(Table1[[#This Row],[YTM]]&gt;0.12,IF(Table1[[#This Row],[Gross Profit]]&gt;10000,"Invest","Review"),"Low YTM")</f>
        <v>Low YTM</v>
      </c>
    </row>
    <row r="978" spans="1:33" x14ac:dyDescent="0.3">
      <c r="A978" t="str">
        <f>RTD("nest.scriprtd",,"bse_cm|87SCL27","Symbol")</f>
        <v>87SCL27</v>
      </c>
      <c r="B978" t="str">
        <f>RTD("nest.scriprtd",,"bse_cm|87SCL27","Trading Symbol")</f>
        <v>87SCL27</v>
      </c>
      <c r="C978" t="str">
        <f>RTD("nest.scriprtd",,"bse_cm|87SCL27","Exchange")</f>
        <v>BSE</v>
      </c>
      <c r="D978">
        <f>RTD("nest.scriprtd",,"bse_cm|87SCL27","Bid Qty")</f>
        <v>20</v>
      </c>
      <c r="E978">
        <f>RTD("nest.scriprtd",,"bse_cm|87SCL27","Bid Rate")</f>
        <v>813.85</v>
      </c>
      <c r="F978">
        <f>RTD("nest.scriprtd",,"bse_cm|87SCL27","Ask Rate")</f>
        <v>0</v>
      </c>
      <c r="G978">
        <f>RTD("nest.scriprtd",,"bse_cm|87SCL27","Ask Qty")</f>
        <v>0</v>
      </c>
      <c r="H978">
        <f>RTD("nest.scriprtd",,"bse_cm|87SCL27","LTP")</f>
        <v>0</v>
      </c>
      <c r="I978" t="str">
        <f>RTD("nest.scriprtd",,"bse_cm|87SCL27","LTT")</f>
        <v>00:00:00</v>
      </c>
      <c r="J978">
        <f>RTD("nest.scriprtd",,"bse_cm|87SCL27","% Change")</f>
        <v>-100</v>
      </c>
      <c r="K978">
        <f>RTD("nest.scriprtd",,"bse_cm|87SCL27","ATP")</f>
        <v>0</v>
      </c>
      <c r="L978">
        <f>RTD("nest.scriprtd",,"bse_cm|87SCL27","Volume Traded Today")</f>
        <v>0</v>
      </c>
      <c r="M978">
        <f>RTD("nest.scriprtd",,"bse_cm|87SCL27","Open")</f>
        <v>0</v>
      </c>
      <c r="N978">
        <f>RTD("nest.scriprtd",,"bse_cm|87SCL27","High")</f>
        <v>0</v>
      </c>
      <c r="O978">
        <f>RTD("nest.scriprtd",,"bse_cm|87SCL27","Low ")</f>
        <v>0</v>
      </c>
      <c r="P978">
        <f>RTD("nest.scriprtd",,"bse_cm|87SCL27","Prev Close")</f>
        <v>1000</v>
      </c>
      <c r="Q978">
        <f>RTD("nest.scriprtd",,"bse_cm|87SCL27","Face Value")</f>
        <v>1000</v>
      </c>
      <c r="R978" t="str">
        <f>RTD("nest.scriprtd",,"bse_cm|87SCL27","Isin code")</f>
        <v>INE148I07MD8</v>
      </c>
      <c r="S978" s="9">
        <f>Table1[[#This Row],[Ask Rate]]*Table1[[#This Row],[Ask Qty]]</f>
        <v>0</v>
      </c>
      <c r="T978">
        <f>VLOOKUP(Table1[[#This Row],[Isin code]],Table2[#All],7,FALSE)</f>
        <v>9.0499999999999989</v>
      </c>
      <c r="U978" s="17" t="str">
        <f>VLOOKUP(Table1[[#This Row],[Isin code]],Table2[#All],8,FALSE)</f>
        <v>28-Sep-2027</v>
      </c>
      <c r="V978" s="10">
        <f ca="1">Table1[[#This Row],[Maturity]]-TODAY()</f>
        <v>1077</v>
      </c>
      <c r="W978" t="str">
        <f>VLOOKUP(Table1[[#This Row],[Isin code]],Table2[#All],10,FALSE)</f>
        <v>Yearly</v>
      </c>
      <c r="X978">
        <f ca="1">_xlfn.DAYS(Table1[[#This Row],[Maturity]],TODAY())-15</f>
        <v>1062</v>
      </c>
      <c r="Y9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978">
        <f>IF(Table1[[#This Row],[Ask Rate]]=0,0,Table1[[#This Row],[Face Value]]-Table1[[#This Row],[Ask Rate]])</f>
        <v>0</v>
      </c>
      <c r="AA978">
        <f>IF(Table1[[#This Row],[Freq]]="Yearly",Table1[[#This Row],[Coupon_Rate]]/100,IF(Table1[[#This Row],[Freq]]="Monthly",Table1[[#This Row],[Coupon_Rate]]/1200,IF(Table1[[#This Row],[Freq]]="Quarterly",Table1[[#This Row],[Coupon_Rate]]/400,0)))</f>
        <v>9.0499999999999983E-2</v>
      </c>
      <c r="AB978">
        <f ca="1">Table1[[#This Row],[Face Value]]*Table1[[#This Row],[Rate]]*Table1[[#This Row],[Time]]</f>
        <v>271.49999999999994</v>
      </c>
      <c r="AC978">
        <f ca="1">Table1[[#This Row],[SI]]+Table1[[#This Row],[Disc/Prem]]</f>
        <v>271.49999999999994</v>
      </c>
      <c r="AD978" s="3" t="e">
        <f ca="1">Table1[[#This Row],[Net Gain]]/Table1[[#This Row],[Ask Rate]]</f>
        <v>#DIV/0!</v>
      </c>
      <c r="AE978" s="3">
        <f>IF(Table1[[#This Row],[Ask Qty]]=0,0,Table1[[#This Row],[Gross Yield]]*365/Table1[[#This Row],[Days Left]])</f>
        <v>0</v>
      </c>
      <c r="AF978" s="9">
        <f ca="1">+Table1[[#This Row],[Net Gain]]*Table1[[#This Row],[Ask Qty]]</f>
        <v>0</v>
      </c>
      <c r="AG978" t="str">
        <f>IF(Table1[[#This Row],[YTM]]&gt;0.12,IF(Table1[[#This Row],[Gross Profit]]&gt;10000,"Invest","Review"),"Low YTM")</f>
        <v>Low YTM</v>
      </c>
    </row>
    <row r="979" spans="1:33" x14ac:dyDescent="0.3">
      <c r="A979" t="str">
        <f>RTD("nest.scriprtd",,"nse_cm|87SCL25-ZV","Symbol")</f>
        <v>87SCL25</v>
      </c>
      <c r="B979" t="str">
        <f>RTD("nest.scriprtd",,"nse_cm|87SCL25-ZV","Trading Symbol")</f>
        <v>87SCL25-ZV</v>
      </c>
      <c r="C979" t="str">
        <f>RTD("nest.scriprtd",,"nse_cm|87SCL25-ZV","Exchange")</f>
        <v>NSE</v>
      </c>
      <c r="D979">
        <f>RTD("nest.scriprtd",,"nse_cm|87SCL25-ZV","Bid Qty")</f>
        <v>0</v>
      </c>
      <c r="E979">
        <f>RTD("nest.scriprtd",,"nse_cm|87SCL25-ZV","Bid Rate")</f>
        <v>0</v>
      </c>
      <c r="F979">
        <f>RTD("nest.scriprtd",,"nse_cm|87SCL25-ZV","Ask Rate")</f>
        <v>0</v>
      </c>
      <c r="G979">
        <f>RTD("nest.scriprtd",,"nse_cm|87SCL25-ZV","Ask Qty")</f>
        <v>0</v>
      </c>
      <c r="H979">
        <f>RTD("nest.scriprtd",,"nse_cm|87SCL25-ZV","LTP")</f>
        <v>0</v>
      </c>
      <c r="I979" t="str">
        <f>RTD("nest.scriprtd",,"nse_cm|87SCL25-ZV","LTT")</f>
        <v/>
      </c>
      <c r="J979">
        <f>RTD("nest.scriprtd",,"nse_cm|87SCL25-ZV","% Change")</f>
        <v>0</v>
      </c>
      <c r="K979">
        <f>RTD("nest.scriprtd",,"nse_cm|87SCL25-ZV","ATP")</f>
        <v>0</v>
      </c>
      <c r="L979">
        <f>RTD("nest.scriprtd",,"nse_cm|87SCL25-ZV","Volume Traded Today")</f>
        <v>0</v>
      </c>
      <c r="M979">
        <f>RTD("nest.scriprtd",,"nse_cm|87SCL25-ZV","Open")</f>
        <v>0</v>
      </c>
      <c r="N979">
        <f>RTD("nest.scriprtd",,"nse_cm|87SCL25-ZV","High")</f>
        <v>0</v>
      </c>
      <c r="O979">
        <f>RTD("nest.scriprtd",,"nse_cm|87SCL25-ZV","Low ")</f>
        <v>0</v>
      </c>
      <c r="P979">
        <f>RTD("nest.scriprtd",,"nse_cm|87SCL25-ZV","Prev Close")</f>
        <v>0</v>
      </c>
      <c r="Q979">
        <f>RTD("nest.scriprtd",,"nse_cm|87SCL25-ZV","Face Value")</f>
        <v>667</v>
      </c>
      <c r="R979" t="str">
        <f>RTD("nest.scriprtd",,"nse_cm|87SCL25-ZV","Isin code")</f>
        <v>INE148I07NP0</v>
      </c>
      <c r="S979" s="9">
        <f>Table1[[#This Row],[Ask Rate]]*Table1[[#This Row],[Ask Qty]]</f>
        <v>0</v>
      </c>
      <c r="T979">
        <f>VLOOKUP(Table1[[#This Row],[Isin code]],Table2[#All],7,FALSE)</f>
        <v>8.6999999999999993</v>
      </c>
      <c r="U979" s="17" t="str">
        <f>VLOOKUP(Table1[[#This Row],[Isin code]],Table2[#All],8,FALSE)</f>
        <v>28-Dec-2025</v>
      </c>
      <c r="V979" s="10">
        <f ca="1">Table1[[#This Row],[Maturity]]-TODAY()</f>
        <v>438</v>
      </c>
      <c r="W979" t="str">
        <f>VLOOKUP(Table1[[#This Row],[Isin code]],Table2[#All],10,FALSE)</f>
        <v>Monthly</v>
      </c>
      <c r="X979">
        <f ca="1">_xlfn.DAYS(Table1[[#This Row],[Maturity]],TODAY())-15</f>
        <v>423</v>
      </c>
      <c r="Y9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979">
        <f>IF(Table1[[#This Row],[Ask Rate]]=0,0,Table1[[#This Row],[Face Value]]-Table1[[#This Row],[Ask Rate]])</f>
        <v>0</v>
      </c>
      <c r="AA979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979">
        <f ca="1">Table1[[#This Row],[Face Value]]*Table1[[#This Row],[Rate]]*Table1[[#This Row],[Time]]</f>
        <v>72.536249999999995</v>
      </c>
      <c r="AC979">
        <f ca="1">Table1[[#This Row],[SI]]+Table1[[#This Row],[Disc/Prem]]</f>
        <v>72.536249999999995</v>
      </c>
      <c r="AD979" s="3" t="e">
        <f ca="1">Table1[[#This Row],[Net Gain]]/Table1[[#This Row],[Ask Rate]]</f>
        <v>#DIV/0!</v>
      </c>
      <c r="AE979" s="3">
        <f>IF(Table1[[#This Row],[Ask Qty]]=0,0,Table1[[#This Row],[Gross Yield]]*365/Table1[[#This Row],[Days Left]])</f>
        <v>0</v>
      </c>
      <c r="AF979" s="9">
        <f ca="1">+Table1[[#This Row],[Net Gain]]*Table1[[#This Row],[Ask Qty]]</f>
        <v>0</v>
      </c>
      <c r="AG979" t="str">
        <f>IF(Table1[[#This Row],[YTM]]&gt;0.12,IF(Table1[[#This Row],[Gross Profit]]&gt;10000,"Invest","Review"),"Low YTM")</f>
        <v>Low YTM</v>
      </c>
    </row>
    <row r="980" spans="1:33" x14ac:dyDescent="0.3">
      <c r="A980" t="str">
        <f>RTD("nest.scriprtd",,"bse_cm|93SCFL25","Symbol")</f>
        <v>93SCFL25</v>
      </c>
      <c r="B980" t="str">
        <f>RTD("nest.scriprtd",,"bse_cm|93SCFL25","Trading Symbol")</f>
        <v>93SCFL25</v>
      </c>
      <c r="C980" t="str">
        <f>RTD("nest.scriprtd",,"bse_cm|93SCFL25","Exchange")</f>
        <v>BSE</v>
      </c>
      <c r="D980">
        <f>RTD("nest.scriprtd",,"bse_cm|93SCFL25","Bid Qty")</f>
        <v>7</v>
      </c>
      <c r="E980">
        <f>RTD("nest.scriprtd",,"bse_cm|93SCFL25","Bid Rate")</f>
        <v>820.4</v>
      </c>
      <c r="F980">
        <f>RTD("nest.scriprtd",,"bse_cm|93SCFL25","Ask Rate")</f>
        <v>0</v>
      </c>
      <c r="G980">
        <f>RTD("nest.scriprtd",,"bse_cm|93SCFL25","Ask Qty")</f>
        <v>0</v>
      </c>
      <c r="H980">
        <f>RTD("nest.scriprtd",,"bse_cm|93SCFL25","LTP")</f>
        <v>0</v>
      </c>
      <c r="I980" t="str">
        <f>RTD("nest.scriprtd",,"bse_cm|93SCFL25","LTT")</f>
        <v>00:00:00</v>
      </c>
      <c r="J980">
        <f>RTD("nest.scriprtd",,"bse_cm|93SCFL25","% Change")</f>
        <v>-100</v>
      </c>
      <c r="K980">
        <f>RTD("nest.scriprtd",,"bse_cm|93SCFL25","ATP")</f>
        <v>0</v>
      </c>
      <c r="L980">
        <f>RTD("nest.scriprtd",,"bse_cm|93SCFL25","Volume Traded Today")</f>
        <v>0</v>
      </c>
      <c r="M980">
        <f>RTD("nest.scriprtd",,"bse_cm|93SCFL25","Open")</f>
        <v>0</v>
      </c>
      <c r="N980">
        <f>RTD("nest.scriprtd",,"bse_cm|93SCFL25","High")</f>
        <v>0</v>
      </c>
      <c r="O980">
        <f>RTD("nest.scriprtd",,"bse_cm|93SCFL25","Low ")</f>
        <v>0</v>
      </c>
      <c r="P980">
        <f>RTD("nest.scriprtd",,"bse_cm|93SCFL25","Prev Close")</f>
        <v>1000</v>
      </c>
      <c r="Q980">
        <f>RTD("nest.scriprtd",,"bse_cm|93SCFL25","Face Value")</f>
        <v>1000</v>
      </c>
      <c r="R980" t="str">
        <f>RTD("nest.scriprtd",,"bse_cm|93SCFL25","Isin code")</f>
        <v>INE148I07MA4</v>
      </c>
      <c r="S980" s="9">
        <f>Table1[[#This Row],[Ask Rate]]*Table1[[#This Row],[Ask Qty]]</f>
        <v>0</v>
      </c>
      <c r="T980">
        <f>VLOOKUP(Table1[[#This Row],[Isin code]],Table2[#All],7,FALSE)</f>
        <v>8.7999999999999989</v>
      </c>
      <c r="U980" s="17" t="str">
        <f>VLOOKUP(Table1[[#This Row],[Isin code]],Table2[#All],8,FALSE)</f>
        <v>28-Sep-2025</v>
      </c>
      <c r="V980" s="10">
        <f ca="1">Table1[[#This Row],[Maturity]]-TODAY()</f>
        <v>347</v>
      </c>
      <c r="W980" t="str">
        <f>VLOOKUP(Table1[[#This Row],[Isin code]],Table2[#All],10,FALSE)</f>
        <v>Yearly</v>
      </c>
      <c r="X980">
        <f ca="1">_xlfn.DAYS(Table1[[#This Row],[Maturity]],TODAY())-15</f>
        <v>332</v>
      </c>
      <c r="Y9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980">
        <f>IF(Table1[[#This Row],[Ask Rate]]=0,0,Table1[[#This Row],[Face Value]]-Table1[[#This Row],[Ask Rate]])</f>
        <v>0</v>
      </c>
      <c r="AA980">
        <f>IF(Table1[[#This Row],[Freq]]="Yearly",Table1[[#This Row],[Coupon_Rate]]/100,IF(Table1[[#This Row],[Freq]]="Monthly",Table1[[#This Row],[Coupon_Rate]]/1200,IF(Table1[[#This Row],[Freq]]="Quarterly",Table1[[#This Row],[Coupon_Rate]]/400,0)))</f>
        <v>8.7999999999999995E-2</v>
      </c>
      <c r="AB980">
        <f ca="1">Table1[[#This Row],[Face Value]]*Table1[[#This Row],[Rate]]*Table1[[#This Row],[Time]]</f>
        <v>88</v>
      </c>
      <c r="AC980">
        <f ca="1">Table1[[#This Row],[SI]]+Table1[[#This Row],[Disc/Prem]]</f>
        <v>88</v>
      </c>
      <c r="AD980" s="3" t="e">
        <f ca="1">Table1[[#This Row],[Net Gain]]/Table1[[#This Row],[Ask Rate]]</f>
        <v>#DIV/0!</v>
      </c>
      <c r="AE980" s="3">
        <f>IF(Table1[[#This Row],[Ask Qty]]=0,0,Table1[[#This Row],[Gross Yield]]*365/Table1[[#This Row],[Days Left]])</f>
        <v>0</v>
      </c>
      <c r="AF980" s="9">
        <f ca="1">+Table1[[#This Row],[Net Gain]]*Table1[[#This Row],[Ask Qty]]</f>
        <v>0</v>
      </c>
      <c r="AG980" t="str">
        <f>IF(Table1[[#This Row],[YTM]]&gt;0.12,IF(Table1[[#This Row],[Gross Profit]]&gt;10000,"Invest","Review"),"Low YTM")</f>
        <v>Low YTM</v>
      </c>
    </row>
    <row r="981" spans="1:33" x14ac:dyDescent="0.3">
      <c r="A981" t="str">
        <f>RTD("nest.scriprtd",,"bse_cm|93ARKA26","Symbol")</f>
        <v>93ARKA26</v>
      </c>
      <c r="B981" t="str">
        <f>RTD("nest.scriprtd",,"bse_cm|93ARKA26","Trading Symbol")</f>
        <v>93ARKA26</v>
      </c>
      <c r="C981" t="str">
        <f>RTD("nest.scriprtd",,"bse_cm|93ARKA26","Exchange")</f>
        <v>BSE</v>
      </c>
      <c r="D981">
        <f>RTD("nest.scriprtd",,"bse_cm|93ARKA26","Bid Qty")</f>
        <v>27</v>
      </c>
      <c r="E981">
        <f>RTD("nest.scriprtd",,"bse_cm|93ARKA26","Bid Rate")</f>
        <v>875.3</v>
      </c>
      <c r="F981">
        <f>RTD("nest.scriprtd",,"bse_cm|93ARKA26","Ask Rate")</f>
        <v>0</v>
      </c>
      <c r="G981">
        <f>RTD("nest.scriprtd",,"bse_cm|93ARKA26","Ask Qty")</f>
        <v>0</v>
      </c>
      <c r="H981">
        <f>RTD("nest.scriprtd",,"bse_cm|93ARKA26","LTP")</f>
        <v>0</v>
      </c>
      <c r="I981" t="str">
        <f>RTD("nest.scriprtd",,"bse_cm|93ARKA26","LTT")</f>
        <v>00:00:00</v>
      </c>
      <c r="J981">
        <f>RTD("nest.scriprtd",,"bse_cm|93ARKA26","% Change")</f>
        <v>-100</v>
      </c>
      <c r="K981">
        <f>RTD("nest.scriprtd",,"bse_cm|93ARKA26","ATP")</f>
        <v>0</v>
      </c>
      <c r="L981">
        <f>RTD("nest.scriprtd",,"bse_cm|93ARKA26","Volume Traded Today")</f>
        <v>0</v>
      </c>
      <c r="M981">
        <f>RTD("nest.scriprtd",,"bse_cm|93ARKA26","Open")</f>
        <v>0</v>
      </c>
      <c r="N981">
        <f>RTD("nest.scriprtd",,"bse_cm|93ARKA26","High")</f>
        <v>991</v>
      </c>
      <c r="O981">
        <f>RTD("nest.scriprtd",,"bse_cm|93ARKA26","Low ")</f>
        <v>991</v>
      </c>
      <c r="P981">
        <f>RTD("nest.scriprtd",,"bse_cm|93ARKA26","Prev Close")</f>
        <v>991</v>
      </c>
      <c r="Q981">
        <f>RTD("nest.scriprtd",,"bse_cm|93ARKA26","Face Value")</f>
        <v>1000</v>
      </c>
      <c r="R981" t="str">
        <f>RTD("nest.scriprtd",,"bse_cm|93ARKA26","Isin code")</f>
        <v>INE03W107231</v>
      </c>
      <c r="S981" s="9">
        <f>Table1[[#This Row],[Ask Rate]]*Table1[[#This Row],[Ask Qty]]</f>
        <v>0</v>
      </c>
      <c r="T981">
        <f>VLOOKUP(Table1[[#This Row],[Isin code]],Table2[#All],7,FALSE)</f>
        <v>9.3000000000000007</v>
      </c>
      <c r="U981" s="17" t="str">
        <f>VLOOKUP(Table1[[#This Row],[Isin code]],Table2[#All],8,FALSE)</f>
        <v>27-Dec-2026</v>
      </c>
      <c r="V981" s="10">
        <f ca="1">Table1[[#This Row],[Maturity]]-TODAY()</f>
        <v>802</v>
      </c>
      <c r="W981" t="str">
        <f>VLOOKUP(Table1[[#This Row],[Isin code]],Table2[#All],10,FALSE)</f>
        <v>QUARTERLY</v>
      </c>
      <c r="X981">
        <f ca="1">_xlfn.DAYS(Table1[[#This Row],[Maturity]],TODAY())-15</f>
        <v>787</v>
      </c>
      <c r="Y9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981">
        <f>IF(Table1[[#This Row],[Ask Rate]]=0,0,Table1[[#This Row],[Face Value]]-Table1[[#This Row],[Ask Rate]])</f>
        <v>0</v>
      </c>
      <c r="AA981">
        <f>IF(Table1[[#This Row],[Freq]]="Yearly",Table1[[#This Row],[Coupon_Rate]]/100,IF(Table1[[#This Row],[Freq]]="Monthly",Table1[[#This Row],[Coupon_Rate]]/1200,IF(Table1[[#This Row],[Freq]]="Quarterly",Table1[[#This Row],[Coupon_Rate]]/400,0)))</f>
        <v>2.3250000000000003E-2</v>
      </c>
      <c r="AB981">
        <f ca="1">Table1[[#This Row],[Face Value]]*Table1[[#This Row],[Rate]]*Table1[[#This Row],[Time]]</f>
        <v>209.25000000000003</v>
      </c>
      <c r="AC981">
        <f ca="1">Table1[[#This Row],[SI]]+Table1[[#This Row],[Disc/Prem]]</f>
        <v>209.25000000000003</v>
      </c>
      <c r="AD981" s="3" t="e">
        <f ca="1">Table1[[#This Row],[Net Gain]]/Table1[[#This Row],[Ask Rate]]</f>
        <v>#DIV/0!</v>
      </c>
      <c r="AE981" s="3">
        <f>IF(Table1[[#This Row],[Ask Qty]]=0,0,Table1[[#This Row],[Gross Yield]]*365/Table1[[#This Row],[Days Left]])</f>
        <v>0</v>
      </c>
      <c r="AF981" s="9">
        <f ca="1">+Table1[[#This Row],[Net Gain]]*Table1[[#This Row],[Ask Qty]]</f>
        <v>0</v>
      </c>
      <c r="AG981" t="str">
        <f>IF(Table1[[#This Row],[YTM]]&gt;0.12,IF(Table1[[#This Row],[Gross Profit]]&gt;10000,"Invest","Review"),"Low YTM")</f>
        <v>Low YTM</v>
      </c>
    </row>
    <row r="982" spans="1:33" x14ac:dyDescent="0.3">
      <c r="A982" t="str">
        <f>RTD("nest.scriprtd",,"nse_cm|939SCL27-ZZ","Symbol")</f>
        <v>939SCL27</v>
      </c>
      <c r="B982" t="str">
        <f>RTD("nest.scriprtd",,"nse_cm|939SCL27-ZZ","Trading Symbol")</f>
        <v>939SCL27-ZZ</v>
      </c>
      <c r="C982" t="str">
        <f>RTD("nest.scriprtd",,"nse_cm|939SCL27-ZZ","Exchange")</f>
        <v>NSE</v>
      </c>
      <c r="D982">
        <f>RTD("nest.scriprtd",,"nse_cm|939SCL27-ZZ","Bid Qty")</f>
        <v>20</v>
      </c>
      <c r="E982">
        <f>RTD("nest.scriprtd",,"nse_cm|939SCL27-ZZ","Bid Rate")</f>
        <v>655.20000000000005</v>
      </c>
      <c r="F982">
        <f>RTD("nest.scriprtd",,"nse_cm|939SCL27-ZZ","Ask Rate")</f>
        <v>0</v>
      </c>
      <c r="G982">
        <f>RTD("nest.scriprtd",,"nse_cm|939SCL27-ZZ","Ask Qty")</f>
        <v>0</v>
      </c>
      <c r="H982">
        <f>RTD("nest.scriprtd",,"nse_cm|939SCL27-ZZ","LTP")</f>
        <v>850</v>
      </c>
      <c r="I982" t="str">
        <f>RTD("nest.scriprtd",,"nse_cm|939SCL27-ZZ","LTT")</f>
        <v/>
      </c>
      <c r="J982">
        <f>RTD("nest.scriprtd",,"nse_cm|939SCL27-ZZ","% Change")</f>
        <v>0</v>
      </c>
      <c r="K982">
        <f>RTD("nest.scriprtd",,"nse_cm|939SCL27-ZZ","ATP")</f>
        <v>0</v>
      </c>
      <c r="L982">
        <f>RTD("nest.scriprtd",,"nse_cm|939SCL27-ZZ","Volume Traded Today")</f>
        <v>0</v>
      </c>
      <c r="M982">
        <f>RTD("nest.scriprtd",,"nse_cm|939SCL27-ZZ","Open")</f>
        <v>0</v>
      </c>
      <c r="N982">
        <f>RTD("nest.scriprtd",,"nse_cm|939SCL27-ZZ","High")</f>
        <v>850</v>
      </c>
      <c r="O982">
        <f>RTD("nest.scriprtd",,"nse_cm|939SCL27-ZZ","Low ")</f>
        <v>825.1</v>
      </c>
      <c r="P982">
        <f>RTD("nest.scriprtd",,"nse_cm|939SCL27-ZZ","Prev Close")</f>
        <v>850</v>
      </c>
      <c r="Q982">
        <f>RTD("nest.scriprtd",,"nse_cm|939SCL27-ZZ","Face Value")</f>
        <v>800</v>
      </c>
      <c r="R982" t="str">
        <f>RTD("nest.scriprtd",,"nse_cm|939SCL27-ZZ","Isin code")</f>
        <v>INE148I07NN5</v>
      </c>
      <c r="S982" s="9">
        <f>Table1[[#This Row],[Ask Rate]]*Table1[[#This Row],[Ask Qty]]</f>
        <v>0</v>
      </c>
      <c r="T982">
        <f>VLOOKUP(Table1[[#This Row],[Isin code]],Table2[#All],7,FALSE)</f>
        <v>8.94</v>
      </c>
      <c r="U982" s="17" t="str">
        <f>VLOOKUP(Table1[[#This Row],[Isin code]],Table2[#All],8,FALSE)</f>
        <v>28-Dec-2027</v>
      </c>
      <c r="V982" s="10">
        <f ca="1">Table1[[#This Row],[Maturity]]-TODAY()</f>
        <v>1168</v>
      </c>
      <c r="W982" t="str">
        <f>VLOOKUP(Table1[[#This Row],[Isin code]],Table2[#All],10,FALSE)</f>
        <v>Monthly</v>
      </c>
      <c r="X982">
        <f ca="1">_xlfn.DAYS(Table1[[#This Row],[Maturity]],TODAY())-15</f>
        <v>1153</v>
      </c>
      <c r="Y9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982">
        <f>IF(Table1[[#This Row],[Ask Rate]]=0,0,Table1[[#This Row],[Face Value]]-Table1[[#This Row],[Ask Rate]])</f>
        <v>0</v>
      </c>
      <c r="AA982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7.4499999999999992E-3</v>
      </c>
      <c r="AB982">
        <f ca="1">Table1[[#This Row],[Face Value]]*Table1[[#This Row],[Rate]]*Table1[[#This Row],[Time]]</f>
        <v>232.43999999999997</v>
      </c>
      <c r="AC982">
        <f ca="1">Table1[[#This Row],[SI]]+Table1[[#This Row],[Disc/Prem]]</f>
        <v>232.43999999999997</v>
      </c>
      <c r="AD982" s="3" t="e">
        <f ca="1">Table1[[#This Row],[Net Gain]]/Table1[[#This Row],[Ask Rate]]</f>
        <v>#DIV/0!</v>
      </c>
      <c r="AE982" s="3">
        <f>IF(Table1[[#This Row],[Ask Qty]]=0,0,Table1[[#This Row],[Gross Yield]]*365/Table1[[#This Row],[Days Left]])</f>
        <v>0</v>
      </c>
      <c r="AF982" s="9">
        <f ca="1">+Table1[[#This Row],[Net Gain]]*Table1[[#This Row],[Ask Qty]]</f>
        <v>0</v>
      </c>
      <c r="AG982" t="str">
        <f>IF(Table1[[#This Row],[YTM]]&gt;0.12,IF(Table1[[#This Row],[Gross Profit]]&gt;10000,"Invest","Review"),"Low YTM")</f>
        <v>Low YTM</v>
      </c>
    </row>
    <row r="983" spans="1:33" x14ac:dyDescent="0.3">
      <c r="A983" t="str">
        <f>RTD("nest.scriprtd",,"bse_cm|852LTF27","Symbol")</f>
        <v>852LTF27</v>
      </c>
      <c r="B983" t="str">
        <f>RTD("nest.scriprtd",,"bse_cm|852LTF27","Trading Symbol")</f>
        <v>852LTF27</v>
      </c>
      <c r="C983" t="str">
        <f>RTD("nest.scriprtd",,"bse_cm|852LTF27","Exchange")</f>
        <v>BSE</v>
      </c>
      <c r="D983">
        <f>RTD("nest.scriprtd",,"bse_cm|852LTF27","Bid Qty")</f>
        <v>25</v>
      </c>
      <c r="E983">
        <f>RTD("nest.scriprtd",,"bse_cm|852LTF27","Bid Rate")</f>
        <v>905.2</v>
      </c>
      <c r="F983">
        <f>RTD("nest.scriprtd",,"bse_cm|852LTF27","Ask Rate")</f>
        <v>0</v>
      </c>
      <c r="G983">
        <f>RTD("nest.scriprtd",,"bse_cm|852LTF27","Ask Qty")</f>
        <v>0</v>
      </c>
      <c r="H983">
        <f>RTD("nest.scriprtd",,"bse_cm|852LTF27","LTP")</f>
        <v>0</v>
      </c>
      <c r="I983" t="str">
        <f>RTD("nest.scriprtd",,"bse_cm|852LTF27","LTT")</f>
        <v>00:00:00</v>
      </c>
      <c r="J983">
        <f>RTD("nest.scriprtd",,"bse_cm|852LTF27","% Change")</f>
        <v>-100</v>
      </c>
      <c r="K983">
        <f>RTD("nest.scriprtd",,"bse_cm|852LTF27","ATP")</f>
        <v>0</v>
      </c>
      <c r="L983">
        <f>RTD("nest.scriprtd",,"bse_cm|852LTF27","Volume Traded Today")</f>
        <v>0</v>
      </c>
      <c r="M983">
        <f>RTD("nest.scriprtd",,"bse_cm|852LTF27","Open")</f>
        <v>0</v>
      </c>
      <c r="N983">
        <f>RTD("nest.scriprtd",,"bse_cm|852LTF27","High")</f>
        <v>0</v>
      </c>
      <c r="O983">
        <f>RTD("nest.scriprtd",,"bse_cm|852LTF27","Low ")</f>
        <v>0</v>
      </c>
      <c r="P983">
        <f>RTD("nest.scriprtd",,"bse_cm|852LTF27","Prev Close")</f>
        <v>1000</v>
      </c>
      <c r="Q983">
        <f>RTD("nest.scriprtd",,"bse_cm|852LTF27","Face Value")</f>
        <v>1000</v>
      </c>
      <c r="R983" t="str">
        <f>RTD("nest.scriprtd",,"bse_cm|852LTF27","Isin code")</f>
        <v>INE027E07AM9</v>
      </c>
      <c r="S983" s="9">
        <f>Table1[[#This Row],[Ask Rate]]*Table1[[#This Row],[Ask Qty]]</f>
        <v>0</v>
      </c>
      <c r="T983">
        <f>VLOOKUP(Table1[[#This Row],[Isin code]],Table2[#All],7,FALSE)</f>
        <v>8.52</v>
      </c>
      <c r="U983" s="17" t="str">
        <f>VLOOKUP(Table1[[#This Row],[Isin code]],Table2[#All],8,FALSE)</f>
        <v>15-Apr-2027</v>
      </c>
      <c r="V983" s="10">
        <f ca="1">Table1[[#This Row],[Maturity]]-TODAY()</f>
        <v>911</v>
      </c>
      <c r="W983" t="str">
        <f>VLOOKUP(Table1[[#This Row],[Isin code]],Table2[#All],10,FALSE)</f>
        <v>Monthly</v>
      </c>
      <c r="X983">
        <f ca="1">_xlfn.DAYS(Table1[[#This Row],[Maturity]],TODAY())-15</f>
        <v>896</v>
      </c>
      <c r="Y9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983">
        <f>IF(Table1[[#This Row],[Ask Rate]]=0,0,Table1[[#This Row],[Face Value]]-Table1[[#This Row],[Ask Rate]])</f>
        <v>0</v>
      </c>
      <c r="AA983">
        <f>IF(Table1[[#This Row],[Freq]]="Yearly",Table1[[#This Row],[Coupon_Rate]]/100,IF(Table1[[#This Row],[Freq]]="Monthly",Table1[[#This Row],[Coupon_Rate]]/1200,IF(Table1[[#This Row],[Freq]]="Quarterly",Table1[[#This Row],[Coupon_Rate]]/400,0)))</f>
        <v>7.0999999999999995E-3</v>
      </c>
      <c r="AB983">
        <f ca="1">Table1[[#This Row],[Face Value]]*Table1[[#This Row],[Rate]]*Table1[[#This Row],[Time]]</f>
        <v>213</v>
      </c>
      <c r="AC983">
        <f ca="1">Table1[[#This Row],[SI]]+Table1[[#This Row],[Disc/Prem]]</f>
        <v>213</v>
      </c>
      <c r="AD983" s="3" t="e">
        <f ca="1">Table1[[#This Row],[Net Gain]]/Table1[[#This Row],[Ask Rate]]</f>
        <v>#DIV/0!</v>
      </c>
      <c r="AE983" s="3">
        <f>IF(Table1[[#This Row],[Ask Qty]]=0,0,Table1[[#This Row],[Gross Yield]]*365/Table1[[#This Row],[Days Left]])</f>
        <v>0</v>
      </c>
      <c r="AF983" s="9">
        <f ca="1">+Table1[[#This Row],[Net Gain]]*Table1[[#This Row],[Ask Qty]]</f>
        <v>0</v>
      </c>
      <c r="AG983" t="str">
        <f>IF(Table1[[#This Row],[YTM]]&gt;0.12,IF(Table1[[#This Row],[Gross Profit]]&gt;10000,"Invest","Review"),"Low YTM")</f>
        <v>Low YTM</v>
      </c>
    </row>
    <row r="984" spans="1:33" x14ac:dyDescent="0.3">
      <c r="A984" t="str">
        <f>RTD("nest.scriprtd",,"nse_cm|850SCL25A-NW","Symbol")</f>
        <v>850SCL25A</v>
      </c>
      <c r="B984" t="str">
        <f>RTD("nest.scriprtd",,"nse_cm|850SCL25A-NW","Trading Symbol")</f>
        <v>850SCL25A-NW</v>
      </c>
      <c r="C984" t="str">
        <f>RTD("nest.scriprtd",,"nse_cm|850SCL25A-NW","Exchange")</f>
        <v>NSE</v>
      </c>
      <c r="D984">
        <f>RTD("nest.scriprtd",,"nse_cm|850SCL25A-NW","Bid Qty")</f>
        <v>20</v>
      </c>
      <c r="E984">
        <f>RTD("nest.scriprtd",,"nse_cm|850SCL25A-NW","Bid Rate")</f>
        <v>830.2</v>
      </c>
      <c r="F984">
        <f>RTD("nest.scriprtd",,"nse_cm|850SCL25A-NW","Ask Rate")</f>
        <v>0</v>
      </c>
      <c r="G984">
        <f>RTD("nest.scriprtd",,"nse_cm|850SCL25A-NW","Ask Qty")</f>
        <v>0</v>
      </c>
      <c r="H984">
        <f>RTD("nest.scriprtd",,"nse_cm|850SCL25A-NW","LTP")</f>
        <v>931</v>
      </c>
      <c r="I984" t="str">
        <f>RTD("nest.scriprtd",,"nse_cm|850SCL25A-NW","LTT")</f>
        <v/>
      </c>
      <c r="J984">
        <f>RTD("nest.scriprtd",,"nse_cm|850SCL25A-NW","% Change")</f>
        <v>0</v>
      </c>
      <c r="K984">
        <f>RTD("nest.scriprtd",,"nse_cm|850SCL25A-NW","ATP")</f>
        <v>0</v>
      </c>
      <c r="L984">
        <f>RTD("nest.scriprtd",,"nse_cm|850SCL25A-NW","Volume Traded Today")</f>
        <v>0</v>
      </c>
      <c r="M984">
        <f>RTD("nest.scriprtd",,"nse_cm|850SCL25A-NW","Open")</f>
        <v>0</v>
      </c>
      <c r="N984">
        <f>RTD("nest.scriprtd",,"nse_cm|850SCL25A-NW","High")</f>
        <v>931</v>
      </c>
      <c r="O984">
        <f>RTD("nest.scriprtd",,"nse_cm|850SCL25A-NW","Low ")</f>
        <v>830.2</v>
      </c>
      <c r="P984">
        <f>RTD("nest.scriprtd",,"nse_cm|850SCL25A-NW","Prev Close")</f>
        <v>931</v>
      </c>
      <c r="Q984">
        <f>RTD("nest.scriprtd",,"nse_cm|850SCL25A-NW","Face Value")</f>
        <v>1000</v>
      </c>
      <c r="R984" t="str">
        <f>RTD("nest.scriprtd",,"nse_cm|850SCL25A-NW","Isin code")</f>
        <v>INE148I08348</v>
      </c>
      <c r="S984" s="9">
        <f>Table1[[#This Row],[Ask Rate]]*Table1[[#This Row],[Ask Qty]]</f>
        <v>0</v>
      </c>
      <c r="T984">
        <f>VLOOKUP(Table1[[#This Row],[Isin code]],Table2[#All],7,FALSE)</f>
        <v>9.35</v>
      </c>
      <c r="U984" s="17" t="str">
        <f>VLOOKUP(Table1[[#This Row],[Isin code]],Table2[#All],8,FALSE)</f>
        <v>22-Dec-2028</v>
      </c>
      <c r="V984" s="10">
        <f ca="1">Table1[[#This Row],[Maturity]]-TODAY()</f>
        <v>1528</v>
      </c>
      <c r="W984" t="str">
        <f>VLOOKUP(Table1[[#This Row],[Isin code]],Table2[#All],10,FALSE)</f>
        <v>Monthly</v>
      </c>
      <c r="X984">
        <f ca="1">_xlfn.DAYS(Table1[[#This Row],[Maturity]],TODAY())-15</f>
        <v>1513</v>
      </c>
      <c r="Y9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984">
        <f>IF(Table1[[#This Row],[Ask Rate]]=0,0,Table1[[#This Row],[Face Value]]-Table1[[#This Row],[Ask Rate]])</f>
        <v>0</v>
      </c>
      <c r="AA984">
        <f>IF(Table1[[#This Row],[Freq]]="Yearly",Table1[[#This Row],[Coupon_Rate]]/100,IF(Table1[[#This Row],[Freq]]="Monthly",Table1[[#This Row],[Coupon_Rate]]/1200,IF(Table1[[#This Row],[Freq]]="Quarterly",Table1[[#This Row],[Coupon_Rate]]/400,0)))</f>
        <v>7.7916666666666664E-3</v>
      </c>
      <c r="AB984">
        <f ca="1">Table1[[#This Row],[Face Value]]*Table1[[#This Row],[Rate]]*Table1[[#This Row],[Time]]</f>
        <v>397.37499999999994</v>
      </c>
      <c r="AC984">
        <f ca="1">Table1[[#This Row],[SI]]+Table1[[#This Row],[Disc/Prem]]</f>
        <v>397.37499999999994</v>
      </c>
      <c r="AD984" s="3" t="e">
        <f ca="1">Table1[[#This Row],[Net Gain]]/Table1[[#This Row],[Ask Rate]]</f>
        <v>#DIV/0!</v>
      </c>
      <c r="AE984" s="3">
        <f>IF(Table1[[#This Row],[Ask Qty]]=0,0,Table1[[#This Row],[Gross Yield]]*365/Table1[[#This Row],[Days Left]])</f>
        <v>0</v>
      </c>
      <c r="AF984" s="9">
        <f ca="1">+Table1[[#This Row],[Net Gain]]*Table1[[#This Row],[Ask Qty]]</f>
        <v>0</v>
      </c>
      <c r="AG984" t="str">
        <f>IF(Table1[[#This Row],[YTM]]&gt;0.12,IF(Table1[[#This Row],[Gross Profit]]&gt;10000,"Invest","Review"),"Low YTM")</f>
        <v>Low YTM</v>
      </c>
    </row>
    <row r="985" spans="1:33" x14ac:dyDescent="0.3">
      <c r="A985" t="str">
        <f>RTD("nest.scriprtd",,"bse_cm|939SCL27","Symbol")</f>
        <v>939SCL27</v>
      </c>
      <c r="B985" t="str">
        <f>RTD("nest.scriprtd",,"bse_cm|939SCL27","Trading Symbol")</f>
        <v>939SCL27</v>
      </c>
      <c r="C985" t="str">
        <f>RTD("nest.scriprtd",,"bse_cm|939SCL27","Exchange")</f>
        <v>BSE</v>
      </c>
      <c r="D985">
        <f>RTD("nest.scriprtd",,"bse_cm|939SCL27","Bid Qty")</f>
        <v>5</v>
      </c>
      <c r="E985">
        <f>RTD("nest.scriprtd",,"bse_cm|939SCL27","Bid Rate")</f>
        <v>662.8</v>
      </c>
      <c r="F985">
        <f>RTD("nest.scriprtd",,"bse_cm|939SCL27","Ask Rate")</f>
        <v>0</v>
      </c>
      <c r="G985">
        <f>RTD("nest.scriprtd",,"bse_cm|939SCL27","Ask Qty")</f>
        <v>0</v>
      </c>
      <c r="H985">
        <f>RTD("nest.scriprtd",,"bse_cm|939SCL27","LTP")</f>
        <v>0</v>
      </c>
      <c r="I985" t="str">
        <f>RTD("nest.scriprtd",,"bse_cm|939SCL27","LTT")</f>
        <v>00:00:00</v>
      </c>
      <c r="J985">
        <f>RTD("nest.scriprtd",,"bse_cm|939SCL27","% Change")</f>
        <v>-100</v>
      </c>
      <c r="K985">
        <f>RTD("nest.scriprtd",,"bse_cm|939SCL27","ATP")</f>
        <v>0</v>
      </c>
      <c r="L985">
        <f>RTD("nest.scriprtd",,"bse_cm|939SCL27","Volume Traded Today")</f>
        <v>0</v>
      </c>
      <c r="M985">
        <f>RTD("nest.scriprtd",,"bse_cm|939SCL27","Open")</f>
        <v>0</v>
      </c>
      <c r="N985">
        <f>RTD("nest.scriprtd",,"bse_cm|939SCL27","High")</f>
        <v>0</v>
      </c>
      <c r="O985">
        <f>RTD("nest.scriprtd",,"bse_cm|939SCL27","Low ")</f>
        <v>0</v>
      </c>
      <c r="P985">
        <f>RTD("nest.scriprtd",,"bse_cm|939SCL27","Prev Close")</f>
        <v>800</v>
      </c>
      <c r="Q985">
        <f>RTD("nest.scriprtd",,"bse_cm|939SCL27","Face Value")</f>
        <v>800</v>
      </c>
      <c r="R985" t="str">
        <f>RTD("nest.scriprtd",,"bse_cm|939SCL27","Isin code")</f>
        <v>INE148I07NN5</v>
      </c>
      <c r="S985" s="9">
        <f>Table1[[#This Row],[Ask Rate]]*Table1[[#This Row],[Ask Qty]]</f>
        <v>0</v>
      </c>
      <c r="T985">
        <f>VLOOKUP(Table1[[#This Row],[Isin code]],Table2[#All],7,FALSE)</f>
        <v>8.94</v>
      </c>
      <c r="U985" s="17" t="str">
        <f>VLOOKUP(Table1[[#This Row],[Isin code]],Table2[#All],8,FALSE)</f>
        <v>28-Dec-2027</v>
      </c>
      <c r="V985" s="10">
        <f ca="1">Table1[[#This Row],[Maturity]]-TODAY()</f>
        <v>1168</v>
      </c>
      <c r="W985" t="str">
        <f>VLOOKUP(Table1[[#This Row],[Isin code]],Table2[#All],10,FALSE)</f>
        <v>Monthly</v>
      </c>
      <c r="X985">
        <f ca="1">_xlfn.DAYS(Table1[[#This Row],[Maturity]],TODAY())-15</f>
        <v>1153</v>
      </c>
      <c r="Y9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985">
        <f>IF(Table1[[#This Row],[Ask Rate]]=0,0,Table1[[#This Row],[Face Value]]-Table1[[#This Row],[Ask Rate]])</f>
        <v>0</v>
      </c>
      <c r="AA985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7.4499999999999992E-3</v>
      </c>
      <c r="AB985">
        <f ca="1">Table1[[#This Row],[Face Value]]*Table1[[#This Row],[Rate]]*Table1[[#This Row],[Time]]</f>
        <v>232.43999999999997</v>
      </c>
      <c r="AC985">
        <f ca="1">Table1[[#This Row],[SI]]+Table1[[#This Row],[Disc/Prem]]</f>
        <v>232.43999999999997</v>
      </c>
      <c r="AD985" s="3" t="e">
        <f ca="1">Table1[[#This Row],[Net Gain]]/Table1[[#This Row],[Ask Rate]]</f>
        <v>#DIV/0!</v>
      </c>
      <c r="AE985" s="3">
        <f>IF(Table1[[#This Row],[Ask Qty]]=0,0,Table1[[#This Row],[Gross Yield]]*365/Table1[[#This Row],[Days Left]])</f>
        <v>0</v>
      </c>
      <c r="AF985" s="9">
        <f ca="1">+Table1[[#This Row],[Net Gain]]*Table1[[#This Row],[Ask Qty]]</f>
        <v>0</v>
      </c>
      <c r="AG985" t="str">
        <f>IF(Table1[[#This Row],[YTM]]&gt;0.12,IF(Table1[[#This Row],[Gross Profit]]&gt;10000,"Invest","Review"),"Low YTM")</f>
        <v>Low YTM</v>
      </c>
    </row>
    <row r="986" spans="1:33" x14ac:dyDescent="0.3">
      <c r="A986" t="str">
        <f>RTD("nest.scriprtd",,"nse_cm|935SCL28-NV","Symbol")</f>
        <v>935SCL28</v>
      </c>
      <c r="B986" t="str">
        <f>RTD("nest.scriprtd",,"nse_cm|935SCL28-NV","Trading Symbol")</f>
        <v>935SCL28-NV</v>
      </c>
      <c r="C986" t="str">
        <f>RTD("nest.scriprtd",,"nse_cm|935SCL28-NV","Exchange")</f>
        <v>NSE</v>
      </c>
      <c r="D986">
        <f>RTD("nest.scriprtd",,"nse_cm|935SCL28-NV","Bid Qty")</f>
        <v>0</v>
      </c>
      <c r="E986">
        <f>RTD("nest.scriprtd",,"nse_cm|935SCL28-NV","Bid Rate")</f>
        <v>0</v>
      </c>
      <c r="F986">
        <f>RTD("nest.scriprtd",,"nse_cm|935SCL28-NV","Ask Rate")</f>
        <v>0</v>
      </c>
      <c r="G986">
        <f>RTD("nest.scriprtd",,"nse_cm|935SCL28-NV","Ask Qty")</f>
        <v>0</v>
      </c>
      <c r="H986">
        <f>RTD("nest.scriprtd",,"nse_cm|935SCL28-NV","LTP")</f>
        <v>0</v>
      </c>
      <c r="I986" t="str">
        <f>RTD("nest.scriprtd",,"nse_cm|935SCL28-NV","LTT")</f>
        <v/>
      </c>
      <c r="J986">
        <f>RTD("nest.scriprtd",,"nse_cm|935SCL28-NV","% Change")</f>
        <v>0</v>
      </c>
      <c r="K986">
        <f>RTD("nest.scriprtd",,"nse_cm|935SCL28-NV","ATP")</f>
        <v>0</v>
      </c>
      <c r="L986">
        <f>RTD("nest.scriprtd",,"nse_cm|935SCL28-NV","Volume Traded Today")</f>
        <v>0</v>
      </c>
      <c r="M986">
        <f>RTD("nest.scriprtd",,"nse_cm|935SCL28-NV","Open")</f>
        <v>0</v>
      </c>
      <c r="N986">
        <f>RTD("nest.scriprtd",,"nse_cm|935SCL28-NV","High")</f>
        <v>0</v>
      </c>
      <c r="O986">
        <f>RTD("nest.scriprtd",,"nse_cm|935SCL28-NV","Low ")</f>
        <v>0</v>
      </c>
      <c r="P986">
        <f>RTD("nest.scriprtd",,"nse_cm|935SCL28-NV","Prev Close")</f>
        <v>0</v>
      </c>
      <c r="Q986">
        <f>RTD("nest.scriprtd",,"nse_cm|935SCL28-NV","Face Value")</f>
        <v>1000</v>
      </c>
      <c r="R986" t="str">
        <f>RTD("nest.scriprtd",,"nse_cm|935SCL28-NV","Isin code")</f>
        <v>INE148I08330</v>
      </c>
      <c r="S986" s="9">
        <f>Table1[[#This Row],[Ask Rate]]*Table1[[#This Row],[Ask Qty]]</f>
        <v>0</v>
      </c>
      <c r="T986">
        <f>VLOOKUP(Table1[[#This Row],[Isin code]],Table2[#All],7,FALSE)</f>
        <v>8.89</v>
      </c>
      <c r="U986" s="17" t="str">
        <f>VLOOKUP(Table1[[#This Row],[Isin code]],Table2[#All],8,FALSE)</f>
        <v>22-Dec-2028</v>
      </c>
      <c r="V986" s="10">
        <f ca="1">Table1[[#This Row],[Maturity]]-TODAY()</f>
        <v>1528</v>
      </c>
      <c r="W986" t="str">
        <f>VLOOKUP(Table1[[#This Row],[Isin code]],Table2[#All],10,FALSE)</f>
        <v>Monthly</v>
      </c>
      <c r="X986">
        <f ca="1">_xlfn.DAYS(Table1[[#This Row],[Maturity]],TODAY())-15</f>
        <v>1513</v>
      </c>
      <c r="Y9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986">
        <f>IF(Table1[[#This Row],[Ask Rate]]=0,0,Table1[[#This Row],[Face Value]]-Table1[[#This Row],[Ask Rate]])</f>
        <v>0</v>
      </c>
      <c r="AA986">
        <f>IF(Table1[[#This Row],[Freq]]="Yearly",Table1[[#This Row],[Coupon_Rate]]/100,IF(Table1[[#This Row],[Freq]]="Monthly",Table1[[#This Row],[Coupon_Rate]]/1200,IF(Table1[[#This Row],[Freq]]="Quarterly",Table1[[#This Row],[Coupon_Rate]]/400,0)))</f>
        <v>7.4083333333333336E-3</v>
      </c>
      <c r="AB986">
        <f ca="1">Table1[[#This Row],[Face Value]]*Table1[[#This Row],[Rate]]*Table1[[#This Row],[Time]]</f>
        <v>377.82499999999999</v>
      </c>
      <c r="AC986">
        <f ca="1">Table1[[#This Row],[SI]]+Table1[[#This Row],[Disc/Prem]]</f>
        <v>377.82499999999999</v>
      </c>
      <c r="AD986" s="3" t="e">
        <f ca="1">Table1[[#This Row],[Net Gain]]/Table1[[#This Row],[Ask Rate]]</f>
        <v>#DIV/0!</v>
      </c>
      <c r="AE986" s="3">
        <f>IF(Table1[[#This Row],[Ask Qty]]=0,0,Table1[[#This Row],[Gross Yield]]*365/Table1[[#This Row],[Days Left]])</f>
        <v>0</v>
      </c>
      <c r="AF986" s="9">
        <f ca="1">+Table1[[#This Row],[Net Gain]]*Table1[[#This Row],[Ask Qty]]</f>
        <v>0</v>
      </c>
      <c r="AG986" t="str">
        <f>IF(Table1[[#This Row],[YTM]]&gt;0.12,IF(Table1[[#This Row],[Gross Profit]]&gt;10000,"Invest","Review"),"Low YTM")</f>
        <v>Low YTM</v>
      </c>
    </row>
    <row r="987" spans="1:33" x14ac:dyDescent="0.3">
      <c r="A987" t="str">
        <f>RTD("nest.scriprtd",,"bse_cm|88SCL25","Symbol")</f>
        <v>88SCL25</v>
      </c>
      <c r="B987" t="str">
        <f>RTD("nest.scriprtd",,"bse_cm|88SCL25","Trading Symbol")</f>
        <v>88SCL25</v>
      </c>
      <c r="C987" t="str">
        <f>RTD("nest.scriprtd",,"bse_cm|88SCL25","Exchange")</f>
        <v>BSE</v>
      </c>
      <c r="D987">
        <f>RTD("nest.scriprtd",,"bse_cm|88SCL25","Bid Qty")</f>
        <v>20</v>
      </c>
      <c r="E987">
        <f>RTD("nest.scriprtd",,"bse_cm|88SCL25","Bid Rate")</f>
        <v>814.85</v>
      </c>
      <c r="F987">
        <f>RTD("nest.scriprtd",,"bse_cm|88SCL25","Ask Rate")</f>
        <v>0</v>
      </c>
      <c r="G987">
        <f>RTD("nest.scriprtd",,"bse_cm|88SCL25","Ask Qty")</f>
        <v>0</v>
      </c>
      <c r="H987">
        <f>RTD("nest.scriprtd",,"bse_cm|88SCL25","LTP")</f>
        <v>0</v>
      </c>
      <c r="I987" t="str">
        <f>RTD("nest.scriprtd",,"bse_cm|88SCL25","LTT")</f>
        <v>00:00:00</v>
      </c>
      <c r="J987">
        <f>RTD("nest.scriprtd",,"bse_cm|88SCL25","% Change")</f>
        <v>-100</v>
      </c>
      <c r="K987">
        <f>RTD("nest.scriprtd",,"bse_cm|88SCL25","ATP")</f>
        <v>0</v>
      </c>
      <c r="L987">
        <f>RTD("nest.scriprtd",,"bse_cm|88SCL25","Volume Traded Today")</f>
        <v>0</v>
      </c>
      <c r="M987">
        <f>RTD("nest.scriprtd",,"bse_cm|88SCL25","Open")</f>
        <v>0</v>
      </c>
      <c r="N987">
        <f>RTD("nest.scriprtd",,"bse_cm|88SCL25","High")</f>
        <v>1000</v>
      </c>
      <c r="O987">
        <f>RTD("nest.scriprtd",,"bse_cm|88SCL25","Low ")</f>
        <v>1000</v>
      </c>
      <c r="P987">
        <f>RTD("nest.scriprtd",,"bse_cm|88SCL25","Prev Close")</f>
        <v>1000</v>
      </c>
      <c r="Q987">
        <f>RTD("nest.scriprtd",,"bse_cm|88SCL25","Face Value")</f>
        <v>1000</v>
      </c>
      <c r="R987" t="str">
        <f>RTD("nest.scriprtd",,"bse_cm|88SCL25","Isin code")</f>
        <v>INE148I07MQ0</v>
      </c>
      <c r="S987" s="9">
        <f>Table1[[#This Row],[Ask Rate]]*Table1[[#This Row],[Ask Qty]]</f>
        <v>0</v>
      </c>
      <c r="T987">
        <f>VLOOKUP(Table1[[#This Row],[Isin code]],Table2[#All],7,FALSE)</f>
        <v>8.7999999999999989</v>
      </c>
      <c r="U987" s="17" t="str">
        <f>VLOOKUP(Table1[[#This Row],[Isin code]],Table2[#All],8,FALSE)</f>
        <v>03-Nov-2025</v>
      </c>
      <c r="V987" s="10">
        <f ca="1">Table1[[#This Row],[Maturity]]-TODAY()</f>
        <v>383</v>
      </c>
      <c r="W987" t="str">
        <f>VLOOKUP(Table1[[#This Row],[Isin code]],Table2[#All],10,FALSE)</f>
        <v>Yearly</v>
      </c>
      <c r="X987">
        <f ca="1">_xlfn.DAYS(Table1[[#This Row],[Maturity]],TODAY())-15</f>
        <v>368</v>
      </c>
      <c r="Y9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87">
        <f>IF(Table1[[#This Row],[Ask Rate]]=0,0,Table1[[#This Row],[Face Value]]-Table1[[#This Row],[Ask Rate]])</f>
        <v>0</v>
      </c>
      <c r="AA987">
        <f>IF(Table1[[#This Row],[Freq]]="Yearly",Table1[[#This Row],[Coupon_Rate]]/100,IF(Table1[[#This Row],[Freq]]="Monthly",Table1[[#This Row],[Coupon_Rate]]/1200,IF(Table1[[#This Row],[Freq]]="Quarterly",Table1[[#This Row],[Coupon_Rate]]/400,0)))</f>
        <v>8.7999999999999995E-2</v>
      </c>
      <c r="AB987">
        <f ca="1">Table1[[#This Row],[Face Value]]*Table1[[#This Row],[Rate]]*Table1[[#This Row],[Time]]</f>
        <v>176</v>
      </c>
      <c r="AC987">
        <f ca="1">Table1[[#This Row],[SI]]+Table1[[#This Row],[Disc/Prem]]</f>
        <v>176</v>
      </c>
      <c r="AD987" s="3" t="e">
        <f ca="1">Table1[[#This Row],[Net Gain]]/Table1[[#This Row],[Ask Rate]]</f>
        <v>#DIV/0!</v>
      </c>
      <c r="AE987" s="3">
        <f>IF(Table1[[#This Row],[Ask Qty]]=0,0,Table1[[#This Row],[Gross Yield]]*365/Table1[[#This Row],[Days Left]])</f>
        <v>0</v>
      </c>
      <c r="AF987" s="9">
        <f ca="1">+Table1[[#This Row],[Net Gain]]*Table1[[#This Row],[Ask Qty]]</f>
        <v>0</v>
      </c>
      <c r="AG987" t="str">
        <f>IF(Table1[[#This Row],[YTM]]&gt;0.12,IF(Table1[[#This Row],[Gross Profit]]&gt;10000,"Invest","Review"),"Low YTM")</f>
        <v>Low YTM</v>
      </c>
    </row>
    <row r="988" spans="1:33" x14ac:dyDescent="0.3">
      <c r="A988" t="str">
        <f>RTD("nest.scriprtd",,"bse_cm|88MMFSL26","Symbol")</f>
        <v>88MMFSL26</v>
      </c>
      <c r="B988" t="str">
        <f>RTD("nest.scriprtd",,"bse_cm|88MMFSL26","Trading Symbol")</f>
        <v>88MMFSL26</v>
      </c>
      <c r="C988" t="str">
        <f>RTD("nest.scriprtd",,"bse_cm|88MMFSL26","Exchange")</f>
        <v>BSE</v>
      </c>
      <c r="D988">
        <f>RTD("nest.scriprtd",,"bse_cm|88MMFSL26","Bid Qty")</f>
        <v>20</v>
      </c>
      <c r="E988">
        <f>RTD("nest.scriprtd",,"bse_cm|88MMFSL26","Bid Rate")</f>
        <v>945</v>
      </c>
      <c r="F988">
        <f>RTD("nest.scriprtd",,"bse_cm|88MMFSL26","Ask Rate")</f>
        <v>0</v>
      </c>
      <c r="G988">
        <f>RTD("nest.scriprtd",,"bse_cm|88MMFSL26","Ask Qty")</f>
        <v>0</v>
      </c>
      <c r="H988">
        <f>RTD("nest.scriprtd",,"bse_cm|88MMFSL26","LTP")</f>
        <v>0</v>
      </c>
      <c r="I988" t="str">
        <f>RTD("nest.scriprtd",,"bse_cm|88MMFSL26","LTT")</f>
        <v>00:00:00</v>
      </c>
      <c r="J988">
        <f>RTD("nest.scriprtd",,"bse_cm|88MMFSL26","% Change")</f>
        <v>-100</v>
      </c>
      <c r="K988">
        <f>RTD("nest.scriprtd",,"bse_cm|88MMFSL26","ATP")</f>
        <v>0</v>
      </c>
      <c r="L988">
        <f>RTD("nest.scriprtd",,"bse_cm|88MMFSL26","Volume Traded Today")</f>
        <v>0</v>
      </c>
      <c r="M988">
        <f>RTD("nest.scriprtd",,"bse_cm|88MMFSL26","Open")</f>
        <v>0</v>
      </c>
      <c r="N988">
        <f>RTD("nest.scriprtd",,"bse_cm|88MMFSL26","High")</f>
        <v>1007</v>
      </c>
      <c r="O988">
        <f>RTD("nest.scriprtd",,"bse_cm|88MMFSL26","Low ")</f>
        <v>1007</v>
      </c>
      <c r="P988">
        <f>RTD("nest.scriprtd",,"bse_cm|88MMFSL26","Prev Close")</f>
        <v>1007</v>
      </c>
      <c r="Q988">
        <f>RTD("nest.scriprtd",,"bse_cm|88MMFSL26","Face Value")</f>
        <v>1000</v>
      </c>
      <c r="R988" t="str">
        <f>RTD("nest.scriprtd",,"bse_cm|88MMFSL26","Isin code")</f>
        <v>INE774D08LZ5</v>
      </c>
      <c r="S988" s="9">
        <f>Table1[[#This Row],[Ask Rate]]*Table1[[#This Row],[Ask Qty]]</f>
        <v>0</v>
      </c>
      <c r="T988">
        <f>VLOOKUP(Table1[[#This Row],[Isin code]],Table2[#All],7,FALSE)</f>
        <v>8.7999999999999989</v>
      </c>
      <c r="U988" s="17" t="str">
        <f>VLOOKUP(Table1[[#This Row],[Isin code]],Table2[#All],8,FALSE)</f>
        <v>06-Jun-2026</v>
      </c>
      <c r="V988" s="10">
        <f ca="1">Table1[[#This Row],[Maturity]]-TODAY()</f>
        <v>598</v>
      </c>
      <c r="W988" t="str">
        <f>VLOOKUP(Table1[[#This Row],[Isin code]],Table2[#All],10,FALSE)</f>
        <v>Yearly</v>
      </c>
      <c r="X988">
        <f ca="1">_xlfn.DAYS(Table1[[#This Row],[Maturity]],TODAY())-15</f>
        <v>583</v>
      </c>
      <c r="Y9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88">
        <f>IF(Table1[[#This Row],[Ask Rate]]=0,0,Table1[[#This Row],[Face Value]]-Table1[[#This Row],[Ask Rate]])</f>
        <v>0</v>
      </c>
      <c r="AA988">
        <f>IF(Table1[[#This Row],[Freq]]="Yearly",Table1[[#This Row],[Coupon_Rate]]/100,IF(Table1[[#This Row],[Freq]]="Monthly",Table1[[#This Row],[Coupon_Rate]]/1200,IF(Table1[[#This Row],[Freq]]="Quarterly",Table1[[#This Row],[Coupon_Rate]]/400,0)))</f>
        <v>8.7999999999999995E-2</v>
      </c>
      <c r="AB988">
        <f ca="1">Table1[[#This Row],[Face Value]]*Table1[[#This Row],[Rate]]*Table1[[#This Row],[Time]]</f>
        <v>176</v>
      </c>
      <c r="AC988">
        <f ca="1">Table1[[#This Row],[SI]]+Table1[[#This Row],[Disc/Prem]]</f>
        <v>176</v>
      </c>
      <c r="AD988" s="3" t="e">
        <f ca="1">Table1[[#This Row],[Net Gain]]/Table1[[#This Row],[Ask Rate]]</f>
        <v>#DIV/0!</v>
      </c>
      <c r="AE988" s="3">
        <f>IF(Table1[[#This Row],[Ask Qty]]=0,0,Table1[[#This Row],[Gross Yield]]*365/Table1[[#This Row],[Days Left]])</f>
        <v>0</v>
      </c>
      <c r="AF988" s="9">
        <f ca="1">+Table1[[#This Row],[Net Gain]]*Table1[[#This Row],[Ask Qty]]</f>
        <v>0</v>
      </c>
      <c r="AG988" t="str">
        <f>IF(Table1[[#This Row],[YTM]]&gt;0.12,IF(Table1[[#This Row],[Gross Profit]]&gt;10000,"Invest","Review"),"Low YTM")</f>
        <v>Low YTM</v>
      </c>
    </row>
    <row r="989" spans="1:33" x14ac:dyDescent="0.3">
      <c r="A989" t="str">
        <f>RTD("nest.scriprtd",,"nse_cm|889SCL28-NU","Symbol")</f>
        <v>889SCL28</v>
      </c>
      <c r="B989" t="str">
        <f>RTD("nest.scriprtd",,"nse_cm|889SCL28-NU","Trading Symbol")</f>
        <v>889SCL28-NU</v>
      </c>
      <c r="C989" t="str">
        <f>RTD("nest.scriprtd",,"nse_cm|889SCL28-NU","Exchange")</f>
        <v>NSE</v>
      </c>
      <c r="D989">
        <f>RTD("nest.scriprtd",,"nse_cm|889SCL28-NU","Bid Qty")</f>
        <v>20</v>
      </c>
      <c r="E989">
        <f>RTD("nest.scriprtd",,"nse_cm|889SCL28-NU","Bid Rate")</f>
        <v>820.2</v>
      </c>
      <c r="F989">
        <f>RTD("nest.scriprtd",,"nse_cm|889SCL28-NU","Ask Rate")</f>
        <v>0</v>
      </c>
      <c r="G989">
        <f>RTD("nest.scriprtd",,"nse_cm|889SCL28-NU","Ask Qty")</f>
        <v>0</v>
      </c>
      <c r="H989">
        <f>RTD("nest.scriprtd",,"nse_cm|889SCL28-NU","LTP")</f>
        <v>921</v>
      </c>
      <c r="I989" t="str">
        <f>RTD("nest.scriprtd",,"nse_cm|889SCL28-NU","LTT")</f>
        <v/>
      </c>
      <c r="J989">
        <f>RTD("nest.scriprtd",,"nse_cm|889SCL28-NU","% Change")</f>
        <v>0</v>
      </c>
      <c r="K989">
        <f>RTD("nest.scriprtd",,"nse_cm|889SCL28-NU","ATP")</f>
        <v>0</v>
      </c>
      <c r="L989">
        <f>RTD("nest.scriprtd",,"nse_cm|889SCL28-NU","Volume Traded Today")</f>
        <v>0</v>
      </c>
      <c r="M989">
        <f>RTD("nest.scriprtd",,"nse_cm|889SCL28-NU","Open")</f>
        <v>0</v>
      </c>
      <c r="N989">
        <f>RTD("nest.scriprtd",,"nse_cm|889SCL28-NU","High")</f>
        <v>921</v>
      </c>
      <c r="O989">
        <f>RTD("nest.scriprtd",,"nse_cm|889SCL28-NU","Low ")</f>
        <v>820.2</v>
      </c>
      <c r="P989">
        <f>RTD("nest.scriprtd",,"nse_cm|889SCL28-NU","Prev Close")</f>
        <v>921</v>
      </c>
      <c r="Q989">
        <f>RTD("nest.scriprtd",,"nse_cm|889SCL28-NU","Face Value")</f>
        <v>1000</v>
      </c>
      <c r="R989" t="str">
        <f>RTD("nest.scriprtd",,"nse_cm|889SCL28-NU","Isin code")</f>
        <v>INE148I08322</v>
      </c>
      <c r="S989" s="9">
        <f>Table1[[#This Row],[Ask Rate]]*Table1[[#This Row],[Ask Qty]]</f>
        <v>0</v>
      </c>
      <c r="T989">
        <f>VLOOKUP(Table1[[#This Row],[Isin code]],Table2[#All],7,FALSE)</f>
        <v>9.75</v>
      </c>
      <c r="U989" s="17" t="str">
        <f>VLOOKUP(Table1[[#This Row],[Isin code]],Table2[#All],8,FALSE)</f>
        <v>22-Dec-2028</v>
      </c>
      <c r="V989" s="10">
        <f ca="1">Table1[[#This Row],[Maturity]]-TODAY()</f>
        <v>1528</v>
      </c>
      <c r="W989" t="str">
        <f>VLOOKUP(Table1[[#This Row],[Isin code]],Table2[#All],10,FALSE)</f>
        <v>Yearly</v>
      </c>
      <c r="X989">
        <f ca="1">_xlfn.DAYS(Table1[[#This Row],[Maturity]],TODAY())-15</f>
        <v>1513</v>
      </c>
      <c r="Y9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989">
        <f>IF(Table1[[#This Row],[Ask Rate]]=0,0,Table1[[#This Row],[Face Value]]-Table1[[#This Row],[Ask Rate]])</f>
        <v>0</v>
      </c>
      <c r="AA989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989">
        <f ca="1">Table1[[#This Row],[Face Value]]*Table1[[#This Row],[Rate]]*Table1[[#This Row],[Time]]</f>
        <v>487.5</v>
      </c>
      <c r="AC989">
        <f ca="1">Table1[[#This Row],[SI]]+Table1[[#This Row],[Disc/Prem]]</f>
        <v>487.5</v>
      </c>
      <c r="AD989" s="3" t="e">
        <f ca="1">Table1[[#This Row],[Net Gain]]/Table1[[#This Row],[Ask Rate]]</f>
        <v>#DIV/0!</v>
      </c>
      <c r="AE989" s="3">
        <f>IF(Table1[[#This Row],[Ask Qty]]=0,0,Table1[[#This Row],[Gross Yield]]*365/Table1[[#This Row],[Days Left]])</f>
        <v>0</v>
      </c>
      <c r="AF989" s="9">
        <f ca="1">+Table1[[#This Row],[Net Gain]]*Table1[[#This Row],[Ask Qty]]</f>
        <v>0</v>
      </c>
      <c r="AG989" t="str">
        <f>IF(Table1[[#This Row],[YTM]]&gt;0.12,IF(Table1[[#This Row],[Gross Profit]]&gt;10000,"Invest","Review"),"Low YTM")</f>
        <v>Low YTM</v>
      </c>
    </row>
    <row r="990" spans="1:33" x14ac:dyDescent="0.3">
      <c r="A990" t="str">
        <f>RTD("nest.scriprtd",,"bse_cm|925SCL26A","Symbol")</f>
        <v>925SCL26A</v>
      </c>
      <c r="B990" t="str">
        <f>RTD("nest.scriprtd",,"bse_cm|925SCL26A","Trading Symbol")</f>
        <v>925SCL26A</v>
      </c>
      <c r="C990" t="str">
        <f>RTD("nest.scriprtd",,"bse_cm|925SCL26A","Exchange")</f>
        <v>BSE</v>
      </c>
      <c r="D990">
        <f>RTD("nest.scriprtd",,"bse_cm|925SCL26A","Bid Qty")</f>
        <v>40</v>
      </c>
      <c r="E990">
        <f>RTD("nest.scriprtd",,"bse_cm|925SCL26A","Bid Rate")</f>
        <v>850.11</v>
      </c>
      <c r="F990">
        <f>RTD("nest.scriprtd",,"bse_cm|925SCL26A","Ask Rate")</f>
        <v>0</v>
      </c>
      <c r="G990">
        <f>RTD("nest.scriprtd",,"bse_cm|925SCL26A","Ask Qty")</f>
        <v>0</v>
      </c>
      <c r="H990">
        <f>RTD("nest.scriprtd",,"bse_cm|925SCL26A","LTP")</f>
        <v>0</v>
      </c>
      <c r="I990" t="str">
        <f>RTD("nest.scriprtd",,"bse_cm|925SCL26A","LTT")</f>
        <v>00:00:00</v>
      </c>
      <c r="J990">
        <f>RTD("nest.scriprtd",,"bse_cm|925SCL26A","% Change")</f>
        <v>-100</v>
      </c>
      <c r="K990">
        <f>RTD("nest.scriprtd",,"bse_cm|925SCL26A","ATP")</f>
        <v>0</v>
      </c>
      <c r="L990">
        <f>RTD("nest.scriprtd",,"bse_cm|925SCL26A","Volume Traded Today")</f>
        <v>0</v>
      </c>
      <c r="M990">
        <f>RTD("nest.scriprtd",,"bse_cm|925SCL26A","Open")</f>
        <v>0</v>
      </c>
      <c r="N990">
        <f>RTD("nest.scriprtd",,"bse_cm|925SCL26A","High")</f>
        <v>0</v>
      </c>
      <c r="O990">
        <f>RTD("nest.scriprtd",,"bse_cm|925SCL26A","Low ")</f>
        <v>0</v>
      </c>
      <c r="P990">
        <f>RTD("nest.scriprtd",,"bse_cm|925SCL26A","Prev Close")</f>
        <v>1000</v>
      </c>
      <c r="Q990">
        <f>RTD("nest.scriprtd",,"bse_cm|925SCL26A","Face Value")</f>
        <v>1000</v>
      </c>
      <c r="R990" t="str">
        <f>RTD("nest.scriprtd",,"bse_cm|925SCL26A","Isin code")</f>
        <v>INE148I07SA1</v>
      </c>
      <c r="S990" s="9">
        <f>Table1[[#This Row],[Ask Rate]]*Table1[[#This Row],[Ask Qty]]</f>
        <v>0</v>
      </c>
      <c r="T990">
        <f>VLOOKUP(Table1[[#This Row],[Isin code]],Table2[#All],7,FALSE)</f>
        <v>9.25</v>
      </c>
      <c r="U990" s="17" t="str">
        <f>VLOOKUP(Table1[[#This Row],[Isin code]],Table2[#All],8,FALSE)</f>
        <v>26-Mar-2026</v>
      </c>
      <c r="V990" s="10">
        <f ca="1">Table1[[#This Row],[Maturity]]-TODAY()</f>
        <v>526</v>
      </c>
      <c r="W990" t="str">
        <f>VLOOKUP(Table1[[#This Row],[Isin code]],Table2[#All],10,FALSE)</f>
        <v>Yearly</v>
      </c>
      <c r="X990">
        <f ca="1">_xlfn.DAYS(Table1[[#This Row],[Maturity]],TODAY())-15</f>
        <v>511</v>
      </c>
      <c r="Y9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90">
        <f>IF(Table1[[#This Row],[Ask Rate]]=0,0,Table1[[#This Row],[Face Value]]-Table1[[#This Row],[Ask Rate]])</f>
        <v>0</v>
      </c>
      <c r="AA990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990">
        <f ca="1">Table1[[#This Row],[Face Value]]*Table1[[#This Row],[Rate]]*Table1[[#This Row],[Time]]</f>
        <v>185</v>
      </c>
      <c r="AC990">
        <f ca="1">Table1[[#This Row],[SI]]+Table1[[#This Row],[Disc/Prem]]</f>
        <v>185</v>
      </c>
      <c r="AD990" s="3" t="e">
        <f ca="1">Table1[[#This Row],[Net Gain]]/Table1[[#This Row],[Ask Rate]]</f>
        <v>#DIV/0!</v>
      </c>
      <c r="AE990" s="3">
        <f>IF(Table1[[#This Row],[Ask Qty]]=0,0,Table1[[#This Row],[Gross Yield]]*365/Table1[[#This Row],[Days Left]])</f>
        <v>0</v>
      </c>
      <c r="AF990" s="9">
        <f ca="1">+Table1[[#This Row],[Net Gain]]*Table1[[#This Row],[Ask Qty]]</f>
        <v>0</v>
      </c>
      <c r="AG990" t="str">
        <f>IF(Table1[[#This Row],[YTM]]&gt;0.12,IF(Table1[[#This Row],[Gross Profit]]&gt;10000,"Invest","Review"),"Low YTM")</f>
        <v>Low YTM</v>
      </c>
    </row>
    <row r="991" spans="1:33" x14ac:dyDescent="0.3">
      <c r="A991" t="str">
        <f>RTD("nest.scriprtd",,"nse_cm|925SCL26-NR","Symbol")</f>
        <v>925SCL26</v>
      </c>
      <c r="B991" t="str">
        <f>RTD("nest.scriprtd",,"nse_cm|925SCL26-NR","Trading Symbol")</f>
        <v>925SCL26-NR</v>
      </c>
      <c r="C991" t="str">
        <f>RTD("nest.scriprtd",,"nse_cm|925SCL26-NR","Exchange")</f>
        <v>NSE</v>
      </c>
      <c r="D991">
        <f>RTD("nest.scriprtd",,"nse_cm|925SCL26-NR","Bid Qty")</f>
        <v>20</v>
      </c>
      <c r="E991">
        <f>RTD("nest.scriprtd",,"nse_cm|925SCL26-NR","Bid Rate")</f>
        <v>832.8</v>
      </c>
      <c r="F991">
        <f>RTD("nest.scriprtd",,"nse_cm|925SCL26-NR","Ask Rate")</f>
        <v>0</v>
      </c>
      <c r="G991">
        <f>RTD("nest.scriprtd",,"nse_cm|925SCL26-NR","Ask Qty")</f>
        <v>0</v>
      </c>
      <c r="H991">
        <f>RTD("nest.scriprtd",,"nse_cm|925SCL26-NR","LTP")</f>
        <v>835.05</v>
      </c>
      <c r="I991" t="str">
        <f>RTD("nest.scriprtd",,"nse_cm|925SCL26-NR","LTT")</f>
        <v/>
      </c>
      <c r="J991">
        <f>RTD("nest.scriprtd",,"nse_cm|925SCL26-NR","% Change")</f>
        <v>0</v>
      </c>
      <c r="K991">
        <f>RTD("nest.scriprtd",,"nse_cm|925SCL26-NR","ATP")</f>
        <v>0</v>
      </c>
      <c r="L991">
        <f>RTD("nest.scriprtd",,"nse_cm|925SCL26-NR","Volume Traded Today")</f>
        <v>0</v>
      </c>
      <c r="M991">
        <f>RTD("nest.scriprtd",,"nse_cm|925SCL26-NR","Open")</f>
        <v>0</v>
      </c>
      <c r="N991">
        <f>RTD("nest.scriprtd",,"nse_cm|925SCL26-NR","High")</f>
        <v>835.05</v>
      </c>
      <c r="O991">
        <f>RTD("nest.scriprtd",,"nse_cm|925SCL26-NR","Low ")</f>
        <v>800</v>
      </c>
      <c r="P991">
        <f>RTD("nest.scriprtd",,"nse_cm|925SCL26-NR","Prev Close")</f>
        <v>835.05</v>
      </c>
      <c r="Q991">
        <f>RTD("nest.scriprtd",,"nse_cm|925SCL26-NR","Face Value")</f>
        <v>1000</v>
      </c>
      <c r="R991" t="str">
        <f>RTD("nest.scriprtd",,"nse_cm|925SCL26-NR","Isin code")</f>
        <v>INE148I07KM3</v>
      </c>
      <c r="S991" s="9">
        <f>Table1[[#This Row],[Ask Rate]]*Table1[[#This Row],[Ask Qty]]</f>
        <v>0</v>
      </c>
      <c r="T991">
        <f>VLOOKUP(Table1[[#This Row],[Isin code]],Table2[#All],7,FALSE)</f>
        <v>8.75</v>
      </c>
      <c r="U991" s="17" t="str">
        <f>VLOOKUP(Table1[[#This Row],[Isin code]],Table2[#All],8,FALSE)</f>
        <v>24-Sep-2026</v>
      </c>
      <c r="V991" s="10">
        <f ca="1">Table1[[#This Row],[Maturity]]-TODAY()</f>
        <v>708</v>
      </c>
      <c r="W991" t="str">
        <f>VLOOKUP(Table1[[#This Row],[Isin code]],Table2[#All],10,FALSE)</f>
        <v>Yearly</v>
      </c>
      <c r="X991">
        <f ca="1">_xlfn.DAYS(Table1[[#This Row],[Maturity]],TODAY())-15</f>
        <v>693</v>
      </c>
      <c r="Y9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91">
        <f>IF(Table1[[#This Row],[Ask Rate]]=0,0,Table1[[#This Row],[Face Value]]-Table1[[#This Row],[Ask Rate]])</f>
        <v>0</v>
      </c>
      <c r="AA991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991">
        <f ca="1">Table1[[#This Row],[Face Value]]*Table1[[#This Row],[Rate]]*Table1[[#This Row],[Time]]</f>
        <v>175</v>
      </c>
      <c r="AC991">
        <f ca="1">Table1[[#This Row],[SI]]+Table1[[#This Row],[Disc/Prem]]</f>
        <v>175</v>
      </c>
      <c r="AD991" s="3" t="e">
        <f ca="1">Table1[[#This Row],[Net Gain]]/Table1[[#This Row],[Ask Rate]]</f>
        <v>#DIV/0!</v>
      </c>
      <c r="AE991" s="3">
        <f>IF(Table1[[#This Row],[Ask Qty]]=0,0,Table1[[#This Row],[Gross Yield]]*365/Table1[[#This Row],[Days Left]])</f>
        <v>0</v>
      </c>
      <c r="AF991" s="9">
        <f ca="1">+Table1[[#This Row],[Net Gain]]*Table1[[#This Row],[Ask Qty]]</f>
        <v>0</v>
      </c>
      <c r="AG991" t="str">
        <f>IF(Table1[[#This Row],[YTM]]&gt;0.12,IF(Table1[[#This Row],[Gross Profit]]&gt;10000,"Invest","Review"),"Low YTM")</f>
        <v>Low YTM</v>
      </c>
    </row>
    <row r="992" spans="1:33" x14ac:dyDescent="0.3">
      <c r="A992" t="str">
        <f>RTD("nest.scriprtd",,"bse_cm|SCLZC26B","Symbol")</f>
        <v>SCLZC26B</v>
      </c>
      <c r="B992" t="str">
        <f>RTD("nest.scriprtd",,"bse_cm|SCLZC26B","Trading Symbol")</f>
        <v>SCLZC26B</v>
      </c>
      <c r="C992" t="str">
        <f>RTD("nest.scriprtd",,"bse_cm|SCLZC26B","Exchange")</f>
        <v>BSE</v>
      </c>
      <c r="D992">
        <f>RTD("nest.scriprtd",,"bse_cm|SCLZC26B","Bid Qty")</f>
        <v>7</v>
      </c>
      <c r="E992">
        <f>RTD("nest.scriprtd",,"bse_cm|SCLZC26B","Bid Rate")</f>
        <v>952</v>
      </c>
      <c r="F992">
        <f>RTD("nest.scriprtd",,"bse_cm|SCLZC26B","Ask Rate")</f>
        <v>0</v>
      </c>
      <c r="G992">
        <f>RTD("nest.scriprtd",,"bse_cm|SCLZC26B","Ask Qty")</f>
        <v>0</v>
      </c>
      <c r="H992">
        <f>RTD("nest.scriprtd",,"bse_cm|SCLZC26B","LTP")</f>
        <v>0</v>
      </c>
      <c r="I992" t="str">
        <f>RTD("nest.scriprtd",,"bse_cm|SCLZC26B","LTT")</f>
        <v>00:00:00</v>
      </c>
      <c r="J992">
        <f>RTD("nest.scriprtd",,"bse_cm|SCLZC26B","% Change")</f>
        <v>-100</v>
      </c>
      <c r="K992">
        <f>RTD("nest.scriprtd",,"bse_cm|SCLZC26B","ATP")</f>
        <v>0</v>
      </c>
      <c r="L992">
        <f>RTD("nest.scriprtd",,"bse_cm|SCLZC26B","Volume Traded Today")</f>
        <v>0</v>
      </c>
      <c r="M992">
        <f>RTD("nest.scriprtd",,"bse_cm|SCLZC26B","Open")</f>
        <v>0</v>
      </c>
      <c r="N992">
        <f>RTD("nest.scriprtd",,"bse_cm|SCLZC26B","High")</f>
        <v>1015.5</v>
      </c>
      <c r="O992">
        <f>RTD("nest.scriprtd",,"bse_cm|SCLZC26B","Low ")</f>
        <v>1015.5</v>
      </c>
      <c r="P992">
        <f>RTD("nest.scriprtd",,"bse_cm|SCLZC26B","Prev Close")</f>
        <v>1015.5</v>
      </c>
      <c r="Q992">
        <f>RTD("nest.scriprtd",,"bse_cm|SCLZC26B","Face Value")</f>
        <v>1000</v>
      </c>
      <c r="R992" t="str">
        <f>RTD("nest.scriprtd",,"bse_cm|SCLZC26B","Isin code")</f>
        <v>INE148I07OS2</v>
      </c>
      <c r="S992" s="9">
        <f>Table1[[#This Row],[Ask Rate]]*Table1[[#This Row],[Ask Qty]]</f>
        <v>0</v>
      </c>
      <c r="T992" t="str">
        <f>VLOOKUP(Table1[[#This Row],[Isin code]],Table2[#All],7,FALSE)</f>
        <v>--</v>
      </c>
      <c r="U992" s="17" t="str">
        <f>VLOOKUP(Table1[[#This Row],[Isin code]],Table2[#All],8,FALSE)</f>
        <v>27-Jul-2026</v>
      </c>
      <c r="V992" s="10">
        <f ca="1">Table1[[#This Row],[Maturity]]-TODAY()</f>
        <v>649</v>
      </c>
      <c r="W992" t="str">
        <f>VLOOKUP(Table1[[#This Row],[Isin code]],Table2[#All],10,FALSE)</f>
        <v>At the End</v>
      </c>
      <c r="X992">
        <f ca="1">_xlfn.DAYS(Table1[[#This Row],[Maturity]],TODAY())-15</f>
        <v>634</v>
      </c>
      <c r="Y99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92">
        <f>IF(Table1[[#This Row],[Ask Rate]]=0,0,Table1[[#This Row],[Face Value]]-Table1[[#This Row],[Ask Rate]])</f>
        <v>0</v>
      </c>
      <c r="AA99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92">
        <f>Table1[[#This Row],[Face Value]]*Table1[[#This Row],[Rate]]*Table1[[#This Row],[Time]]</f>
        <v>0</v>
      </c>
      <c r="AC992">
        <f>Table1[[#This Row],[SI]]+Table1[[#This Row],[Disc/Prem]]</f>
        <v>0</v>
      </c>
      <c r="AD992" s="3" t="e">
        <f>Table1[[#This Row],[Net Gain]]/Table1[[#This Row],[Ask Rate]]</f>
        <v>#DIV/0!</v>
      </c>
      <c r="AE992" s="3">
        <f>IF(Table1[[#This Row],[Ask Qty]]=0,0,Table1[[#This Row],[Gross Yield]]*365/Table1[[#This Row],[Days Left]])</f>
        <v>0</v>
      </c>
      <c r="AF992" s="9">
        <f>+Table1[[#This Row],[Net Gain]]*Table1[[#This Row],[Ask Qty]]</f>
        <v>0</v>
      </c>
      <c r="AG992" t="str">
        <f>IF(Table1[[#This Row],[YTM]]&gt;0.12,IF(Table1[[#This Row],[Gross Profit]]&gt;10000,"Invest","Review"),"Low YTM")</f>
        <v>Low YTM</v>
      </c>
    </row>
    <row r="993" spans="1:33" x14ac:dyDescent="0.3">
      <c r="A993" t="str">
        <f>RTD("nest.scriprtd",,"nse_cm|SCLZC26A-NF","Symbol")</f>
        <v>SCLZC26A</v>
      </c>
      <c r="B993" t="str">
        <f>RTD("nest.scriprtd",,"nse_cm|SCLZC26A-NF","Trading Symbol")</f>
        <v>SCLZC26A-NF</v>
      </c>
      <c r="C993" t="str">
        <f>RTD("nest.scriprtd",,"nse_cm|SCLZC26A-NF","Exchange")</f>
        <v>NSE</v>
      </c>
      <c r="D993">
        <f>RTD("nest.scriprtd",,"nse_cm|SCLZC26A-NF","Bid Qty")</f>
        <v>20</v>
      </c>
      <c r="E993">
        <f>RTD("nest.scriprtd",,"nse_cm|SCLZC26A-NF","Bid Rate")</f>
        <v>1435.4</v>
      </c>
      <c r="F993">
        <f>RTD("nest.scriprtd",,"nse_cm|SCLZC26A-NF","Ask Rate")</f>
        <v>0</v>
      </c>
      <c r="G993">
        <f>RTD("nest.scriprtd",,"nse_cm|SCLZC26A-NF","Ask Qty")</f>
        <v>0</v>
      </c>
      <c r="H993">
        <f>RTD("nest.scriprtd",,"nse_cm|SCLZC26A-NF","LTP")</f>
        <v>1791.55</v>
      </c>
      <c r="I993" t="str">
        <f>RTD("nest.scriprtd",,"nse_cm|SCLZC26A-NF","LTT")</f>
        <v/>
      </c>
      <c r="J993">
        <f>RTD("nest.scriprtd",,"nse_cm|SCLZC26A-NF","% Change")</f>
        <v>0</v>
      </c>
      <c r="K993">
        <f>RTD("nest.scriprtd",,"nse_cm|SCLZC26A-NF","ATP")</f>
        <v>0</v>
      </c>
      <c r="L993">
        <f>RTD("nest.scriprtd",,"nse_cm|SCLZC26A-NF","Volume Traded Today")</f>
        <v>0</v>
      </c>
      <c r="M993">
        <f>RTD("nest.scriprtd",,"nse_cm|SCLZC26A-NF","Open")</f>
        <v>0</v>
      </c>
      <c r="N993">
        <f>RTD("nest.scriprtd",,"nse_cm|SCLZC26A-NF","High")</f>
        <v>1791.55</v>
      </c>
      <c r="O993">
        <f>RTD("nest.scriprtd",,"nse_cm|SCLZC26A-NF","Low ")</f>
        <v>1375.2</v>
      </c>
      <c r="P993">
        <f>RTD("nest.scriprtd",,"nse_cm|SCLZC26A-NF","Prev Close")</f>
        <v>1791.55</v>
      </c>
      <c r="Q993">
        <f>RTD("nest.scriprtd",,"nse_cm|SCLZC26A-NF","Face Value")</f>
        <v>1000</v>
      </c>
      <c r="R993" t="str">
        <f>RTD("nest.scriprtd",,"nse_cm|SCLZC26A-NF","Isin code")</f>
        <v>INE148I08272</v>
      </c>
      <c r="S993" s="9">
        <f>Table1[[#This Row],[Ask Rate]]*Table1[[#This Row],[Ask Qty]]</f>
        <v>0</v>
      </c>
      <c r="T993">
        <f>VLOOKUP(Table1[[#This Row],[Isin code]],Table2[#All],7,FALSE)</f>
        <v>0</v>
      </c>
      <c r="U993" s="17" t="str">
        <f>VLOOKUP(Table1[[#This Row],[Isin code]],Table2[#All],8,FALSE)</f>
        <v>26-Sep-2026</v>
      </c>
      <c r="V993" s="10">
        <f ca="1">Table1[[#This Row],[Maturity]]-TODAY()</f>
        <v>710</v>
      </c>
      <c r="W993" t="str">
        <f>VLOOKUP(Table1[[#This Row],[Isin code]],Table2[#All],10,FALSE)</f>
        <v>0</v>
      </c>
      <c r="X993">
        <f ca="1">_xlfn.DAYS(Table1[[#This Row],[Maturity]],TODAY())-15</f>
        <v>695</v>
      </c>
      <c r="Y99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93">
        <f>IF(Table1[[#This Row],[Ask Rate]]=0,0,Table1[[#This Row],[Face Value]]-Table1[[#This Row],[Ask Rate]])</f>
        <v>0</v>
      </c>
      <c r="AA99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93">
        <f>Table1[[#This Row],[Face Value]]*Table1[[#This Row],[Rate]]*Table1[[#This Row],[Time]]</f>
        <v>0</v>
      </c>
      <c r="AC993">
        <f>Table1[[#This Row],[SI]]+Table1[[#This Row],[Disc/Prem]]</f>
        <v>0</v>
      </c>
      <c r="AD993" s="3" t="e">
        <f>Table1[[#This Row],[Net Gain]]/Table1[[#This Row],[Ask Rate]]</f>
        <v>#DIV/0!</v>
      </c>
      <c r="AE993" s="3">
        <f>IF(Table1[[#This Row],[Ask Qty]]=0,0,Table1[[#This Row],[Gross Yield]]*365/Table1[[#This Row],[Days Left]])</f>
        <v>0</v>
      </c>
      <c r="AF993" s="9">
        <f>+Table1[[#This Row],[Net Gain]]*Table1[[#This Row],[Ask Qty]]</f>
        <v>0</v>
      </c>
      <c r="AG993" t="str">
        <f>IF(Table1[[#This Row],[YTM]]&gt;0.12,IF(Table1[[#This Row],[Gross Profit]]&gt;10000,"Invest","Review"),"Low YTM")</f>
        <v>Low YTM</v>
      </c>
    </row>
    <row r="994" spans="1:33" x14ac:dyDescent="0.3">
      <c r="A994" t="str">
        <f>RTD("nest.scriprtd",,"nse_cm|9SCL26B-ND","Symbol")</f>
        <v>9SCL26B</v>
      </c>
      <c r="B994" t="str">
        <f>RTD("nest.scriprtd",,"nse_cm|9SCL26B-ND","Trading Symbol")</f>
        <v>9SCL26B-ND</v>
      </c>
      <c r="C994" t="str">
        <f>RTD("nest.scriprtd",,"nse_cm|9SCL26B-ND","Exchange")</f>
        <v>NSE</v>
      </c>
      <c r="D994">
        <f>RTD("nest.scriprtd",,"nse_cm|9SCL26B-ND","Bid Qty")</f>
        <v>9</v>
      </c>
      <c r="E994">
        <f>RTD("nest.scriprtd",,"nse_cm|9SCL26B-ND","Bid Rate")</f>
        <v>842.2</v>
      </c>
      <c r="F994">
        <f>RTD("nest.scriprtd",,"nse_cm|9SCL26B-ND","Ask Rate")</f>
        <v>0</v>
      </c>
      <c r="G994">
        <f>RTD("nest.scriprtd",,"nse_cm|9SCL26B-ND","Ask Qty")</f>
        <v>0</v>
      </c>
      <c r="H994">
        <f>RTD("nest.scriprtd",,"nse_cm|9SCL26B-ND","LTP")</f>
        <v>0</v>
      </c>
      <c r="I994" t="str">
        <f>RTD("nest.scriprtd",,"nse_cm|9SCL26B-ND","LTT")</f>
        <v/>
      </c>
      <c r="J994">
        <f>RTD("nest.scriprtd",,"nse_cm|9SCL26B-ND","% Change")</f>
        <v>-100</v>
      </c>
      <c r="K994">
        <f>RTD("nest.scriprtd",,"nse_cm|9SCL26B-ND","ATP")</f>
        <v>0</v>
      </c>
      <c r="L994">
        <f>RTD("nest.scriprtd",,"nse_cm|9SCL26B-ND","Volume Traded Today")</f>
        <v>0</v>
      </c>
      <c r="M994">
        <f>RTD("nest.scriprtd",,"nse_cm|9SCL26B-ND","Open")</f>
        <v>0</v>
      </c>
      <c r="N994">
        <f>RTD("nest.scriprtd",,"nse_cm|9SCL26B-ND","High")</f>
        <v>0</v>
      </c>
      <c r="O994">
        <f>RTD("nest.scriprtd",,"nse_cm|9SCL26B-ND","Low ")</f>
        <v>0</v>
      </c>
      <c r="P994">
        <f>RTD("nest.scriprtd",,"nse_cm|9SCL26B-ND","Prev Close")</f>
        <v>1000</v>
      </c>
      <c r="Q994">
        <f>RTD("nest.scriprtd",,"nse_cm|9SCL26B-ND","Face Value")</f>
        <v>1000</v>
      </c>
      <c r="R994" t="str">
        <f>RTD("nest.scriprtd",,"nse_cm|9SCL26B-ND","Isin code")</f>
        <v>INE148I08249</v>
      </c>
      <c r="S994" s="9">
        <f>Table1[[#This Row],[Ask Rate]]*Table1[[#This Row],[Ask Qty]]</f>
        <v>0</v>
      </c>
      <c r="T994">
        <f>VLOOKUP(Table1[[#This Row],[Isin code]],Table2[#All],7,FALSE)</f>
        <v>9</v>
      </c>
      <c r="U994" s="17" t="str">
        <f>VLOOKUP(Table1[[#This Row],[Isin code]],Table2[#All],8,FALSE)</f>
        <v>26-Sep-2026</v>
      </c>
      <c r="V994" s="10">
        <f ca="1">Table1[[#This Row],[Maturity]]-TODAY()</f>
        <v>710</v>
      </c>
      <c r="W994" t="str">
        <f>VLOOKUP(Table1[[#This Row],[Isin code]],Table2[#All],10,FALSE)</f>
        <v>Yearly</v>
      </c>
      <c r="X994">
        <f ca="1">_xlfn.DAYS(Table1[[#This Row],[Maturity]],TODAY())-15</f>
        <v>695</v>
      </c>
      <c r="Y9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994">
        <f>IF(Table1[[#This Row],[Ask Rate]]=0,0,Table1[[#This Row],[Face Value]]-Table1[[#This Row],[Ask Rate]])</f>
        <v>0</v>
      </c>
      <c r="AA994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994">
        <f ca="1">Table1[[#This Row],[Face Value]]*Table1[[#This Row],[Rate]]*Table1[[#This Row],[Time]]</f>
        <v>180</v>
      </c>
      <c r="AC994">
        <f ca="1">Table1[[#This Row],[SI]]+Table1[[#This Row],[Disc/Prem]]</f>
        <v>180</v>
      </c>
      <c r="AD994" s="3" t="e">
        <f ca="1">Table1[[#This Row],[Net Gain]]/Table1[[#This Row],[Ask Rate]]</f>
        <v>#DIV/0!</v>
      </c>
      <c r="AE994" s="3">
        <f>IF(Table1[[#This Row],[Ask Qty]]=0,0,Table1[[#This Row],[Gross Yield]]*365/Table1[[#This Row],[Days Left]])</f>
        <v>0</v>
      </c>
      <c r="AF994" s="9">
        <f ca="1">+Table1[[#This Row],[Net Gain]]*Table1[[#This Row],[Ask Qty]]</f>
        <v>0</v>
      </c>
      <c r="AG994" t="str">
        <f>IF(Table1[[#This Row],[YTM]]&gt;0.12,IF(Table1[[#This Row],[Gross Profit]]&gt;10000,"Invest","Review"),"Low YTM")</f>
        <v>Low YTM</v>
      </c>
    </row>
    <row r="995" spans="1:33" hidden="1" x14ac:dyDescent="0.3">
      <c r="A995" t="str">
        <f>RTD("nest.scriprtd",,"nse_cm|950IIFL27-Y2","Symbol")</f>
        <v>950IIFL27</v>
      </c>
      <c r="B995" t="str">
        <f>RTD("nest.scriprtd",,"nse_cm|950IIFL27-Y2","Trading Symbol")</f>
        <v>950IIFL27-Y2</v>
      </c>
      <c r="C995" t="str">
        <f>RTD("nest.scriprtd",,"nse_cm|950IIFL27-Y2","Exchange")</f>
        <v>NSE</v>
      </c>
      <c r="D995">
        <f>RTD("nest.scriprtd",,"nse_cm|950IIFL27-Y2","Bid Qty")</f>
        <v>0</v>
      </c>
      <c r="E995">
        <f>RTD("nest.scriprtd",,"nse_cm|950IIFL27-Y2","Bid Rate")</f>
        <v>0</v>
      </c>
      <c r="F995">
        <f>RTD("nest.scriprtd",,"nse_cm|950IIFL27-Y2","Ask Rate")</f>
        <v>0</v>
      </c>
      <c r="G995">
        <f>RTD("nest.scriprtd",,"nse_cm|950IIFL27-Y2","Ask Qty")</f>
        <v>0</v>
      </c>
      <c r="H995">
        <f>RTD("nest.scriprtd",,"nse_cm|950IIFL27-Y2","LTP")</f>
        <v>0</v>
      </c>
      <c r="I995" t="str">
        <f>RTD("nest.scriprtd",,"nse_cm|950IIFL27-Y2","LTT")</f>
        <v/>
      </c>
      <c r="J995">
        <f>RTD("nest.scriprtd",,"nse_cm|950IIFL27-Y2","% Change")</f>
        <v>0</v>
      </c>
      <c r="K995">
        <f>RTD("nest.scriprtd",,"nse_cm|950IIFL27-Y2","ATP")</f>
        <v>0</v>
      </c>
      <c r="L995">
        <f>RTD("nest.scriprtd",,"nse_cm|950IIFL27-Y2","Volume Traded Today")</f>
        <v>0</v>
      </c>
      <c r="M995">
        <f>RTD("nest.scriprtd",,"nse_cm|950IIFL27-Y2","Open")</f>
        <v>0</v>
      </c>
      <c r="N995">
        <f>RTD("nest.scriprtd",,"nse_cm|950IIFL27-Y2","High")</f>
        <v>0</v>
      </c>
      <c r="O995">
        <f>RTD("nest.scriprtd",,"nse_cm|950IIFL27-Y2","Low ")</f>
        <v>0</v>
      </c>
      <c r="P995">
        <f>RTD("nest.scriprtd",,"nse_cm|950IIFL27-Y2","Prev Close")</f>
        <v>0</v>
      </c>
      <c r="Q995">
        <f>RTD("nest.scriprtd",,"nse_cm|950IIFL27-Y2","Face Value")</f>
        <v>100000</v>
      </c>
      <c r="R995" t="str">
        <f>RTD("nest.scriprtd",,"nse_cm|950IIFL27-Y2","Isin code")</f>
        <v>INE530B07401</v>
      </c>
      <c r="S995" s="9">
        <f>Table1[[#This Row],[Ask Rate]]*Table1[[#This Row],[Ask Qty]]</f>
        <v>0</v>
      </c>
      <c r="T995" t="str">
        <f>VLOOKUP(Table1[[#This Row],[Isin code]],Table2[#All],7,FALSE)</f>
        <v>x</v>
      </c>
      <c r="U995" s="17" t="str">
        <f>VLOOKUP(Table1[[#This Row],[Isin code]],Table2[#All],8,FALSE)</f>
        <v>x</v>
      </c>
      <c r="V995" s="10" t="e">
        <f ca="1">Table1[[#This Row],[Maturity]]-TODAY()</f>
        <v>#VALUE!</v>
      </c>
      <c r="W995" t="str">
        <f>VLOOKUP(Table1[[#This Row],[Isin code]],Table2[#All],10,FALSE)</f>
        <v>x</v>
      </c>
      <c r="X995" t="e">
        <f ca="1">_xlfn.DAYS(Table1[[#This Row],[Maturity]],TODAY())-15</f>
        <v>#VALUE!</v>
      </c>
      <c r="Y99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95">
        <f>IF(Table1[[#This Row],[Ask Rate]]=0,0,Table1[[#This Row],[Face Value]]-Table1[[#This Row],[Ask Rate]])</f>
        <v>0</v>
      </c>
      <c r="AA99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95">
        <f>Table1[[#This Row],[Face Value]]*Table1[[#This Row],[Rate]]*Table1[[#This Row],[Time]]</f>
        <v>0</v>
      </c>
      <c r="AC995">
        <f>Table1[[#This Row],[SI]]+Table1[[#This Row],[Disc/Prem]]</f>
        <v>0</v>
      </c>
      <c r="AD995" s="3" t="e">
        <f>Table1[[#This Row],[Net Gain]]/Table1[[#This Row],[Ask Rate]]</f>
        <v>#DIV/0!</v>
      </c>
      <c r="AE995" s="3">
        <f>IF(Table1[[#This Row],[Ask Qty]]=0,0,Table1[[#This Row],[Gross Yield]]*365/Table1[[#This Row],[Days Left]])</f>
        <v>0</v>
      </c>
      <c r="AF995" s="9">
        <f>+Table1[[#This Row],[Net Gain]]*Table1[[#This Row],[Ask Qty]]</f>
        <v>0</v>
      </c>
      <c r="AG995" t="str">
        <f>IF(Table1[[#This Row],[YTM]]&gt;0.12,IF(Table1[[#This Row],[Gross Profit]]&gt;10000,"Invest","Review"),"Low YTM")</f>
        <v>Low YTM</v>
      </c>
    </row>
    <row r="996" spans="1:33" hidden="1" x14ac:dyDescent="0.3">
      <c r="A996" t="str">
        <f>RTD("nest.scriprtd",,"nse_cm|1077IIFL30-N7","Symbol")</f>
        <v>1077IIFL30</v>
      </c>
      <c r="B996" t="str">
        <f>RTD("nest.scriprtd",,"nse_cm|1077IIFL30-N7","Trading Symbol")</f>
        <v>1077IIFL30-N7</v>
      </c>
      <c r="C996" t="str">
        <f>RTD("nest.scriprtd",,"nse_cm|1077IIFL30-N7","Exchange")</f>
        <v>NSE</v>
      </c>
      <c r="D996">
        <f>RTD("nest.scriprtd",,"nse_cm|1077IIFL30-N7","Bid Qty")</f>
        <v>0</v>
      </c>
      <c r="E996">
        <f>RTD("nest.scriprtd",,"nse_cm|1077IIFL30-N7","Bid Rate")</f>
        <v>0</v>
      </c>
      <c r="F996">
        <f>RTD("nest.scriprtd",,"nse_cm|1077IIFL30-N7","Ask Rate")</f>
        <v>0</v>
      </c>
      <c r="G996">
        <f>RTD("nest.scriprtd",,"nse_cm|1077IIFL30-N7","Ask Qty")</f>
        <v>0</v>
      </c>
      <c r="H996">
        <f>RTD("nest.scriprtd",,"nse_cm|1077IIFL30-N7","LTP")</f>
        <v>0</v>
      </c>
      <c r="I996" t="str">
        <f>RTD("nest.scriprtd",,"nse_cm|1077IIFL30-N7","LTT")</f>
        <v/>
      </c>
      <c r="J996">
        <f>RTD("nest.scriprtd",,"nse_cm|1077IIFL30-N7","% Change")</f>
        <v>0</v>
      </c>
      <c r="K996">
        <f>RTD("nest.scriprtd",,"nse_cm|1077IIFL30-N7","ATP")</f>
        <v>0</v>
      </c>
      <c r="L996">
        <f>RTD("nest.scriprtd",,"nse_cm|1077IIFL30-N7","Volume Traded Today")</f>
        <v>0</v>
      </c>
      <c r="M996">
        <f>RTD("nest.scriprtd",,"nse_cm|1077IIFL30-N7","Open")</f>
        <v>0</v>
      </c>
      <c r="N996">
        <f>RTD("nest.scriprtd",,"nse_cm|1077IIFL30-N7","High")</f>
        <v>0</v>
      </c>
      <c r="O996">
        <f>RTD("nest.scriprtd",,"nse_cm|1077IIFL30-N7","Low ")</f>
        <v>0</v>
      </c>
      <c r="P996">
        <f>RTD("nest.scriprtd",,"nse_cm|1077IIFL30-N7","Prev Close")</f>
        <v>0</v>
      </c>
      <c r="Q996">
        <f>RTD("nest.scriprtd",,"nse_cm|1077IIFL30-N7","Face Value")</f>
        <v>100000</v>
      </c>
      <c r="R996" t="str">
        <f>RTD("nest.scriprtd",,"nse_cm|1077IIFL30-N7","Isin code")</f>
        <v>INE413U08127</v>
      </c>
      <c r="S996" s="9">
        <f>Table1[[#This Row],[Ask Rate]]*Table1[[#This Row],[Ask Qty]]</f>
        <v>0</v>
      </c>
      <c r="T996" t="str">
        <f>VLOOKUP(Table1[[#This Row],[Isin code]],Table2[#All],7,FALSE)</f>
        <v>x</v>
      </c>
      <c r="U996" s="17" t="str">
        <f>VLOOKUP(Table1[[#This Row],[Isin code]],Table2[#All],8,FALSE)</f>
        <v>x</v>
      </c>
      <c r="V996" s="10" t="e">
        <f ca="1">Table1[[#This Row],[Maturity]]-TODAY()</f>
        <v>#VALUE!</v>
      </c>
      <c r="W996" t="str">
        <f>VLOOKUP(Table1[[#This Row],[Isin code]],Table2[#All],10,FALSE)</f>
        <v>x</v>
      </c>
      <c r="X996" t="e">
        <f ca="1">_xlfn.DAYS(Table1[[#This Row],[Maturity]],TODAY())-15</f>
        <v>#VALUE!</v>
      </c>
      <c r="Y99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96">
        <f>IF(Table1[[#This Row],[Ask Rate]]=0,0,Table1[[#This Row],[Face Value]]-Table1[[#This Row],[Ask Rate]])</f>
        <v>0</v>
      </c>
      <c r="AA99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96">
        <f>Table1[[#This Row],[Face Value]]*Table1[[#This Row],[Rate]]*Table1[[#This Row],[Time]]</f>
        <v>0</v>
      </c>
      <c r="AC996">
        <f>Table1[[#This Row],[SI]]+Table1[[#This Row],[Disc/Prem]]</f>
        <v>0</v>
      </c>
      <c r="AD996" s="3" t="e">
        <f>Table1[[#This Row],[Net Gain]]/Table1[[#This Row],[Ask Rate]]</f>
        <v>#DIV/0!</v>
      </c>
      <c r="AE996" s="3">
        <f>IF(Table1[[#This Row],[Ask Qty]]=0,0,Table1[[#This Row],[Gross Yield]]*365/Table1[[#This Row],[Days Left]])</f>
        <v>0</v>
      </c>
      <c r="AF996" s="9">
        <f>+Table1[[#This Row],[Net Gain]]*Table1[[#This Row],[Ask Qty]]</f>
        <v>0</v>
      </c>
      <c r="AG996" t="str">
        <f>IF(Table1[[#This Row],[YTM]]&gt;0.12,IF(Table1[[#This Row],[Gross Profit]]&gt;10000,"Invest","Review"),"Low YTM")</f>
        <v>Low YTM</v>
      </c>
    </row>
    <row r="997" spans="1:33" hidden="1" x14ac:dyDescent="0.3">
      <c r="A997" t="str">
        <f>RTD("nest.scriprtd",,"nse_cm|1048IIFL27-N6","Symbol")</f>
        <v>1048IIFL27</v>
      </c>
      <c r="B997" t="str">
        <f>RTD("nest.scriprtd",,"nse_cm|1048IIFL27-N6","Trading Symbol")</f>
        <v>1048IIFL27-N6</v>
      </c>
      <c r="C997" t="str">
        <f>RTD("nest.scriprtd",,"nse_cm|1048IIFL27-N6","Exchange")</f>
        <v>NSE</v>
      </c>
      <c r="D997">
        <f>RTD("nest.scriprtd",,"nse_cm|1048IIFL27-N6","Bid Qty")</f>
        <v>0</v>
      </c>
      <c r="E997">
        <f>RTD("nest.scriprtd",,"nse_cm|1048IIFL27-N6","Bid Rate")</f>
        <v>0</v>
      </c>
      <c r="F997">
        <f>RTD("nest.scriprtd",,"nse_cm|1048IIFL27-N6","Ask Rate")</f>
        <v>0</v>
      </c>
      <c r="G997">
        <f>RTD("nest.scriprtd",,"nse_cm|1048IIFL27-N6","Ask Qty")</f>
        <v>0</v>
      </c>
      <c r="H997">
        <f>RTD("nest.scriprtd",,"nse_cm|1048IIFL27-N6","LTP")</f>
        <v>0</v>
      </c>
      <c r="I997" t="str">
        <f>RTD("nest.scriprtd",,"nse_cm|1048IIFL27-N6","LTT")</f>
        <v/>
      </c>
      <c r="J997">
        <f>RTD("nest.scriprtd",,"nse_cm|1048IIFL27-N6","% Change")</f>
        <v>-100</v>
      </c>
      <c r="K997">
        <f>RTD("nest.scriprtd",,"nse_cm|1048IIFL27-N6","ATP")</f>
        <v>0</v>
      </c>
      <c r="L997">
        <f>RTD("nest.scriprtd",,"nse_cm|1048IIFL27-N6","Volume Traded Today")</f>
        <v>0</v>
      </c>
      <c r="M997">
        <f>RTD("nest.scriprtd",,"nse_cm|1048IIFL27-N6","Open")</f>
        <v>0</v>
      </c>
      <c r="N997">
        <f>RTD("nest.scriprtd",,"nse_cm|1048IIFL27-N6","High")</f>
        <v>0</v>
      </c>
      <c r="O997">
        <f>RTD("nest.scriprtd",,"nse_cm|1048IIFL27-N6","Low ")</f>
        <v>0</v>
      </c>
      <c r="P997">
        <f>RTD("nest.scriprtd",,"nse_cm|1048IIFL27-N6","Prev Close")</f>
        <v>100000</v>
      </c>
      <c r="Q997">
        <f>RTD("nest.scriprtd",,"nse_cm|1048IIFL27-N6","Face Value")</f>
        <v>100000</v>
      </c>
      <c r="R997" t="str">
        <f>RTD("nest.scriprtd",,"nse_cm|1048IIFL27-N6","Isin code")</f>
        <v>INE413U08119</v>
      </c>
      <c r="S997" s="9">
        <f>Table1[[#This Row],[Ask Rate]]*Table1[[#This Row],[Ask Qty]]</f>
        <v>0</v>
      </c>
      <c r="T997" t="str">
        <f>VLOOKUP(Table1[[#This Row],[Isin code]],Table2[#All],7,FALSE)</f>
        <v>x</v>
      </c>
      <c r="U997" s="17" t="str">
        <f>VLOOKUP(Table1[[#This Row],[Isin code]],Table2[#All],8,FALSE)</f>
        <v>x</v>
      </c>
      <c r="V997" s="10" t="e">
        <f ca="1">Table1[[#This Row],[Maturity]]-TODAY()</f>
        <v>#VALUE!</v>
      </c>
      <c r="W997" t="str">
        <f>VLOOKUP(Table1[[#This Row],[Isin code]],Table2[#All],10,FALSE)</f>
        <v>x</v>
      </c>
      <c r="X997" t="e">
        <f ca="1">_xlfn.DAYS(Table1[[#This Row],[Maturity]],TODAY())-15</f>
        <v>#VALUE!</v>
      </c>
      <c r="Y99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97">
        <f>IF(Table1[[#This Row],[Ask Rate]]=0,0,Table1[[#This Row],[Face Value]]-Table1[[#This Row],[Ask Rate]])</f>
        <v>0</v>
      </c>
      <c r="AA99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97">
        <f>Table1[[#This Row],[Face Value]]*Table1[[#This Row],[Rate]]*Table1[[#This Row],[Time]]</f>
        <v>0</v>
      </c>
      <c r="AC997">
        <f>Table1[[#This Row],[SI]]+Table1[[#This Row],[Disc/Prem]]</f>
        <v>0</v>
      </c>
      <c r="AD997" s="3" t="e">
        <f>Table1[[#This Row],[Net Gain]]/Table1[[#This Row],[Ask Rate]]</f>
        <v>#DIV/0!</v>
      </c>
      <c r="AE997" s="3">
        <f>IF(Table1[[#This Row],[Ask Qty]]=0,0,Table1[[#This Row],[Gross Yield]]*365/Table1[[#This Row],[Days Left]])</f>
        <v>0</v>
      </c>
      <c r="AF997" s="9">
        <f>+Table1[[#This Row],[Net Gain]]*Table1[[#This Row],[Ask Qty]]</f>
        <v>0</v>
      </c>
      <c r="AG997" t="str">
        <f>IF(Table1[[#This Row],[YTM]]&gt;0.12,IF(Table1[[#This Row],[Gross Profit]]&gt;10000,"Invest","Review"),"Low YTM")</f>
        <v>Low YTM</v>
      </c>
    </row>
    <row r="998" spans="1:33" x14ac:dyDescent="0.3">
      <c r="A998" t="str">
        <f>RTD("nest.scriprtd",,"bse_cm|980SCL33","Symbol")</f>
        <v>980SCL33</v>
      </c>
      <c r="B998" t="str">
        <f>RTD("nest.scriprtd",,"bse_cm|980SCL33","Trading Symbol")</f>
        <v>980SCL33</v>
      </c>
      <c r="C998" t="str">
        <f>RTD("nest.scriprtd",,"bse_cm|980SCL33","Exchange")</f>
        <v>BSE</v>
      </c>
      <c r="D998">
        <f>RTD("nest.scriprtd",,"bse_cm|980SCL33","Bid Qty")</f>
        <v>9</v>
      </c>
      <c r="E998">
        <f>RTD("nest.scriprtd",,"bse_cm|980SCL33","Bid Rate")</f>
        <v>1002</v>
      </c>
      <c r="F998">
        <f>RTD("nest.scriprtd",,"bse_cm|980SCL33","Ask Rate")</f>
        <v>0</v>
      </c>
      <c r="G998">
        <f>RTD("nest.scriprtd",,"bse_cm|980SCL33","Ask Qty")</f>
        <v>0</v>
      </c>
      <c r="H998">
        <f>RTD("nest.scriprtd",,"bse_cm|980SCL33","LTP")</f>
        <v>0</v>
      </c>
      <c r="I998" t="str">
        <f>RTD("nest.scriprtd",,"bse_cm|980SCL33","LTT")</f>
        <v>00:00:00</v>
      </c>
      <c r="J998">
        <f>RTD("nest.scriprtd",,"bse_cm|980SCL33","% Change")</f>
        <v>-100</v>
      </c>
      <c r="K998">
        <f>RTD("nest.scriprtd",,"bse_cm|980SCL33","ATP")</f>
        <v>0</v>
      </c>
      <c r="L998">
        <f>RTD("nest.scriprtd",,"bse_cm|980SCL33","Volume Traded Today")</f>
        <v>0</v>
      </c>
      <c r="M998">
        <f>RTD("nest.scriprtd",,"bse_cm|980SCL33","Open")</f>
        <v>0</v>
      </c>
      <c r="N998">
        <f>RTD("nest.scriprtd",,"bse_cm|980SCL33","High")</f>
        <v>1002</v>
      </c>
      <c r="O998">
        <f>RTD("nest.scriprtd",,"bse_cm|980SCL33","Low ")</f>
        <v>1002</v>
      </c>
      <c r="P998">
        <f>RTD("nest.scriprtd",,"bse_cm|980SCL33","Prev Close")</f>
        <v>1002</v>
      </c>
      <c r="Q998">
        <f>RTD("nest.scriprtd",,"bse_cm|980SCL33","Face Value")</f>
        <v>1000</v>
      </c>
      <c r="R998" t="str">
        <f>RTD("nest.scriprtd",,"bse_cm|980SCL33","Isin code")</f>
        <v>INE148I07QZ2</v>
      </c>
      <c r="S998" s="9">
        <f>Table1[[#This Row],[Ask Rate]]*Table1[[#This Row],[Ask Qty]]</f>
        <v>0</v>
      </c>
      <c r="T998">
        <f>VLOOKUP(Table1[[#This Row],[Isin code]],Table2[#All],7,FALSE)</f>
        <v>10.75</v>
      </c>
      <c r="U998" s="17" t="str">
        <f>VLOOKUP(Table1[[#This Row],[Isin code]],Table2[#All],8,FALSE)</f>
        <v>09-Nov-2033</v>
      </c>
      <c r="V998" s="10">
        <f ca="1">Table1[[#This Row],[Maturity]]-TODAY()</f>
        <v>3311</v>
      </c>
      <c r="W998" t="str">
        <f>VLOOKUP(Table1[[#This Row],[Isin code]],Table2[#All],10,FALSE)</f>
        <v>Yearly</v>
      </c>
      <c r="X998">
        <f ca="1">_xlfn.DAYS(Table1[[#This Row],[Maturity]],TODAY())-15</f>
        <v>3296</v>
      </c>
      <c r="Y9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998">
        <f>IF(Table1[[#This Row],[Ask Rate]]=0,0,Table1[[#This Row],[Face Value]]-Table1[[#This Row],[Ask Rate]])</f>
        <v>0</v>
      </c>
      <c r="AA998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998">
        <f ca="1">Table1[[#This Row],[Face Value]]*Table1[[#This Row],[Rate]]*Table1[[#This Row],[Time]]</f>
        <v>1075</v>
      </c>
      <c r="AC998">
        <f ca="1">Table1[[#This Row],[SI]]+Table1[[#This Row],[Disc/Prem]]</f>
        <v>1075</v>
      </c>
      <c r="AD998" s="3" t="e">
        <f ca="1">Table1[[#This Row],[Net Gain]]/Table1[[#This Row],[Ask Rate]]</f>
        <v>#DIV/0!</v>
      </c>
      <c r="AE998" s="3">
        <f>IF(Table1[[#This Row],[Ask Qty]]=0,0,Table1[[#This Row],[Gross Yield]]*365/Table1[[#This Row],[Days Left]])</f>
        <v>0</v>
      </c>
      <c r="AF998" s="9">
        <f ca="1">+Table1[[#This Row],[Net Gain]]*Table1[[#This Row],[Ask Qty]]</f>
        <v>0</v>
      </c>
      <c r="AG998" t="str">
        <f>IF(Table1[[#This Row],[YTM]]&gt;0.12,IF(Table1[[#This Row],[Gross Profit]]&gt;10000,"Invest","Review"),"Low YTM")</f>
        <v>Low YTM</v>
      </c>
    </row>
    <row r="999" spans="1:33" hidden="1" x14ac:dyDescent="0.3">
      <c r="A999" t="str">
        <f>RTD("nest.scriprtd",,"nse_cm|824LTF27-NQ","Symbol")</f>
        <v>824LTF27</v>
      </c>
      <c r="B999" t="str">
        <f>RTD("nest.scriprtd",,"nse_cm|824LTF27-NQ","Trading Symbol")</f>
        <v>824LTF27-NQ</v>
      </c>
      <c r="C999" t="str">
        <f>RTD("nest.scriprtd",,"nse_cm|824LTF27-NQ","Exchange")</f>
        <v>NSE</v>
      </c>
      <c r="D999">
        <f>RTD("nest.scriprtd",,"nse_cm|824LTF27-NQ","Bid Qty")</f>
        <v>0</v>
      </c>
      <c r="E999">
        <f>RTD("nest.scriprtd",,"nse_cm|824LTF27-NQ","Bid Rate")</f>
        <v>0</v>
      </c>
      <c r="F999">
        <f>RTD("nest.scriprtd",,"nse_cm|824LTF27-NQ","Ask Rate")</f>
        <v>0</v>
      </c>
      <c r="G999">
        <f>RTD("nest.scriprtd",,"nse_cm|824LTF27-NQ","Ask Qty")</f>
        <v>0</v>
      </c>
      <c r="H999">
        <f>RTD("nest.scriprtd",,"nse_cm|824LTF27-NQ","LTP")</f>
        <v>0</v>
      </c>
      <c r="I999" t="str">
        <f>RTD("nest.scriprtd",,"nse_cm|824LTF27-NQ","LTT")</f>
        <v/>
      </c>
      <c r="J999">
        <f>RTD("nest.scriprtd",,"nse_cm|824LTF27-NQ","% Change")</f>
        <v>0</v>
      </c>
      <c r="K999">
        <f>RTD("nest.scriprtd",,"nse_cm|824LTF27-NQ","ATP")</f>
        <v>0</v>
      </c>
      <c r="L999">
        <f>RTD("nest.scriprtd",,"nse_cm|824LTF27-NQ","Volume Traded Today")</f>
        <v>0</v>
      </c>
      <c r="M999">
        <f>RTD("nest.scriprtd",,"nse_cm|824LTF27-NQ","Open")</f>
        <v>0</v>
      </c>
      <c r="N999">
        <f>RTD("nest.scriprtd",,"nse_cm|824LTF27-NQ","High")</f>
        <v>0</v>
      </c>
      <c r="O999">
        <f>RTD("nest.scriprtd",,"nse_cm|824LTF27-NQ","Low ")</f>
        <v>0</v>
      </c>
      <c r="P999">
        <f>RTD("nest.scriprtd",,"nse_cm|824LTF27-NQ","Prev Close")</f>
        <v>0</v>
      </c>
      <c r="Q999">
        <f>RTD("nest.scriprtd",,"nse_cm|824LTF27-NQ","Face Value")</f>
        <v>100000</v>
      </c>
      <c r="R999" t="str">
        <f>RTD("nest.scriprtd",,"nse_cm|824LTF27-NQ","Isin code")</f>
        <v>INE498L07038</v>
      </c>
      <c r="S999" s="9">
        <f>Table1[[#This Row],[Ask Rate]]*Table1[[#This Row],[Ask Qty]]</f>
        <v>0</v>
      </c>
      <c r="T999" t="str">
        <f>VLOOKUP(Table1[[#This Row],[Isin code]],Table2[#All],7,FALSE)</f>
        <v>x</v>
      </c>
      <c r="U999" s="17" t="str">
        <f>VLOOKUP(Table1[[#This Row],[Isin code]],Table2[#All],8,FALSE)</f>
        <v>x</v>
      </c>
      <c r="V999" s="10" t="e">
        <f ca="1">Table1[[#This Row],[Maturity]]-TODAY()</f>
        <v>#VALUE!</v>
      </c>
      <c r="W999" t="str">
        <f>VLOOKUP(Table1[[#This Row],[Isin code]],Table2[#All],10,FALSE)</f>
        <v>x</v>
      </c>
      <c r="X999" t="e">
        <f ca="1">_xlfn.DAYS(Table1[[#This Row],[Maturity]],TODAY())-15</f>
        <v>#VALUE!</v>
      </c>
      <c r="Y99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999">
        <f>IF(Table1[[#This Row],[Ask Rate]]=0,0,Table1[[#This Row],[Face Value]]-Table1[[#This Row],[Ask Rate]])</f>
        <v>0</v>
      </c>
      <c r="AA99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999">
        <f>Table1[[#This Row],[Face Value]]*Table1[[#This Row],[Rate]]*Table1[[#This Row],[Time]]</f>
        <v>0</v>
      </c>
      <c r="AC999">
        <f>Table1[[#This Row],[SI]]+Table1[[#This Row],[Disc/Prem]]</f>
        <v>0</v>
      </c>
      <c r="AD999" s="3" t="e">
        <f>Table1[[#This Row],[Net Gain]]/Table1[[#This Row],[Ask Rate]]</f>
        <v>#DIV/0!</v>
      </c>
      <c r="AE999" s="3">
        <f>IF(Table1[[#This Row],[Ask Qty]]=0,0,Table1[[#This Row],[Gross Yield]]*365/Table1[[#This Row],[Days Left]])</f>
        <v>0</v>
      </c>
      <c r="AF999" s="9">
        <f>+Table1[[#This Row],[Net Gain]]*Table1[[#This Row],[Ask Qty]]</f>
        <v>0</v>
      </c>
      <c r="AG999" t="str">
        <f>IF(Table1[[#This Row],[YTM]]&gt;0.12,IF(Table1[[#This Row],[Gross Profit]]&gt;10000,"Invest","Review"),"Low YTM")</f>
        <v>Low YTM</v>
      </c>
    </row>
    <row r="1000" spans="1:33" hidden="1" x14ac:dyDescent="0.3">
      <c r="A1000" t="str">
        <f>RTD("nest.scriprtd",,"nse_cm|813LTF29-NP","Symbol")</f>
        <v>813LTF29</v>
      </c>
      <c r="B1000" t="str">
        <f>RTD("nest.scriprtd",,"nse_cm|813LTF29-NP","Trading Symbol")</f>
        <v>813LTF29-NP</v>
      </c>
      <c r="C1000" t="str">
        <f>RTD("nest.scriprtd",,"nse_cm|813LTF29-NP","Exchange")</f>
        <v>NSE</v>
      </c>
      <c r="D1000">
        <f>RTD("nest.scriprtd",,"nse_cm|813LTF29-NP","Bid Qty")</f>
        <v>0</v>
      </c>
      <c r="E1000">
        <f>RTD("nest.scriprtd",,"nse_cm|813LTF29-NP","Bid Rate")</f>
        <v>0</v>
      </c>
      <c r="F1000">
        <f>RTD("nest.scriprtd",,"nse_cm|813LTF29-NP","Ask Rate")</f>
        <v>0</v>
      </c>
      <c r="G1000">
        <f>RTD("nest.scriprtd",,"nse_cm|813LTF29-NP","Ask Qty")</f>
        <v>0</v>
      </c>
      <c r="H1000">
        <f>RTD("nest.scriprtd",,"nse_cm|813LTF29-NP","LTP")</f>
        <v>0</v>
      </c>
      <c r="I1000" t="str">
        <f>RTD("nest.scriprtd",,"nse_cm|813LTF29-NP","LTT")</f>
        <v/>
      </c>
      <c r="J1000">
        <f>RTD("nest.scriprtd",,"nse_cm|813LTF29-NP","% Change")</f>
        <v>0</v>
      </c>
      <c r="K1000">
        <f>RTD("nest.scriprtd",,"nse_cm|813LTF29-NP","ATP")</f>
        <v>0</v>
      </c>
      <c r="L1000">
        <f>RTD("nest.scriprtd",,"nse_cm|813LTF29-NP","Volume Traded Today")</f>
        <v>0</v>
      </c>
      <c r="M1000">
        <f>RTD("nest.scriprtd",,"nse_cm|813LTF29-NP","Open")</f>
        <v>0</v>
      </c>
      <c r="N1000">
        <f>RTD("nest.scriprtd",,"nse_cm|813LTF29-NP","High")</f>
        <v>0</v>
      </c>
      <c r="O1000">
        <f>RTD("nest.scriprtd",,"nse_cm|813LTF29-NP","Low ")</f>
        <v>0</v>
      </c>
      <c r="P1000">
        <f>RTD("nest.scriprtd",,"nse_cm|813LTF29-NP","Prev Close")</f>
        <v>0</v>
      </c>
      <c r="Q1000">
        <f>RTD("nest.scriprtd",,"nse_cm|813LTF29-NP","Face Value")</f>
        <v>100000</v>
      </c>
      <c r="R1000" t="str">
        <f>RTD("nest.scriprtd",,"nse_cm|813LTF29-NP","Isin code")</f>
        <v>INE498L07020</v>
      </c>
      <c r="S1000" s="9">
        <f>Table1[[#This Row],[Ask Rate]]*Table1[[#This Row],[Ask Qty]]</f>
        <v>0</v>
      </c>
      <c r="T1000" t="str">
        <f>VLOOKUP(Table1[[#This Row],[Isin code]],Table2[#All],7,FALSE)</f>
        <v>x</v>
      </c>
      <c r="U1000" s="17" t="str">
        <f>VLOOKUP(Table1[[#This Row],[Isin code]],Table2[#All],8,FALSE)</f>
        <v>x</v>
      </c>
      <c r="V1000" s="10" t="e">
        <f ca="1">Table1[[#This Row],[Maturity]]-TODAY()</f>
        <v>#VALUE!</v>
      </c>
      <c r="W1000" t="str">
        <f>VLOOKUP(Table1[[#This Row],[Isin code]],Table2[#All],10,FALSE)</f>
        <v>x</v>
      </c>
      <c r="X1000" t="e">
        <f ca="1">_xlfn.DAYS(Table1[[#This Row],[Maturity]],TODAY())-15</f>
        <v>#VALUE!</v>
      </c>
      <c r="Y100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00">
        <f>IF(Table1[[#This Row],[Ask Rate]]=0,0,Table1[[#This Row],[Face Value]]-Table1[[#This Row],[Ask Rate]])</f>
        <v>0</v>
      </c>
      <c r="AA100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00">
        <f>Table1[[#This Row],[Face Value]]*Table1[[#This Row],[Rate]]*Table1[[#This Row],[Time]]</f>
        <v>0</v>
      </c>
      <c r="AC1000">
        <f>Table1[[#This Row],[SI]]+Table1[[#This Row],[Disc/Prem]]</f>
        <v>0</v>
      </c>
      <c r="AD1000" s="3" t="e">
        <f>Table1[[#This Row],[Net Gain]]/Table1[[#This Row],[Ask Rate]]</f>
        <v>#DIV/0!</v>
      </c>
      <c r="AE1000" s="3">
        <f>IF(Table1[[#This Row],[Ask Qty]]=0,0,Table1[[#This Row],[Gross Yield]]*365/Table1[[#This Row],[Days Left]])</f>
        <v>0</v>
      </c>
      <c r="AF1000" s="9">
        <f>+Table1[[#This Row],[Net Gain]]*Table1[[#This Row],[Ask Qty]]</f>
        <v>0</v>
      </c>
      <c r="AG1000" t="str">
        <f>IF(Table1[[#This Row],[YTM]]&gt;0.12,IF(Table1[[#This Row],[Gross Profit]]&gt;10000,"Invest","Review"),"Low YTM")</f>
        <v>Low YTM</v>
      </c>
    </row>
    <row r="1001" spans="1:33" hidden="1" x14ac:dyDescent="0.3">
      <c r="A1001" t="str">
        <f>RTD("nest.scriprtd",,"nse_cm|815LTF27-NO","Symbol")</f>
        <v>815LTF27</v>
      </c>
      <c r="B1001" t="str">
        <f>RTD("nest.scriprtd",,"nse_cm|815LTF27-NO","Trading Symbol")</f>
        <v>815LTF27-NO</v>
      </c>
      <c r="C1001" t="str">
        <f>RTD("nest.scriprtd",,"nse_cm|815LTF27-NO","Exchange")</f>
        <v>NSE</v>
      </c>
      <c r="D1001">
        <f>RTD("nest.scriprtd",,"nse_cm|815LTF27-NO","Bid Qty")</f>
        <v>0</v>
      </c>
      <c r="E1001">
        <f>RTD("nest.scriprtd",,"nse_cm|815LTF27-NO","Bid Rate")</f>
        <v>0</v>
      </c>
      <c r="F1001">
        <f>RTD("nest.scriprtd",,"nse_cm|815LTF27-NO","Ask Rate")</f>
        <v>0</v>
      </c>
      <c r="G1001">
        <f>RTD("nest.scriprtd",,"nse_cm|815LTF27-NO","Ask Qty")</f>
        <v>0</v>
      </c>
      <c r="H1001">
        <f>RTD("nest.scriprtd",,"nse_cm|815LTF27-NO","LTP")</f>
        <v>0</v>
      </c>
      <c r="I1001" t="str">
        <f>RTD("nest.scriprtd",,"nse_cm|815LTF27-NO","LTT")</f>
        <v/>
      </c>
      <c r="J1001">
        <f>RTD("nest.scriprtd",,"nse_cm|815LTF27-NO","% Change")</f>
        <v>0</v>
      </c>
      <c r="K1001">
        <f>RTD("nest.scriprtd",,"nse_cm|815LTF27-NO","ATP")</f>
        <v>0</v>
      </c>
      <c r="L1001">
        <f>RTD("nest.scriprtd",,"nse_cm|815LTF27-NO","Volume Traded Today")</f>
        <v>0</v>
      </c>
      <c r="M1001">
        <f>RTD("nest.scriprtd",,"nse_cm|815LTF27-NO","Open")</f>
        <v>0</v>
      </c>
      <c r="N1001">
        <f>RTD("nest.scriprtd",,"nse_cm|815LTF27-NO","High")</f>
        <v>0</v>
      </c>
      <c r="O1001">
        <f>RTD("nest.scriprtd",,"nse_cm|815LTF27-NO","Low ")</f>
        <v>0</v>
      </c>
      <c r="P1001">
        <f>RTD("nest.scriprtd",,"nse_cm|815LTF27-NO","Prev Close")</f>
        <v>0</v>
      </c>
      <c r="Q1001">
        <f>RTD("nest.scriprtd",,"nse_cm|815LTF27-NO","Face Value")</f>
        <v>100000</v>
      </c>
      <c r="R1001" t="str">
        <f>RTD("nest.scriprtd",,"nse_cm|815LTF27-NO","Isin code")</f>
        <v>INE498L07012</v>
      </c>
      <c r="S1001" s="9">
        <f>Table1[[#This Row],[Ask Rate]]*Table1[[#This Row],[Ask Qty]]</f>
        <v>0</v>
      </c>
      <c r="T1001" t="str">
        <f>VLOOKUP(Table1[[#This Row],[Isin code]],Table2[#All],7,FALSE)</f>
        <v>x</v>
      </c>
      <c r="U1001" s="17" t="str">
        <f>VLOOKUP(Table1[[#This Row],[Isin code]],Table2[#All],8,FALSE)</f>
        <v>x</v>
      </c>
      <c r="V1001" s="10" t="e">
        <f ca="1">Table1[[#This Row],[Maturity]]-TODAY()</f>
        <v>#VALUE!</v>
      </c>
      <c r="W1001" t="str">
        <f>VLOOKUP(Table1[[#This Row],[Isin code]],Table2[#All],10,FALSE)</f>
        <v>x</v>
      </c>
      <c r="X1001" t="e">
        <f ca="1">_xlfn.DAYS(Table1[[#This Row],[Maturity]],TODAY())-15</f>
        <v>#VALUE!</v>
      </c>
      <c r="Y100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01">
        <f>IF(Table1[[#This Row],[Ask Rate]]=0,0,Table1[[#This Row],[Face Value]]-Table1[[#This Row],[Ask Rate]])</f>
        <v>0</v>
      </c>
      <c r="AA100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01">
        <f>Table1[[#This Row],[Face Value]]*Table1[[#This Row],[Rate]]*Table1[[#This Row],[Time]]</f>
        <v>0</v>
      </c>
      <c r="AC1001">
        <f>Table1[[#This Row],[SI]]+Table1[[#This Row],[Disc/Prem]]</f>
        <v>0</v>
      </c>
      <c r="AD1001" s="3" t="e">
        <f>Table1[[#This Row],[Net Gain]]/Table1[[#This Row],[Ask Rate]]</f>
        <v>#DIV/0!</v>
      </c>
      <c r="AE1001" s="3">
        <f>IF(Table1[[#This Row],[Ask Qty]]=0,0,Table1[[#This Row],[Gross Yield]]*365/Table1[[#This Row],[Days Left]])</f>
        <v>0</v>
      </c>
      <c r="AF1001" s="9">
        <f>+Table1[[#This Row],[Net Gain]]*Table1[[#This Row],[Ask Qty]]</f>
        <v>0</v>
      </c>
      <c r="AG1001" t="str">
        <f>IF(Table1[[#This Row],[YTM]]&gt;0.12,IF(Table1[[#This Row],[Gross Profit]]&gt;10000,"Invest","Review"),"Low YTM")</f>
        <v>Low YTM</v>
      </c>
    </row>
    <row r="1002" spans="1:33" hidden="1" x14ac:dyDescent="0.3">
      <c r="A1002" t="str">
        <f>RTD("nest.scriprtd",,"bse_cm|857SCL24","Symbol")</f>
        <v>857SCL24</v>
      </c>
      <c r="B1002" t="str">
        <f>RTD("nest.scriprtd",,"bse_cm|857SCL24","Trading Symbol")</f>
        <v>857SCL24</v>
      </c>
      <c r="C1002" t="str">
        <f>RTD("nest.scriprtd",,"bse_cm|857SCL24","Exchange")</f>
        <v>BSE</v>
      </c>
      <c r="D1002">
        <f>RTD("nest.scriprtd",,"bse_cm|857SCL24","Bid Qty")</f>
        <v>14</v>
      </c>
      <c r="E1002">
        <f>RTD("nest.scriprtd",,"bse_cm|857SCL24","Bid Rate")</f>
        <v>862.2</v>
      </c>
      <c r="F1002">
        <f>RTD("nest.scriprtd",,"bse_cm|857SCL24","Ask Rate")</f>
        <v>0</v>
      </c>
      <c r="G1002">
        <f>RTD("nest.scriprtd",,"bse_cm|857SCL24","Ask Qty")</f>
        <v>0</v>
      </c>
      <c r="H1002">
        <f>RTD("nest.scriprtd",,"bse_cm|857SCL24","LTP")</f>
        <v>0</v>
      </c>
      <c r="I1002" t="str">
        <f>RTD("nest.scriprtd",,"bse_cm|857SCL24","LTT")</f>
        <v>00:00:00</v>
      </c>
      <c r="J1002">
        <f>RTD("nest.scriprtd",,"bse_cm|857SCL24","% Change")</f>
        <v>-100</v>
      </c>
      <c r="K1002">
        <f>RTD("nest.scriprtd",,"bse_cm|857SCL24","ATP")</f>
        <v>0</v>
      </c>
      <c r="L1002">
        <f>RTD("nest.scriprtd",,"bse_cm|857SCL24","Volume Traded Today")</f>
        <v>0</v>
      </c>
      <c r="M1002">
        <f>RTD("nest.scriprtd",,"bse_cm|857SCL24","Open")</f>
        <v>0</v>
      </c>
      <c r="N1002">
        <f>RTD("nest.scriprtd",,"bse_cm|857SCL24","High")</f>
        <v>0</v>
      </c>
      <c r="O1002">
        <f>RTD("nest.scriprtd",,"bse_cm|857SCL24","Low ")</f>
        <v>0</v>
      </c>
      <c r="P1002">
        <f>RTD("nest.scriprtd",,"bse_cm|857SCL24","Prev Close")</f>
        <v>1000</v>
      </c>
      <c r="Q1002">
        <f>RTD("nest.scriprtd",,"bse_cm|857SCL24","Face Value")</f>
        <v>1000</v>
      </c>
      <c r="R1002" t="str">
        <f>RTD("nest.scriprtd",,"bse_cm|857SCL24","Isin code")</f>
        <v>INE148I07NR6</v>
      </c>
      <c r="S1002" s="9">
        <f>Table1[[#This Row],[Ask Rate]]*Table1[[#This Row],[Ask Qty]]</f>
        <v>0</v>
      </c>
      <c r="T1002">
        <f>VLOOKUP(Table1[[#This Row],[Isin code]],Table2[#All],7,FALSE)</f>
        <v>8.57</v>
      </c>
      <c r="U1002" s="17" t="str">
        <f>VLOOKUP(Table1[[#This Row],[Isin code]],Table2[#All],8,FALSE)</f>
        <v>28-Dec-2024</v>
      </c>
      <c r="V1002" s="10">
        <f ca="1">Table1[[#This Row],[Maturity]]-TODAY()</f>
        <v>73</v>
      </c>
      <c r="W1002" t="str">
        <f>VLOOKUP(Table1[[#This Row],[Isin code]],Table2[#All],10,FALSE)</f>
        <v>Monthly</v>
      </c>
      <c r="X1002">
        <f ca="1">_xlfn.DAYS(Table1[[#This Row],[Maturity]],TODAY())-15</f>
        <v>58</v>
      </c>
      <c r="Y10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002">
        <f>IF(Table1[[#This Row],[Ask Rate]]=0,0,Table1[[#This Row],[Face Value]]-Table1[[#This Row],[Ask Rate]])</f>
        <v>0</v>
      </c>
      <c r="AA1002">
        <f>IF(Table1[[#This Row],[Freq]]="Yearly",Table1[[#This Row],[Coupon_Rate]]/100,IF(Table1[[#This Row],[Freq]]="Monthly",Table1[[#This Row],[Coupon_Rate]]/1200,IF(Table1[[#This Row],[Freq]]="Quarterly",Table1[[#This Row],[Coupon_Rate]]/400,0)))</f>
        <v>7.1416666666666668E-3</v>
      </c>
      <c r="AB1002">
        <f ca="1">Table1[[#This Row],[Face Value]]*Table1[[#This Row],[Rate]]*Table1[[#This Row],[Time]]</f>
        <v>14.283333333333333</v>
      </c>
      <c r="AC1002">
        <f ca="1">Table1[[#This Row],[SI]]+Table1[[#This Row],[Disc/Prem]]</f>
        <v>14.283333333333333</v>
      </c>
      <c r="AD1002" s="3" t="e">
        <f ca="1">Table1[[#This Row],[Net Gain]]/Table1[[#This Row],[Ask Rate]]</f>
        <v>#DIV/0!</v>
      </c>
      <c r="AE1002" s="3">
        <f>IF(Table1[[#This Row],[Ask Qty]]=0,0,Table1[[#This Row],[Gross Yield]]*365/Table1[[#This Row],[Days Left]])</f>
        <v>0</v>
      </c>
      <c r="AF1002" s="9">
        <f ca="1">+Table1[[#This Row],[Net Gain]]*Table1[[#This Row],[Ask Qty]]</f>
        <v>0</v>
      </c>
      <c r="AG1002" t="str">
        <f>IF(Table1[[#This Row],[YTM]]&gt;0.12,IF(Table1[[#This Row],[Gross Profit]]&gt;10000,"Invest","Review"),"Low YTM")</f>
        <v>Low YTM</v>
      </c>
    </row>
    <row r="1003" spans="1:33" x14ac:dyDescent="0.3">
      <c r="A1003" t="str">
        <f>RTD("nest.scriprtd",,"nse_cm|855TCAPS27-N7","Symbol")</f>
        <v>855TCAPS27</v>
      </c>
      <c r="B1003" t="str">
        <f>RTD("nest.scriprtd",,"nse_cm|855TCAPS27-N7","Trading Symbol")</f>
        <v>855TCAPS27-N7</v>
      </c>
      <c r="C1003" t="str">
        <f>RTD("nest.scriprtd",,"nse_cm|855TCAPS27-N7","Exchange")</f>
        <v>NSE</v>
      </c>
      <c r="D1003">
        <f>RTD("nest.scriprtd",,"nse_cm|855TCAPS27-N7","Bid Qty")</f>
        <v>0</v>
      </c>
      <c r="E1003">
        <f>RTD("nest.scriprtd",,"nse_cm|855TCAPS27-N7","Bid Rate")</f>
        <v>0</v>
      </c>
      <c r="F1003">
        <f>RTD("nest.scriprtd",,"nse_cm|855TCAPS27-N7","Ask Rate")</f>
        <v>0</v>
      </c>
      <c r="G1003">
        <f>RTD("nest.scriprtd",,"nse_cm|855TCAPS27-N7","Ask Qty")</f>
        <v>0</v>
      </c>
      <c r="H1003">
        <f>RTD("nest.scriprtd",,"nse_cm|855TCAPS27-N7","LTP")</f>
        <v>0</v>
      </c>
      <c r="I1003" t="str">
        <f>RTD("nest.scriprtd",,"nse_cm|855TCAPS27-N7","LTT")</f>
        <v/>
      </c>
      <c r="J1003">
        <f>RTD("nest.scriprtd",,"nse_cm|855TCAPS27-N7","% Change")</f>
        <v>-100</v>
      </c>
      <c r="K1003">
        <f>RTD("nest.scriprtd",,"nse_cm|855TCAPS27-N7","ATP")</f>
        <v>0</v>
      </c>
      <c r="L1003">
        <f>RTD("nest.scriprtd",,"nse_cm|855TCAPS27-N7","Volume Traded Today")</f>
        <v>0</v>
      </c>
      <c r="M1003">
        <f>RTD("nest.scriprtd",,"nse_cm|855TCAPS27-N7","Open")</f>
        <v>0</v>
      </c>
      <c r="N1003">
        <f>RTD("nest.scriprtd",,"nse_cm|855TCAPS27-N7","High")</f>
        <v>0</v>
      </c>
      <c r="O1003">
        <f>RTD("nest.scriprtd",,"nse_cm|855TCAPS27-N7","Low ")</f>
        <v>0</v>
      </c>
      <c r="P1003">
        <f>RTD("nest.scriprtd",,"nse_cm|855TCAPS27-N7","Prev Close")</f>
        <v>1000</v>
      </c>
      <c r="Q1003">
        <f>RTD("nest.scriprtd",,"nse_cm|855TCAPS27-N7","Face Value")</f>
        <v>1000</v>
      </c>
      <c r="R1003" t="str">
        <f>RTD("nest.scriprtd",,"nse_cm|855TCAPS27-N7","Isin code")</f>
        <v>INE306N07LL7</v>
      </c>
      <c r="S1003" s="9">
        <f>Table1[[#This Row],[Ask Rate]]*Table1[[#This Row],[Ask Qty]]</f>
        <v>0</v>
      </c>
      <c r="T1003">
        <f>VLOOKUP(Table1[[#This Row],[Isin code]],Table2[#All],7,FALSE)</f>
        <v>8.5500000000000007</v>
      </c>
      <c r="U1003" s="17" t="str">
        <f>VLOOKUP(Table1[[#This Row],[Isin code]],Table2[#All],8,FALSE)</f>
        <v>26-Aug-2027</v>
      </c>
      <c r="V1003" s="10">
        <f ca="1">Table1[[#This Row],[Maturity]]-TODAY()</f>
        <v>1044</v>
      </c>
      <c r="W1003" t="str">
        <f>VLOOKUP(Table1[[#This Row],[Isin code]],Table2[#All],10,FALSE)</f>
        <v>Yearly</v>
      </c>
      <c r="X1003">
        <f ca="1">_xlfn.DAYS(Table1[[#This Row],[Maturity]],TODAY())-15</f>
        <v>1029</v>
      </c>
      <c r="Y10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03">
        <f>IF(Table1[[#This Row],[Ask Rate]]=0,0,Table1[[#This Row],[Face Value]]-Table1[[#This Row],[Ask Rate]])</f>
        <v>0</v>
      </c>
      <c r="AA1003">
        <f>IF(Table1[[#This Row],[Freq]]="Yearly",Table1[[#This Row],[Coupon_Rate]]/100,IF(Table1[[#This Row],[Freq]]="Monthly",Table1[[#This Row],[Coupon_Rate]]/1200,IF(Table1[[#This Row],[Freq]]="Quarterly",Table1[[#This Row],[Coupon_Rate]]/400,0)))</f>
        <v>8.5500000000000007E-2</v>
      </c>
      <c r="AB1003">
        <f ca="1">Table1[[#This Row],[Face Value]]*Table1[[#This Row],[Rate]]*Table1[[#This Row],[Time]]</f>
        <v>256.5</v>
      </c>
      <c r="AC1003">
        <f ca="1">Table1[[#This Row],[SI]]+Table1[[#This Row],[Disc/Prem]]</f>
        <v>256.5</v>
      </c>
      <c r="AD1003" s="3" t="e">
        <f ca="1">Table1[[#This Row],[Net Gain]]/Table1[[#This Row],[Ask Rate]]</f>
        <v>#DIV/0!</v>
      </c>
      <c r="AE1003" s="3">
        <f>IF(Table1[[#This Row],[Ask Qty]]=0,0,Table1[[#This Row],[Gross Yield]]*365/Table1[[#This Row],[Days Left]])</f>
        <v>0</v>
      </c>
      <c r="AF1003" s="9">
        <f ca="1">+Table1[[#This Row],[Net Gain]]*Table1[[#This Row],[Ask Qty]]</f>
        <v>0</v>
      </c>
      <c r="AG1003" t="str">
        <f>IF(Table1[[#This Row],[YTM]]&gt;0.12,IF(Table1[[#This Row],[Gross Profit]]&gt;10000,"Invest","Review"),"Low YTM")</f>
        <v>Low YTM</v>
      </c>
    </row>
    <row r="1004" spans="1:33" x14ac:dyDescent="0.3">
      <c r="A1004" t="str">
        <f>RTD("nest.scriprtd",,"bse_cm|855TCAPS27","Symbol")</f>
        <v>855TCAPS27</v>
      </c>
      <c r="B1004" t="str">
        <f>RTD("nest.scriprtd",,"bse_cm|855TCAPS27","Trading Symbol")</f>
        <v>855TCAPS27</v>
      </c>
      <c r="C1004" t="str">
        <f>RTD("nest.scriprtd",,"bse_cm|855TCAPS27","Exchange")</f>
        <v>BSE</v>
      </c>
      <c r="D1004">
        <f>RTD("nest.scriprtd",,"bse_cm|855TCAPS27","Bid Qty")</f>
        <v>17</v>
      </c>
      <c r="E1004">
        <f>RTD("nest.scriprtd",,"bse_cm|855TCAPS27","Bid Rate")</f>
        <v>935.2</v>
      </c>
      <c r="F1004">
        <f>RTD("nest.scriprtd",,"bse_cm|855TCAPS27","Ask Rate")</f>
        <v>0</v>
      </c>
      <c r="G1004">
        <f>RTD("nest.scriprtd",,"bse_cm|855TCAPS27","Ask Qty")</f>
        <v>0</v>
      </c>
      <c r="H1004">
        <f>RTD("nest.scriprtd",,"bse_cm|855TCAPS27","LTP")</f>
        <v>0</v>
      </c>
      <c r="I1004" t="str">
        <f>RTD("nest.scriprtd",,"bse_cm|855TCAPS27","LTT")</f>
        <v>00:00:00</v>
      </c>
      <c r="J1004">
        <f>RTD("nest.scriprtd",,"bse_cm|855TCAPS27","% Change")</f>
        <v>-100</v>
      </c>
      <c r="K1004">
        <f>RTD("nest.scriprtd",,"bse_cm|855TCAPS27","ATP")</f>
        <v>0</v>
      </c>
      <c r="L1004">
        <f>RTD("nest.scriprtd",,"bse_cm|855TCAPS27","Volume Traded Today")</f>
        <v>0</v>
      </c>
      <c r="M1004">
        <f>RTD("nest.scriprtd",,"bse_cm|855TCAPS27","Open")</f>
        <v>0</v>
      </c>
      <c r="N1004">
        <f>RTD("nest.scriprtd",,"bse_cm|855TCAPS27","High")</f>
        <v>0</v>
      </c>
      <c r="O1004">
        <f>RTD("nest.scriprtd",,"bse_cm|855TCAPS27","Low ")</f>
        <v>0</v>
      </c>
      <c r="P1004">
        <f>RTD("nest.scriprtd",,"bse_cm|855TCAPS27","Prev Close")</f>
        <v>1127</v>
      </c>
      <c r="Q1004">
        <f>RTD("nest.scriprtd",,"bse_cm|855TCAPS27","Face Value")</f>
        <v>1000</v>
      </c>
      <c r="R1004" t="str">
        <f>RTD("nest.scriprtd",,"bse_cm|855TCAPS27","Isin code")</f>
        <v>INE306N07LL7</v>
      </c>
      <c r="S1004" s="9">
        <f>Table1[[#This Row],[Ask Rate]]*Table1[[#This Row],[Ask Qty]]</f>
        <v>0</v>
      </c>
      <c r="T1004">
        <f>VLOOKUP(Table1[[#This Row],[Isin code]],Table2[#All],7,FALSE)</f>
        <v>8.5500000000000007</v>
      </c>
      <c r="U1004" s="17" t="str">
        <f>VLOOKUP(Table1[[#This Row],[Isin code]],Table2[#All],8,FALSE)</f>
        <v>26-Aug-2027</v>
      </c>
      <c r="V1004" s="10">
        <f ca="1">Table1[[#This Row],[Maturity]]-TODAY()</f>
        <v>1044</v>
      </c>
      <c r="W1004" t="str">
        <f>VLOOKUP(Table1[[#This Row],[Isin code]],Table2[#All],10,FALSE)</f>
        <v>Yearly</v>
      </c>
      <c r="X1004">
        <f ca="1">_xlfn.DAYS(Table1[[#This Row],[Maturity]],TODAY())-15</f>
        <v>1029</v>
      </c>
      <c r="Y10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04">
        <f>IF(Table1[[#This Row],[Ask Rate]]=0,0,Table1[[#This Row],[Face Value]]-Table1[[#This Row],[Ask Rate]])</f>
        <v>0</v>
      </c>
      <c r="AA1004">
        <f>IF(Table1[[#This Row],[Freq]]="Yearly",Table1[[#This Row],[Coupon_Rate]]/100,IF(Table1[[#This Row],[Freq]]="Monthly",Table1[[#This Row],[Coupon_Rate]]/1200,IF(Table1[[#This Row],[Freq]]="Quarterly",Table1[[#This Row],[Coupon_Rate]]/400,0)))</f>
        <v>8.5500000000000007E-2</v>
      </c>
      <c r="AB1004">
        <f ca="1">Table1[[#This Row],[Face Value]]*Table1[[#This Row],[Rate]]*Table1[[#This Row],[Time]]</f>
        <v>256.5</v>
      </c>
      <c r="AC1004">
        <f ca="1">Table1[[#This Row],[SI]]+Table1[[#This Row],[Disc/Prem]]</f>
        <v>256.5</v>
      </c>
      <c r="AD1004" s="3" t="e">
        <f ca="1">Table1[[#This Row],[Net Gain]]/Table1[[#This Row],[Ask Rate]]</f>
        <v>#DIV/0!</v>
      </c>
      <c r="AE1004" s="3">
        <f>IF(Table1[[#This Row],[Ask Qty]]=0,0,Table1[[#This Row],[Gross Yield]]*365/Table1[[#This Row],[Days Left]])</f>
        <v>0</v>
      </c>
      <c r="AF1004" s="9">
        <f ca="1">+Table1[[#This Row],[Net Gain]]*Table1[[#This Row],[Ask Qty]]</f>
        <v>0</v>
      </c>
      <c r="AG1004" t="str">
        <f>IF(Table1[[#This Row],[YTM]]&gt;0.12,IF(Table1[[#This Row],[Gross Profit]]&gt;10000,"Invest","Review"),"Low YTM")</f>
        <v>Low YTM</v>
      </c>
    </row>
    <row r="1005" spans="1:33" x14ac:dyDescent="0.3">
      <c r="A1005" t="str">
        <f>RTD("nest.scriprtd",,"bse_cm|853MMFSL26","Symbol")</f>
        <v>853MMFSL26</v>
      </c>
      <c r="B1005" t="str">
        <f>RTD("nest.scriprtd",,"bse_cm|853MMFSL26","Trading Symbol")</f>
        <v>853MMFSL26</v>
      </c>
      <c r="C1005" t="str">
        <f>RTD("nest.scriprtd",,"bse_cm|853MMFSL26","Exchange")</f>
        <v>BSE</v>
      </c>
      <c r="D1005">
        <f>RTD("nest.scriprtd",,"bse_cm|853MMFSL26","Bid Qty")</f>
        <v>20</v>
      </c>
      <c r="E1005">
        <f>RTD("nest.scriprtd",,"bse_cm|853MMFSL26","Bid Rate")</f>
        <v>920.4</v>
      </c>
      <c r="F1005">
        <f>RTD("nest.scriprtd",,"bse_cm|853MMFSL26","Ask Rate")</f>
        <v>0</v>
      </c>
      <c r="G1005">
        <f>RTD("nest.scriprtd",,"bse_cm|853MMFSL26","Ask Qty")</f>
        <v>0</v>
      </c>
      <c r="H1005">
        <f>RTD("nest.scriprtd",,"bse_cm|853MMFSL26","LTP")</f>
        <v>0</v>
      </c>
      <c r="I1005" t="str">
        <f>RTD("nest.scriprtd",,"bse_cm|853MMFSL26","LTT")</f>
        <v>00:00:00</v>
      </c>
      <c r="J1005">
        <f>RTD("nest.scriprtd",,"bse_cm|853MMFSL26","% Change")</f>
        <v>-100</v>
      </c>
      <c r="K1005">
        <f>RTD("nest.scriprtd",,"bse_cm|853MMFSL26","ATP")</f>
        <v>0</v>
      </c>
      <c r="L1005">
        <f>RTD("nest.scriprtd",,"bse_cm|853MMFSL26","Volume Traded Today")</f>
        <v>0</v>
      </c>
      <c r="M1005">
        <f>RTD("nest.scriprtd",,"bse_cm|853MMFSL26","Open")</f>
        <v>0</v>
      </c>
      <c r="N1005">
        <f>RTD("nest.scriprtd",,"bse_cm|853MMFSL26","High")</f>
        <v>0</v>
      </c>
      <c r="O1005">
        <f>RTD("nest.scriprtd",,"bse_cm|853MMFSL26","Low ")</f>
        <v>0</v>
      </c>
      <c r="P1005">
        <f>RTD("nest.scriprtd",,"bse_cm|853MMFSL26","Prev Close")</f>
        <v>1000</v>
      </c>
      <c r="Q1005">
        <f>RTD("nest.scriprtd",,"bse_cm|853MMFSL26","Face Value")</f>
        <v>1000</v>
      </c>
      <c r="R1005" t="str">
        <f>RTD("nest.scriprtd",,"bse_cm|853MMFSL26","Isin code")</f>
        <v>INE774D08LT8</v>
      </c>
      <c r="S1005" s="9">
        <f>Table1[[#This Row],[Ask Rate]]*Table1[[#This Row],[Ask Qty]]</f>
        <v>0</v>
      </c>
      <c r="T1005">
        <f>VLOOKUP(Table1[[#This Row],[Isin code]],Table2[#All],7,FALSE)</f>
        <v>8.5299999999999994</v>
      </c>
      <c r="U1005" s="17" t="str">
        <f>VLOOKUP(Table1[[#This Row],[Isin code]],Table2[#All],8,FALSE)</f>
        <v>06-Jun-2026</v>
      </c>
      <c r="V1005" s="10">
        <f ca="1">Table1[[#This Row],[Maturity]]-TODAY()</f>
        <v>598</v>
      </c>
      <c r="W1005" t="str">
        <f>VLOOKUP(Table1[[#This Row],[Isin code]],Table2[#All],10,FALSE)</f>
        <v>Quarterly</v>
      </c>
      <c r="X1005">
        <f ca="1">_xlfn.DAYS(Table1[[#This Row],[Maturity]],TODAY())-15</f>
        <v>583</v>
      </c>
      <c r="Y10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005">
        <f>IF(Table1[[#This Row],[Ask Rate]]=0,0,Table1[[#This Row],[Face Value]]-Table1[[#This Row],[Ask Rate]])</f>
        <v>0</v>
      </c>
      <c r="AA1005">
        <f>IF(Table1[[#This Row],[Freq]]="Yearly",Table1[[#This Row],[Coupon_Rate]]/100,IF(Table1[[#This Row],[Freq]]="Monthly",Table1[[#This Row],[Coupon_Rate]]/1200,IF(Table1[[#This Row],[Freq]]="Quarterly",Table1[[#This Row],[Coupon_Rate]]/400,0)))</f>
        <v>2.1324999999999997E-2</v>
      </c>
      <c r="AB1005">
        <f ca="1">Table1[[#This Row],[Face Value]]*Table1[[#This Row],[Rate]]*Table1[[#This Row],[Time]]</f>
        <v>149.27499999999998</v>
      </c>
      <c r="AC1005">
        <f ca="1">Table1[[#This Row],[SI]]+Table1[[#This Row],[Disc/Prem]]</f>
        <v>149.27499999999998</v>
      </c>
      <c r="AD1005" s="3" t="e">
        <f ca="1">Table1[[#This Row],[Net Gain]]/Table1[[#This Row],[Ask Rate]]</f>
        <v>#DIV/0!</v>
      </c>
      <c r="AE1005" s="3">
        <f>IF(Table1[[#This Row],[Ask Qty]]=0,0,Table1[[#This Row],[Gross Yield]]*365/Table1[[#This Row],[Days Left]])</f>
        <v>0</v>
      </c>
      <c r="AF1005" s="9">
        <f ca="1">+Table1[[#This Row],[Net Gain]]*Table1[[#This Row],[Ask Qty]]</f>
        <v>0</v>
      </c>
      <c r="AG1005" t="str">
        <f>IF(Table1[[#This Row],[YTM]]&gt;0.12,IF(Table1[[#This Row],[Gross Profit]]&gt;10000,"Invest","Review"),"Low YTM")</f>
        <v>Low YTM</v>
      </c>
    </row>
    <row r="1006" spans="1:33" x14ac:dyDescent="0.3">
      <c r="A1006" t="str">
        <f>RTD("nest.scriprtd",,"nse_cm|852LTF27-NG","Symbol")</f>
        <v>852LTF27</v>
      </c>
      <c r="B1006" t="str">
        <f>RTD("nest.scriprtd",,"nse_cm|852LTF27-NG","Trading Symbol")</f>
        <v>852LTF27-NG</v>
      </c>
      <c r="C1006" t="str">
        <f>RTD("nest.scriprtd",,"nse_cm|852LTF27-NG","Exchange")</f>
        <v>NSE</v>
      </c>
      <c r="D1006">
        <f>RTD("nest.scriprtd",,"nse_cm|852LTF27-NG","Bid Qty")</f>
        <v>0</v>
      </c>
      <c r="E1006">
        <f>RTD("nest.scriprtd",,"nse_cm|852LTF27-NG","Bid Rate")</f>
        <v>0</v>
      </c>
      <c r="F1006">
        <f>RTD("nest.scriprtd",,"nse_cm|852LTF27-NG","Ask Rate")</f>
        <v>0</v>
      </c>
      <c r="G1006">
        <f>RTD("nest.scriprtd",,"nse_cm|852LTF27-NG","Ask Qty")</f>
        <v>0</v>
      </c>
      <c r="H1006">
        <f>RTD("nest.scriprtd",,"nse_cm|852LTF27-NG","LTP")</f>
        <v>0</v>
      </c>
      <c r="I1006" t="str">
        <f>RTD("nest.scriprtd",,"nse_cm|852LTF27-NG","LTT")</f>
        <v/>
      </c>
      <c r="J1006">
        <f>RTD("nest.scriprtd",,"nse_cm|852LTF27-NG","% Change")</f>
        <v>0</v>
      </c>
      <c r="K1006">
        <f>RTD("nest.scriprtd",,"nse_cm|852LTF27-NG","ATP")</f>
        <v>0</v>
      </c>
      <c r="L1006">
        <f>RTD("nest.scriprtd",,"nse_cm|852LTF27-NG","Volume Traded Today")</f>
        <v>0</v>
      </c>
      <c r="M1006">
        <f>RTD("nest.scriprtd",,"nse_cm|852LTF27-NG","Open")</f>
        <v>0</v>
      </c>
      <c r="N1006">
        <f>RTD("nest.scriprtd",,"nse_cm|852LTF27-NG","High")</f>
        <v>0</v>
      </c>
      <c r="O1006">
        <f>RTD("nest.scriprtd",,"nse_cm|852LTF27-NG","Low ")</f>
        <v>0</v>
      </c>
      <c r="P1006">
        <f>RTD("nest.scriprtd",,"nse_cm|852LTF27-NG","Prev Close")</f>
        <v>0</v>
      </c>
      <c r="Q1006">
        <f>RTD("nest.scriprtd",,"nse_cm|852LTF27-NG","Face Value")</f>
        <v>1000</v>
      </c>
      <c r="R1006" t="str">
        <f>RTD("nest.scriprtd",,"nse_cm|852LTF27-NG","Isin code")</f>
        <v>INE027E07AM9</v>
      </c>
      <c r="S1006" s="9">
        <f>Table1[[#This Row],[Ask Rate]]*Table1[[#This Row],[Ask Qty]]</f>
        <v>0</v>
      </c>
      <c r="T1006">
        <f>VLOOKUP(Table1[[#This Row],[Isin code]],Table2[#All],7,FALSE)</f>
        <v>8.52</v>
      </c>
      <c r="U1006" s="17" t="str">
        <f>VLOOKUP(Table1[[#This Row],[Isin code]],Table2[#All],8,FALSE)</f>
        <v>15-Apr-2027</v>
      </c>
      <c r="V1006" s="10">
        <f ca="1">Table1[[#This Row],[Maturity]]-TODAY()</f>
        <v>911</v>
      </c>
      <c r="W1006" t="str">
        <f>VLOOKUP(Table1[[#This Row],[Isin code]],Table2[#All],10,FALSE)</f>
        <v>Monthly</v>
      </c>
      <c r="X1006">
        <f ca="1">_xlfn.DAYS(Table1[[#This Row],[Maturity]],TODAY())-15</f>
        <v>896</v>
      </c>
      <c r="Y10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1006">
        <f>IF(Table1[[#This Row],[Ask Rate]]=0,0,Table1[[#This Row],[Face Value]]-Table1[[#This Row],[Ask Rate]])</f>
        <v>0</v>
      </c>
      <c r="AA1006">
        <f>IF(Table1[[#This Row],[Freq]]="Yearly",Table1[[#This Row],[Coupon_Rate]]/100,IF(Table1[[#This Row],[Freq]]="Monthly",Table1[[#This Row],[Coupon_Rate]]/1200,IF(Table1[[#This Row],[Freq]]="Quarterly",Table1[[#This Row],[Coupon_Rate]]/400,0)))</f>
        <v>7.0999999999999995E-3</v>
      </c>
      <c r="AB1006">
        <f ca="1">Table1[[#This Row],[Face Value]]*Table1[[#This Row],[Rate]]*Table1[[#This Row],[Time]]</f>
        <v>213</v>
      </c>
      <c r="AC1006">
        <f ca="1">Table1[[#This Row],[SI]]+Table1[[#This Row],[Disc/Prem]]</f>
        <v>213</v>
      </c>
      <c r="AD1006" s="3" t="e">
        <f ca="1">Table1[[#This Row],[Net Gain]]/Table1[[#This Row],[Ask Rate]]</f>
        <v>#DIV/0!</v>
      </c>
      <c r="AE1006" s="3">
        <f>IF(Table1[[#This Row],[Ask Qty]]=0,0,Table1[[#This Row],[Gross Yield]]*365/Table1[[#This Row],[Days Left]])</f>
        <v>0</v>
      </c>
      <c r="AF1006" s="9">
        <f ca="1">+Table1[[#This Row],[Net Gain]]*Table1[[#This Row],[Ask Qty]]</f>
        <v>0</v>
      </c>
      <c r="AG1006" t="str">
        <f>IF(Table1[[#This Row],[YTM]]&gt;0.12,IF(Table1[[#This Row],[Gross Profit]]&gt;10000,"Invest","Review"),"Low YTM")</f>
        <v>Low YTM</v>
      </c>
    </row>
    <row r="1007" spans="1:33" x14ac:dyDescent="0.3">
      <c r="A1007" t="str">
        <f>RTD("nest.scriprtd",,"nse_cm|885LTF27-NE","Symbol")</f>
        <v>885LTF27</v>
      </c>
      <c r="B1007" t="str">
        <f>RTD("nest.scriprtd",,"nse_cm|885LTF27-NE","Trading Symbol")</f>
        <v>885LTF27-NE</v>
      </c>
      <c r="C1007" t="str">
        <f>RTD("nest.scriprtd",,"nse_cm|885LTF27-NE","Exchange")</f>
        <v>NSE</v>
      </c>
      <c r="D1007">
        <f>RTD("nest.scriprtd",,"nse_cm|885LTF27-NE","Bid Qty")</f>
        <v>0</v>
      </c>
      <c r="E1007">
        <f>RTD("nest.scriprtd",,"nse_cm|885LTF27-NE","Bid Rate")</f>
        <v>0</v>
      </c>
      <c r="F1007">
        <f>RTD("nest.scriprtd",,"nse_cm|885LTF27-NE","Ask Rate")</f>
        <v>0</v>
      </c>
      <c r="G1007">
        <f>RTD("nest.scriprtd",,"nse_cm|885LTF27-NE","Ask Qty")</f>
        <v>0</v>
      </c>
      <c r="H1007">
        <f>RTD("nest.scriprtd",,"nse_cm|885LTF27-NE","LTP")</f>
        <v>0</v>
      </c>
      <c r="I1007" t="str">
        <f>RTD("nest.scriprtd",,"nse_cm|885LTF27-NE","LTT")</f>
        <v/>
      </c>
      <c r="J1007">
        <f>RTD("nest.scriprtd",,"nse_cm|885LTF27-NE","% Change")</f>
        <v>-100</v>
      </c>
      <c r="K1007">
        <f>RTD("nest.scriprtd",,"nse_cm|885LTF27-NE","ATP")</f>
        <v>0</v>
      </c>
      <c r="L1007">
        <f>RTD("nest.scriprtd",,"nse_cm|885LTF27-NE","Volume Traded Today")</f>
        <v>0</v>
      </c>
      <c r="M1007">
        <f>RTD("nest.scriprtd",,"nse_cm|885LTF27-NE","Open")</f>
        <v>0</v>
      </c>
      <c r="N1007">
        <f>RTD("nest.scriprtd",,"nse_cm|885LTF27-NE","High")</f>
        <v>0</v>
      </c>
      <c r="O1007">
        <f>RTD("nest.scriprtd",,"nse_cm|885LTF27-NE","Low ")</f>
        <v>0</v>
      </c>
      <c r="P1007">
        <f>RTD("nest.scriprtd",,"nse_cm|885LTF27-NE","Prev Close")</f>
        <v>1000</v>
      </c>
      <c r="Q1007">
        <f>RTD("nest.scriprtd",,"nse_cm|885LTF27-NE","Face Value")</f>
        <v>1000</v>
      </c>
      <c r="R1007" t="str">
        <f>RTD("nest.scriprtd",,"nse_cm|885LTF27-NE","Isin code")</f>
        <v>INE027E07AK3</v>
      </c>
      <c r="S1007" s="9">
        <f>Table1[[#This Row],[Ask Rate]]*Table1[[#This Row],[Ask Qty]]</f>
        <v>0</v>
      </c>
      <c r="T1007">
        <f>VLOOKUP(Table1[[#This Row],[Isin code]],Table2[#All],7,FALSE)</f>
        <v>8.85</v>
      </c>
      <c r="U1007" s="17" t="str">
        <f>VLOOKUP(Table1[[#This Row],[Isin code]],Table2[#All],8,FALSE)</f>
        <v>15-Apr-2027</v>
      </c>
      <c r="V1007" s="10">
        <f ca="1">Table1[[#This Row],[Maturity]]-TODAY()</f>
        <v>911</v>
      </c>
      <c r="W1007" t="str">
        <f>VLOOKUP(Table1[[#This Row],[Isin code]],Table2[#All],10,FALSE)</f>
        <v>Yearly</v>
      </c>
      <c r="X1007">
        <f ca="1">_xlfn.DAYS(Table1[[#This Row],[Maturity]],TODAY())-15</f>
        <v>896</v>
      </c>
      <c r="Y10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07">
        <f>IF(Table1[[#This Row],[Ask Rate]]=0,0,Table1[[#This Row],[Face Value]]-Table1[[#This Row],[Ask Rate]])</f>
        <v>0</v>
      </c>
      <c r="AA1007">
        <f>IF(Table1[[#This Row],[Freq]]="Yearly",Table1[[#This Row],[Coupon_Rate]]/100,IF(Table1[[#This Row],[Freq]]="Monthly",Table1[[#This Row],[Coupon_Rate]]/1200,IF(Table1[[#This Row],[Freq]]="Quarterly",Table1[[#This Row],[Coupon_Rate]]/400,0)))</f>
        <v>8.8499999999999995E-2</v>
      </c>
      <c r="AB1007">
        <f ca="1">Table1[[#This Row],[Face Value]]*Table1[[#This Row],[Rate]]*Table1[[#This Row],[Time]]</f>
        <v>265.5</v>
      </c>
      <c r="AC1007">
        <f ca="1">Table1[[#This Row],[SI]]+Table1[[#This Row],[Disc/Prem]]</f>
        <v>265.5</v>
      </c>
      <c r="AD1007" s="3" t="e">
        <f ca="1">Table1[[#This Row],[Net Gain]]/Table1[[#This Row],[Ask Rate]]</f>
        <v>#DIV/0!</v>
      </c>
      <c r="AE1007" s="3">
        <f>IF(Table1[[#This Row],[Ask Qty]]=0,0,Table1[[#This Row],[Gross Yield]]*365/Table1[[#This Row],[Days Left]])</f>
        <v>0</v>
      </c>
      <c r="AF1007" s="9">
        <f ca="1">+Table1[[#This Row],[Net Gain]]*Table1[[#This Row],[Ask Qty]]</f>
        <v>0</v>
      </c>
      <c r="AG1007" t="str">
        <f>IF(Table1[[#This Row],[YTM]]&gt;0.12,IF(Table1[[#This Row],[Gross Profit]]&gt;10000,"Invest","Review"),"Low YTM")</f>
        <v>Low YTM</v>
      </c>
    </row>
    <row r="1008" spans="1:33" x14ac:dyDescent="0.3">
      <c r="A1008" t="str">
        <f>RTD("nest.scriprtd",,"bse_cm|885LTF27","Symbol")</f>
        <v>885LTF27</v>
      </c>
      <c r="B1008" t="str">
        <f>RTD("nest.scriprtd",,"bse_cm|885LTF27","Trading Symbol")</f>
        <v>885LTF27</v>
      </c>
      <c r="C1008" t="str">
        <f>RTD("nest.scriprtd",,"bse_cm|885LTF27","Exchange")</f>
        <v>BSE</v>
      </c>
      <c r="D1008">
        <f>RTD("nest.scriprtd",,"bse_cm|885LTF27","Bid Qty")</f>
        <v>20</v>
      </c>
      <c r="E1008">
        <f>RTD("nest.scriprtd",,"bse_cm|885LTF27","Bid Rate")</f>
        <v>935.2</v>
      </c>
      <c r="F1008">
        <f>RTD("nest.scriprtd",,"bse_cm|885LTF27","Ask Rate")</f>
        <v>0</v>
      </c>
      <c r="G1008">
        <f>RTD("nest.scriprtd",,"bse_cm|885LTF27","Ask Qty")</f>
        <v>0</v>
      </c>
      <c r="H1008">
        <f>RTD("nest.scriprtd",,"bse_cm|885LTF27","LTP")</f>
        <v>0</v>
      </c>
      <c r="I1008" t="str">
        <f>RTD("nest.scriprtd",,"bse_cm|885LTF27","LTT")</f>
        <v>00:00:00</v>
      </c>
      <c r="J1008">
        <f>RTD("nest.scriprtd",,"bse_cm|885LTF27","% Change")</f>
        <v>-100</v>
      </c>
      <c r="K1008">
        <f>RTD("nest.scriprtd",,"bse_cm|885LTF27","ATP")</f>
        <v>0</v>
      </c>
      <c r="L1008">
        <f>RTD("nest.scriprtd",,"bse_cm|885LTF27","Volume Traded Today")</f>
        <v>0</v>
      </c>
      <c r="M1008">
        <f>RTD("nest.scriprtd",,"bse_cm|885LTF27","Open")</f>
        <v>0</v>
      </c>
      <c r="N1008">
        <f>RTD("nest.scriprtd",,"bse_cm|885LTF27","High")</f>
        <v>0</v>
      </c>
      <c r="O1008">
        <f>RTD("nest.scriprtd",,"bse_cm|885LTF27","Low ")</f>
        <v>0</v>
      </c>
      <c r="P1008">
        <f>RTD("nest.scriprtd",,"bse_cm|885LTF27","Prev Close")</f>
        <v>1082.8</v>
      </c>
      <c r="Q1008">
        <f>RTD("nest.scriprtd",,"bse_cm|885LTF27","Face Value")</f>
        <v>1000</v>
      </c>
      <c r="R1008" t="str">
        <f>RTD("nest.scriprtd",,"bse_cm|885LTF27","Isin code")</f>
        <v>INE027E07AK3</v>
      </c>
      <c r="S1008" s="9">
        <f>Table1[[#This Row],[Ask Rate]]*Table1[[#This Row],[Ask Qty]]</f>
        <v>0</v>
      </c>
      <c r="T1008">
        <f>VLOOKUP(Table1[[#This Row],[Isin code]],Table2[#All],7,FALSE)</f>
        <v>8.85</v>
      </c>
      <c r="U1008" s="17" t="str">
        <f>VLOOKUP(Table1[[#This Row],[Isin code]],Table2[#All],8,FALSE)</f>
        <v>15-Apr-2027</v>
      </c>
      <c r="V1008" s="10">
        <f ca="1">Table1[[#This Row],[Maturity]]-TODAY()</f>
        <v>911</v>
      </c>
      <c r="W1008" t="str">
        <f>VLOOKUP(Table1[[#This Row],[Isin code]],Table2[#All],10,FALSE)</f>
        <v>Yearly</v>
      </c>
      <c r="X1008">
        <f ca="1">_xlfn.DAYS(Table1[[#This Row],[Maturity]],TODAY())-15</f>
        <v>896</v>
      </c>
      <c r="Y10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08">
        <f>IF(Table1[[#This Row],[Ask Rate]]=0,0,Table1[[#This Row],[Face Value]]-Table1[[#This Row],[Ask Rate]])</f>
        <v>0</v>
      </c>
      <c r="AA1008">
        <f>IF(Table1[[#This Row],[Freq]]="Yearly",Table1[[#This Row],[Coupon_Rate]]/100,IF(Table1[[#This Row],[Freq]]="Monthly",Table1[[#This Row],[Coupon_Rate]]/1200,IF(Table1[[#This Row],[Freq]]="Quarterly",Table1[[#This Row],[Coupon_Rate]]/400,0)))</f>
        <v>8.8499999999999995E-2</v>
      </c>
      <c r="AB1008">
        <f ca="1">Table1[[#This Row],[Face Value]]*Table1[[#This Row],[Rate]]*Table1[[#This Row],[Time]]</f>
        <v>265.5</v>
      </c>
      <c r="AC1008">
        <f ca="1">Table1[[#This Row],[SI]]+Table1[[#This Row],[Disc/Prem]]</f>
        <v>265.5</v>
      </c>
      <c r="AD1008" s="3" t="e">
        <f ca="1">Table1[[#This Row],[Net Gain]]/Table1[[#This Row],[Ask Rate]]</f>
        <v>#DIV/0!</v>
      </c>
      <c r="AE1008" s="3">
        <f>IF(Table1[[#This Row],[Ask Qty]]=0,0,Table1[[#This Row],[Gross Yield]]*365/Table1[[#This Row],[Days Left]])</f>
        <v>0</v>
      </c>
      <c r="AF1008" s="9">
        <f ca="1">+Table1[[#This Row],[Net Gain]]*Table1[[#This Row],[Ask Qty]]</f>
        <v>0</v>
      </c>
      <c r="AG1008" t="str">
        <f>IF(Table1[[#This Row],[YTM]]&gt;0.12,IF(Table1[[#This Row],[Gross Profit]]&gt;10000,"Invest","Review"),"Low YTM")</f>
        <v>Low YTM</v>
      </c>
    </row>
    <row r="1009" spans="1:33" x14ac:dyDescent="0.3">
      <c r="A1009" t="str">
        <f>RTD("nest.scriprtd",,"nse_cm|884LTF29-N6","Symbol")</f>
        <v>884LTF29</v>
      </c>
      <c r="B1009" t="str">
        <f>RTD("nest.scriprtd",,"nse_cm|884LTF29-N6","Trading Symbol")</f>
        <v>884LTF29-N6</v>
      </c>
      <c r="C1009" t="str">
        <f>RTD("nest.scriprtd",,"nse_cm|884LTF29-N6","Exchange")</f>
        <v>NSE</v>
      </c>
      <c r="D1009">
        <f>RTD("nest.scriprtd",,"nse_cm|884LTF29-N6","Bid Qty")</f>
        <v>0</v>
      </c>
      <c r="E1009">
        <f>RTD("nest.scriprtd",,"nse_cm|884LTF29-N6","Bid Rate")</f>
        <v>0</v>
      </c>
      <c r="F1009">
        <f>RTD("nest.scriprtd",,"nse_cm|884LTF29-N6","Ask Rate")</f>
        <v>0</v>
      </c>
      <c r="G1009">
        <f>RTD("nest.scriprtd",,"nse_cm|884LTF29-N6","Ask Qty")</f>
        <v>0</v>
      </c>
      <c r="H1009">
        <f>RTD("nest.scriprtd",,"nse_cm|884LTF29-N6","LTP")</f>
        <v>0</v>
      </c>
      <c r="I1009" t="str">
        <f>RTD("nest.scriprtd",,"nse_cm|884LTF29-N6","LTT")</f>
        <v/>
      </c>
      <c r="J1009">
        <f>RTD("nest.scriprtd",,"nse_cm|884LTF29-N6","% Change")</f>
        <v>0</v>
      </c>
      <c r="K1009">
        <f>RTD("nest.scriprtd",,"nse_cm|884LTF29-N6","ATP")</f>
        <v>0</v>
      </c>
      <c r="L1009">
        <f>RTD("nest.scriprtd",,"nse_cm|884LTF29-N6","Volume Traded Today")</f>
        <v>0</v>
      </c>
      <c r="M1009">
        <f>RTD("nest.scriprtd",,"nse_cm|884LTF29-N6","Open")</f>
        <v>0</v>
      </c>
      <c r="N1009">
        <f>RTD("nest.scriprtd",,"nse_cm|884LTF29-N6","High")</f>
        <v>0</v>
      </c>
      <c r="O1009">
        <f>RTD("nest.scriprtd",,"nse_cm|884LTF29-N6","Low ")</f>
        <v>0</v>
      </c>
      <c r="P1009">
        <f>RTD("nest.scriprtd",,"nse_cm|884LTF29-N6","Prev Close")</f>
        <v>0</v>
      </c>
      <c r="Q1009">
        <f>RTD("nest.scriprtd",,"nse_cm|884LTF29-N6","Face Value")</f>
        <v>1000</v>
      </c>
      <c r="R1009" t="str">
        <f>RTD("nest.scriprtd",,"nse_cm|884LTF29-N6","Isin code")</f>
        <v>INE027E07980</v>
      </c>
      <c r="S1009" s="9">
        <f>Table1[[#This Row],[Ask Rate]]*Table1[[#This Row],[Ask Qty]]</f>
        <v>0</v>
      </c>
      <c r="T1009">
        <f>VLOOKUP(Table1[[#This Row],[Isin code]],Table2[#All],7,FALSE)</f>
        <v>8.84</v>
      </c>
      <c r="U1009" s="17" t="str">
        <f>VLOOKUP(Table1[[#This Row],[Isin code]],Table2[#All],8,FALSE)</f>
        <v>13-Mar-2029</v>
      </c>
      <c r="V1009" s="10">
        <f ca="1">Table1[[#This Row],[Maturity]]-TODAY()</f>
        <v>1609</v>
      </c>
      <c r="W1009" t="str">
        <f>VLOOKUP(Table1[[#This Row],[Isin code]],Table2[#All],10,FALSE)</f>
        <v>Monthly</v>
      </c>
      <c r="X1009">
        <f ca="1">_xlfn.DAYS(Table1[[#This Row],[Maturity]],TODAY())-15</f>
        <v>1594</v>
      </c>
      <c r="Y10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1009">
        <f>IF(Table1[[#This Row],[Ask Rate]]=0,0,Table1[[#This Row],[Face Value]]-Table1[[#This Row],[Ask Rate]])</f>
        <v>0</v>
      </c>
      <c r="AA1009">
        <f>IF(Table1[[#This Row],[Freq]]="Yearly",Table1[[#This Row],[Coupon_Rate]]/100,IF(Table1[[#This Row],[Freq]]="Monthly",Table1[[#This Row],[Coupon_Rate]]/1200,IF(Table1[[#This Row],[Freq]]="Quarterly",Table1[[#This Row],[Coupon_Rate]]/400,0)))</f>
        <v>7.3666666666666663E-3</v>
      </c>
      <c r="AB1009">
        <f ca="1">Table1[[#This Row],[Face Value]]*Table1[[#This Row],[Rate]]*Table1[[#This Row],[Time]]</f>
        <v>397.79999999999995</v>
      </c>
      <c r="AC1009">
        <f ca="1">Table1[[#This Row],[SI]]+Table1[[#This Row],[Disc/Prem]]</f>
        <v>397.79999999999995</v>
      </c>
      <c r="AD1009" s="3" t="e">
        <f ca="1">Table1[[#This Row],[Net Gain]]/Table1[[#This Row],[Ask Rate]]</f>
        <v>#DIV/0!</v>
      </c>
      <c r="AE1009" s="3">
        <f>IF(Table1[[#This Row],[Ask Qty]]=0,0,Table1[[#This Row],[Gross Yield]]*365/Table1[[#This Row],[Days Left]])</f>
        <v>0</v>
      </c>
      <c r="AF1009" s="9">
        <f ca="1">+Table1[[#This Row],[Net Gain]]*Table1[[#This Row],[Ask Qty]]</f>
        <v>0</v>
      </c>
      <c r="AG1009" t="str">
        <f>IF(Table1[[#This Row],[YTM]]&gt;0.12,IF(Table1[[#This Row],[Gross Profit]]&gt;10000,"Invest","Review"),"Low YTM")</f>
        <v>Low YTM</v>
      </c>
    </row>
    <row r="1010" spans="1:33" hidden="1" x14ac:dyDescent="0.3">
      <c r="A1010" t="str">
        <f>RTD("nest.scriprtd",,"nse_cm|850NIRMA27-N7","Symbol")</f>
        <v>850NIRMA27</v>
      </c>
      <c r="B1010" t="str">
        <f>RTD("nest.scriprtd",,"nse_cm|850NIRMA27-N7","Trading Symbol")</f>
        <v>850NIRMA27-N7</v>
      </c>
      <c r="C1010" t="str">
        <f>RTD("nest.scriprtd",,"nse_cm|850NIRMA27-N7","Exchange")</f>
        <v>NSE</v>
      </c>
      <c r="D1010">
        <f>RTD("nest.scriprtd",,"nse_cm|850NIRMA27-N7","Bid Qty")</f>
        <v>0</v>
      </c>
      <c r="E1010">
        <f>RTD("nest.scriprtd",,"nse_cm|850NIRMA27-N7","Bid Rate")</f>
        <v>0</v>
      </c>
      <c r="F1010">
        <f>RTD("nest.scriprtd",,"nse_cm|850NIRMA27-N7","Ask Rate")</f>
        <v>0</v>
      </c>
      <c r="G1010">
        <f>RTD("nest.scriprtd",,"nse_cm|850NIRMA27-N7","Ask Qty")</f>
        <v>0</v>
      </c>
      <c r="H1010">
        <f>RTD("nest.scriprtd",,"nse_cm|850NIRMA27-N7","LTP")</f>
        <v>0</v>
      </c>
      <c r="I1010" t="str">
        <f>RTD("nest.scriprtd",,"nse_cm|850NIRMA27-N7","LTT")</f>
        <v/>
      </c>
      <c r="J1010">
        <f>RTD("nest.scriprtd",,"nse_cm|850NIRMA27-N7","% Change")</f>
        <v>0</v>
      </c>
      <c r="K1010">
        <f>RTD("nest.scriprtd",,"nse_cm|850NIRMA27-N7","ATP")</f>
        <v>0</v>
      </c>
      <c r="L1010">
        <f>RTD("nest.scriprtd",,"nse_cm|850NIRMA27-N7","Volume Traded Today")</f>
        <v>0</v>
      </c>
      <c r="M1010">
        <f>RTD("nest.scriprtd",,"nse_cm|850NIRMA27-N7","Open")</f>
        <v>0</v>
      </c>
      <c r="N1010">
        <f>RTD("nest.scriprtd",,"nse_cm|850NIRMA27-N7","High")</f>
        <v>0</v>
      </c>
      <c r="O1010">
        <f>RTD("nest.scriprtd",,"nse_cm|850NIRMA27-N7","Low ")</f>
        <v>0</v>
      </c>
      <c r="P1010">
        <f>RTD("nest.scriprtd",,"nse_cm|850NIRMA27-N7","Prev Close")</f>
        <v>0</v>
      </c>
      <c r="Q1010">
        <f>RTD("nest.scriprtd",,"nse_cm|850NIRMA27-N7","Face Value")</f>
        <v>100000</v>
      </c>
      <c r="R1010" t="str">
        <f>RTD("nest.scriprtd",,"nse_cm|850NIRMA27-N7","Isin code")</f>
        <v>INE091A07208</v>
      </c>
      <c r="S1010" s="9">
        <f>Table1[[#This Row],[Ask Rate]]*Table1[[#This Row],[Ask Qty]]</f>
        <v>0</v>
      </c>
      <c r="T1010" t="str">
        <f>VLOOKUP(Table1[[#This Row],[Isin code]],Table2[#All],7,FALSE)</f>
        <v>x</v>
      </c>
      <c r="U1010" s="17" t="str">
        <f>VLOOKUP(Table1[[#This Row],[Isin code]],Table2[#All],8,FALSE)</f>
        <v>x</v>
      </c>
      <c r="V1010" s="10" t="e">
        <f ca="1">Table1[[#This Row],[Maturity]]-TODAY()</f>
        <v>#VALUE!</v>
      </c>
      <c r="W1010" t="str">
        <f>VLOOKUP(Table1[[#This Row],[Isin code]],Table2[#All],10,FALSE)</f>
        <v>x</v>
      </c>
      <c r="X1010" t="e">
        <f ca="1">_xlfn.DAYS(Table1[[#This Row],[Maturity]],TODAY())-15</f>
        <v>#VALUE!</v>
      </c>
      <c r="Y101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10">
        <f>IF(Table1[[#This Row],[Ask Rate]]=0,0,Table1[[#This Row],[Face Value]]-Table1[[#This Row],[Ask Rate]])</f>
        <v>0</v>
      </c>
      <c r="AA101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10">
        <f>Table1[[#This Row],[Face Value]]*Table1[[#This Row],[Rate]]*Table1[[#This Row],[Time]]</f>
        <v>0</v>
      </c>
      <c r="AC1010">
        <f>Table1[[#This Row],[SI]]+Table1[[#This Row],[Disc/Prem]]</f>
        <v>0</v>
      </c>
      <c r="AD1010" s="3" t="e">
        <f>Table1[[#This Row],[Net Gain]]/Table1[[#This Row],[Ask Rate]]</f>
        <v>#DIV/0!</v>
      </c>
      <c r="AE1010" s="3">
        <f>IF(Table1[[#This Row],[Ask Qty]]=0,0,Table1[[#This Row],[Gross Yield]]*365/Table1[[#This Row],[Days Left]])</f>
        <v>0</v>
      </c>
      <c r="AF1010" s="9">
        <f>+Table1[[#This Row],[Net Gain]]*Table1[[#This Row],[Ask Qty]]</f>
        <v>0</v>
      </c>
      <c r="AG1010" t="str">
        <f>IF(Table1[[#This Row],[YTM]]&gt;0.12,IF(Table1[[#This Row],[Gross Profit]]&gt;10000,"Invest","Review"),"Low YTM")</f>
        <v>Low YTM</v>
      </c>
    </row>
    <row r="1011" spans="1:33" x14ac:dyDescent="0.3">
      <c r="A1011" t="str">
        <f>RTD("nest.scriprtd",,"bse_cm|875SCFL27","Symbol")</f>
        <v>875SCFL27</v>
      </c>
      <c r="B1011" t="str">
        <f>RTD("nest.scriprtd",,"bse_cm|875SCFL27","Trading Symbol")</f>
        <v>875SCFL27</v>
      </c>
      <c r="C1011" t="str">
        <f>RTD("nest.scriprtd",,"bse_cm|875SCFL27","Exchange")</f>
        <v>BSE</v>
      </c>
      <c r="D1011">
        <f>RTD("nest.scriprtd",,"bse_cm|875SCFL27","Bid Qty")</f>
        <v>20</v>
      </c>
      <c r="E1011">
        <f>RTD("nest.scriprtd",,"bse_cm|875SCFL27","Bid Rate")</f>
        <v>815.2</v>
      </c>
      <c r="F1011">
        <f>RTD("nest.scriprtd",,"bse_cm|875SCFL27","Ask Rate")</f>
        <v>0</v>
      </c>
      <c r="G1011">
        <f>RTD("nest.scriprtd",,"bse_cm|875SCFL27","Ask Qty")</f>
        <v>0</v>
      </c>
      <c r="H1011">
        <f>RTD("nest.scriprtd",,"bse_cm|875SCFL27","LTP")</f>
        <v>0</v>
      </c>
      <c r="I1011" t="str">
        <f>RTD("nest.scriprtd",,"bse_cm|875SCFL27","LTT")</f>
        <v>00:00:00</v>
      </c>
      <c r="J1011">
        <f>RTD("nest.scriprtd",,"bse_cm|875SCFL27","% Change")</f>
        <v>-100</v>
      </c>
      <c r="K1011">
        <f>RTD("nest.scriprtd",,"bse_cm|875SCFL27","ATP")</f>
        <v>0</v>
      </c>
      <c r="L1011">
        <f>RTD("nest.scriprtd",,"bse_cm|875SCFL27","Volume Traded Today")</f>
        <v>0</v>
      </c>
      <c r="M1011">
        <f>RTD("nest.scriprtd",,"bse_cm|875SCFL27","Open")</f>
        <v>0</v>
      </c>
      <c r="N1011">
        <f>RTD("nest.scriprtd",,"bse_cm|875SCFL27","High")</f>
        <v>0</v>
      </c>
      <c r="O1011">
        <f>RTD("nest.scriprtd",,"bse_cm|875SCFL27","Low ")</f>
        <v>0</v>
      </c>
      <c r="P1011">
        <f>RTD("nest.scriprtd",,"bse_cm|875SCFL27","Prev Close")</f>
        <v>1000</v>
      </c>
      <c r="Q1011">
        <f>RTD("nest.scriprtd",,"bse_cm|875SCFL27","Face Value")</f>
        <v>1000</v>
      </c>
      <c r="R1011" t="str">
        <f>RTD("nest.scriprtd",,"bse_cm|875SCFL27","Isin code")</f>
        <v>INE148I07LB4</v>
      </c>
      <c r="S1011" s="9">
        <f>Table1[[#This Row],[Ask Rate]]*Table1[[#This Row],[Ask Qty]]</f>
        <v>0</v>
      </c>
      <c r="T1011">
        <f>VLOOKUP(Table1[[#This Row],[Isin code]],Table2[#All],7,FALSE)</f>
        <v>8.75</v>
      </c>
      <c r="U1011" s="17" t="str">
        <f>VLOOKUP(Table1[[#This Row],[Isin code]],Table2[#All],8,FALSE)</f>
        <v>06-Jan-2027</v>
      </c>
      <c r="V1011" s="10">
        <f ca="1">Table1[[#This Row],[Maturity]]-TODAY()</f>
        <v>812</v>
      </c>
      <c r="W1011" t="str">
        <f>VLOOKUP(Table1[[#This Row],[Isin code]],Table2[#All],10,FALSE)</f>
        <v>Yearly</v>
      </c>
      <c r="X1011">
        <f ca="1">_xlfn.DAYS(Table1[[#This Row],[Maturity]],TODAY())-15</f>
        <v>797</v>
      </c>
      <c r="Y10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11">
        <f>IF(Table1[[#This Row],[Ask Rate]]=0,0,Table1[[#This Row],[Face Value]]-Table1[[#This Row],[Ask Rate]])</f>
        <v>0</v>
      </c>
      <c r="AA1011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1011">
        <f ca="1">Table1[[#This Row],[Face Value]]*Table1[[#This Row],[Rate]]*Table1[[#This Row],[Time]]</f>
        <v>262.5</v>
      </c>
      <c r="AC1011">
        <f ca="1">Table1[[#This Row],[SI]]+Table1[[#This Row],[Disc/Prem]]</f>
        <v>262.5</v>
      </c>
      <c r="AD1011" s="3" t="e">
        <f ca="1">Table1[[#This Row],[Net Gain]]/Table1[[#This Row],[Ask Rate]]</f>
        <v>#DIV/0!</v>
      </c>
      <c r="AE1011" s="3">
        <f>IF(Table1[[#This Row],[Ask Qty]]=0,0,Table1[[#This Row],[Gross Yield]]*365/Table1[[#This Row],[Days Left]])</f>
        <v>0</v>
      </c>
      <c r="AF1011" s="9">
        <f ca="1">+Table1[[#This Row],[Net Gain]]*Table1[[#This Row],[Ask Qty]]</f>
        <v>0</v>
      </c>
      <c r="AG1011" t="str">
        <f>IF(Table1[[#This Row],[YTM]]&gt;0.12,IF(Table1[[#This Row],[Gross Profit]]&gt;10000,"Invest","Review"),"Low YTM")</f>
        <v>Low YTM</v>
      </c>
    </row>
    <row r="1012" spans="1:33" x14ac:dyDescent="0.3">
      <c r="A1012" t="str">
        <f>RTD("nest.scriprtd",,"nse_cm|875PCHFL31-N9","Symbol")</f>
        <v>875PCHFL31</v>
      </c>
      <c r="B1012" t="str">
        <f>RTD("nest.scriprtd",,"nse_cm|875PCHFL31-N9","Trading Symbol")</f>
        <v>875PCHFL31-N9</v>
      </c>
      <c r="C1012" t="str">
        <f>RTD("nest.scriprtd",,"nse_cm|875PCHFL31-N9","Exchange")</f>
        <v>NSE</v>
      </c>
      <c r="D1012">
        <f>RTD("nest.scriprtd",,"nse_cm|875PCHFL31-N9","Bid Qty")</f>
        <v>12</v>
      </c>
      <c r="E1012">
        <f>RTD("nest.scriprtd",,"nse_cm|875PCHFL31-N9","Bid Rate")</f>
        <v>852.8</v>
      </c>
      <c r="F1012">
        <f>RTD("nest.scriprtd",,"nse_cm|875PCHFL31-N9","Ask Rate")</f>
        <v>0</v>
      </c>
      <c r="G1012">
        <f>RTD("nest.scriprtd",,"nse_cm|875PCHFL31-N9","Ask Qty")</f>
        <v>0</v>
      </c>
      <c r="H1012">
        <f>RTD("nest.scriprtd",,"nse_cm|875PCHFL31-N9","LTP")</f>
        <v>0</v>
      </c>
      <c r="I1012" t="str">
        <f>RTD("nest.scriprtd",,"nse_cm|875PCHFL31-N9","LTT")</f>
        <v/>
      </c>
      <c r="J1012">
        <f>RTD("nest.scriprtd",,"nse_cm|875PCHFL31-N9","% Change")</f>
        <v>-100</v>
      </c>
      <c r="K1012">
        <f>RTD("nest.scriprtd",,"nse_cm|875PCHFL31-N9","ATP")</f>
        <v>0</v>
      </c>
      <c r="L1012">
        <f>RTD("nest.scriprtd",,"nse_cm|875PCHFL31-N9","Volume Traded Today")</f>
        <v>0</v>
      </c>
      <c r="M1012">
        <f>RTD("nest.scriprtd",,"nse_cm|875PCHFL31-N9","Open")</f>
        <v>0</v>
      </c>
      <c r="N1012">
        <f>RTD("nest.scriprtd",,"nse_cm|875PCHFL31-N9","High")</f>
        <v>0</v>
      </c>
      <c r="O1012">
        <f>RTD("nest.scriprtd",,"nse_cm|875PCHFL31-N9","Low ")</f>
        <v>0</v>
      </c>
      <c r="P1012">
        <f>RTD("nest.scriprtd",,"nse_cm|875PCHFL31-N9","Prev Close")</f>
        <v>1000</v>
      </c>
      <c r="Q1012">
        <f>RTD("nest.scriprtd",,"nse_cm|875PCHFL31-N9","Face Value")</f>
        <v>1000</v>
      </c>
      <c r="R1012" t="str">
        <f>RTD("nest.scriprtd",,"nse_cm|875PCHFL31-N9","Isin code")</f>
        <v>INE516Y07378</v>
      </c>
      <c r="S1012" s="9">
        <f>Table1[[#This Row],[Ask Rate]]*Table1[[#This Row],[Ask Qty]]</f>
        <v>0</v>
      </c>
      <c r="T1012">
        <f>VLOOKUP(Table1[[#This Row],[Isin code]],Table2[#All],7,FALSE)</f>
        <v>8.75</v>
      </c>
      <c r="U1012" s="17" t="str">
        <f>VLOOKUP(Table1[[#This Row],[Isin code]],Table2[#All],8,FALSE)</f>
        <v>23-Jul-2031</v>
      </c>
      <c r="V1012" s="10">
        <f ca="1">Table1[[#This Row],[Maturity]]-TODAY()</f>
        <v>2471</v>
      </c>
      <c r="W1012" t="str">
        <f>VLOOKUP(Table1[[#This Row],[Isin code]],Table2[#All],10,FALSE)</f>
        <v>Yearly</v>
      </c>
      <c r="X1012">
        <f ca="1">_xlfn.DAYS(Table1[[#This Row],[Maturity]],TODAY())-15</f>
        <v>2456</v>
      </c>
      <c r="Y10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012">
        <f>IF(Table1[[#This Row],[Ask Rate]]=0,0,Table1[[#This Row],[Face Value]]-Table1[[#This Row],[Ask Rate]])</f>
        <v>0</v>
      </c>
      <c r="AA1012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1012">
        <f ca="1">Table1[[#This Row],[Face Value]]*Table1[[#This Row],[Rate]]*Table1[[#This Row],[Time]]</f>
        <v>612.5</v>
      </c>
      <c r="AC1012">
        <f ca="1">Table1[[#This Row],[SI]]+Table1[[#This Row],[Disc/Prem]]</f>
        <v>612.5</v>
      </c>
      <c r="AD1012" s="3" t="e">
        <f ca="1">Table1[[#This Row],[Net Gain]]/Table1[[#This Row],[Ask Rate]]</f>
        <v>#DIV/0!</v>
      </c>
      <c r="AE1012" s="3">
        <f>IF(Table1[[#This Row],[Ask Qty]]=0,0,Table1[[#This Row],[Gross Yield]]*365/Table1[[#This Row],[Days Left]])</f>
        <v>0</v>
      </c>
      <c r="AF1012" s="9">
        <f ca="1">+Table1[[#This Row],[Net Gain]]*Table1[[#This Row],[Ask Qty]]</f>
        <v>0</v>
      </c>
      <c r="AG1012" t="str">
        <f>IF(Table1[[#This Row],[YTM]]&gt;0.12,IF(Table1[[#This Row],[Gross Profit]]&gt;10000,"Invest","Review"),"Low YTM")</f>
        <v>Low YTM</v>
      </c>
    </row>
    <row r="1013" spans="1:33" x14ac:dyDescent="0.3">
      <c r="A1013" t="str">
        <f>RTD("nest.scriprtd",,"bse_cm|830CIFC26","Symbol")</f>
        <v>830CIFC26</v>
      </c>
      <c r="B1013" t="str">
        <f>RTD("nest.scriprtd",,"bse_cm|830CIFC26","Trading Symbol")</f>
        <v>830CIFC26</v>
      </c>
      <c r="C1013" t="str">
        <f>RTD("nest.scriprtd",,"bse_cm|830CIFC26","Exchange")</f>
        <v>BSE</v>
      </c>
      <c r="D1013">
        <f>RTD("nest.scriprtd",,"bse_cm|830CIFC26","Bid Qty")</f>
        <v>25</v>
      </c>
      <c r="E1013">
        <f>RTD("nest.scriprtd",,"bse_cm|830CIFC26","Bid Rate")</f>
        <v>1015.02</v>
      </c>
      <c r="F1013">
        <f>RTD("nest.scriprtd",,"bse_cm|830CIFC26","Ask Rate")</f>
        <v>0</v>
      </c>
      <c r="G1013">
        <f>RTD("nest.scriprtd",,"bse_cm|830CIFC26","Ask Qty")</f>
        <v>0</v>
      </c>
      <c r="H1013">
        <f>RTD("nest.scriprtd",,"bse_cm|830CIFC26","LTP")</f>
        <v>0</v>
      </c>
      <c r="I1013" t="str">
        <f>RTD("nest.scriprtd",,"bse_cm|830CIFC26","LTT")</f>
        <v>00:00:00</v>
      </c>
      <c r="J1013">
        <f>RTD("nest.scriprtd",,"bse_cm|830CIFC26","% Change")</f>
        <v>-100</v>
      </c>
      <c r="K1013">
        <f>RTD("nest.scriprtd",,"bse_cm|830CIFC26","ATP")</f>
        <v>0</v>
      </c>
      <c r="L1013">
        <f>RTD("nest.scriprtd",,"bse_cm|830CIFC26","Volume Traded Today")</f>
        <v>0</v>
      </c>
      <c r="M1013">
        <f>RTD("nest.scriprtd",,"bse_cm|830CIFC26","Open")</f>
        <v>0</v>
      </c>
      <c r="N1013">
        <f>RTD("nest.scriprtd",,"bse_cm|830CIFC26","High")</f>
        <v>1030</v>
      </c>
      <c r="O1013">
        <f>RTD("nest.scriprtd",,"bse_cm|830CIFC26","Low ")</f>
        <v>1029</v>
      </c>
      <c r="P1013">
        <f>RTD("nest.scriprtd",,"bse_cm|830CIFC26","Prev Close")</f>
        <v>1030</v>
      </c>
      <c r="Q1013">
        <f>RTD("nest.scriprtd",,"bse_cm|830CIFC26","Face Value")</f>
        <v>1000</v>
      </c>
      <c r="R1013" t="str">
        <f>RTD("nest.scriprtd",,"bse_cm|830CIFC26","Isin code")</f>
        <v>INE121A07QW3</v>
      </c>
      <c r="S1013" s="9">
        <f>Table1[[#This Row],[Ask Rate]]*Table1[[#This Row],[Ask Qty]]</f>
        <v>0</v>
      </c>
      <c r="T1013">
        <f>VLOOKUP(Table1[[#This Row],[Isin code]],Table2[#All],7,FALSE)</f>
        <v>8.3000000000000007</v>
      </c>
      <c r="U1013" s="17" t="str">
        <f>VLOOKUP(Table1[[#This Row],[Isin code]],Table2[#All],8,FALSE)</f>
        <v>04-Jun-2026</v>
      </c>
      <c r="V1013" s="10">
        <f ca="1">Table1[[#This Row],[Maturity]]-TODAY()</f>
        <v>596</v>
      </c>
      <c r="W1013" t="str">
        <f>VLOOKUP(Table1[[#This Row],[Isin code]],Table2[#All],10,FALSE)</f>
        <v>Yearly</v>
      </c>
      <c r="X1013">
        <f ca="1">_xlfn.DAYS(Table1[[#This Row],[Maturity]],TODAY())-15</f>
        <v>581</v>
      </c>
      <c r="Y10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013">
        <f>IF(Table1[[#This Row],[Ask Rate]]=0,0,Table1[[#This Row],[Face Value]]-Table1[[#This Row],[Ask Rate]])</f>
        <v>0</v>
      </c>
      <c r="AA1013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1013">
        <f ca="1">Table1[[#This Row],[Face Value]]*Table1[[#This Row],[Rate]]*Table1[[#This Row],[Time]]</f>
        <v>166</v>
      </c>
      <c r="AC1013">
        <f ca="1">Table1[[#This Row],[SI]]+Table1[[#This Row],[Disc/Prem]]</f>
        <v>166</v>
      </c>
      <c r="AD1013" s="3" t="e">
        <f ca="1">Table1[[#This Row],[Net Gain]]/Table1[[#This Row],[Ask Rate]]</f>
        <v>#DIV/0!</v>
      </c>
      <c r="AE1013" s="3">
        <f>IF(Table1[[#This Row],[Ask Qty]]=0,0,Table1[[#This Row],[Gross Yield]]*365/Table1[[#This Row],[Days Left]])</f>
        <v>0</v>
      </c>
      <c r="AF1013" s="9">
        <f ca="1">+Table1[[#This Row],[Net Gain]]*Table1[[#This Row],[Ask Qty]]</f>
        <v>0</v>
      </c>
      <c r="AG1013" t="str">
        <f>IF(Table1[[#This Row],[YTM]]&gt;0.12,IF(Table1[[#This Row],[Gross Profit]]&gt;10000,"Invest","Review"),"Low YTM")</f>
        <v>Low YTM</v>
      </c>
    </row>
    <row r="1014" spans="1:33" hidden="1" x14ac:dyDescent="0.3">
      <c r="A1014" t="str">
        <f>RTD("nest.scriprtd",,"nse_cm|82TCHF25-N5","Symbol")</f>
        <v>82TCHF25</v>
      </c>
      <c r="B1014" t="str">
        <f>RTD("nest.scriprtd",,"nse_cm|82TCHF25-N5","Trading Symbol")</f>
        <v>82TCHF25-N5</v>
      </c>
      <c r="C1014" t="str">
        <f>RTD("nest.scriprtd",,"nse_cm|82TCHF25-N5","Exchange")</f>
        <v>NSE</v>
      </c>
      <c r="D1014">
        <f>RTD("nest.scriprtd",,"nse_cm|82TCHF25-N5","Bid Qty")</f>
        <v>20</v>
      </c>
      <c r="E1014">
        <f>RTD("nest.scriprtd",,"nse_cm|82TCHF25-N5","Bid Rate")</f>
        <v>925.2</v>
      </c>
      <c r="F1014">
        <f>RTD("nest.scriprtd",,"nse_cm|82TCHF25-N5","Ask Rate")</f>
        <v>0</v>
      </c>
      <c r="G1014">
        <f>RTD("nest.scriprtd",,"nse_cm|82TCHF25-N5","Ask Qty")</f>
        <v>0</v>
      </c>
      <c r="H1014">
        <f>RTD("nest.scriprtd",,"nse_cm|82TCHF25-N5","LTP")</f>
        <v>0</v>
      </c>
      <c r="I1014" t="str">
        <f>RTD("nest.scriprtd",,"nse_cm|82TCHF25-N5","LTT")</f>
        <v/>
      </c>
      <c r="J1014">
        <f>RTD("nest.scriprtd",,"nse_cm|82TCHF25-N5","% Change")</f>
        <v>-100</v>
      </c>
      <c r="K1014">
        <f>RTD("nest.scriprtd",,"nse_cm|82TCHF25-N5","ATP")</f>
        <v>0</v>
      </c>
      <c r="L1014">
        <f>RTD("nest.scriprtd",,"nse_cm|82TCHF25-N5","Volume Traded Today")</f>
        <v>0</v>
      </c>
      <c r="M1014">
        <f>RTD("nest.scriprtd",,"nse_cm|82TCHF25-N5","Open")</f>
        <v>0</v>
      </c>
      <c r="N1014">
        <f>RTD("nest.scriprtd",,"nse_cm|82TCHF25-N5","High")</f>
        <v>0</v>
      </c>
      <c r="O1014">
        <f>RTD("nest.scriprtd",,"nse_cm|82TCHF25-N5","Low ")</f>
        <v>0</v>
      </c>
      <c r="P1014">
        <f>RTD("nest.scriprtd",,"nse_cm|82TCHF25-N5","Prev Close")</f>
        <v>1000</v>
      </c>
      <c r="Q1014">
        <f>RTD("nest.scriprtd",,"nse_cm|82TCHF25-N5","Face Value")</f>
        <v>1000</v>
      </c>
      <c r="R1014" t="str">
        <f>RTD("nest.scriprtd",,"nse_cm|82TCHF25-N5","Isin code")</f>
        <v>INE033L07GP2</v>
      </c>
      <c r="S1014" s="9">
        <f>Table1[[#This Row],[Ask Rate]]*Table1[[#This Row],[Ask Qty]]</f>
        <v>0</v>
      </c>
      <c r="T1014">
        <f>VLOOKUP(Table1[[#This Row],[Isin code]],Table2[#All],7,FALSE)</f>
        <v>8.1999999999999993</v>
      </c>
      <c r="U1014" s="17" t="str">
        <f>VLOOKUP(Table1[[#This Row],[Isin code]],Table2[#All],8,FALSE)</f>
        <v>14-Jan-2025</v>
      </c>
      <c r="V1014" s="10">
        <f ca="1">Table1[[#This Row],[Maturity]]-TODAY()</f>
        <v>90</v>
      </c>
      <c r="W1014" t="str">
        <f>VLOOKUP(Table1[[#This Row],[Isin code]],Table2[#All],10,FALSE)</f>
        <v>Yearly</v>
      </c>
      <c r="X1014">
        <f ca="1">_xlfn.DAYS(Table1[[#This Row],[Maturity]],TODAY())-15</f>
        <v>75</v>
      </c>
      <c r="Y10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014">
        <f>IF(Table1[[#This Row],[Ask Rate]]=0,0,Table1[[#This Row],[Face Value]]-Table1[[#This Row],[Ask Rate]])</f>
        <v>0</v>
      </c>
      <c r="AA1014">
        <f>IF(Table1[[#This Row],[Freq]]="Yearly",Table1[[#This Row],[Coupon_Rate]]/100,IF(Table1[[#This Row],[Freq]]="Monthly",Table1[[#This Row],[Coupon_Rate]]/1200,IF(Table1[[#This Row],[Freq]]="Quarterly",Table1[[#This Row],[Coupon_Rate]]/400,0)))</f>
        <v>8.199999999999999E-2</v>
      </c>
      <c r="AB1014">
        <f ca="1">Table1[[#This Row],[Face Value]]*Table1[[#This Row],[Rate]]*Table1[[#This Row],[Time]]</f>
        <v>81.999999999999986</v>
      </c>
      <c r="AC1014">
        <f ca="1">Table1[[#This Row],[SI]]+Table1[[#This Row],[Disc/Prem]]</f>
        <v>81.999999999999986</v>
      </c>
      <c r="AD1014" s="3" t="e">
        <f ca="1">Table1[[#This Row],[Net Gain]]/Table1[[#This Row],[Ask Rate]]</f>
        <v>#DIV/0!</v>
      </c>
      <c r="AE1014" s="3">
        <f>IF(Table1[[#This Row],[Ask Qty]]=0,0,Table1[[#This Row],[Gross Yield]]*365/Table1[[#This Row],[Days Left]])</f>
        <v>0</v>
      </c>
      <c r="AF1014" s="9">
        <f ca="1">+Table1[[#This Row],[Net Gain]]*Table1[[#This Row],[Ask Qty]]</f>
        <v>0</v>
      </c>
      <c r="AG1014" t="str">
        <f>IF(Table1[[#This Row],[YTM]]&gt;0.12,IF(Table1[[#This Row],[Gross Profit]]&gt;10000,"Invest","Review"),"Low YTM")</f>
        <v>Low YTM</v>
      </c>
    </row>
    <row r="1015" spans="1:33" hidden="1" x14ac:dyDescent="0.3">
      <c r="A1015" t="str">
        <f>RTD("nest.scriprtd",,"bse_cm|82TCHF25","Symbol")</f>
        <v>82TCHF25</v>
      </c>
      <c r="B1015" t="str">
        <f>RTD("nest.scriprtd",,"bse_cm|82TCHF25","Trading Symbol")</f>
        <v>82TCHF25</v>
      </c>
      <c r="C1015" t="str">
        <f>RTD("nest.scriprtd",,"bse_cm|82TCHF25","Exchange")</f>
        <v>BSE</v>
      </c>
      <c r="D1015">
        <f>RTD("nest.scriprtd",,"bse_cm|82TCHF25","Bid Qty")</f>
        <v>20</v>
      </c>
      <c r="E1015">
        <f>RTD("nest.scriprtd",,"bse_cm|82TCHF25","Bid Rate")</f>
        <v>905.2</v>
      </c>
      <c r="F1015">
        <f>RTD("nest.scriprtd",,"bse_cm|82TCHF25","Ask Rate")</f>
        <v>0</v>
      </c>
      <c r="G1015">
        <f>RTD("nest.scriprtd",,"bse_cm|82TCHF25","Ask Qty")</f>
        <v>0</v>
      </c>
      <c r="H1015">
        <f>RTD("nest.scriprtd",,"bse_cm|82TCHF25","LTP")</f>
        <v>0</v>
      </c>
      <c r="I1015" t="str">
        <f>RTD("nest.scriprtd",,"bse_cm|82TCHF25","LTT")</f>
        <v>00:00:00</v>
      </c>
      <c r="J1015">
        <f>RTD("nest.scriprtd",,"bse_cm|82TCHF25","% Change")</f>
        <v>-100</v>
      </c>
      <c r="K1015">
        <f>RTD("nest.scriprtd",,"bse_cm|82TCHF25","ATP")</f>
        <v>0</v>
      </c>
      <c r="L1015">
        <f>RTD("nest.scriprtd",,"bse_cm|82TCHF25","Volume Traded Today")</f>
        <v>0</v>
      </c>
      <c r="M1015">
        <f>RTD("nest.scriprtd",,"bse_cm|82TCHF25","Open")</f>
        <v>0</v>
      </c>
      <c r="N1015">
        <f>RTD("nest.scriprtd",,"bse_cm|82TCHF25","High")</f>
        <v>0</v>
      </c>
      <c r="O1015">
        <f>RTD("nest.scriprtd",,"bse_cm|82TCHF25","Low ")</f>
        <v>0</v>
      </c>
      <c r="P1015">
        <f>RTD("nest.scriprtd",,"bse_cm|82TCHF25","Prev Close")</f>
        <v>1065</v>
      </c>
      <c r="Q1015">
        <f>RTD("nest.scriprtd",,"bse_cm|82TCHF25","Face Value")</f>
        <v>1000</v>
      </c>
      <c r="R1015" t="str">
        <f>RTD("nest.scriprtd",,"bse_cm|82TCHF25","Isin code")</f>
        <v>INE033L07GP2</v>
      </c>
      <c r="S1015" s="9">
        <f>Table1[[#This Row],[Ask Rate]]*Table1[[#This Row],[Ask Qty]]</f>
        <v>0</v>
      </c>
      <c r="T1015">
        <f>VLOOKUP(Table1[[#This Row],[Isin code]],Table2[#All],7,FALSE)</f>
        <v>8.1999999999999993</v>
      </c>
      <c r="U1015" s="17" t="str">
        <f>VLOOKUP(Table1[[#This Row],[Isin code]],Table2[#All],8,FALSE)</f>
        <v>14-Jan-2025</v>
      </c>
      <c r="V1015" s="10">
        <f ca="1">Table1[[#This Row],[Maturity]]-TODAY()</f>
        <v>90</v>
      </c>
      <c r="W1015" t="str">
        <f>VLOOKUP(Table1[[#This Row],[Isin code]],Table2[#All],10,FALSE)</f>
        <v>Yearly</v>
      </c>
      <c r="X1015">
        <f ca="1">_xlfn.DAYS(Table1[[#This Row],[Maturity]],TODAY())-15</f>
        <v>75</v>
      </c>
      <c r="Y10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015">
        <f>IF(Table1[[#This Row],[Ask Rate]]=0,0,Table1[[#This Row],[Face Value]]-Table1[[#This Row],[Ask Rate]])</f>
        <v>0</v>
      </c>
      <c r="AA1015">
        <f>IF(Table1[[#This Row],[Freq]]="Yearly",Table1[[#This Row],[Coupon_Rate]]/100,IF(Table1[[#This Row],[Freq]]="Monthly",Table1[[#This Row],[Coupon_Rate]]/1200,IF(Table1[[#This Row],[Freq]]="Quarterly",Table1[[#This Row],[Coupon_Rate]]/400,0)))</f>
        <v>8.199999999999999E-2</v>
      </c>
      <c r="AB1015">
        <f ca="1">Table1[[#This Row],[Face Value]]*Table1[[#This Row],[Rate]]*Table1[[#This Row],[Time]]</f>
        <v>81.999999999999986</v>
      </c>
      <c r="AC1015">
        <f ca="1">Table1[[#This Row],[SI]]+Table1[[#This Row],[Disc/Prem]]</f>
        <v>81.999999999999986</v>
      </c>
      <c r="AD1015" s="3" t="e">
        <f ca="1">Table1[[#This Row],[Net Gain]]/Table1[[#This Row],[Ask Rate]]</f>
        <v>#DIV/0!</v>
      </c>
      <c r="AE1015" s="3">
        <f>IF(Table1[[#This Row],[Ask Qty]]=0,0,Table1[[#This Row],[Gross Yield]]*365/Table1[[#This Row],[Days Left]])</f>
        <v>0</v>
      </c>
      <c r="AF1015" s="9">
        <f ca="1">+Table1[[#This Row],[Net Gain]]*Table1[[#This Row],[Ask Qty]]</f>
        <v>0</v>
      </c>
      <c r="AG1015" t="str">
        <f>IF(Table1[[#This Row],[YTM]]&gt;0.12,IF(Table1[[#This Row],[Gross Profit]]&gt;10000,"Invest","Review"),"Low YTM")</f>
        <v>Low YTM</v>
      </c>
    </row>
    <row r="1016" spans="1:33" hidden="1" x14ac:dyDescent="0.3">
      <c r="A1016" t="str">
        <f>RTD("nest.scriprtd",,"nse_cm|810TCHFL27-ND","Symbol")</f>
        <v>810TCHFL27</v>
      </c>
      <c r="B1016" t="str">
        <f>RTD("nest.scriprtd",,"nse_cm|810TCHFL27-ND","Trading Symbol")</f>
        <v>810TCHFL27-ND</v>
      </c>
      <c r="C1016" t="str">
        <f>RTD("nest.scriprtd",,"nse_cm|810TCHFL27-ND","Exchange")</f>
        <v>NSE</v>
      </c>
      <c r="D1016">
        <f>RTD("nest.scriprtd",,"nse_cm|810TCHFL27-ND","Bid Qty")</f>
        <v>0</v>
      </c>
      <c r="E1016">
        <f>RTD("nest.scriprtd",,"nse_cm|810TCHFL27-ND","Bid Rate")</f>
        <v>0</v>
      </c>
      <c r="F1016">
        <f>RTD("nest.scriprtd",,"nse_cm|810TCHFL27-ND","Ask Rate")</f>
        <v>0</v>
      </c>
      <c r="G1016">
        <f>RTD("nest.scriprtd",,"nse_cm|810TCHFL27-ND","Ask Qty")</f>
        <v>0</v>
      </c>
      <c r="H1016">
        <f>RTD("nest.scriprtd",,"nse_cm|810TCHFL27-ND","LTP")</f>
        <v>0</v>
      </c>
      <c r="I1016" t="str">
        <f>RTD("nest.scriprtd",,"nse_cm|810TCHFL27-ND","LTT")</f>
        <v/>
      </c>
      <c r="J1016">
        <f>RTD("nest.scriprtd",,"nse_cm|810TCHFL27-ND","% Change")</f>
        <v>0</v>
      </c>
      <c r="K1016">
        <f>RTD("nest.scriprtd",,"nse_cm|810TCHFL27-ND","ATP")</f>
        <v>0</v>
      </c>
      <c r="L1016">
        <f>RTD("nest.scriprtd",,"nse_cm|810TCHFL27-ND","Volume Traded Today")</f>
        <v>0</v>
      </c>
      <c r="M1016">
        <f>RTD("nest.scriprtd",,"nse_cm|810TCHFL27-ND","Open")</f>
        <v>0</v>
      </c>
      <c r="N1016">
        <f>RTD("nest.scriprtd",,"nse_cm|810TCHFL27-ND","High")</f>
        <v>0</v>
      </c>
      <c r="O1016">
        <f>RTD("nest.scriprtd",,"nse_cm|810TCHFL27-ND","Low ")</f>
        <v>0</v>
      </c>
      <c r="P1016">
        <f>RTD("nest.scriprtd",,"nse_cm|810TCHFL27-ND","Prev Close")</f>
        <v>0</v>
      </c>
      <c r="Q1016">
        <f>RTD("nest.scriprtd",,"nse_cm|810TCHFL27-ND","Face Value")</f>
        <v>100000</v>
      </c>
      <c r="R1016" t="str">
        <f>RTD("nest.scriprtd",,"nse_cm|810TCHFL27-ND","Isin code")</f>
        <v>INE033L07IE2</v>
      </c>
      <c r="S1016" s="9">
        <f>Table1[[#This Row],[Ask Rate]]*Table1[[#This Row],[Ask Qty]]</f>
        <v>0</v>
      </c>
      <c r="T1016" t="str">
        <f>VLOOKUP(Table1[[#This Row],[Isin code]],Table2[#All],7,FALSE)</f>
        <v>x</v>
      </c>
      <c r="U1016" s="17" t="str">
        <f>VLOOKUP(Table1[[#This Row],[Isin code]],Table2[#All],8,FALSE)</f>
        <v>x</v>
      </c>
      <c r="V1016" s="10" t="e">
        <f ca="1">Table1[[#This Row],[Maturity]]-TODAY()</f>
        <v>#VALUE!</v>
      </c>
      <c r="W1016" t="str">
        <f>VLOOKUP(Table1[[#This Row],[Isin code]],Table2[#All],10,FALSE)</f>
        <v>x</v>
      </c>
      <c r="X1016" t="e">
        <f ca="1">_xlfn.DAYS(Table1[[#This Row],[Maturity]],TODAY())-15</f>
        <v>#VALUE!</v>
      </c>
      <c r="Y101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16">
        <f>IF(Table1[[#This Row],[Ask Rate]]=0,0,Table1[[#This Row],[Face Value]]-Table1[[#This Row],[Ask Rate]])</f>
        <v>0</v>
      </c>
      <c r="AA101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16">
        <f>Table1[[#This Row],[Face Value]]*Table1[[#This Row],[Rate]]*Table1[[#This Row],[Time]]</f>
        <v>0</v>
      </c>
      <c r="AC1016">
        <f>Table1[[#This Row],[SI]]+Table1[[#This Row],[Disc/Prem]]</f>
        <v>0</v>
      </c>
      <c r="AD1016" s="3" t="e">
        <f>Table1[[#This Row],[Net Gain]]/Table1[[#This Row],[Ask Rate]]</f>
        <v>#DIV/0!</v>
      </c>
      <c r="AE1016" s="3">
        <f>IF(Table1[[#This Row],[Ask Qty]]=0,0,Table1[[#This Row],[Gross Yield]]*365/Table1[[#This Row],[Days Left]])</f>
        <v>0</v>
      </c>
      <c r="AF1016" s="9">
        <f>+Table1[[#This Row],[Net Gain]]*Table1[[#This Row],[Ask Qty]]</f>
        <v>0</v>
      </c>
      <c r="AG1016" t="str">
        <f>IF(Table1[[#This Row],[YTM]]&gt;0.12,IF(Table1[[#This Row],[Gross Profit]]&gt;10000,"Invest","Review"),"Low YTM")</f>
        <v>Low YTM</v>
      </c>
    </row>
    <row r="1017" spans="1:33" x14ac:dyDescent="0.3">
      <c r="A1017" t="str">
        <f>RTD("nest.scriprtd",,"bse_cm|102SMCGS27","Symbol")</f>
        <v>102SMCGS27</v>
      </c>
      <c r="B1017" t="str">
        <f>RTD("nest.scriprtd",,"bse_cm|102SMCGS27","Trading Symbol")</f>
        <v>102SMCGS27</v>
      </c>
      <c r="C1017" t="str">
        <f>RTD("nest.scriprtd",,"bse_cm|102SMCGS27","Exchange")</f>
        <v>BSE</v>
      </c>
      <c r="D1017">
        <f>RTD("nest.scriprtd",,"bse_cm|102SMCGS27","Bid Qty")</f>
        <v>13</v>
      </c>
      <c r="E1017">
        <f>RTD("nest.scriprtd",,"bse_cm|102SMCGS27","Bid Rate")</f>
        <v>825.5</v>
      </c>
      <c r="F1017">
        <f>RTD("nest.scriprtd",,"bse_cm|102SMCGS27","Ask Rate")</f>
        <v>0</v>
      </c>
      <c r="G1017">
        <f>RTD("nest.scriprtd",,"bse_cm|102SMCGS27","Ask Qty")</f>
        <v>0</v>
      </c>
      <c r="H1017">
        <f>RTD("nest.scriprtd",,"bse_cm|102SMCGS27","LTP")</f>
        <v>0</v>
      </c>
      <c r="I1017" t="str">
        <f>RTD("nest.scriprtd",,"bse_cm|102SMCGS27","LTT")</f>
        <v>00:00:00</v>
      </c>
      <c r="J1017">
        <f>RTD("nest.scriprtd",,"bse_cm|102SMCGS27","% Change")</f>
        <v>-100</v>
      </c>
      <c r="K1017">
        <f>RTD("nest.scriprtd",,"bse_cm|102SMCGS27","ATP")</f>
        <v>0</v>
      </c>
      <c r="L1017">
        <f>RTD("nest.scriprtd",,"bse_cm|102SMCGS27","Volume Traded Today")</f>
        <v>0</v>
      </c>
      <c r="M1017">
        <f>RTD("nest.scriprtd",,"bse_cm|102SMCGS27","Open")</f>
        <v>0</v>
      </c>
      <c r="N1017">
        <f>RTD("nest.scriprtd",,"bse_cm|102SMCGS27","High")</f>
        <v>0</v>
      </c>
      <c r="O1017">
        <f>RTD("nest.scriprtd",,"bse_cm|102SMCGS27","Low ")</f>
        <v>0</v>
      </c>
      <c r="P1017">
        <f>RTD("nest.scriprtd",,"bse_cm|102SMCGS27","Prev Close")</f>
        <v>1000</v>
      </c>
      <c r="Q1017">
        <f>RTD("nest.scriprtd",,"bse_cm|102SMCGS27","Face Value")</f>
        <v>1000</v>
      </c>
      <c r="R1017" t="str">
        <f>RTD("nest.scriprtd",,"bse_cm|102SMCGS27","Isin code")</f>
        <v>INE103C07017</v>
      </c>
      <c r="S1017" s="9">
        <f>Table1[[#This Row],[Ask Rate]]*Table1[[#This Row],[Ask Qty]]</f>
        <v>0</v>
      </c>
      <c r="T1017">
        <f>VLOOKUP(Table1[[#This Row],[Isin code]],Table2[#All],7,FALSE)</f>
        <v>10.199999999999999</v>
      </c>
      <c r="U1017" s="17" t="str">
        <f>VLOOKUP(Table1[[#This Row],[Isin code]],Table2[#All],8,FALSE)</f>
        <v>07-Aug-2027</v>
      </c>
      <c r="V1017" s="10">
        <f ca="1">Table1[[#This Row],[Maturity]]-TODAY()</f>
        <v>1025</v>
      </c>
      <c r="W1017" t="str">
        <f>VLOOKUP(Table1[[#This Row],[Isin code]],Table2[#All],10,FALSE)</f>
        <v>Yearly</v>
      </c>
      <c r="X1017">
        <f ca="1">_xlfn.DAYS(Table1[[#This Row],[Maturity]],TODAY())-15</f>
        <v>1010</v>
      </c>
      <c r="Y10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17">
        <f>IF(Table1[[#This Row],[Ask Rate]]=0,0,Table1[[#This Row],[Face Value]]-Table1[[#This Row],[Ask Rate]])</f>
        <v>0</v>
      </c>
      <c r="AA1017">
        <f>IF(Table1[[#This Row],[Freq]]="Yearly",Table1[[#This Row],[Coupon_Rate]]/100,IF(Table1[[#This Row],[Freq]]="Monthly",Table1[[#This Row],[Coupon_Rate]]/1200,IF(Table1[[#This Row],[Freq]]="Quarterly",Table1[[#This Row],[Coupon_Rate]]/400,0)))</f>
        <v>0.10199999999999999</v>
      </c>
      <c r="AB1017">
        <f ca="1">Table1[[#This Row],[Face Value]]*Table1[[#This Row],[Rate]]*Table1[[#This Row],[Time]]</f>
        <v>306</v>
      </c>
      <c r="AC1017">
        <f ca="1">Table1[[#This Row],[SI]]+Table1[[#This Row],[Disc/Prem]]</f>
        <v>306</v>
      </c>
      <c r="AD1017" s="3" t="e">
        <f ca="1">Table1[[#This Row],[Net Gain]]/Table1[[#This Row],[Ask Rate]]</f>
        <v>#DIV/0!</v>
      </c>
      <c r="AE1017" s="3">
        <f>IF(Table1[[#This Row],[Ask Qty]]=0,0,Table1[[#This Row],[Gross Yield]]*365/Table1[[#This Row],[Days Left]])</f>
        <v>0</v>
      </c>
      <c r="AF1017" s="9">
        <f ca="1">+Table1[[#This Row],[Net Gain]]*Table1[[#This Row],[Ask Qty]]</f>
        <v>0</v>
      </c>
      <c r="AG1017" t="str">
        <f>IF(Table1[[#This Row],[YTM]]&gt;0.12,IF(Table1[[#This Row],[Gross Profit]]&gt;10000,"Invest","Review"),"Low YTM")</f>
        <v>Low YTM</v>
      </c>
    </row>
    <row r="1018" spans="1:33" x14ac:dyDescent="0.3">
      <c r="A1018" t="str">
        <f>RTD("nest.scriprtd",,"bse_cm|1026NIDO34","Symbol")</f>
        <v>1026NIDO34</v>
      </c>
      <c r="B1018" t="str">
        <f>RTD("nest.scriprtd",,"bse_cm|1026NIDO34","Trading Symbol")</f>
        <v>1026NIDO34</v>
      </c>
      <c r="C1018" t="str">
        <f>RTD("nest.scriprtd",,"bse_cm|1026NIDO34","Exchange")</f>
        <v>BSE</v>
      </c>
      <c r="D1018">
        <f>RTD("nest.scriprtd",,"bse_cm|1026NIDO34","Bid Qty")</f>
        <v>25</v>
      </c>
      <c r="E1018">
        <f>RTD("nest.scriprtd",,"bse_cm|1026NIDO34","Bid Rate")</f>
        <v>900</v>
      </c>
      <c r="F1018">
        <f>RTD("nest.scriprtd",,"bse_cm|1026NIDO34","Ask Rate")</f>
        <v>0</v>
      </c>
      <c r="G1018">
        <f>RTD("nest.scriprtd",,"bse_cm|1026NIDO34","Ask Qty")</f>
        <v>0</v>
      </c>
      <c r="H1018">
        <f>RTD("nest.scriprtd",,"bse_cm|1026NIDO34","LTP")</f>
        <v>0</v>
      </c>
      <c r="I1018" t="str">
        <f>RTD("nest.scriprtd",,"bse_cm|1026NIDO34","LTT")</f>
        <v>00:00:00</v>
      </c>
      <c r="J1018">
        <f>RTD("nest.scriprtd",,"bse_cm|1026NIDO34","% Change")</f>
        <v>-100</v>
      </c>
      <c r="K1018">
        <f>RTD("nest.scriprtd",,"bse_cm|1026NIDO34","ATP")</f>
        <v>0</v>
      </c>
      <c r="L1018">
        <f>RTD("nest.scriprtd",,"bse_cm|1026NIDO34","Volume Traded Today")</f>
        <v>0</v>
      </c>
      <c r="M1018">
        <f>RTD("nest.scriprtd",,"bse_cm|1026NIDO34","Open")</f>
        <v>0</v>
      </c>
      <c r="N1018">
        <f>RTD("nest.scriprtd",,"bse_cm|1026NIDO34","High")</f>
        <v>901</v>
      </c>
      <c r="O1018">
        <f>RTD("nest.scriprtd",,"bse_cm|1026NIDO34","Low ")</f>
        <v>901</v>
      </c>
      <c r="P1018">
        <f>RTD("nest.scriprtd",,"bse_cm|1026NIDO34","Prev Close")</f>
        <v>901</v>
      </c>
      <c r="Q1018">
        <f>RTD("nest.scriprtd",,"bse_cm|1026NIDO34","Face Value")</f>
        <v>1000</v>
      </c>
      <c r="R1018" t="str">
        <f>RTD("nest.scriprtd",,"bse_cm|1026NIDO34","Isin code")</f>
        <v>INE530L07673</v>
      </c>
      <c r="S1018" s="9">
        <f>Table1[[#This Row],[Ask Rate]]*Table1[[#This Row],[Ask Qty]]</f>
        <v>0</v>
      </c>
      <c r="T1018">
        <f>VLOOKUP(Table1[[#This Row],[Isin code]],Table2[#All],7,FALSE)</f>
        <v>10.26</v>
      </c>
      <c r="U1018" s="17" t="str">
        <f>VLOOKUP(Table1[[#This Row],[Isin code]],Table2[#All],8,FALSE)</f>
        <v>01-Mar-2034</v>
      </c>
      <c r="V1018" s="10">
        <f ca="1">Table1[[#This Row],[Maturity]]-TODAY()</f>
        <v>3423</v>
      </c>
      <c r="W1018" t="str">
        <f>VLOOKUP(Table1[[#This Row],[Isin code]],Table2[#All],10,FALSE)</f>
        <v>Monthly</v>
      </c>
      <c r="X1018">
        <f ca="1">_xlfn.DAYS(Table1[[#This Row],[Maturity]],TODAY())-15</f>
        <v>3408</v>
      </c>
      <c r="Y10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114</v>
      </c>
      <c r="Z1018">
        <f>IF(Table1[[#This Row],[Ask Rate]]=0,0,Table1[[#This Row],[Face Value]]-Table1[[#This Row],[Ask Rate]])</f>
        <v>0</v>
      </c>
      <c r="AA1018">
        <f>IF(Table1[[#This Row],[Freq]]="Yearly",Table1[[#This Row],[Coupon_Rate]]/100,IF(Table1[[#This Row],[Freq]]="Monthly",Table1[[#This Row],[Coupon_Rate]]/1200,IF(Table1[[#This Row],[Freq]]="Quarterly",Table1[[#This Row],[Coupon_Rate]]/400,0)))</f>
        <v>8.5500000000000003E-3</v>
      </c>
      <c r="AB1018">
        <f ca="1">Table1[[#This Row],[Face Value]]*Table1[[#This Row],[Rate]]*Table1[[#This Row],[Time]]</f>
        <v>974.7</v>
      </c>
      <c r="AC1018">
        <f ca="1">Table1[[#This Row],[SI]]+Table1[[#This Row],[Disc/Prem]]</f>
        <v>974.7</v>
      </c>
      <c r="AD1018" s="3" t="e">
        <f ca="1">Table1[[#This Row],[Net Gain]]/Table1[[#This Row],[Ask Rate]]</f>
        <v>#DIV/0!</v>
      </c>
      <c r="AE1018" s="3">
        <f>IF(Table1[[#This Row],[Ask Qty]]=0,0,Table1[[#This Row],[Gross Yield]]*365/Table1[[#This Row],[Days Left]])</f>
        <v>0</v>
      </c>
      <c r="AF1018" s="9">
        <f ca="1">+Table1[[#This Row],[Net Gain]]*Table1[[#This Row],[Ask Qty]]</f>
        <v>0</v>
      </c>
      <c r="AG1018" t="str">
        <f>IF(Table1[[#This Row],[YTM]]&gt;0.12,IF(Table1[[#This Row],[Gross Profit]]&gt;10000,"Invest","Review"),"Low YTM")</f>
        <v>Low YTM</v>
      </c>
    </row>
    <row r="1019" spans="1:33" x14ac:dyDescent="0.3">
      <c r="A1019" t="str">
        <f>RTD("nest.scriprtd",,"bse_cm|1025UCL27","Symbol")</f>
        <v>1025UCL27</v>
      </c>
      <c r="B1019" t="str">
        <f>RTD("nest.scriprtd",,"bse_cm|1025UCL27","Trading Symbol")</f>
        <v>1025UCL27</v>
      </c>
      <c r="C1019" t="str">
        <f>RTD("nest.scriprtd",,"bse_cm|1025UCL27","Exchange")</f>
        <v>BSE</v>
      </c>
      <c r="D1019">
        <f>RTD("nest.scriprtd",,"bse_cm|1025UCL27","Bid Qty")</f>
        <v>2</v>
      </c>
      <c r="E1019">
        <f>RTD("nest.scriprtd",,"bse_cm|1025UCL27","Bid Rate")</f>
        <v>82008</v>
      </c>
      <c r="F1019">
        <f>RTD("nest.scriprtd",,"bse_cm|1025UCL27","Ask Rate")</f>
        <v>0</v>
      </c>
      <c r="G1019">
        <f>RTD("nest.scriprtd",,"bse_cm|1025UCL27","Ask Qty")</f>
        <v>0</v>
      </c>
      <c r="H1019">
        <f>RTD("nest.scriprtd",,"bse_cm|1025UCL27","LTP")</f>
        <v>0</v>
      </c>
      <c r="I1019" t="str">
        <f>RTD("nest.scriprtd",,"bse_cm|1025UCL27","LTT")</f>
        <v>00:00:00</v>
      </c>
      <c r="J1019">
        <f>RTD("nest.scriprtd",,"bse_cm|1025UCL27","% Change")</f>
        <v>-100</v>
      </c>
      <c r="K1019">
        <f>RTD("nest.scriprtd",,"bse_cm|1025UCL27","ATP")</f>
        <v>0</v>
      </c>
      <c r="L1019">
        <f>RTD("nest.scriprtd",,"bse_cm|1025UCL27","Volume Traded Today")</f>
        <v>0</v>
      </c>
      <c r="M1019">
        <f>RTD("nest.scriprtd",,"bse_cm|1025UCL27","Open")</f>
        <v>0</v>
      </c>
      <c r="N1019">
        <f>RTD("nest.scriprtd",,"bse_cm|1025UCL27","High")</f>
        <v>0</v>
      </c>
      <c r="O1019">
        <f>RTD("nest.scriprtd",,"bse_cm|1025UCL27","Low ")</f>
        <v>0</v>
      </c>
      <c r="P1019">
        <f>RTD("nest.scriprtd",,"bse_cm|1025UCL27","Prev Close")</f>
        <v>100000</v>
      </c>
      <c r="Q1019">
        <f>RTD("nest.scriprtd",,"bse_cm|1025UCL27","Face Value")</f>
        <v>100000</v>
      </c>
      <c r="R1019" t="str">
        <f>RTD("nest.scriprtd",,"bse_cm|1025UCL27","Isin code")</f>
        <v>INE583D07471</v>
      </c>
      <c r="S1019" s="9">
        <f>Table1[[#This Row],[Ask Rate]]*Table1[[#This Row],[Ask Qty]]</f>
        <v>0</v>
      </c>
      <c r="T1019" t="str">
        <f>VLOOKUP(Table1[[#This Row],[Isin code]],Table2[#All],7,FALSE)</f>
        <v>--</v>
      </c>
      <c r="U1019" s="17" t="str">
        <f>VLOOKUP(Table1[[#This Row],[Isin code]],Table2[#All],8,FALSE)</f>
        <v>31-Dec-2099</v>
      </c>
      <c r="V1019" s="10">
        <f ca="1">Table1[[#This Row],[Maturity]]-TODAY()</f>
        <v>27469</v>
      </c>
      <c r="W1019" t="str">
        <f>VLOOKUP(Table1[[#This Row],[Isin code]],Table2[#All],10,FALSE)</f>
        <v>--</v>
      </c>
      <c r="X1019">
        <f ca="1">_xlfn.DAYS(Table1[[#This Row],[Maturity]],TODAY())-15</f>
        <v>27454</v>
      </c>
      <c r="Y101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19">
        <f>IF(Table1[[#This Row],[Ask Rate]]=0,0,Table1[[#This Row],[Face Value]]-Table1[[#This Row],[Ask Rate]])</f>
        <v>0</v>
      </c>
      <c r="AA101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19">
        <f>Table1[[#This Row],[Face Value]]*Table1[[#This Row],[Rate]]*Table1[[#This Row],[Time]]</f>
        <v>0</v>
      </c>
      <c r="AC1019">
        <f>Table1[[#This Row],[SI]]+Table1[[#This Row],[Disc/Prem]]</f>
        <v>0</v>
      </c>
      <c r="AD1019" s="3" t="e">
        <f>Table1[[#This Row],[Net Gain]]/Table1[[#This Row],[Ask Rate]]</f>
        <v>#DIV/0!</v>
      </c>
      <c r="AE1019" s="3">
        <f>IF(Table1[[#This Row],[Ask Qty]]=0,0,Table1[[#This Row],[Gross Yield]]*365/Table1[[#This Row],[Days Left]])</f>
        <v>0</v>
      </c>
      <c r="AF1019" s="9">
        <f>+Table1[[#This Row],[Net Gain]]*Table1[[#This Row],[Ask Qty]]</f>
        <v>0</v>
      </c>
      <c r="AG1019" t="str">
        <f>IF(Table1[[#This Row],[YTM]]&gt;0.12,IF(Table1[[#This Row],[Gross Profit]]&gt;10000,"Invest","Review"),"Low YTM")</f>
        <v>Low YTM</v>
      </c>
    </row>
    <row r="1020" spans="1:33" x14ac:dyDescent="0.3">
      <c r="A1020" t="str">
        <f>RTD("nest.scriprtd",,"bse_cm|1075SCFL34","Symbol")</f>
        <v>1075SCFL34</v>
      </c>
      <c r="B1020" t="str">
        <f>RTD("nest.scriprtd",,"bse_cm|1075SCFL34","Trading Symbol")</f>
        <v>1075SCFL34</v>
      </c>
      <c r="C1020" t="str">
        <f>RTD("nest.scriprtd",,"bse_cm|1075SCFL34","Exchange")</f>
        <v>BSE</v>
      </c>
      <c r="D1020">
        <f>RTD("nest.scriprtd",,"bse_cm|1075SCFL34","Bid Qty")</f>
        <v>20</v>
      </c>
      <c r="E1020">
        <f>RTD("nest.scriprtd",,"bse_cm|1075SCFL34","Bid Rate")</f>
        <v>810.2</v>
      </c>
      <c r="F1020">
        <f>RTD("nest.scriprtd",,"bse_cm|1075SCFL34","Ask Rate")</f>
        <v>0</v>
      </c>
      <c r="G1020">
        <f>RTD("nest.scriprtd",,"bse_cm|1075SCFL34","Ask Qty")</f>
        <v>0</v>
      </c>
      <c r="H1020">
        <f>RTD("nest.scriprtd",,"bse_cm|1075SCFL34","LTP")</f>
        <v>0</v>
      </c>
      <c r="I1020" t="str">
        <f>RTD("nest.scriprtd",,"bse_cm|1075SCFL34","LTT")</f>
        <v>00:00:00</v>
      </c>
      <c r="J1020">
        <f>RTD("nest.scriprtd",,"bse_cm|1075SCFL34","% Change")</f>
        <v>-100</v>
      </c>
      <c r="K1020">
        <f>RTD("nest.scriprtd",,"bse_cm|1075SCFL34","ATP")</f>
        <v>0</v>
      </c>
      <c r="L1020">
        <f>RTD("nest.scriprtd",,"bse_cm|1075SCFL34","Volume Traded Today")</f>
        <v>0</v>
      </c>
      <c r="M1020">
        <f>RTD("nest.scriprtd",,"bse_cm|1075SCFL34","Open")</f>
        <v>0</v>
      </c>
      <c r="N1020">
        <f>RTD("nest.scriprtd",,"bse_cm|1075SCFL34","High")</f>
        <v>959.8</v>
      </c>
      <c r="O1020">
        <f>RTD("nest.scriprtd",,"bse_cm|1075SCFL34","Low ")</f>
        <v>959.8</v>
      </c>
      <c r="P1020">
        <f>RTD("nest.scriprtd",,"bse_cm|1075SCFL34","Prev Close")</f>
        <v>959.8</v>
      </c>
      <c r="Q1020">
        <f>RTD("nest.scriprtd",,"bse_cm|1075SCFL34","Face Value")</f>
        <v>1000</v>
      </c>
      <c r="R1020" t="str">
        <f>RTD("nest.scriprtd",,"bse_cm|1075SCFL34","Isin code")</f>
        <v>INE148I07SR5</v>
      </c>
      <c r="S1020" s="9">
        <f>Table1[[#This Row],[Ask Rate]]*Table1[[#This Row],[Ask Qty]]</f>
        <v>0</v>
      </c>
      <c r="T1020">
        <f>VLOOKUP(Table1[[#This Row],[Isin code]],Table2[#All],7,FALSE)</f>
        <v>10.75</v>
      </c>
      <c r="U1020" s="17" t="str">
        <f>VLOOKUP(Table1[[#This Row],[Isin code]],Table2[#All],8,FALSE)</f>
        <v>26-Mar-2034</v>
      </c>
      <c r="V1020" s="10">
        <f ca="1">Table1[[#This Row],[Maturity]]-TODAY()</f>
        <v>3448</v>
      </c>
      <c r="W1020" t="str">
        <f>VLOOKUP(Table1[[#This Row],[Isin code]],Table2[#All],10,FALSE)</f>
        <v>Annual</v>
      </c>
      <c r="X1020">
        <f ca="1">_xlfn.DAYS(Table1[[#This Row],[Maturity]],TODAY())-15</f>
        <v>3433</v>
      </c>
      <c r="Y102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20">
        <f>IF(Table1[[#This Row],[Ask Rate]]=0,0,Table1[[#This Row],[Face Value]]-Table1[[#This Row],[Ask Rate]])</f>
        <v>0</v>
      </c>
      <c r="AA102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20">
        <f>Table1[[#This Row],[Face Value]]*Table1[[#This Row],[Rate]]*Table1[[#This Row],[Time]]</f>
        <v>0</v>
      </c>
      <c r="AC1020">
        <f>Table1[[#This Row],[SI]]+Table1[[#This Row],[Disc/Prem]]</f>
        <v>0</v>
      </c>
      <c r="AD1020" s="3" t="e">
        <f>Table1[[#This Row],[Net Gain]]/Table1[[#This Row],[Ask Rate]]</f>
        <v>#DIV/0!</v>
      </c>
      <c r="AE1020" s="3">
        <f>IF(Table1[[#This Row],[Ask Qty]]=0,0,Table1[[#This Row],[Gross Yield]]*365/Table1[[#This Row],[Days Left]])</f>
        <v>0</v>
      </c>
      <c r="AF1020" s="9">
        <f>+Table1[[#This Row],[Net Gain]]*Table1[[#This Row],[Ask Qty]]</f>
        <v>0</v>
      </c>
      <c r="AG1020" t="str">
        <f>IF(Table1[[#This Row],[YTM]]&gt;0.12,IF(Table1[[#This Row],[Gross Profit]]&gt;10000,"Invest","Review"),"Low YTM")</f>
        <v>Low YTM</v>
      </c>
    </row>
    <row r="1021" spans="1:33" x14ac:dyDescent="0.3">
      <c r="A1021" t="str">
        <f>RTD("nest.scriprtd",,"bse_cm|1075NIDO34","Symbol")</f>
        <v>1075NIDO34</v>
      </c>
      <c r="B1021" t="str">
        <f>RTD("nest.scriprtd",,"bse_cm|1075NIDO34","Trading Symbol")</f>
        <v>1075NIDO34</v>
      </c>
      <c r="C1021" t="str">
        <f>RTD("nest.scriprtd",,"bse_cm|1075NIDO34","Exchange")</f>
        <v>BSE</v>
      </c>
      <c r="D1021">
        <f>RTD("nest.scriprtd",,"bse_cm|1075NIDO34","Bid Qty")</f>
        <v>25</v>
      </c>
      <c r="E1021">
        <f>RTD("nest.scriprtd",,"bse_cm|1075NIDO34","Bid Rate")</f>
        <v>910</v>
      </c>
      <c r="F1021">
        <f>RTD("nest.scriprtd",,"bse_cm|1075NIDO34","Ask Rate")</f>
        <v>0</v>
      </c>
      <c r="G1021">
        <f>RTD("nest.scriprtd",,"bse_cm|1075NIDO34","Ask Qty")</f>
        <v>0</v>
      </c>
      <c r="H1021">
        <f>RTD("nest.scriprtd",,"bse_cm|1075NIDO34","LTP")</f>
        <v>0</v>
      </c>
      <c r="I1021" t="str">
        <f>RTD("nest.scriprtd",,"bse_cm|1075NIDO34","LTT")</f>
        <v>00:00:00</v>
      </c>
      <c r="J1021">
        <f>RTD("nest.scriprtd",,"bse_cm|1075NIDO34","% Change")</f>
        <v>-100</v>
      </c>
      <c r="K1021">
        <f>RTD("nest.scriprtd",,"bse_cm|1075NIDO34","ATP")</f>
        <v>0</v>
      </c>
      <c r="L1021">
        <f>RTD("nest.scriprtd",,"bse_cm|1075NIDO34","Volume Traded Today")</f>
        <v>0</v>
      </c>
      <c r="M1021">
        <f>RTD("nest.scriprtd",,"bse_cm|1075NIDO34","Open")</f>
        <v>0</v>
      </c>
      <c r="N1021">
        <f>RTD("nest.scriprtd",,"bse_cm|1075NIDO34","High")</f>
        <v>876.1</v>
      </c>
      <c r="O1021">
        <f>RTD("nest.scriprtd",,"bse_cm|1075NIDO34","Low ")</f>
        <v>876.1</v>
      </c>
      <c r="P1021">
        <f>RTD("nest.scriprtd",,"bse_cm|1075NIDO34","Prev Close")</f>
        <v>876.1</v>
      </c>
      <c r="Q1021">
        <f>RTD("nest.scriprtd",,"bse_cm|1075NIDO34","Face Value")</f>
        <v>1000</v>
      </c>
      <c r="R1021" t="str">
        <f>RTD("nest.scriprtd",,"bse_cm|1075NIDO34","Isin code")</f>
        <v>INE530L07681</v>
      </c>
      <c r="S1021" s="9">
        <f>Table1[[#This Row],[Ask Rate]]*Table1[[#This Row],[Ask Qty]]</f>
        <v>0</v>
      </c>
      <c r="T1021">
        <f>VLOOKUP(Table1[[#This Row],[Isin code]],Table2[#All],7,FALSE)</f>
        <v>10.75</v>
      </c>
      <c r="U1021" s="17" t="str">
        <f>VLOOKUP(Table1[[#This Row],[Isin code]],Table2[#All],8,FALSE)</f>
        <v>01-Mar-2034</v>
      </c>
      <c r="V1021" s="10">
        <f ca="1">Table1[[#This Row],[Maturity]]-TODAY()</f>
        <v>3423</v>
      </c>
      <c r="W1021" t="str">
        <f>VLOOKUP(Table1[[#This Row],[Isin code]],Table2[#All],10,FALSE)</f>
        <v>At the End</v>
      </c>
      <c r="X1021">
        <f ca="1">_xlfn.DAYS(Table1[[#This Row],[Maturity]],TODAY())-15</f>
        <v>3408</v>
      </c>
      <c r="Y102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21">
        <f>IF(Table1[[#This Row],[Ask Rate]]=0,0,Table1[[#This Row],[Face Value]]-Table1[[#This Row],[Ask Rate]])</f>
        <v>0</v>
      </c>
      <c r="AA102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21">
        <f>Table1[[#This Row],[Face Value]]*Table1[[#This Row],[Rate]]*Table1[[#This Row],[Time]]</f>
        <v>0</v>
      </c>
      <c r="AC1021">
        <f>Table1[[#This Row],[SI]]+Table1[[#This Row],[Disc/Prem]]</f>
        <v>0</v>
      </c>
      <c r="AD1021" s="3" t="e">
        <f>Table1[[#This Row],[Net Gain]]/Table1[[#This Row],[Ask Rate]]</f>
        <v>#DIV/0!</v>
      </c>
      <c r="AE1021" s="3">
        <f>IF(Table1[[#This Row],[Ask Qty]]=0,0,Table1[[#This Row],[Gross Yield]]*365/Table1[[#This Row],[Days Left]])</f>
        <v>0</v>
      </c>
      <c r="AF1021" s="9">
        <f>+Table1[[#This Row],[Net Gain]]*Table1[[#This Row],[Ask Qty]]</f>
        <v>0</v>
      </c>
      <c r="AG1021" t="str">
        <f>IF(Table1[[#This Row],[YTM]]&gt;0.12,IF(Table1[[#This Row],[Gross Profit]]&gt;10000,"Invest","Review"),"Low YTM")</f>
        <v>Low YTM</v>
      </c>
    </row>
    <row r="1022" spans="1:33" x14ac:dyDescent="0.3">
      <c r="A1022" t="str">
        <f>RTD("nest.scriprtd",,"bse_cm|980SCL33D","Symbol")</f>
        <v>980SCL33D</v>
      </c>
      <c r="B1022" t="str">
        <f>RTD("nest.scriprtd",,"bse_cm|980SCL33D","Trading Symbol")</f>
        <v>980SCL33D</v>
      </c>
      <c r="C1022" t="str">
        <f>RTD("nest.scriprtd",,"bse_cm|980SCL33D","Exchange")</f>
        <v>BSE</v>
      </c>
      <c r="D1022">
        <f>RTD("nest.scriprtd",,"bse_cm|980SCL33D","Bid Qty")</f>
        <v>7</v>
      </c>
      <c r="E1022">
        <f>RTD("nest.scriprtd",,"bse_cm|980SCL33D","Bid Rate")</f>
        <v>815.4</v>
      </c>
      <c r="F1022">
        <f>RTD("nest.scriprtd",,"bse_cm|980SCL33D","Ask Rate")</f>
        <v>0</v>
      </c>
      <c r="G1022">
        <f>RTD("nest.scriprtd",,"bse_cm|980SCL33D","Ask Qty")</f>
        <v>0</v>
      </c>
      <c r="H1022">
        <f>RTD("nest.scriprtd",,"bse_cm|980SCL33D","LTP")</f>
        <v>0</v>
      </c>
      <c r="I1022" t="str">
        <f>RTD("nest.scriprtd",,"bse_cm|980SCL33D","LTT")</f>
        <v>00:00:00</v>
      </c>
      <c r="J1022">
        <f>RTD("nest.scriprtd",,"bse_cm|980SCL33D","% Change")</f>
        <v>-100</v>
      </c>
      <c r="K1022">
        <f>RTD("nest.scriprtd",,"bse_cm|980SCL33D","ATP")</f>
        <v>0</v>
      </c>
      <c r="L1022">
        <f>RTD("nest.scriprtd",,"bse_cm|980SCL33D","Volume Traded Today")</f>
        <v>0</v>
      </c>
      <c r="M1022">
        <f>RTD("nest.scriprtd",,"bse_cm|980SCL33D","Open")</f>
        <v>0</v>
      </c>
      <c r="N1022">
        <f>RTD("nest.scriprtd",,"bse_cm|980SCL33D","High")</f>
        <v>914.5</v>
      </c>
      <c r="O1022">
        <f>RTD("nest.scriprtd",,"bse_cm|980SCL33D","Low ")</f>
        <v>914.5</v>
      </c>
      <c r="P1022">
        <f>RTD("nest.scriprtd",,"bse_cm|980SCL33D","Prev Close")</f>
        <v>914.5</v>
      </c>
      <c r="Q1022">
        <f>RTD("nest.scriprtd",,"bse_cm|980SCL33D","Face Value")</f>
        <v>1000</v>
      </c>
      <c r="R1022" t="str">
        <f>RTD("nest.scriprtd",,"bse_cm|980SCL33D","Isin code")</f>
        <v>INE148I07RP1</v>
      </c>
      <c r="S1022" s="9">
        <f>Table1[[#This Row],[Ask Rate]]*Table1[[#This Row],[Ask Qty]]</f>
        <v>0</v>
      </c>
      <c r="T1022">
        <f>VLOOKUP(Table1[[#This Row],[Isin code]],Table2[#All],7,FALSE)</f>
        <v>9.7100000000000009</v>
      </c>
      <c r="U1022" s="17" t="str">
        <f>VLOOKUP(Table1[[#This Row],[Isin code]],Table2[#All],8,FALSE)</f>
        <v>27-Dec-2028</v>
      </c>
      <c r="V1022" s="10">
        <f ca="1">Table1[[#This Row],[Maturity]]-TODAY()</f>
        <v>1533</v>
      </c>
      <c r="W1022" t="str">
        <f>VLOOKUP(Table1[[#This Row],[Isin code]],Table2[#All],10,FALSE)</f>
        <v>Monthly</v>
      </c>
      <c r="X1022">
        <f ca="1">_xlfn.DAYS(Table1[[#This Row],[Maturity]],TODAY())-15</f>
        <v>1518</v>
      </c>
      <c r="Y10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1022">
        <f>IF(Table1[[#This Row],[Ask Rate]]=0,0,Table1[[#This Row],[Face Value]]-Table1[[#This Row],[Ask Rate]])</f>
        <v>0</v>
      </c>
      <c r="AA1022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1022">
        <f ca="1">Table1[[#This Row],[Face Value]]*Table1[[#This Row],[Rate]]*Table1[[#This Row],[Time]]</f>
        <v>412.67500000000001</v>
      </c>
      <c r="AC1022">
        <f ca="1">Table1[[#This Row],[SI]]+Table1[[#This Row],[Disc/Prem]]</f>
        <v>412.67500000000001</v>
      </c>
      <c r="AD1022" s="3" t="e">
        <f ca="1">Table1[[#This Row],[Net Gain]]/Table1[[#This Row],[Ask Rate]]</f>
        <v>#DIV/0!</v>
      </c>
      <c r="AE1022" s="3">
        <f>IF(Table1[[#This Row],[Ask Qty]]=0,0,Table1[[#This Row],[Gross Yield]]*365/Table1[[#This Row],[Days Left]])</f>
        <v>0</v>
      </c>
      <c r="AF1022" s="9">
        <f ca="1">+Table1[[#This Row],[Net Gain]]*Table1[[#This Row],[Ask Qty]]</f>
        <v>0</v>
      </c>
      <c r="AG1022" t="str">
        <f>IF(Table1[[#This Row],[YTM]]&gt;0.12,IF(Table1[[#This Row],[Gross Profit]]&gt;10000,"Invest","Review"),"Low YTM")</f>
        <v>Low YTM</v>
      </c>
    </row>
    <row r="1023" spans="1:33" x14ac:dyDescent="0.3">
      <c r="A1023" t="str">
        <f>RTD("nest.scriprtd",,"bse_cm|995NWIL32","Symbol")</f>
        <v>995NWIL32</v>
      </c>
      <c r="B1023" t="str">
        <f>RTD("nest.scriprtd",,"bse_cm|995NWIL32","Trading Symbol")</f>
        <v>995NWIL32</v>
      </c>
      <c r="C1023" t="str">
        <f>RTD("nest.scriprtd",,"bse_cm|995NWIL32","Exchange")</f>
        <v>BSE</v>
      </c>
      <c r="D1023">
        <f>RTD("nest.scriprtd",,"bse_cm|995NWIL32","Bid Qty")</f>
        <v>99</v>
      </c>
      <c r="E1023">
        <f>RTD("nest.scriprtd",,"bse_cm|995NWIL32","Bid Rate")</f>
        <v>980</v>
      </c>
      <c r="F1023">
        <f>RTD("nest.scriprtd",,"bse_cm|995NWIL32","Ask Rate")</f>
        <v>0</v>
      </c>
      <c r="G1023">
        <f>RTD("nest.scriprtd",,"bse_cm|995NWIL32","Ask Qty")</f>
        <v>0</v>
      </c>
      <c r="H1023">
        <f>RTD("nest.scriprtd",,"bse_cm|995NWIL32","LTP")</f>
        <v>0</v>
      </c>
      <c r="I1023" t="str">
        <f>RTD("nest.scriprtd",,"bse_cm|995NWIL32","LTT")</f>
        <v>00:00:00</v>
      </c>
      <c r="J1023">
        <f>RTD("nest.scriprtd",,"bse_cm|995NWIL32","% Change")</f>
        <v>-100</v>
      </c>
      <c r="K1023">
        <f>RTD("nest.scriprtd",,"bse_cm|995NWIL32","ATP")</f>
        <v>0</v>
      </c>
      <c r="L1023">
        <f>RTD("nest.scriprtd",,"bse_cm|995NWIL32","Volume Traded Today")</f>
        <v>0</v>
      </c>
      <c r="M1023">
        <f>RTD("nest.scriprtd",,"bse_cm|995NWIL32","Open")</f>
        <v>0</v>
      </c>
      <c r="N1023">
        <f>RTD("nest.scriprtd",,"bse_cm|995NWIL32","High")</f>
        <v>940</v>
      </c>
      <c r="O1023">
        <f>RTD("nest.scriprtd",,"bse_cm|995NWIL32","Low ")</f>
        <v>940</v>
      </c>
      <c r="P1023">
        <f>RTD("nest.scriprtd",,"bse_cm|995NWIL32","Prev Close")</f>
        <v>940</v>
      </c>
      <c r="Q1023">
        <f>RTD("nest.scriprtd",,"bse_cm|995NWIL32","Face Value")</f>
        <v>1000</v>
      </c>
      <c r="R1023" t="str">
        <f>RTD("nest.scriprtd",,"bse_cm|995NWIL32","Isin code")</f>
        <v>INE523L07736</v>
      </c>
      <c r="S1023" s="9">
        <f>Table1[[#This Row],[Ask Rate]]*Table1[[#This Row],[Ask Qty]]</f>
        <v>0</v>
      </c>
      <c r="T1023">
        <f>VLOOKUP(Table1[[#This Row],[Isin code]],Table2[#All],7,FALSE)</f>
        <v>9.9500000000000011</v>
      </c>
      <c r="U1023" s="17" t="str">
        <f>VLOOKUP(Table1[[#This Row],[Isin code]],Table2[#All],8,FALSE)</f>
        <v>15-Jul-2032</v>
      </c>
      <c r="V1023" s="10">
        <f ca="1">Table1[[#This Row],[Maturity]]-TODAY()</f>
        <v>2829</v>
      </c>
      <c r="W1023" t="str">
        <f>VLOOKUP(Table1[[#This Row],[Isin code]],Table2[#All],10,FALSE)</f>
        <v>Yearly</v>
      </c>
      <c r="X1023">
        <f ca="1">_xlfn.DAYS(Table1[[#This Row],[Maturity]],TODAY())-15</f>
        <v>2814</v>
      </c>
      <c r="Y10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1023">
        <f>IF(Table1[[#This Row],[Ask Rate]]=0,0,Table1[[#This Row],[Face Value]]-Table1[[#This Row],[Ask Rate]])</f>
        <v>0</v>
      </c>
      <c r="AA1023">
        <f>IF(Table1[[#This Row],[Freq]]="Yearly",Table1[[#This Row],[Coupon_Rate]]/100,IF(Table1[[#This Row],[Freq]]="Monthly",Table1[[#This Row],[Coupon_Rate]]/1200,IF(Table1[[#This Row],[Freq]]="Quarterly",Table1[[#This Row],[Coupon_Rate]]/400,0)))</f>
        <v>9.9500000000000005E-2</v>
      </c>
      <c r="AB1023">
        <f ca="1">Table1[[#This Row],[Face Value]]*Table1[[#This Row],[Rate]]*Table1[[#This Row],[Time]]</f>
        <v>796</v>
      </c>
      <c r="AC1023">
        <f ca="1">Table1[[#This Row],[SI]]+Table1[[#This Row],[Disc/Prem]]</f>
        <v>796</v>
      </c>
      <c r="AD1023" s="3" t="e">
        <f ca="1">Table1[[#This Row],[Net Gain]]/Table1[[#This Row],[Ask Rate]]</f>
        <v>#DIV/0!</v>
      </c>
      <c r="AE1023" s="3">
        <f>IF(Table1[[#This Row],[Ask Qty]]=0,0,Table1[[#This Row],[Gross Yield]]*365/Table1[[#This Row],[Days Left]])</f>
        <v>0</v>
      </c>
      <c r="AF1023" s="9">
        <f ca="1">+Table1[[#This Row],[Net Gain]]*Table1[[#This Row],[Ask Qty]]</f>
        <v>0</v>
      </c>
      <c r="AG1023" t="str">
        <f>IF(Table1[[#This Row],[YTM]]&gt;0.12,IF(Table1[[#This Row],[Gross Profit]]&gt;10000,"Invest","Review"),"Low YTM")</f>
        <v>Low YTM</v>
      </c>
    </row>
    <row r="1024" spans="1:33" x14ac:dyDescent="0.3">
      <c r="A1024" t="str">
        <f>RTD("nest.scriprtd",,"nse_cm|990SCL27-YT","Symbol")</f>
        <v>990SCL27</v>
      </c>
      <c r="B1024" t="str">
        <f>RTD("nest.scriprtd",,"nse_cm|990SCL27-YT","Trading Symbol")</f>
        <v>990SCL27-YT</v>
      </c>
      <c r="C1024" t="str">
        <f>RTD("nest.scriprtd",,"nse_cm|990SCL27-YT","Exchange")</f>
        <v>NSE</v>
      </c>
      <c r="D1024">
        <f>RTD("nest.scriprtd",,"nse_cm|990SCL27-YT","Bid Qty")</f>
        <v>5</v>
      </c>
      <c r="E1024">
        <f>RTD("nest.scriprtd",,"nse_cm|990SCL27-YT","Bid Rate")</f>
        <v>850</v>
      </c>
      <c r="F1024">
        <f>RTD("nest.scriprtd",,"nse_cm|990SCL27-YT","Ask Rate")</f>
        <v>0</v>
      </c>
      <c r="G1024">
        <f>RTD("nest.scriprtd",,"nse_cm|990SCL27-YT","Ask Qty")</f>
        <v>0</v>
      </c>
      <c r="H1024">
        <f>RTD("nest.scriprtd",,"nse_cm|990SCL27-YT","LTP")</f>
        <v>992</v>
      </c>
      <c r="I1024" t="str">
        <f>RTD("nest.scriprtd",,"nse_cm|990SCL27-YT","LTT")</f>
        <v/>
      </c>
      <c r="J1024">
        <f>RTD("nest.scriprtd",,"nse_cm|990SCL27-YT","% Change")</f>
        <v>0</v>
      </c>
      <c r="K1024">
        <f>RTD("nest.scriprtd",,"nse_cm|990SCL27-YT","ATP")</f>
        <v>0</v>
      </c>
      <c r="L1024">
        <f>RTD("nest.scriprtd",,"nse_cm|990SCL27-YT","Volume Traded Today")</f>
        <v>0</v>
      </c>
      <c r="M1024">
        <f>RTD("nest.scriprtd",,"nse_cm|990SCL27-YT","Open")</f>
        <v>0</v>
      </c>
      <c r="N1024">
        <f>RTD("nest.scriprtd",,"nse_cm|990SCL27-YT","High")</f>
        <v>992</v>
      </c>
      <c r="O1024">
        <f>RTD("nest.scriprtd",,"nse_cm|990SCL27-YT","Low ")</f>
        <v>992</v>
      </c>
      <c r="P1024">
        <f>RTD("nest.scriprtd",,"nse_cm|990SCL27-YT","Prev Close")</f>
        <v>992</v>
      </c>
      <c r="Q1024">
        <f>RTD("nest.scriprtd",,"nse_cm|990SCL27-YT","Face Value")</f>
        <v>1000</v>
      </c>
      <c r="R1024" t="str">
        <f>RTD("nest.scriprtd",,"nse_cm|990SCL27-YT","Isin code")</f>
        <v>INE148I07SG8</v>
      </c>
      <c r="S1024" s="9">
        <f>Table1[[#This Row],[Ask Rate]]*Table1[[#This Row],[Ask Qty]]</f>
        <v>0</v>
      </c>
      <c r="T1024">
        <f>VLOOKUP(Table1[[#This Row],[Isin code]],Table2[#All],7,FALSE)</f>
        <v>9.9</v>
      </c>
      <c r="U1024" s="17" t="str">
        <f>VLOOKUP(Table1[[#This Row],[Isin code]],Table2[#All],8,FALSE)</f>
        <v>26-Mar-2027</v>
      </c>
      <c r="V1024" s="10">
        <f ca="1">Table1[[#This Row],[Maturity]]-TODAY()</f>
        <v>891</v>
      </c>
      <c r="W1024" t="str">
        <f>VLOOKUP(Table1[[#This Row],[Isin code]],Table2[#All],10,FALSE)</f>
        <v>Yearly</v>
      </c>
      <c r="X1024">
        <f ca="1">_xlfn.DAYS(Table1[[#This Row],[Maturity]],TODAY())-15</f>
        <v>876</v>
      </c>
      <c r="Y10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24">
        <f>IF(Table1[[#This Row],[Ask Rate]]=0,0,Table1[[#This Row],[Face Value]]-Table1[[#This Row],[Ask Rate]])</f>
        <v>0</v>
      </c>
      <c r="AA1024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024">
        <f ca="1">Table1[[#This Row],[Face Value]]*Table1[[#This Row],[Rate]]*Table1[[#This Row],[Time]]</f>
        <v>297</v>
      </c>
      <c r="AC1024">
        <f ca="1">Table1[[#This Row],[SI]]+Table1[[#This Row],[Disc/Prem]]</f>
        <v>297</v>
      </c>
      <c r="AD1024" s="3" t="e">
        <f ca="1">Table1[[#This Row],[Net Gain]]/Table1[[#This Row],[Ask Rate]]</f>
        <v>#DIV/0!</v>
      </c>
      <c r="AE1024" s="3">
        <f>IF(Table1[[#This Row],[Ask Qty]]=0,0,Table1[[#This Row],[Gross Yield]]*365/Table1[[#This Row],[Days Left]])</f>
        <v>0</v>
      </c>
      <c r="AF1024" s="9">
        <f ca="1">+Table1[[#This Row],[Net Gain]]*Table1[[#This Row],[Ask Qty]]</f>
        <v>0</v>
      </c>
      <c r="AG1024" t="str">
        <f>IF(Table1[[#This Row],[YTM]]&gt;0.12,IF(Table1[[#This Row],[Gross Profit]]&gt;10000,"Invest","Review"),"Low YTM")</f>
        <v>Low YTM</v>
      </c>
    </row>
    <row r="1025" spans="1:33" x14ac:dyDescent="0.3">
      <c r="A1025" t="str">
        <f>RTD("nest.scriprtd",,"bse_cm|1025SCFL34","Symbol")</f>
        <v>1025SCFL34</v>
      </c>
      <c r="B1025" t="str">
        <f>RTD("nest.scriprtd",,"bse_cm|1025SCFL34","Trading Symbol")</f>
        <v>1025SCFL34</v>
      </c>
      <c r="C1025" t="str">
        <f>RTD("nest.scriprtd",,"bse_cm|1025SCFL34","Exchange")</f>
        <v>BSE</v>
      </c>
      <c r="D1025">
        <f>RTD("nest.scriprtd",,"bse_cm|1025SCFL34","Bid Qty")</f>
        <v>5</v>
      </c>
      <c r="E1025">
        <f>RTD("nest.scriprtd",,"bse_cm|1025SCFL34","Bid Rate")</f>
        <v>807.2</v>
      </c>
      <c r="F1025">
        <f>RTD("nest.scriprtd",,"bse_cm|1025SCFL34","Ask Rate")</f>
        <v>0</v>
      </c>
      <c r="G1025">
        <f>RTD("nest.scriprtd",,"bse_cm|1025SCFL34","Ask Qty")</f>
        <v>0</v>
      </c>
      <c r="H1025">
        <f>RTD("nest.scriprtd",,"bse_cm|1025SCFL34","LTP")</f>
        <v>0</v>
      </c>
      <c r="I1025" t="str">
        <f>RTD("nest.scriprtd",,"bse_cm|1025SCFL34","LTT")</f>
        <v>00:00:00</v>
      </c>
      <c r="J1025">
        <f>RTD("nest.scriprtd",,"bse_cm|1025SCFL34","% Change")</f>
        <v>-100</v>
      </c>
      <c r="K1025">
        <f>RTD("nest.scriprtd",,"bse_cm|1025SCFL34","ATP")</f>
        <v>0</v>
      </c>
      <c r="L1025">
        <f>RTD("nest.scriprtd",,"bse_cm|1025SCFL34","Volume Traded Today")</f>
        <v>0</v>
      </c>
      <c r="M1025">
        <f>RTD("nest.scriprtd",,"bse_cm|1025SCFL34","Open")</f>
        <v>0</v>
      </c>
      <c r="N1025">
        <f>RTD("nest.scriprtd",,"bse_cm|1025SCFL34","High")</f>
        <v>0</v>
      </c>
      <c r="O1025">
        <f>RTD("nest.scriprtd",,"bse_cm|1025SCFL34","Low ")</f>
        <v>0</v>
      </c>
      <c r="P1025">
        <f>RTD("nest.scriprtd",,"bse_cm|1025SCFL34","Prev Close")</f>
        <v>1000</v>
      </c>
      <c r="Q1025">
        <f>RTD("nest.scriprtd",,"bse_cm|1025SCFL34","Face Value")</f>
        <v>1000</v>
      </c>
      <c r="R1025" t="str">
        <f>RTD("nest.scriprtd",,"bse_cm|1025SCFL34","Isin code")</f>
        <v>INE148I07SV7</v>
      </c>
      <c r="S1025" s="9">
        <f>Table1[[#This Row],[Ask Rate]]*Table1[[#This Row],[Ask Qty]]</f>
        <v>0</v>
      </c>
      <c r="T1025">
        <f>VLOOKUP(Table1[[#This Row],[Isin code]],Table2[#All],7,FALSE)</f>
        <v>10.25</v>
      </c>
      <c r="U1025" s="17" t="str">
        <f>VLOOKUP(Table1[[#This Row],[Isin code]],Table2[#All],8,FALSE)</f>
        <v>26-Mar-2034</v>
      </c>
      <c r="V1025" s="10">
        <f ca="1">Table1[[#This Row],[Maturity]]-TODAY()</f>
        <v>3448</v>
      </c>
      <c r="W1025" t="str">
        <f>VLOOKUP(Table1[[#This Row],[Isin code]],Table2[#All],10,FALSE)</f>
        <v>Annual</v>
      </c>
      <c r="X1025">
        <f ca="1">_xlfn.DAYS(Table1[[#This Row],[Maturity]],TODAY())-15</f>
        <v>3433</v>
      </c>
      <c r="Y102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25">
        <f>IF(Table1[[#This Row],[Ask Rate]]=0,0,Table1[[#This Row],[Face Value]]-Table1[[#This Row],[Ask Rate]])</f>
        <v>0</v>
      </c>
      <c r="AA102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25">
        <f>Table1[[#This Row],[Face Value]]*Table1[[#This Row],[Rate]]*Table1[[#This Row],[Time]]</f>
        <v>0</v>
      </c>
      <c r="AC1025">
        <f>Table1[[#This Row],[SI]]+Table1[[#This Row],[Disc/Prem]]</f>
        <v>0</v>
      </c>
      <c r="AD1025" s="3" t="e">
        <f>Table1[[#This Row],[Net Gain]]/Table1[[#This Row],[Ask Rate]]</f>
        <v>#DIV/0!</v>
      </c>
      <c r="AE1025" s="3">
        <f>IF(Table1[[#This Row],[Ask Qty]]=0,0,Table1[[#This Row],[Gross Yield]]*365/Table1[[#This Row],[Days Left]])</f>
        <v>0</v>
      </c>
      <c r="AF1025" s="9">
        <f>+Table1[[#This Row],[Net Gain]]*Table1[[#This Row],[Ask Qty]]</f>
        <v>0</v>
      </c>
      <c r="AG1025" t="str">
        <f>IF(Table1[[#This Row],[YTM]]&gt;0.12,IF(Table1[[#This Row],[Gross Profit]]&gt;10000,"Invest","Review"),"Low YTM")</f>
        <v>Low YTM</v>
      </c>
    </row>
    <row r="1026" spans="1:33" x14ac:dyDescent="0.3">
      <c r="A1026" t="str">
        <f>RTD("nest.scriprtd",,"bse_cm|1025NWFL30","Symbol")</f>
        <v>1025NWFL30</v>
      </c>
      <c r="B1026" t="str">
        <f>RTD("nest.scriprtd",,"bse_cm|1025NWFL30","Trading Symbol")</f>
        <v>1025NWFL30</v>
      </c>
      <c r="C1026" t="str">
        <f>RTD("nest.scriprtd",,"bse_cm|1025NWFL30","Exchange")</f>
        <v>BSE</v>
      </c>
      <c r="D1026">
        <f>RTD("nest.scriprtd",,"bse_cm|1025NWFL30","Bid Qty")</f>
        <v>100</v>
      </c>
      <c r="E1026">
        <f>RTD("nest.scriprtd",,"bse_cm|1025NWFL30","Bid Rate")</f>
        <v>1000</v>
      </c>
      <c r="F1026">
        <f>RTD("nest.scriprtd",,"bse_cm|1025NWFL30","Ask Rate")</f>
        <v>0</v>
      </c>
      <c r="G1026">
        <f>RTD("nest.scriprtd",,"bse_cm|1025NWFL30","Ask Qty")</f>
        <v>0</v>
      </c>
      <c r="H1026">
        <f>RTD("nest.scriprtd",,"bse_cm|1025NWFL30","LTP")</f>
        <v>0</v>
      </c>
      <c r="I1026" t="str">
        <f>RTD("nest.scriprtd",,"bse_cm|1025NWFL30","LTT")</f>
        <v>00:00:00</v>
      </c>
      <c r="J1026">
        <f>RTD("nest.scriprtd",,"bse_cm|1025NWFL30","% Change")</f>
        <v>-100</v>
      </c>
      <c r="K1026">
        <f>RTD("nest.scriprtd",,"bse_cm|1025NWFL30","ATP")</f>
        <v>0</v>
      </c>
      <c r="L1026">
        <f>RTD("nest.scriprtd",,"bse_cm|1025NWFL30","Volume Traded Today")</f>
        <v>0</v>
      </c>
      <c r="M1026">
        <f>RTD("nest.scriprtd",,"bse_cm|1025NWFL30","Open")</f>
        <v>0</v>
      </c>
      <c r="N1026">
        <f>RTD("nest.scriprtd",,"bse_cm|1025NWFL30","High")</f>
        <v>1011</v>
      </c>
      <c r="O1026">
        <f>RTD("nest.scriprtd",,"bse_cm|1025NWFL30","Low ")</f>
        <v>1011</v>
      </c>
      <c r="P1026">
        <f>RTD("nest.scriprtd",,"bse_cm|1025NWFL30","Prev Close")</f>
        <v>1011</v>
      </c>
      <c r="Q1026">
        <f>RTD("nest.scriprtd",,"bse_cm|1025NWFL30","Face Value")</f>
        <v>1000</v>
      </c>
      <c r="R1026" t="str">
        <f>RTD("nest.scriprtd",,"bse_cm|1025NWFL30","Isin code")</f>
        <v>INE918K07FV6</v>
      </c>
      <c r="S1026" s="9">
        <f>Table1[[#This Row],[Ask Rate]]*Table1[[#This Row],[Ask Qty]]</f>
        <v>0</v>
      </c>
      <c r="T1026">
        <f>VLOOKUP(Table1[[#This Row],[Isin code]],Table2[#All],7,FALSE)</f>
        <v>10.25</v>
      </c>
      <c r="U1026" s="17" t="str">
        <f>VLOOKUP(Table1[[#This Row],[Isin code]],Table2[#All],8,FALSE)</f>
        <v>05-Feb-2030</v>
      </c>
      <c r="V1026" s="10">
        <f ca="1">Table1[[#This Row],[Maturity]]-TODAY()</f>
        <v>1938</v>
      </c>
      <c r="W1026" t="str">
        <f>VLOOKUP(Table1[[#This Row],[Isin code]],Table2[#All],10,FALSE)</f>
        <v>Yearly</v>
      </c>
      <c r="X1026">
        <f ca="1">_xlfn.DAYS(Table1[[#This Row],[Maturity]],TODAY())-15</f>
        <v>1923</v>
      </c>
      <c r="Y10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026">
        <f>IF(Table1[[#This Row],[Ask Rate]]=0,0,Table1[[#This Row],[Face Value]]-Table1[[#This Row],[Ask Rate]])</f>
        <v>0</v>
      </c>
      <c r="AA1026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1026">
        <f ca="1">Table1[[#This Row],[Face Value]]*Table1[[#This Row],[Rate]]*Table1[[#This Row],[Time]]</f>
        <v>615</v>
      </c>
      <c r="AC1026">
        <f ca="1">Table1[[#This Row],[SI]]+Table1[[#This Row],[Disc/Prem]]</f>
        <v>615</v>
      </c>
      <c r="AD1026" s="3" t="e">
        <f ca="1">Table1[[#This Row],[Net Gain]]/Table1[[#This Row],[Ask Rate]]</f>
        <v>#DIV/0!</v>
      </c>
      <c r="AE1026" s="3">
        <f>IF(Table1[[#This Row],[Ask Qty]]=0,0,Table1[[#This Row],[Gross Yield]]*365/Table1[[#This Row],[Days Left]])</f>
        <v>0</v>
      </c>
      <c r="AF1026" s="9">
        <f ca="1">+Table1[[#This Row],[Net Gain]]*Table1[[#This Row],[Ask Qty]]</f>
        <v>0</v>
      </c>
      <c r="AG1026" t="str">
        <f>IF(Table1[[#This Row],[YTM]]&gt;0.12,IF(Table1[[#This Row],[Gross Profit]]&gt;10000,"Invest","Review"),"Low YTM")</f>
        <v>Low YTM</v>
      </c>
    </row>
    <row r="1027" spans="1:33" x14ac:dyDescent="0.3">
      <c r="A1027" t="str">
        <f>RTD("nest.scriprtd",,"bse_cm|971SCL28A","Symbol")</f>
        <v>971SCL28A</v>
      </c>
      <c r="B1027" t="str">
        <f>RTD("nest.scriprtd",,"bse_cm|971SCL28A","Trading Symbol")</f>
        <v>971SCL28A</v>
      </c>
      <c r="C1027" t="str">
        <f>RTD("nest.scriprtd",,"bse_cm|971SCL28A","Exchange")</f>
        <v>BSE</v>
      </c>
      <c r="D1027">
        <f>RTD("nest.scriprtd",,"bse_cm|971SCL28A","Bid Qty")</f>
        <v>10</v>
      </c>
      <c r="E1027">
        <f>RTD("nest.scriprtd",,"bse_cm|971SCL28A","Bid Rate")</f>
        <v>930.2</v>
      </c>
      <c r="F1027">
        <f>RTD("nest.scriprtd",,"bse_cm|971SCL28A","Ask Rate")</f>
        <v>0</v>
      </c>
      <c r="G1027">
        <f>RTD("nest.scriprtd",,"bse_cm|971SCL28A","Ask Qty")</f>
        <v>0</v>
      </c>
      <c r="H1027">
        <f>RTD("nest.scriprtd",,"bse_cm|971SCL28A","LTP")</f>
        <v>0</v>
      </c>
      <c r="I1027" t="str">
        <f>RTD("nest.scriprtd",,"bse_cm|971SCL28A","LTT")</f>
        <v>00:00:00</v>
      </c>
      <c r="J1027">
        <f>RTD("nest.scriprtd",,"bse_cm|971SCL28A","% Change")</f>
        <v>-100</v>
      </c>
      <c r="K1027">
        <f>RTD("nest.scriprtd",,"bse_cm|971SCL28A","ATP")</f>
        <v>0</v>
      </c>
      <c r="L1027">
        <f>RTD("nest.scriprtd",,"bse_cm|971SCL28A","Volume Traded Today")</f>
        <v>0</v>
      </c>
      <c r="M1027">
        <f>RTD("nest.scriprtd",,"bse_cm|971SCL28A","Open")</f>
        <v>0</v>
      </c>
      <c r="N1027">
        <f>RTD("nest.scriprtd",,"bse_cm|971SCL28A","High")</f>
        <v>912</v>
      </c>
      <c r="O1027">
        <f>RTD("nest.scriprtd",,"bse_cm|971SCL28A","Low ")</f>
        <v>912</v>
      </c>
      <c r="P1027">
        <f>RTD("nest.scriprtd",,"bse_cm|971SCL28A","Prev Close")</f>
        <v>912</v>
      </c>
      <c r="Q1027">
        <f>RTD("nest.scriprtd",,"bse_cm|971SCL28A","Face Value")</f>
        <v>1000</v>
      </c>
      <c r="R1027" t="str">
        <f>RTD("nest.scriprtd",,"bse_cm|971SCL28A","Isin code")</f>
        <v>INE148I07QT5</v>
      </c>
      <c r="S1027" s="9">
        <f>Table1[[#This Row],[Ask Rate]]*Table1[[#This Row],[Ask Qty]]</f>
        <v>0</v>
      </c>
      <c r="T1027">
        <f>VLOOKUP(Table1[[#This Row],[Isin code]],Table2[#All],7,FALSE)</f>
        <v>9.7100000000000009</v>
      </c>
      <c r="U1027" s="17" t="str">
        <f>VLOOKUP(Table1[[#This Row],[Isin code]],Table2[#All],8,FALSE)</f>
        <v>09-Nov-2028</v>
      </c>
      <c r="V1027" s="10">
        <f ca="1">Table1[[#This Row],[Maturity]]-TODAY()</f>
        <v>1485</v>
      </c>
      <c r="W1027" t="str">
        <f>VLOOKUP(Table1[[#This Row],[Isin code]],Table2[#All],10,FALSE)</f>
        <v>Monthly</v>
      </c>
      <c r="X1027">
        <f ca="1">_xlfn.DAYS(Table1[[#This Row],[Maturity]],TODAY())-15</f>
        <v>1470</v>
      </c>
      <c r="Y10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49</v>
      </c>
      <c r="Z1027">
        <f>IF(Table1[[#This Row],[Ask Rate]]=0,0,Table1[[#This Row],[Face Value]]-Table1[[#This Row],[Ask Rate]])</f>
        <v>0</v>
      </c>
      <c r="AA1027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1027">
        <f ca="1">Table1[[#This Row],[Face Value]]*Table1[[#This Row],[Rate]]*Table1[[#This Row],[Time]]</f>
        <v>396.49166666666667</v>
      </c>
      <c r="AC1027">
        <f ca="1">Table1[[#This Row],[SI]]+Table1[[#This Row],[Disc/Prem]]</f>
        <v>396.49166666666667</v>
      </c>
      <c r="AD1027" s="3" t="e">
        <f ca="1">Table1[[#This Row],[Net Gain]]/Table1[[#This Row],[Ask Rate]]</f>
        <v>#DIV/0!</v>
      </c>
      <c r="AE1027" s="3">
        <f>IF(Table1[[#This Row],[Ask Qty]]=0,0,Table1[[#This Row],[Gross Yield]]*365/Table1[[#This Row],[Days Left]])</f>
        <v>0</v>
      </c>
      <c r="AF1027" s="9">
        <f ca="1">+Table1[[#This Row],[Net Gain]]*Table1[[#This Row],[Ask Qty]]</f>
        <v>0</v>
      </c>
      <c r="AG1027" t="str">
        <f>IF(Table1[[#This Row],[YTM]]&gt;0.12,IF(Table1[[#This Row],[Gross Profit]]&gt;10000,"Invest","Review"),"Low YTM")</f>
        <v>Low YTM</v>
      </c>
    </row>
    <row r="1028" spans="1:33" x14ac:dyDescent="0.3">
      <c r="A1028" t="str">
        <f>RTD("nest.scriprtd",,"bse_cm|971SCL28","Symbol")</f>
        <v>971SCL28</v>
      </c>
      <c r="B1028" t="str">
        <f>RTD("nest.scriprtd",,"bse_cm|971SCL28","Trading Symbol")</f>
        <v>971SCL28</v>
      </c>
      <c r="C1028" t="str">
        <f>RTD("nest.scriprtd",,"bse_cm|971SCL28","Exchange")</f>
        <v>BSE</v>
      </c>
      <c r="D1028">
        <f>RTD("nest.scriprtd",,"bse_cm|971SCL28","Bid Qty")</f>
        <v>0</v>
      </c>
      <c r="E1028">
        <f>RTD("nest.scriprtd",,"bse_cm|971SCL28","Bid Rate")</f>
        <v>0</v>
      </c>
      <c r="F1028">
        <f>RTD("nest.scriprtd",,"bse_cm|971SCL28","Ask Rate")</f>
        <v>0</v>
      </c>
      <c r="G1028">
        <f>RTD("nest.scriprtd",,"bse_cm|971SCL28","Ask Qty")</f>
        <v>0</v>
      </c>
      <c r="H1028">
        <f>RTD("nest.scriprtd",,"bse_cm|971SCL28","LTP")</f>
        <v>0</v>
      </c>
      <c r="I1028" t="str">
        <f>RTD("nest.scriprtd",,"bse_cm|971SCL28","LTT")</f>
        <v>00:00:00</v>
      </c>
      <c r="J1028">
        <f>RTD("nest.scriprtd",,"bse_cm|971SCL28","% Change")</f>
        <v>-100</v>
      </c>
      <c r="K1028">
        <f>RTD("nest.scriprtd",,"bse_cm|971SCL28","ATP")</f>
        <v>0</v>
      </c>
      <c r="L1028">
        <f>RTD("nest.scriprtd",,"bse_cm|971SCL28","Volume Traded Today")</f>
        <v>0</v>
      </c>
      <c r="M1028">
        <f>RTD("nest.scriprtd",,"bse_cm|971SCL28","Open")</f>
        <v>0</v>
      </c>
      <c r="N1028">
        <f>RTD("nest.scriprtd",,"bse_cm|971SCL28","High")</f>
        <v>900</v>
      </c>
      <c r="O1028">
        <f>RTD("nest.scriprtd",,"bse_cm|971SCL28","Low ")</f>
        <v>900</v>
      </c>
      <c r="P1028">
        <f>RTD("nest.scriprtd",,"bse_cm|971SCL28","Prev Close")</f>
        <v>900</v>
      </c>
      <c r="Q1028">
        <f>RTD("nest.scriprtd",,"bse_cm|971SCL28","Face Value")</f>
        <v>800</v>
      </c>
      <c r="R1028" t="str">
        <f>RTD("nest.scriprtd",,"bse_cm|971SCL28","Isin code")</f>
        <v>INE148I07NV8</v>
      </c>
      <c r="S1028" s="9">
        <f>Table1[[#This Row],[Ask Rate]]*Table1[[#This Row],[Ask Qty]]</f>
        <v>0</v>
      </c>
      <c r="T1028">
        <f>VLOOKUP(Table1[[#This Row],[Isin code]],Table2[#All],7,FALSE)</f>
        <v>9.7100000000000009</v>
      </c>
      <c r="U1028" s="17" t="str">
        <f>VLOOKUP(Table1[[#This Row],[Isin code]],Table2[#All],8,FALSE)</f>
        <v>23-Mar-2028</v>
      </c>
      <c r="V1028" s="10">
        <f ca="1">Table1[[#This Row],[Maturity]]-TODAY()</f>
        <v>1254</v>
      </c>
      <c r="W1028" t="str">
        <f>VLOOKUP(Table1[[#This Row],[Isin code]],Table2[#All],10,FALSE)</f>
        <v>Monthly</v>
      </c>
      <c r="X1028">
        <f ca="1">_xlfn.DAYS(Table1[[#This Row],[Maturity]],TODAY())-15</f>
        <v>1239</v>
      </c>
      <c r="Y10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42</v>
      </c>
      <c r="Z1028">
        <f>IF(Table1[[#This Row],[Ask Rate]]=0,0,Table1[[#This Row],[Face Value]]-Table1[[#This Row],[Ask Rate]])</f>
        <v>0</v>
      </c>
      <c r="AA1028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1028">
        <f ca="1">Table1[[#This Row],[Face Value]]*Table1[[#This Row],[Rate]]*Table1[[#This Row],[Time]]</f>
        <v>271.88</v>
      </c>
      <c r="AC1028">
        <f ca="1">Table1[[#This Row],[SI]]+Table1[[#This Row],[Disc/Prem]]</f>
        <v>271.88</v>
      </c>
      <c r="AD1028" s="3" t="e">
        <f ca="1">Table1[[#This Row],[Net Gain]]/Table1[[#This Row],[Ask Rate]]</f>
        <v>#DIV/0!</v>
      </c>
      <c r="AE1028" s="3">
        <f>IF(Table1[[#This Row],[Ask Qty]]=0,0,Table1[[#This Row],[Gross Yield]]*365/Table1[[#This Row],[Days Left]])</f>
        <v>0</v>
      </c>
      <c r="AF1028" s="9">
        <f ca="1">+Table1[[#This Row],[Net Gain]]*Table1[[#This Row],[Ask Qty]]</f>
        <v>0</v>
      </c>
      <c r="AG1028" t="str">
        <f>IF(Table1[[#This Row],[YTM]]&gt;0.12,IF(Table1[[#This Row],[Gross Profit]]&gt;10000,"Invest","Review"),"Low YTM")</f>
        <v>Low YTM</v>
      </c>
    </row>
    <row r="1029" spans="1:33" x14ac:dyDescent="0.3">
      <c r="A1029" t="str">
        <f>RTD("nest.scriprtd",,"bse_cm|1045EFS34A","Symbol")</f>
        <v>1045EFS34A</v>
      </c>
      <c r="B1029" t="str">
        <f>RTD("nest.scriprtd",,"bse_cm|1045EFS34A","Trading Symbol")</f>
        <v>1045EFS34A</v>
      </c>
      <c r="C1029" t="str">
        <f>RTD("nest.scriprtd",,"bse_cm|1045EFS34A","Exchange")</f>
        <v>BSE</v>
      </c>
      <c r="D1029">
        <f>RTD("nest.scriprtd",,"bse_cm|1045EFS34A","Bid Qty")</f>
        <v>50</v>
      </c>
      <c r="E1029">
        <f>RTD("nest.scriprtd",,"bse_cm|1045EFS34A","Bid Rate")</f>
        <v>950</v>
      </c>
      <c r="F1029">
        <f>RTD("nest.scriprtd",,"bse_cm|1045EFS34A","Ask Rate")</f>
        <v>0</v>
      </c>
      <c r="G1029">
        <f>RTD("nest.scriprtd",,"bse_cm|1045EFS34A","Ask Qty")</f>
        <v>0</v>
      </c>
      <c r="H1029">
        <f>RTD("nest.scriprtd",,"bse_cm|1045EFS34A","LTP")</f>
        <v>0</v>
      </c>
      <c r="I1029" t="str">
        <f>RTD("nest.scriprtd",,"bse_cm|1045EFS34A","LTT")</f>
        <v>00:00:00</v>
      </c>
      <c r="J1029">
        <f>RTD("nest.scriprtd",,"bse_cm|1045EFS34A","% Change")</f>
        <v>-100</v>
      </c>
      <c r="K1029">
        <f>RTD("nest.scriprtd",,"bse_cm|1045EFS34A","ATP")</f>
        <v>0</v>
      </c>
      <c r="L1029">
        <f>RTD("nest.scriprtd",,"bse_cm|1045EFS34A","Volume Traded Today")</f>
        <v>0</v>
      </c>
      <c r="M1029">
        <f>RTD("nest.scriprtd",,"bse_cm|1045EFS34A","Open")</f>
        <v>0</v>
      </c>
      <c r="N1029">
        <f>RTD("nest.scriprtd",,"bse_cm|1045EFS34A","High")</f>
        <v>0</v>
      </c>
      <c r="O1029">
        <f>RTD("nest.scriprtd",,"bse_cm|1045EFS34A","Low ")</f>
        <v>0</v>
      </c>
      <c r="P1029">
        <f>RTD("nest.scriprtd",,"bse_cm|1045EFS34A","Prev Close")</f>
        <v>1000</v>
      </c>
      <c r="Q1029">
        <f>RTD("nest.scriprtd",,"bse_cm|1045EFS34A","Face Value")</f>
        <v>1000</v>
      </c>
      <c r="R1029" t="str">
        <f>RTD("nest.scriprtd",,"bse_cm|1045EFS34A","Isin code")</f>
        <v>INE532F07FG6</v>
      </c>
      <c r="S1029" s="9">
        <f>Table1[[#This Row],[Ask Rate]]*Table1[[#This Row],[Ask Qty]]</f>
        <v>0</v>
      </c>
      <c r="T1029">
        <f>VLOOKUP(Table1[[#This Row],[Isin code]],Table2[#All],7,FALSE)</f>
        <v>10.45</v>
      </c>
      <c r="U1029" s="17" t="str">
        <f>VLOOKUP(Table1[[#This Row],[Isin code]],Table2[#All],8,FALSE)</f>
        <v>29-Apr-2034</v>
      </c>
      <c r="V1029" s="10">
        <f ca="1">Table1[[#This Row],[Maturity]]-TODAY()</f>
        <v>3482</v>
      </c>
      <c r="W1029" t="str">
        <f>VLOOKUP(Table1[[#This Row],[Isin code]],Table2[#All],10,FALSE)</f>
        <v>Annual</v>
      </c>
      <c r="X1029">
        <f ca="1">_xlfn.DAYS(Table1[[#This Row],[Maturity]],TODAY())-15</f>
        <v>3467</v>
      </c>
      <c r="Y102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29">
        <f>IF(Table1[[#This Row],[Ask Rate]]=0,0,Table1[[#This Row],[Face Value]]-Table1[[#This Row],[Ask Rate]])</f>
        <v>0</v>
      </c>
      <c r="AA102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29">
        <f>Table1[[#This Row],[Face Value]]*Table1[[#This Row],[Rate]]*Table1[[#This Row],[Time]]</f>
        <v>0</v>
      </c>
      <c r="AC1029">
        <f>Table1[[#This Row],[SI]]+Table1[[#This Row],[Disc/Prem]]</f>
        <v>0</v>
      </c>
      <c r="AD1029" s="3" t="e">
        <f>Table1[[#This Row],[Net Gain]]/Table1[[#This Row],[Ask Rate]]</f>
        <v>#DIV/0!</v>
      </c>
      <c r="AE1029" s="3">
        <f>IF(Table1[[#This Row],[Ask Qty]]=0,0,Table1[[#This Row],[Gross Yield]]*365/Table1[[#This Row],[Days Left]])</f>
        <v>0</v>
      </c>
      <c r="AF1029" s="9">
        <f>+Table1[[#This Row],[Net Gain]]*Table1[[#This Row],[Ask Qty]]</f>
        <v>0</v>
      </c>
      <c r="AG1029" t="str">
        <f>IF(Table1[[#This Row],[YTM]]&gt;0.12,IF(Table1[[#This Row],[Gross Profit]]&gt;10000,"Invest","Review"),"Low YTM")</f>
        <v>Low YTM</v>
      </c>
    </row>
    <row r="1030" spans="1:33" x14ac:dyDescent="0.3">
      <c r="A1030" t="str">
        <f>RTD("nest.scriprtd",,"bse_cm|1045EFS33","Symbol")</f>
        <v>1045EFS33</v>
      </c>
      <c r="B1030" t="str">
        <f>RTD("nest.scriprtd",,"bse_cm|1045EFS33","Trading Symbol")</f>
        <v>1045EFS33</v>
      </c>
      <c r="C1030" t="str">
        <f>RTD("nest.scriprtd",,"bse_cm|1045EFS33","Exchange")</f>
        <v>BSE</v>
      </c>
      <c r="D1030">
        <f>RTD("nest.scriprtd",,"bse_cm|1045EFS33","Bid Qty")</f>
        <v>20</v>
      </c>
      <c r="E1030">
        <f>RTD("nest.scriprtd",,"bse_cm|1045EFS33","Bid Rate")</f>
        <v>861</v>
      </c>
      <c r="F1030">
        <f>RTD("nest.scriprtd",,"bse_cm|1045EFS33","Ask Rate")</f>
        <v>0</v>
      </c>
      <c r="G1030">
        <f>RTD("nest.scriprtd",,"bse_cm|1045EFS33","Ask Qty")</f>
        <v>0</v>
      </c>
      <c r="H1030">
        <f>RTD("nest.scriprtd",,"bse_cm|1045EFS33","LTP")</f>
        <v>0</v>
      </c>
      <c r="I1030" t="str">
        <f>RTD("nest.scriprtd",,"bse_cm|1045EFS33","LTT")</f>
        <v>00:00:00</v>
      </c>
      <c r="J1030">
        <f>RTD("nest.scriprtd",,"bse_cm|1045EFS33","% Change")</f>
        <v>-100</v>
      </c>
      <c r="K1030">
        <f>RTD("nest.scriprtd",,"bse_cm|1045EFS33","ATP")</f>
        <v>0</v>
      </c>
      <c r="L1030">
        <f>RTD("nest.scriprtd",,"bse_cm|1045EFS33","Volume Traded Today")</f>
        <v>0</v>
      </c>
      <c r="M1030">
        <f>RTD("nest.scriprtd",,"bse_cm|1045EFS33","Open")</f>
        <v>0</v>
      </c>
      <c r="N1030">
        <f>RTD("nest.scriprtd",,"bse_cm|1045EFS33","High")</f>
        <v>940</v>
      </c>
      <c r="O1030">
        <f>RTD("nest.scriprtd",,"bse_cm|1045EFS33","Low ")</f>
        <v>940</v>
      </c>
      <c r="P1030">
        <f>RTD("nest.scriprtd",,"bse_cm|1045EFS33","Prev Close")</f>
        <v>940</v>
      </c>
      <c r="Q1030">
        <f>RTD("nest.scriprtd",,"bse_cm|1045EFS33","Face Value")</f>
        <v>1000</v>
      </c>
      <c r="R1030" t="str">
        <f>RTD("nest.scriprtd",,"bse_cm|1045EFS33","Isin code")</f>
        <v>INE532F07DZ1</v>
      </c>
      <c r="S1030" s="9">
        <f>Table1[[#This Row],[Ask Rate]]*Table1[[#This Row],[Ask Qty]]</f>
        <v>0</v>
      </c>
      <c r="T1030">
        <f>VLOOKUP(Table1[[#This Row],[Isin code]],Table2[#All],7,FALSE)</f>
        <v>10.45</v>
      </c>
      <c r="U1030" s="17" t="str">
        <f>VLOOKUP(Table1[[#This Row],[Isin code]],Table2[#All],8,FALSE)</f>
        <v>21-Jul-2033</v>
      </c>
      <c r="V1030" s="10">
        <f ca="1">Table1[[#This Row],[Maturity]]-TODAY()</f>
        <v>3200</v>
      </c>
      <c r="W1030" t="str">
        <f>VLOOKUP(Table1[[#This Row],[Isin code]],Table2[#All],10,FALSE)</f>
        <v>Yearly</v>
      </c>
      <c r="X1030">
        <f ca="1">_xlfn.DAYS(Table1[[#This Row],[Maturity]],TODAY())-15</f>
        <v>3185</v>
      </c>
      <c r="Y10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1030">
        <f>IF(Table1[[#This Row],[Ask Rate]]=0,0,Table1[[#This Row],[Face Value]]-Table1[[#This Row],[Ask Rate]])</f>
        <v>0</v>
      </c>
      <c r="AA1030">
        <f>IF(Table1[[#This Row],[Freq]]="Yearly",Table1[[#This Row],[Coupon_Rate]]/100,IF(Table1[[#This Row],[Freq]]="Monthly",Table1[[#This Row],[Coupon_Rate]]/1200,IF(Table1[[#This Row],[Freq]]="Quarterly",Table1[[#This Row],[Coupon_Rate]]/400,0)))</f>
        <v>0.1045</v>
      </c>
      <c r="AB1030">
        <f ca="1">Table1[[#This Row],[Face Value]]*Table1[[#This Row],[Rate]]*Table1[[#This Row],[Time]]</f>
        <v>940.5</v>
      </c>
      <c r="AC1030">
        <f ca="1">Table1[[#This Row],[SI]]+Table1[[#This Row],[Disc/Prem]]</f>
        <v>940.5</v>
      </c>
      <c r="AD1030" s="3" t="e">
        <f ca="1">Table1[[#This Row],[Net Gain]]/Table1[[#This Row],[Ask Rate]]</f>
        <v>#DIV/0!</v>
      </c>
      <c r="AE1030" s="3">
        <f>IF(Table1[[#This Row],[Ask Qty]]=0,0,Table1[[#This Row],[Gross Yield]]*365/Table1[[#This Row],[Days Left]])</f>
        <v>0</v>
      </c>
      <c r="AF1030" s="9">
        <f ca="1">+Table1[[#This Row],[Net Gain]]*Table1[[#This Row],[Ask Qty]]</f>
        <v>0</v>
      </c>
      <c r="AG1030" t="str">
        <f>IF(Table1[[#This Row],[YTM]]&gt;0.12,IF(Table1[[#This Row],[Gross Profit]]&gt;10000,"Invest","Review"),"Low YTM")</f>
        <v>Low YTM</v>
      </c>
    </row>
    <row r="1031" spans="1:33" x14ac:dyDescent="0.3">
      <c r="A1031" t="str">
        <f>RTD("nest.scriprtd",,"bse_cm|1041KFL26","Symbol")</f>
        <v>1041KFL26</v>
      </c>
      <c r="B1031" t="str">
        <f>RTD("nest.scriprtd",,"bse_cm|1041KFL26","Trading Symbol")</f>
        <v>1041KFL26</v>
      </c>
      <c r="C1031" t="str">
        <f>RTD("nest.scriprtd",,"bse_cm|1041KFL26","Exchange")</f>
        <v>BSE</v>
      </c>
      <c r="D1031">
        <f>RTD("nest.scriprtd",,"bse_cm|1041KFL26","Bid Qty")</f>
        <v>22</v>
      </c>
      <c r="E1031">
        <f>RTD("nest.scriprtd",,"bse_cm|1041KFL26","Bid Rate")</f>
        <v>1405.81</v>
      </c>
      <c r="F1031">
        <f>RTD("nest.scriprtd",,"bse_cm|1041KFL26","Ask Rate")</f>
        <v>0</v>
      </c>
      <c r="G1031">
        <f>RTD("nest.scriprtd",,"bse_cm|1041KFL26","Ask Qty")</f>
        <v>0</v>
      </c>
      <c r="H1031">
        <f>RTD("nest.scriprtd",,"bse_cm|1041KFL26","LTP")</f>
        <v>0</v>
      </c>
      <c r="I1031" t="str">
        <f>RTD("nest.scriprtd",,"bse_cm|1041KFL26","LTT")</f>
        <v>00:00:00</v>
      </c>
      <c r="J1031">
        <f>RTD("nest.scriprtd",,"bse_cm|1041KFL26","% Change")</f>
        <v>-100</v>
      </c>
      <c r="K1031">
        <f>RTD("nest.scriprtd",,"bse_cm|1041KFL26","ATP")</f>
        <v>0</v>
      </c>
      <c r="L1031">
        <f>RTD("nest.scriprtd",,"bse_cm|1041KFL26","Volume Traded Today")</f>
        <v>0</v>
      </c>
      <c r="M1031">
        <f>RTD("nest.scriprtd",,"bse_cm|1041KFL26","Open")</f>
        <v>0</v>
      </c>
      <c r="N1031">
        <f>RTD("nest.scriprtd",,"bse_cm|1041KFL26","High")</f>
        <v>1545</v>
      </c>
      <c r="O1031">
        <f>RTD("nest.scriprtd",,"bse_cm|1041KFL26","Low ")</f>
        <v>1545</v>
      </c>
      <c r="P1031">
        <f>RTD("nest.scriprtd",,"bse_cm|1041KFL26","Prev Close")</f>
        <v>1545</v>
      </c>
      <c r="Q1031">
        <f>RTD("nest.scriprtd",,"bse_cm|1041KFL26","Face Value")</f>
        <v>1000</v>
      </c>
      <c r="R1031" t="str">
        <f>RTD("nest.scriprtd",,"bse_cm|1041KFL26","Isin code")</f>
        <v>INE403Q07AX3</v>
      </c>
      <c r="S1031" s="9">
        <f>Table1[[#This Row],[Ask Rate]]*Table1[[#This Row],[Ask Qty]]</f>
        <v>0</v>
      </c>
      <c r="T1031" t="str">
        <f>VLOOKUP(Table1[[#This Row],[Isin code]],Table2[#All],7,FALSE)</f>
        <v>--</v>
      </c>
      <c r="U1031" s="17" t="str">
        <f>VLOOKUP(Table1[[#This Row],[Isin code]],Table2[#All],8,FALSE)</f>
        <v>09-Dec-2026</v>
      </c>
      <c r="V1031" s="10">
        <f ca="1">Table1[[#This Row],[Maturity]]-TODAY()</f>
        <v>784</v>
      </c>
      <c r="W1031" t="str">
        <f>VLOOKUP(Table1[[#This Row],[Isin code]],Table2[#All],10,FALSE)</f>
        <v>At the End</v>
      </c>
      <c r="X1031">
        <f ca="1">_xlfn.DAYS(Table1[[#This Row],[Maturity]],TODAY())-15</f>
        <v>769</v>
      </c>
      <c r="Y103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31">
        <f>IF(Table1[[#This Row],[Ask Rate]]=0,0,Table1[[#This Row],[Face Value]]-Table1[[#This Row],[Ask Rate]])</f>
        <v>0</v>
      </c>
      <c r="AA103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31">
        <f>Table1[[#This Row],[Face Value]]*Table1[[#This Row],[Rate]]*Table1[[#This Row],[Time]]</f>
        <v>0</v>
      </c>
      <c r="AC1031">
        <f>Table1[[#This Row],[SI]]+Table1[[#This Row],[Disc/Prem]]</f>
        <v>0</v>
      </c>
      <c r="AD1031" s="3" t="e">
        <f>Table1[[#This Row],[Net Gain]]/Table1[[#This Row],[Ask Rate]]</f>
        <v>#DIV/0!</v>
      </c>
      <c r="AE1031" s="3">
        <f>IF(Table1[[#This Row],[Ask Qty]]=0,0,Table1[[#This Row],[Gross Yield]]*365/Table1[[#This Row],[Days Left]])</f>
        <v>0</v>
      </c>
      <c r="AF1031" s="9">
        <f>+Table1[[#This Row],[Net Gain]]*Table1[[#This Row],[Ask Qty]]</f>
        <v>0</v>
      </c>
      <c r="AG1031" t="str">
        <f>IF(Table1[[#This Row],[YTM]]&gt;0.12,IF(Table1[[#This Row],[Gross Profit]]&gt;10000,"Invest","Review"),"Low YTM")</f>
        <v>Low YTM</v>
      </c>
    </row>
    <row r="1032" spans="1:33" x14ac:dyDescent="0.3">
      <c r="A1032" t="str">
        <f>RTD("nest.scriprtd",,"bse_cm|0SFL31","Symbol")</f>
        <v>0SFL31</v>
      </c>
      <c r="B1032" t="str">
        <f>RTD("nest.scriprtd",,"bse_cm|0SFL31","Trading Symbol")</f>
        <v>0SFL31</v>
      </c>
      <c r="C1032" t="str">
        <f>RTD("nest.scriprtd",,"bse_cm|0SFL31","Exchange")</f>
        <v>BSE</v>
      </c>
      <c r="D1032">
        <f>RTD("nest.scriprtd",,"bse_cm|0SFL31","Bid Qty")</f>
        <v>27</v>
      </c>
      <c r="E1032">
        <f>RTD("nest.scriprtd",,"bse_cm|0SFL31","Bid Rate")</f>
        <v>842.8</v>
      </c>
      <c r="F1032">
        <f>RTD("nest.scriprtd",,"bse_cm|0SFL31","Ask Rate")</f>
        <v>0</v>
      </c>
      <c r="G1032">
        <f>RTD("nest.scriprtd",,"bse_cm|0SFL31","Ask Qty")</f>
        <v>0</v>
      </c>
      <c r="H1032">
        <f>RTD("nest.scriprtd",,"bse_cm|0SFL31","LTP")</f>
        <v>0</v>
      </c>
      <c r="I1032" t="str">
        <f>RTD("nest.scriprtd",,"bse_cm|0SFL31","LTT")</f>
        <v>00:00:00</v>
      </c>
      <c r="J1032">
        <f>RTD("nest.scriprtd",,"bse_cm|0SFL31","% Change")</f>
        <v>-100</v>
      </c>
      <c r="K1032">
        <f>RTD("nest.scriprtd",,"bse_cm|0SFL31","ATP")</f>
        <v>0</v>
      </c>
      <c r="L1032">
        <f>RTD("nest.scriprtd",,"bse_cm|0SFL31","Volume Traded Today")</f>
        <v>0</v>
      </c>
      <c r="M1032">
        <f>RTD("nest.scriprtd",,"bse_cm|0SFL31","Open")</f>
        <v>0</v>
      </c>
      <c r="N1032">
        <f>RTD("nest.scriprtd",,"bse_cm|0SFL31","High")</f>
        <v>0</v>
      </c>
      <c r="O1032">
        <f>RTD("nest.scriprtd",,"bse_cm|0SFL31","Low ")</f>
        <v>0</v>
      </c>
      <c r="P1032">
        <f>RTD("nest.scriprtd",,"bse_cm|0SFL31","Prev Close")</f>
        <v>1000</v>
      </c>
      <c r="Q1032">
        <f>RTD("nest.scriprtd",,"bse_cm|0SFL31","Face Value")</f>
        <v>1000</v>
      </c>
      <c r="R1032" t="str">
        <f>RTD("nest.scriprtd",,"bse_cm|0SFL31","Isin code")</f>
        <v>INE302E07722</v>
      </c>
      <c r="S1032" s="9">
        <f>Table1[[#This Row],[Ask Rate]]*Table1[[#This Row],[Ask Qty]]</f>
        <v>0</v>
      </c>
      <c r="T1032" t="str">
        <f>VLOOKUP(Table1[[#This Row],[Isin code]],Table2[#All],7,FALSE)</f>
        <v>--</v>
      </c>
      <c r="U1032" s="17" t="str">
        <f>VLOOKUP(Table1[[#This Row],[Isin code]],Table2[#All],8,FALSE)</f>
        <v>09-Aug-2031</v>
      </c>
      <c r="V1032" s="10">
        <f ca="1">Table1[[#This Row],[Maturity]]-TODAY()</f>
        <v>2488</v>
      </c>
      <c r="W1032" t="str">
        <f>VLOOKUP(Table1[[#This Row],[Isin code]],Table2[#All],10,FALSE)</f>
        <v>At the End</v>
      </c>
      <c r="X1032">
        <f ca="1">_xlfn.DAYS(Table1[[#This Row],[Maturity]],TODAY())-15</f>
        <v>2473</v>
      </c>
      <c r="Y103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32">
        <f>IF(Table1[[#This Row],[Ask Rate]]=0,0,Table1[[#This Row],[Face Value]]-Table1[[#This Row],[Ask Rate]])</f>
        <v>0</v>
      </c>
      <c r="AA103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32">
        <f>Table1[[#This Row],[Face Value]]*Table1[[#This Row],[Rate]]*Table1[[#This Row],[Time]]</f>
        <v>0</v>
      </c>
      <c r="AC1032">
        <f>Table1[[#This Row],[SI]]+Table1[[#This Row],[Disc/Prem]]</f>
        <v>0</v>
      </c>
      <c r="AD1032" s="3" t="e">
        <f>Table1[[#This Row],[Net Gain]]/Table1[[#This Row],[Ask Rate]]</f>
        <v>#DIV/0!</v>
      </c>
      <c r="AE1032" s="3">
        <f>IF(Table1[[#This Row],[Ask Qty]]=0,0,Table1[[#This Row],[Gross Yield]]*365/Table1[[#This Row],[Days Left]])</f>
        <v>0</v>
      </c>
      <c r="AF1032" s="9">
        <f>+Table1[[#This Row],[Net Gain]]*Table1[[#This Row],[Ask Qty]]</f>
        <v>0</v>
      </c>
      <c r="AG1032" t="str">
        <f>IF(Table1[[#This Row],[YTM]]&gt;0.12,IF(Table1[[#This Row],[Gross Profit]]&gt;10000,"Invest","Review"),"Low YTM")</f>
        <v>Low YTM</v>
      </c>
    </row>
    <row r="1033" spans="1:33" x14ac:dyDescent="0.3">
      <c r="A1033" t="str">
        <f>RTD("nest.scriprtd",,"bse_cm|0SFL29A","Symbol")</f>
        <v>0SFL29A</v>
      </c>
      <c r="B1033" t="str">
        <f>RTD("nest.scriprtd",,"bse_cm|0SFL29A","Trading Symbol")</f>
        <v>0SFL29A</v>
      </c>
      <c r="C1033" t="str">
        <f>RTD("nest.scriprtd",,"bse_cm|0SFL29A","Exchange")</f>
        <v>BSE</v>
      </c>
      <c r="D1033">
        <f>RTD("nest.scriprtd",,"bse_cm|0SFL29A","Bid Qty")</f>
        <v>20</v>
      </c>
      <c r="E1033">
        <f>RTD("nest.scriprtd",,"bse_cm|0SFL29A","Bid Rate")</f>
        <v>846.2</v>
      </c>
      <c r="F1033">
        <f>RTD("nest.scriprtd",,"bse_cm|0SFL29A","Ask Rate")</f>
        <v>0</v>
      </c>
      <c r="G1033">
        <f>RTD("nest.scriprtd",,"bse_cm|0SFL29A","Ask Qty")</f>
        <v>0</v>
      </c>
      <c r="H1033">
        <f>RTD("nest.scriprtd",,"bse_cm|0SFL29A","LTP")</f>
        <v>0</v>
      </c>
      <c r="I1033" t="str">
        <f>RTD("nest.scriprtd",,"bse_cm|0SFL29A","LTT")</f>
        <v>00:00:00</v>
      </c>
      <c r="J1033">
        <f>RTD("nest.scriprtd",,"bse_cm|0SFL29A","% Change")</f>
        <v>-100</v>
      </c>
      <c r="K1033">
        <f>RTD("nest.scriprtd",,"bse_cm|0SFL29A","ATP")</f>
        <v>0</v>
      </c>
      <c r="L1033">
        <f>RTD("nest.scriprtd",,"bse_cm|0SFL29A","Volume Traded Today")</f>
        <v>0</v>
      </c>
      <c r="M1033">
        <f>RTD("nest.scriprtd",,"bse_cm|0SFL29A","Open")</f>
        <v>0</v>
      </c>
      <c r="N1033">
        <f>RTD("nest.scriprtd",,"bse_cm|0SFL29A","High")</f>
        <v>0</v>
      </c>
      <c r="O1033">
        <f>RTD("nest.scriprtd",,"bse_cm|0SFL29A","Low ")</f>
        <v>0</v>
      </c>
      <c r="P1033">
        <f>RTD("nest.scriprtd",,"bse_cm|0SFL29A","Prev Close")</f>
        <v>1000</v>
      </c>
      <c r="Q1033">
        <f>RTD("nest.scriprtd",,"bse_cm|0SFL29A","Face Value")</f>
        <v>1000</v>
      </c>
      <c r="R1033" t="str">
        <f>RTD("nest.scriprtd",,"bse_cm|0SFL29A","Isin code")</f>
        <v>INE302E07714</v>
      </c>
      <c r="S1033" s="9">
        <f>Table1[[#This Row],[Ask Rate]]*Table1[[#This Row],[Ask Qty]]</f>
        <v>0</v>
      </c>
      <c r="T1033" t="str">
        <f>VLOOKUP(Table1[[#This Row],[Isin code]],Table2[#All],7,FALSE)</f>
        <v>--</v>
      </c>
      <c r="U1033" s="17" t="str">
        <f>VLOOKUP(Table1[[#This Row],[Isin code]],Table2[#All],8,FALSE)</f>
        <v>09-Jul-2029</v>
      </c>
      <c r="V1033" s="10">
        <f ca="1">Table1[[#This Row],[Maturity]]-TODAY()</f>
        <v>1727</v>
      </c>
      <c r="W1033" t="str">
        <f>VLOOKUP(Table1[[#This Row],[Isin code]],Table2[#All],10,FALSE)</f>
        <v>At the End</v>
      </c>
      <c r="X1033">
        <f ca="1">_xlfn.DAYS(Table1[[#This Row],[Maturity]],TODAY())-15</f>
        <v>1712</v>
      </c>
      <c r="Y103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33">
        <f>IF(Table1[[#This Row],[Ask Rate]]=0,0,Table1[[#This Row],[Face Value]]-Table1[[#This Row],[Ask Rate]])</f>
        <v>0</v>
      </c>
      <c r="AA103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33">
        <f>Table1[[#This Row],[Face Value]]*Table1[[#This Row],[Rate]]*Table1[[#This Row],[Time]]</f>
        <v>0</v>
      </c>
      <c r="AC1033">
        <f>Table1[[#This Row],[SI]]+Table1[[#This Row],[Disc/Prem]]</f>
        <v>0</v>
      </c>
      <c r="AD1033" s="3" t="e">
        <f>Table1[[#This Row],[Net Gain]]/Table1[[#This Row],[Ask Rate]]</f>
        <v>#DIV/0!</v>
      </c>
      <c r="AE1033" s="3">
        <f>IF(Table1[[#This Row],[Ask Qty]]=0,0,Table1[[#This Row],[Gross Yield]]*365/Table1[[#This Row],[Days Left]])</f>
        <v>0</v>
      </c>
      <c r="AF1033" s="9">
        <f>+Table1[[#This Row],[Net Gain]]*Table1[[#This Row],[Ask Qty]]</f>
        <v>0</v>
      </c>
      <c r="AG1033" t="str">
        <f>IF(Table1[[#This Row],[YTM]]&gt;0.12,IF(Table1[[#This Row],[Gross Profit]]&gt;10000,"Invest","Review"),"Low YTM")</f>
        <v>Low YTM</v>
      </c>
    </row>
    <row r="1034" spans="1:33" x14ac:dyDescent="0.3">
      <c r="A1034" t="str">
        <f>RTD("nest.scriprtd",,"bse_cm|0SFL27A","Symbol")</f>
        <v>0SFL27A</v>
      </c>
      <c r="B1034" t="str">
        <f>RTD("nest.scriprtd",,"bse_cm|0SFL27A","Trading Symbol")</f>
        <v>0SFL27A</v>
      </c>
      <c r="C1034" t="str">
        <f>RTD("nest.scriprtd",,"bse_cm|0SFL27A","Exchange")</f>
        <v>BSE</v>
      </c>
      <c r="D1034">
        <f>RTD("nest.scriprtd",,"bse_cm|0SFL27A","Bid Qty")</f>
        <v>18</v>
      </c>
      <c r="E1034">
        <f>RTD("nest.scriprtd",,"bse_cm|0SFL27A","Bid Rate")</f>
        <v>848.15</v>
      </c>
      <c r="F1034">
        <f>RTD("nest.scriprtd",,"bse_cm|0SFL27A","Ask Rate")</f>
        <v>0</v>
      </c>
      <c r="G1034">
        <f>RTD("nest.scriprtd",,"bse_cm|0SFL27A","Ask Qty")</f>
        <v>0</v>
      </c>
      <c r="H1034">
        <f>RTD("nest.scriprtd",,"bse_cm|0SFL27A","LTP")</f>
        <v>0</v>
      </c>
      <c r="I1034" t="str">
        <f>RTD("nest.scriprtd",,"bse_cm|0SFL27A","LTT")</f>
        <v>00:00:00</v>
      </c>
      <c r="J1034">
        <f>RTD("nest.scriprtd",,"bse_cm|0SFL27A","% Change")</f>
        <v>-100</v>
      </c>
      <c r="K1034">
        <f>RTD("nest.scriprtd",,"bse_cm|0SFL27A","ATP")</f>
        <v>0</v>
      </c>
      <c r="L1034">
        <f>RTD("nest.scriprtd",,"bse_cm|0SFL27A","Volume Traded Today")</f>
        <v>0</v>
      </c>
      <c r="M1034">
        <f>RTD("nest.scriprtd",,"bse_cm|0SFL27A","Open")</f>
        <v>0</v>
      </c>
      <c r="N1034">
        <f>RTD("nest.scriprtd",,"bse_cm|0SFL27A","High")</f>
        <v>0</v>
      </c>
      <c r="O1034">
        <f>RTD("nest.scriprtd",,"bse_cm|0SFL27A","Low ")</f>
        <v>0</v>
      </c>
      <c r="P1034">
        <f>RTD("nest.scriprtd",,"bse_cm|0SFL27A","Prev Close")</f>
        <v>1000</v>
      </c>
      <c r="Q1034">
        <f>RTD("nest.scriprtd",,"bse_cm|0SFL27A","Face Value")</f>
        <v>1000</v>
      </c>
      <c r="R1034" t="str">
        <f>RTD("nest.scriprtd",,"bse_cm|0SFL27A","Isin code")</f>
        <v>INE302E07755</v>
      </c>
      <c r="S1034" s="9">
        <f>Table1[[#This Row],[Ask Rate]]*Table1[[#This Row],[Ask Qty]]</f>
        <v>0</v>
      </c>
      <c r="T1034" t="str">
        <f>VLOOKUP(Table1[[#This Row],[Isin code]],Table2[#All],7,FALSE)</f>
        <v>--</v>
      </c>
      <c r="U1034" s="17" t="str">
        <f>VLOOKUP(Table1[[#This Row],[Isin code]],Table2[#All],8,FALSE)</f>
        <v>09-Jul-2027</v>
      </c>
      <c r="V1034" s="10">
        <f ca="1">Table1[[#This Row],[Maturity]]-TODAY()</f>
        <v>996</v>
      </c>
      <c r="W1034" t="str">
        <f>VLOOKUP(Table1[[#This Row],[Isin code]],Table2[#All],10,FALSE)</f>
        <v>At the End</v>
      </c>
      <c r="X1034">
        <f ca="1">_xlfn.DAYS(Table1[[#This Row],[Maturity]],TODAY())-15</f>
        <v>981</v>
      </c>
      <c r="Y103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34">
        <f>IF(Table1[[#This Row],[Ask Rate]]=0,0,Table1[[#This Row],[Face Value]]-Table1[[#This Row],[Ask Rate]])</f>
        <v>0</v>
      </c>
      <c r="AA103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34">
        <f>Table1[[#This Row],[Face Value]]*Table1[[#This Row],[Rate]]*Table1[[#This Row],[Time]]</f>
        <v>0</v>
      </c>
      <c r="AC1034">
        <f>Table1[[#This Row],[SI]]+Table1[[#This Row],[Disc/Prem]]</f>
        <v>0</v>
      </c>
      <c r="AD1034" s="3" t="e">
        <f>Table1[[#This Row],[Net Gain]]/Table1[[#This Row],[Ask Rate]]</f>
        <v>#DIV/0!</v>
      </c>
      <c r="AE1034" s="3">
        <f>IF(Table1[[#This Row],[Ask Qty]]=0,0,Table1[[#This Row],[Gross Yield]]*365/Table1[[#This Row],[Days Left]])</f>
        <v>0</v>
      </c>
      <c r="AF1034" s="9">
        <f>+Table1[[#This Row],[Net Gain]]*Table1[[#This Row],[Ask Qty]]</f>
        <v>0</v>
      </c>
      <c r="AG1034" t="str">
        <f>IF(Table1[[#This Row],[YTM]]&gt;0.12,IF(Table1[[#This Row],[Gross Profit]]&gt;10000,"Invest","Review"),"Low YTM")</f>
        <v>Low YTM</v>
      </c>
    </row>
    <row r="1035" spans="1:33" x14ac:dyDescent="0.3">
      <c r="A1035" t="str">
        <f>RTD("nest.scriprtd",,"bse_cm|0NHFL29","Symbol")</f>
        <v>0NHFL29</v>
      </c>
      <c r="B1035" t="str">
        <f>RTD("nest.scriprtd",,"bse_cm|0NHFL29","Trading Symbol")</f>
        <v>0NHFL29</v>
      </c>
      <c r="C1035" t="str">
        <f>RTD("nest.scriprtd",,"bse_cm|0NHFL29","Exchange")</f>
        <v>BSE</v>
      </c>
      <c r="D1035">
        <f>RTD("nest.scriprtd",,"bse_cm|0NHFL29","Bid Qty")</f>
        <v>24</v>
      </c>
      <c r="E1035">
        <f>RTD("nest.scriprtd",,"bse_cm|0NHFL29","Bid Rate")</f>
        <v>861.2</v>
      </c>
      <c r="F1035">
        <f>RTD("nest.scriprtd",,"bse_cm|0NHFL29","Ask Rate")</f>
        <v>0</v>
      </c>
      <c r="G1035">
        <f>RTD("nest.scriprtd",,"bse_cm|0NHFL29","Ask Qty")</f>
        <v>0</v>
      </c>
      <c r="H1035">
        <f>RTD("nest.scriprtd",,"bse_cm|0NHFL29","LTP")</f>
        <v>0</v>
      </c>
      <c r="I1035" t="str">
        <f>RTD("nest.scriprtd",,"bse_cm|0NHFL29","LTT")</f>
        <v>00:00:00</v>
      </c>
      <c r="J1035">
        <f>RTD("nest.scriprtd",,"bse_cm|0NHFL29","% Change")</f>
        <v>-100</v>
      </c>
      <c r="K1035">
        <f>RTD("nest.scriprtd",,"bse_cm|0NHFL29","ATP")</f>
        <v>0</v>
      </c>
      <c r="L1035">
        <f>RTD("nest.scriprtd",,"bse_cm|0NHFL29","Volume Traded Today")</f>
        <v>0</v>
      </c>
      <c r="M1035">
        <f>RTD("nest.scriprtd",,"bse_cm|0NHFL29","Open")</f>
        <v>0</v>
      </c>
      <c r="N1035">
        <f>RTD("nest.scriprtd",,"bse_cm|0NHFL29","High")</f>
        <v>0</v>
      </c>
      <c r="O1035">
        <f>RTD("nest.scriprtd",,"bse_cm|0NHFL29","Low ")</f>
        <v>0</v>
      </c>
      <c r="P1035">
        <f>RTD("nest.scriprtd",,"bse_cm|0NHFL29","Prev Close")</f>
        <v>1000</v>
      </c>
      <c r="Q1035">
        <f>RTD("nest.scriprtd",,"bse_cm|0NHFL29","Face Value")</f>
        <v>1000</v>
      </c>
      <c r="R1035" t="str">
        <f>RTD("nest.scriprtd",,"bse_cm|0NHFL29","Isin code")</f>
        <v>INE530L07830</v>
      </c>
      <c r="S1035" s="9">
        <f>Table1[[#This Row],[Ask Rate]]*Table1[[#This Row],[Ask Qty]]</f>
        <v>0</v>
      </c>
      <c r="T1035" t="str">
        <f>VLOOKUP(Table1[[#This Row],[Isin code]],Table2[#All],7,FALSE)</f>
        <v>--</v>
      </c>
      <c r="U1035" s="17" t="str">
        <f>VLOOKUP(Table1[[#This Row],[Isin code]],Table2[#All],8,FALSE)</f>
        <v>03-Jul-2029</v>
      </c>
      <c r="V1035" s="10">
        <f ca="1">Table1[[#This Row],[Maturity]]-TODAY()</f>
        <v>1721</v>
      </c>
      <c r="W1035" t="str">
        <f>VLOOKUP(Table1[[#This Row],[Isin code]],Table2[#All],10,FALSE)</f>
        <v>At the End</v>
      </c>
      <c r="X1035">
        <f ca="1">_xlfn.DAYS(Table1[[#This Row],[Maturity]],TODAY())-15</f>
        <v>1706</v>
      </c>
      <c r="Y103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35">
        <f>IF(Table1[[#This Row],[Ask Rate]]=0,0,Table1[[#This Row],[Face Value]]-Table1[[#This Row],[Ask Rate]])</f>
        <v>0</v>
      </c>
      <c r="AA103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35">
        <f>Table1[[#This Row],[Face Value]]*Table1[[#This Row],[Rate]]*Table1[[#This Row],[Time]]</f>
        <v>0</v>
      </c>
      <c r="AC1035">
        <f>Table1[[#This Row],[SI]]+Table1[[#This Row],[Disc/Prem]]</f>
        <v>0</v>
      </c>
      <c r="AD1035" s="3" t="e">
        <f>Table1[[#This Row],[Net Gain]]/Table1[[#This Row],[Ask Rate]]</f>
        <v>#DIV/0!</v>
      </c>
      <c r="AE1035" s="3">
        <f>IF(Table1[[#This Row],[Ask Qty]]=0,0,Table1[[#This Row],[Gross Yield]]*365/Table1[[#This Row],[Days Left]])</f>
        <v>0</v>
      </c>
      <c r="AF1035" s="9">
        <f>+Table1[[#This Row],[Net Gain]]*Table1[[#This Row],[Ask Qty]]</f>
        <v>0</v>
      </c>
      <c r="AG1035" t="str">
        <f>IF(Table1[[#This Row],[YTM]]&gt;0.12,IF(Table1[[#This Row],[Gross Profit]]&gt;10000,"Invest","Review"),"Low YTM")</f>
        <v>Low YTM</v>
      </c>
    </row>
    <row r="1036" spans="1:33" x14ac:dyDescent="0.3">
      <c r="A1036" t="str">
        <f>RTD("nest.scriprtd",,"bse_cm|0NHFL27","Symbol")</f>
        <v>0NHFL27</v>
      </c>
      <c r="B1036" t="str">
        <f>RTD("nest.scriprtd",,"bse_cm|0NHFL27","Trading Symbol")</f>
        <v>0NHFL27</v>
      </c>
      <c r="C1036" t="str">
        <f>RTD("nest.scriprtd",,"bse_cm|0NHFL27","Exchange")</f>
        <v>BSE</v>
      </c>
      <c r="D1036">
        <f>RTD("nest.scriprtd",,"bse_cm|0NHFL27","Bid Qty")</f>
        <v>22</v>
      </c>
      <c r="E1036">
        <f>RTD("nest.scriprtd",,"bse_cm|0NHFL27","Bid Rate")</f>
        <v>860.1</v>
      </c>
      <c r="F1036">
        <f>RTD("nest.scriprtd",,"bse_cm|0NHFL27","Ask Rate")</f>
        <v>0</v>
      </c>
      <c r="G1036">
        <f>RTD("nest.scriprtd",,"bse_cm|0NHFL27","Ask Qty")</f>
        <v>0</v>
      </c>
      <c r="H1036">
        <f>RTD("nest.scriprtd",,"bse_cm|0NHFL27","LTP")</f>
        <v>0</v>
      </c>
      <c r="I1036" t="str">
        <f>RTD("nest.scriprtd",,"bse_cm|0NHFL27","LTT")</f>
        <v>00:00:00</v>
      </c>
      <c r="J1036">
        <f>RTD("nest.scriprtd",,"bse_cm|0NHFL27","% Change")</f>
        <v>-100</v>
      </c>
      <c r="K1036">
        <f>RTD("nest.scriprtd",,"bse_cm|0NHFL27","ATP")</f>
        <v>0</v>
      </c>
      <c r="L1036">
        <f>RTD("nest.scriprtd",,"bse_cm|0NHFL27","Volume Traded Today")</f>
        <v>0</v>
      </c>
      <c r="M1036">
        <f>RTD("nest.scriprtd",,"bse_cm|0NHFL27","Open")</f>
        <v>0</v>
      </c>
      <c r="N1036">
        <f>RTD("nest.scriprtd",,"bse_cm|0NHFL27","High")</f>
        <v>0</v>
      </c>
      <c r="O1036">
        <f>RTD("nest.scriprtd",,"bse_cm|0NHFL27","Low ")</f>
        <v>0</v>
      </c>
      <c r="P1036">
        <f>RTD("nest.scriprtd",,"bse_cm|0NHFL27","Prev Close")</f>
        <v>1000</v>
      </c>
      <c r="Q1036">
        <f>RTD("nest.scriprtd",,"bse_cm|0NHFL27","Face Value")</f>
        <v>1000</v>
      </c>
      <c r="R1036" t="str">
        <f>RTD("nest.scriprtd",,"bse_cm|0NHFL27","Isin code")</f>
        <v>INE530L07814</v>
      </c>
      <c r="S1036" s="9">
        <f>Table1[[#This Row],[Ask Rate]]*Table1[[#This Row],[Ask Qty]]</f>
        <v>0</v>
      </c>
      <c r="T1036" t="str">
        <f>VLOOKUP(Table1[[#This Row],[Isin code]],Table2[#All],7,FALSE)</f>
        <v>--</v>
      </c>
      <c r="U1036" s="17" t="str">
        <f>VLOOKUP(Table1[[#This Row],[Isin code]],Table2[#All],8,FALSE)</f>
        <v>03-Jul-2027</v>
      </c>
      <c r="V1036" s="10">
        <f ca="1">Table1[[#This Row],[Maturity]]-TODAY()</f>
        <v>990</v>
      </c>
      <c r="W1036" t="str">
        <f>VLOOKUP(Table1[[#This Row],[Isin code]],Table2[#All],10,FALSE)</f>
        <v>At the End</v>
      </c>
      <c r="X1036">
        <f ca="1">_xlfn.DAYS(Table1[[#This Row],[Maturity]],TODAY())-15</f>
        <v>975</v>
      </c>
      <c r="Y103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36">
        <f>IF(Table1[[#This Row],[Ask Rate]]=0,0,Table1[[#This Row],[Face Value]]-Table1[[#This Row],[Ask Rate]])</f>
        <v>0</v>
      </c>
      <c r="AA103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36">
        <f>Table1[[#This Row],[Face Value]]*Table1[[#This Row],[Rate]]*Table1[[#This Row],[Time]]</f>
        <v>0</v>
      </c>
      <c r="AC1036">
        <f>Table1[[#This Row],[SI]]+Table1[[#This Row],[Disc/Prem]]</f>
        <v>0</v>
      </c>
      <c r="AD1036" s="3" t="e">
        <f>Table1[[#This Row],[Net Gain]]/Table1[[#This Row],[Ask Rate]]</f>
        <v>#DIV/0!</v>
      </c>
      <c r="AE1036" s="3">
        <f>IF(Table1[[#This Row],[Ask Qty]]=0,0,Table1[[#This Row],[Gross Yield]]*365/Table1[[#This Row],[Days Left]])</f>
        <v>0</v>
      </c>
      <c r="AF1036" s="9">
        <f>+Table1[[#This Row],[Net Gain]]*Table1[[#This Row],[Ask Qty]]</f>
        <v>0</v>
      </c>
      <c r="AG1036" t="str">
        <f>IF(Table1[[#This Row],[YTM]]&gt;0.12,IF(Table1[[#This Row],[Gross Profit]]&gt;10000,"Invest","Review"),"Low YTM")</f>
        <v>Low YTM</v>
      </c>
    </row>
    <row r="1037" spans="1:33" x14ac:dyDescent="0.3">
      <c r="A1037" t="str">
        <f>RTD("nest.scriprtd",,"bse_cm|0NHFL26","Symbol")</f>
        <v>0NHFL26</v>
      </c>
      <c r="B1037" t="str">
        <f>RTD("nest.scriprtd",,"bse_cm|0NHFL26","Trading Symbol")</f>
        <v>0NHFL26</v>
      </c>
      <c r="C1037" t="str">
        <f>RTD("nest.scriprtd",,"bse_cm|0NHFL26","Exchange")</f>
        <v>BSE</v>
      </c>
      <c r="D1037">
        <f>RTD("nest.scriprtd",,"bse_cm|0NHFL26","Bid Qty")</f>
        <v>21</v>
      </c>
      <c r="E1037">
        <f>RTD("nest.scriprtd",,"bse_cm|0NHFL26","Bid Rate")</f>
        <v>860.2</v>
      </c>
      <c r="F1037">
        <f>RTD("nest.scriprtd",,"bse_cm|0NHFL26","Ask Rate")</f>
        <v>0</v>
      </c>
      <c r="G1037">
        <f>RTD("nest.scriprtd",,"bse_cm|0NHFL26","Ask Qty")</f>
        <v>0</v>
      </c>
      <c r="H1037">
        <f>RTD("nest.scriprtd",,"bse_cm|0NHFL26","LTP")</f>
        <v>0</v>
      </c>
      <c r="I1037" t="str">
        <f>RTD("nest.scriprtd",,"bse_cm|0NHFL26","LTT")</f>
        <v>00:00:00</v>
      </c>
      <c r="J1037">
        <f>RTD("nest.scriprtd",,"bse_cm|0NHFL26","% Change")</f>
        <v>-100</v>
      </c>
      <c r="K1037">
        <f>RTD("nest.scriprtd",,"bse_cm|0NHFL26","ATP")</f>
        <v>0</v>
      </c>
      <c r="L1037">
        <f>RTD("nest.scriprtd",,"bse_cm|0NHFL26","Volume Traded Today")</f>
        <v>0</v>
      </c>
      <c r="M1037">
        <f>RTD("nest.scriprtd",,"bse_cm|0NHFL26","Open")</f>
        <v>0</v>
      </c>
      <c r="N1037">
        <f>RTD("nest.scriprtd",,"bse_cm|0NHFL26","High")</f>
        <v>960</v>
      </c>
      <c r="O1037">
        <f>RTD("nest.scriprtd",,"bse_cm|0NHFL26","Low ")</f>
        <v>960</v>
      </c>
      <c r="P1037">
        <f>RTD("nest.scriprtd",,"bse_cm|0NHFL26","Prev Close")</f>
        <v>960</v>
      </c>
      <c r="Q1037">
        <f>RTD("nest.scriprtd",,"bse_cm|0NHFL26","Face Value")</f>
        <v>1000</v>
      </c>
      <c r="R1037" t="str">
        <f>RTD("nest.scriprtd",,"bse_cm|0NHFL26","Isin code")</f>
        <v>INE530L07822</v>
      </c>
      <c r="S1037" s="9">
        <f>Table1[[#This Row],[Ask Rate]]*Table1[[#This Row],[Ask Qty]]</f>
        <v>0</v>
      </c>
      <c r="T1037" t="str">
        <f>VLOOKUP(Table1[[#This Row],[Isin code]],Table2[#All],7,FALSE)</f>
        <v>--</v>
      </c>
      <c r="U1037" s="17" t="str">
        <f>VLOOKUP(Table1[[#This Row],[Isin code]],Table2[#All],8,FALSE)</f>
        <v>03-Jul-2026</v>
      </c>
      <c r="V1037" s="10">
        <f ca="1">Table1[[#This Row],[Maturity]]-TODAY()</f>
        <v>625</v>
      </c>
      <c r="W1037" t="str">
        <f>VLOOKUP(Table1[[#This Row],[Isin code]],Table2[#All],10,FALSE)</f>
        <v>At the End</v>
      </c>
      <c r="X1037">
        <f ca="1">_xlfn.DAYS(Table1[[#This Row],[Maturity]],TODAY())-15</f>
        <v>610</v>
      </c>
      <c r="Y103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37">
        <f>IF(Table1[[#This Row],[Ask Rate]]=0,0,Table1[[#This Row],[Face Value]]-Table1[[#This Row],[Ask Rate]])</f>
        <v>0</v>
      </c>
      <c r="AA103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37">
        <f>Table1[[#This Row],[Face Value]]*Table1[[#This Row],[Rate]]*Table1[[#This Row],[Time]]</f>
        <v>0</v>
      </c>
      <c r="AC1037">
        <f>Table1[[#This Row],[SI]]+Table1[[#This Row],[Disc/Prem]]</f>
        <v>0</v>
      </c>
      <c r="AD1037" s="3" t="e">
        <f>Table1[[#This Row],[Net Gain]]/Table1[[#This Row],[Ask Rate]]</f>
        <v>#DIV/0!</v>
      </c>
      <c r="AE1037" s="3">
        <f>IF(Table1[[#This Row],[Ask Qty]]=0,0,Table1[[#This Row],[Gross Yield]]*365/Table1[[#This Row],[Days Left]])</f>
        <v>0</v>
      </c>
      <c r="AF1037" s="9">
        <f>+Table1[[#This Row],[Net Gain]]*Table1[[#This Row],[Ask Qty]]</f>
        <v>0</v>
      </c>
      <c r="AG1037" t="str">
        <f>IF(Table1[[#This Row],[YTM]]&gt;0.12,IF(Table1[[#This Row],[Gross Profit]]&gt;10000,"Invest","Review"),"Low YTM")</f>
        <v>Low YTM</v>
      </c>
    </row>
    <row r="1038" spans="1:33" x14ac:dyDescent="0.3">
      <c r="A1038" t="str">
        <f>RTD("nest.scriprtd",,"nse_cm|0MOFSL27-N3","Symbol")</f>
        <v>0MOFSL27</v>
      </c>
      <c r="B1038" t="str">
        <f>RTD("nest.scriprtd",,"nse_cm|0MOFSL27-N3","Trading Symbol")</f>
        <v>0MOFSL27-N3</v>
      </c>
      <c r="C1038" t="str">
        <f>RTD("nest.scriprtd",,"nse_cm|0MOFSL27-N3","Exchange")</f>
        <v>NSE</v>
      </c>
      <c r="D1038">
        <f>RTD("nest.scriprtd",,"nse_cm|0MOFSL27-N3","Bid Qty")</f>
        <v>10</v>
      </c>
      <c r="E1038">
        <f>RTD("nest.scriprtd",,"nse_cm|0MOFSL27-N3","Bid Rate")</f>
        <v>976</v>
      </c>
      <c r="F1038">
        <f>RTD("nest.scriprtd",,"nse_cm|0MOFSL27-N3","Ask Rate")</f>
        <v>0</v>
      </c>
      <c r="G1038">
        <f>RTD("nest.scriprtd",,"nse_cm|0MOFSL27-N3","Ask Qty")</f>
        <v>0</v>
      </c>
      <c r="H1038">
        <f>RTD("nest.scriprtd",,"nse_cm|0MOFSL27-N3","LTP")</f>
        <v>1000</v>
      </c>
      <c r="I1038" t="str">
        <f>RTD("nest.scriprtd",,"nse_cm|0MOFSL27-N3","LTT")</f>
        <v/>
      </c>
      <c r="J1038">
        <f>RTD("nest.scriprtd",,"nse_cm|0MOFSL27-N3","% Change")</f>
        <v>0</v>
      </c>
      <c r="K1038">
        <f>RTD("nest.scriprtd",,"nse_cm|0MOFSL27-N3","ATP")</f>
        <v>0</v>
      </c>
      <c r="L1038">
        <f>RTD("nest.scriprtd",,"nse_cm|0MOFSL27-N3","Volume Traded Today")</f>
        <v>0</v>
      </c>
      <c r="M1038">
        <f>RTD("nest.scriprtd",,"nse_cm|0MOFSL27-N3","Open")</f>
        <v>0</v>
      </c>
      <c r="N1038">
        <f>RTD("nest.scriprtd",,"nse_cm|0MOFSL27-N3","High")</f>
        <v>1000</v>
      </c>
      <c r="O1038">
        <f>RTD("nest.scriprtd",,"nse_cm|0MOFSL27-N3","Low ")</f>
        <v>1000</v>
      </c>
      <c r="P1038">
        <f>RTD("nest.scriprtd",,"nse_cm|0MOFSL27-N3","Prev Close")</f>
        <v>1000</v>
      </c>
      <c r="Q1038">
        <f>RTD("nest.scriprtd",,"nse_cm|0MOFSL27-N3","Face Value")</f>
        <v>1000</v>
      </c>
      <c r="R1038" t="str">
        <f>RTD("nest.scriprtd",,"nse_cm|0MOFSL27-N3","Isin code")</f>
        <v>INE338I07099</v>
      </c>
      <c r="S1038" s="9">
        <f>Table1[[#This Row],[Ask Rate]]*Table1[[#This Row],[Ask Qty]]</f>
        <v>0</v>
      </c>
      <c r="T1038" t="str">
        <f>VLOOKUP(Table1[[#This Row],[Isin code]],Table2[#All],7,FALSE)</f>
        <v>--</v>
      </c>
      <c r="U1038" s="17" t="str">
        <f>VLOOKUP(Table1[[#This Row],[Isin code]],Table2[#All],8,FALSE)</f>
        <v>09-May-2027</v>
      </c>
      <c r="V1038" s="10">
        <f ca="1">Table1[[#This Row],[Maturity]]-TODAY()</f>
        <v>935</v>
      </c>
      <c r="W1038" t="str">
        <f>VLOOKUP(Table1[[#This Row],[Isin code]],Table2[#All],10,FALSE)</f>
        <v>At the End</v>
      </c>
      <c r="X1038">
        <f ca="1">_xlfn.DAYS(Table1[[#This Row],[Maturity]],TODAY())-15</f>
        <v>920</v>
      </c>
      <c r="Y103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38">
        <f>IF(Table1[[#This Row],[Ask Rate]]=0,0,Table1[[#This Row],[Face Value]]-Table1[[#This Row],[Ask Rate]])</f>
        <v>0</v>
      </c>
      <c r="AA103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38">
        <f>Table1[[#This Row],[Face Value]]*Table1[[#This Row],[Rate]]*Table1[[#This Row],[Time]]</f>
        <v>0</v>
      </c>
      <c r="AC1038">
        <f>Table1[[#This Row],[SI]]+Table1[[#This Row],[Disc/Prem]]</f>
        <v>0</v>
      </c>
      <c r="AD1038" s="3" t="e">
        <f>Table1[[#This Row],[Net Gain]]/Table1[[#This Row],[Ask Rate]]</f>
        <v>#DIV/0!</v>
      </c>
      <c r="AE1038" s="3">
        <f>IF(Table1[[#This Row],[Ask Qty]]=0,0,Table1[[#This Row],[Gross Yield]]*365/Table1[[#This Row],[Days Left]])</f>
        <v>0</v>
      </c>
      <c r="AF1038" s="9">
        <f>+Table1[[#This Row],[Net Gain]]*Table1[[#This Row],[Ask Qty]]</f>
        <v>0</v>
      </c>
      <c r="AG1038" t="str">
        <f>IF(Table1[[#This Row],[YTM]]&gt;0.12,IF(Table1[[#This Row],[Gross Profit]]&gt;10000,"Invest","Review"),"Low YTM")</f>
        <v>Low YTM</v>
      </c>
    </row>
    <row r="1039" spans="1:33" x14ac:dyDescent="0.3">
      <c r="A1039" t="str">
        <f>RTD("nest.scriprtd",,"bse_cm|0MOFSL27","Symbol")</f>
        <v>0MOFSL27</v>
      </c>
      <c r="B1039" t="str">
        <f>RTD("nest.scriprtd",,"bse_cm|0MOFSL27","Trading Symbol")</f>
        <v>0MOFSL27</v>
      </c>
      <c r="C1039" t="str">
        <f>RTD("nest.scriprtd",,"bse_cm|0MOFSL27","Exchange")</f>
        <v>BSE</v>
      </c>
      <c r="D1039">
        <f>RTD("nest.scriprtd",,"bse_cm|0MOFSL27","Bid Qty")</f>
        <v>22</v>
      </c>
      <c r="E1039">
        <f>RTD("nest.scriprtd",,"bse_cm|0MOFSL27","Bid Rate")</f>
        <v>895.2</v>
      </c>
      <c r="F1039">
        <f>RTD("nest.scriprtd",,"bse_cm|0MOFSL27","Ask Rate")</f>
        <v>0</v>
      </c>
      <c r="G1039">
        <f>RTD("nest.scriprtd",,"bse_cm|0MOFSL27","Ask Qty")</f>
        <v>0</v>
      </c>
      <c r="H1039">
        <f>RTD("nest.scriprtd",,"bse_cm|0MOFSL27","LTP")</f>
        <v>0</v>
      </c>
      <c r="I1039" t="str">
        <f>RTD("nest.scriprtd",,"bse_cm|0MOFSL27","LTT")</f>
        <v>00:00:00</v>
      </c>
      <c r="J1039">
        <f>RTD("nest.scriprtd",,"bse_cm|0MOFSL27","% Change")</f>
        <v>-100</v>
      </c>
      <c r="K1039">
        <f>RTD("nest.scriprtd",,"bse_cm|0MOFSL27","ATP")</f>
        <v>0</v>
      </c>
      <c r="L1039">
        <f>RTD("nest.scriprtd",,"bse_cm|0MOFSL27","Volume Traded Today")</f>
        <v>0</v>
      </c>
      <c r="M1039">
        <f>RTD("nest.scriprtd",,"bse_cm|0MOFSL27","Open")</f>
        <v>0</v>
      </c>
      <c r="N1039">
        <f>RTD("nest.scriprtd",,"bse_cm|0MOFSL27","High")</f>
        <v>1010</v>
      </c>
      <c r="O1039">
        <f>RTD("nest.scriprtd",,"bse_cm|0MOFSL27","Low ")</f>
        <v>1010</v>
      </c>
      <c r="P1039">
        <f>RTD("nest.scriprtd",,"bse_cm|0MOFSL27","Prev Close")</f>
        <v>1010</v>
      </c>
      <c r="Q1039">
        <f>RTD("nest.scriprtd",,"bse_cm|0MOFSL27","Face Value")</f>
        <v>1000</v>
      </c>
      <c r="R1039" t="str">
        <f>RTD("nest.scriprtd",,"bse_cm|0MOFSL27","Isin code")</f>
        <v>INE338I07099</v>
      </c>
      <c r="S1039" s="9">
        <f>Table1[[#This Row],[Ask Rate]]*Table1[[#This Row],[Ask Qty]]</f>
        <v>0</v>
      </c>
      <c r="T1039" t="str">
        <f>VLOOKUP(Table1[[#This Row],[Isin code]],Table2[#All],7,FALSE)</f>
        <v>--</v>
      </c>
      <c r="U1039" s="17" t="str">
        <f>VLOOKUP(Table1[[#This Row],[Isin code]],Table2[#All],8,FALSE)</f>
        <v>09-May-2027</v>
      </c>
      <c r="V1039" s="10">
        <f ca="1">Table1[[#This Row],[Maturity]]-TODAY()</f>
        <v>935</v>
      </c>
      <c r="W1039" t="str">
        <f>VLOOKUP(Table1[[#This Row],[Isin code]],Table2[#All],10,FALSE)</f>
        <v>At the End</v>
      </c>
      <c r="X1039">
        <f ca="1">_xlfn.DAYS(Table1[[#This Row],[Maturity]],TODAY())-15</f>
        <v>920</v>
      </c>
      <c r="Y103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39">
        <f>IF(Table1[[#This Row],[Ask Rate]]=0,0,Table1[[#This Row],[Face Value]]-Table1[[#This Row],[Ask Rate]])</f>
        <v>0</v>
      </c>
      <c r="AA103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39">
        <f>Table1[[#This Row],[Face Value]]*Table1[[#This Row],[Rate]]*Table1[[#This Row],[Time]]</f>
        <v>0</v>
      </c>
      <c r="AC1039">
        <f>Table1[[#This Row],[SI]]+Table1[[#This Row],[Disc/Prem]]</f>
        <v>0</v>
      </c>
      <c r="AD1039" s="3" t="e">
        <f>Table1[[#This Row],[Net Gain]]/Table1[[#This Row],[Ask Rate]]</f>
        <v>#DIV/0!</v>
      </c>
      <c r="AE1039" s="3">
        <f>IF(Table1[[#This Row],[Ask Qty]]=0,0,Table1[[#This Row],[Gross Yield]]*365/Table1[[#This Row],[Days Left]])</f>
        <v>0</v>
      </c>
      <c r="AF1039" s="9">
        <f>+Table1[[#This Row],[Net Gain]]*Table1[[#This Row],[Ask Qty]]</f>
        <v>0</v>
      </c>
      <c r="AG1039" t="str">
        <f>IF(Table1[[#This Row],[YTM]]&gt;0.12,IF(Table1[[#This Row],[Gross Profit]]&gt;10000,"Invest","Review"),"Low YTM")</f>
        <v>Low YTM</v>
      </c>
    </row>
    <row r="1040" spans="1:33" x14ac:dyDescent="0.3">
      <c r="A1040" t="str">
        <f>RTD("nest.scriprtd",,"bse_cm|0MML29A","Symbol")</f>
        <v>0MML29A</v>
      </c>
      <c r="B1040" t="str">
        <f>RTD("nest.scriprtd",,"bse_cm|0MML29A","Trading Symbol")</f>
        <v>0MML29A</v>
      </c>
      <c r="C1040" t="str">
        <f>RTD("nest.scriprtd",,"bse_cm|0MML29A","Exchange")</f>
        <v>BSE</v>
      </c>
      <c r="D1040">
        <f>RTD("nest.scriprtd",,"bse_cm|0MML29A","Bid Qty")</f>
        <v>22</v>
      </c>
      <c r="E1040">
        <f>RTD("nest.scriprtd",,"bse_cm|0MML29A","Bid Rate")</f>
        <v>839.45</v>
      </c>
      <c r="F1040">
        <f>RTD("nest.scriprtd",,"bse_cm|0MML29A","Ask Rate")</f>
        <v>0</v>
      </c>
      <c r="G1040">
        <f>RTD("nest.scriprtd",,"bse_cm|0MML29A","Ask Qty")</f>
        <v>0</v>
      </c>
      <c r="H1040">
        <f>RTD("nest.scriprtd",,"bse_cm|0MML29A","LTP")</f>
        <v>0</v>
      </c>
      <c r="I1040" t="str">
        <f>RTD("nest.scriprtd",,"bse_cm|0MML29A","LTT")</f>
        <v>00:00:00</v>
      </c>
      <c r="J1040">
        <f>RTD("nest.scriprtd",,"bse_cm|0MML29A","% Change")</f>
        <v>-100</v>
      </c>
      <c r="K1040">
        <f>RTD("nest.scriprtd",,"bse_cm|0MML29A","ATP")</f>
        <v>0</v>
      </c>
      <c r="L1040">
        <f>RTD("nest.scriprtd",,"bse_cm|0MML29A","Volume Traded Today")</f>
        <v>0</v>
      </c>
      <c r="M1040">
        <f>RTD("nest.scriprtd",,"bse_cm|0MML29A","Open")</f>
        <v>0</v>
      </c>
      <c r="N1040">
        <f>RTD("nest.scriprtd",,"bse_cm|0MML29A","High")</f>
        <v>0</v>
      </c>
      <c r="O1040">
        <f>RTD("nest.scriprtd",,"bse_cm|0MML29A","Low ")</f>
        <v>0</v>
      </c>
      <c r="P1040">
        <f>RTD("nest.scriprtd",,"bse_cm|0MML29A","Prev Close")</f>
        <v>1000</v>
      </c>
      <c r="Q1040">
        <f>RTD("nest.scriprtd",,"bse_cm|0MML29A","Face Value")</f>
        <v>1000</v>
      </c>
      <c r="R1040" t="str">
        <f>RTD("nest.scriprtd",,"bse_cm|0MML29A","Isin code")</f>
        <v>INE05F407CE8</v>
      </c>
      <c r="S1040" s="9">
        <f>Table1[[#This Row],[Ask Rate]]*Table1[[#This Row],[Ask Qty]]</f>
        <v>0</v>
      </c>
      <c r="T1040" t="str">
        <f>VLOOKUP(Table1[[#This Row],[Isin code]],Table2[#All],7,FALSE)</f>
        <v>--</v>
      </c>
      <c r="U1040" s="17" t="str">
        <f>VLOOKUP(Table1[[#This Row],[Isin code]],Table2[#All],8,FALSE)</f>
        <v>27-Jul-2030</v>
      </c>
      <c r="V1040" s="10">
        <f ca="1">Table1[[#This Row],[Maturity]]-TODAY()</f>
        <v>2110</v>
      </c>
      <c r="W1040" t="str">
        <f>VLOOKUP(Table1[[#This Row],[Isin code]],Table2[#All],10,FALSE)</f>
        <v>At the End</v>
      </c>
      <c r="X1040">
        <f ca="1">_xlfn.DAYS(Table1[[#This Row],[Maturity]],TODAY())-15</f>
        <v>2095</v>
      </c>
      <c r="Y104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40">
        <f>IF(Table1[[#This Row],[Ask Rate]]=0,0,Table1[[#This Row],[Face Value]]-Table1[[#This Row],[Ask Rate]])</f>
        <v>0</v>
      </c>
      <c r="AA104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40">
        <f>Table1[[#This Row],[Face Value]]*Table1[[#This Row],[Rate]]*Table1[[#This Row],[Time]]</f>
        <v>0</v>
      </c>
      <c r="AC1040">
        <f>Table1[[#This Row],[SI]]+Table1[[#This Row],[Disc/Prem]]</f>
        <v>0</v>
      </c>
      <c r="AD1040" s="3" t="e">
        <f>Table1[[#This Row],[Net Gain]]/Table1[[#This Row],[Ask Rate]]</f>
        <v>#DIV/0!</v>
      </c>
      <c r="AE1040" s="3">
        <f>IF(Table1[[#This Row],[Ask Qty]]=0,0,Table1[[#This Row],[Gross Yield]]*365/Table1[[#This Row],[Days Left]])</f>
        <v>0</v>
      </c>
      <c r="AF1040" s="9">
        <f>+Table1[[#This Row],[Net Gain]]*Table1[[#This Row],[Ask Qty]]</f>
        <v>0</v>
      </c>
      <c r="AG1040" t="str">
        <f>IF(Table1[[#This Row],[YTM]]&gt;0.12,IF(Table1[[#This Row],[Gross Profit]]&gt;10000,"Invest","Review"),"Low YTM")</f>
        <v>Low YTM</v>
      </c>
    </row>
    <row r="1041" spans="1:33" x14ac:dyDescent="0.3">
      <c r="A1041" t="str">
        <f>RTD("nest.scriprtd",,"bse_cm|0MML29","Symbol")</f>
        <v>0MML29</v>
      </c>
      <c r="B1041" t="str">
        <f>RTD("nest.scriprtd",,"bse_cm|0MML29","Trading Symbol")</f>
        <v>0MML29</v>
      </c>
      <c r="C1041" t="str">
        <f>RTD("nest.scriprtd",,"bse_cm|0MML29","Exchange")</f>
        <v>BSE</v>
      </c>
      <c r="D1041">
        <f>RTD("nest.scriprtd",,"bse_cm|0MML29","Bid Qty")</f>
        <v>20</v>
      </c>
      <c r="E1041">
        <f>RTD("nest.scriprtd",,"bse_cm|0MML29","Bid Rate")</f>
        <v>840.2</v>
      </c>
      <c r="F1041">
        <f>RTD("nest.scriprtd",,"bse_cm|0MML29","Ask Rate")</f>
        <v>0</v>
      </c>
      <c r="G1041">
        <f>RTD("nest.scriprtd",,"bse_cm|0MML29","Ask Qty")</f>
        <v>0</v>
      </c>
      <c r="H1041">
        <f>RTD("nest.scriprtd",,"bse_cm|0MML29","LTP")</f>
        <v>0</v>
      </c>
      <c r="I1041" t="str">
        <f>RTD("nest.scriprtd",,"bse_cm|0MML29","LTT")</f>
        <v>00:00:00</v>
      </c>
      <c r="J1041">
        <f>RTD("nest.scriprtd",,"bse_cm|0MML29","% Change")</f>
        <v>-100</v>
      </c>
      <c r="K1041">
        <f>RTD("nest.scriprtd",,"bse_cm|0MML29","ATP")</f>
        <v>0</v>
      </c>
      <c r="L1041">
        <f>RTD("nest.scriprtd",,"bse_cm|0MML29","Volume Traded Today")</f>
        <v>0</v>
      </c>
      <c r="M1041">
        <f>RTD("nest.scriprtd",,"bse_cm|0MML29","Open")</f>
        <v>0</v>
      </c>
      <c r="N1041">
        <f>RTD("nest.scriprtd",,"bse_cm|0MML29","High")</f>
        <v>0</v>
      </c>
      <c r="O1041">
        <f>RTD("nest.scriprtd",,"bse_cm|0MML29","Low ")</f>
        <v>0</v>
      </c>
      <c r="P1041">
        <f>RTD("nest.scriprtd",,"bse_cm|0MML29","Prev Close")</f>
        <v>1000</v>
      </c>
      <c r="Q1041">
        <f>RTD("nest.scriprtd",,"bse_cm|0MML29","Face Value")</f>
        <v>1000</v>
      </c>
      <c r="R1041" t="str">
        <f>RTD("nest.scriprtd",,"bse_cm|0MML29","Isin code")</f>
        <v>INE05F407CC2</v>
      </c>
      <c r="S1041" s="9">
        <f>Table1[[#This Row],[Ask Rate]]*Table1[[#This Row],[Ask Qty]]</f>
        <v>0</v>
      </c>
      <c r="T1041" t="str">
        <f>VLOOKUP(Table1[[#This Row],[Isin code]],Table2[#All],7,FALSE)</f>
        <v>--</v>
      </c>
      <c r="U1041" s="17" t="str">
        <f>VLOOKUP(Table1[[#This Row],[Isin code]],Table2[#All],8,FALSE)</f>
        <v>27-May-2029</v>
      </c>
      <c r="V1041" s="10">
        <f ca="1">Table1[[#This Row],[Maturity]]-TODAY()</f>
        <v>1684</v>
      </c>
      <c r="W1041" t="str">
        <f>VLOOKUP(Table1[[#This Row],[Isin code]],Table2[#All],10,FALSE)</f>
        <v>At the End</v>
      </c>
      <c r="X1041">
        <f ca="1">_xlfn.DAYS(Table1[[#This Row],[Maturity]],TODAY())-15</f>
        <v>1669</v>
      </c>
      <c r="Y104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41">
        <f>IF(Table1[[#This Row],[Ask Rate]]=0,0,Table1[[#This Row],[Face Value]]-Table1[[#This Row],[Ask Rate]])</f>
        <v>0</v>
      </c>
      <c r="AA104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41">
        <f>Table1[[#This Row],[Face Value]]*Table1[[#This Row],[Rate]]*Table1[[#This Row],[Time]]</f>
        <v>0</v>
      </c>
      <c r="AC1041">
        <f>Table1[[#This Row],[SI]]+Table1[[#This Row],[Disc/Prem]]</f>
        <v>0</v>
      </c>
      <c r="AD1041" s="3" t="e">
        <f>Table1[[#This Row],[Net Gain]]/Table1[[#This Row],[Ask Rate]]</f>
        <v>#DIV/0!</v>
      </c>
      <c r="AE1041" s="3">
        <f>IF(Table1[[#This Row],[Ask Qty]]=0,0,Table1[[#This Row],[Gross Yield]]*365/Table1[[#This Row],[Days Left]])</f>
        <v>0</v>
      </c>
      <c r="AF1041" s="9">
        <f>+Table1[[#This Row],[Net Gain]]*Table1[[#This Row],[Ask Qty]]</f>
        <v>0</v>
      </c>
      <c r="AG1041" t="str">
        <f>IF(Table1[[#This Row],[YTM]]&gt;0.12,IF(Table1[[#This Row],[Gross Profit]]&gt;10000,"Invest","Review"),"Low YTM")</f>
        <v>Low YTM</v>
      </c>
    </row>
    <row r="1042" spans="1:33" x14ac:dyDescent="0.3">
      <c r="A1042" t="str">
        <f>RTD("nest.scriprtd",,"bse_cm|0MML27524","Symbol")</f>
        <v>0MML27524</v>
      </c>
      <c r="B1042" t="str">
        <f>RTD("nest.scriprtd",,"bse_cm|0MML27524","Trading Symbol")</f>
        <v>0MML27524</v>
      </c>
      <c r="C1042" t="str">
        <f>RTD("nest.scriprtd",,"bse_cm|0MML27524","Exchange")</f>
        <v>BSE</v>
      </c>
      <c r="D1042">
        <f>RTD("nest.scriprtd",,"bse_cm|0MML27524","Bid Qty")</f>
        <v>20</v>
      </c>
      <c r="E1042">
        <f>RTD("nest.scriprtd",,"bse_cm|0MML27524","Bid Rate")</f>
        <v>852.8</v>
      </c>
      <c r="F1042">
        <f>RTD("nest.scriprtd",,"bse_cm|0MML27524","Ask Rate")</f>
        <v>0</v>
      </c>
      <c r="G1042">
        <f>RTD("nest.scriprtd",,"bse_cm|0MML27524","Ask Qty")</f>
        <v>0</v>
      </c>
      <c r="H1042">
        <f>RTD("nest.scriprtd",,"bse_cm|0MML27524","LTP")</f>
        <v>0</v>
      </c>
      <c r="I1042" t="str">
        <f>RTD("nest.scriprtd",,"bse_cm|0MML27524","LTT")</f>
        <v>00:00:00</v>
      </c>
      <c r="J1042">
        <f>RTD("nest.scriprtd",,"bse_cm|0MML27524","% Change")</f>
        <v>-100</v>
      </c>
      <c r="K1042">
        <f>RTD("nest.scriprtd",,"bse_cm|0MML27524","ATP")</f>
        <v>0</v>
      </c>
      <c r="L1042">
        <f>RTD("nest.scriprtd",,"bse_cm|0MML27524","Volume Traded Today")</f>
        <v>0</v>
      </c>
      <c r="M1042">
        <f>RTD("nest.scriprtd",,"bse_cm|0MML27524","Open")</f>
        <v>0</v>
      </c>
      <c r="N1042">
        <f>RTD("nest.scriprtd",,"bse_cm|0MML27524","High")</f>
        <v>0</v>
      </c>
      <c r="O1042">
        <f>RTD("nest.scriprtd",,"bse_cm|0MML27524","Low ")</f>
        <v>0</v>
      </c>
      <c r="P1042">
        <f>RTD("nest.scriprtd",,"bse_cm|0MML27524","Prev Close")</f>
        <v>1000</v>
      </c>
      <c r="Q1042">
        <f>RTD("nest.scriprtd",,"bse_cm|0MML27524","Face Value")</f>
        <v>1000</v>
      </c>
      <c r="R1042" t="str">
        <f>RTD("nest.scriprtd",,"bse_cm|0MML27524","Isin code")</f>
        <v>INE05F407CG3</v>
      </c>
      <c r="S1042" s="9">
        <f>Table1[[#This Row],[Ask Rate]]*Table1[[#This Row],[Ask Qty]]</f>
        <v>0</v>
      </c>
      <c r="T1042" t="str">
        <f>VLOOKUP(Table1[[#This Row],[Isin code]],Table2[#All],7,FALSE)</f>
        <v>--</v>
      </c>
      <c r="U1042" s="17" t="str">
        <f>VLOOKUP(Table1[[#This Row],[Isin code]],Table2[#All],8,FALSE)</f>
        <v>27-May-2026</v>
      </c>
      <c r="V1042" s="10">
        <f ca="1">Table1[[#This Row],[Maturity]]-TODAY()</f>
        <v>588</v>
      </c>
      <c r="W1042" t="str">
        <f>VLOOKUP(Table1[[#This Row],[Isin code]],Table2[#All],10,FALSE)</f>
        <v>At the End</v>
      </c>
      <c r="X1042">
        <f ca="1">_xlfn.DAYS(Table1[[#This Row],[Maturity]],TODAY())-15</f>
        <v>573</v>
      </c>
      <c r="Y104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42">
        <f>IF(Table1[[#This Row],[Ask Rate]]=0,0,Table1[[#This Row],[Face Value]]-Table1[[#This Row],[Ask Rate]])</f>
        <v>0</v>
      </c>
      <c r="AA104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42">
        <f>Table1[[#This Row],[Face Value]]*Table1[[#This Row],[Rate]]*Table1[[#This Row],[Time]]</f>
        <v>0</v>
      </c>
      <c r="AC1042">
        <f>Table1[[#This Row],[SI]]+Table1[[#This Row],[Disc/Prem]]</f>
        <v>0</v>
      </c>
      <c r="AD1042" s="3" t="e">
        <f>Table1[[#This Row],[Net Gain]]/Table1[[#This Row],[Ask Rate]]</f>
        <v>#DIV/0!</v>
      </c>
      <c r="AE1042" s="3">
        <f>IF(Table1[[#This Row],[Ask Qty]]=0,0,Table1[[#This Row],[Gross Yield]]*365/Table1[[#This Row],[Days Left]])</f>
        <v>0</v>
      </c>
      <c r="AF1042" s="9">
        <f>+Table1[[#This Row],[Net Gain]]*Table1[[#This Row],[Ask Qty]]</f>
        <v>0</v>
      </c>
      <c r="AG1042" t="str">
        <f>IF(Table1[[#This Row],[YTM]]&gt;0.12,IF(Table1[[#This Row],[Gross Profit]]&gt;10000,"Invest","Review"),"Low YTM")</f>
        <v>Low YTM</v>
      </c>
    </row>
    <row r="1043" spans="1:33" x14ac:dyDescent="0.3">
      <c r="A1043" t="str">
        <f>RTD("nest.scriprtd",,"bse_cm|0MML27","Symbol")</f>
        <v>0MML27</v>
      </c>
      <c r="B1043" t="str">
        <f>RTD("nest.scriprtd",,"bse_cm|0MML27","Trading Symbol")</f>
        <v>0MML27</v>
      </c>
      <c r="C1043" t="str">
        <f>RTD("nest.scriprtd",,"bse_cm|0MML27","Exchange")</f>
        <v>BSE</v>
      </c>
      <c r="D1043">
        <f>RTD("nest.scriprtd",,"bse_cm|0MML27","Bid Qty")</f>
        <v>26</v>
      </c>
      <c r="E1043">
        <f>RTD("nest.scriprtd",,"bse_cm|0MML27","Bid Rate")</f>
        <v>842.8</v>
      </c>
      <c r="F1043">
        <f>RTD("nest.scriprtd",,"bse_cm|0MML27","Ask Rate")</f>
        <v>0</v>
      </c>
      <c r="G1043">
        <f>RTD("nest.scriprtd",,"bse_cm|0MML27","Ask Qty")</f>
        <v>0</v>
      </c>
      <c r="H1043">
        <f>RTD("nest.scriprtd",,"bse_cm|0MML27","LTP")</f>
        <v>0</v>
      </c>
      <c r="I1043" t="str">
        <f>RTD("nest.scriprtd",,"bse_cm|0MML27","LTT")</f>
        <v>00:00:00</v>
      </c>
      <c r="J1043">
        <f>RTD("nest.scriprtd",,"bse_cm|0MML27","% Change")</f>
        <v>-100</v>
      </c>
      <c r="K1043">
        <f>RTD("nest.scriprtd",,"bse_cm|0MML27","ATP")</f>
        <v>0</v>
      </c>
      <c r="L1043">
        <f>RTD("nest.scriprtd",,"bse_cm|0MML27","Volume Traded Today")</f>
        <v>0</v>
      </c>
      <c r="M1043">
        <f>RTD("nest.scriprtd",,"bse_cm|0MML27","Open")</f>
        <v>0</v>
      </c>
      <c r="N1043">
        <f>RTD("nest.scriprtd",,"bse_cm|0MML27","High")</f>
        <v>0</v>
      </c>
      <c r="O1043">
        <f>RTD("nest.scriprtd",,"bse_cm|0MML27","Low ")</f>
        <v>0</v>
      </c>
      <c r="P1043">
        <f>RTD("nest.scriprtd",,"bse_cm|0MML27","Prev Close")</f>
        <v>1000</v>
      </c>
      <c r="Q1043">
        <f>RTD("nest.scriprtd",,"bse_cm|0MML27","Face Value")</f>
        <v>1000</v>
      </c>
      <c r="R1043" t="str">
        <f>RTD("nest.scriprtd",,"bse_cm|0MML27","Isin code")</f>
        <v>INE05F407CD0</v>
      </c>
      <c r="S1043" s="9">
        <f>Table1[[#This Row],[Ask Rate]]*Table1[[#This Row],[Ask Qty]]</f>
        <v>0</v>
      </c>
      <c r="T1043" t="str">
        <f>VLOOKUP(Table1[[#This Row],[Isin code]],Table2[#All],7,FALSE)</f>
        <v>--</v>
      </c>
      <c r="U1043" s="17" t="str">
        <f>VLOOKUP(Table1[[#This Row],[Isin code]],Table2[#All],8,FALSE)</f>
        <v>27-May-2027</v>
      </c>
      <c r="V1043" s="10">
        <f ca="1">Table1[[#This Row],[Maturity]]-TODAY()</f>
        <v>953</v>
      </c>
      <c r="W1043" t="str">
        <f>VLOOKUP(Table1[[#This Row],[Isin code]],Table2[#All],10,FALSE)</f>
        <v>At the End</v>
      </c>
      <c r="X1043">
        <f ca="1">_xlfn.DAYS(Table1[[#This Row],[Maturity]],TODAY())-15</f>
        <v>938</v>
      </c>
      <c r="Y104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43">
        <f>IF(Table1[[#This Row],[Ask Rate]]=0,0,Table1[[#This Row],[Face Value]]-Table1[[#This Row],[Ask Rate]])</f>
        <v>0</v>
      </c>
      <c r="AA104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43">
        <f>Table1[[#This Row],[Face Value]]*Table1[[#This Row],[Rate]]*Table1[[#This Row],[Time]]</f>
        <v>0</v>
      </c>
      <c r="AC1043">
        <f>Table1[[#This Row],[SI]]+Table1[[#This Row],[Disc/Prem]]</f>
        <v>0</v>
      </c>
      <c r="AD1043" s="3" t="e">
        <f>Table1[[#This Row],[Net Gain]]/Table1[[#This Row],[Ask Rate]]</f>
        <v>#DIV/0!</v>
      </c>
      <c r="AE1043" s="3">
        <f>IF(Table1[[#This Row],[Ask Qty]]=0,0,Table1[[#This Row],[Gross Yield]]*365/Table1[[#This Row],[Days Left]])</f>
        <v>0</v>
      </c>
      <c r="AF1043" s="9">
        <f>+Table1[[#This Row],[Net Gain]]*Table1[[#This Row],[Ask Qty]]</f>
        <v>0</v>
      </c>
      <c r="AG1043" t="str">
        <f>IF(Table1[[#This Row],[YTM]]&gt;0.12,IF(Table1[[#This Row],[Gross Profit]]&gt;10000,"Invest","Review"),"Low YTM")</f>
        <v>Low YTM</v>
      </c>
    </row>
    <row r="1044" spans="1:33" x14ac:dyDescent="0.3">
      <c r="A1044" t="str">
        <f>RTD("nest.scriprtd",,"bse_cm|0KFL31","Symbol")</f>
        <v>0KFL31</v>
      </c>
      <c r="B1044" t="str">
        <f>RTD("nest.scriprtd",,"bse_cm|0KFL31","Trading Symbol")</f>
        <v>0KFL31</v>
      </c>
      <c r="C1044" t="str">
        <f>RTD("nest.scriprtd",,"bse_cm|0KFL31","Exchange")</f>
        <v>BSE</v>
      </c>
      <c r="D1044">
        <f>RTD("nest.scriprtd",,"bse_cm|0KFL31","Bid Qty")</f>
        <v>14</v>
      </c>
      <c r="E1044">
        <f>RTD("nest.scriprtd",,"bse_cm|0KFL31","Bid Rate")</f>
        <v>832.85</v>
      </c>
      <c r="F1044">
        <f>RTD("nest.scriprtd",,"bse_cm|0KFL31","Ask Rate")</f>
        <v>0</v>
      </c>
      <c r="G1044">
        <f>RTD("nest.scriprtd",,"bse_cm|0KFL31","Ask Qty")</f>
        <v>0</v>
      </c>
      <c r="H1044">
        <f>RTD("nest.scriprtd",,"bse_cm|0KFL31","LTP")</f>
        <v>0</v>
      </c>
      <c r="I1044" t="str">
        <f>RTD("nest.scriprtd",,"bse_cm|0KFL31","LTT")</f>
        <v>00:00:00</v>
      </c>
      <c r="J1044">
        <f>RTD("nest.scriprtd",,"bse_cm|0KFL31","% Change")</f>
        <v>-100</v>
      </c>
      <c r="K1044">
        <f>RTD("nest.scriprtd",,"bse_cm|0KFL31","ATP")</f>
        <v>0</v>
      </c>
      <c r="L1044">
        <f>RTD("nest.scriprtd",,"bse_cm|0KFL31","Volume Traded Today")</f>
        <v>0</v>
      </c>
      <c r="M1044">
        <f>RTD("nest.scriprtd",,"bse_cm|0KFL31","Open")</f>
        <v>0</v>
      </c>
      <c r="N1044">
        <f>RTD("nest.scriprtd",,"bse_cm|0KFL31","High")</f>
        <v>0</v>
      </c>
      <c r="O1044">
        <f>RTD("nest.scriprtd",,"bse_cm|0KFL31","Low ")</f>
        <v>0</v>
      </c>
      <c r="P1044">
        <f>RTD("nest.scriprtd",,"bse_cm|0KFL31","Prev Close")</f>
        <v>1000</v>
      </c>
      <c r="Q1044">
        <f>RTD("nest.scriprtd",,"bse_cm|0KFL31","Face Value")</f>
        <v>1000</v>
      </c>
      <c r="R1044" t="str">
        <f>RTD("nest.scriprtd",,"bse_cm|0KFL31","Isin code")</f>
        <v>INE403Q07EH8</v>
      </c>
      <c r="S1044" s="9">
        <f>Table1[[#This Row],[Ask Rate]]*Table1[[#This Row],[Ask Qty]]</f>
        <v>0</v>
      </c>
      <c r="T1044" t="str">
        <f>VLOOKUP(Table1[[#This Row],[Isin code]],Table2[#All],7,FALSE)</f>
        <v>--</v>
      </c>
      <c r="U1044" s="17" t="str">
        <f>VLOOKUP(Table1[[#This Row],[Isin code]],Table2[#All],8,FALSE)</f>
        <v>25-Aug-2031</v>
      </c>
      <c r="V1044" s="10">
        <f ca="1">Table1[[#This Row],[Maturity]]-TODAY()</f>
        <v>2504</v>
      </c>
      <c r="W1044" t="str">
        <f>VLOOKUP(Table1[[#This Row],[Isin code]],Table2[#All],10,FALSE)</f>
        <v>At the End</v>
      </c>
      <c r="X1044">
        <f ca="1">_xlfn.DAYS(Table1[[#This Row],[Maturity]],TODAY())-15</f>
        <v>2489</v>
      </c>
      <c r="Y104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44">
        <f>IF(Table1[[#This Row],[Ask Rate]]=0,0,Table1[[#This Row],[Face Value]]-Table1[[#This Row],[Ask Rate]])</f>
        <v>0</v>
      </c>
      <c r="AA104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44">
        <f>Table1[[#This Row],[Face Value]]*Table1[[#This Row],[Rate]]*Table1[[#This Row],[Time]]</f>
        <v>0</v>
      </c>
      <c r="AC1044">
        <f>Table1[[#This Row],[SI]]+Table1[[#This Row],[Disc/Prem]]</f>
        <v>0</v>
      </c>
      <c r="AD1044" s="3" t="e">
        <f>Table1[[#This Row],[Net Gain]]/Table1[[#This Row],[Ask Rate]]</f>
        <v>#DIV/0!</v>
      </c>
      <c r="AE1044" s="3">
        <f>IF(Table1[[#This Row],[Ask Qty]]=0,0,Table1[[#This Row],[Gross Yield]]*365/Table1[[#This Row],[Days Left]])</f>
        <v>0</v>
      </c>
      <c r="AF1044" s="9">
        <f>+Table1[[#This Row],[Net Gain]]*Table1[[#This Row],[Ask Qty]]</f>
        <v>0</v>
      </c>
      <c r="AG1044" t="str">
        <f>IF(Table1[[#This Row],[YTM]]&gt;0.12,IF(Table1[[#This Row],[Gross Profit]]&gt;10000,"Invest","Review"),"Low YTM")</f>
        <v>Low YTM</v>
      </c>
    </row>
    <row r="1045" spans="1:33" x14ac:dyDescent="0.3">
      <c r="A1045" t="str">
        <f>RTD("nest.scriprtd",,"bse_cm|0KFL28","Symbol")</f>
        <v>0KFL28</v>
      </c>
      <c r="B1045" t="str">
        <f>RTD("nest.scriprtd",,"bse_cm|0KFL28","Trading Symbol")</f>
        <v>0KFL28</v>
      </c>
      <c r="C1045" t="str">
        <f>RTD("nest.scriprtd",,"bse_cm|0KFL28","Exchange")</f>
        <v>BSE</v>
      </c>
      <c r="D1045">
        <f>RTD("nest.scriprtd",,"bse_cm|0KFL28","Bid Qty")</f>
        <v>13</v>
      </c>
      <c r="E1045">
        <f>RTD("nest.scriprtd",,"bse_cm|0KFL28","Bid Rate")</f>
        <v>835.85</v>
      </c>
      <c r="F1045">
        <f>RTD("nest.scriprtd",,"bse_cm|0KFL28","Ask Rate")</f>
        <v>0</v>
      </c>
      <c r="G1045">
        <f>RTD("nest.scriprtd",,"bse_cm|0KFL28","Ask Qty")</f>
        <v>0</v>
      </c>
      <c r="H1045">
        <f>RTD("nest.scriprtd",,"bse_cm|0KFL28","LTP")</f>
        <v>0</v>
      </c>
      <c r="I1045" t="str">
        <f>RTD("nest.scriprtd",,"bse_cm|0KFL28","LTT")</f>
        <v>00:00:00</v>
      </c>
      <c r="J1045">
        <f>RTD("nest.scriprtd",,"bse_cm|0KFL28","% Change")</f>
        <v>-100</v>
      </c>
      <c r="K1045">
        <f>RTD("nest.scriprtd",,"bse_cm|0KFL28","ATP")</f>
        <v>0</v>
      </c>
      <c r="L1045">
        <f>RTD("nest.scriprtd",,"bse_cm|0KFL28","Volume Traded Today")</f>
        <v>0</v>
      </c>
      <c r="M1045">
        <f>RTD("nest.scriprtd",,"bse_cm|0KFL28","Open")</f>
        <v>0</v>
      </c>
      <c r="N1045">
        <f>RTD("nest.scriprtd",,"bse_cm|0KFL28","High")</f>
        <v>0</v>
      </c>
      <c r="O1045">
        <f>RTD("nest.scriprtd",,"bse_cm|0KFL28","Low ")</f>
        <v>0</v>
      </c>
      <c r="P1045">
        <f>RTD("nest.scriprtd",,"bse_cm|0KFL28","Prev Close")</f>
        <v>1000</v>
      </c>
      <c r="Q1045">
        <f>RTD("nest.scriprtd",,"bse_cm|0KFL28","Face Value")</f>
        <v>1000</v>
      </c>
      <c r="R1045" t="str">
        <f>RTD("nest.scriprtd",,"bse_cm|0KFL28","Isin code")</f>
        <v>INE403Q07EG0</v>
      </c>
      <c r="S1045" s="9">
        <f>Table1[[#This Row],[Ask Rate]]*Table1[[#This Row],[Ask Qty]]</f>
        <v>0</v>
      </c>
      <c r="T1045" t="str">
        <f>VLOOKUP(Table1[[#This Row],[Isin code]],Table2[#All],7,FALSE)</f>
        <v>--</v>
      </c>
      <c r="U1045" s="17" t="str">
        <f>VLOOKUP(Table1[[#This Row],[Isin code]],Table2[#All],8,FALSE)</f>
        <v>25-Oct-2028</v>
      </c>
      <c r="V1045" s="10">
        <f ca="1">Table1[[#This Row],[Maturity]]-TODAY()</f>
        <v>1470</v>
      </c>
      <c r="W1045" t="str">
        <f>VLOOKUP(Table1[[#This Row],[Isin code]],Table2[#All],10,FALSE)</f>
        <v>At the End</v>
      </c>
      <c r="X1045">
        <f ca="1">_xlfn.DAYS(Table1[[#This Row],[Maturity]],TODAY())-15</f>
        <v>1455</v>
      </c>
      <c r="Y104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45">
        <f>IF(Table1[[#This Row],[Ask Rate]]=0,0,Table1[[#This Row],[Face Value]]-Table1[[#This Row],[Ask Rate]])</f>
        <v>0</v>
      </c>
      <c r="AA104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45">
        <f>Table1[[#This Row],[Face Value]]*Table1[[#This Row],[Rate]]*Table1[[#This Row],[Time]]</f>
        <v>0</v>
      </c>
      <c r="AC1045">
        <f>Table1[[#This Row],[SI]]+Table1[[#This Row],[Disc/Prem]]</f>
        <v>0</v>
      </c>
      <c r="AD1045" s="3" t="e">
        <f>Table1[[#This Row],[Net Gain]]/Table1[[#This Row],[Ask Rate]]</f>
        <v>#DIV/0!</v>
      </c>
      <c r="AE1045" s="3">
        <f>IF(Table1[[#This Row],[Ask Qty]]=0,0,Table1[[#This Row],[Gross Yield]]*365/Table1[[#This Row],[Days Left]])</f>
        <v>0</v>
      </c>
      <c r="AF1045" s="9">
        <f>+Table1[[#This Row],[Net Gain]]*Table1[[#This Row],[Ask Qty]]</f>
        <v>0</v>
      </c>
      <c r="AG1045" t="str">
        <f>IF(Table1[[#This Row],[YTM]]&gt;0.12,IF(Table1[[#This Row],[Gross Profit]]&gt;10000,"Invest","Review"),"Low YTM")</f>
        <v>Low YTM</v>
      </c>
    </row>
    <row r="1046" spans="1:33" x14ac:dyDescent="0.3">
      <c r="A1046" t="str">
        <f>RTD("nest.scriprtd",,"bse_cm|0KFL27","Symbol")</f>
        <v>0KFL27</v>
      </c>
      <c r="B1046" t="str">
        <f>RTD("nest.scriprtd",,"bse_cm|0KFL27","Trading Symbol")</f>
        <v>0KFL27</v>
      </c>
      <c r="C1046" t="str">
        <f>RTD("nest.scriprtd",,"bse_cm|0KFL27","Exchange")</f>
        <v>BSE</v>
      </c>
      <c r="D1046">
        <f>RTD("nest.scriprtd",,"bse_cm|0KFL27","Bid Qty")</f>
        <v>12</v>
      </c>
      <c r="E1046">
        <f>RTD("nest.scriprtd",,"bse_cm|0KFL27","Bid Rate")</f>
        <v>841.8</v>
      </c>
      <c r="F1046">
        <f>RTD("nest.scriprtd",,"bse_cm|0KFL27","Ask Rate")</f>
        <v>0</v>
      </c>
      <c r="G1046">
        <f>RTD("nest.scriprtd",,"bse_cm|0KFL27","Ask Qty")</f>
        <v>0</v>
      </c>
      <c r="H1046">
        <f>RTD("nest.scriprtd",,"bse_cm|0KFL27","LTP")</f>
        <v>0</v>
      </c>
      <c r="I1046" t="str">
        <f>RTD("nest.scriprtd",,"bse_cm|0KFL27","LTT")</f>
        <v>00:00:00</v>
      </c>
      <c r="J1046">
        <f>RTD("nest.scriprtd",,"bse_cm|0KFL27","% Change")</f>
        <v>-100</v>
      </c>
      <c r="K1046">
        <f>RTD("nest.scriprtd",,"bse_cm|0KFL27","ATP")</f>
        <v>0</v>
      </c>
      <c r="L1046">
        <f>RTD("nest.scriprtd",,"bse_cm|0KFL27","Volume Traded Today")</f>
        <v>0</v>
      </c>
      <c r="M1046">
        <f>RTD("nest.scriprtd",,"bse_cm|0KFL27","Open")</f>
        <v>0</v>
      </c>
      <c r="N1046">
        <f>RTD("nest.scriprtd",,"bse_cm|0KFL27","High")</f>
        <v>0</v>
      </c>
      <c r="O1046">
        <f>RTD("nest.scriprtd",,"bse_cm|0KFL27","Low ")</f>
        <v>0</v>
      </c>
      <c r="P1046">
        <f>RTD("nest.scriprtd",,"bse_cm|0KFL27","Prev Close")</f>
        <v>1000</v>
      </c>
      <c r="Q1046">
        <f>RTD("nest.scriprtd",,"bse_cm|0KFL27","Face Value")</f>
        <v>1000</v>
      </c>
      <c r="R1046" t="str">
        <f>RTD("nest.scriprtd",,"bse_cm|0KFL27","Isin code")</f>
        <v>INE403Q07EI6</v>
      </c>
      <c r="S1046" s="9">
        <f>Table1[[#This Row],[Ask Rate]]*Table1[[#This Row],[Ask Qty]]</f>
        <v>0</v>
      </c>
      <c r="T1046" t="str">
        <f>VLOOKUP(Table1[[#This Row],[Isin code]],Table2[#All],7,FALSE)</f>
        <v>--</v>
      </c>
      <c r="U1046" s="17" t="str">
        <f>VLOOKUP(Table1[[#This Row],[Isin code]],Table2[#All],8,FALSE)</f>
        <v>25-Jul-2027</v>
      </c>
      <c r="V1046" s="10">
        <f ca="1">Table1[[#This Row],[Maturity]]-TODAY()</f>
        <v>1012</v>
      </c>
      <c r="W1046" t="str">
        <f>VLOOKUP(Table1[[#This Row],[Isin code]],Table2[#All],10,FALSE)</f>
        <v>At the End</v>
      </c>
      <c r="X1046">
        <f ca="1">_xlfn.DAYS(Table1[[#This Row],[Maturity]],TODAY())-15</f>
        <v>997</v>
      </c>
      <c r="Y104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46">
        <f>IF(Table1[[#This Row],[Ask Rate]]=0,0,Table1[[#This Row],[Face Value]]-Table1[[#This Row],[Ask Rate]])</f>
        <v>0</v>
      </c>
      <c r="AA104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46">
        <f>Table1[[#This Row],[Face Value]]*Table1[[#This Row],[Rate]]*Table1[[#This Row],[Time]]</f>
        <v>0</v>
      </c>
      <c r="AC1046">
        <f>Table1[[#This Row],[SI]]+Table1[[#This Row],[Disc/Prem]]</f>
        <v>0</v>
      </c>
      <c r="AD1046" s="3" t="e">
        <f>Table1[[#This Row],[Net Gain]]/Table1[[#This Row],[Ask Rate]]</f>
        <v>#DIV/0!</v>
      </c>
      <c r="AE1046" s="3">
        <f>IF(Table1[[#This Row],[Ask Qty]]=0,0,Table1[[#This Row],[Gross Yield]]*365/Table1[[#This Row],[Days Left]])</f>
        <v>0</v>
      </c>
      <c r="AF1046" s="9">
        <f>+Table1[[#This Row],[Net Gain]]*Table1[[#This Row],[Ask Qty]]</f>
        <v>0</v>
      </c>
      <c r="AG1046" t="str">
        <f>IF(Table1[[#This Row],[YTM]]&gt;0.12,IF(Table1[[#This Row],[Gross Profit]]&gt;10000,"Invest","Review"),"Low YTM")</f>
        <v>Low YTM</v>
      </c>
    </row>
    <row r="1047" spans="1:33" x14ac:dyDescent="0.3">
      <c r="A1047" t="str">
        <f>RTD("nest.scriprtd",,"bse_cm|0KFL26","Symbol")</f>
        <v>0KFL26</v>
      </c>
      <c r="B1047" t="str">
        <f>RTD("nest.scriprtd",,"bse_cm|0KFL26","Trading Symbol")</f>
        <v>0KFL26</v>
      </c>
      <c r="C1047" t="str">
        <f>RTD("nest.scriprtd",,"bse_cm|0KFL26","Exchange")</f>
        <v>BSE</v>
      </c>
      <c r="D1047">
        <f>RTD("nest.scriprtd",,"bse_cm|0KFL26","Bid Qty")</f>
        <v>20</v>
      </c>
      <c r="E1047">
        <f>RTD("nest.scriprtd",,"bse_cm|0KFL26","Bid Rate")</f>
        <v>842.2</v>
      </c>
      <c r="F1047">
        <f>RTD("nest.scriprtd",,"bse_cm|0KFL26","Ask Rate")</f>
        <v>0</v>
      </c>
      <c r="G1047">
        <f>RTD("nest.scriprtd",,"bse_cm|0KFL26","Ask Qty")</f>
        <v>0</v>
      </c>
      <c r="H1047">
        <f>RTD("nest.scriprtd",,"bse_cm|0KFL26","LTP")</f>
        <v>0</v>
      </c>
      <c r="I1047" t="str">
        <f>RTD("nest.scriprtd",,"bse_cm|0KFL26","LTT")</f>
        <v>00:00:00</v>
      </c>
      <c r="J1047">
        <f>RTD("nest.scriprtd",,"bse_cm|0KFL26","% Change")</f>
        <v>-100</v>
      </c>
      <c r="K1047">
        <f>RTD("nest.scriprtd",,"bse_cm|0KFL26","ATP")</f>
        <v>0</v>
      </c>
      <c r="L1047">
        <f>RTD("nest.scriprtd",,"bse_cm|0KFL26","Volume Traded Today")</f>
        <v>0</v>
      </c>
      <c r="M1047">
        <f>RTD("nest.scriprtd",,"bse_cm|0KFL26","Open")</f>
        <v>0</v>
      </c>
      <c r="N1047">
        <f>RTD("nest.scriprtd",,"bse_cm|0KFL26","High")</f>
        <v>0</v>
      </c>
      <c r="O1047">
        <f>RTD("nest.scriprtd",,"bse_cm|0KFL26","Low ")</f>
        <v>0</v>
      </c>
      <c r="P1047">
        <f>RTD("nest.scriprtd",,"bse_cm|0KFL26","Prev Close")</f>
        <v>1000</v>
      </c>
      <c r="Q1047">
        <f>RTD("nest.scriprtd",,"bse_cm|0KFL26","Face Value")</f>
        <v>1000</v>
      </c>
      <c r="R1047" t="str">
        <f>RTD("nest.scriprtd",,"bse_cm|0KFL26","Isin code")</f>
        <v>INE403Q07EJ4</v>
      </c>
      <c r="S1047" s="9">
        <f>Table1[[#This Row],[Ask Rate]]*Table1[[#This Row],[Ask Qty]]</f>
        <v>0</v>
      </c>
      <c r="T1047" t="str">
        <f>VLOOKUP(Table1[[#This Row],[Isin code]],Table2[#All],7,FALSE)</f>
        <v>--</v>
      </c>
      <c r="U1047" s="17" t="str">
        <f>VLOOKUP(Table1[[#This Row],[Isin code]],Table2[#All],8,FALSE)</f>
        <v>25-Oct-2026</v>
      </c>
      <c r="V1047" s="10">
        <f ca="1">Table1[[#This Row],[Maturity]]-TODAY()</f>
        <v>739</v>
      </c>
      <c r="W1047" t="str">
        <f>VLOOKUP(Table1[[#This Row],[Isin code]],Table2[#All],10,FALSE)</f>
        <v>At the End</v>
      </c>
      <c r="X1047">
        <f ca="1">_xlfn.DAYS(Table1[[#This Row],[Maturity]],TODAY())-15</f>
        <v>724</v>
      </c>
      <c r="Y104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47">
        <f>IF(Table1[[#This Row],[Ask Rate]]=0,0,Table1[[#This Row],[Face Value]]-Table1[[#This Row],[Ask Rate]])</f>
        <v>0</v>
      </c>
      <c r="AA104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47">
        <f>Table1[[#This Row],[Face Value]]*Table1[[#This Row],[Rate]]*Table1[[#This Row],[Time]]</f>
        <v>0</v>
      </c>
      <c r="AC1047">
        <f>Table1[[#This Row],[SI]]+Table1[[#This Row],[Disc/Prem]]</f>
        <v>0</v>
      </c>
      <c r="AD1047" s="3" t="e">
        <f>Table1[[#This Row],[Net Gain]]/Table1[[#This Row],[Ask Rate]]</f>
        <v>#DIV/0!</v>
      </c>
      <c r="AE1047" s="3">
        <f>IF(Table1[[#This Row],[Ask Qty]]=0,0,Table1[[#This Row],[Gross Yield]]*365/Table1[[#This Row],[Days Left]])</f>
        <v>0</v>
      </c>
      <c r="AF1047" s="9">
        <f>+Table1[[#This Row],[Net Gain]]*Table1[[#This Row],[Ask Qty]]</f>
        <v>0</v>
      </c>
      <c r="AG1047" t="str">
        <f>IF(Table1[[#This Row],[YTM]]&gt;0.12,IF(Table1[[#This Row],[Gross Profit]]&gt;10000,"Invest","Review"),"Low YTM")</f>
        <v>Low YTM</v>
      </c>
    </row>
    <row r="1048" spans="1:33" x14ac:dyDescent="0.3">
      <c r="A1048" t="str">
        <f>RTD("nest.scriprtd",,"bse_cm|990SCL26B","Symbol")</f>
        <v>990SCL26B</v>
      </c>
      <c r="B1048" t="str">
        <f>RTD("nest.scriprtd",,"bse_cm|990SCL26B","Trading Symbol")</f>
        <v>990SCL26B</v>
      </c>
      <c r="C1048" t="str">
        <f>RTD("nest.scriprtd",,"bse_cm|990SCL26B","Exchange")</f>
        <v>BSE</v>
      </c>
      <c r="D1048">
        <f>RTD("nest.scriprtd",,"bse_cm|990SCL26B","Bid Qty")</f>
        <v>7</v>
      </c>
      <c r="E1048">
        <f>RTD("nest.scriprtd",,"bse_cm|990SCL26B","Bid Rate")</f>
        <v>812.3</v>
      </c>
      <c r="F1048">
        <f>RTD("nest.scriprtd",,"bse_cm|990SCL26B","Ask Rate")</f>
        <v>0</v>
      </c>
      <c r="G1048">
        <f>RTD("nest.scriprtd",,"bse_cm|990SCL26B","Ask Qty")</f>
        <v>0</v>
      </c>
      <c r="H1048">
        <f>RTD("nest.scriprtd",,"bse_cm|990SCL26B","LTP")</f>
        <v>0</v>
      </c>
      <c r="I1048" t="str">
        <f>RTD("nest.scriprtd",,"bse_cm|990SCL26B","LTT")</f>
        <v>00:00:00</v>
      </c>
      <c r="J1048">
        <f>RTD("nest.scriprtd",,"bse_cm|990SCL26B","% Change")</f>
        <v>-100</v>
      </c>
      <c r="K1048">
        <f>RTD("nest.scriprtd",,"bse_cm|990SCL26B","ATP")</f>
        <v>0</v>
      </c>
      <c r="L1048">
        <f>RTD("nest.scriprtd",,"bse_cm|990SCL26B","Volume Traded Today")</f>
        <v>0</v>
      </c>
      <c r="M1048">
        <f>RTD("nest.scriprtd",,"bse_cm|990SCL26B","Open")</f>
        <v>0</v>
      </c>
      <c r="N1048">
        <f>RTD("nest.scriprtd",,"bse_cm|990SCL26B","High")</f>
        <v>1000</v>
      </c>
      <c r="O1048">
        <f>RTD("nest.scriprtd",,"bse_cm|990SCL26B","Low ")</f>
        <v>812.3</v>
      </c>
      <c r="P1048">
        <f>RTD("nest.scriprtd",,"bse_cm|990SCL26B","Prev Close")</f>
        <v>1000</v>
      </c>
      <c r="Q1048">
        <f>RTD("nest.scriprtd",,"bse_cm|990SCL26B","Face Value")</f>
        <v>1000</v>
      </c>
      <c r="R1048" t="str">
        <f>RTD("nest.scriprtd",,"bse_cm|990SCL26B","Isin code")</f>
        <v>INE148I07RN6</v>
      </c>
      <c r="S1048" s="9">
        <f>Table1[[#This Row],[Ask Rate]]*Table1[[#This Row],[Ask Qty]]</f>
        <v>0</v>
      </c>
      <c r="T1048">
        <f>VLOOKUP(Table1[[#This Row],[Isin code]],Table2[#All],7,FALSE)</f>
        <v>9.9</v>
      </c>
      <c r="U1048" s="17" t="str">
        <f>VLOOKUP(Table1[[#This Row],[Isin code]],Table2[#All],8,FALSE)</f>
        <v>27-Dec-2026</v>
      </c>
      <c r="V1048" s="10">
        <f ca="1">Table1[[#This Row],[Maturity]]-TODAY()</f>
        <v>802</v>
      </c>
      <c r="W1048" t="str">
        <f>VLOOKUP(Table1[[#This Row],[Isin code]],Table2[#All],10,FALSE)</f>
        <v>Yearly</v>
      </c>
      <c r="X1048">
        <f ca="1">_xlfn.DAYS(Table1[[#This Row],[Maturity]],TODAY())-15</f>
        <v>787</v>
      </c>
      <c r="Y10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48">
        <f>IF(Table1[[#This Row],[Ask Rate]]=0,0,Table1[[#This Row],[Face Value]]-Table1[[#This Row],[Ask Rate]])</f>
        <v>0</v>
      </c>
      <c r="AA1048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048">
        <f ca="1">Table1[[#This Row],[Face Value]]*Table1[[#This Row],[Rate]]*Table1[[#This Row],[Time]]</f>
        <v>297</v>
      </c>
      <c r="AC1048">
        <f ca="1">Table1[[#This Row],[SI]]+Table1[[#This Row],[Disc/Prem]]</f>
        <v>297</v>
      </c>
      <c r="AD1048" s="3" t="e">
        <f ca="1">Table1[[#This Row],[Net Gain]]/Table1[[#This Row],[Ask Rate]]</f>
        <v>#DIV/0!</v>
      </c>
      <c r="AE1048" s="3">
        <f>IF(Table1[[#This Row],[Ask Qty]]=0,0,Table1[[#This Row],[Gross Yield]]*365/Table1[[#This Row],[Days Left]])</f>
        <v>0</v>
      </c>
      <c r="AF1048" s="9">
        <f ca="1">+Table1[[#This Row],[Net Gain]]*Table1[[#This Row],[Ask Qty]]</f>
        <v>0</v>
      </c>
      <c r="AG1048" t="str">
        <f>IF(Table1[[#This Row],[YTM]]&gt;0.12,IF(Table1[[#This Row],[Gross Profit]]&gt;10000,"Invest","Review"),"Low YTM")</f>
        <v>Low YTM</v>
      </c>
    </row>
    <row r="1049" spans="1:33" x14ac:dyDescent="0.3">
      <c r="A1049" t="str">
        <f>RTD("nest.scriprtd",,"nse_cm|990SCL26A-NL","Symbol")</f>
        <v>990SCL26A</v>
      </c>
      <c r="B1049" t="str">
        <f>RTD("nest.scriprtd",,"nse_cm|990SCL26A-NL","Trading Symbol")</f>
        <v>990SCL26A-NL</v>
      </c>
      <c r="C1049" t="str">
        <f>RTD("nest.scriprtd",,"nse_cm|990SCL26A-NL","Exchange")</f>
        <v>NSE</v>
      </c>
      <c r="D1049">
        <f>RTD("nest.scriprtd",,"nse_cm|990SCL26A-NL","Bid Qty")</f>
        <v>10</v>
      </c>
      <c r="E1049">
        <f>RTD("nest.scriprtd",,"nse_cm|990SCL26A-NL","Bid Rate")</f>
        <v>1030.3</v>
      </c>
      <c r="F1049">
        <f>RTD("nest.scriprtd",,"nse_cm|990SCL26A-NL","Ask Rate")</f>
        <v>0</v>
      </c>
      <c r="G1049">
        <f>RTD("nest.scriprtd",,"nse_cm|990SCL26A-NL","Ask Qty")</f>
        <v>0</v>
      </c>
      <c r="H1049">
        <f>RTD("nest.scriprtd",,"nse_cm|990SCL26A-NL","LTP")</f>
        <v>1041.0999999999999</v>
      </c>
      <c r="I1049" t="str">
        <f>RTD("nest.scriprtd",,"nse_cm|990SCL26A-NL","LTT")</f>
        <v/>
      </c>
      <c r="J1049">
        <f>RTD("nest.scriprtd",,"nse_cm|990SCL26A-NL","% Change")</f>
        <v>0</v>
      </c>
      <c r="K1049">
        <f>RTD("nest.scriprtd",,"nse_cm|990SCL26A-NL","ATP")</f>
        <v>0</v>
      </c>
      <c r="L1049">
        <f>RTD("nest.scriprtd",,"nse_cm|990SCL26A-NL","Volume Traded Today")</f>
        <v>0</v>
      </c>
      <c r="M1049">
        <f>RTD("nest.scriprtd",,"nse_cm|990SCL26A-NL","Open")</f>
        <v>0</v>
      </c>
      <c r="N1049">
        <f>RTD("nest.scriprtd",,"nse_cm|990SCL26A-NL","High")</f>
        <v>1100.0999999999999</v>
      </c>
      <c r="O1049">
        <f>RTD("nest.scriprtd",,"nse_cm|990SCL26A-NL","Low ")</f>
        <v>1041.0999999999999</v>
      </c>
      <c r="P1049">
        <f>RTD("nest.scriprtd",,"nse_cm|990SCL26A-NL","Prev Close")</f>
        <v>1041.0999999999999</v>
      </c>
      <c r="Q1049">
        <f>RTD("nest.scriprtd",,"nse_cm|990SCL26A-NL","Face Value")</f>
        <v>1000</v>
      </c>
      <c r="R1049" t="str">
        <f>RTD("nest.scriprtd",,"nse_cm|990SCL26A-NL","Isin code")</f>
        <v>INE148I07QI8</v>
      </c>
      <c r="S1049" s="9">
        <f>Table1[[#This Row],[Ask Rate]]*Table1[[#This Row],[Ask Qty]]</f>
        <v>0</v>
      </c>
      <c r="T1049">
        <f>VLOOKUP(Table1[[#This Row],[Isin code]],Table2[#All],7,FALSE)</f>
        <v>9.9</v>
      </c>
      <c r="U1049" s="17" t="str">
        <f>VLOOKUP(Table1[[#This Row],[Isin code]],Table2[#All],8,FALSE)</f>
        <v>09-Nov-2026</v>
      </c>
      <c r="V1049" s="10">
        <f ca="1">Table1[[#This Row],[Maturity]]-TODAY()</f>
        <v>754</v>
      </c>
      <c r="W1049" t="str">
        <f>VLOOKUP(Table1[[#This Row],[Isin code]],Table2[#All],10,FALSE)</f>
        <v>Yearly</v>
      </c>
      <c r="X1049">
        <f ca="1">_xlfn.DAYS(Table1[[#This Row],[Maturity]],TODAY())-15</f>
        <v>739</v>
      </c>
      <c r="Y10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49">
        <f>IF(Table1[[#This Row],[Ask Rate]]=0,0,Table1[[#This Row],[Face Value]]-Table1[[#This Row],[Ask Rate]])</f>
        <v>0</v>
      </c>
      <c r="AA1049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049">
        <f ca="1">Table1[[#This Row],[Face Value]]*Table1[[#This Row],[Rate]]*Table1[[#This Row],[Time]]</f>
        <v>297</v>
      </c>
      <c r="AC1049">
        <f ca="1">Table1[[#This Row],[SI]]+Table1[[#This Row],[Disc/Prem]]</f>
        <v>297</v>
      </c>
      <c r="AD1049" s="3" t="e">
        <f ca="1">Table1[[#This Row],[Net Gain]]/Table1[[#This Row],[Ask Rate]]</f>
        <v>#DIV/0!</v>
      </c>
      <c r="AE1049" s="3">
        <f>IF(Table1[[#This Row],[Ask Qty]]=0,0,Table1[[#This Row],[Gross Yield]]*365/Table1[[#This Row],[Days Left]])</f>
        <v>0</v>
      </c>
      <c r="AF1049" s="9">
        <f ca="1">+Table1[[#This Row],[Net Gain]]*Table1[[#This Row],[Ask Qty]]</f>
        <v>0</v>
      </c>
      <c r="AG1049" t="str">
        <f>IF(Table1[[#This Row],[YTM]]&gt;0.12,IF(Table1[[#This Row],[Gross Profit]]&gt;10000,"Invest","Review"),"Low YTM")</f>
        <v>Low YTM</v>
      </c>
    </row>
    <row r="1050" spans="1:33" x14ac:dyDescent="0.3">
      <c r="A1050" t="str">
        <f>RTD("nest.scriprtd",,"bse_cm|96EFSL27","Symbol")</f>
        <v>96EFSL27</v>
      </c>
      <c r="B1050" t="str">
        <f>RTD("nest.scriprtd",,"bse_cm|96EFSL27","Trading Symbol")</f>
        <v>96EFSL27</v>
      </c>
      <c r="C1050" t="str">
        <f>RTD("nest.scriprtd",,"bse_cm|96EFSL27","Exchange")</f>
        <v>BSE</v>
      </c>
      <c r="D1050">
        <f>RTD("nest.scriprtd",,"bse_cm|96EFSL27","Bid Qty")</f>
        <v>25</v>
      </c>
      <c r="E1050">
        <f>RTD("nest.scriprtd",,"bse_cm|96EFSL27","Bid Rate")</f>
        <v>974</v>
      </c>
      <c r="F1050">
        <f>RTD("nest.scriprtd",,"bse_cm|96EFSL27","Ask Rate")</f>
        <v>0</v>
      </c>
      <c r="G1050">
        <f>RTD("nest.scriprtd",,"bse_cm|96EFSL27","Ask Qty")</f>
        <v>0</v>
      </c>
      <c r="H1050">
        <f>RTD("nest.scriprtd",,"bse_cm|96EFSL27","LTP")</f>
        <v>0</v>
      </c>
      <c r="I1050" t="str">
        <f>RTD("nest.scriprtd",,"bse_cm|96EFSL27","LTT")</f>
        <v>00:00:00</v>
      </c>
      <c r="J1050">
        <f>RTD("nest.scriprtd",,"bse_cm|96EFSL27","% Change")</f>
        <v>-100</v>
      </c>
      <c r="K1050">
        <f>RTD("nest.scriprtd",,"bse_cm|96EFSL27","ATP")</f>
        <v>0</v>
      </c>
      <c r="L1050">
        <f>RTD("nest.scriprtd",,"bse_cm|96EFSL27","Volume Traded Today")</f>
        <v>0</v>
      </c>
      <c r="M1050">
        <f>RTD("nest.scriprtd",,"bse_cm|96EFSL27","Open")</f>
        <v>0</v>
      </c>
      <c r="N1050">
        <f>RTD("nest.scriprtd",,"bse_cm|96EFSL27","High")</f>
        <v>999</v>
      </c>
      <c r="O1050">
        <f>RTD("nest.scriprtd",,"bse_cm|96EFSL27","Low ")</f>
        <v>999</v>
      </c>
      <c r="P1050">
        <f>RTD("nest.scriprtd",,"bse_cm|96EFSL27","Prev Close")</f>
        <v>999</v>
      </c>
      <c r="Q1050">
        <f>RTD("nest.scriprtd",,"bse_cm|96EFSL27","Face Value")</f>
        <v>1000</v>
      </c>
      <c r="R1050" t="str">
        <f>RTD("nest.scriprtd",,"bse_cm|96EFSL27","Isin code")</f>
        <v>INE532F07FL6</v>
      </c>
      <c r="S1050" s="9">
        <f>Table1[[#This Row],[Ask Rate]]*Table1[[#This Row],[Ask Qty]]</f>
        <v>0</v>
      </c>
      <c r="T1050">
        <f>VLOOKUP(Table1[[#This Row],[Isin code]],Table2[#All],7,FALSE)</f>
        <v>9.6</v>
      </c>
      <c r="U1050" s="17" t="str">
        <f>VLOOKUP(Table1[[#This Row],[Isin code]],Table2[#All],8,FALSE)</f>
        <v>29-Apr-2027</v>
      </c>
      <c r="V1050" s="10">
        <f ca="1">Table1[[#This Row],[Maturity]]-TODAY()</f>
        <v>925</v>
      </c>
      <c r="W1050" t="str">
        <f>VLOOKUP(Table1[[#This Row],[Isin code]],Table2[#All],10,FALSE)</f>
        <v>Annual</v>
      </c>
      <c r="X1050">
        <f ca="1">_xlfn.DAYS(Table1[[#This Row],[Maturity]],TODAY())-15</f>
        <v>910</v>
      </c>
      <c r="Y105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50">
        <f>IF(Table1[[#This Row],[Ask Rate]]=0,0,Table1[[#This Row],[Face Value]]-Table1[[#This Row],[Ask Rate]])</f>
        <v>0</v>
      </c>
      <c r="AA105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50">
        <f>Table1[[#This Row],[Face Value]]*Table1[[#This Row],[Rate]]*Table1[[#This Row],[Time]]</f>
        <v>0</v>
      </c>
      <c r="AC1050">
        <f>Table1[[#This Row],[SI]]+Table1[[#This Row],[Disc/Prem]]</f>
        <v>0</v>
      </c>
      <c r="AD1050" s="3" t="e">
        <f>Table1[[#This Row],[Net Gain]]/Table1[[#This Row],[Ask Rate]]</f>
        <v>#DIV/0!</v>
      </c>
      <c r="AE1050" s="3">
        <f>IF(Table1[[#This Row],[Ask Qty]]=0,0,Table1[[#This Row],[Gross Yield]]*365/Table1[[#This Row],[Days Left]])</f>
        <v>0</v>
      </c>
      <c r="AF1050" s="9">
        <f>+Table1[[#This Row],[Net Gain]]*Table1[[#This Row],[Ask Qty]]</f>
        <v>0</v>
      </c>
      <c r="AG1050" t="str">
        <f>IF(Table1[[#This Row],[YTM]]&gt;0.12,IF(Table1[[#This Row],[Gross Profit]]&gt;10000,"Invest","Review"),"Low YTM")</f>
        <v>Low YTM</v>
      </c>
    </row>
    <row r="1051" spans="1:33" x14ac:dyDescent="0.3">
      <c r="A1051" t="str">
        <f>RTD("nest.scriprtd",,"bse_cm|966IFSL25","Symbol")</f>
        <v>966IFSL25</v>
      </c>
      <c r="B1051" t="str">
        <f>RTD("nest.scriprtd",,"bse_cm|966IFSL25","Trading Symbol")</f>
        <v>966IFSL25</v>
      </c>
      <c r="C1051" t="str">
        <f>RTD("nest.scriprtd",,"bse_cm|966IFSL25","Exchange")</f>
        <v>BSE</v>
      </c>
      <c r="D1051">
        <f>RTD("nest.scriprtd",,"bse_cm|966IFSL25","Bid Qty")</f>
        <v>1</v>
      </c>
      <c r="E1051">
        <f>RTD("nest.scriprtd",,"bse_cm|966IFSL25","Bid Rate")</f>
        <v>969</v>
      </c>
      <c r="F1051">
        <f>RTD("nest.scriprtd",,"bse_cm|966IFSL25","Ask Rate")</f>
        <v>0</v>
      </c>
      <c r="G1051">
        <f>RTD("nest.scriprtd",,"bse_cm|966IFSL25","Ask Qty")</f>
        <v>0</v>
      </c>
      <c r="H1051">
        <f>RTD("nest.scriprtd",,"bse_cm|966IFSL25","LTP")</f>
        <v>0</v>
      </c>
      <c r="I1051" t="str">
        <f>RTD("nest.scriprtd",,"bse_cm|966IFSL25","LTT")</f>
        <v>00:00:00</v>
      </c>
      <c r="J1051">
        <f>RTD("nest.scriprtd",,"bse_cm|966IFSL25","% Change")</f>
        <v>-100</v>
      </c>
      <c r="K1051">
        <f>RTD("nest.scriprtd",,"bse_cm|966IFSL25","ATP")</f>
        <v>0</v>
      </c>
      <c r="L1051">
        <f>RTD("nest.scriprtd",,"bse_cm|966IFSL25","Volume Traded Today")</f>
        <v>0</v>
      </c>
      <c r="M1051">
        <f>RTD("nest.scriprtd",,"bse_cm|966IFSL25","Open")</f>
        <v>0</v>
      </c>
      <c r="N1051">
        <f>RTD("nest.scriprtd",,"bse_cm|966IFSL25","High")</f>
        <v>1000</v>
      </c>
      <c r="O1051">
        <f>RTD("nest.scriprtd",,"bse_cm|966IFSL25","Low ")</f>
        <v>1000</v>
      </c>
      <c r="P1051">
        <f>RTD("nest.scriprtd",,"bse_cm|966IFSL25","Prev Close")</f>
        <v>1000</v>
      </c>
      <c r="Q1051">
        <f>RTD("nest.scriprtd",,"bse_cm|966IFSL25","Face Value")</f>
        <v>1000</v>
      </c>
      <c r="R1051" t="str">
        <f>RTD("nest.scriprtd",,"bse_cm|966IFSL25","Isin code")</f>
        <v>INE321N07350</v>
      </c>
      <c r="S1051" s="9">
        <f>Table1[[#This Row],[Ask Rate]]*Table1[[#This Row],[Ask Qty]]</f>
        <v>0</v>
      </c>
      <c r="T1051">
        <f>VLOOKUP(Table1[[#This Row],[Isin code]],Table2[#All],7,FALSE)</f>
        <v>9.66</v>
      </c>
      <c r="U1051" s="17" t="str">
        <f>VLOOKUP(Table1[[#This Row],[Isin code]],Table2[#All],8,FALSE)</f>
        <v>10-Nov-2025</v>
      </c>
      <c r="V1051" s="10">
        <f ca="1">Table1[[#This Row],[Maturity]]-TODAY()</f>
        <v>390</v>
      </c>
      <c r="W1051" t="str">
        <f>VLOOKUP(Table1[[#This Row],[Isin code]],Table2[#All],10,FALSE)</f>
        <v>Monthly</v>
      </c>
      <c r="X1051">
        <f ca="1">_xlfn.DAYS(Table1[[#This Row],[Maturity]],TODAY())-15</f>
        <v>375</v>
      </c>
      <c r="Y10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1051">
        <f>IF(Table1[[#This Row],[Ask Rate]]=0,0,Table1[[#This Row],[Face Value]]-Table1[[#This Row],[Ask Rate]])</f>
        <v>0</v>
      </c>
      <c r="AA1051">
        <f>IF(Table1[[#This Row],[Freq]]="Yearly",Table1[[#This Row],[Coupon_Rate]]/100,IF(Table1[[#This Row],[Freq]]="Monthly",Table1[[#This Row],[Coupon_Rate]]/1200,IF(Table1[[#This Row],[Freq]]="Quarterly",Table1[[#This Row],[Coupon_Rate]]/400,0)))</f>
        <v>8.0499999999999999E-3</v>
      </c>
      <c r="AB1051">
        <f ca="1">Table1[[#This Row],[Face Value]]*Table1[[#This Row],[Rate]]*Table1[[#This Row],[Time]]</f>
        <v>104.65</v>
      </c>
      <c r="AC1051">
        <f ca="1">Table1[[#This Row],[SI]]+Table1[[#This Row],[Disc/Prem]]</f>
        <v>104.65</v>
      </c>
      <c r="AD1051" s="3" t="e">
        <f ca="1">Table1[[#This Row],[Net Gain]]/Table1[[#This Row],[Ask Rate]]</f>
        <v>#DIV/0!</v>
      </c>
      <c r="AE1051" s="3">
        <f>IF(Table1[[#This Row],[Ask Qty]]=0,0,Table1[[#This Row],[Gross Yield]]*365/Table1[[#This Row],[Days Left]])</f>
        <v>0</v>
      </c>
      <c r="AF1051" s="9">
        <f ca="1">+Table1[[#This Row],[Net Gain]]*Table1[[#This Row],[Ask Qty]]</f>
        <v>0</v>
      </c>
      <c r="AG1051" t="str">
        <f>IF(Table1[[#This Row],[YTM]]&gt;0.12,IF(Table1[[#This Row],[Gross Profit]]&gt;10000,"Invest","Review"),"Low YTM")</f>
        <v>Low YTM</v>
      </c>
    </row>
    <row r="1052" spans="1:33" x14ac:dyDescent="0.3">
      <c r="A1052" t="str">
        <f>RTD("nest.scriprtd",,"nse_cm|98SCL34-ZS","Symbol")</f>
        <v>98SCL34</v>
      </c>
      <c r="B1052" t="str">
        <f>RTD("nest.scriprtd",,"nse_cm|98SCL34-ZS","Trading Symbol")</f>
        <v>98SCL34-ZS</v>
      </c>
      <c r="C1052" t="str">
        <f>RTD("nest.scriprtd",,"nse_cm|98SCL34-ZS","Exchange")</f>
        <v>NSE</v>
      </c>
      <c r="D1052">
        <f>RTD("nest.scriprtd",,"nse_cm|98SCL34-ZS","Bid Qty")</f>
        <v>0</v>
      </c>
      <c r="E1052">
        <f>RTD("nest.scriprtd",,"nse_cm|98SCL34-ZS","Bid Rate")</f>
        <v>0</v>
      </c>
      <c r="F1052">
        <f>RTD("nest.scriprtd",,"nse_cm|98SCL34-ZS","Ask Rate")</f>
        <v>0</v>
      </c>
      <c r="G1052">
        <f>RTD("nest.scriprtd",,"nse_cm|98SCL34-ZS","Ask Qty")</f>
        <v>0</v>
      </c>
      <c r="H1052">
        <f>RTD("nest.scriprtd",,"nse_cm|98SCL34-ZS","LTP")</f>
        <v>0</v>
      </c>
      <c r="I1052" t="str">
        <f>RTD("nest.scriprtd",,"nse_cm|98SCL34-ZS","LTT")</f>
        <v/>
      </c>
      <c r="J1052">
        <f>RTD("nest.scriprtd",,"nse_cm|98SCL34-ZS","% Change")</f>
        <v>-100</v>
      </c>
      <c r="K1052">
        <f>RTD("nest.scriprtd",,"nse_cm|98SCL34-ZS","ATP")</f>
        <v>0</v>
      </c>
      <c r="L1052">
        <f>RTD("nest.scriprtd",,"nse_cm|98SCL34-ZS","Volume Traded Today")</f>
        <v>0</v>
      </c>
      <c r="M1052">
        <f>RTD("nest.scriprtd",,"nse_cm|98SCL34-ZS","Open")</f>
        <v>0</v>
      </c>
      <c r="N1052">
        <f>RTD("nest.scriprtd",,"nse_cm|98SCL34-ZS","High")</f>
        <v>0</v>
      </c>
      <c r="O1052">
        <f>RTD("nest.scriprtd",,"nse_cm|98SCL34-ZS","Low ")</f>
        <v>0</v>
      </c>
      <c r="P1052">
        <f>RTD("nest.scriprtd",,"nse_cm|98SCL34-ZS","Prev Close")</f>
        <v>1000</v>
      </c>
      <c r="Q1052">
        <f>RTD("nest.scriprtd",,"nse_cm|98SCL34-ZS","Face Value")</f>
        <v>1000</v>
      </c>
      <c r="R1052" t="str">
        <f>RTD("nest.scriprtd",,"nse_cm|98SCL34-ZS","Isin code")</f>
        <v>INE148I07TU7</v>
      </c>
      <c r="S1052" s="9">
        <f>Table1[[#This Row],[Ask Rate]]*Table1[[#This Row],[Ask Qty]]</f>
        <v>0</v>
      </c>
      <c r="T1052">
        <f>VLOOKUP(Table1[[#This Row],[Isin code]],Table2[#All],7,FALSE)</f>
        <v>9.8000000000000007</v>
      </c>
      <c r="U1052" s="17" t="str">
        <f>VLOOKUP(Table1[[#This Row],[Isin code]],Table2[#All],8,FALSE)</f>
        <v>31-May-2034</v>
      </c>
      <c r="V1052" s="10">
        <f ca="1">Table1[[#This Row],[Maturity]]-TODAY()</f>
        <v>3514</v>
      </c>
      <c r="W1052" t="str">
        <f>VLOOKUP(Table1[[#This Row],[Isin code]],Table2[#All],10,FALSE)</f>
        <v>Monthly</v>
      </c>
      <c r="X1052">
        <f ca="1">_xlfn.DAYS(Table1[[#This Row],[Maturity]],TODAY())-15</f>
        <v>3499</v>
      </c>
      <c r="Y10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117</v>
      </c>
      <c r="Z1052">
        <f>IF(Table1[[#This Row],[Ask Rate]]=0,0,Table1[[#This Row],[Face Value]]-Table1[[#This Row],[Ask Rate]])</f>
        <v>0</v>
      </c>
      <c r="AA1052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1052">
        <f ca="1">Table1[[#This Row],[Face Value]]*Table1[[#This Row],[Rate]]*Table1[[#This Row],[Time]]</f>
        <v>955.50000000000011</v>
      </c>
      <c r="AC1052">
        <f ca="1">Table1[[#This Row],[SI]]+Table1[[#This Row],[Disc/Prem]]</f>
        <v>955.50000000000011</v>
      </c>
      <c r="AD1052" s="3" t="e">
        <f ca="1">Table1[[#This Row],[Net Gain]]/Table1[[#This Row],[Ask Rate]]</f>
        <v>#DIV/0!</v>
      </c>
      <c r="AE1052" s="3">
        <f>IF(Table1[[#This Row],[Ask Qty]]=0,0,Table1[[#This Row],[Gross Yield]]*365/Table1[[#This Row],[Days Left]])</f>
        <v>0</v>
      </c>
      <c r="AF1052" s="9">
        <f ca="1">+Table1[[#This Row],[Net Gain]]*Table1[[#This Row],[Ask Qty]]</f>
        <v>0</v>
      </c>
      <c r="AG1052" t="str">
        <f>IF(Table1[[#This Row],[YTM]]&gt;0.12,IF(Table1[[#This Row],[Gross Profit]]&gt;10000,"Invest","Review"),"Low YTM")</f>
        <v>Low YTM</v>
      </c>
    </row>
    <row r="1053" spans="1:33" x14ac:dyDescent="0.3">
      <c r="A1053" t="str">
        <f>RTD("nest.scriprtd",,"bse_cm|98SCL34","Symbol")</f>
        <v>98SCL34</v>
      </c>
      <c r="B1053" t="str">
        <f>RTD("nest.scriprtd",,"bse_cm|98SCL34","Trading Symbol")</f>
        <v>98SCL34</v>
      </c>
      <c r="C1053" t="str">
        <f>RTD("nest.scriprtd",,"bse_cm|98SCL34","Exchange")</f>
        <v>BSE</v>
      </c>
      <c r="D1053">
        <f>RTD("nest.scriprtd",,"bse_cm|98SCL34","Bid Qty")</f>
        <v>10</v>
      </c>
      <c r="E1053">
        <f>RTD("nest.scriprtd",,"bse_cm|98SCL34","Bid Rate")</f>
        <v>812.6</v>
      </c>
      <c r="F1053">
        <f>RTD("nest.scriprtd",,"bse_cm|98SCL34","Ask Rate")</f>
        <v>0</v>
      </c>
      <c r="G1053">
        <f>RTD("nest.scriprtd",,"bse_cm|98SCL34","Ask Qty")</f>
        <v>0</v>
      </c>
      <c r="H1053">
        <f>RTD("nest.scriprtd",,"bse_cm|98SCL34","LTP")</f>
        <v>0</v>
      </c>
      <c r="I1053" t="str">
        <f>RTD("nest.scriprtd",,"bse_cm|98SCL34","LTT")</f>
        <v>00:00:00</v>
      </c>
      <c r="J1053">
        <f>RTD("nest.scriprtd",,"bse_cm|98SCL34","% Change")</f>
        <v>-100</v>
      </c>
      <c r="K1053">
        <f>RTD("nest.scriprtd",,"bse_cm|98SCL34","ATP")</f>
        <v>0</v>
      </c>
      <c r="L1053">
        <f>RTD("nest.scriprtd",,"bse_cm|98SCL34","Volume Traded Today")</f>
        <v>0</v>
      </c>
      <c r="M1053">
        <f>RTD("nest.scriprtd",,"bse_cm|98SCL34","Open")</f>
        <v>0</v>
      </c>
      <c r="N1053">
        <f>RTD("nest.scriprtd",,"bse_cm|98SCL34","High")</f>
        <v>0</v>
      </c>
      <c r="O1053">
        <f>RTD("nest.scriprtd",,"bse_cm|98SCL34","Low ")</f>
        <v>0</v>
      </c>
      <c r="P1053">
        <f>RTD("nest.scriprtd",,"bse_cm|98SCL34","Prev Close")</f>
        <v>1000</v>
      </c>
      <c r="Q1053">
        <f>RTD("nest.scriprtd",,"bse_cm|98SCL34","Face Value")</f>
        <v>1000</v>
      </c>
      <c r="R1053" t="str">
        <f>RTD("nest.scriprtd",,"bse_cm|98SCL34","Isin code")</f>
        <v>INE148I07TU7</v>
      </c>
      <c r="S1053" s="9">
        <f>Table1[[#This Row],[Ask Rate]]*Table1[[#This Row],[Ask Qty]]</f>
        <v>0</v>
      </c>
      <c r="T1053">
        <f>VLOOKUP(Table1[[#This Row],[Isin code]],Table2[#All],7,FALSE)</f>
        <v>9.8000000000000007</v>
      </c>
      <c r="U1053" s="17" t="str">
        <f>VLOOKUP(Table1[[#This Row],[Isin code]],Table2[#All],8,FALSE)</f>
        <v>31-May-2034</v>
      </c>
      <c r="V1053" s="10">
        <f ca="1">Table1[[#This Row],[Maturity]]-TODAY()</f>
        <v>3514</v>
      </c>
      <c r="W1053" t="str">
        <f>VLOOKUP(Table1[[#This Row],[Isin code]],Table2[#All],10,FALSE)</f>
        <v>Monthly</v>
      </c>
      <c r="X1053">
        <f ca="1">_xlfn.DAYS(Table1[[#This Row],[Maturity]],TODAY())-15</f>
        <v>3499</v>
      </c>
      <c r="Y10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117</v>
      </c>
      <c r="Z1053">
        <f>IF(Table1[[#This Row],[Ask Rate]]=0,0,Table1[[#This Row],[Face Value]]-Table1[[#This Row],[Ask Rate]])</f>
        <v>0</v>
      </c>
      <c r="AA1053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1053">
        <f ca="1">Table1[[#This Row],[Face Value]]*Table1[[#This Row],[Rate]]*Table1[[#This Row],[Time]]</f>
        <v>955.50000000000011</v>
      </c>
      <c r="AC1053">
        <f ca="1">Table1[[#This Row],[SI]]+Table1[[#This Row],[Disc/Prem]]</f>
        <v>955.50000000000011</v>
      </c>
      <c r="AD1053" s="3" t="e">
        <f ca="1">Table1[[#This Row],[Net Gain]]/Table1[[#This Row],[Ask Rate]]</f>
        <v>#DIV/0!</v>
      </c>
      <c r="AE1053" s="3">
        <f>IF(Table1[[#This Row],[Ask Qty]]=0,0,Table1[[#This Row],[Gross Yield]]*365/Table1[[#This Row],[Days Left]])</f>
        <v>0</v>
      </c>
      <c r="AF1053" s="9">
        <f ca="1">+Table1[[#This Row],[Net Gain]]*Table1[[#This Row],[Ask Qty]]</f>
        <v>0</v>
      </c>
      <c r="AG1053" t="str">
        <f>IF(Table1[[#This Row],[YTM]]&gt;0.12,IF(Table1[[#This Row],[Gross Profit]]&gt;10000,"Invest","Review"),"Low YTM")</f>
        <v>Low YTM</v>
      </c>
    </row>
    <row r="1054" spans="1:33" x14ac:dyDescent="0.3">
      <c r="A1054" t="str">
        <f>RTD("nest.scriprtd",,"bse_cm|980SCL33B","Symbol")</f>
        <v>980SCL33B</v>
      </c>
      <c r="B1054" t="str">
        <f>RTD("nest.scriprtd",,"bse_cm|980SCL33B","Trading Symbol")</f>
        <v>980SCL33B</v>
      </c>
      <c r="C1054" t="str">
        <f>RTD("nest.scriprtd",,"bse_cm|980SCL33B","Exchange")</f>
        <v>BSE</v>
      </c>
      <c r="D1054">
        <f>RTD("nest.scriprtd",,"bse_cm|980SCL33B","Bid Qty")</f>
        <v>4</v>
      </c>
      <c r="E1054">
        <f>RTD("nest.scriprtd",,"bse_cm|980SCL33B","Bid Rate")</f>
        <v>812.8</v>
      </c>
      <c r="F1054">
        <f>RTD("nest.scriprtd",,"bse_cm|980SCL33B","Ask Rate")</f>
        <v>0</v>
      </c>
      <c r="G1054">
        <f>RTD("nest.scriprtd",,"bse_cm|980SCL33B","Ask Qty")</f>
        <v>0</v>
      </c>
      <c r="H1054">
        <f>RTD("nest.scriprtd",,"bse_cm|980SCL33B","LTP")</f>
        <v>0</v>
      </c>
      <c r="I1054" t="str">
        <f>RTD("nest.scriprtd",,"bse_cm|980SCL33B","LTT")</f>
        <v>00:00:00</v>
      </c>
      <c r="J1054">
        <f>RTD("nest.scriprtd",,"bse_cm|980SCL33B","% Change")</f>
        <v>-100</v>
      </c>
      <c r="K1054">
        <f>RTD("nest.scriprtd",,"bse_cm|980SCL33B","ATP")</f>
        <v>0</v>
      </c>
      <c r="L1054">
        <f>RTD("nest.scriprtd",,"bse_cm|980SCL33B","Volume Traded Today")</f>
        <v>0</v>
      </c>
      <c r="M1054">
        <f>RTD("nest.scriprtd",,"bse_cm|980SCL33B","Open")</f>
        <v>0</v>
      </c>
      <c r="N1054">
        <f>RTD("nest.scriprtd",,"bse_cm|980SCL33B","High")</f>
        <v>1184.8</v>
      </c>
      <c r="O1054">
        <f>RTD("nest.scriprtd",,"bse_cm|980SCL33B","Low ")</f>
        <v>817.25</v>
      </c>
      <c r="P1054">
        <f>RTD("nest.scriprtd",,"bse_cm|980SCL33B","Prev Close")</f>
        <v>817.25</v>
      </c>
      <c r="Q1054">
        <f>RTD("nest.scriprtd",,"bse_cm|980SCL33B","Face Value")</f>
        <v>1000</v>
      </c>
      <c r="R1054" t="str">
        <f>RTD("nest.scriprtd",,"bse_cm|980SCL33B","Isin code")</f>
        <v>INE148I07RX5</v>
      </c>
      <c r="S1054" s="9">
        <f>Table1[[#This Row],[Ask Rate]]*Table1[[#This Row],[Ask Qty]]</f>
        <v>0</v>
      </c>
      <c r="T1054">
        <f>VLOOKUP(Table1[[#This Row],[Isin code]],Table2[#All],7,FALSE)</f>
        <v>9.8000000000000007</v>
      </c>
      <c r="U1054" s="17" t="str">
        <f>VLOOKUP(Table1[[#This Row],[Isin code]],Table2[#All],8,FALSE)</f>
        <v>27-Dec-2033</v>
      </c>
      <c r="V1054" s="10">
        <f ca="1">Table1[[#This Row],[Maturity]]-TODAY()</f>
        <v>3359</v>
      </c>
      <c r="W1054" t="str">
        <f>VLOOKUP(Table1[[#This Row],[Isin code]],Table2[#All],10,FALSE)</f>
        <v>Monthly</v>
      </c>
      <c r="X1054">
        <f ca="1">_xlfn.DAYS(Table1[[#This Row],[Maturity]],TODAY())-15</f>
        <v>3344</v>
      </c>
      <c r="Y10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112</v>
      </c>
      <c r="Z1054">
        <f>IF(Table1[[#This Row],[Ask Rate]]=0,0,Table1[[#This Row],[Face Value]]-Table1[[#This Row],[Ask Rate]])</f>
        <v>0</v>
      </c>
      <c r="AA1054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1054">
        <f ca="1">Table1[[#This Row],[Face Value]]*Table1[[#This Row],[Rate]]*Table1[[#This Row],[Time]]</f>
        <v>914.66666666666674</v>
      </c>
      <c r="AC1054">
        <f ca="1">Table1[[#This Row],[SI]]+Table1[[#This Row],[Disc/Prem]]</f>
        <v>914.66666666666674</v>
      </c>
      <c r="AD1054" s="3" t="e">
        <f ca="1">Table1[[#This Row],[Net Gain]]/Table1[[#This Row],[Ask Rate]]</f>
        <v>#DIV/0!</v>
      </c>
      <c r="AE1054" s="3">
        <f>IF(Table1[[#This Row],[Ask Qty]]=0,0,Table1[[#This Row],[Gross Yield]]*365/Table1[[#This Row],[Days Left]])</f>
        <v>0</v>
      </c>
      <c r="AF1054" s="9">
        <f ca="1">+Table1[[#This Row],[Net Gain]]*Table1[[#This Row],[Ask Qty]]</f>
        <v>0</v>
      </c>
      <c r="AG1054" t="str">
        <f>IF(Table1[[#This Row],[YTM]]&gt;0.12,IF(Table1[[#This Row],[Gross Profit]]&gt;10000,"Invest","Review"),"Low YTM")</f>
        <v>Low YTM</v>
      </c>
    </row>
    <row r="1055" spans="1:33" x14ac:dyDescent="0.3">
      <c r="A1055" t="str">
        <f>RTD("nest.scriprtd",,"nse_cm|980SCL33A-N3","Symbol")</f>
        <v>980SCL33A</v>
      </c>
      <c r="B1055" t="str">
        <f>RTD("nest.scriprtd",,"nse_cm|980SCL33A-N3","Trading Symbol")</f>
        <v>980SCL33A-N3</v>
      </c>
      <c r="C1055" t="str">
        <f>RTD("nest.scriprtd",,"nse_cm|980SCL33A-N3","Exchange")</f>
        <v>NSE</v>
      </c>
      <c r="D1055">
        <f>RTD("nest.scriprtd",,"nse_cm|980SCL33A-N3","Bid Qty")</f>
        <v>0</v>
      </c>
      <c r="E1055">
        <f>RTD("nest.scriprtd",,"nse_cm|980SCL33A-N3","Bid Rate")</f>
        <v>0</v>
      </c>
      <c r="F1055">
        <f>RTD("nest.scriprtd",,"nse_cm|980SCL33A-N3","Ask Rate")</f>
        <v>0</v>
      </c>
      <c r="G1055">
        <f>RTD("nest.scriprtd",,"nse_cm|980SCL33A-N3","Ask Qty")</f>
        <v>0</v>
      </c>
      <c r="H1055">
        <f>RTD("nest.scriprtd",,"nse_cm|980SCL33A-N3","LTP")</f>
        <v>0</v>
      </c>
      <c r="I1055" t="str">
        <f>RTD("nest.scriprtd",,"nse_cm|980SCL33A-N3","LTT")</f>
        <v/>
      </c>
      <c r="J1055">
        <f>RTD("nest.scriprtd",,"nse_cm|980SCL33A-N3","% Change")</f>
        <v>0</v>
      </c>
      <c r="K1055">
        <f>RTD("nest.scriprtd",,"nse_cm|980SCL33A-N3","ATP")</f>
        <v>0</v>
      </c>
      <c r="L1055">
        <f>RTD("nest.scriprtd",,"nse_cm|980SCL33A-N3","Volume Traded Today")</f>
        <v>0</v>
      </c>
      <c r="M1055">
        <f>RTD("nest.scriprtd",,"nse_cm|980SCL33A-N3","Open")</f>
        <v>0</v>
      </c>
      <c r="N1055">
        <f>RTD("nest.scriprtd",,"nse_cm|980SCL33A-N3","High")</f>
        <v>0</v>
      </c>
      <c r="O1055">
        <f>RTD("nest.scriprtd",,"nse_cm|980SCL33A-N3","Low ")</f>
        <v>0</v>
      </c>
      <c r="P1055">
        <f>RTD("nest.scriprtd",,"nse_cm|980SCL33A-N3","Prev Close")</f>
        <v>0</v>
      </c>
      <c r="Q1055">
        <f>RTD("nest.scriprtd",,"nse_cm|980SCL33A-N3","Face Value")</f>
        <v>900</v>
      </c>
      <c r="R1055" t="str">
        <f>RTD("nest.scriprtd",,"nse_cm|980SCL33A-N3","Isin code")</f>
        <v>INE148I07PU5</v>
      </c>
      <c r="S1055" s="9">
        <f>Table1[[#This Row],[Ask Rate]]*Table1[[#This Row],[Ask Qty]]</f>
        <v>0</v>
      </c>
      <c r="T1055">
        <f>VLOOKUP(Table1[[#This Row],[Isin code]],Table2[#All],7,FALSE)</f>
        <v>9.8000000000000007</v>
      </c>
      <c r="U1055" s="17" t="str">
        <f>VLOOKUP(Table1[[#This Row],[Isin code]],Table2[#All],8,FALSE)</f>
        <v>26-Sep-2033</v>
      </c>
      <c r="V1055" s="10">
        <f ca="1">Table1[[#This Row],[Maturity]]-TODAY()</f>
        <v>3267</v>
      </c>
      <c r="W1055" t="str">
        <f>VLOOKUP(Table1[[#This Row],[Isin code]],Table2[#All],10,FALSE)</f>
        <v>Monthly</v>
      </c>
      <c r="X1055">
        <f ca="1">_xlfn.DAYS(Table1[[#This Row],[Maturity]],TODAY())-15</f>
        <v>3252</v>
      </c>
      <c r="Y10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109</v>
      </c>
      <c r="Z1055">
        <f>IF(Table1[[#This Row],[Ask Rate]]=0,0,Table1[[#This Row],[Face Value]]-Table1[[#This Row],[Ask Rate]])</f>
        <v>0</v>
      </c>
      <c r="AA1055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1055">
        <f ca="1">Table1[[#This Row],[Face Value]]*Table1[[#This Row],[Rate]]*Table1[[#This Row],[Time]]</f>
        <v>801.15000000000009</v>
      </c>
      <c r="AC1055">
        <f ca="1">Table1[[#This Row],[SI]]+Table1[[#This Row],[Disc/Prem]]</f>
        <v>801.15000000000009</v>
      </c>
      <c r="AD1055" s="3" t="e">
        <f ca="1">Table1[[#This Row],[Net Gain]]/Table1[[#This Row],[Ask Rate]]</f>
        <v>#DIV/0!</v>
      </c>
      <c r="AE1055" s="3">
        <f>IF(Table1[[#This Row],[Ask Qty]]=0,0,Table1[[#This Row],[Gross Yield]]*365/Table1[[#This Row],[Days Left]])</f>
        <v>0</v>
      </c>
      <c r="AF1055" s="9">
        <f ca="1">+Table1[[#This Row],[Net Gain]]*Table1[[#This Row],[Ask Qty]]</f>
        <v>0</v>
      </c>
      <c r="AG1055" t="str">
        <f>IF(Table1[[#This Row],[YTM]]&gt;0.12,IF(Table1[[#This Row],[Gross Profit]]&gt;10000,"Invest","Review"),"Low YTM")</f>
        <v>Low YTM</v>
      </c>
    </row>
    <row r="1056" spans="1:33" x14ac:dyDescent="0.3">
      <c r="A1056" t="str">
        <f>RTD("nest.scriprtd",,"bse_cm|980SCL33A","Symbol")</f>
        <v>980SCL33A</v>
      </c>
      <c r="B1056" t="str">
        <f>RTD("nest.scriprtd",,"bse_cm|980SCL33A","Trading Symbol")</f>
        <v>980SCL33A</v>
      </c>
      <c r="C1056" t="str">
        <f>RTD("nest.scriprtd",,"bse_cm|980SCL33A","Exchange")</f>
        <v>BSE</v>
      </c>
      <c r="D1056">
        <f>RTD("nest.scriprtd",,"bse_cm|980SCL33A","Bid Qty")</f>
        <v>9</v>
      </c>
      <c r="E1056">
        <f>RTD("nest.scriprtd",,"bse_cm|980SCL33A","Bid Rate")</f>
        <v>722.4</v>
      </c>
      <c r="F1056">
        <f>RTD("nest.scriprtd",,"bse_cm|980SCL33A","Ask Rate")</f>
        <v>0</v>
      </c>
      <c r="G1056">
        <f>RTD("nest.scriprtd",,"bse_cm|980SCL33A","Ask Qty")</f>
        <v>0</v>
      </c>
      <c r="H1056">
        <f>RTD("nest.scriprtd",,"bse_cm|980SCL33A","LTP")</f>
        <v>0</v>
      </c>
      <c r="I1056" t="str">
        <f>RTD("nest.scriprtd",,"bse_cm|980SCL33A","LTT")</f>
        <v>00:00:00</v>
      </c>
      <c r="J1056">
        <f>RTD("nest.scriprtd",,"bse_cm|980SCL33A","% Change")</f>
        <v>-100</v>
      </c>
      <c r="K1056">
        <f>RTD("nest.scriprtd",,"bse_cm|980SCL33A","ATP")</f>
        <v>0</v>
      </c>
      <c r="L1056">
        <f>RTD("nest.scriprtd",,"bse_cm|980SCL33A","Volume Traded Today")</f>
        <v>0</v>
      </c>
      <c r="M1056">
        <f>RTD("nest.scriprtd",,"bse_cm|980SCL33A","Open")</f>
        <v>0</v>
      </c>
      <c r="N1056">
        <f>RTD("nest.scriprtd",,"bse_cm|980SCL33A","High")</f>
        <v>0</v>
      </c>
      <c r="O1056">
        <f>RTD("nest.scriprtd",,"bse_cm|980SCL33A","Low ")</f>
        <v>0</v>
      </c>
      <c r="P1056">
        <f>RTD("nest.scriprtd",,"bse_cm|980SCL33A","Prev Close")</f>
        <v>900</v>
      </c>
      <c r="Q1056">
        <f>RTD("nest.scriprtd",,"bse_cm|980SCL33A","Face Value")</f>
        <v>900</v>
      </c>
      <c r="R1056" t="str">
        <f>RTD("nest.scriprtd",,"bse_cm|980SCL33A","Isin code")</f>
        <v>INE148I07PU5</v>
      </c>
      <c r="S1056" s="9">
        <f>Table1[[#This Row],[Ask Rate]]*Table1[[#This Row],[Ask Qty]]</f>
        <v>0</v>
      </c>
      <c r="T1056">
        <f>VLOOKUP(Table1[[#This Row],[Isin code]],Table2[#All],7,FALSE)</f>
        <v>9.8000000000000007</v>
      </c>
      <c r="U1056" s="17" t="str">
        <f>VLOOKUP(Table1[[#This Row],[Isin code]],Table2[#All],8,FALSE)</f>
        <v>26-Sep-2033</v>
      </c>
      <c r="V1056" s="10">
        <f ca="1">Table1[[#This Row],[Maturity]]-TODAY()</f>
        <v>3267</v>
      </c>
      <c r="W1056" t="str">
        <f>VLOOKUP(Table1[[#This Row],[Isin code]],Table2[#All],10,FALSE)</f>
        <v>Monthly</v>
      </c>
      <c r="X1056">
        <f ca="1">_xlfn.DAYS(Table1[[#This Row],[Maturity]],TODAY())-15</f>
        <v>3252</v>
      </c>
      <c r="Y10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109</v>
      </c>
      <c r="Z1056">
        <f>IF(Table1[[#This Row],[Ask Rate]]=0,0,Table1[[#This Row],[Face Value]]-Table1[[#This Row],[Ask Rate]])</f>
        <v>0</v>
      </c>
      <c r="AA1056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1056">
        <f ca="1">Table1[[#This Row],[Face Value]]*Table1[[#This Row],[Rate]]*Table1[[#This Row],[Time]]</f>
        <v>801.15000000000009</v>
      </c>
      <c r="AC1056">
        <f ca="1">Table1[[#This Row],[SI]]+Table1[[#This Row],[Disc/Prem]]</f>
        <v>801.15000000000009</v>
      </c>
      <c r="AD1056" s="3" t="e">
        <f ca="1">Table1[[#This Row],[Net Gain]]/Table1[[#This Row],[Ask Rate]]</f>
        <v>#DIV/0!</v>
      </c>
      <c r="AE1056" s="3">
        <f>IF(Table1[[#This Row],[Ask Qty]]=0,0,Table1[[#This Row],[Gross Yield]]*365/Table1[[#This Row],[Days Left]])</f>
        <v>0</v>
      </c>
      <c r="AF1056" s="9">
        <f ca="1">+Table1[[#This Row],[Net Gain]]*Table1[[#This Row],[Ask Qty]]</f>
        <v>0</v>
      </c>
      <c r="AG1056" t="str">
        <f>IF(Table1[[#This Row],[YTM]]&gt;0.12,IF(Table1[[#This Row],[Gross Profit]]&gt;10000,"Invest","Review"),"Low YTM")</f>
        <v>Low YTM</v>
      </c>
    </row>
    <row r="1057" spans="1:33" x14ac:dyDescent="0.3">
      <c r="A1057" t="str">
        <f>RTD("nest.scriprtd",,"bse_cm|990SCL26A","Symbol")</f>
        <v>990SCL26A</v>
      </c>
      <c r="B1057" t="str">
        <f>RTD("nest.scriprtd",,"bse_cm|990SCL26A","Trading Symbol")</f>
        <v>990SCL26A</v>
      </c>
      <c r="C1057" t="str">
        <f>RTD("nest.scriprtd",,"bse_cm|990SCL26A","Exchange")</f>
        <v>BSE</v>
      </c>
      <c r="D1057">
        <f>RTD("nest.scriprtd",,"bse_cm|990SCL26A","Bid Qty")</f>
        <v>25</v>
      </c>
      <c r="E1057">
        <f>RTD("nest.scriprtd",,"bse_cm|990SCL26A","Bid Rate")</f>
        <v>1060</v>
      </c>
      <c r="F1057">
        <f>RTD("nest.scriprtd",,"bse_cm|990SCL26A","Ask Rate")</f>
        <v>0</v>
      </c>
      <c r="G1057">
        <f>RTD("nest.scriprtd",,"bse_cm|990SCL26A","Ask Qty")</f>
        <v>0</v>
      </c>
      <c r="H1057">
        <f>RTD("nest.scriprtd",,"bse_cm|990SCL26A","LTP")</f>
        <v>0</v>
      </c>
      <c r="I1057" t="str">
        <f>RTD("nest.scriprtd",,"bse_cm|990SCL26A","LTT")</f>
        <v>00:00:00</v>
      </c>
      <c r="J1057">
        <f>RTD("nest.scriprtd",,"bse_cm|990SCL26A","% Change")</f>
        <v>-100</v>
      </c>
      <c r="K1057">
        <f>RTD("nest.scriprtd",,"bse_cm|990SCL26A","ATP")</f>
        <v>0</v>
      </c>
      <c r="L1057">
        <f>RTD("nest.scriprtd",,"bse_cm|990SCL26A","Volume Traded Today")</f>
        <v>0</v>
      </c>
      <c r="M1057">
        <f>RTD("nest.scriprtd",,"bse_cm|990SCL26A","Open")</f>
        <v>0</v>
      </c>
      <c r="N1057">
        <f>RTD("nest.scriprtd",,"bse_cm|990SCL26A","High")</f>
        <v>1110</v>
      </c>
      <c r="O1057">
        <f>RTD("nest.scriprtd",,"bse_cm|990SCL26A","Low ")</f>
        <v>1041.0999999999999</v>
      </c>
      <c r="P1057">
        <f>RTD("nest.scriprtd",,"bse_cm|990SCL26A","Prev Close")</f>
        <v>1041.0999999999999</v>
      </c>
      <c r="Q1057">
        <f>RTD("nest.scriprtd",,"bse_cm|990SCL26A","Face Value")</f>
        <v>1000</v>
      </c>
      <c r="R1057" t="str">
        <f>RTD("nest.scriprtd",,"bse_cm|990SCL26A","Isin code")</f>
        <v>INE148I07QI8</v>
      </c>
      <c r="S1057" s="9">
        <f>Table1[[#This Row],[Ask Rate]]*Table1[[#This Row],[Ask Qty]]</f>
        <v>0</v>
      </c>
      <c r="T1057">
        <f>VLOOKUP(Table1[[#This Row],[Isin code]],Table2[#All],7,FALSE)</f>
        <v>9.9</v>
      </c>
      <c r="U1057" s="17" t="str">
        <f>VLOOKUP(Table1[[#This Row],[Isin code]],Table2[#All],8,FALSE)</f>
        <v>09-Nov-2026</v>
      </c>
      <c r="V1057" s="10">
        <f ca="1">Table1[[#This Row],[Maturity]]-TODAY()</f>
        <v>754</v>
      </c>
      <c r="W1057" t="str">
        <f>VLOOKUP(Table1[[#This Row],[Isin code]],Table2[#All],10,FALSE)</f>
        <v>Yearly</v>
      </c>
      <c r="X1057">
        <f ca="1">_xlfn.DAYS(Table1[[#This Row],[Maturity]],TODAY())-15</f>
        <v>739</v>
      </c>
      <c r="Y10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57">
        <f>IF(Table1[[#This Row],[Ask Rate]]=0,0,Table1[[#This Row],[Face Value]]-Table1[[#This Row],[Ask Rate]])</f>
        <v>0</v>
      </c>
      <c r="AA1057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057">
        <f ca="1">Table1[[#This Row],[Face Value]]*Table1[[#This Row],[Rate]]*Table1[[#This Row],[Time]]</f>
        <v>297</v>
      </c>
      <c r="AC1057">
        <f ca="1">Table1[[#This Row],[SI]]+Table1[[#This Row],[Disc/Prem]]</f>
        <v>297</v>
      </c>
      <c r="AD1057" s="3" t="e">
        <f ca="1">Table1[[#This Row],[Net Gain]]/Table1[[#This Row],[Ask Rate]]</f>
        <v>#DIV/0!</v>
      </c>
      <c r="AE1057" s="3">
        <f>IF(Table1[[#This Row],[Ask Qty]]=0,0,Table1[[#This Row],[Gross Yield]]*365/Table1[[#This Row],[Days Left]])</f>
        <v>0</v>
      </c>
      <c r="AF1057" s="9">
        <f ca="1">+Table1[[#This Row],[Net Gain]]*Table1[[#This Row],[Ask Qty]]</f>
        <v>0</v>
      </c>
      <c r="AG1057" t="str">
        <f>IF(Table1[[#This Row],[YTM]]&gt;0.12,IF(Table1[[#This Row],[Gross Profit]]&gt;10000,"Invest","Review"),"Low YTM")</f>
        <v>Low YTM</v>
      </c>
    </row>
    <row r="1058" spans="1:33" x14ac:dyDescent="0.3">
      <c r="A1058" t="str">
        <f>RTD("nest.scriprtd",,"bse_cm|888IHFL25C","Symbol")</f>
        <v>888IHFL25C</v>
      </c>
      <c r="B1058" t="str">
        <f>RTD("nest.scriprtd",,"bse_cm|888IHFL25C","Trading Symbol")</f>
        <v>888IHFL25C</v>
      </c>
      <c r="C1058" t="str">
        <f>RTD("nest.scriprtd",,"bse_cm|888IHFL25C","Exchange")</f>
        <v>BSE</v>
      </c>
      <c r="D1058">
        <f>RTD("nest.scriprtd",,"bse_cm|888IHFL25C","Bid Qty")</f>
        <v>20</v>
      </c>
      <c r="E1058">
        <f>RTD("nest.scriprtd",,"bse_cm|888IHFL25C","Bid Rate")</f>
        <v>825.1</v>
      </c>
      <c r="F1058">
        <f>RTD("nest.scriprtd",,"bse_cm|888IHFL25C","Ask Rate")</f>
        <v>0</v>
      </c>
      <c r="G1058">
        <f>RTD("nest.scriprtd",,"bse_cm|888IHFL25C","Ask Qty")</f>
        <v>0</v>
      </c>
      <c r="H1058">
        <f>RTD("nest.scriprtd",,"bse_cm|888IHFL25C","LTP")</f>
        <v>0</v>
      </c>
      <c r="I1058" t="str">
        <f>RTD("nest.scriprtd",,"bse_cm|888IHFL25C","LTT")</f>
        <v>00:00:00</v>
      </c>
      <c r="J1058">
        <f>RTD("nest.scriprtd",,"bse_cm|888IHFL25C","% Change")</f>
        <v>-100</v>
      </c>
      <c r="K1058">
        <f>RTD("nest.scriprtd",,"bse_cm|888IHFL25C","ATP")</f>
        <v>0</v>
      </c>
      <c r="L1058">
        <f>RTD("nest.scriprtd",,"bse_cm|888IHFL25C","Volume Traded Today")</f>
        <v>0</v>
      </c>
      <c r="M1058">
        <f>RTD("nest.scriprtd",,"bse_cm|888IHFL25C","Open")</f>
        <v>0</v>
      </c>
      <c r="N1058">
        <f>RTD("nest.scriprtd",,"bse_cm|888IHFL25C","High")</f>
        <v>990</v>
      </c>
      <c r="O1058">
        <f>RTD("nest.scriprtd",,"bse_cm|888IHFL25C","Low ")</f>
        <v>990</v>
      </c>
      <c r="P1058">
        <f>RTD("nest.scriprtd",,"bse_cm|888IHFL25C","Prev Close")</f>
        <v>990</v>
      </c>
      <c r="Q1058">
        <f>RTD("nest.scriprtd",,"bse_cm|888IHFL25C","Face Value")</f>
        <v>1000</v>
      </c>
      <c r="R1058" t="str">
        <f>RTD("nest.scriprtd",,"bse_cm|888IHFL25C","Isin code")</f>
        <v>INE244L07432</v>
      </c>
      <c r="S1058" s="9">
        <f>Table1[[#This Row],[Ask Rate]]*Table1[[#This Row],[Ask Qty]]</f>
        <v>0</v>
      </c>
      <c r="T1058">
        <f>VLOOKUP(Table1[[#This Row],[Isin code]],Table2[#All],7,FALSE)</f>
        <v>9.57</v>
      </c>
      <c r="U1058" s="17">
        <f>VLOOKUP(Table1[[#This Row],[Isin code]],Table2[#All],8,FALSE)</f>
        <v>45772</v>
      </c>
      <c r="V1058" s="10">
        <f ca="1">Table1[[#This Row],[Maturity]]-TODAY()</f>
        <v>191</v>
      </c>
      <c r="W1058" t="str">
        <f>VLOOKUP(Table1[[#This Row],[Isin code]],Table2[#All],10,FALSE)</f>
        <v>Monthly</v>
      </c>
      <c r="X1058">
        <f ca="1">_xlfn.DAYS(Table1[[#This Row],[Maturity]],TODAY())-15</f>
        <v>176</v>
      </c>
      <c r="Y10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058">
        <f>IF(Table1[[#This Row],[Ask Rate]]=0,0,Table1[[#This Row],[Face Value]]-Table1[[#This Row],[Ask Rate]])</f>
        <v>0</v>
      </c>
      <c r="AA1058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1058">
        <f ca="1">Table1[[#This Row],[Face Value]]*Table1[[#This Row],[Rate]]*Table1[[#This Row],[Time]]</f>
        <v>47.849999999999994</v>
      </c>
      <c r="AC1058">
        <f ca="1">Table1[[#This Row],[SI]]+Table1[[#This Row],[Disc/Prem]]</f>
        <v>47.849999999999994</v>
      </c>
      <c r="AD1058" s="3" t="e">
        <f ca="1">Table1[[#This Row],[Net Gain]]/Table1[[#This Row],[Ask Rate]]</f>
        <v>#DIV/0!</v>
      </c>
      <c r="AE1058" s="3">
        <f>IF(Table1[[#This Row],[Ask Qty]]=0,0,Table1[[#This Row],[Gross Yield]]*365/Table1[[#This Row],[Days Left]])</f>
        <v>0</v>
      </c>
      <c r="AF1058" s="9">
        <f ca="1">+Table1[[#This Row],[Net Gain]]*Table1[[#This Row],[Ask Qty]]</f>
        <v>0</v>
      </c>
      <c r="AG1058" t="str">
        <f>IF(Table1[[#This Row],[YTM]]&gt;0.12,IF(Table1[[#This Row],[Gross Profit]]&gt;10000,"Invest","Review"),"Low YTM")</f>
        <v>Low YTM</v>
      </c>
    </row>
    <row r="1059" spans="1:33" hidden="1" x14ac:dyDescent="0.3">
      <c r="A1059" t="str">
        <f>RTD("nest.scriprtd",,"bse_cm|820SCFL25","Symbol")</f>
        <v>820SCFL25</v>
      </c>
      <c r="B1059" t="str">
        <f>RTD("nest.scriprtd",,"bse_cm|820SCFL25","Trading Symbol")</f>
        <v>820SCFL25</v>
      </c>
      <c r="C1059" t="str">
        <f>RTD("nest.scriprtd",,"bse_cm|820SCFL25","Exchange")</f>
        <v>BSE</v>
      </c>
      <c r="D1059">
        <f>RTD("nest.scriprtd",,"bse_cm|820SCFL25","Bid Qty")</f>
        <v>12</v>
      </c>
      <c r="E1059">
        <f>RTD("nest.scriprtd",,"bse_cm|820SCFL25","Bid Rate")</f>
        <v>820.2</v>
      </c>
      <c r="F1059">
        <f>RTD("nest.scriprtd",,"bse_cm|820SCFL25","Ask Rate")</f>
        <v>0</v>
      </c>
      <c r="G1059">
        <f>RTD("nest.scriprtd",,"bse_cm|820SCFL25","Ask Qty")</f>
        <v>0</v>
      </c>
      <c r="H1059">
        <f>RTD("nest.scriprtd",,"bse_cm|820SCFL25","LTP")</f>
        <v>0</v>
      </c>
      <c r="I1059" t="str">
        <f>RTD("nest.scriprtd",,"bse_cm|820SCFL25","LTT")</f>
        <v>00:00:00</v>
      </c>
      <c r="J1059">
        <f>RTD("nest.scriprtd",,"bse_cm|820SCFL25","% Change")</f>
        <v>-100</v>
      </c>
      <c r="K1059">
        <f>RTD("nest.scriprtd",,"bse_cm|820SCFL25","ATP")</f>
        <v>0</v>
      </c>
      <c r="L1059">
        <f>RTD("nest.scriprtd",,"bse_cm|820SCFL25","Volume Traded Today")</f>
        <v>0</v>
      </c>
      <c r="M1059">
        <f>RTD("nest.scriprtd",,"bse_cm|820SCFL25","Open")</f>
        <v>0</v>
      </c>
      <c r="N1059">
        <f>RTD("nest.scriprtd",,"bse_cm|820SCFL25","High")</f>
        <v>0</v>
      </c>
      <c r="O1059">
        <f>RTD("nest.scriprtd",,"bse_cm|820SCFL25","Low ")</f>
        <v>0</v>
      </c>
      <c r="P1059">
        <f>RTD("nest.scriprtd",,"bse_cm|820SCFL25","Prev Close")</f>
        <v>1000</v>
      </c>
      <c r="Q1059">
        <f>RTD("nest.scriprtd",,"bse_cm|820SCFL25","Face Value")</f>
        <v>1000</v>
      </c>
      <c r="R1059" t="str">
        <f>RTD("nest.scriprtd",,"bse_cm|820SCFL25","Isin code")</f>
        <v>INE148I07KZ5</v>
      </c>
      <c r="S1059" s="9">
        <f>Table1[[#This Row],[Ask Rate]]*Table1[[#This Row],[Ask Qty]]</f>
        <v>0</v>
      </c>
      <c r="T1059">
        <f>VLOOKUP(Table1[[#This Row],[Isin code]],Table2[#All],7,FALSE)</f>
        <v>8.1999999999999993</v>
      </c>
      <c r="U1059" s="17" t="str">
        <f>VLOOKUP(Table1[[#This Row],[Isin code]],Table2[#All],8,FALSE)</f>
        <v>06-Jan-2025</v>
      </c>
      <c r="V1059" s="10">
        <f ca="1">Table1[[#This Row],[Maturity]]-TODAY()</f>
        <v>82</v>
      </c>
      <c r="W1059" t="str">
        <f>VLOOKUP(Table1[[#This Row],[Isin code]],Table2[#All],10,FALSE)</f>
        <v>Monthly</v>
      </c>
      <c r="X1059">
        <f ca="1">_xlfn.DAYS(Table1[[#This Row],[Maturity]],TODAY())-15</f>
        <v>67</v>
      </c>
      <c r="Y10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059">
        <f>IF(Table1[[#This Row],[Ask Rate]]=0,0,Table1[[#This Row],[Face Value]]-Table1[[#This Row],[Ask Rate]])</f>
        <v>0</v>
      </c>
      <c r="AA1059">
        <f>IF(Table1[[#This Row],[Freq]]="Yearly",Table1[[#This Row],[Coupon_Rate]]/100,IF(Table1[[#This Row],[Freq]]="Monthly",Table1[[#This Row],[Coupon_Rate]]/1200,IF(Table1[[#This Row],[Freq]]="Quarterly",Table1[[#This Row],[Coupon_Rate]]/400,0)))</f>
        <v>6.8333333333333328E-3</v>
      </c>
      <c r="AB1059">
        <f ca="1">Table1[[#This Row],[Face Value]]*Table1[[#This Row],[Rate]]*Table1[[#This Row],[Time]]</f>
        <v>20.5</v>
      </c>
      <c r="AC1059">
        <f ca="1">Table1[[#This Row],[SI]]+Table1[[#This Row],[Disc/Prem]]</f>
        <v>20.5</v>
      </c>
      <c r="AD1059" s="3" t="e">
        <f ca="1">Table1[[#This Row],[Net Gain]]/Table1[[#This Row],[Ask Rate]]</f>
        <v>#DIV/0!</v>
      </c>
      <c r="AE1059" s="3">
        <f>IF(Table1[[#This Row],[Ask Qty]]=0,0,Table1[[#This Row],[Gross Yield]]*365/Table1[[#This Row],[Days Left]])</f>
        <v>0</v>
      </c>
      <c r="AF1059" s="9">
        <f ca="1">+Table1[[#This Row],[Net Gain]]*Table1[[#This Row],[Ask Qty]]</f>
        <v>0</v>
      </c>
      <c r="AG1059" t="str">
        <f>IF(Table1[[#This Row],[YTM]]&gt;0.12,IF(Table1[[#This Row],[Gross Profit]]&gt;10000,"Invest","Review"),"Low YTM")</f>
        <v>Low YTM</v>
      </c>
    </row>
    <row r="1060" spans="1:33" x14ac:dyDescent="0.3">
      <c r="A1060" t="str">
        <f>RTD("nest.scriprtd",,"bse_cm|905SCL25","Symbol")</f>
        <v>905SCL25</v>
      </c>
      <c r="B1060" t="str">
        <f>RTD("nest.scriprtd",,"bse_cm|905SCL25","Trading Symbol")</f>
        <v>905SCL25</v>
      </c>
      <c r="C1060" t="str">
        <f>RTD("nest.scriprtd",,"bse_cm|905SCL25","Exchange")</f>
        <v>BSE</v>
      </c>
      <c r="D1060">
        <f>RTD("nest.scriprtd",,"bse_cm|905SCL25","Bid Qty")</f>
        <v>9</v>
      </c>
      <c r="E1060">
        <f>RTD("nest.scriprtd",,"bse_cm|905SCL25","Bid Rate")</f>
        <v>550.20000000000005</v>
      </c>
      <c r="F1060">
        <f>RTD("nest.scriprtd",,"bse_cm|905SCL25","Ask Rate")</f>
        <v>0</v>
      </c>
      <c r="G1060">
        <f>RTD("nest.scriprtd",,"bse_cm|905SCL25","Ask Qty")</f>
        <v>0</v>
      </c>
      <c r="H1060">
        <f>RTD("nest.scriprtd",,"bse_cm|905SCL25","LTP")</f>
        <v>0</v>
      </c>
      <c r="I1060" t="str">
        <f>RTD("nest.scriprtd",,"bse_cm|905SCL25","LTT")</f>
        <v>00:00:00</v>
      </c>
      <c r="J1060">
        <f>RTD("nest.scriprtd",,"bse_cm|905SCL25","% Change")</f>
        <v>-100</v>
      </c>
      <c r="K1060">
        <f>RTD("nest.scriprtd",,"bse_cm|905SCL25","ATP")</f>
        <v>0</v>
      </c>
      <c r="L1060">
        <f>RTD("nest.scriprtd",,"bse_cm|905SCL25","Volume Traded Today")</f>
        <v>0</v>
      </c>
      <c r="M1060">
        <f>RTD("nest.scriprtd",,"bse_cm|905SCL25","Open")</f>
        <v>0</v>
      </c>
      <c r="N1060">
        <f>RTD("nest.scriprtd",,"bse_cm|905SCL25","High")</f>
        <v>0</v>
      </c>
      <c r="O1060">
        <f>RTD("nest.scriprtd",,"bse_cm|905SCL25","Low ")</f>
        <v>0</v>
      </c>
      <c r="P1060">
        <f>RTD("nest.scriprtd",,"bse_cm|905SCL25","Prev Close")</f>
        <v>667</v>
      </c>
      <c r="Q1060">
        <f>RTD("nest.scriprtd",,"bse_cm|905SCL25","Face Value")</f>
        <v>667</v>
      </c>
      <c r="R1060" t="str">
        <f>RTD("nest.scriprtd",,"bse_cm|905SCL25","Isin code")</f>
        <v>INE148I07NI5</v>
      </c>
      <c r="S1060" s="9">
        <f>Table1[[#This Row],[Ask Rate]]*Table1[[#This Row],[Ask Qty]]</f>
        <v>0</v>
      </c>
      <c r="T1060">
        <f>VLOOKUP(Table1[[#This Row],[Isin code]],Table2[#All],7,FALSE)</f>
        <v>9.0499999999999989</v>
      </c>
      <c r="U1060" s="17" t="str">
        <f>VLOOKUP(Table1[[#This Row],[Isin code]],Table2[#All],8,FALSE)</f>
        <v>28-Dec-2025</v>
      </c>
      <c r="V1060" s="10">
        <f ca="1">Table1[[#This Row],[Maturity]]-TODAY()</f>
        <v>438</v>
      </c>
      <c r="W1060" t="str">
        <f>VLOOKUP(Table1[[#This Row],[Isin code]],Table2[#All],10,FALSE)</f>
        <v>Yearly</v>
      </c>
      <c r="X1060">
        <f ca="1">_xlfn.DAYS(Table1[[#This Row],[Maturity]],TODAY())-15</f>
        <v>423</v>
      </c>
      <c r="Y10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060">
        <f>IF(Table1[[#This Row],[Ask Rate]]=0,0,Table1[[#This Row],[Face Value]]-Table1[[#This Row],[Ask Rate]])</f>
        <v>0</v>
      </c>
      <c r="AA1060">
        <f>IF(Table1[[#This Row],[Freq]]="Yearly",Table1[[#This Row],[Coupon_Rate]]/100,IF(Table1[[#This Row],[Freq]]="Monthly",Table1[[#This Row],[Coupon_Rate]]/1200,IF(Table1[[#This Row],[Freq]]="Quarterly",Table1[[#This Row],[Coupon_Rate]]/400,0)))</f>
        <v>9.0499999999999983E-2</v>
      </c>
      <c r="AB1060">
        <f ca="1">Table1[[#This Row],[Face Value]]*Table1[[#This Row],[Rate]]*Table1[[#This Row],[Time]]</f>
        <v>120.72699999999998</v>
      </c>
      <c r="AC1060">
        <f ca="1">Table1[[#This Row],[SI]]+Table1[[#This Row],[Disc/Prem]]</f>
        <v>120.72699999999998</v>
      </c>
      <c r="AD1060" s="3" t="e">
        <f ca="1">Table1[[#This Row],[Net Gain]]/Table1[[#This Row],[Ask Rate]]</f>
        <v>#DIV/0!</v>
      </c>
      <c r="AE1060" s="3">
        <f>IF(Table1[[#This Row],[Ask Qty]]=0,0,Table1[[#This Row],[Gross Yield]]*365/Table1[[#This Row],[Days Left]])</f>
        <v>0</v>
      </c>
      <c r="AF1060" s="9">
        <f ca="1">+Table1[[#This Row],[Net Gain]]*Table1[[#This Row],[Ask Qty]]</f>
        <v>0</v>
      </c>
      <c r="AG1060" t="str">
        <f>IF(Table1[[#This Row],[YTM]]&gt;0.12,IF(Table1[[#This Row],[Gross Profit]]&gt;10000,"Invest","Review"),"Low YTM")</f>
        <v>Low YTM</v>
      </c>
    </row>
    <row r="1061" spans="1:33" x14ac:dyDescent="0.3">
      <c r="A1061" t="str">
        <f>RTD("nest.scriprtd",,"bse_cm|CAGL25","Symbol")</f>
        <v>CAGL25</v>
      </c>
      <c r="B1061" t="str">
        <f>RTD("nest.scriprtd",,"bse_cm|CAGL25","Trading Symbol")</f>
        <v>CAGL25</v>
      </c>
      <c r="C1061" t="str">
        <f>RTD("nest.scriprtd",,"bse_cm|CAGL25","Exchange")</f>
        <v>BSE</v>
      </c>
      <c r="D1061">
        <f>RTD("nest.scriprtd",,"bse_cm|CAGL25","Bid Qty")</f>
        <v>25</v>
      </c>
      <c r="E1061">
        <f>RTD("nest.scriprtd",,"bse_cm|CAGL25","Bid Rate")</f>
        <v>912.8</v>
      </c>
      <c r="F1061">
        <f>RTD("nest.scriprtd",,"bse_cm|CAGL25","Ask Rate")</f>
        <v>0</v>
      </c>
      <c r="G1061">
        <f>RTD("nest.scriprtd",,"bse_cm|CAGL25","Ask Qty")</f>
        <v>0</v>
      </c>
      <c r="H1061">
        <f>RTD("nest.scriprtd",,"bse_cm|CAGL25","LTP")</f>
        <v>0</v>
      </c>
      <c r="I1061" t="str">
        <f>RTD("nest.scriprtd",,"bse_cm|CAGL25","LTT")</f>
        <v>00:00:00</v>
      </c>
      <c r="J1061">
        <f>RTD("nest.scriprtd",,"bse_cm|CAGL25","% Change")</f>
        <v>-100</v>
      </c>
      <c r="K1061">
        <f>RTD("nest.scriprtd",,"bse_cm|CAGL25","ATP")</f>
        <v>0</v>
      </c>
      <c r="L1061">
        <f>RTD("nest.scriprtd",,"bse_cm|CAGL25","Volume Traded Today")</f>
        <v>0</v>
      </c>
      <c r="M1061">
        <f>RTD("nest.scriprtd",,"bse_cm|CAGL25","Open")</f>
        <v>0</v>
      </c>
      <c r="N1061">
        <f>RTD("nest.scriprtd",,"bse_cm|CAGL25","High")</f>
        <v>950</v>
      </c>
      <c r="O1061">
        <f>RTD("nest.scriprtd",,"bse_cm|CAGL25","Low ")</f>
        <v>950</v>
      </c>
      <c r="P1061">
        <f>RTD("nest.scriprtd",,"bse_cm|CAGL25","Prev Close")</f>
        <v>950</v>
      </c>
      <c r="Q1061">
        <f>RTD("nest.scriprtd",,"bse_cm|CAGL25","Face Value")</f>
        <v>1000</v>
      </c>
      <c r="R1061" t="str">
        <f>RTD("nest.scriprtd",,"bse_cm|CAGL25","Isin code")</f>
        <v>INE741K07561</v>
      </c>
      <c r="S1061" s="9">
        <f>Table1[[#This Row],[Ask Rate]]*Table1[[#This Row],[Ask Qty]]</f>
        <v>0</v>
      </c>
      <c r="T1061">
        <f>VLOOKUP(Table1[[#This Row],[Isin code]],Table2[#All],7,FALSE)</f>
        <v>0</v>
      </c>
      <c r="U1061" s="17" t="str">
        <f>VLOOKUP(Table1[[#This Row],[Isin code]],Table2[#All],8,FALSE)</f>
        <v>07-Sep-2025</v>
      </c>
      <c r="V1061" s="10">
        <f ca="1">Table1[[#This Row],[Maturity]]-TODAY()</f>
        <v>326</v>
      </c>
      <c r="W1061" t="str">
        <f>VLOOKUP(Table1[[#This Row],[Isin code]],Table2[#All],10,FALSE)</f>
        <v>Yearly</v>
      </c>
      <c r="X1061">
        <f ca="1">_xlfn.DAYS(Table1[[#This Row],[Maturity]],TODAY())-15</f>
        <v>311</v>
      </c>
      <c r="Y10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061">
        <f>IF(Table1[[#This Row],[Ask Rate]]=0,0,Table1[[#This Row],[Face Value]]-Table1[[#This Row],[Ask Rate]])</f>
        <v>0</v>
      </c>
      <c r="AA106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61">
        <f ca="1">Table1[[#This Row],[Face Value]]*Table1[[#This Row],[Rate]]*Table1[[#This Row],[Time]]</f>
        <v>0</v>
      </c>
      <c r="AC1061">
        <f ca="1">Table1[[#This Row],[SI]]+Table1[[#This Row],[Disc/Prem]]</f>
        <v>0</v>
      </c>
      <c r="AD1061" s="3" t="e">
        <f ca="1">Table1[[#This Row],[Net Gain]]/Table1[[#This Row],[Ask Rate]]</f>
        <v>#DIV/0!</v>
      </c>
      <c r="AE1061" s="3">
        <f>IF(Table1[[#This Row],[Ask Qty]]=0,0,Table1[[#This Row],[Gross Yield]]*365/Table1[[#This Row],[Days Left]])</f>
        <v>0</v>
      </c>
      <c r="AF1061" s="9">
        <f ca="1">+Table1[[#This Row],[Net Gain]]*Table1[[#This Row],[Ask Qty]]</f>
        <v>0</v>
      </c>
      <c r="AG1061" t="str">
        <f>IF(Table1[[#This Row],[YTM]]&gt;0.12,IF(Table1[[#This Row],[Gross Profit]]&gt;10000,"Invest","Review"),"Low YTM")</f>
        <v>Low YTM</v>
      </c>
    </row>
    <row r="1062" spans="1:33" x14ac:dyDescent="0.3">
      <c r="A1062" t="str">
        <f>RTD("nest.scriprtd",,"bse_cm|AEL120924","Symbol")</f>
        <v>AEL120924</v>
      </c>
      <c r="B1062" t="str">
        <f>RTD("nest.scriprtd",,"bse_cm|AEL120924","Trading Symbol")</f>
        <v>AEL120924</v>
      </c>
      <c r="C1062" t="str">
        <f>RTD("nest.scriprtd",,"bse_cm|AEL120924","Exchange")</f>
        <v>BSE</v>
      </c>
      <c r="D1062">
        <f>RTD("nest.scriprtd",,"bse_cm|AEL120924","Bid Qty")</f>
        <v>18</v>
      </c>
      <c r="E1062">
        <f>RTD("nest.scriprtd",,"bse_cm|AEL120924","Bid Rate")</f>
        <v>865.8</v>
      </c>
      <c r="F1062">
        <f>RTD("nest.scriprtd",,"bse_cm|AEL120924","Ask Rate")</f>
        <v>0</v>
      </c>
      <c r="G1062">
        <f>RTD("nest.scriprtd",,"bse_cm|AEL120924","Ask Qty")</f>
        <v>0</v>
      </c>
      <c r="H1062">
        <f>RTD("nest.scriprtd",,"bse_cm|AEL120924","LTP")</f>
        <v>0</v>
      </c>
      <c r="I1062" t="str">
        <f>RTD("nest.scriprtd",,"bse_cm|AEL120924","LTT")</f>
        <v>00:00:00</v>
      </c>
      <c r="J1062">
        <f>RTD("nest.scriprtd",,"bse_cm|AEL120924","% Change")</f>
        <v>-100</v>
      </c>
      <c r="K1062">
        <f>RTD("nest.scriprtd",,"bse_cm|AEL120924","ATP")</f>
        <v>0</v>
      </c>
      <c r="L1062">
        <f>RTD("nest.scriprtd",,"bse_cm|AEL120924","Volume Traded Today")</f>
        <v>0</v>
      </c>
      <c r="M1062">
        <f>RTD("nest.scriprtd",,"bse_cm|AEL120924","Open")</f>
        <v>0</v>
      </c>
      <c r="N1062">
        <f>RTD("nest.scriprtd",,"bse_cm|AEL120924","High")</f>
        <v>0</v>
      </c>
      <c r="O1062">
        <f>RTD("nest.scriprtd",,"bse_cm|AEL120924","Low ")</f>
        <v>0</v>
      </c>
      <c r="P1062">
        <f>RTD("nest.scriprtd",,"bse_cm|AEL120924","Prev Close")</f>
        <v>1000</v>
      </c>
      <c r="Q1062">
        <f>RTD("nest.scriprtd",,"bse_cm|AEL120924","Face Value")</f>
        <v>1000</v>
      </c>
      <c r="R1062" t="str">
        <f>RTD("nest.scriprtd",,"bse_cm|AEL120924","Isin code")</f>
        <v>INE423A07369</v>
      </c>
      <c r="S1062" s="9">
        <f>Table1[[#This Row],[Ask Rate]]*Table1[[#This Row],[Ask Qty]]</f>
        <v>0</v>
      </c>
      <c r="T1062" t="str">
        <f>VLOOKUP(Table1[[#This Row],[Isin code]],Table2[#All],7,FALSE)</f>
        <v>--</v>
      </c>
      <c r="U1062" s="17" t="str">
        <f>VLOOKUP(Table1[[#This Row],[Isin code]],Table2[#All],8,FALSE)</f>
        <v>12-Sep-2026</v>
      </c>
      <c r="V1062" s="10">
        <f ca="1">Table1[[#This Row],[Maturity]]-TODAY()</f>
        <v>696</v>
      </c>
      <c r="W1062" t="str">
        <f>VLOOKUP(Table1[[#This Row],[Isin code]],Table2[#All],10,FALSE)</f>
        <v>At the End</v>
      </c>
      <c r="X1062">
        <f ca="1">_xlfn.DAYS(Table1[[#This Row],[Maturity]],TODAY())-15</f>
        <v>681</v>
      </c>
      <c r="Y106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62">
        <f>IF(Table1[[#This Row],[Ask Rate]]=0,0,Table1[[#This Row],[Face Value]]-Table1[[#This Row],[Ask Rate]])</f>
        <v>0</v>
      </c>
      <c r="AA106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62">
        <f>Table1[[#This Row],[Face Value]]*Table1[[#This Row],[Rate]]*Table1[[#This Row],[Time]]</f>
        <v>0</v>
      </c>
      <c r="AC1062">
        <f>Table1[[#This Row],[SI]]+Table1[[#This Row],[Disc/Prem]]</f>
        <v>0</v>
      </c>
      <c r="AD1062" s="3" t="e">
        <f>Table1[[#This Row],[Net Gain]]/Table1[[#This Row],[Ask Rate]]</f>
        <v>#DIV/0!</v>
      </c>
      <c r="AE1062" s="3">
        <f>IF(Table1[[#This Row],[Ask Qty]]=0,0,Table1[[#This Row],[Gross Yield]]*365/Table1[[#This Row],[Days Left]])</f>
        <v>0</v>
      </c>
      <c r="AF1062" s="9">
        <f>+Table1[[#This Row],[Net Gain]]*Table1[[#This Row],[Ask Qty]]</f>
        <v>0</v>
      </c>
      <c r="AG1062" t="str">
        <f>IF(Table1[[#This Row],[YTM]]&gt;0.12,IF(Table1[[#This Row],[Gross Profit]]&gt;10000,"Invest","Review"),"Low YTM")</f>
        <v>Low YTM</v>
      </c>
    </row>
    <row r="1063" spans="1:33" x14ac:dyDescent="0.3">
      <c r="A1063" t="str">
        <f>RTD("nest.scriprtd",,"nse_cm|ABFL28-N3","Symbol")</f>
        <v>ABFL28</v>
      </c>
      <c r="B1063" t="str">
        <f>RTD("nest.scriprtd",,"nse_cm|ABFL28-N3","Trading Symbol")</f>
        <v>ABFL28-N3</v>
      </c>
      <c r="C1063" t="str">
        <f>RTD("nest.scriprtd",,"nse_cm|ABFL28-N3","Exchange")</f>
        <v>NSE</v>
      </c>
      <c r="D1063">
        <f>RTD("nest.scriprtd",,"nse_cm|ABFL28-N3","Bid Qty")</f>
        <v>59</v>
      </c>
      <c r="E1063">
        <f>RTD("nest.scriprtd",,"nse_cm|ABFL28-N3","Bid Rate")</f>
        <v>1014</v>
      </c>
      <c r="F1063">
        <f>RTD("nest.scriprtd",,"nse_cm|ABFL28-N3","Ask Rate")</f>
        <v>0</v>
      </c>
      <c r="G1063">
        <f>RTD("nest.scriprtd",,"nse_cm|ABFL28-N3","Ask Qty")</f>
        <v>0</v>
      </c>
      <c r="H1063">
        <f>RTD("nest.scriprtd",,"nse_cm|ABFL28-N3","LTP")</f>
        <v>1030</v>
      </c>
      <c r="I1063" t="str">
        <f>RTD("nest.scriprtd",,"nse_cm|ABFL28-N3","LTT")</f>
        <v>15:12:31</v>
      </c>
      <c r="J1063">
        <f>RTD("nest.scriprtd",,"nse_cm|ABFL28-N3","% Change")</f>
        <v>-0.48</v>
      </c>
      <c r="K1063">
        <f>RTD("nest.scriprtd",,"nse_cm|ABFL28-N3","ATP")</f>
        <v>1030</v>
      </c>
      <c r="L1063">
        <f>RTD("nest.scriprtd",,"nse_cm|ABFL28-N3","Volume Traded Today")</f>
        <v>25</v>
      </c>
      <c r="M1063">
        <f>RTD("nest.scriprtd",,"nse_cm|ABFL28-N3","Open")</f>
        <v>1030</v>
      </c>
      <c r="N1063">
        <f>RTD("nest.scriprtd",,"nse_cm|ABFL28-N3","High")</f>
        <v>1030</v>
      </c>
      <c r="O1063">
        <f>RTD("nest.scriprtd",,"nse_cm|ABFL28-N3","Low ")</f>
        <v>1030</v>
      </c>
      <c r="P1063">
        <f>RTD("nest.scriprtd",,"nse_cm|ABFL28-N3","Prev Close")</f>
        <v>1035.02</v>
      </c>
      <c r="Q1063">
        <f>RTD("nest.scriprtd",,"nse_cm|ABFL28-N3","Face Value")</f>
        <v>1000</v>
      </c>
      <c r="R1063" t="str">
        <f>RTD("nest.scriprtd",,"nse_cm|ABFL28-N3","Isin code")</f>
        <v>INE860H07IU2</v>
      </c>
      <c r="S1063" s="9">
        <f>Table1[[#This Row],[Ask Rate]]*Table1[[#This Row],[Ask Qty]]</f>
        <v>0</v>
      </c>
      <c r="T1063">
        <f>VLOOKUP(Table1[[#This Row],[Isin code]],Table2[#All],7,FALSE)</f>
        <v>0</v>
      </c>
      <c r="U1063" s="17" t="str">
        <f>VLOOKUP(Table1[[#This Row],[Isin code]],Table2[#All],8,FALSE)</f>
        <v>09-Oct-2028</v>
      </c>
      <c r="V1063" s="10">
        <f ca="1">Table1[[#This Row],[Maturity]]-TODAY()</f>
        <v>1454</v>
      </c>
      <c r="W1063" t="str">
        <f>VLOOKUP(Table1[[#This Row],[Isin code]],Table2[#All],10,FALSE)</f>
        <v>Yearly</v>
      </c>
      <c r="X1063">
        <f ca="1">_xlfn.DAYS(Table1[[#This Row],[Maturity]],TODAY())-15</f>
        <v>1439</v>
      </c>
      <c r="Y10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063">
        <f>IF(Table1[[#This Row],[Ask Rate]]=0,0,Table1[[#This Row],[Face Value]]-Table1[[#This Row],[Ask Rate]])</f>
        <v>0</v>
      </c>
      <c r="AA106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63">
        <f ca="1">Table1[[#This Row],[Face Value]]*Table1[[#This Row],[Rate]]*Table1[[#This Row],[Time]]</f>
        <v>0</v>
      </c>
      <c r="AC1063">
        <f ca="1">Table1[[#This Row],[SI]]+Table1[[#This Row],[Disc/Prem]]</f>
        <v>0</v>
      </c>
      <c r="AD1063" s="3" t="e">
        <f ca="1">Table1[[#This Row],[Net Gain]]/Table1[[#This Row],[Ask Rate]]</f>
        <v>#DIV/0!</v>
      </c>
      <c r="AE1063" s="3">
        <f>IF(Table1[[#This Row],[Ask Qty]]=0,0,Table1[[#This Row],[Gross Yield]]*365/Table1[[#This Row],[Days Left]])</f>
        <v>0</v>
      </c>
      <c r="AF1063" s="9">
        <f ca="1">+Table1[[#This Row],[Net Gain]]*Table1[[#This Row],[Ask Qty]]</f>
        <v>0</v>
      </c>
      <c r="AG1063" t="str">
        <f>IF(Table1[[#This Row],[YTM]]&gt;0.12,IF(Table1[[#This Row],[Gross Profit]]&gt;10000,"Invest","Review"),"Low YTM")</f>
        <v>Low YTM</v>
      </c>
    </row>
    <row r="1064" spans="1:33" x14ac:dyDescent="0.3">
      <c r="A1064" t="str">
        <f>RTD("nest.scriprtd",,"bse_cm|ABFL26","Symbol")</f>
        <v>ABFL26</v>
      </c>
      <c r="B1064" t="str">
        <f>RTD("nest.scriprtd",,"bse_cm|ABFL26","Trading Symbol")</f>
        <v>ABFL26</v>
      </c>
      <c r="C1064" t="str">
        <f>RTD("nest.scriprtd",,"bse_cm|ABFL26","Exchange")</f>
        <v>BSE</v>
      </c>
      <c r="D1064">
        <f>RTD("nest.scriprtd",,"bse_cm|ABFL26","Bid Qty")</f>
        <v>70</v>
      </c>
      <c r="E1064">
        <f>RTD("nest.scriprtd",,"bse_cm|ABFL26","Bid Rate")</f>
        <v>1050.03</v>
      </c>
      <c r="F1064">
        <f>RTD("nest.scriprtd",,"bse_cm|ABFL26","Ask Rate")</f>
        <v>0</v>
      </c>
      <c r="G1064">
        <f>RTD("nest.scriprtd",,"bse_cm|ABFL26","Ask Qty")</f>
        <v>0</v>
      </c>
      <c r="H1064">
        <f>RTD("nest.scriprtd",,"bse_cm|ABFL26","LTP")</f>
        <v>0</v>
      </c>
      <c r="I1064" t="str">
        <f>RTD("nest.scriprtd",,"bse_cm|ABFL26","LTT")</f>
        <v>00:00:00</v>
      </c>
      <c r="J1064">
        <f>RTD("nest.scriprtd",,"bse_cm|ABFL26","% Change")</f>
        <v>-100</v>
      </c>
      <c r="K1064">
        <f>RTD("nest.scriprtd",,"bse_cm|ABFL26","ATP")</f>
        <v>0</v>
      </c>
      <c r="L1064">
        <f>RTD("nest.scriprtd",,"bse_cm|ABFL26","Volume Traded Today")</f>
        <v>0</v>
      </c>
      <c r="M1064">
        <f>RTD("nest.scriprtd",,"bse_cm|ABFL26","Open")</f>
        <v>0</v>
      </c>
      <c r="N1064">
        <f>RTD("nest.scriprtd",,"bse_cm|ABFL26","High")</f>
        <v>877.2</v>
      </c>
      <c r="O1064">
        <f>RTD("nest.scriprtd",,"bse_cm|ABFL26","Low ")</f>
        <v>877.2</v>
      </c>
      <c r="P1064">
        <f>RTD("nest.scriprtd",,"bse_cm|ABFL26","Prev Close")</f>
        <v>877.2</v>
      </c>
      <c r="Q1064">
        <f>RTD("nest.scriprtd",,"bse_cm|ABFL26","Face Value")</f>
        <v>1000</v>
      </c>
      <c r="R1064" t="str">
        <f>RTD("nest.scriprtd",,"bse_cm|ABFL26","Isin code")</f>
        <v>INE860H07IR8</v>
      </c>
      <c r="S1064" s="9">
        <f>Table1[[#This Row],[Ask Rate]]*Table1[[#This Row],[Ask Qty]]</f>
        <v>0</v>
      </c>
      <c r="T1064">
        <f>VLOOKUP(Table1[[#This Row],[Isin code]],Table2[#All],7,FALSE)</f>
        <v>0</v>
      </c>
      <c r="U1064" s="17" t="str">
        <f>VLOOKUP(Table1[[#This Row],[Isin code]],Table2[#All],8,FALSE)</f>
        <v>09-Oct-2026</v>
      </c>
      <c r="V1064" s="10">
        <f ca="1">Table1[[#This Row],[Maturity]]-TODAY()</f>
        <v>723</v>
      </c>
      <c r="W1064" t="str">
        <f>VLOOKUP(Table1[[#This Row],[Isin code]],Table2[#All],10,FALSE)</f>
        <v>HALF YEARLY</v>
      </c>
      <c r="X1064">
        <f ca="1">_xlfn.DAYS(Table1[[#This Row],[Maturity]],TODAY())-15</f>
        <v>708</v>
      </c>
      <c r="Y106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64">
        <f>IF(Table1[[#This Row],[Ask Rate]]=0,0,Table1[[#This Row],[Face Value]]-Table1[[#This Row],[Ask Rate]])</f>
        <v>0</v>
      </c>
      <c r="AA106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64">
        <f>Table1[[#This Row],[Face Value]]*Table1[[#This Row],[Rate]]*Table1[[#This Row],[Time]]</f>
        <v>0</v>
      </c>
      <c r="AC1064">
        <f>Table1[[#This Row],[SI]]+Table1[[#This Row],[Disc/Prem]]</f>
        <v>0</v>
      </c>
      <c r="AD1064" s="3" t="e">
        <f>Table1[[#This Row],[Net Gain]]/Table1[[#This Row],[Ask Rate]]</f>
        <v>#DIV/0!</v>
      </c>
      <c r="AE1064" s="3">
        <f>IF(Table1[[#This Row],[Ask Qty]]=0,0,Table1[[#This Row],[Gross Yield]]*365/Table1[[#This Row],[Days Left]])</f>
        <v>0</v>
      </c>
      <c r="AF1064" s="9">
        <f>+Table1[[#This Row],[Net Gain]]*Table1[[#This Row],[Ask Qty]]</f>
        <v>0</v>
      </c>
      <c r="AG1064" t="str">
        <f>IF(Table1[[#This Row],[YTM]]&gt;0.12,IF(Table1[[#This Row],[Gross Profit]]&gt;10000,"Invest","Review"),"Low YTM")</f>
        <v>Low YTM</v>
      </c>
    </row>
    <row r="1065" spans="1:33" x14ac:dyDescent="0.3">
      <c r="A1065" t="str">
        <f>RTD("nest.scriprtd",,"bse_cm|9SFL26A","Symbol")</f>
        <v>9SFL26A</v>
      </c>
      <c r="B1065" t="str">
        <f>RTD("nest.scriprtd",,"bse_cm|9SFL26A","Trading Symbol")</f>
        <v>9SFL26A</v>
      </c>
      <c r="C1065" t="str">
        <f>RTD("nest.scriprtd",,"bse_cm|9SFL26A","Exchange")</f>
        <v>BSE</v>
      </c>
      <c r="D1065">
        <f>RTD("nest.scriprtd",,"bse_cm|9SFL26A","Bid Qty")</f>
        <v>12</v>
      </c>
      <c r="E1065">
        <f>RTD("nest.scriprtd",,"bse_cm|9SFL26A","Bid Rate")</f>
        <v>822.4</v>
      </c>
      <c r="F1065">
        <f>RTD("nest.scriprtd",,"bse_cm|9SFL26A","Ask Rate")</f>
        <v>0</v>
      </c>
      <c r="G1065">
        <f>RTD("nest.scriprtd",,"bse_cm|9SFL26A","Ask Qty")</f>
        <v>0</v>
      </c>
      <c r="H1065">
        <f>RTD("nest.scriprtd",,"bse_cm|9SFL26A","LTP")</f>
        <v>0</v>
      </c>
      <c r="I1065" t="str">
        <f>RTD("nest.scriprtd",,"bse_cm|9SFL26A","LTT")</f>
        <v>00:00:00</v>
      </c>
      <c r="J1065">
        <f>RTD("nest.scriprtd",,"bse_cm|9SFL26A","% Change")</f>
        <v>-100</v>
      </c>
      <c r="K1065">
        <f>RTD("nest.scriprtd",,"bse_cm|9SFL26A","ATP")</f>
        <v>0</v>
      </c>
      <c r="L1065">
        <f>RTD("nest.scriprtd",,"bse_cm|9SFL26A","Volume Traded Today")</f>
        <v>0</v>
      </c>
      <c r="M1065">
        <f>RTD("nest.scriprtd",,"bse_cm|9SFL26A","Open")</f>
        <v>0</v>
      </c>
      <c r="N1065">
        <f>RTD("nest.scriprtd",,"bse_cm|9SFL26A","High")</f>
        <v>0</v>
      </c>
      <c r="O1065">
        <f>RTD("nest.scriprtd",,"bse_cm|9SFL26A","Low ")</f>
        <v>0</v>
      </c>
      <c r="P1065">
        <f>RTD("nest.scriprtd",,"bse_cm|9SFL26A","Prev Close")</f>
        <v>1000</v>
      </c>
      <c r="Q1065">
        <f>RTD("nest.scriprtd",,"bse_cm|9SFL26A","Face Value")</f>
        <v>1000</v>
      </c>
      <c r="R1065" t="str">
        <f>RTD("nest.scriprtd",,"bse_cm|9SFL26A","Isin code")</f>
        <v>INE302E07748</v>
      </c>
      <c r="S1065" s="9">
        <f>Table1[[#This Row],[Ask Rate]]*Table1[[#This Row],[Ask Qty]]</f>
        <v>0</v>
      </c>
      <c r="T1065">
        <f>VLOOKUP(Table1[[#This Row],[Isin code]],Table2[#All],7,FALSE)</f>
        <v>9</v>
      </c>
      <c r="U1065" s="17" t="str">
        <f>VLOOKUP(Table1[[#This Row],[Isin code]],Table2[#All],8,FALSE)</f>
        <v>09-Jul-2026</v>
      </c>
      <c r="V1065" s="10">
        <f ca="1">Table1[[#This Row],[Maturity]]-TODAY()</f>
        <v>631</v>
      </c>
      <c r="W1065" t="str">
        <f>VLOOKUP(Table1[[#This Row],[Isin code]],Table2[#All],10,FALSE)</f>
        <v>Monthly</v>
      </c>
      <c r="X1065">
        <f ca="1">_xlfn.DAYS(Table1[[#This Row],[Maturity]],TODAY())-15</f>
        <v>616</v>
      </c>
      <c r="Y10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21</v>
      </c>
      <c r="Z1065">
        <f>IF(Table1[[#This Row],[Ask Rate]]=0,0,Table1[[#This Row],[Face Value]]-Table1[[#This Row],[Ask Rate]])</f>
        <v>0</v>
      </c>
      <c r="AA1065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1065">
        <f ca="1">Table1[[#This Row],[Face Value]]*Table1[[#This Row],[Rate]]*Table1[[#This Row],[Time]]</f>
        <v>157.5</v>
      </c>
      <c r="AC1065">
        <f ca="1">Table1[[#This Row],[SI]]+Table1[[#This Row],[Disc/Prem]]</f>
        <v>157.5</v>
      </c>
      <c r="AD1065" s="3" t="e">
        <f ca="1">Table1[[#This Row],[Net Gain]]/Table1[[#This Row],[Ask Rate]]</f>
        <v>#DIV/0!</v>
      </c>
      <c r="AE1065" s="3">
        <f>IF(Table1[[#This Row],[Ask Qty]]=0,0,Table1[[#This Row],[Gross Yield]]*365/Table1[[#This Row],[Days Left]])</f>
        <v>0</v>
      </c>
      <c r="AF1065" s="9">
        <f ca="1">+Table1[[#This Row],[Net Gain]]*Table1[[#This Row],[Ask Qty]]</f>
        <v>0</v>
      </c>
      <c r="AG1065" t="str">
        <f>IF(Table1[[#This Row],[YTM]]&gt;0.12,IF(Table1[[#This Row],[Gross Profit]]&gt;10000,"Invest","Review"),"Low YTM")</f>
        <v>Low YTM</v>
      </c>
    </row>
    <row r="1066" spans="1:33" x14ac:dyDescent="0.3">
      <c r="A1066" t="str">
        <f>RTD("nest.scriprtd",,"bse_cm|9SFL26","Symbol")</f>
        <v>9SFL26</v>
      </c>
      <c r="B1066" t="str">
        <f>RTD("nest.scriprtd",,"bse_cm|9SFL26","Trading Symbol")</f>
        <v>9SFL26</v>
      </c>
      <c r="C1066" t="str">
        <f>RTD("nest.scriprtd",,"bse_cm|9SFL26","Exchange")</f>
        <v>BSE</v>
      </c>
      <c r="D1066">
        <f>RTD("nest.scriprtd",,"bse_cm|9SFL26","Bid Qty")</f>
        <v>17</v>
      </c>
      <c r="E1066">
        <f>RTD("nest.scriprtd",,"bse_cm|9SFL26","Bid Rate")</f>
        <v>838.8</v>
      </c>
      <c r="F1066">
        <f>RTD("nest.scriprtd",,"bse_cm|9SFL26","Ask Rate")</f>
        <v>0</v>
      </c>
      <c r="G1066">
        <f>RTD("nest.scriprtd",,"bse_cm|9SFL26","Ask Qty")</f>
        <v>0</v>
      </c>
      <c r="H1066">
        <f>RTD("nest.scriprtd",,"bse_cm|9SFL26","LTP")</f>
        <v>0</v>
      </c>
      <c r="I1066" t="str">
        <f>RTD("nest.scriprtd",,"bse_cm|9SFL26","LTT")</f>
        <v>00:00:00</v>
      </c>
      <c r="J1066">
        <f>RTD("nest.scriprtd",,"bse_cm|9SFL26","% Change")</f>
        <v>-100</v>
      </c>
      <c r="K1066">
        <f>RTD("nest.scriprtd",,"bse_cm|9SFL26","ATP")</f>
        <v>0</v>
      </c>
      <c r="L1066">
        <f>RTD("nest.scriprtd",,"bse_cm|9SFL26","Volume Traded Today")</f>
        <v>0</v>
      </c>
      <c r="M1066">
        <f>RTD("nest.scriprtd",,"bse_cm|9SFL26","Open")</f>
        <v>0</v>
      </c>
      <c r="N1066">
        <f>RTD("nest.scriprtd",,"bse_cm|9SFL26","High")</f>
        <v>0</v>
      </c>
      <c r="O1066">
        <f>RTD("nest.scriprtd",,"bse_cm|9SFL26","Low ")</f>
        <v>0</v>
      </c>
      <c r="P1066">
        <f>RTD("nest.scriprtd",,"bse_cm|9SFL26","Prev Close")</f>
        <v>879</v>
      </c>
      <c r="Q1066">
        <f>RTD("nest.scriprtd",,"bse_cm|9SFL26","Face Value")</f>
        <v>1000</v>
      </c>
      <c r="R1066" t="str">
        <f>RTD("nest.scriprtd",,"bse_cm|9SFL26","Isin code")</f>
        <v>INE302E07441</v>
      </c>
      <c r="S1066" s="9">
        <f>Table1[[#This Row],[Ask Rate]]*Table1[[#This Row],[Ask Qty]]</f>
        <v>0</v>
      </c>
      <c r="T1066">
        <f>VLOOKUP(Table1[[#This Row],[Isin code]],Table2[#All],7,FALSE)</f>
        <v>9</v>
      </c>
      <c r="U1066" s="17" t="str">
        <f>VLOOKUP(Table1[[#This Row],[Isin code]],Table2[#All],8,FALSE)</f>
        <v>29-Apr-2026</v>
      </c>
      <c r="V1066" s="10">
        <f ca="1">Table1[[#This Row],[Maturity]]-TODAY()</f>
        <v>560</v>
      </c>
      <c r="W1066" t="str">
        <f>VLOOKUP(Table1[[#This Row],[Isin code]],Table2[#All],10,FALSE)</f>
        <v>Monthly</v>
      </c>
      <c r="X1066">
        <f ca="1">_xlfn.DAYS(Table1[[#This Row],[Maturity]],TODAY())-15</f>
        <v>545</v>
      </c>
      <c r="Y10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1066">
        <f>IF(Table1[[#This Row],[Ask Rate]]=0,0,Table1[[#This Row],[Face Value]]-Table1[[#This Row],[Ask Rate]])</f>
        <v>0</v>
      </c>
      <c r="AA1066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1066">
        <f ca="1">Table1[[#This Row],[Face Value]]*Table1[[#This Row],[Rate]]*Table1[[#This Row],[Time]]</f>
        <v>142.5</v>
      </c>
      <c r="AC1066">
        <f ca="1">Table1[[#This Row],[SI]]+Table1[[#This Row],[Disc/Prem]]</f>
        <v>142.5</v>
      </c>
      <c r="AD1066" s="3" t="e">
        <f ca="1">Table1[[#This Row],[Net Gain]]/Table1[[#This Row],[Ask Rate]]</f>
        <v>#DIV/0!</v>
      </c>
      <c r="AE1066" s="3">
        <f>IF(Table1[[#This Row],[Ask Qty]]=0,0,Table1[[#This Row],[Gross Yield]]*365/Table1[[#This Row],[Days Left]])</f>
        <v>0</v>
      </c>
      <c r="AF1066" s="9">
        <f ca="1">+Table1[[#This Row],[Net Gain]]*Table1[[#This Row],[Ask Qty]]</f>
        <v>0</v>
      </c>
      <c r="AG1066" t="str">
        <f>IF(Table1[[#This Row],[YTM]]&gt;0.12,IF(Table1[[#This Row],[Gross Profit]]&gt;10000,"Invest","Review"),"Low YTM")</f>
        <v>Low YTM</v>
      </c>
    </row>
    <row r="1067" spans="1:33" x14ac:dyDescent="0.3">
      <c r="A1067" t="str">
        <f>RTD("nest.scriprtd",,"nse_cm|96SCL25-AA","Symbol")</f>
        <v>96SCL25</v>
      </c>
      <c r="B1067" t="str">
        <f>RTD("nest.scriprtd",,"nse_cm|96SCL25-AA","Trading Symbol")</f>
        <v>96SCL25-AA</v>
      </c>
      <c r="C1067" t="str">
        <f>RTD("nest.scriprtd",,"nse_cm|96SCL25-AA","Exchange")</f>
        <v>NSE</v>
      </c>
      <c r="D1067">
        <f>RTD("nest.scriprtd",,"nse_cm|96SCL25-AA","Bid Qty")</f>
        <v>0</v>
      </c>
      <c r="E1067">
        <f>RTD("nest.scriprtd",,"nse_cm|96SCL25-AA","Bid Rate")</f>
        <v>0</v>
      </c>
      <c r="F1067">
        <f>RTD("nest.scriprtd",,"nse_cm|96SCL25-AA","Ask Rate")</f>
        <v>0</v>
      </c>
      <c r="G1067">
        <f>RTD("nest.scriprtd",,"nse_cm|96SCL25-AA","Ask Qty")</f>
        <v>0</v>
      </c>
      <c r="H1067">
        <f>RTD("nest.scriprtd",,"nse_cm|96SCL25-AA","LTP")</f>
        <v>1140</v>
      </c>
      <c r="I1067" t="str">
        <f>RTD("nest.scriprtd",,"nse_cm|96SCL25-AA","LTT")</f>
        <v/>
      </c>
      <c r="J1067">
        <f>RTD("nest.scriprtd",,"nse_cm|96SCL25-AA","% Change")</f>
        <v>0</v>
      </c>
      <c r="K1067">
        <f>RTD("nest.scriprtd",,"nse_cm|96SCL25-AA","ATP")</f>
        <v>0</v>
      </c>
      <c r="L1067">
        <f>RTD("nest.scriprtd",,"nse_cm|96SCL25-AA","Volume Traded Today")</f>
        <v>0</v>
      </c>
      <c r="M1067">
        <f>RTD("nest.scriprtd",,"nse_cm|96SCL25-AA","Open")</f>
        <v>0</v>
      </c>
      <c r="N1067">
        <f>RTD("nest.scriprtd",,"nse_cm|96SCL25-AA","High")</f>
        <v>1140</v>
      </c>
      <c r="O1067">
        <f>RTD("nest.scriprtd",,"nse_cm|96SCL25-AA","Low ")</f>
        <v>800</v>
      </c>
      <c r="P1067">
        <f>RTD("nest.scriprtd",,"nse_cm|96SCL25-AA","Prev Close")</f>
        <v>1140</v>
      </c>
      <c r="Q1067">
        <f>RTD("nest.scriprtd",,"nse_cm|96SCL25-AA","Face Value")</f>
        <v>1000</v>
      </c>
      <c r="R1067" t="str">
        <f>RTD("nest.scriprtd",,"nse_cm|96SCL25-AA","Isin code")</f>
        <v>INE148I07NS4</v>
      </c>
      <c r="S1067" s="9">
        <f>Table1[[#This Row],[Ask Rate]]*Table1[[#This Row],[Ask Qty]]</f>
        <v>0</v>
      </c>
      <c r="T1067">
        <f>VLOOKUP(Table1[[#This Row],[Isin code]],Table2[#All],7,FALSE)</f>
        <v>9.25</v>
      </c>
      <c r="U1067" s="17" t="str">
        <f>VLOOKUP(Table1[[#This Row],[Isin code]],Table2[#All],8,FALSE)</f>
        <v>23-Mar-2025</v>
      </c>
      <c r="V1067" s="10">
        <f ca="1">Table1[[#This Row],[Maturity]]-TODAY()</f>
        <v>158</v>
      </c>
      <c r="W1067" t="str">
        <f>VLOOKUP(Table1[[#This Row],[Isin code]],Table2[#All],10,FALSE)</f>
        <v>Yearly</v>
      </c>
      <c r="X1067">
        <f ca="1">_xlfn.DAYS(Table1[[#This Row],[Maturity]],TODAY())-15</f>
        <v>143</v>
      </c>
      <c r="Y10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067">
        <f>IF(Table1[[#This Row],[Ask Rate]]=0,0,Table1[[#This Row],[Face Value]]-Table1[[#This Row],[Ask Rate]])</f>
        <v>0</v>
      </c>
      <c r="AA1067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1067">
        <f ca="1">Table1[[#This Row],[Face Value]]*Table1[[#This Row],[Rate]]*Table1[[#This Row],[Time]]</f>
        <v>92.5</v>
      </c>
      <c r="AC1067">
        <f ca="1">Table1[[#This Row],[SI]]+Table1[[#This Row],[Disc/Prem]]</f>
        <v>92.5</v>
      </c>
      <c r="AD1067" s="3" t="e">
        <f ca="1">Table1[[#This Row],[Net Gain]]/Table1[[#This Row],[Ask Rate]]</f>
        <v>#DIV/0!</v>
      </c>
      <c r="AE1067" s="3">
        <f>IF(Table1[[#This Row],[Ask Qty]]=0,0,Table1[[#This Row],[Gross Yield]]*365/Table1[[#This Row],[Days Left]])</f>
        <v>0</v>
      </c>
      <c r="AF1067" s="9">
        <f ca="1">+Table1[[#This Row],[Net Gain]]*Table1[[#This Row],[Ask Qty]]</f>
        <v>0</v>
      </c>
      <c r="AG1067" t="str">
        <f>IF(Table1[[#This Row],[YTM]]&gt;0.12,IF(Table1[[#This Row],[Gross Profit]]&gt;10000,"Invest","Review"),"Low YTM")</f>
        <v>Low YTM</v>
      </c>
    </row>
    <row r="1068" spans="1:33" x14ac:dyDescent="0.3">
      <c r="A1068" t="str">
        <f>RTD("nest.scriprtd",,"bse_cm|96SCL25","Symbol")</f>
        <v>96SCL25</v>
      </c>
      <c r="B1068" t="str">
        <f>RTD("nest.scriprtd",,"bse_cm|96SCL25","Trading Symbol")</f>
        <v>96SCL25</v>
      </c>
      <c r="C1068" t="str">
        <f>RTD("nest.scriprtd",,"bse_cm|96SCL25","Exchange")</f>
        <v>BSE</v>
      </c>
      <c r="D1068">
        <f>RTD("nest.scriprtd",,"bse_cm|96SCL25","Bid Qty")</f>
        <v>20</v>
      </c>
      <c r="E1068">
        <f>RTD("nest.scriprtd",,"bse_cm|96SCL25","Bid Rate")</f>
        <v>825.2</v>
      </c>
      <c r="F1068">
        <f>RTD("nest.scriprtd",,"bse_cm|96SCL25","Ask Rate")</f>
        <v>0</v>
      </c>
      <c r="G1068">
        <f>RTD("nest.scriprtd",,"bse_cm|96SCL25","Ask Qty")</f>
        <v>0</v>
      </c>
      <c r="H1068">
        <f>RTD("nest.scriprtd",,"bse_cm|96SCL25","LTP")</f>
        <v>0</v>
      </c>
      <c r="I1068" t="str">
        <f>RTD("nest.scriprtd",,"bse_cm|96SCL25","LTT")</f>
        <v>00:00:00</v>
      </c>
      <c r="J1068">
        <f>RTD("nest.scriprtd",,"bse_cm|96SCL25","% Change")</f>
        <v>-100</v>
      </c>
      <c r="K1068">
        <f>RTD("nest.scriprtd",,"bse_cm|96SCL25","ATP")</f>
        <v>0</v>
      </c>
      <c r="L1068">
        <f>RTD("nest.scriprtd",,"bse_cm|96SCL25","Volume Traded Today")</f>
        <v>0</v>
      </c>
      <c r="M1068">
        <f>RTD("nest.scriprtd",,"bse_cm|96SCL25","Open")</f>
        <v>0</v>
      </c>
      <c r="N1068">
        <f>RTD("nest.scriprtd",,"bse_cm|96SCL25","High")</f>
        <v>0</v>
      </c>
      <c r="O1068">
        <f>RTD("nest.scriprtd",,"bse_cm|96SCL25","Low ")</f>
        <v>0</v>
      </c>
      <c r="P1068">
        <f>RTD("nest.scriprtd",,"bse_cm|96SCL25","Prev Close")</f>
        <v>1000</v>
      </c>
      <c r="Q1068">
        <f>RTD("nest.scriprtd",,"bse_cm|96SCL25","Face Value")</f>
        <v>1000</v>
      </c>
      <c r="R1068" t="str">
        <f>RTD("nest.scriprtd",,"bse_cm|96SCL25","Isin code")</f>
        <v>INE148I07NS4</v>
      </c>
      <c r="S1068" s="9">
        <f>Table1[[#This Row],[Ask Rate]]*Table1[[#This Row],[Ask Qty]]</f>
        <v>0</v>
      </c>
      <c r="T1068">
        <f>VLOOKUP(Table1[[#This Row],[Isin code]],Table2[#All],7,FALSE)</f>
        <v>9.25</v>
      </c>
      <c r="U1068" s="17" t="str">
        <f>VLOOKUP(Table1[[#This Row],[Isin code]],Table2[#All],8,FALSE)</f>
        <v>23-Mar-2025</v>
      </c>
      <c r="V1068" s="10">
        <f ca="1">Table1[[#This Row],[Maturity]]-TODAY()</f>
        <v>158</v>
      </c>
      <c r="W1068" t="str">
        <f>VLOOKUP(Table1[[#This Row],[Isin code]],Table2[#All],10,FALSE)</f>
        <v>Yearly</v>
      </c>
      <c r="X1068">
        <f ca="1">_xlfn.DAYS(Table1[[#This Row],[Maturity]],TODAY())-15</f>
        <v>143</v>
      </c>
      <c r="Y10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068">
        <f>IF(Table1[[#This Row],[Ask Rate]]=0,0,Table1[[#This Row],[Face Value]]-Table1[[#This Row],[Ask Rate]])</f>
        <v>0</v>
      </c>
      <c r="AA1068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1068">
        <f ca="1">Table1[[#This Row],[Face Value]]*Table1[[#This Row],[Rate]]*Table1[[#This Row],[Time]]</f>
        <v>92.5</v>
      </c>
      <c r="AC1068">
        <f ca="1">Table1[[#This Row],[SI]]+Table1[[#This Row],[Disc/Prem]]</f>
        <v>92.5</v>
      </c>
      <c r="AD1068" s="3" t="e">
        <f ca="1">Table1[[#This Row],[Net Gain]]/Table1[[#This Row],[Ask Rate]]</f>
        <v>#DIV/0!</v>
      </c>
      <c r="AE1068" s="3">
        <f>IF(Table1[[#This Row],[Ask Qty]]=0,0,Table1[[#This Row],[Gross Yield]]*365/Table1[[#This Row],[Days Left]])</f>
        <v>0</v>
      </c>
      <c r="AF1068" s="9">
        <f ca="1">+Table1[[#This Row],[Net Gain]]*Table1[[#This Row],[Ask Qty]]</f>
        <v>0</v>
      </c>
      <c r="AG1068" t="str">
        <f>IF(Table1[[#This Row],[YTM]]&gt;0.12,IF(Table1[[#This Row],[Gross Profit]]&gt;10000,"Invest","Review"),"Low YTM")</f>
        <v>Low YTM</v>
      </c>
    </row>
    <row r="1069" spans="1:33" x14ac:dyDescent="0.3">
      <c r="A1069" t="str">
        <f>RTD("nest.scriprtd",,"bse_cm|889SCL28","Symbol")</f>
        <v>889SCL28</v>
      </c>
      <c r="B1069" t="str">
        <f>RTD("nest.scriprtd",,"bse_cm|889SCL28","Trading Symbol")</f>
        <v>889SCL28</v>
      </c>
      <c r="C1069" t="str">
        <f>RTD("nest.scriprtd",,"bse_cm|889SCL28","Exchange")</f>
        <v>BSE</v>
      </c>
      <c r="D1069">
        <f>RTD("nest.scriprtd",,"bse_cm|889SCL28","Bid Qty")</f>
        <v>25</v>
      </c>
      <c r="E1069">
        <f>RTD("nest.scriprtd",,"bse_cm|889SCL28","Bid Rate")</f>
        <v>813</v>
      </c>
      <c r="F1069">
        <f>RTD("nest.scriprtd",,"bse_cm|889SCL28","Ask Rate")</f>
        <v>0</v>
      </c>
      <c r="G1069">
        <f>RTD("nest.scriprtd",,"bse_cm|889SCL28","Ask Qty")</f>
        <v>0</v>
      </c>
      <c r="H1069">
        <f>RTD("nest.scriprtd",,"bse_cm|889SCL28","LTP")</f>
        <v>0</v>
      </c>
      <c r="I1069" t="str">
        <f>RTD("nest.scriprtd",,"bse_cm|889SCL28","LTT")</f>
        <v>00:00:00</v>
      </c>
      <c r="J1069">
        <f>RTD("nest.scriprtd",,"bse_cm|889SCL28","% Change")</f>
        <v>-100</v>
      </c>
      <c r="K1069">
        <f>RTD("nest.scriprtd",,"bse_cm|889SCL28","ATP")</f>
        <v>0</v>
      </c>
      <c r="L1069">
        <f>RTD("nest.scriprtd",,"bse_cm|889SCL28","Volume Traded Today")</f>
        <v>0</v>
      </c>
      <c r="M1069">
        <f>RTD("nest.scriprtd",,"bse_cm|889SCL28","Open")</f>
        <v>0</v>
      </c>
      <c r="N1069">
        <f>RTD("nest.scriprtd",,"bse_cm|889SCL28","High")</f>
        <v>972.36</v>
      </c>
      <c r="O1069">
        <f>RTD("nest.scriprtd",,"bse_cm|889SCL28","Low ")</f>
        <v>972.36</v>
      </c>
      <c r="P1069">
        <f>RTD("nest.scriprtd",,"bse_cm|889SCL28","Prev Close")</f>
        <v>972.36</v>
      </c>
      <c r="Q1069">
        <f>RTD("nest.scriprtd",,"bse_cm|889SCL28","Face Value")</f>
        <v>1000</v>
      </c>
      <c r="R1069" t="str">
        <f>RTD("nest.scriprtd",,"bse_cm|889SCL28","Isin code")</f>
        <v>INE148I08322</v>
      </c>
      <c r="S1069" s="9">
        <f>Table1[[#This Row],[Ask Rate]]*Table1[[#This Row],[Ask Qty]]</f>
        <v>0</v>
      </c>
      <c r="T1069">
        <f>VLOOKUP(Table1[[#This Row],[Isin code]],Table2[#All],7,FALSE)</f>
        <v>9.75</v>
      </c>
      <c r="U1069" s="17" t="str">
        <f>VLOOKUP(Table1[[#This Row],[Isin code]],Table2[#All],8,FALSE)</f>
        <v>22-Dec-2028</v>
      </c>
      <c r="V1069" s="10">
        <f ca="1">Table1[[#This Row],[Maturity]]-TODAY()</f>
        <v>1528</v>
      </c>
      <c r="W1069" t="str">
        <f>VLOOKUP(Table1[[#This Row],[Isin code]],Table2[#All],10,FALSE)</f>
        <v>Yearly</v>
      </c>
      <c r="X1069">
        <f ca="1">_xlfn.DAYS(Table1[[#This Row],[Maturity]],TODAY())-15</f>
        <v>1513</v>
      </c>
      <c r="Y10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069">
        <f>IF(Table1[[#This Row],[Ask Rate]]=0,0,Table1[[#This Row],[Face Value]]-Table1[[#This Row],[Ask Rate]])</f>
        <v>0</v>
      </c>
      <c r="AA1069">
        <f>IF(Table1[[#This Row],[Freq]]="Yearly",Table1[[#This Row],[Coupon_Rate]]/100,IF(Table1[[#This Row],[Freq]]="Monthly",Table1[[#This Row],[Coupon_Rate]]/1200,IF(Table1[[#This Row],[Freq]]="Quarterly",Table1[[#This Row],[Coupon_Rate]]/400,0)))</f>
        <v>9.7500000000000003E-2</v>
      </c>
      <c r="AB1069">
        <f ca="1">Table1[[#This Row],[Face Value]]*Table1[[#This Row],[Rate]]*Table1[[#This Row],[Time]]</f>
        <v>487.5</v>
      </c>
      <c r="AC1069">
        <f ca="1">Table1[[#This Row],[SI]]+Table1[[#This Row],[Disc/Prem]]</f>
        <v>487.5</v>
      </c>
      <c r="AD1069" s="3" t="e">
        <f ca="1">Table1[[#This Row],[Net Gain]]/Table1[[#This Row],[Ask Rate]]</f>
        <v>#DIV/0!</v>
      </c>
      <c r="AE1069" s="3">
        <f>IF(Table1[[#This Row],[Ask Qty]]=0,0,Table1[[#This Row],[Gross Yield]]*365/Table1[[#This Row],[Days Left]])</f>
        <v>0</v>
      </c>
      <c r="AF1069" s="9">
        <f ca="1">+Table1[[#This Row],[Net Gain]]*Table1[[#This Row],[Ask Qty]]</f>
        <v>0</v>
      </c>
      <c r="AG1069" t="str">
        <f>IF(Table1[[#This Row],[YTM]]&gt;0.12,IF(Table1[[#This Row],[Gross Profit]]&gt;10000,"Invest","Review"),"Low YTM")</f>
        <v>Low YTM</v>
      </c>
    </row>
    <row r="1070" spans="1:33" x14ac:dyDescent="0.3">
      <c r="A1070" t="str">
        <f>RTD("nest.scriprtd",,"bse_cm|1025SFL25A","Symbol")</f>
        <v>1025SFL25A</v>
      </c>
      <c r="B1070" t="str">
        <f>RTD("nest.scriprtd",,"bse_cm|1025SFL25A","Trading Symbol")</f>
        <v>1025SFL25A</v>
      </c>
      <c r="C1070" t="str">
        <f>RTD("nest.scriprtd",,"bse_cm|1025SFL25A","Exchange")</f>
        <v>BSE</v>
      </c>
      <c r="D1070">
        <f>RTD("nest.scriprtd",,"bse_cm|1025SFL25A","Bid Qty")</f>
        <v>15</v>
      </c>
      <c r="E1070">
        <f>RTD("nest.scriprtd",,"bse_cm|1025SFL25A","Bid Rate")</f>
        <v>837.2</v>
      </c>
      <c r="F1070">
        <f>RTD("nest.scriprtd",,"bse_cm|1025SFL25A","Ask Rate")</f>
        <v>0</v>
      </c>
      <c r="G1070">
        <f>RTD("nest.scriprtd",,"bse_cm|1025SFL25A","Ask Qty")</f>
        <v>0</v>
      </c>
      <c r="H1070">
        <f>RTD("nest.scriprtd",,"bse_cm|1025SFL25A","LTP")</f>
        <v>0</v>
      </c>
      <c r="I1070" t="str">
        <f>RTD("nest.scriprtd",,"bse_cm|1025SFL25A","LTT")</f>
        <v>00:00:00</v>
      </c>
      <c r="J1070">
        <f>RTD("nest.scriprtd",,"bse_cm|1025SFL25A","% Change")</f>
        <v>-100</v>
      </c>
      <c r="K1070">
        <f>RTD("nest.scriprtd",,"bse_cm|1025SFL25A","ATP")</f>
        <v>0</v>
      </c>
      <c r="L1070">
        <f>RTD("nest.scriprtd",,"bse_cm|1025SFL25A","Volume Traded Today")</f>
        <v>0</v>
      </c>
      <c r="M1070">
        <f>RTD("nest.scriprtd",,"bse_cm|1025SFL25A","Open")</f>
        <v>0</v>
      </c>
      <c r="N1070">
        <f>RTD("nest.scriprtd",,"bse_cm|1025SFL25A","High")</f>
        <v>0</v>
      </c>
      <c r="O1070">
        <f>RTD("nest.scriprtd",,"bse_cm|1025SFL25A","Low ")</f>
        <v>0</v>
      </c>
      <c r="P1070">
        <f>RTD("nest.scriprtd",,"bse_cm|1025SFL25A","Prev Close")</f>
        <v>1000</v>
      </c>
      <c r="Q1070">
        <f>RTD("nest.scriprtd",,"bse_cm|1025SFL25A","Face Value")</f>
        <v>1000</v>
      </c>
      <c r="R1070" t="str">
        <f>RTD("nest.scriprtd",,"bse_cm|1025SFL25A","Isin code")</f>
        <v>INE302E08068</v>
      </c>
      <c r="S1070" s="9">
        <f>Table1[[#This Row],[Ask Rate]]*Table1[[#This Row],[Ask Qty]]</f>
        <v>0</v>
      </c>
      <c r="T1070">
        <f>VLOOKUP(Table1[[#This Row],[Isin code]],Table2[#All],7,FALSE)</f>
        <v>10.25</v>
      </c>
      <c r="U1070" s="17" t="str">
        <f>VLOOKUP(Table1[[#This Row],[Isin code]],Table2[#All],8,FALSE)</f>
        <v>08-Jul-2025</v>
      </c>
      <c r="V1070" s="10">
        <f ca="1">Table1[[#This Row],[Maturity]]-TODAY()</f>
        <v>265</v>
      </c>
      <c r="W1070" t="str">
        <f>VLOOKUP(Table1[[#This Row],[Isin code]],Table2[#All],10,FALSE)</f>
        <v>Yearly</v>
      </c>
      <c r="X1070">
        <f ca="1">_xlfn.DAYS(Table1[[#This Row],[Maturity]],TODAY())-15</f>
        <v>250</v>
      </c>
      <c r="Y10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070">
        <f>IF(Table1[[#This Row],[Ask Rate]]=0,0,Table1[[#This Row],[Face Value]]-Table1[[#This Row],[Ask Rate]])</f>
        <v>0</v>
      </c>
      <c r="AA1070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1070">
        <f ca="1">Table1[[#This Row],[Face Value]]*Table1[[#This Row],[Rate]]*Table1[[#This Row],[Time]]</f>
        <v>102.5</v>
      </c>
      <c r="AC1070">
        <f ca="1">Table1[[#This Row],[SI]]+Table1[[#This Row],[Disc/Prem]]</f>
        <v>102.5</v>
      </c>
      <c r="AD1070" s="3" t="e">
        <f ca="1">Table1[[#This Row],[Net Gain]]/Table1[[#This Row],[Ask Rate]]</f>
        <v>#DIV/0!</v>
      </c>
      <c r="AE1070" s="3">
        <f>IF(Table1[[#This Row],[Ask Qty]]=0,0,Table1[[#This Row],[Gross Yield]]*365/Table1[[#This Row],[Days Left]])</f>
        <v>0</v>
      </c>
      <c r="AF1070" s="9">
        <f ca="1">+Table1[[#This Row],[Net Gain]]*Table1[[#This Row],[Ask Qty]]</f>
        <v>0</v>
      </c>
      <c r="AG1070" t="str">
        <f>IF(Table1[[#This Row],[YTM]]&gt;0.12,IF(Table1[[#This Row],[Gross Profit]]&gt;10000,"Invest","Review"),"Low YTM")</f>
        <v>Low YTM</v>
      </c>
    </row>
    <row r="1071" spans="1:33" x14ac:dyDescent="0.3">
      <c r="A1071" t="str">
        <f>RTD("nest.scriprtd",,"bse_cm|1025SFL25","Symbol")</f>
        <v>1025SFL25</v>
      </c>
      <c r="B1071" t="str">
        <f>RTD("nest.scriprtd",,"bse_cm|1025SFL25","Trading Symbol")</f>
        <v>1025SFL25</v>
      </c>
      <c r="C1071" t="str">
        <f>RTD("nest.scriprtd",,"bse_cm|1025SFL25","Exchange")</f>
        <v>BSE</v>
      </c>
      <c r="D1071">
        <f>RTD("nest.scriprtd",,"bse_cm|1025SFL25","Bid Qty")</f>
        <v>45</v>
      </c>
      <c r="E1071">
        <f>RTD("nest.scriprtd",,"bse_cm|1025SFL25","Bid Rate")</f>
        <v>838.2</v>
      </c>
      <c r="F1071">
        <f>RTD("nest.scriprtd",,"bse_cm|1025SFL25","Ask Rate")</f>
        <v>0</v>
      </c>
      <c r="G1071">
        <f>RTD("nest.scriprtd",,"bse_cm|1025SFL25","Ask Qty")</f>
        <v>0</v>
      </c>
      <c r="H1071">
        <f>RTD("nest.scriprtd",,"bse_cm|1025SFL25","LTP")</f>
        <v>0</v>
      </c>
      <c r="I1071" t="str">
        <f>RTD("nest.scriprtd",,"bse_cm|1025SFL25","LTT")</f>
        <v>00:00:00</v>
      </c>
      <c r="J1071">
        <f>RTD("nest.scriprtd",,"bse_cm|1025SFL25","% Change")</f>
        <v>-100</v>
      </c>
      <c r="K1071">
        <f>RTD("nest.scriprtd",,"bse_cm|1025SFL25","ATP")</f>
        <v>0</v>
      </c>
      <c r="L1071">
        <f>RTD("nest.scriprtd",,"bse_cm|1025SFL25","Volume Traded Today")</f>
        <v>0</v>
      </c>
      <c r="M1071">
        <f>RTD("nest.scriprtd",,"bse_cm|1025SFL25","Open")</f>
        <v>0</v>
      </c>
      <c r="N1071">
        <f>RTD("nest.scriprtd",,"bse_cm|1025SFL25","High")</f>
        <v>1000</v>
      </c>
      <c r="O1071">
        <f>RTD("nest.scriprtd",,"bse_cm|1025SFL25","Low ")</f>
        <v>1000</v>
      </c>
      <c r="P1071">
        <f>RTD("nest.scriprtd",,"bse_cm|1025SFL25","Prev Close")</f>
        <v>1000</v>
      </c>
      <c r="Q1071">
        <f>RTD("nest.scriprtd",,"bse_cm|1025SFL25","Face Value")</f>
        <v>1000</v>
      </c>
      <c r="R1071" t="str">
        <f>RTD("nest.scriprtd",,"bse_cm|1025SFL25","Isin code")</f>
        <v>INE302E08050</v>
      </c>
      <c r="S1071" s="9">
        <f>Table1[[#This Row],[Ask Rate]]*Table1[[#This Row],[Ask Qty]]</f>
        <v>0</v>
      </c>
      <c r="T1071">
        <f>VLOOKUP(Table1[[#This Row],[Isin code]],Table2[#All],7,FALSE)</f>
        <v>10.25</v>
      </c>
      <c r="U1071" s="17" t="str">
        <f>VLOOKUP(Table1[[#This Row],[Isin code]],Table2[#All],8,FALSE)</f>
        <v>08-Jul-2025</v>
      </c>
      <c r="V1071" s="10">
        <f ca="1">Table1[[#This Row],[Maturity]]-TODAY()</f>
        <v>265</v>
      </c>
      <c r="W1071" t="str">
        <f>VLOOKUP(Table1[[#This Row],[Isin code]],Table2[#All],10,FALSE)</f>
        <v>Monthly</v>
      </c>
      <c r="X1071">
        <f ca="1">_xlfn.DAYS(Table1[[#This Row],[Maturity]],TODAY())-15</f>
        <v>250</v>
      </c>
      <c r="Y10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1071">
        <f>IF(Table1[[#This Row],[Ask Rate]]=0,0,Table1[[#This Row],[Face Value]]-Table1[[#This Row],[Ask Rate]])</f>
        <v>0</v>
      </c>
      <c r="AA1071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071">
        <f ca="1">Table1[[#This Row],[Face Value]]*Table1[[#This Row],[Rate]]*Table1[[#This Row],[Time]]</f>
        <v>76.875</v>
      </c>
      <c r="AC1071">
        <f ca="1">Table1[[#This Row],[SI]]+Table1[[#This Row],[Disc/Prem]]</f>
        <v>76.875</v>
      </c>
      <c r="AD1071" s="3" t="e">
        <f ca="1">Table1[[#This Row],[Net Gain]]/Table1[[#This Row],[Ask Rate]]</f>
        <v>#DIV/0!</v>
      </c>
      <c r="AE1071" s="3">
        <f>IF(Table1[[#This Row],[Ask Qty]]=0,0,Table1[[#This Row],[Gross Yield]]*365/Table1[[#This Row],[Days Left]])</f>
        <v>0</v>
      </c>
      <c r="AF1071" s="9">
        <f ca="1">+Table1[[#This Row],[Net Gain]]*Table1[[#This Row],[Ask Qty]]</f>
        <v>0</v>
      </c>
      <c r="AG1071" t="str">
        <f>IF(Table1[[#This Row],[YTM]]&gt;0.12,IF(Table1[[#This Row],[Gross Profit]]&gt;10000,"Invest","Review"),"Low YTM")</f>
        <v>Low YTM</v>
      </c>
    </row>
    <row r="1072" spans="1:33" hidden="1" x14ac:dyDescent="0.3">
      <c r="A1072" t="str">
        <f>RTD("nest.scriprtd",,"bse_cm|925ICCL24A","Symbol")</f>
        <v>925ICCL24A</v>
      </c>
      <c r="B1072" t="str">
        <f>RTD("nest.scriprtd",,"bse_cm|925ICCL24A","Trading Symbol")</f>
        <v>925ICCL24A</v>
      </c>
      <c r="C1072" t="str">
        <f>RTD("nest.scriprtd",,"bse_cm|925ICCL24A","Exchange")</f>
        <v>BSE</v>
      </c>
      <c r="D1072">
        <f>RTD("nest.scriprtd",,"bse_cm|925ICCL24A","Bid Qty")</f>
        <v>160</v>
      </c>
      <c r="E1072">
        <f>RTD("nest.scriprtd",,"bse_cm|925ICCL24A","Bid Rate")</f>
        <v>1016.8</v>
      </c>
      <c r="F1072">
        <f>RTD("nest.scriprtd",,"bse_cm|925ICCL24A","Ask Rate")</f>
        <v>0</v>
      </c>
      <c r="G1072">
        <f>RTD("nest.scriprtd",,"bse_cm|925ICCL24A","Ask Qty")</f>
        <v>0</v>
      </c>
      <c r="H1072">
        <f>RTD("nest.scriprtd",,"bse_cm|925ICCL24A","LTP")</f>
        <v>0</v>
      </c>
      <c r="I1072" t="str">
        <f>RTD("nest.scriprtd",,"bse_cm|925ICCL24A","LTT")</f>
        <v>00:00:00</v>
      </c>
      <c r="J1072">
        <f>RTD("nest.scriprtd",,"bse_cm|925ICCL24A","% Change")</f>
        <v>-100</v>
      </c>
      <c r="K1072">
        <f>RTD("nest.scriprtd",,"bse_cm|925ICCL24A","ATP")</f>
        <v>0</v>
      </c>
      <c r="L1072">
        <f>RTD("nest.scriprtd",,"bse_cm|925ICCL24A","Volume Traded Today")</f>
        <v>0</v>
      </c>
      <c r="M1072">
        <f>RTD("nest.scriprtd",,"bse_cm|925ICCL24A","Open")</f>
        <v>0</v>
      </c>
      <c r="N1072">
        <f>RTD("nest.scriprtd",,"bse_cm|925ICCL24A","High")</f>
        <v>1029</v>
      </c>
      <c r="O1072">
        <f>RTD("nest.scriprtd",,"bse_cm|925ICCL24A","Low ")</f>
        <v>1002</v>
      </c>
      <c r="P1072">
        <f>RTD("nest.scriprtd",,"bse_cm|925ICCL24A","Prev Close")</f>
        <v>1029</v>
      </c>
      <c r="Q1072">
        <f>RTD("nest.scriprtd",,"bse_cm|925ICCL24A","Face Value")</f>
        <v>1000</v>
      </c>
      <c r="R1072" t="str">
        <f>RTD("nest.scriprtd",,"bse_cm|925ICCL24A","Isin code")</f>
        <v>INE244L07275</v>
      </c>
      <c r="S1072" s="9">
        <f>Table1[[#This Row],[Ask Rate]]*Table1[[#This Row],[Ask Qty]]</f>
        <v>0</v>
      </c>
      <c r="T1072">
        <f>VLOOKUP(Table1[[#This Row],[Isin code]],Table2[#All],7,FALSE)</f>
        <v>9.8000000000000007</v>
      </c>
      <c r="U1072" s="17" t="str">
        <f>VLOOKUP(Table1[[#This Row],[Isin code]],Table2[#All],8,FALSE)</f>
        <v>02-Feb-2025</v>
      </c>
      <c r="V1072" s="10">
        <f ca="1">Table1[[#This Row],[Maturity]]-TODAY()</f>
        <v>109</v>
      </c>
      <c r="W1072" t="str">
        <f>VLOOKUP(Table1[[#This Row],[Isin code]],Table2[#All],10,FALSE)</f>
        <v>Yearly</v>
      </c>
      <c r="X1072">
        <f ca="1">_xlfn.DAYS(Table1[[#This Row],[Maturity]],TODAY())-15</f>
        <v>94</v>
      </c>
      <c r="Y10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072">
        <f>IF(Table1[[#This Row],[Ask Rate]]=0,0,Table1[[#This Row],[Face Value]]-Table1[[#This Row],[Ask Rate]])</f>
        <v>0</v>
      </c>
      <c r="AA1072">
        <f>IF(Table1[[#This Row],[Freq]]="Yearly",Table1[[#This Row],[Coupon_Rate]]/100,IF(Table1[[#This Row],[Freq]]="Monthly",Table1[[#This Row],[Coupon_Rate]]/1200,IF(Table1[[#This Row],[Freq]]="Quarterly",Table1[[#This Row],[Coupon_Rate]]/400,0)))</f>
        <v>9.8000000000000004E-2</v>
      </c>
      <c r="AB1072">
        <f ca="1">Table1[[#This Row],[Face Value]]*Table1[[#This Row],[Rate]]*Table1[[#This Row],[Time]]</f>
        <v>98</v>
      </c>
      <c r="AC1072">
        <f ca="1">Table1[[#This Row],[SI]]+Table1[[#This Row],[Disc/Prem]]</f>
        <v>98</v>
      </c>
      <c r="AD1072" s="3" t="e">
        <f ca="1">Table1[[#This Row],[Net Gain]]/Table1[[#This Row],[Ask Rate]]</f>
        <v>#DIV/0!</v>
      </c>
      <c r="AE1072" s="3">
        <f>IF(Table1[[#This Row],[Ask Qty]]=0,0,Table1[[#This Row],[Gross Yield]]*365/Table1[[#This Row],[Days Left]])</f>
        <v>0</v>
      </c>
      <c r="AF1072" s="9">
        <f ca="1">+Table1[[#This Row],[Net Gain]]*Table1[[#This Row],[Ask Qty]]</f>
        <v>0</v>
      </c>
      <c r="AG1072" t="str">
        <f>IF(Table1[[#This Row],[YTM]]&gt;0.12,IF(Table1[[#This Row],[Gross Profit]]&gt;10000,"Invest","Review"),"Low YTM")</f>
        <v>Low YTM</v>
      </c>
    </row>
    <row r="1073" spans="1:33" x14ac:dyDescent="0.3">
      <c r="A1073" t="str">
        <f>RTD("nest.scriprtd",,"bse_cm|944MFL28A","Symbol")</f>
        <v>944MFL28A</v>
      </c>
      <c r="B1073" t="str">
        <f>RTD("nest.scriprtd",,"bse_cm|944MFL28A","Trading Symbol")</f>
        <v>944MFL28A</v>
      </c>
      <c r="C1073" t="str">
        <f>RTD("nest.scriprtd",,"bse_cm|944MFL28A","Exchange")</f>
        <v>BSE</v>
      </c>
      <c r="D1073">
        <f>RTD("nest.scriprtd",,"bse_cm|944MFL28A","Bid Qty")</f>
        <v>1</v>
      </c>
      <c r="E1073">
        <f>RTD("nest.scriprtd",,"bse_cm|944MFL28A","Bid Rate")</f>
        <v>950</v>
      </c>
      <c r="F1073">
        <f>RTD("nest.scriprtd",,"bse_cm|944MFL28A","Ask Rate")</f>
        <v>0</v>
      </c>
      <c r="G1073">
        <f>RTD("nest.scriprtd",,"bse_cm|944MFL28A","Ask Qty")</f>
        <v>0</v>
      </c>
      <c r="H1073">
        <f>RTD("nest.scriprtd",,"bse_cm|944MFL28A","LTP")</f>
        <v>0</v>
      </c>
      <c r="I1073" t="str">
        <f>RTD("nest.scriprtd",,"bse_cm|944MFL28A","LTT")</f>
        <v>00:00:00</v>
      </c>
      <c r="J1073">
        <f>RTD("nest.scriprtd",,"bse_cm|944MFL28A","% Change")</f>
        <v>-100</v>
      </c>
      <c r="K1073">
        <f>RTD("nest.scriprtd",,"bse_cm|944MFL28A","ATP")</f>
        <v>0</v>
      </c>
      <c r="L1073">
        <f>RTD("nest.scriprtd",,"bse_cm|944MFL28A","Volume Traded Today")</f>
        <v>0</v>
      </c>
      <c r="M1073">
        <f>RTD("nest.scriprtd",,"bse_cm|944MFL28A","Open")</f>
        <v>0</v>
      </c>
      <c r="N1073">
        <f>RTD("nest.scriprtd",,"bse_cm|944MFL28A","High")</f>
        <v>925</v>
      </c>
      <c r="O1073">
        <f>RTD("nest.scriprtd",,"bse_cm|944MFL28A","Low ")</f>
        <v>925</v>
      </c>
      <c r="P1073">
        <f>RTD("nest.scriprtd",,"bse_cm|944MFL28A","Prev Close")</f>
        <v>925</v>
      </c>
      <c r="Q1073">
        <f>RTD("nest.scriprtd",,"bse_cm|944MFL28A","Face Value")</f>
        <v>1000</v>
      </c>
      <c r="R1073" t="str">
        <f>RTD("nest.scriprtd",,"bse_cm|944MFL28A","Isin code")</f>
        <v>INE549K07CL7</v>
      </c>
      <c r="S1073" s="9">
        <f>Table1[[#This Row],[Ask Rate]]*Table1[[#This Row],[Ask Qty]]</f>
        <v>0</v>
      </c>
      <c r="T1073">
        <f>VLOOKUP(Table1[[#This Row],[Isin code]],Table2[#All],7,FALSE)</f>
        <v>9.44</v>
      </c>
      <c r="U1073" s="17" t="str">
        <f>VLOOKUP(Table1[[#This Row],[Isin code]],Table2[#All],8,FALSE)</f>
        <v>20-Sep-2028</v>
      </c>
      <c r="V1073" s="10">
        <f ca="1">Table1[[#This Row],[Maturity]]-TODAY()</f>
        <v>1435</v>
      </c>
      <c r="W1073" t="str">
        <f>VLOOKUP(Table1[[#This Row],[Isin code]],Table2[#All],10,FALSE)</f>
        <v>Yearly</v>
      </c>
      <c r="X1073">
        <f ca="1">_xlfn.DAYS(Table1[[#This Row],[Maturity]],TODAY())-15</f>
        <v>1420</v>
      </c>
      <c r="Y10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073">
        <f>IF(Table1[[#This Row],[Ask Rate]]=0,0,Table1[[#This Row],[Face Value]]-Table1[[#This Row],[Ask Rate]])</f>
        <v>0</v>
      </c>
      <c r="AA1073">
        <f>IF(Table1[[#This Row],[Freq]]="Yearly",Table1[[#This Row],[Coupon_Rate]]/100,IF(Table1[[#This Row],[Freq]]="Monthly",Table1[[#This Row],[Coupon_Rate]]/1200,IF(Table1[[#This Row],[Freq]]="Quarterly",Table1[[#This Row],[Coupon_Rate]]/400,0)))</f>
        <v>9.4399999999999998E-2</v>
      </c>
      <c r="AB1073">
        <f ca="1">Table1[[#This Row],[Face Value]]*Table1[[#This Row],[Rate]]*Table1[[#This Row],[Time]]</f>
        <v>377.59999999999997</v>
      </c>
      <c r="AC1073">
        <f ca="1">Table1[[#This Row],[SI]]+Table1[[#This Row],[Disc/Prem]]</f>
        <v>377.59999999999997</v>
      </c>
      <c r="AD1073" s="3" t="e">
        <f ca="1">Table1[[#This Row],[Net Gain]]/Table1[[#This Row],[Ask Rate]]</f>
        <v>#DIV/0!</v>
      </c>
      <c r="AE1073" s="3">
        <f>IF(Table1[[#This Row],[Ask Qty]]=0,0,Table1[[#This Row],[Gross Yield]]*365/Table1[[#This Row],[Days Left]])</f>
        <v>0</v>
      </c>
      <c r="AF1073" s="9">
        <f ca="1">+Table1[[#This Row],[Net Gain]]*Table1[[#This Row],[Ask Qty]]</f>
        <v>0</v>
      </c>
      <c r="AG1073" t="str">
        <f>IF(Table1[[#This Row],[YTM]]&gt;0.12,IF(Table1[[#This Row],[Gross Profit]]&gt;10000,"Invest","Review"),"Low YTM")</f>
        <v>Low YTM</v>
      </c>
    </row>
    <row r="1074" spans="1:33" x14ac:dyDescent="0.3">
      <c r="A1074" t="str">
        <f>RTD("nest.scriprtd",,"bse_cm|843SCFL27","Symbol")</f>
        <v>843SCFL27</v>
      </c>
      <c r="B1074" t="str">
        <f>RTD("nest.scriprtd",,"bse_cm|843SCFL27","Trading Symbol")</f>
        <v>843SCFL27</v>
      </c>
      <c r="C1074" t="str">
        <f>RTD("nest.scriprtd",,"bse_cm|843SCFL27","Exchange")</f>
        <v>BSE</v>
      </c>
      <c r="D1074">
        <f>RTD("nest.scriprtd",,"bse_cm|843SCFL27","Bid Qty")</f>
        <v>11</v>
      </c>
      <c r="E1074">
        <f>RTD("nest.scriprtd",,"bse_cm|843SCFL27","Bid Rate")</f>
        <v>820.2</v>
      </c>
      <c r="F1074">
        <f>RTD("nest.scriprtd",,"bse_cm|843SCFL27","Ask Rate")</f>
        <v>0</v>
      </c>
      <c r="G1074">
        <f>RTD("nest.scriprtd",,"bse_cm|843SCFL27","Ask Qty")</f>
        <v>0</v>
      </c>
      <c r="H1074">
        <f>RTD("nest.scriprtd",,"bse_cm|843SCFL27","LTP")</f>
        <v>0</v>
      </c>
      <c r="I1074" t="str">
        <f>RTD("nest.scriprtd",,"bse_cm|843SCFL27","LTT")</f>
        <v>00:00:00</v>
      </c>
      <c r="J1074">
        <f>RTD("nest.scriprtd",,"bse_cm|843SCFL27","% Change")</f>
        <v>-100</v>
      </c>
      <c r="K1074">
        <f>RTD("nest.scriprtd",,"bse_cm|843SCFL27","ATP")</f>
        <v>0</v>
      </c>
      <c r="L1074">
        <f>RTD("nest.scriprtd",,"bse_cm|843SCFL27","Volume Traded Today")</f>
        <v>0</v>
      </c>
      <c r="M1074">
        <f>RTD("nest.scriprtd",,"bse_cm|843SCFL27","Open")</f>
        <v>0</v>
      </c>
      <c r="N1074">
        <f>RTD("nest.scriprtd",,"bse_cm|843SCFL27","High")</f>
        <v>1196.2</v>
      </c>
      <c r="O1074">
        <f>RTD("nest.scriprtd",,"bse_cm|843SCFL27","Low ")</f>
        <v>834.2</v>
      </c>
      <c r="P1074">
        <f>RTD("nest.scriprtd",,"bse_cm|843SCFL27","Prev Close")</f>
        <v>834.2</v>
      </c>
      <c r="Q1074">
        <f>RTD("nest.scriprtd",,"bse_cm|843SCFL27","Face Value")</f>
        <v>1000</v>
      </c>
      <c r="R1074" t="str">
        <f>RTD("nest.scriprtd",,"bse_cm|843SCFL27","Isin code")</f>
        <v>INE148I07LD0</v>
      </c>
      <c r="S1074" s="9">
        <f>Table1[[#This Row],[Ask Rate]]*Table1[[#This Row],[Ask Qty]]</f>
        <v>0</v>
      </c>
      <c r="T1074">
        <f>VLOOKUP(Table1[[#This Row],[Isin code]],Table2[#All],7,FALSE)</f>
        <v>8.43</v>
      </c>
      <c r="U1074" s="17" t="str">
        <f>VLOOKUP(Table1[[#This Row],[Isin code]],Table2[#All],8,FALSE)</f>
        <v>06-Jan-2027</v>
      </c>
      <c r="V1074" s="10">
        <f ca="1">Table1[[#This Row],[Maturity]]-TODAY()</f>
        <v>812</v>
      </c>
      <c r="W1074" t="str">
        <f>VLOOKUP(Table1[[#This Row],[Isin code]],Table2[#All],10,FALSE)</f>
        <v>Monthly</v>
      </c>
      <c r="X1074">
        <f ca="1">_xlfn.DAYS(Table1[[#This Row],[Maturity]],TODAY())-15</f>
        <v>797</v>
      </c>
      <c r="Y10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1074">
        <f>IF(Table1[[#This Row],[Ask Rate]]=0,0,Table1[[#This Row],[Face Value]]-Table1[[#This Row],[Ask Rate]])</f>
        <v>0</v>
      </c>
      <c r="AA1074">
        <f>IF(Table1[[#This Row],[Freq]]="Yearly",Table1[[#This Row],[Coupon_Rate]]/100,IF(Table1[[#This Row],[Freq]]="Monthly",Table1[[#This Row],[Coupon_Rate]]/1200,IF(Table1[[#This Row],[Freq]]="Quarterly",Table1[[#This Row],[Coupon_Rate]]/400,0)))</f>
        <v>7.025E-3</v>
      </c>
      <c r="AB1074">
        <f ca="1">Table1[[#This Row],[Face Value]]*Table1[[#This Row],[Rate]]*Table1[[#This Row],[Time]]</f>
        <v>189.67500000000001</v>
      </c>
      <c r="AC1074">
        <f ca="1">Table1[[#This Row],[SI]]+Table1[[#This Row],[Disc/Prem]]</f>
        <v>189.67500000000001</v>
      </c>
      <c r="AD1074" s="3" t="e">
        <f ca="1">Table1[[#This Row],[Net Gain]]/Table1[[#This Row],[Ask Rate]]</f>
        <v>#DIV/0!</v>
      </c>
      <c r="AE1074" s="3">
        <f>IF(Table1[[#This Row],[Ask Qty]]=0,0,Table1[[#This Row],[Gross Yield]]*365/Table1[[#This Row],[Days Left]])</f>
        <v>0</v>
      </c>
      <c r="AF1074" s="9">
        <f ca="1">+Table1[[#This Row],[Net Gain]]*Table1[[#This Row],[Ask Qty]]</f>
        <v>0</v>
      </c>
      <c r="AG1074" t="str">
        <f>IF(Table1[[#This Row],[YTM]]&gt;0.12,IF(Table1[[#This Row],[Gross Profit]]&gt;10000,"Invest","Review"),"Low YTM")</f>
        <v>Low YTM</v>
      </c>
    </row>
    <row r="1075" spans="1:33" x14ac:dyDescent="0.3">
      <c r="A1075" t="str">
        <f>RTD("nest.scriprtd",,"bse_cm|866ICCL23A","Symbol")</f>
        <v>866ICCL23A</v>
      </c>
      <c r="B1075" t="str">
        <f>RTD("nest.scriprtd",,"bse_cm|866ICCL23A","Trading Symbol")</f>
        <v>866ICCL23A</v>
      </c>
      <c r="C1075" t="str">
        <f>RTD("nest.scriprtd",,"bse_cm|866ICCL23A","Exchange")</f>
        <v>BSE</v>
      </c>
      <c r="D1075">
        <f>RTD("nest.scriprtd",,"bse_cm|866ICCL23A","Bid Qty")</f>
        <v>20</v>
      </c>
      <c r="E1075">
        <f>RTD("nest.scriprtd",,"bse_cm|866ICCL23A","Bid Rate")</f>
        <v>712.4</v>
      </c>
      <c r="F1075">
        <f>RTD("nest.scriprtd",,"bse_cm|866ICCL23A","Ask Rate")</f>
        <v>0</v>
      </c>
      <c r="G1075">
        <f>RTD("nest.scriprtd",,"bse_cm|866ICCL23A","Ask Qty")</f>
        <v>0</v>
      </c>
      <c r="H1075">
        <f>RTD("nest.scriprtd",,"bse_cm|866ICCL23A","LTP")</f>
        <v>0</v>
      </c>
      <c r="I1075" t="str">
        <f>RTD("nest.scriprtd",,"bse_cm|866ICCL23A","LTT")</f>
        <v>00:00:00</v>
      </c>
      <c r="J1075">
        <f>RTD("nest.scriprtd",,"bse_cm|866ICCL23A","% Change")</f>
        <v>-100</v>
      </c>
      <c r="K1075">
        <f>RTD("nest.scriprtd",,"bse_cm|866ICCL23A","ATP")</f>
        <v>0</v>
      </c>
      <c r="L1075">
        <f>RTD("nest.scriprtd",,"bse_cm|866ICCL23A","Volume Traded Today")</f>
        <v>0</v>
      </c>
      <c r="M1075">
        <f>RTD("nest.scriprtd",,"bse_cm|866ICCL23A","Open")</f>
        <v>0</v>
      </c>
      <c r="N1075">
        <f>RTD("nest.scriprtd",,"bse_cm|866ICCL23A","High")</f>
        <v>0</v>
      </c>
      <c r="O1075">
        <f>RTD("nest.scriprtd",,"bse_cm|866ICCL23A","Low ")</f>
        <v>0</v>
      </c>
      <c r="P1075">
        <f>RTD("nest.scriprtd",,"bse_cm|866ICCL23A","Prev Close")</f>
        <v>800</v>
      </c>
      <c r="Q1075">
        <f>RTD("nest.scriprtd",,"bse_cm|866ICCL23A","Face Value")</f>
        <v>800</v>
      </c>
      <c r="R1075" t="str">
        <f>RTD("nest.scriprtd",,"bse_cm|866ICCL23A","Isin code")</f>
        <v>INE244L07564</v>
      </c>
      <c r="S1075" s="9">
        <f>Table1[[#This Row],[Ask Rate]]*Table1[[#This Row],[Ask Qty]]</f>
        <v>0</v>
      </c>
      <c r="T1075">
        <f>VLOOKUP(Table1[[#This Row],[Isin code]],Table2[#All],7,FALSE)</f>
        <v>9.5699999999999985</v>
      </c>
      <c r="U1075" s="17" t="str">
        <f>VLOOKUP(Table1[[#This Row],[Isin code]],Table2[#All],8,FALSE)</f>
        <v>25-Apr-2028</v>
      </c>
      <c r="V1075" s="10">
        <f ca="1">Table1[[#This Row],[Maturity]]-TODAY()</f>
        <v>1287</v>
      </c>
      <c r="W1075" t="str">
        <f>VLOOKUP(Table1[[#This Row],[Isin code]],Table2[#All],10,FALSE)</f>
        <v>Monthly</v>
      </c>
      <c r="X1075">
        <f ca="1">_xlfn.DAYS(Table1[[#This Row],[Maturity]],TODAY())-15</f>
        <v>1272</v>
      </c>
      <c r="Y10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43</v>
      </c>
      <c r="Z1075">
        <f>IF(Table1[[#This Row],[Ask Rate]]=0,0,Table1[[#This Row],[Face Value]]-Table1[[#This Row],[Ask Rate]])</f>
        <v>0</v>
      </c>
      <c r="AA1075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1075">
        <f ca="1">Table1[[#This Row],[Face Value]]*Table1[[#This Row],[Rate]]*Table1[[#This Row],[Time]]</f>
        <v>274.33999999999997</v>
      </c>
      <c r="AC1075">
        <f ca="1">Table1[[#This Row],[SI]]+Table1[[#This Row],[Disc/Prem]]</f>
        <v>274.33999999999997</v>
      </c>
      <c r="AD1075" s="3" t="e">
        <f ca="1">Table1[[#This Row],[Net Gain]]/Table1[[#This Row],[Ask Rate]]</f>
        <v>#DIV/0!</v>
      </c>
      <c r="AE1075" s="3">
        <f>IF(Table1[[#This Row],[Ask Qty]]=0,0,Table1[[#This Row],[Gross Yield]]*365/Table1[[#This Row],[Days Left]])</f>
        <v>0</v>
      </c>
      <c r="AF1075" s="9">
        <f ca="1">+Table1[[#This Row],[Net Gain]]*Table1[[#This Row],[Ask Qty]]</f>
        <v>0</v>
      </c>
      <c r="AG1075" t="str">
        <f>IF(Table1[[#This Row],[YTM]]&gt;0.12,IF(Table1[[#This Row],[Gross Profit]]&gt;10000,"Invest","Review"),"Low YTM")</f>
        <v>Low YTM</v>
      </c>
    </row>
    <row r="1076" spans="1:33" x14ac:dyDescent="0.3">
      <c r="A1076" t="str">
        <f>RTD("nest.scriprtd",,"bse_cm|1003SCFL31","Symbol")</f>
        <v>1003SCFL31</v>
      </c>
      <c r="B1076" t="str">
        <f>RTD("nest.scriprtd",,"bse_cm|1003SCFL31","Trading Symbol")</f>
        <v>1003SCFL31</v>
      </c>
      <c r="C1076" t="str">
        <f>RTD("nest.scriprtd",,"bse_cm|1003SCFL31","Exchange")</f>
        <v>BSE</v>
      </c>
      <c r="D1076">
        <f>RTD("nest.scriprtd",,"bse_cm|1003SCFL31","Bid Qty")</f>
        <v>11</v>
      </c>
      <c r="E1076">
        <f>RTD("nest.scriprtd",,"bse_cm|1003SCFL31","Bid Rate")</f>
        <v>814.45</v>
      </c>
      <c r="F1076">
        <f>RTD("nest.scriprtd",,"bse_cm|1003SCFL31","Ask Rate")</f>
        <v>0</v>
      </c>
      <c r="G1076">
        <f>RTD("nest.scriprtd",,"bse_cm|1003SCFL31","Ask Qty")</f>
        <v>0</v>
      </c>
      <c r="H1076">
        <f>RTD("nest.scriprtd",,"bse_cm|1003SCFL31","LTP")</f>
        <v>0</v>
      </c>
      <c r="I1076" t="str">
        <f>RTD("nest.scriprtd",,"bse_cm|1003SCFL31","LTT")</f>
        <v>00:00:00</v>
      </c>
      <c r="J1076">
        <f>RTD("nest.scriprtd",,"bse_cm|1003SCFL31","% Change")</f>
        <v>-100</v>
      </c>
      <c r="K1076">
        <f>RTD("nest.scriprtd",,"bse_cm|1003SCFL31","ATP")</f>
        <v>0</v>
      </c>
      <c r="L1076">
        <f>RTD("nest.scriprtd",,"bse_cm|1003SCFL31","Volume Traded Today")</f>
        <v>0</v>
      </c>
      <c r="M1076">
        <f>RTD("nest.scriprtd",,"bse_cm|1003SCFL31","Open")</f>
        <v>0</v>
      </c>
      <c r="N1076">
        <f>RTD("nest.scriprtd",,"bse_cm|1003SCFL31","High")</f>
        <v>0</v>
      </c>
      <c r="O1076">
        <f>RTD("nest.scriprtd",,"bse_cm|1003SCFL31","Low ")</f>
        <v>0</v>
      </c>
      <c r="P1076">
        <f>RTD("nest.scriprtd",,"bse_cm|1003SCFL31","Prev Close")</f>
        <v>1000</v>
      </c>
      <c r="Q1076">
        <f>RTD("nest.scriprtd",,"bse_cm|1003SCFL31","Face Value")</f>
        <v>1000</v>
      </c>
      <c r="R1076" t="str">
        <f>RTD("nest.scriprtd",,"bse_cm|1003SCFL31","Isin code")</f>
        <v>INE148I07SX3</v>
      </c>
      <c r="S1076" s="9">
        <f>Table1[[#This Row],[Ask Rate]]*Table1[[#This Row],[Ask Qty]]</f>
        <v>0</v>
      </c>
      <c r="T1076">
        <f>VLOOKUP(Table1[[#This Row],[Isin code]],Table2[#All],7,FALSE)</f>
        <v>10.029999999999999</v>
      </c>
      <c r="U1076" s="17" t="str">
        <f>VLOOKUP(Table1[[#This Row],[Isin code]],Table2[#All],8,FALSE)</f>
        <v>26-Mar-2031</v>
      </c>
      <c r="V1076" s="10">
        <f ca="1">Table1[[#This Row],[Maturity]]-TODAY()</f>
        <v>2352</v>
      </c>
      <c r="W1076" t="str">
        <f>VLOOKUP(Table1[[#This Row],[Isin code]],Table2[#All],10,FALSE)</f>
        <v>Monthly</v>
      </c>
      <c r="X1076">
        <f ca="1">_xlfn.DAYS(Table1[[#This Row],[Maturity]],TODAY())-15</f>
        <v>2337</v>
      </c>
      <c r="Y10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78</v>
      </c>
      <c r="Z1076">
        <f>IF(Table1[[#This Row],[Ask Rate]]=0,0,Table1[[#This Row],[Face Value]]-Table1[[#This Row],[Ask Rate]])</f>
        <v>0</v>
      </c>
      <c r="AA1076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076">
        <f ca="1">Table1[[#This Row],[Face Value]]*Table1[[#This Row],[Rate]]*Table1[[#This Row],[Time]]</f>
        <v>651.94999999999993</v>
      </c>
      <c r="AC1076">
        <f ca="1">Table1[[#This Row],[SI]]+Table1[[#This Row],[Disc/Prem]]</f>
        <v>651.94999999999993</v>
      </c>
      <c r="AD1076" s="3" t="e">
        <f ca="1">Table1[[#This Row],[Net Gain]]/Table1[[#This Row],[Ask Rate]]</f>
        <v>#DIV/0!</v>
      </c>
      <c r="AE1076" s="3">
        <f>IF(Table1[[#This Row],[Ask Qty]]=0,0,Table1[[#This Row],[Gross Yield]]*365/Table1[[#This Row],[Days Left]])</f>
        <v>0</v>
      </c>
      <c r="AF1076" s="9">
        <f ca="1">+Table1[[#This Row],[Net Gain]]*Table1[[#This Row],[Ask Qty]]</f>
        <v>0</v>
      </c>
      <c r="AG1076" t="str">
        <f>IF(Table1[[#This Row],[YTM]]&gt;0.12,IF(Table1[[#This Row],[Gross Profit]]&gt;10000,"Invest","Review"),"Low YTM")</f>
        <v>Low YTM</v>
      </c>
    </row>
    <row r="1077" spans="1:33" x14ac:dyDescent="0.3">
      <c r="A1077" t="str">
        <f>RTD("nest.scriprtd",,"nse_cm|1003IIFL29-NC","Symbol")</f>
        <v>1003IIFL29</v>
      </c>
      <c r="B1077" t="str">
        <f>RTD("nest.scriprtd",,"nse_cm|1003IIFL29-NC","Trading Symbol")</f>
        <v>1003IIFL29-NC</v>
      </c>
      <c r="C1077" t="str">
        <f>RTD("nest.scriprtd",,"nse_cm|1003IIFL29-NC","Exchange")</f>
        <v>NSE</v>
      </c>
      <c r="D1077">
        <f>RTD("nest.scriprtd",,"nse_cm|1003IIFL29-NC","Bid Qty")</f>
        <v>100</v>
      </c>
      <c r="E1077">
        <f>RTD("nest.scriprtd",,"nse_cm|1003IIFL29-NC","Bid Rate")</f>
        <v>940</v>
      </c>
      <c r="F1077">
        <f>RTD("nest.scriprtd",,"nse_cm|1003IIFL29-NC","Ask Rate")</f>
        <v>0</v>
      </c>
      <c r="G1077">
        <f>RTD("nest.scriprtd",,"nse_cm|1003IIFL29-NC","Ask Qty")</f>
        <v>0</v>
      </c>
      <c r="H1077">
        <f>RTD("nest.scriprtd",,"nse_cm|1003IIFL29-NC","LTP")</f>
        <v>950</v>
      </c>
      <c r="I1077" t="str">
        <f>RTD("nest.scriprtd",,"nse_cm|1003IIFL29-NC","LTT")</f>
        <v/>
      </c>
      <c r="J1077">
        <f>RTD("nest.scriprtd",,"nse_cm|1003IIFL29-NC","% Change")</f>
        <v>0</v>
      </c>
      <c r="K1077">
        <f>RTD("nest.scriprtd",,"nse_cm|1003IIFL29-NC","ATP")</f>
        <v>0</v>
      </c>
      <c r="L1077">
        <f>RTD("nest.scriprtd",,"nse_cm|1003IIFL29-NC","Volume Traded Today")</f>
        <v>0</v>
      </c>
      <c r="M1077">
        <f>RTD("nest.scriprtd",,"nse_cm|1003IIFL29-NC","Open")</f>
        <v>0</v>
      </c>
      <c r="N1077">
        <f>RTD("nest.scriprtd",,"nse_cm|1003IIFL29-NC","High")</f>
        <v>950</v>
      </c>
      <c r="O1077">
        <f>RTD("nest.scriprtd",,"nse_cm|1003IIFL29-NC","Low ")</f>
        <v>950</v>
      </c>
      <c r="P1077">
        <f>RTD("nest.scriprtd",,"nse_cm|1003IIFL29-NC","Prev Close")</f>
        <v>950</v>
      </c>
      <c r="Q1077">
        <f>RTD("nest.scriprtd",,"nse_cm|1003IIFL29-NC","Face Value")</f>
        <v>1000</v>
      </c>
      <c r="R1077" t="str">
        <f>RTD("nest.scriprtd",,"nse_cm|1003IIFL29-NC","Isin code")</f>
        <v>INE413U07301</v>
      </c>
      <c r="S1077" s="9">
        <f>Table1[[#This Row],[Ask Rate]]*Table1[[#This Row],[Ask Qty]]</f>
        <v>0</v>
      </c>
      <c r="T1077">
        <f>VLOOKUP(Table1[[#This Row],[Isin code]],Table2[#All],7,FALSE)</f>
        <v>10.029999999999999</v>
      </c>
      <c r="U1077" s="17" t="str">
        <f>VLOOKUP(Table1[[#This Row],[Isin code]],Table2[#All],8,FALSE)</f>
        <v>21-Jun-2029</v>
      </c>
      <c r="V1077" s="10">
        <f ca="1">Table1[[#This Row],[Maturity]]-TODAY()</f>
        <v>1709</v>
      </c>
      <c r="W1077" t="str">
        <f>VLOOKUP(Table1[[#This Row],[Isin code]],Table2[#All],10,FALSE)</f>
        <v>Monthly</v>
      </c>
      <c r="X1077">
        <f ca="1">_xlfn.DAYS(Table1[[#This Row],[Maturity]],TODAY())-15</f>
        <v>1694</v>
      </c>
      <c r="Y10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57</v>
      </c>
      <c r="Z1077">
        <f>IF(Table1[[#This Row],[Ask Rate]]=0,0,Table1[[#This Row],[Face Value]]-Table1[[#This Row],[Ask Rate]])</f>
        <v>0</v>
      </c>
      <c r="AA1077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077">
        <f ca="1">Table1[[#This Row],[Face Value]]*Table1[[#This Row],[Rate]]*Table1[[#This Row],[Time]]</f>
        <v>476.42499999999995</v>
      </c>
      <c r="AC1077">
        <f ca="1">Table1[[#This Row],[SI]]+Table1[[#This Row],[Disc/Prem]]</f>
        <v>476.42499999999995</v>
      </c>
      <c r="AD1077" s="3" t="e">
        <f ca="1">Table1[[#This Row],[Net Gain]]/Table1[[#This Row],[Ask Rate]]</f>
        <v>#DIV/0!</v>
      </c>
      <c r="AE1077" s="3">
        <f>IF(Table1[[#This Row],[Ask Qty]]=0,0,Table1[[#This Row],[Gross Yield]]*365/Table1[[#This Row],[Days Left]])</f>
        <v>0</v>
      </c>
      <c r="AF1077" s="9">
        <f ca="1">+Table1[[#This Row],[Net Gain]]*Table1[[#This Row],[Ask Qty]]</f>
        <v>0</v>
      </c>
      <c r="AG1077" t="str">
        <f>IF(Table1[[#This Row],[YTM]]&gt;0.12,IF(Table1[[#This Row],[Gross Profit]]&gt;10000,"Invest","Review"),"Low YTM")</f>
        <v>Low YTM</v>
      </c>
    </row>
    <row r="1078" spans="1:33" x14ac:dyDescent="0.3">
      <c r="A1078" t="str">
        <f>RTD("nest.scriprtd",,"bse_cm|1003IIFL29","Symbol")</f>
        <v>1003IIFL29</v>
      </c>
      <c r="B1078" t="str">
        <f>RTD("nest.scriprtd",,"bse_cm|1003IIFL29","Trading Symbol")</f>
        <v>1003IIFL29</v>
      </c>
      <c r="C1078" t="str">
        <f>RTD("nest.scriprtd",,"bse_cm|1003IIFL29","Exchange")</f>
        <v>BSE</v>
      </c>
      <c r="D1078">
        <f>RTD("nest.scriprtd",,"bse_cm|1003IIFL29","Bid Qty")</f>
        <v>50</v>
      </c>
      <c r="E1078">
        <f>RTD("nest.scriprtd",,"bse_cm|1003IIFL29","Bid Rate")</f>
        <v>931</v>
      </c>
      <c r="F1078">
        <f>RTD("nest.scriprtd",,"bse_cm|1003IIFL29","Ask Rate")</f>
        <v>0</v>
      </c>
      <c r="G1078">
        <f>RTD("nest.scriprtd",,"bse_cm|1003IIFL29","Ask Qty")</f>
        <v>0</v>
      </c>
      <c r="H1078">
        <f>RTD("nest.scriprtd",,"bse_cm|1003IIFL29","LTP")</f>
        <v>0</v>
      </c>
      <c r="I1078" t="str">
        <f>RTD("nest.scriprtd",,"bse_cm|1003IIFL29","LTT")</f>
        <v>00:00:00</v>
      </c>
      <c r="J1078">
        <f>RTD("nest.scriprtd",,"bse_cm|1003IIFL29","% Change")</f>
        <v>-100</v>
      </c>
      <c r="K1078">
        <f>RTD("nest.scriprtd",,"bse_cm|1003IIFL29","ATP")</f>
        <v>0</v>
      </c>
      <c r="L1078">
        <f>RTD("nest.scriprtd",,"bse_cm|1003IIFL29","Volume Traded Today")</f>
        <v>0</v>
      </c>
      <c r="M1078">
        <f>RTD("nest.scriprtd",,"bse_cm|1003IIFL29","Open")</f>
        <v>0</v>
      </c>
      <c r="N1078">
        <f>RTD("nest.scriprtd",,"bse_cm|1003IIFL29","High")</f>
        <v>906.5</v>
      </c>
      <c r="O1078">
        <f>RTD("nest.scriprtd",,"bse_cm|1003IIFL29","Low ")</f>
        <v>906.5</v>
      </c>
      <c r="P1078">
        <f>RTD("nest.scriprtd",,"bse_cm|1003IIFL29","Prev Close")</f>
        <v>906.5</v>
      </c>
      <c r="Q1078">
        <f>RTD("nest.scriprtd",,"bse_cm|1003IIFL29","Face Value")</f>
        <v>1000</v>
      </c>
      <c r="R1078" t="str">
        <f>RTD("nest.scriprtd",,"bse_cm|1003IIFL29","Isin code")</f>
        <v>INE413U07301</v>
      </c>
      <c r="S1078" s="9">
        <f>Table1[[#This Row],[Ask Rate]]*Table1[[#This Row],[Ask Qty]]</f>
        <v>0</v>
      </c>
      <c r="T1078">
        <f>VLOOKUP(Table1[[#This Row],[Isin code]],Table2[#All],7,FALSE)</f>
        <v>10.029999999999999</v>
      </c>
      <c r="U1078" s="17" t="str">
        <f>VLOOKUP(Table1[[#This Row],[Isin code]],Table2[#All],8,FALSE)</f>
        <v>21-Jun-2029</v>
      </c>
      <c r="V1078" s="10">
        <f ca="1">Table1[[#This Row],[Maturity]]-TODAY()</f>
        <v>1709</v>
      </c>
      <c r="W1078" t="str">
        <f>VLOOKUP(Table1[[#This Row],[Isin code]],Table2[#All],10,FALSE)</f>
        <v>Monthly</v>
      </c>
      <c r="X1078">
        <f ca="1">_xlfn.DAYS(Table1[[#This Row],[Maturity]],TODAY())-15</f>
        <v>1694</v>
      </c>
      <c r="Y10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57</v>
      </c>
      <c r="Z1078">
        <f>IF(Table1[[#This Row],[Ask Rate]]=0,0,Table1[[#This Row],[Face Value]]-Table1[[#This Row],[Ask Rate]])</f>
        <v>0</v>
      </c>
      <c r="AA1078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078">
        <f ca="1">Table1[[#This Row],[Face Value]]*Table1[[#This Row],[Rate]]*Table1[[#This Row],[Time]]</f>
        <v>476.42499999999995</v>
      </c>
      <c r="AC1078">
        <f ca="1">Table1[[#This Row],[SI]]+Table1[[#This Row],[Disc/Prem]]</f>
        <v>476.42499999999995</v>
      </c>
      <c r="AD1078" s="3" t="e">
        <f ca="1">Table1[[#This Row],[Net Gain]]/Table1[[#This Row],[Ask Rate]]</f>
        <v>#DIV/0!</v>
      </c>
      <c r="AE1078" s="3">
        <f>IF(Table1[[#This Row],[Ask Qty]]=0,0,Table1[[#This Row],[Gross Yield]]*365/Table1[[#This Row],[Days Left]])</f>
        <v>0</v>
      </c>
      <c r="AF1078" s="9">
        <f ca="1">+Table1[[#This Row],[Net Gain]]*Table1[[#This Row],[Ask Qty]]</f>
        <v>0</v>
      </c>
      <c r="AG1078" t="str">
        <f>IF(Table1[[#This Row],[YTM]]&gt;0.12,IF(Table1[[#This Row],[Gross Profit]]&gt;10000,"Invest","Review"),"Low YTM")</f>
        <v>Low YTM</v>
      </c>
    </row>
    <row r="1079" spans="1:33" x14ac:dyDescent="0.3">
      <c r="A1079" t="str">
        <f>RTD("nest.scriprtd",,"bse_cm|948SCL27","Symbol")</f>
        <v>948SCL27</v>
      </c>
      <c r="B1079" t="str">
        <f>RTD("nest.scriprtd",,"bse_cm|948SCL27","Trading Symbol")</f>
        <v>948SCL27</v>
      </c>
      <c r="C1079" t="str">
        <f>RTD("nest.scriprtd",,"bse_cm|948SCL27","Exchange")</f>
        <v>BSE</v>
      </c>
      <c r="D1079">
        <f>RTD("nest.scriprtd",,"bse_cm|948SCL27","Bid Qty")</f>
        <v>12</v>
      </c>
      <c r="E1079">
        <f>RTD("nest.scriprtd",,"bse_cm|948SCL27","Bid Rate")</f>
        <v>901.2</v>
      </c>
      <c r="F1079">
        <f>RTD("nest.scriprtd",,"bse_cm|948SCL27","Ask Rate")</f>
        <v>0</v>
      </c>
      <c r="G1079">
        <f>RTD("nest.scriprtd",,"bse_cm|948SCL27","Ask Qty")</f>
        <v>0</v>
      </c>
      <c r="H1079">
        <f>RTD("nest.scriprtd",,"bse_cm|948SCL27","LTP")</f>
        <v>0</v>
      </c>
      <c r="I1079" t="str">
        <f>RTD("nest.scriprtd",,"bse_cm|948SCL27","LTT")</f>
        <v>00:00:00</v>
      </c>
      <c r="J1079">
        <f>RTD("nest.scriprtd",,"bse_cm|948SCL27","% Change")</f>
        <v>-100</v>
      </c>
      <c r="K1079">
        <f>RTD("nest.scriprtd",,"bse_cm|948SCL27","ATP")</f>
        <v>0</v>
      </c>
      <c r="L1079">
        <f>RTD("nest.scriprtd",,"bse_cm|948SCL27","Volume Traded Today")</f>
        <v>0</v>
      </c>
      <c r="M1079">
        <f>RTD("nest.scriprtd",,"bse_cm|948SCL27","Open")</f>
        <v>0</v>
      </c>
      <c r="N1079">
        <f>RTD("nest.scriprtd",,"bse_cm|948SCL27","High")</f>
        <v>0</v>
      </c>
      <c r="O1079">
        <f>RTD("nest.scriprtd",,"bse_cm|948SCL27","Low ")</f>
        <v>0</v>
      </c>
      <c r="P1079">
        <f>RTD("nest.scriprtd",,"bse_cm|948SCL27","Prev Close")</f>
        <v>1000</v>
      </c>
      <c r="Q1079">
        <f>RTD("nest.scriprtd",,"bse_cm|948SCL27","Face Value")</f>
        <v>1000</v>
      </c>
      <c r="R1079" t="str">
        <f>RTD("nest.scriprtd",,"bse_cm|948SCL27","Isin code")</f>
        <v>INE148I07SI4</v>
      </c>
      <c r="S1079" s="9">
        <f>Table1[[#This Row],[Ask Rate]]*Table1[[#This Row],[Ask Qty]]</f>
        <v>0</v>
      </c>
      <c r="T1079">
        <f>VLOOKUP(Table1[[#This Row],[Isin code]],Table2[#All],7,FALSE)</f>
        <v>9.48</v>
      </c>
      <c r="U1079" s="17" t="str">
        <f>VLOOKUP(Table1[[#This Row],[Isin code]],Table2[#All],8,FALSE)</f>
        <v>26-Mar-2027</v>
      </c>
      <c r="V1079" s="10">
        <f ca="1">Table1[[#This Row],[Maturity]]-TODAY()</f>
        <v>891</v>
      </c>
      <c r="W1079" t="str">
        <f>VLOOKUP(Table1[[#This Row],[Isin code]],Table2[#All],10,FALSE)</f>
        <v>Monthly</v>
      </c>
      <c r="X1079">
        <f ca="1">_xlfn.DAYS(Table1[[#This Row],[Maturity]],TODAY())-15</f>
        <v>876</v>
      </c>
      <c r="Y10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30</v>
      </c>
      <c r="Z1079">
        <f>IF(Table1[[#This Row],[Ask Rate]]=0,0,Table1[[#This Row],[Face Value]]-Table1[[#This Row],[Ask Rate]])</f>
        <v>0</v>
      </c>
      <c r="AA1079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1079">
        <f ca="1">Table1[[#This Row],[Face Value]]*Table1[[#This Row],[Rate]]*Table1[[#This Row],[Time]]</f>
        <v>237</v>
      </c>
      <c r="AC1079">
        <f ca="1">Table1[[#This Row],[SI]]+Table1[[#This Row],[Disc/Prem]]</f>
        <v>237</v>
      </c>
      <c r="AD1079" s="3" t="e">
        <f ca="1">Table1[[#This Row],[Net Gain]]/Table1[[#This Row],[Ask Rate]]</f>
        <v>#DIV/0!</v>
      </c>
      <c r="AE1079" s="3">
        <f>IF(Table1[[#This Row],[Ask Qty]]=0,0,Table1[[#This Row],[Gross Yield]]*365/Table1[[#This Row],[Days Left]])</f>
        <v>0</v>
      </c>
      <c r="AF1079" s="9">
        <f ca="1">+Table1[[#This Row],[Net Gain]]*Table1[[#This Row],[Ask Qty]]</f>
        <v>0</v>
      </c>
      <c r="AG1079" t="str">
        <f>IF(Table1[[#This Row],[YTM]]&gt;0.12,IF(Table1[[#This Row],[Gross Profit]]&gt;10000,"Invest","Review"),"Low YTM")</f>
        <v>Low YTM</v>
      </c>
    </row>
    <row r="1080" spans="1:33" x14ac:dyDescent="0.3">
      <c r="A1080" t="str">
        <f>RTD("nest.scriprtd",,"bse_cm|948SCL26I","Symbol")</f>
        <v>948SCL26I</v>
      </c>
      <c r="B1080" t="str">
        <f>RTD("nest.scriprtd",,"bse_cm|948SCL26I","Trading Symbol")</f>
        <v>948SCL26I</v>
      </c>
      <c r="C1080" t="str">
        <f>RTD("nest.scriprtd",,"bse_cm|948SCL26I","Exchange")</f>
        <v>BSE</v>
      </c>
      <c r="D1080">
        <f>RTD("nest.scriprtd",,"bse_cm|948SCL26I","Bid Qty")</f>
        <v>5</v>
      </c>
      <c r="E1080">
        <f>RTD("nest.scriprtd",,"bse_cm|948SCL26I","Bid Rate")</f>
        <v>650.5</v>
      </c>
      <c r="F1080">
        <f>RTD("nest.scriprtd",,"bse_cm|948SCL26I","Ask Rate")</f>
        <v>0</v>
      </c>
      <c r="G1080">
        <f>RTD("nest.scriprtd",,"bse_cm|948SCL26I","Ask Qty")</f>
        <v>0</v>
      </c>
      <c r="H1080">
        <f>RTD("nest.scriprtd",,"bse_cm|948SCL26I","LTP")</f>
        <v>0</v>
      </c>
      <c r="I1080" t="str">
        <f>RTD("nest.scriprtd",,"bse_cm|948SCL26I","LTT")</f>
        <v>00:00:00</v>
      </c>
      <c r="J1080">
        <f>RTD("nest.scriprtd",,"bse_cm|948SCL26I","% Change")</f>
        <v>-100</v>
      </c>
      <c r="K1080">
        <f>RTD("nest.scriprtd",,"bse_cm|948SCL26I","ATP")</f>
        <v>0</v>
      </c>
      <c r="L1080">
        <f>RTD("nest.scriprtd",,"bse_cm|948SCL26I","Volume Traded Today")</f>
        <v>0</v>
      </c>
      <c r="M1080">
        <f>RTD("nest.scriprtd",,"bse_cm|948SCL26I","Open")</f>
        <v>0</v>
      </c>
      <c r="N1080">
        <f>RTD("nest.scriprtd",,"bse_cm|948SCL26I","High")</f>
        <v>652</v>
      </c>
      <c r="O1080">
        <f>RTD("nest.scriprtd",,"bse_cm|948SCL26I","Low ")</f>
        <v>652</v>
      </c>
      <c r="P1080">
        <f>RTD("nest.scriprtd",,"bse_cm|948SCL26I","Prev Close")</f>
        <v>652</v>
      </c>
      <c r="Q1080">
        <f>RTD("nest.scriprtd",,"bse_cm|948SCL26I","Face Value")</f>
        <v>667</v>
      </c>
      <c r="R1080" t="str">
        <f>RTD("nest.scriprtd",,"bse_cm|948SCL26I","Isin code")</f>
        <v>INE148I07OP8</v>
      </c>
      <c r="S1080" s="9">
        <f>Table1[[#This Row],[Ask Rate]]*Table1[[#This Row],[Ask Qty]]</f>
        <v>0</v>
      </c>
      <c r="T1080">
        <f>VLOOKUP(Table1[[#This Row],[Isin code]],Table2[#All],7,FALSE)</f>
        <v>9.48</v>
      </c>
      <c r="U1080" s="17" t="str">
        <f>VLOOKUP(Table1[[#This Row],[Isin code]],Table2[#All],8,FALSE)</f>
        <v>27-Jul-2026</v>
      </c>
      <c r="V1080" s="10">
        <f ca="1">Table1[[#This Row],[Maturity]]-TODAY()</f>
        <v>649</v>
      </c>
      <c r="W1080" t="str">
        <f>VLOOKUP(Table1[[#This Row],[Isin code]],Table2[#All],10,FALSE)</f>
        <v>Monthly</v>
      </c>
      <c r="X1080">
        <f ca="1">_xlfn.DAYS(Table1[[#This Row],[Maturity]],TODAY())-15</f>
        <v>634</v>
      </c>
      <c r="Y10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1080">
        <f>IF(Table1[[#This Row],[Ask Rate]]=0,0,Table1[[#This Row],[Face Value]]-Table1[[#This Row],[Ask Rate]])</f>
        <v>0</v>
      </c>
      <c r="AA1080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1080">
        <f ca="1">Table1[[#This Row],[Face Value]]*Table1[[#This Row],[Rate]]*Table1[[#This Row],[Time]]</f>
        <v>115.92460000000001</v>
      </c>
      <c r="AC1080">
        <f ca="1">Table1[[#This Row],[SI]]+Table1[[#This Row],[Disc/Prem]]</f>
        <v>115.92460000000001</v>
      </c>
      <c r="AD1080" s="3" t="e">
        <f ca="1">Table1[[#This Row],[Net Gain]]/Table1[[#This Row],[Ask Rate]]</f>
        <v>#DIV/0!</v>
      </c>
      <c r="AE1080" s="3">
        <f>IF(Table1[[#This Row],[Ask Qty]]=0,0,Table1[[#This Row],[Gross Yield]]*365/Table1[[#This Row],[Days Left]])</f>
        <v>0</v>
      </c>
      <c r="AF1080" s="9">
        <f ca="1">+Table1[[#This Row],[Net Gain]]*Table1[[#This Row],[Ask Qty]]</f>
        <v>0</v>
      </c>
      <c r="AG1080" t="str">
        <f>IF(Table1[[#This Row],[YTM]]&gt;0.12,IF(Table1[[#This Row],[Gross Profit]]&gt;10000,"Invest","Review"),"Low YTM")</f>
        <v>Low YTM</v>
      </c>
    </row>
    <row r="1081" spans="1:33" x14ac:dyDescent="0.3">
      <c r="A1081" t="str">
        <f>RTD("nest.scriprtd",,"bse_cm|948SCL26D","Symbol")</f>
        <v>948SCL26D</v>
      </c>
      <c r="B1081" t="str">
        <f>RTD("nest.scriprtd",,"bse_cm|948SCL26D","Trading Symbol")</f>
        <v>948SCL26D</v>
      </c>
      <c r="C1081" t="str">
        <f>RTD("nest.scriprtd",,"bse_cm|948SCL26D","Exchange")</f>
        <v>BSE</v>
      </c>
      <c r="D1081">
        <f>RTD("nest.scriprtd",,"bse_cm|948SCL26D","Bid Qty")</f>
        <v>12</v>
      </c>
      <c r="E1081">
        <f>RTD("nest.scriprtd",,"bse_cm|948SCL26D","Bid Rate")</f>
        <v>712.2</v>
      </c>
      <c r="F1081">
        <f>RTD("nest.scriprtd",,"bse_cm|948SCL26D","Ask Rate")</f>
        <v>0</v>
      </c>
      <c r="G1081">
        <f>RTD("nest.scriprtd",,"bse_cm|948SCL26D","Ask Qty")</f>
        <v>0</v>
      </c>
      <c r="H1081">
        <f>RTD("nest.scriprtd",,"bse_cm|948SCL26D","LTP")</f>
        <v>0</v>
      </c>
      <c r="I1081" t="str">
        <f>RTD("nest.scriprtd",,"bse_cm|948SCL26D","LTT")</f>
        <v>00:00:00</v>
      </c>
      <c r="J1081">
        <f>RTD("nest.scriprtd",,"bse_cm|948SCL26D","% Change")</f>
        <v>-100</v>
      </c>
      <c r="K1081">
        <f>RTD("nest.scriprtd",,"bse_cm|948SCL26D","ATP")</f>
        <v>0</v>
      </c>
      <c r="L1081">
        <f>RTD("nest.scriprtd",,"bse_cm|948SCL26D","Volume Traded Today")</f>
        <v>0</v>
      </c>
      <c r="M1081">
        <f>RTD("nest.scriprtd",,"bse_cm|948SCL26D","Open")</f>
        <v>0</v>
      </c>
      <c r="N1081">
        <f>RTD("nest.scriprtd",,"bse_cm|948SCL26D","High")</f>
        <v>890</v>
      </c>
      <c r="O1081">
        <f>RTD("nest.scriprtd",,"bse_cm|948SCL26D","Low ")</f>
        <v>890</v>
      </c>
      <c r="P1081">
        <f>RTD("nest.scriprtd",,"bse_cm|948SCL26D","Prev Close")</f>
        <v>890</v>
      </c>
      <c r="Q1081">
        <f>RTD("nest.scriprtd",,"bse_cm|948SCL26D","Face Value")</f>
        <v>667</v>
      </c>
      <c r="R1081" t="str">
        <f>RTD("nest.scriprtd",,"bse_cm|948SCL26D","Isin code")</f>
        <v>INE148I07NZ9</v>
      </c>
      <c r="S1081" s="9">
        <f>Table1[[#This Row],[Ask Rate]]*Table1[[#This Row],[Ask Qty]]</f>
        <v>0</v>
      </c>
      <c r="T1081">
        <f>VLOOKUP(Table1[[#This Row],[Isin code]],Table2[#All],7,FALSE)</f>
        <v>9.48</v>
      </c>
      <c r="U1081" s="17" t="str">
        <f>VLOOKUP(Table1[[#This Row],[Isin code]],Table2[#All],8,FALSE)</f>
        <v>23-Mar-2026</v>
      </c>
      <c r="V1081" s="10">
        <f ca="1">Table1[[#This Row],[Maturity]]-TODAY()</f>
        <v>523</v>
      </c>
      <c r="W1081" t="str">
        <f>VLOOKUP(Table1[[#This Row],[Isin code]],Table2[#All],10,FALSE)</f>
        <v>Monthly</v>
      </c>
      <c r="X1081">
        <f ca="1">_xlfn.DAYS(Table1[[#This Row],[Maturity]],TODAY())-15</f>
        <v>508</v>
      </c>
      <c r="Y10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17</v>
      </c>
      <c r="Z1081">
        <f>IF(Table1[[#This Row],[Ask Rate]]=0,0,Table1[[#This Row],[Face Value]]-Table1[[#This Row],[Ask Rate]])</f>
        <v>0</v>
      </c>
      <c r="AA1081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1081">
        <f ca="1">Table1[[#This Row],[Face Value]]*Table1[[#This Row],[Rate]]*Table1[[#This Row],[Time]]</f>
        <v>89.578100000000006</v>
      </c>
      <c r="AC1081">
        <f ca="1">Table1[[#This Row],[SI]]+Table1[[#This Row],[Disc/Prem]]</f>
        <v>89.578100000000006</v>
      </c>
      <c r="AD1081" s="3" t="e">
        <f ca="1">Table1[[#This Row],[Net Gain]]/Table1[[#This Row],[Ask Rate]]</f>
        <v>#DIV/0!</v>
      </c>
      <c r="AE1081" s="3">
        <f>IF(Table1[[#This Row],[Ask Qty]]=0,0,Table1[[#This Row],[Gross Yield]]*365/Table1[[#This Row],[Days Left]])</f>
        <v>0</v>
      </c>
      <c r="AF1081" s="9">
        <f ca="1">+Table1[[#This Row],[Net Gain]]*Table1[[#This Row],[Ask Qty]]</f>
        <v>0</v>
      </c>
      <c r="AG1081" t="str">
        <f>IF(Table1[[#This Row],[YTM]]&gt;0.12,IF(Table1[[#This Row],[Gross Profit]]&gt;10000,"Invest","Review"),"Low YTM")</f>
        <v>Low YTM</v>
      </c>
    </row>
    <row r="1082" spans="1:33" x14ac:dyDescent="0.3">
      <c r="A1082" t="str">
        <f>RTD("nest.scriprtd",,"bse_cm|9MFL25","Symbol")</f>
        <v>9MFL25</v>
      </c>
      <c r="B1082" t="str">
        <f>RTD("nest.scriprtd",,"bse_cm|9MFL25","Trading Symbol")</f>
        <v>9MFL25</v>
      </c>
      <c r="C1082" t="str">
        <f>RTD("nest.scriprtd",,"bse_cm|9MFL25","Exchange")</f>
        <v>BSE</v>
      </c>
      <c r="D1082">
        <f>RTD("nest.scriprtd",,"bse_cm|9MFL25","Bid Qty")</f>
        <v>26</v>
      </c>
      <c r="E1082">
        <f>RTD("nest.scriprtd",,"bse_cm|9MFL25","Bid Rate")</f>
        <v>875.2</v>
      </c>
      <c r="F1082">
        <f>RTD("nest.scriprtd",,"bse_cm|9MFL25","Ask Rate")</f>
        <v>0</v>
      </c>
      <c r="G1082">
        <f>RTD("nest.scriprtd",,"bse_cm|9MFL25","Ask Qty")</f>
        <v>0</v>
      </c>
      <c r="H1082">
        <f>RTD("nest.scriprtd",,"bse_cm|9MFL25","LTP")</f>
        <v>0</v>
      </c>
      <c r="I1082" t="str">
        <f>RTD("nest.scriprtd",,"bse_cm|9MFL25","LTT")</f>
        <v>00:00:00</v>
      </c>
      <c r="J1082">
        <f>RTD("nest.scriprtd",,"bse_cm|9MFL25","% Change")</f>
        <v>-100</v>
      </c>
      <c r="K1082">
        <f>RTD("nest.scriprtd",,"bse_cm|9MFL25","ATP")</f>
        <v>0</v>
      </c>
      <c r="L1082">
        <f>RTD("nest.scriprtd",,"bse_cm|9MFL25","Volume Traded Today")</f>
        <v>0</v>
      </c>
      <c r="M1082">
        <f>RTD("nest.scriprtd",,"bse_cm|9MFL25","Open")</f>
        <v>0</v>
      </c>
      <c r="N1082">
        <f>RTD("nest.scriprtd",,"bse_cm|9MFL25","High")</f>
        <v>990</v>
      </c>
      <c r="O1082">
        <f>RTD("nest.scriprtd",,"bse_cm|9MFL25","Low ")</f>
        <v>990</v>
      </c>
      <c r="P1082">
        <f>RTD("nest.scriprtd",,"bse_cm|9MFL25","Prev Close")</f>
        <v>990</v>
      </c>
      <c r="Q1082">
        <f>RTD("nest.scriprtd",,"bse_cm|9MFL25","Face Value")</f>
        <v>1000</v>
      </c>
      <c r="R1082" t="str">
        <f>RTD("nest.scriprtd",,"bse_cm|9MFL25","Isin code")</f>
        <v>INE549K07CU8</v>
      </c>
      <c r="S1082" s="9">
        <f>Table1[[#This Row],[Ask Rate]]*Table1[[#This Row],[Ask Qty]]</f>
        <v>0</v>
      </c>
      <c r="T1082">
        <f>VLOOKUP(Table1[[#This Row],[Isin code]],Table2[#All],7,FALSE)</f>
        <v>9</v>
      </c>
      <c r="U1082" s="17" t="str">
        <f>VLOOKUP(Table1[[#This Row],[Isin code]],Table2[#All],8,FALSE)</f>
        <v>01-Nov-2025</v>
      </c>
      <c r="V1082" s="10">
        <f ca="1">Table1[[#This Row],[Maturity]]-TODAY()</f>
        <v>381</v>
      </c>
      <c r="W1082" t="str">
        <f>VLOOKUP(Table1[[#This Row],[Isin code]],Table2[#All],10,FALSE)</f>
        <v>Yearly</v>
      </c>
      <c r="X1082">
        <f ca="1">_xlfn.DAYS(Table1[[#This Row],[Maturity]],TODAY())-15</f>
        <v>366</v>
      </c>
      <c r="Y10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082">
        <f>IF(Table1[[#This Row],[Ask Rate]]=0,0,Table1[[#This Row],[Face Value]]-Table1[[#This Row],[Ask Rate]])</f>
        <v>0</v>
      </c>
      <c r="AA1082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1082">
        <f ca="1">Table1[[#This Row],[Face Value]]*Table1[[#This Row],[Rate]]*Table1[[#This Row],[Time]]</f>
        <v>180</v>
      </c>
      <c r="AC1082">
        <f ca="1">Table1[[#This Row],[SI]]+Table1[[#This Row],[Disc/Prem]]</f>
        <v>180</v>
      </c>
      <c r="AD1082" s="3" t="e">
        <f ca="1">Table1[[#This Row],[Net Gain]]/Table1[[#This Row],[Ask Rate]]</f>
        <v>#DIV/0!</v>
      </c>
      <c r="AE1082" s="3">
        <f>IF(Table1[[#This Row],[Ask Qty]]=0,0,Table1[[#This Row],[Gross Yield]]*365/Table1[[#This Row],[Days Left]])</f>
        <v>0</v>
      </c>
      <c r="AF1082" s="9">
        <f ca="1">+Table1[[#This Row],[Net Gain]]*Table1[[#This Row],[Ask Qty]]</f>
        <v>0</v>
      </c>
      <c r="AG1082" t="str">
        <f>IF(Table1[[#This Row],[YTM]]&gt;0.12,IF(Table1[[#This Row],[Gross Profit]]&gt;10000,"Invest","Review"),"Low YTM")</f>
        <v>Low YTM</v>
      </c>
    </row>
    <row r="1083" spans="1:33" x14ac:dyDescent="0.3">
      <c r="A1083" t="str">
        <f>RTD("nest.scriprtd",,"bse_cm|9KFL26A","Symbol")</f>
        <v>9KFL26A</v>
      </c>
      <c r="B1083" t="str">
        <f>RTD("nest.scriprtd",,"bse_cm|9KFL26A","Trading Symbol")</f>
        <v>9KFL26A</v>
      </c>
      <c r="C1083" t="str">
        <f>RTD("nest.scriprtd",,"bse_cm|9KFL26A","Exchange")</f>
        <v>BSE</v>
      </c>
      <c r="D1083">
        <f>RTD("nest.scriprtd",,"bse_cm|9KFL26A","Bid Qty")</f>
        <v>17</v>
      </c>
      <c r="E1083">
        <f>RTD("nest.scriprtd",,"bse_cm|9KFL26A","Bid Rate")</f>
        <v>819.8</v>
      </c>
      <c r="F1083">
        <f>RTD("nest.scriprtd",,"bse_cm|9KFL26A","Ask Rate")</f>
        <v>0</v>
      </c>
      <c r="G1083">
        <f>RTD("nest.scriprtd",,"bse_cm|9KFL26A","Ask Qty")</f>
        <v>0</v>
      </c>
      <c r="H1083">
        <f>RTD("nest.scriprtd",,"bse_cm|9KFL26A","LTP")</f>
        <v>0</v>
      </c>
      <c r="I1083" t="str">
        <f>RTD("nest.scriprtd",,"bse_cm|9KFL26A","LTT")</f>
        <v>00:00:00</v>
      </c>
      <c r="J1083">
        <f>RTD("nest.scriprtd",,"bse_cm|9KFL26A","% Change")</f>
        <v>-100</v>
      </c>
      <c r="K1083">
        <f>RTD("nest.scriprtd",,"bse_cm|9KFL26A","ATP")</f>
        <v>0</v>
      </c>
      <c r="L1083">
        <f>RTD("nest.scriprtd",,"bse_cm|9KFL26A","Volume Traded Today")</f>
        <v>0</v>
      </c>
      <c r="M1083">
        <f>RTD("nest.scriprtd",,"bse_cm|9KFL26A","Open")</f>
        <v>0</v>
      </c>
      <c r="N1083">
        <f>RTD("nest.scriprtd",,"bse_cm|9KFL26A","High")</f>
        <v>965</v>
      </c>
      <c r="O1083">
        <f>RTD("nest.scriprtd",,"bse_cm|9KFL26A","Low ")</f>
        <v>965</v>
      </c>
      <c r="P1083">
        <f>RTD("nest.scriprtd",,"bse_cm|9KFL26A","Prev Close")</f>
        <v>965</v>
      </c>
      <c r="Q1083">
        <f>RTD("nest.scriprtd",,"bse_cm|9KFL26A","Face Value")</f>
        <v>1000</v>
      </c>
      <c r="R1083" t="str">
        <f>RTD("nest.scriprtd",,"bse_cm|9KFL26A","Isin code")</f>
        <v>INE403Q07DB3</v>
      </c>
      <c r="S1083" s="9">
        <f>Table1[[#This Row],[Ask Rate]]*Table1[[#This Row],[Ask Qty]]</f>
        <v>0</v>
      </c>
      <c r="T1083">
        <f>VLOOKUP(Table1[[#This Row],[Isin code]],Table2[#All],7,FALSE)</f>
        <v>9</v>
      </c>
      <c r="U1083" s="17" t="str">
        <f>VLOOKUP(Table1[[#This Row],[Isin code]],Table2[#All],8,FALSE)</f>
        <v>15-Jan-2026</v>
      </c>
      <c r="V1083" s="10">
        <f ca="1">Table1[[#This Row],[Maturity]]-TODAY()</f>
        <v>456</v>
      </c>
      <c r="W1083" t="str">
        <f>VLOOKUP(Table1[[#This Row],[Isin code]],Table2[#All],10,FALSE)</f>
        <v>Monthly</v>
      </c>
      <c r="X1083">
        <f ca="1">_xlfn.DAYS(Table1[[#This Row],[Maturity]],TODAY())-15</f>
        <v>441</v>
      </c>
      <c r="Y10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1083">
        <f>IF(Table1[[#This Row],[Ask Rate]]=0,0,Table1[[#This Row],[Face Value]]-Table1[[#This Row],[Ask Rate]])</f>
        <v>0</v>
      </c>
      <c r="AA1083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1083">
        <f ca="1">Table1[[#This Row],[Face Value]]*Table1[[#This Row],[Rate]]*Table1[[#This Row],[Time]]</f>
        <v>112.5</v>
      </c>
      <c r="AC1083">
        <f ca="1">Table1[[#This Row],[SI]]+Table1[[#This Row],[Disc/Prem]]</f>
        <v>112.5</v>
      </c>
      <c r="AD1083" s="3" t="e">
        <f ca="1">Table1[[#This Row],[Net Gain]]/Table1[[#This Row],[Ask Rate]]</f>
        <v>#DIV/0!</v>
      </c>
      <c r="AE1083" s="3">
        <f>IF(Table1[[#This Row],[Ask Qty]]=0,0,Table1[[#This Row],[Gross Yield]]*365/Table1[[#This Row],[Days Left]])</f>
        <v>0</v>
      </c>
      <c r="AF1083" s="9">
        <f ca="1">+Table1[[#This Row],[Net Gain]]*Table1[[#This Row],[Ask Qty]]</f>
        <v>0</v>
      </c>
      <c r="AG1083" t="str">
        <f>IF(Table1[[#This Row],[YTM]]&gt;0.12,IF(Table1[[#This Row],[Gross Profit]]&gt;10000,"Invest","Review"),"Low YTM")</f>
        <v>Low YTM</v>
      </c>
    </row>
    <row r="1084" spans="1:33" x14ac:dyDescent="0.3">
      <c r="A1084" t="str">
        <f>RTD("nest.scriprtd",,"bse_cm|9KFL26","Symbol")</f>
        <v>9KFL26</v>
      </c>
      <c r="B1084" t="str">
        <f>RTD("nest.scriprtd",,"bse_cm|9KFL26","Trading Symbol")</f>
        <v>9KFL26</v>
      </c>
      <c r="C1084" t="str">
        <f>RTD("nest.scriprtd",,"bse_cm|9KFL26","Exchange")</f>
        <v>BSE</v>
      </c>
      <c r="D1084">
        <f>RTD("nest.scriprtd",,"bse_cm|9KFL26","Bid Qty")</f>
        <v>20</v>
      </c>
      <c r="E1084">
        <f>RTD("nest.scriprtd",,"bse_cm|9KFL26","Bid Rate")</f>
        <v>822.2</v>
      </c>
      <c r="F1084">
        <f>RTD("nest.scriprtd",,"bse_cm|9KFL26","Ask Rate")</f>
        <v>0</v>
      </c>
      <c r="G1084">
        <f>RTD("nest.scriprtd",,"bse_cm|9KFL26","Ask Qty")</f>
        <v>0</v>
      </c>
      <c r="H1084">
        <f>RTD("nest.scriprtd",,"bse_cm|9KFL26","LTP")</f>
        <v>0</v>
      </c>
      <c r="I1084" t="str">
        <f>RTD("nest.scriprtd",,"bse_cm|9KFL26","LTT")</f>
        <v>00:00:00</v>
      </c>
      <c r="J1084">
        <f>RTD("nest.scriprtd",,"bse_cm|9KFL26","% Change")</f>
        <v>-100</v>
      </c>
      <c r="K1084">
        <f>RTD("nest.scriprtd",,"bse_cm|9KFL26","ATP")</f>
        <v>0</v>
      </c>
      <c r="L1084">
        <f>RTD("nest.scriprtd",,"bse_cm|9KFL26","Volume Traded Today")</f>
        <v>0</v>
      </c>
      <c r="M1084">
        <f>RTD("nest.scriprtd",,"bse_cm|9KFL26","Open")</f>
        <v>0</v>
      </c>
      <c r="N1084">
        <f>RTD("nest.scriprtd",,"bse_cm|9KFL26","High")</f>
        <v>968</v>
      </c>
      <c r="O1084">
        <f>RTD("nest.scriprtd",,"bse_cm|9KFL26","Low ")</f>
        <v>968</v>
      </c>
      <c r="P1084">
        <f>RTD("nest.scriprtd",,"bse_cm|9KFL26","Prev Close")</f>
        <v>968</v>
      </c>
      <c r="Q1084">
        <f>RTD("nest.scriprtd",,"bse_cm|9KFL26","Face Value")</f>
        <v>1000</v>
      </c>
      <c r="R1084" t="str">
        <f>RTD("nest.scriprtd",,"bse_cm|9KFL26","Isin code")</f>
        <v>INE403Q07CT7</v>
      </c>
      <c r="S1084" s="9">
        <f>Table1[[#This Row],[Ask Rate]]*Table1[[#This Row],[Ask Qty]]</f>
        <v>0</v>
      </c>
      <c r="T1084">
        <f>VLOOKUP(Table1[[#This Row],[Isin code]],Table2[#All],7,FALSE)</f>
        <v>9</v>
      </c>
      <c r="U1084" s="17" t="str">
        <f>VLOOKUP(Table1[[#This Row],[Isin code]],Table2[#All],8,FALSE)</f>
        <v>10-Feb-2026</v>
      </c>
      <c r="V1084" s="10">
        <f ca="1">Table1[[#This Row],[Maturity]]-TODAY()</f>
        <v>482</v>
      </c>
      <c r="W1084" t="str">
        <f>VLOOKUP(Table1[[#This Row],[Isin code]],Table2[#All],10,FALSE)</f>
        <v>Monthly</v>
      </c>
      <c r="X1084">
        <f ca="1">_xlfn.DAYS(Table1[[#This Row],[Maturity]],TODAY())-15</f>
        <v>467</v>
      </c>
      <c r="Y10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16</v>
      </c>
      <c r="Z1084">
        <f>IF(Table1[[#This Row],[Ask Rate]]=0,0,Table1[[#This Row],[Face Value]]-Table1[[#This Row],[Ask Rate]])</f>
        <v>0</v>
      </c>
      <c r="AA1084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1084">
        <f ca="1">Table1[[#This Row],[Face Value]]*Table1[[#This Row],[Rate]]*Table1[[#This Row],[Time]]</f>
        <v>120</v>
      </c>
      <c r="AC1084">
        <f ca="1">Table1[[#This Row],[SI]]+Table1[[#This Row],[Disc/Prem]]</f>
        <v>120</v>
      </c>
      <c r="AD1084" s="3" t="e">
        <f ca="1">Table1[[#This Row],[Net Gain]]/Table1[[#This Row],[Ask Rate]]</f>
        <v>#DIV/0!</v>
      </c>
      <c r="AE1084" s="3">
        <f>IF(Table1[[#This Row],[Ask Qty]]=0,0,Table1[[#This Row],[Gross Yield]]*365/Table1[[#This Row],[Days Left]])</f>
        <v>0</v>
      </c>
      <c r="AF1084" s="9">
        <f ca="1">+Table1[[#This Row],[Net Gain]]*Table1[[#This Row],[Ask Qty]]</f>
        <v>0</v>
      </c>
      <c r="AG1084" t="str">
        <f>IF(Table1[[#This Row],[YTM]]&gt;0.12,IF(Table1[[#This Row],[Gross Profit]]&gt;10000,"Invest","Review"),"Low YTM")</f>
        <v>Low YTM</v>
      </c>
    </row>
    <row r="1085" spans="1:33" x14ac:dyDescent="0.3">
      <c r="A1085" t="str">
        <f>RTD("nest.scriprtd",,"bse_cm|10SCL31","Symbol")</f>
        <v>10SCL31</v>
      </c>
      <c r="B1085" t="str">
        <f>RTD("nest.scriprtd",,"bse_cm|10SCL31","Trading Symbol")</f>
        <v>10SCL31</v>
      </c>
      <c r="C1085" t="str">
        <f>RTD("nest.scriprtd",,"bse_cm|10SCL31","Exchange")</f>
        <v>BSE</v>
      </c>
      <c r="D1085">
        <f>RTD("nest.scriprtd",,"bse_cm|10SCL31","Bid Qty")</f>
        <v>13</v>
      </c>
      <c r="E1085">
        <f>RTD("nest.scriprtd",,"bse_cm|10SCL31","Bid Rate")</f>
        <v>805.8</v>
      </c>
      <c r="F1085">
        <f>RTD("nest.scriprtd",,"bse_cm|10SCL31","Ask Rate")</f>
        <v>0</v>
      </c>
      <c r="G1085">
        <f>RTD("nest.scriprtd",,"bse_cm|10SCL31","Ask Qty")</f>
        <v>0</v>
      </c>
      <c r="H1085">
        <f>RTD("nest.scriprtd",,"bse_cm|10SCL31","LTP")</f>
        <v>0</v>
      </c>
      <c r="I1085" t="str">
        <f>RTD("nest.scriprtd",,"bse_cm|10SCL31","LTT")</f>
        <v>00:00:00</v>
      </c>
      <c r="J1085">
        <f>RTD("nest.scriprtd",,"bse_cm|10SCL31","% Change")</f>
        <v>-100</v>
      </c>
      <c r="K1085">
        <f>RTD("nest.scriprtd",,"bse_cm|10SCL31","ATP")</f>
        <v>0</v>
      </c>
      <c r="L1085">
        <f>RTD("nest.scriprtd",,"bse_cm|10SCL31","Volume Traded Today")</f>
        <v>0</v>
      </c>
      <c r="M1085">
        <f>RTD("nest.scriprtd",,"bse_cm|10SCL31","Open")</f>
        <v>0</v>
      </c>
      <c r="N1085">
        <f>RTD("nest.scriprtd",,"bse_cm|10SCL31","High")</f>
        <v>0</v>
      </c>
      <c r="O1085">
        <f>RTD("nest.scriprtd",,"bse_cm|10SCL31","Low ")</f>
        <v>0</v>
      </c>
      <c r="P1085">
        <f>RTD("nest.scriprtd",,"bse_cm|10SCL31","Prev Close")</f>
        <v>1000</v>
      </c>
      <c r="Q1085">
        <f>RTD("nest.scriprtd",,"bse_cm|10SCL31","Face Value")</f>
        <v>1000</v>
      </c>
      <c r="R1085" t="str">
        <f>RTD("nest.scriprtd",,"bse_cm|10SCL31","Isin code")</f>
        <v>INE148I07SU9</v>
      </c>
      <c r="S1085" s="9">
        <f>Table1[[#This Row],[Ask Rate]]*Table1[[#This Row],[Ask Qty]]</f>
        <v>0</v>
      </c>
      <c r="T1085">
        <f>VLOOKUP(Table1[[#This Row],[Isin code]],Table2[#All],7,FALSE)</f>
        <v>10</v>
      </c>
      <c r="U1085" s="17" t="str">
        <f>VLOOKUP(Table1[[#This Row],[Isin code]],Table2[#All],8,FALSE)</f>
        <v>26-Mar-2031</v>
      </c>
      <c r="V1085" s="10">
        <f ca="1">Table1[[#This Row],[Maturity]]-TODAY()</f>
        <v>2352</v>
      </c>
      <c r="W1085" t="str">
        <f>VLOOKUP(Table1[[#This Row],[Isin code]],Table2[#All],10,FALSE)</f>
        <v>Annual</v>
      </c>
      <c r="X1085">
        <f ca="1">_xlfn.DAYS(Table1[[#This Row],[Maturity]],TODAY())-15</f>
        <v>2337</v>
      </c>
      <c r="Y108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85">
        <f>IF(Table1[[#This Row],[Ask Rate]]=0,0,Table1[[#This Row],[Face Value]]-Table1[[#This Row],[Ask Rate]])</f>
        <v>0</v>
      </c>
      <c r="AA108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85">
        <f>Table1[[#This Row],[Face Value]]*Table1[[#This Row],[Rate]]*Table1[[#This Row],[Time]]</f>
        <v>0</v>
      </c>
      <c r="AC1085">
        <f>Table1[[#This Row],[SI]]+Table1[[#This Row],[Disc/Prem]]</f>
        <v>0</v>
      </c>
      <c r="AD1085" s="3" t="e">
        <f>Table1[[#This Row],[Net Gain]]/Table1[[#This Row],[Ask Rate]]</f>
        <v>#DIV/0!</v>
      </c>
      <c r="AE1085" s="3">
        <f>IF(Table1[[#This Row],[Ask Qty]]=0,0,Table1[[#This Row],[Gross Yield]]*365/Table1[[#This Row],[Days Left]])</f>
        <v>0</v>
      </c>
      <c r="AF1085" s="9">
        <f>+Table1[[#This Row],[Net Gain]]*Table1[[#This Row],[Ask Qty]]</f>
        <v>0</v>
      </c>
      <c r="AG1085" t="str">
        <f>IF(Table1[[#This Row],[YTM]]&gt;0.12,IF(Table1[[#This Row],[Gross Profit]]&gt;10000,"Invest","Review"),"Low YTM")</f>
        <v>Low YTM</v>
      </c>
    </row>
    <row r="1086" spans="1:33" x14ac:dyDescent="0.3">
      <c r="A1086" t="str">
        <f>RTD("nest.scriprtd",,"bse_cm|931SFL26A","Symbol")</f>
        <v>931SFL26A</v>
      </c>
      <c r="B1086" t="str">
        <f>RTD("nest.scriprtd",,"bse_cm|931SFL26A","Trading Symbol")</f>
        <v>931SFL26A</v>
      </c>
      <c r="C1086" t="str">
        <f>RTD("nest.scriprtd",,"bse_cm|931SFL26A","Exchange")</f>
        <v>BSE</v>
      </c>
      <c r="D1086">
        <f>RTD("nest.scriprtd",,"bse_cm|931SFL26A","Bid Qty")</f>
        <v>20</v>
      </c>
      <c r="E1086">
        <f>RTD("nest.scriprtd",,"bse_cm|931SFL26A","Bid Rate")</f>
        <v>822.8</v>
      </c>
      <c r="F1086">
        <f>RTD("nest.scriprtd",,"bse_cm|931SFL26A","Ask Rate")</f>
        <v>0</v>
      </c>
      <c r="G1086">
        <f>RTD("nest.scriprtd",,"bse_cm|931SFL26A","Ask Qty")</f>
        <v>0</v>
      </c>
      <c r="H1086">
        <f>RTD("nest.scriprtd",,"bse_cm|931SFL26A","LTP")</f>
        <v>0</v>
      </c>
      <c r="I1086" t="str">
        <f>RTD("nest.scriprtd",,"bse_cm|931SFL26A","LTT")</f>
        <v>00:00:00</v>
      </c>
      <c r="J1086">
        <f>RTD("nest.scriprtd",,"bse_cm|931SFL26A","% Change")</f>
        <v>-100</v>
      </c>
      <c r="K1086">
        <f>RTD("nest.scriprtd",,"bse_cm|931SFL26A","ATP")</f>
        <v>0</v>
      </c>
      <c r="L1086">
        <f>RTD("nest.scriprtd",,"bse_cm|931SFL26A","Volume Traded Today")</f>
        <v>0</v>
      </c>
      <c r="M1086">
        <f>RTD("nest.scriprtd",,"bse_cm|931SFL26A","Open")</f>
        <v>0</v>
      </c>
      <c r="N1086">
        <f>RTD("nest.scriprtd",,"bse_cm|931SFL26A","High")</f>
        <v>0</v>
      </c>
      <c r="O1086">
        <f>RTD("nest.scriprtd",,"bse_cm|931SFL26A","Low ")</f>
        <v>0</v>
      </c>
      <c r="P1086">
        <f>RTD("nest.scriprtd",,"bse_cm|931SFL26A","Prev Close")</f>
        <v>1010</v>
      </c>
      <c r="Q1086">
        <f>RTD("nest.scriprtd",,"bse_cm|931SFL26A","Face Value")</f>
        <v>1000</v>
      </c>
      <c r="R1086" t="str">
        <f>RTD("nest.scriprtd",,"bse_cm|931SFL26A","Isin code")</f>
        <v>INE244L07150</v>
      </c>
      <c r="S1086" s="9">
        <f>Table1[[#This Row],[Ask Rate]]*Table1[[#This Row],[Ask Qty]]</f>
        <v>0</v>
      </c>
      <c r="T1086">
        <f>VLOOKUP(Table1[[#This Row],[Isin code]],Table2[#All],7,FALSE)</f>
        <v>9.1</v>
      </c>
      <c r="U1086" s="17" t="str">
        <f>VLOOKUP(Table1[[#This Row],[Isin code]],Table2[#All],8,FALSE)</f>
        <v>25-Sep-2028</v>
      </c>
      <c r="V1086" s="10">
        <f ca="1">Table1[[#This Row],[Maturity]]-TODAY()</f>
        <v>1440</v>
      </c>
      <c r="W1086" t="str">
        <f>VLOOKUP(Table1[[#This Row],[Isin code]],Table2[#All],10,FALSE)</f>
        <v>Monthly</v>
      </c>
      <c r="X1086">
        <f ca="1">_xlfn.DAYS(Table1[[#This Row],[Maturity]],TODAY())-15</f>
        <v>1425</v>
      </c>
      <c r="Y10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1086">
        <f>IF(Table1[[#This Row],[Ask Rate]]=0,0,Table1[[#This Row],[Face Value]]-Table1[[#This Row],[Ask Rate]])</f>
        <v>0</v>
      </c>
      <c r="AA1086">
        <f>IF(Table1[[#This Row],[Freq]]="Yearly",Table1[[#This Row],[Coupon_Rate]]/100,IF(Table1[[#This Row],[Freq]]="Monthly",Table1[[#This Row],[Coupon_Rate]]/1200,IF(Table1[[#This Row],[Freq]]="Quarterly",Table1[[#This Row],[Coupon_Rate]]/400,0)))</f>
        <v>7.5833333333333334E-3</v>
      </c>
      <c r="AB1086">
        <f ca="1">Table1[[#This Row],[Face Value]]*Table1[[#This Row],[Rate]]*Table1[[#This Row],[Time]]</f>
        <v>364</v>
      </c>
      <c r="AC1086">
        <f ca="1">Table1[[#This Row],[SI]]+Table1[[#This Row],[Disc/Prem]]</f>
        <v>364</v>
      </c>
      <c r="AD1086" s="3" t="e">
        <f ca="1">Table1[[#This Row],[Net Gain]]/Table1[[#This Row],[Ask Rate]]</f>
        <v>#DIV/0!</v>
      </c>
      <c r="AE1086" s="3">
        <f>IF(Table1[[#This Row],[Ask Qty]]=0,0,Table1[[#This Row],[Gross Yield]]*365/Table1[[#This Row],[Days Left]])</f>
        <v>0</v>
      </c>
      <c r="AF1086" s="9">
        <f ca="1">+Table1[[#This Row],[Net Gain]]*Table1[[#This Row],[Ask Qty]]</f>
        <v>0</v>
      </c>
      <c r="AG1086" t="str">
        <f>IF(Table1[[#This Row],[YTM]]&gt;0.12,IF(Table1[[#This Row],[Gross Profit]]&gt;10000,"Invest","Review"),"Low YTM")</f>
        <v>Low YTM</v>
      </c>
    </row>
    <row r="1087" spans="1:33" x14ac:dyDescent="0.3">
      <c r="A1087" t="str">
        <f>RTD("nest.scriprtd",,"nse_cm|92LTF29-N4","Symbol")</f>
        <v>92LTF29</v>
      </c>
      <c r="B1087" t="str">
        <f>RTD("nest.scriprtd",,"nse_cm|92LTF29-N4","Trading Symbol")</f>
        <v>92LTF29-N4</v>
      </c>
      <c r="C1087" t="str">
        <f>RTD("nest.scriprtd",,"nse_cm|92LTF29-N4","Exchange")</f>
        <v>NSE</v>
      </c>
      <c r="D1087">
        <f>RTD("nest.scriprtd",,"nse_cm|92LTF29-N4","Bid Qty")</f>
        <v>0</v>
      </c>
      <c r="E1087">
        <f>RTD("nest.scriprtd",,"nse_cm|92LTF29-N4","Bid Rate")</f>
        <v>0</v>
      </c>
      <c r="F1087">
        <f>RTD("nest.scriprtd",,"nse_cm|92LTF29-N4","Ask Rate")</f>
        <v>0</v>
      </c>
      <c r="G1087">
        <f>RTD("nest.scriprtd",,"nse_cm|92LTF29-N4","Ask Qty")</f>
        <v>0</v>
      </c>
      <c r="H1087">
        <f>RTD("nest.scriprtd",,"nse_cm|92LTF29-N4","LTP")</f>
        <v>0</v>
      </c>
      <c r="I1087" t="str">
        <f>RTD("nest.scriprtd",,"nse_cm|92LTF29-N4","LTT")</f>
        <v/>
      </c>
      <c r="J1087">
        <f>RTD("nest.scriprtd",,"nse_cm|92LTF29-N4","% Change")</f>
        <v>-100</v>
      </c>
      <c r="K1087">
        <f>RTD("nest.scriprtd",,"nse_cm|92LTF29-N4","ATP")</f>
        <v>0</v>
      </c>
      <c r="L1087">
        <f>RTD("nest.scriprtd",,"nse_cm|92LTF29-N4","Volume Traded Today")</f>
        <v>0</v>
      </c>
      <c r="M1087">
        <f>RTD("nest.scriprtd",,"nse_cm|92LTF29-N4","Open")</f>
        <v>0</v>
      </c>
      <c r="N1087">
        <f>RTD("nest.scriprtd",,"nse_cm|92LTF29-N4","High")</f>
        <v>0</v>
      </c>
      <c r="O1087">
        <f>RTD("nest.scriprtd",,"nse_cm|92LTF29-N4","Low ")</f>
        <v>0</v>
      </c>
      <c r="P1087">
        <f>RTD("nest.scriprtd",,"nse_cm|92LTF29-N4","Prev Close")</f>
        <v>1000</v>
      </c>
      <c r="Q1087">
        <f>RTD("nest.scriprtd",,"nse_cm|92LTF29-N4","Face Value")</f>
        <v>1000</v>
      </c>
      <c r="R1087" t="str">
        <f>RTD("nest.scriprtd",,"nse_cm|92LTF29-N4","Isin code")</f>
        <v>INE027E07964</v>
      </c>
      <c r="S1087" s="9">
        <f>Table1[[#This Row],[Ask Rate]]*Table1[[#This Row],[Ask Qty]]</f>
        <v>0</v>
      </c>
      <c r="T1087">
        <f>VLOOKUP(Table1[[#This Row],[Isin code]],Table2[#All],7,FALSE)</f>
        <v>9.1999999999999993</v>
      </c>
      <c r="U1087" s="17" t="str">
        <f>VLOOKUP(Table1[[#This Row],[Isin code]],Table2[#All],8,FALSE)</f>
        <v>13-Mar-2029</v>
      </c>
      <c r="V1087" s="10">
        <f ca="1">Table1[[#This Row],[Maturity]]-TODAY()</f>
        <v>1609</v>
      </c>
      <c r="W1087" t="str">
        <f>VLOOKUP(Table1[[#This Row],[Isin code]],Table2[#All],10,FALSE)</f>
        <v>Yearly</v>
      </c>
      <c r="X1087">
        <f ca="1">_xlfn.DAYS(Table1[[#This Row],[Maturity]],TODAY())-15</f>
        <v>1594</v>
      </c>
      <c r="Y10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087">
        <f>IF(Table1[[#This Row],[Ask Rate]]=0,0,Table1[[#This Row],[Face Value]]-Table1[[#This Row],[Ask Rate]])</f>
        <v>0</v>
      </c>
      <c r="AA1087">
        <f>IF(Table1[[#This Row],[Freq]]="Yearly",Table1[[#This Row],[Coupon_Rate]]/100,IF(Table1[[#This Row],[Freq]]="Monthly",Table1[[#This Row],[Coupon_Rate]]/1200,IF(Table1[[#This Row],[Freq]]="Quarterly",Table1[[#This Row],[Coupon_Rate]]/400,0)))</f>
        <v>9.1999999999999998E-2</v>
      </c>
      <c r="AB1087">
        <f ca="1">Table1[[#This Row],[Face Value]]*Table1[[#This Row],[Rate]]*Table1[[#This Row],[Time]]</f>
        <v>460</v>
      </c>
      <c r="AC1087">
        <f ca="1">Table1[[#This Row],[SI]]+Table1[[#This Row],[Disc/Prem]]</f>
        <v>460</v>
      </c>
      <c r="AD1087" s="3" t="e">
        <f ca="1">Table1[[#This Row],[Net Gain]]/Table1[[#This Row],[Ask Rate]]</f>
        <v>#DIV/0!</v>
      </c>
      <c r="AE1087" s="3">
        <f>IF(Table1[[#This Row],[Ask Qty]]=0,0,Table1[[#This Row],[Gross Yield]]*365/Table1[[#This Row],[Days Left]])</f>
        <v>0</v>
      </c>
      <c r="AF1087" s="9">
        <f ca="1">+Table1[[#This Row],[Net Gain]]*Table1[[#This Row],[Ask Qty]]</f>
        <v>0</v>
      </c>
      <c r="AG1087" t="str">
        <f>IF(Table1[[#This Row],[YTM]]&gt;0.12,IF(Table1[[#This Row],[Gross Profit]]&gt;10000,"Invest","Review"),"Low YTM")</f>
        <v>Low YTM</v>
      </c>
    </row>
    <row r="1088" spans="1:33" x14ac:dyDescent="0.3">
      <c r="A1088" t="str">
        <f>RTD("nest.scriprtd",,"bse_cm|92LTF29","Symbol")</f>
        <v>92LTF29</v>
      </c>
      <c r="B1088" t="str">
        <f>RTD("nest.scriprtd",,"bse_cm|92LTF29","Trading Symbol")</f>
        <v>92LTF29</v>
      </c>
      <c r="C1088" t="str">
        <f>RTD("nest.scriprtd",,"bse_cm|92LTF29","Exchange")</f>
        <v>BSE</v>
      </c>
      <c r="D1088">
        <f>RTD("nest.scriprtd",,"bse_cm|92LTF29","Bid Qty")</f>
        <v>20</v>
      </c>
      <c r="E1088">
        <f>RTD("nest.scriprtd",,"bse_cm|92LTF29","Bid Rate")</f>
        <v>925.4</v>
      </c>
      <c r="F1088">
        <f>RTD("nest.scriprtd",,"bse_cm|92LTF29","Ask Rate")</f>
        <v>0</v>
      </c>
      <c r="G1088">
        <f>RTD("nest.scriprtd",,"bse_cm|92LTF29","Ask Qty")</f>
        <v>0</v>
      </c>
      <c r="H1088">
        <f>RTD("nest.scriprtd",,"bse_cm|92LTF29","LTP")</f>
        <v>0</v>
      </c>
      <c r="I1088" t="str">
        <f>RTD("nest.scriprtd",,"bse_cm|92LTF29","LTT")</f>
        <v>00:00:00</v>
      </c>
      <c r="J1088">
        <f>RTD("nest.scriprtd",,"bse_cm|92LTF29","% Change")</f>
        <v>-100</v>
      </c>
      <c r="K1088">
        <f>RTD("nest.scriprtd",,"bse_cm|92LTF29","ATP")</f>
        <v>0</v>
      </c>
      <c r="L1088">
        <f>RTD("nest.scriprtd",,"bse_cm|92LTF29","Volume Traded Today")</f>
        <v>0</v>
      </c>
      <c r="M1088">
        <f>RTD("nest.scriprtd",,"bse_cm|92LTF29","Open")</f>
        <v>0</v>
      </c>
      <c r="N1088">
        <f>RTD("nest.scriprtd",,"bse_cm|92LTF29","High")</f>
        <v>0</v>
      </c>
      <c r="O1088">
        <f>RTD("nest.scriprtd",,"bse_cm|92LTF29","Low ")</f>
        <v>0</v>
      </c>
      <c r="P1088">
        <f>RTD("nest.scriprtd",,"bse_cm|92LTF29","Prev Close")</f>
        <v>1000</v>
      </c>
      <c r="Q1088">
        <f>RTD("nest.scriprtd",,"bse_cm|92LTF29","Face Value")</f>
        <v>1000</v>
      </c>
      <c r="R1088" t="str">
        <f>RTD("nest.scriprtd",,"bse_cm|92LTF29","Isin code")</f>
        <v>INE027E07964</v>
      </c>
      <c r="S1088" s="9">
        <f>Table1[[#This Row],[Ask Rate]]*Table1[[#This Row],[Ask Qty]]</f>
        <v>0</v>
      </c>
      <c r="T1088">
        <f>VLOOKUP(Table1[[#This Row],[Isin code]],Table2[#All],7,FALSE)</f>
        <v>9.1999999999999993</v>
      </c>
      <c r="U1088" s="17" t="str">
        <f>VLOOKUP(Table1[[#This Row],[Isin code]],Table2[#All],8,FALSE)</f>
        <v>13-Mar-2029</v>
      </c>
      <c r="V1088" s="10">
        <f ca="1">Table1[[#This Row],[Maturity]]-TODAY()</f>
        <v>1609</v>
      </c>
      <c r="W1088" t="str">
        <f>VLOOKUP(Table1[[#This Row],[Isin code]],Table2[#All],10,FALSE)</f>
        <v>Yearly</v>
      </c>
      <c r="X1088">
        <f ca="1">_xlfn.DAYS(Table1[[#This Row],[Maturity]],TODAY())-15</f>
        <v>1594</v>
      </c>
      <c r="Y10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088">
        <f>IF(Table1[[#This Row],[Ask Rate]]=0,0,Table1[[#This Row],[Face Value]]-Table1[[#This Row],[Ask Rate]])</f>
        <v>0</v>
      </c>
      <c r="AA1088">
        <f>IF(Table1[[#This Row],[Freq]]="Yearly",Table1[[#This Row],[Coupon_Rate]]/100,IF(Table1[[#This Row],[Freq]]="Monthly",Table1[[#This Row],[Coupon_Rate]]/1200,IF(Table1[[#This Row],[Freq]]="Quarterly",Table1[[#This Row],[Coupon_Rate]]/400,0)))</f>
        <v>9.1999999999999998E-2</v>
      </c>
      <c r="AB1088">
        <f ca="1">Table1[[#This Row],[Face Value]]*Table1[[#This Row],[Rate]]*Table1[[#This Row],[Time]]</f>
        <v>460</v>
      </c>
      <c r="AC1088">
        <f ca="1">Table1[[#This Row],[SI]]+Table1[[#This Row],[Disc/Prem]]</f>
        <v>460</v>
      </c>
      <c r="AD1088" s="3" t="e">
        <f ca="1">Table1[[#This Row],[Net Gain]]/Table1[[#This Row],[Ask Rate]]</f>
        <v>#DIV/0!</v>
      </c>
      <c r="AE1088" s="3">
        <f>IF(Table1[[#This Row],[Ask Qty]]=0,0,Table1[[#This Row],[Gross Yield]]*365/Table1[[#This Row],[Days Left]])</f>
        <v>0</v>
      </c>
      <c r="AF1088" s="9">
        <f ca="1">+Table1[[#This Row],[Net Gain]]*Table1[[#This Row],[Ask Qty]]</f>
        <v>0</v>
      </c>
      <c r="AG1088" t="str">
        <f>IF(Table1[[#This Row],[YTM]]&gt;0.12,IF(Table1[[#This Row],[Gross Profit]]&gt;10000,"Invest","Review"),"Low YTM")</f>
        <v>Low YTM</v>
      </c>
    </row>
    <row r="1089" spans="1:33" x14ac:dyDescent="0.3">
      <c r="A1089" t="str">
        <f>RTD("nest.scriprtd",,"bse_cm|97SFL26A","Symbol")</f>
        <v>97SFL26A</v>
      </c>
      <c r="B1089" t="str">
        <f>RTD("nest.scriprtd",,"bse_cm|97SFL26A","Trading Symbol")</f>
        <v>97SFL26A</v>
      </c>
      <c r="C1089" t="str">
        <f>RTD("nest.scriprtd",,"bse_cm|97SFL26A","Exchange")</f>
        <v>BSE</v>
      </c>
      <c r="D1089">
        <f>RTD("nest.scriprtd",,"bse_cm|97SFL26A","Bid Qty")</f>
        <v>20</v>
      </c>
      <c r="E1089">
        <f>RTD("nest.scriprtd",,"bse_cm|97SFL26A","Bid Rate")</f>
        <v>840.2</v>
      </c>
      <c r="F1089">
        <f>RTD("nest.scriprtd",,"bse_cm|97SFL26A","Ask Rate")</f>
        <v>0</v>
      </c>
      <c r="G1089">
        <f>RTD("nest.scriprtd",,"bse_cm|97SFL26A","Ask Qty")</f>
        <v>0</v>
      </c>
      <c r="H1089">
        <f>RTD("nest.scriprtd",,"bse_cm|97SFL26A","LTP")</f>
        <v>0</v>
      </c>
      <c r="I1089" t="str">
        <f>RTD("nest.scriprtd",,"bse_cm|97SFL26A","LTT")</f>
        <v>00:00:00</v>
      </c>
      <c r="J1089">
        <f>RTD("nest.scriprtd",,"bse_cm|97SFL26A","% Change")</f>
        <v>-100</v>
      </c>
      <c r="K1089">
        <f>RTD("nest.scriprtd",,"bse_cm|97SFL26A","ATP")</f>
        <v>0</v>
      </c>
      <c r="L1089">
        <f>RTD("nest.scriprtd",,"bse_cm|97SFL26A","Volume Traded Today")</f>
        <v>0</v>
      </c>
      <c r="M1089">
        <f>RTD("nest.scriprtd",,"bse_cm|97SFL26A","Open")</f>
        <v>0</v>
      </c>
      <c r="N1089">
        <f>RTD("nest.scriprtd",,"bse_cm|97SFL26A","High")</f>
        <v>0</v>
      </c>
      <c r="O1089">
        <f>RTD("nest.scriprtd",,"bse_cm|97SFL26A","Low ")</f>
        <v>0</v>
      </c>
      <c r="P1089">
        <f>RTD("nest.scriprtd",,"bse_cm|97SFL26A","Prev Close")</f>
        <v>1000</v>
      </c>
      <c r="Q1089">
        <f>RTD("nest.scriprtd",,"bse_cm|97SFL26A","Face Value")</f>
        <v>1000</v>
      </c>
      <c r="R1089" t="str">
        <f>RTD("nest.scriprtd",,"bse_cm|97SFL26A","Isin code")</f>
        <v>INE244L07176</v>
      </c>
      <c r="S1089" s="9">
        <f>Table1[[#This Row],[Ask Rate]]*Table1[[#This Row],[Ask Qty]]</f>
        <v>0</v>
      </c>
      <c r="T1089">
        <f>VLOOKUP(Table1[[#This Row],[Isin code]],Table2[#All],7,FALSE)</f>
        <v>9.09</v>
      </c>
      <c r="U1089" s="17" t="str">
        <f>VLOOKUP(Table1[[#This Row],[Isin code]],Table2[#All],8,FALSE)</f>
        <v>25-Sep-2028</v>
      </c>
      <c r="V1089" s="10">
        <f ca="1">Table1[[#This Row],[Maturity]]-TODAY()</f>
        <v>1440</v>
      </c>
      <c r="W1089" t="str">
        <f>VLOOKUP(Table1[[#This Row],[Isin code]],Table2[#All],10,FALSE)</f>
        <v>Yearly</v>
      </c>
      <c r="X1089">
        <f ca="1">_xlfn.DAYS(Table1[[#This Row],[Maturity]],TODAY())-15</f>
        <v>1425</v>
      </c>
      <c r="Y10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089">
        <f>IF(Table1[[#This Row],[Ask Rate]]=0,0,Table1[[#This Row],[Face Value]]-Table1[[#This Row],[Ask Rate]])</f>
        <v>0</v>
      </c>
      <c r="AA1089">
        <f>IF(Table1[[#This Row],[Freq]]="Yearly",Table1[[#This Row],[Coupon_Rate]]/100,IF(Table1[[#This Row],[Freq]]="Monthly",Table1[[#This Row],[Coupon_Rate]]/1200,IF(Table1[[#This Row],[Freq]]="Quarterly",Table1[[#This Row],[Coupon_Rate]]/400,0)))</f>
        <v>9.0899999999999995E-2</v>
      </c>
      <c r="AB1089">
        <f ca="1">Table1[[#This Row],[Face Value]]*Table1[[#This Row],[Rate]]*Table1[[#This Row],[Time]]</f>
        <v>363.59999999999997</v>
      </c>
      <c r="AC1089">
        <f ca="1">Table1[[#This Row],[SI]]+Table1[[#This Row],[Disc/Prem]]</f>
        <v>363.59999999999997</v>
      </c>
      <c r="AD1089" s="3" t="e">
        <f ca="1">Table1[[#This Row],[Net Gain]]/Table1[[#This Row],[Ask Rate]]</f>
        <v>#DIV/0!</v>
      </c>
      <c r="AE1089" s="3">
        <f>IF(Table1[[#This Row],[Ask Qty]]=0,0,Table1[[#This Row],[Gross Yield]]*365/Table1[[#This Row],[Days Left]])</f>
        <v>0</v>
      </c>
      <c r="AF1089" s="9">
        <f ca="1">+Table1[[#This Row],[Net Gain]]*Table1[[#This Row],[Ask Qty]]</f>
        <v>0</v>
      </c>
      <c r="AG1089" t="str">
        <f>IF(Table1[[#This Row],[YTM]]&gt;0.12,IF(Table1[[#This Row],[Gross Profit]]&gt;10000,"Invest","Review"),"Low YTM")</f>
        <v>Low YTM</v>
      </c>
    </row>
    <row r="1090" spans="1:33" x14ac:dyDescent="0.3">
      <c r="A1090" t="str">
        <f>RTD("nest.scriprtd",,"bse_cm|10MMFL27","Symbol")</f>
        <v>10MMFL27</v>
      </c>
      <c r="B1090" t="str">
        <f>RTD("nest.scriprtd",,"bse_cm|10MMFL27","Trading Symbol")</f>
        <v>10MMFL27</v>
      </c>
      <c r="C1090" t="str">
        <f>RTD("nest.scriprtd",,"bse_cm|10MMFL27","Exchange")</f>
        <v>BSE</v>
      </c>
      <c r="D1090">
        <f>RTD("nest.scriprtd",,"bse_cm|10MMFL27","Bid Qty")</f>
        <v>45</v>
      </c>
      <c r="E1090">
        <f>RTD("nest.scriprtd",,"bse_cm|10MMFL27","Bid Rate")</f>
        <v>900.01</v>
      </c>
      <c r="F1090">
        <f>RTD("nest.scriprtd",,"bse_cm|10MMFL27","Ask Rate")</f>
        <v>0</v>
      </c>
      <c r="G1090">
        <f>RTD("nest.scriprtd",,"bse_cm|10MMFL27","Ask Qty")</f>
        <v>0</v>
      </c>
      <c r="H1090">
        <f>RTD("nest.scriprtd",,"bse_cm|10MMFL27","LTP")</f>
        <v>0</v>
      </c>
      <c r="I1090" t="str">
        <f>RTD("nest.scriprtd",,"bse_cm|10MMFL27","LTT")</f>
        <v>00:00:00</v>
      </c>
      <c r="J1090">
        <f>RTD("nest.scriprtd",,"bse_cm|10MMFL27","% Change")</f>
        <v>-100</v>
      </c>
      <c r="K1090">
        <f>RTD("nest.scriprtd",,"bse_cm|10MMFL27","ATP")</f>
        <v>0</v>
      </c>
      <c r="L1090">
        <f>RTD("nest.scriprtd",,"bse_cm|10MMFL27","Volume Traded Today")</f>
        <v>0</v>
      </c>
      <c r="M1090">
        <f>RTD("nest.scriprtd",,"bse_cm|10MMFL27","Open")</f>
        <v>0</v>
      </c>
      <c r="N1090">
        <f>RTD("nest.scriprtd",,"bse_cm|10MMFL27","High")</f>
        <v>990</v>
      </c>
      <c r="O1090">
        <f>RTD("nest.scriprtd",,"bse_cm|10MMFL27","Low ")</f>
        <v>979</v>
      </c>
      <c r="P1090">
        <f>RTD("nest.scriprtd",,"bse_cm|10MMFL27","Prev Close")</f>
        <v>990</v>
      </c>
      <c r="Q1090">
        <f>RTD("nest.scriprtd",,"bse_cm|10MMFL27","Face Value")</f>
        <v>1000</v>
      </c>
      <c r="R1090" t="str">
        <f>RTD("nest.scriprtd",,"bse_cm|10MMFL27","Isin code")</f>
        <v>INE101Q08159</v>
      </c>
      <c r="S1090" s="9">
        <f>Table1[[#This Row],[Ask Rate]]*Table1[[#This Row],[Ask Qty]]</f>
        <v>0</v>
      </c>
      <c r="T1090">
        <f>VLOOKUP(Table1[[#This Row],[Isin code]],Table2[#All],7,FALSE)</f>
        <v>10</v>
      </c>
      <c r="U1090" s="17" t="str">
        <f>VLOOKUP(Table1[[#This Row],[Isin code]],Table2[#All],8,FALSE)</f>
        <v>15-Mar-2027</v>
      </c>
      <c r="V1090" s="10">
        <f ca="1">Table1[[#This Row],[Maturity]]-TODAY()</f>
        <v>880</v>
      </c>
      <c r="W1090" t="str">
        <f>VLOOKUP(Table1[[#This Row],[Isin code]],Table2[#All],10,FALSE)</f>
        <v>Monthly</v>
      </c>
      <c r="X1090">
        <f ca="1">_xlfn.DAYS(Table1[[#This Row],[Maturity]],TODAY())-15</f>
        <v>865</v>
      </c>
      <c r="Y10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29</v>
      </c>
      <c r="Z1090">
        <f>IF(Table1[[#This Row],[Ask Rate]]=0,0,Table1[[#This Row],[Face Value]]-Table1[[#This Row],[Ask Rate]])</f>
        <v>0</v>
      </c>
      <c r="AA1090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090">
        <f ca="1">Table1[[#This Row],[Face Value]]*Table1[[#This Row],[Rate]]*Table1[[#This Row],[Time]]</f>
        <v>241.66666666666669</v>
      </c>
      <c r="AC1090">
        <f ca="1">Table1[[#This Row],[SI]]+Table1[[#This Row],[Disc/Prem]]</f>
        <v>241.66666666666669</v>
      </c>
      <c r="AD1090" s="3" t="e">
        <f ca="1">Table1[[#This Row],[Net Gain]]/Table1[[#This Row],[Ask Rate]]</f>
        <v>#DIV/0!</v>
      </c>
      <c r="AE1090" s="3">
        <f>IF(Table1[[#This Row],[Ask Qty]]=0,0,Table1[[#This Row],[Gross Yield]]*365/Table1[[#This Row],[Days Left]])</f>
        <v>0</v>
      </c>
      <c r="AF1090" s="9">
        <f ca="1">+Table1[[#This Row],[Net Gain]]*Table1[[#This Row],[Ask Qty]]</f>
        <v>0</v>
      </c>
      <c r="AG1090" t="str">
        <f>IF(Table1[[#This Row],[YTM]]&gt;0.12,IF(Table1[[#This Row],[Gross Profit]]&gt;10000,"Invest","Review"),"Low YTM")</f>
        <v>Low YTM</v>
      </c>
    </row>
    <row r="1091" spans="1:33" x14ac:dyDescent="0.3">
      <c r="A1091" t="str">
        <f>RTD("nest.scriprtd",,"bse_cm|10MFCL30","Symbol")</f>
        <v>10MFCL30</v>
      </c>
      <c r="B1091" t="str">
        <f>RTD("nest.scriprtd",,"bse_cm|10MFCL30","Trading Symbol")</f>
        <v>10MFCL30</v>
      </c>
      <c r="C1091" t="str">
        <f>RTD("nest.scriprtd",,"bse_cm|10MFCL30","Exchange")</f>
        <v>BSE</v>
      </c>
      <c r="D1091">
        <f>RTD("nest.scriprtd",,"bse_cm|10MFCL30","Bid Qty")</f>
        <v>100</v>
      </c>
      <c r="E1091">
        <f>RTD("nest.scriprtd",,"bse_cm|10MFCL30","Bid Rate")</f>
        <v>913.05</v>
      </c>
      <c r="F1091">
        <f>RTD("nest.scriprtd",,"bse_cm|10MFCL30","Ask Rate")</f>
        <v>0</v>
      </c>
      <c r="G1091">
        <f>RTD("nest.scriprtd",,"bse_cm|10MFCL30","Ask Qty")</f>
        <v>0</v>
      </c>
      <c r="H1091">
        <f>RTD("nest.scriprtd",,"bse_cm|10MFCL30","LTP")</f>
        <v>0</v>
      </c>
      <c r="I1091" t="str">
        <f>RTD("nest.scriprtd",,"bse_cm|10MFCL30","LTT")</f>
        <v>00:00:00</v>
      </c>
      <c r="J1091">
        <f>RTD("nest.scriprtd",,"bse_cm|10MFCL30","% Change")</f>
        <v>-100</v>
      </c>
      <c r="K1091">
        <f>RTD("nest.scriprtd",,"bse_cm|10MFCL30","ATP")</f>
        <v>0</v>
      </c>
      <c r="L1091">
        <f>RTD("nest.scriprtd",,"bse_cm|10MFCL30","Volume Traded Today")</f>
        <v>0</v>
      </c>
      <c r="M1091">
        <f>RTD("nest.scriprtd",,"bse_cm|10MFCL30","Open")</f>
        <v>0</v>
      </c>
      <c r="N1091">
        <f>RTD("nest.scriprtd",,"bse_cm|10MFCL30","High")</f>
        <v>995.99</v>
      </c>
      <c r="O1091">
        <f>RTD("nest.scriprtd",,"bse_cm|10MFCL30","Low ")</f>
        <v>995.99</v>
      </c>
      <c r="P1091">
        <f>RTD("nest.scriprtd",,"bse_cm|10MFCL30","Prev Close")</f>
        <v>995.99</v>
      </c>
      <c r="Q1091">
        <f>RTD("nest.scriprtd",,"bse_cm|10MFCL30","Face Value")</f>
        <v>1000</v>
      </c>
      <c r="R1091" t="str">
        <f>RTD("nest.scriprtd",,"bse_cm|10MFCL30","Isin code")</f>
        <v>INE549K07DQ4</v>
      </c>
      <c r="S1091" s="9">
        <f>Table1[[#This Row],[Ask Rate]]*Table1[[#This Row],[Ask Qty]]</f>
        <v>0</v>
      </c>
      <c r="T1091">
        <f>VLOOKUP(Table1[[#This Row],[Isin code]],Table2[#All],7,FALSE)</f>
        <v>10</v>
      </c>
      <c r="U1091" s="17" t="str">
        <f>VLOOKUP(Table1[[#This Row],[Isin code]],Table2[#All],8,FALSE)</f>
        <v>30-Apr-2030</v>
      </c>
      <c r="V1091" s="10">
        <f ca="1">Table1[[#This Row],[Maturity]]-TODAY()</f>
        <v>2022</v>
      </c>
      <c r="W1091" t="str">
        <f>VLOOKUP(Table1[[#This Row],[Isin code]],Table2[#All],10,FALSE)</f>
        <v>Annual</v>
      </c>
      <c r="X1091">
        <f ca="1">_xlfn.DAYS(Table1[[#This Row],[Maturity]],TODAY())-15</f>
        <v>2007</v>
      </c>
      <c r="Y109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91">
        <f>IF(Table1[[#This Row],[Ask Rate]]=0,0,Table1[[#This Row],[Face Value]]-Table1[[#This Row],[Ask Rate]])</f>
        <v>0</v>
      </c>
      <c r="AA109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91">
        <f>Table1[[#This Row],[Face Value]]*Table1[[#This Row],[Rate]]*Table1[[#This Row],[Time]]</f>
        <v>0</v>
      </c>
      <c r="AC1091">
        <f>Table1[[#This Row],[SI]]+Table1[[#This Row],[Disc/Prem]]</f>
        <v>0</v>
      </c>
      <c r="AD1091" s="3" t="e">
        <f>Table1[[#This Row],[Net Gain]]/Table1[[#This Row],[Ask Rate]]</f>
        <v>#DIV/0!</v>
      </c>
      <c r="AE1091" s="3">
        <f>IF(Table1[[#This Row],[Ask Qty]]=0,0,Table1[[#This Row],[Gross Yield]]*365/Table1[[#This Row],[Days Left]])</f>
        <v>0</v>
      </c>
      <c r="AF1091" s="9">
        <f>+Table1[[#This Row],[Net Gain]]*Table1[[#This Row],[Ask Qty]]</f>
        <v>0</v>
      </c>
      <c r="AG1091" t="str">
        <f>IF(Table1[[#This Row],[YTM]]&gt;0.12,IF(Table1[[#This Row],[Gross Profit]]&gt;10000,"Invest","Review"),"Low YTM")</f>
        <v>Low YTM</v>
      </c>
    </row>
    <row r="1092" spans="1:33" x14ac:dyDescent="0.3">
      <c r="A1092" t="str">
        <f>RTD("nest.scriprtd",,"bse_cm|10KFL27A","Symbol")</f>
        <v>10KFL27A</v>
      </c>
      <c r="B1092" t="str">
        <f>RTD("nest.scriprtd",,"bse_cm|10KFL27A","Trading Symbol")</f>
        <v>10KFL27A</v>
      </c>
      <c r="C1092" t="str">
        <f>RTD("nest.scriprtd",,"bse_cm|10KFL27A","Exchange")</f>
        <v>BSE</v>
      </c>
      <c r="D1092">
        <f>RTD("nest.scriprtd",,"bse_cm|10KFL27A","Bid Qty")</f>
        <v>18</v>
      </c>
      <c r="E1092">
        <f>RTD("nest.scriprtd",,"bse_cm|10KFL27A","Bid Rate")</f>
        <v>824.2</v>
      </c>
      <c r="F1092">
        <f>RTD("nest.scriprtd",,"bse_cm|10KFL27A","Ask Rate")</f>
        <v>0</v>
      </c>
      <c r="G1092">
        <f>RTD("nest.scriprtd",,"bse_cm|10KFL27A","Ask Qty")</f>
        <v>0</v>
      </c>
      <c r="H1092">
        <f>RTD("nest.scriprtd",,"bse_cm|10KFL27A","LTP")</f>
        <v>0</v>
      </c>
      <c r="I1092" t="str">
        <f>RTD("nest.scriprtd",,"bse_cm|10KFL27A","LTT")</f>
        <v>00:00:00</v>
      </c>
      <c r="J1092">
        <f>RTD("nest.scriprtd",,"bse_cm|10KFL27A","% Change")</f>
        <v>-100</v>
      </c>
      <c r="K1092">
        <f>RTD("nest.scriprtd",,"bse_cm|10KFL27A","ATP")</f>
        <v>0</v>
      </c>
      <c r="L1092">
        <f>RTD("nest.scriprtd",,"bse_cm|10KFL27A","Volume Traded Today")</f>
        <v>0</v>
      </c>
      <c r="M1092">
        <f>RTD("nest.scriprtd",,"bse_cm|10KFL27A","Open")</f>
        <v>0</v>
      </c>
      <c r="N1092">
        <f>RTD("nest.scriprtd",,"bse_cm|10KFL27A","High")</f>
        <v>980</v>
      </c>
      <c r="O1092">
        <f>RTD("nest.scriprtd",,"bse_cm|10KFL27A","Low ")</f>
        <v>980</v>
      </c>
      <c r="P1092">
        <f>RTD("nest.scriprtd",,"bse_cm|10KFL27A","Prev Close")</f>
        <v>980</v>
      </c>
      <c r="Q1092">
        <f>RTD("nest.scriprtd",,"bse_cm|10KFL27A","Face Value")</f>
        <v>1000</v>
      </c>
      <c r="R1092" t="str">
        <f>RTD("nest.scriprtd",,"bse_cm|10KFL27A","Isin code")</f>
        <v>INE403Q07ET3</v>
      </c>
      <c r="S1092" s="9">
        <f>Table1[[#This Row],[Ask Rate]]*Table1[[#This Row],[Ask Qty]]</f>
        <v>0</v>
      </c>
      <c r="T1092">
        <f>VLOOKUP(Table1[[#This Row],[Isin code]],Table2[#All],7,FALSE)</f>
        <v>10</v>
      </c>
      <c r="U1092" s="17" t="str">
        <f>VLOOKUP(Table1[[#This Row],[Isin code]],Table2[#All],8,FALSE)</f>
        <v>06-Aug-2027</v>
      </c>
      <c r="V1092" s="10">
        <f ca="1">Table1[[#This Row],[Maturity]]-TODAY()</f>
        <v>1024</v>
      </c>
      <c r="W1092" t="str">
        <f>VLOOKUP(Table1[[#This Row],[Isin code]],Table2[#All],10,FALSE)</f>
        <v>MONTHLY</v>
      </c>
      <c r="X1092">
        <f ca="1">_xlfn.DAYS(Table1[[#This Row],[Maturity]],TODAY())-15</f>
        <v>1009</v>
      </c>
      <c r="Y10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34</v>
      </c>
      <c r="Z1092">
        <f>IF(Table1[[#This Row],[Ask Rate]]=0,0,Table1[[#This Row],[Face Value]]-Table1[[#This Row],[Ask Rate]])</f>
        <v>0</v>
      </c>
      <c r="AA1092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092">
        <f ca="1">Table1[[#This Row],[Face Value]]*Table1[[#This Row],[Rate]]*Table1[[#This Row],[Time]]</f>
        <v>283.33333333333337</v>
      </c>
      <c r="AC1092">
        <f ca="1">Table1[[#This Row],[SI]]+Table1[[#This Row],[Disc/Prem]]</f>
        <v>283.33333333333337</v>
      </c>
      <c r="AD1092" s="3" t="e">
        <f ca="1">Table1[[#This Row],[Net Gain]]/Table1[[#This Row],[Ask Rate]]</f>
        <v>#DIV/0!</v>
      </c>
      <c r="AE1092" s="3">
        <f>IF(Table1[[#This Row],[Ask Qty]]=0,0,Table1[[#This Row],[Gross Yield]]*365/Table1[[#This Row],[Days Left]])</f>
        <v>0</v>
      </c>
      <c r="AF1092" s="9">
        <f ca="1">+Table1[[#This Row],[Net Gain]]*Table1[[#This Row],[Ask Qty]]</f>
        <v>0</v>
      </c>
      <c r="AG1092" t="str">
        <f>IF(Table1[[#This Row],[YTM]]&gt;0.12,IF(Table1[[#This Row],[Gross Profit]]&gt;10000,"Invest","Review"),"Low YTM")</f>
        <v>Low YTM</v>
      </c>
    </row>
    <row r="1093" spans="1:33" x14ac:dyDescent="0.3">
      <c r="A1093" t="str">
        <f>RTD("nest.scriprtd",,"bse_cm|10KFL25","Symbol")</f>
        <v>10KFL25</v>
      </c>
      <c r="B1093" t="str">
        <f>RTD("nest.scriprtd",,"bse_cm|10KFL25","Trading Symbol")</f>
        <v>10KFL25</v>
      </c>
      <c r="C1093" t="str">
        <f>RTD("nest.scriprtd",,"bse_cm|10KFL25","Exchange")</f>
        <v>BSE</v>
      </c>
      <c r="D1093">
        <f>RTD("nest.scriprtd",,"bse_cm|10KFL25","Bid Qty")</f>
        <v>27</v>
      </c>
      <c r="E1093">
        <f>RTD("nest.scriprtd",,"bse_cm|10KFL25","Bid Rate")</f>
        <v>855.4</v>
      </c>
      <c r="F1093">
        <f>RTD("nest.scriprtd",,"bse_cm|10KFL25","Ask Rate")</f>
        <v>0</v>
      </c>
      <c r="G1093">
        <f>RTD("nest.scriprtd",,"bse_cm|10KFL25","Ask Qty")</f>
        <v>0</v>
      </c>
      <c r="H1093">
        <f>RTD("nest.scriprtd",,"bse_cm|10KFL25","LTP")</f>
        <v>0</v>
      </c>
      <c r="I1093" t="str">
        <f>RTD("nest.scriprtd",,"bse_cm|10KFL25","LTT")</f>
        <v>00:00:00</v>
      </c>
      <c r="J1093">
        <f>RTD("nest.scriprtd",,"bse_cm|10KFL25","% Change")</f>
        <v>-100</v>
      </c>
      <c r="K1093">
        <f>RTD("nest.scriprtd",,"bse_cm|10KFL25","ATP")</f>
        <v>0</v>
      </c>
      <c r="L1093">
        <f>RTD("nest.scriprtd",,"bse_cm|10KFL25","Volume Traded Today")</f>
        <v>0</v>
      </c>
      <c r="M1093">
        <f>RTD("nest.scriprtd",,"bse_cm|10KFL25","Open")</f>
        <v>0</v>
      </c>
      <c r="N1093">
        <f>RTD("nest.scriprtd",,"bse_cm|10KFL25","High")</f>
        <v>990</v>
      </c>
      <c r="O1093">
        <f>RTD("nest.scriprtd",,"bse_cm|10KFL25","Low ")</f>
        <v>990</v>
      </c>
      <c r="P1093">
        <f>RTD("nest.scriprtd",,"bse_cm|10KFL25","Prev Close")</f>
        <v>990</v>
      </c>
      <c r="Q1093">
        <f>RTD("nest.scriprtd",,"bse_cm|10KFL25","Face Value")</f>
        <v>1000</v>
      </c>
      <c r="R1093" t="str">
        <f>RTD("nest.scriprtd",,"bse_cm|10KFL25","Isin code")</f>
        <v>INE403Q08092</v>
      </c>
      <c r="S1093" s="9">
        <f>Table1[[#This Row],[Ask Rate]]*Table1[[#This Row],[Ask Qty]]</f>
        <v>0</v>
      </c>
      <c r="T1093">
        <f>VLOOKUP(Table1[[#This Row],[Isin code]],Table2[#All],7,FALSE)</f>
        <v>10</v>
      </c>
      <c r="U1093" s="17" t="str">
        <f>VLOOKUP(Table1[[#This Row],[Isin code]],Table2[#All],8,FALSE)</f>
        <v>07-May-2025</v>
      </c>
      <c r="V1093" s="10">
        <f ca="1">Table1[[#This Row],[Maturity]]-TODAY()</f>
        <v>203</v>
      </c>
      <c r="W1093" t="str">
        <f>VLOOKUP(Table1[[#This Row],[Isin code]],Table2[#All],10,FALSE)</f>
        <v>Monthly</v>
      </c>
      <c r="X1093">
        <f ca="1">_xlfn.DAYS(Table1[[#This Row],[Maturity]],TODAY())-15</f>
        <v>188</v>
      </c>
      <c r="Y10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093">
        <f>IF(Table1[[#This Row],[Ask Rate]]=0,0,Table1[[#This Row],[Face Value]]-Table1[[#This Row],[Ask Rate]])</f>
        <v>0</v>
      </c>
      <c r="AA1093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093">
        <f ca="1">Table1[[#This Row],[Face Value]]*Table1[[#This Row],[Rate]]*Table1[[#This Row],[Time]]</f>
        <v>58.333333333333336</v>
      </c>
      <c r="AC1093">
        <f ca="1">Table1[[#This Row],[SI]]+Table1[[#This Row],[Disc/Prem]]</f>
        <v>58.333333333333336</v>
      </c>
      <c r="AD1093" s="3" t="e">
        <f ca="1">Table1[[#This Row],[Net Gain]]/Table1[[#This Row],[Ask Rate]]</f>
        <v>#DIV/0!</v>
      </c>
      <c r="AE1093" s="3">
        <f>IF(Table1[[#This Row],[Ask Qty]]=0,0,Table1[[#This Row],[Gross Yield]]*365/Table1[[#This Row],[Days Left]])</f>
        <v>0</v>
      </c>
      <c r="AF1093" s="9">
        <f ca="1">+Table1[[#This Row],[Net Gain]]*Table1[[#This Row],[Ask Qty]]</f>
        <v>0</v>
      </c>
      <c r="AG1093" t="str">
        <f>IF(Table1[[#This Row],[YTM]]&gt;0.12,IF(Table1[[#This Row],[Gross Profit]]&gt;10000,"Invest","Review"),"Low YTM")</f>
        <v>Low YTM</v>
      </c>
    </row>
    <row r="1094" spans="1:33" x14ac:dyDescent="0.3">
      <c r="A1094" t="str">
        <f>RTD("nest.scriprtd",,"bse_cm|10KAFL26B","Symbol")</f>
        <v>10KAFL26B</v>
      </c>
      <c r="B1094" t="str">
        <f>RTD("nest.scriprtd",,"bse_cm|10KAFL26B","Trading Symbol")</f>
        <v>10KAFL26B</v>
      </c>
      <c r="C1094" t="str">
        <f>RTD("nest.scriprtd",,"bse_cm|10KAFL26B","Exchange")</f>
        <v>BSE</v>
      </c>
      <c r="D1094">
        <f>RTD("nest.scriprtd",,"bse_cm|10KAFL26B","Bid Qty")</f>
        <v>10</v>
      </c>
      <c r="E1094">
        <f>RTD("nest.scriprtd",,"bse_cm|10KAFL26B","Bid Rate")</f>
        <v>950</v>
      </c>
      <c r="F1094">
        <f>RTD("nest.scriprtd",,"bse_cm|10KAFL26B","Ask Rate")</f>
        <v>0</v>
      </c>
      <c r="G1094">
        <f>RTD("nest.scriprtd",,"bse_cm|10KAFL26B","Ask Qty")</f>
        <v>0</v>
      </c>
      <c r="H1094">
        <f>RTD("nest.scriprtd",,"bse_cm|10KAFL26B","LTP")</f>
        <v>0</v>
      </c>
      <c r="I1094" t="str">
        <f>RTD("nest.scriprtd",,"bse_cm|10KAFL26B","LTT")</f>
        <v>00:00:00</v>
      </c>
      <c r="J1094">
        <f>RTD("nest.scriprtd",,"bse_cm|10KAFL26B","% Change")</f>
        <v>-100</v>
      </c>
      <c r="K1094">
        <f>RTD("nest.scriprtd",,"bse_cm|10KAFL26B","ATP")</f>
        <v>0</v>
      </c>
      <c r="L1094">
        <f>RTD("nest.scriprtd",,"bse_cm|10KAFL26B","Volume Traded Today")</f>
        <v>0</v>
      </c>
      <c r="M1094">
        <f>RTD("nest.scriprtd",,"bse_cm|10KAFL26B","Open")</f>
        <v>0</v>
      </c>
      <c r="N1094">
        <f>RTD("nest.scriprtd",,"bse_cm|10KAFL26B","High")</f>
        <v>975</v>
      </c>
      <c r="O1094">
        <f>RTD("nest.scriprtd",,"bse_cm|10KAFL26B","Low ")</f>
        <v>975</v>
      </c>
      <c r="P1094">
        <f>RTD("nest.scriprtd",,"bse_cm|10KAFL26B","Prev Close")</f>
        <v>975</v>
      </c>
      <c r="Q1094">
        <f>RTD("nest.scriprtd",,"bse_cm|10KAFL26B","Face Value")</f>
        <v>1000</v>
      </c>
      <c r="R1094" t="str">
        <f>RTD("nest.scriprtd",,"bse_cm|10KAFL26B","Isin code")</f>
        <v>INE01I507950</v>
      </c>
      <c r="S1094" s="9">
        <f>Table1[[#This Row],[Ask Rate]]*Table1[[#This Row],[Ask Qty]]</f>
        <v>0</v>
      </c>
      <c r="T1094">
        <f>VLOOKUP(Table1[[#This Row],[Isin code]],Table2[#All],7,FALSE)</f>
        <v>10</v>
      </c>
      <c r="U1094" s="17" t="str">
        <f>VLOOKUP(Table1[[#This Row],[Isin code]],Table2[#All],8,FALSE)</f>
        <v>07-Aug-2026</v>
      </c>
      <c r="V1094" s="10">
        <f ca="1">Table1[[#This Row],[Maturity]]-TODAY()</f>
        <v>660</v>
      </c>
      <c r="W1094" t="str">
        <f>VLOOKUP(Table1[[#This Row],[Isin code]],Table2[#All],10,FALSE)</f>
        <v>MONTHLY</v>
      </c>
      <c r="X1094">
        <f ca="1">_xlfn.DAYS(Table1[[#This Row],[Maturity]],TODAY())-15</f>
        <v>645</v>
      </c>
      <c r="Y10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1094">
        <f>IF(Table1[[#This Row],[Ask Rate]]=0,0,Table1[[#This Row],[Face Value]]-Table1[[#This Row],[Ask Rate]])</f>
        <v>0</v>
      </c>
      <c r="AA1094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094">
        <f ca="1">Table1[[#This Row],[Face Value]]*Table1[[#This Row],[Rate]]*Table1[[#This Row],[Time]]</f>
        <v>183.33333333333334</v>
      </c>
      <c r="AC1094">
        <f ca="1">Table1[[#This Row],[SI]]+Table1[[#This Row],[Disc/Prem]]</f>
        <v>183.33333333333334</v>
      </c>
      <c r="AD1094" s="3" t="e">
        <f ca="1">Table1[[#This Row],[Net Gain]]/Table1[[#This Row],[Ask Rate]]</f>
        <v>#DIV/0!</v>
      </c>
      <c r="AE1094" s="3">
        <f>IF(Table1[[#This Row],[Ask Qty]]=0,0,Table1[[#This Row],[Gross Yield]]*365/Table1[[#This Row],[Days Left]])</f>
        <v>0</v>
      </c>
      <c r="AF1094" s="9">
        <f ca="1">+Table1[[#This Row],[Net Gain]]*Table1[[#This Row],[Ask Qty]]</f>
        <v>0</v>
      </c>
      <c r="AG1094" t="str">
        <f>IF(Table1[[#This Row],[YTM]]&gt;0.12,IF(Table1[[#This Row],[Gross Profit]]&gt;10000,"Invest","Review"),"Low YTM")</f>
        <v>Low YTM</v>
      </c>
    </row>
    <row r="1095" spans="1:33" x14ac:dyDescent="0.3">
      <c r="A1095" t="str">
        <f>RTD("nest.scriprtd",,"bse_cm|10KAFL26A","Symbol")</f>
        <v>10KAFL26A</v>
      </c>
      <c r="B1095" t="str">
        <f>RTD("nest.scriprtd",,"bse_cm|10KAFL26A","Trading Symbol")</f>
        <v>10KAFL26A</v>
      </c>
      <c r="C1095" t="str">
        <f>RTD("nest.scriprtd",,"bse_cm|10KAFL26A","Exchange")</f>
        <v>BSE</v>
      </c>
      <c r="D1095">
        <f>RTD("nest.scriprtd",,"bse_cm|10KAFL26A","Bid Qty")</f>
        <v>13</v>
      </c>
      <c r="E1095">
        <f>RTD("nest.scriprtd",,"bse_cm|10KAFL26A","Bid Rate")</f>
        <v>825.35</v>
      </c>
      <c r="F1095">
        <f>RTD("nest.scriprtd",,"bse_cm|10KAFL26A","Ask Rate")</f>
        <v>0</v>
      </c>
      <c r="G1095">
        <f>RTD("nest.scriprtd",,"bse_cm|10KAFL26A","Ask Qty")</f>
        <v>0</v>
      </c>
      <c r="H1095">
        <f>RTD("nest.scriprtd",,"bse_cm|10KAFL26A","LTP")</f>
        <v>0</v>
      </c>
      <c r="I1095" t="str">
        <f>RTD("nest.scriprtd",,"bse_cm|10KAFL26A","LTT")</f>
        <v>00:00:00</v>
      </c>
      <c r="J1095">
        <f>RTD("nest.scriprtd",,"bse_cm|10KAFL26A","% Change")</f>
        <v>-100</v>
      </c>
      <c r="K1095">
        <f>RTD("nest.scriprtd",,"bse_cm|10KAFL26A","ATP")</f>
        <v>0</v>
      </c>
      <c r="L1095">
        <f>RTD("nest.scriprtd",,"bse_cm|10KAFL26A","Volume Traded Today")</f>
        <v>0</v>
      </c>
      <c r="M1095">
        <f>RTD("nest.scriprtd",,"bse_cm|10KAFL26A","Open")</f>
        <v>0</v>
      </c>
      <c r="N1095">
        <f>RTD("nest.scriprtd",,"bse_cm|10KAFL26A","High")</f>
        <v>0</v>
      </c>
      <c r="O1095">
        <f>RTD("nest.scriprtd",,"bse_cm|10KAFL26A","Low ")</f>
        <v>0</v>
      </c>
      <c r="P1095">
        <f>RTD("nest.scriprtd",,"bse_cm|10KAFL26A","Prev Close")</f>
        <v>1000</v>
      </c>
      <c r="Q1095">
        <f>RTD("nest.scriprtd",,"bse_cm|10KAFL26A","Face Value")</f>
        <v>1000</v>
      </c>
      <c r="R1095" t="str">
        <f>RTD("nest.scriprtd",,"bse_cm|10KAFL26A","Isin code")</f>
        <v>INE01I507968</v>
      </c>
      <c r="S1095" s="9">
        <f>Table1[[#This Row],[Ask Rate]]*Table1[[#This Row],[Ask Qty]]</f>
        <v>0</v>
      </c>
      <c r="T1095">
        <f>VLOOKUP(Table1[[#This Row],[Isin code]],Table2[#All],7,FALSE)</f>
        <v>10.25</v>
      </c>
      <c r="U1095" s="17" t="str">
        <f>VLOOKUP(Table1[[#This Row],[Isin code]],Table2[#All],8,FALSE)</f>
        <v>07-Aug-2026</v>
      </c>
      <c r="V1095" s="10">
        <f ca="1">Table1[[#This Row],[Maturity]]-TODAY()</f>
        <v>660</v>
      </c>
      <c r="W1095" t="str">
        <f>VLOOKUP(Table1[[#This Row],[Isin code]],Table2[#All],10,FALSE)</f>
        <v>ANNUALY</v>
      </c>
      <c r="X1095">
        <f ca="1">_xlfn.DAYS(Table1[[#This Row],[Maturity]],TODAY())-15</f>
        <v>645</v>
      </c>
      <c r="Y109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95">
        <f>IF(Table1[[#This Row],[Ask Rate]]=0,0,Table1[[#This Row],[Face Value]]-Table1[[#This Row],[Ask Rate]])</f>
        <v>0</v>
      </c>
      <c r="AA109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95">
        <f>Table1[[#This Row],[Face Value]]*Table1[[#This Row],[Rate]]*Table1[[#This Row],[Time]]</f>
        <v>0</v>
      </c>
      <c r="AC1095">
        <f>Table1[[#This Row],[SI]]+Table1[[#This Row],[Disc/Prem]]</f>
        <v>0</v>
      </c>
      <c r="AD1095" s="3" t="e">
        <f>Table1[[#This Row],[Net Gain]]/Table1[[#This Row],[Ask Rate]]</f>
        <v>#DIV/0!</v>
      </c>
      <c r="AE1095" s="3">
        <f>IF(Table1[[#This Row],[Ask Qty]]=0,0,Table1[[#This Row],[Gross Yield]]*365/Table1[[#This Row],[Days Left]])</f>
        <v>0</v>
      </c>
      <c r="AF1095" s="9">
        <f>+Table1[[#This Row],[Net Gain]]*Table1[[#This Row],[Ask Qty]]</f>
        <v>0</v>
      </c>
      <c r="AG1095" t="str">
        <f>IF(Table1[[#This Row],[YTM]]&gt;0.12,IF(Table1[[#This Row],[Gross Profit]]&gt;10000,"Invest","Review"),"Low YTM")</f>
        <v>Low YTM</v>
      </c>
    </row>
    <row r="1096" spans="1:33" x14ac:dyDescent="0.3">
      <c r="A1096" t="str">
        <f>RTD("nest.scriprtd",,"bse_cm|10KAFL26","Symbol")</f>
        <v>10KAFL26</v>
      </c>
      <c r="B1096" t="str">
        <f>RTD("nest.scriprtd",,"bse_cm|10KAFL26","Trading Symbol")</f>
        <v>10KAFL26</v>
      </c>
      <c r="C1096" t="str">
        <f>RTD("nest.scriprtd",,"bse_cm|10KAFL26","Exchange")</f>
        <v>BSE</v>
      </c>
      <c r="D1096">
        <f>RTD("nest.scriprtd",,"bse_cm|10KAFL26","Bid Qty")</f>
        <v>12</v>
      </c>
      <c r="E1096">
        <f>RTD("nest.scriprtd",,"bse_cm|10KAFL26","Bid Rate")</f>
        <v>820.4</v>
      </c>
      <c r="F1096">
        <f>RTD("nest.scriprtd",,"bse_cm|10KAFL26","Ask Rate")</f>
        <v>0</v>
      </c>
      <c r="G1096">
        <f>RTD("nest.scriprtd",,"bse_cm|10KAFL26","Ask Qty")</f>
        <v>0</v>
      </c>
      <c r="H1096">
        <f>RTD("nest.scriprtd",,"bse_cm|10KAFL26","LTP")</f>
        <v>0</v>
      </c>
      <c r="I1096" t="str">
        <f>RTD("nest.scriprtd",,"bse_cm|10KAFL26","LTT")</f>
        <v>00:00:00</v>
      </c>
      <c r="J1096">
        <f>RTD("nest.scriprtd",,"bse_cm|10KAFL26","% Change")</f>
        <v>-100</v>
      </c>
      <c r="K1096">
        <f>RTD("nest.scriprtd",,"bse_cm|10KAFL26","ATP")</f>
        <v>0</v>
      </c>
      <c r="L1096">
        <f>RTD("nest.scriprtd",,"bse_cm|10KAFL26","Volume Traded Today")</f>
        <v>0</v>
      </c>
      <c r="M1096">
        <f>RTD("nest.scriprtd",,"bse_cm|10KAFL26","Open")</f>
        <v>0</v>
      </c>
      <c r="N1096">
        <f>RTD("nest.scriprtd",,"bse_cm|10KAFL26","High")</f>
        <v>0</v>
      </c>
      <c r="O1096">
        <f>RTD("nest.scriprtd",,"bse_cm|10KAFL26","Low ")</f>
        <v>0</v>
      </c>
      <c r="P1096">
        <f>RTD("nest.scriprtd",,"bse_cm|10KAFL26","Prev Close")</f>
        <v>1000</v>
      </c>
      <c r="Q1096">
        <f>RTD("nest.scriprtd",,"bse_cm|10KAFL26","Face Value")</f>
        <v>1000</v>
      </c>
      <c r="R1096" t="str">
        <f>RTD("nest.scriprtd",,"bse_cm|10KAFL26","Isin code")</f>
        <v>INE01I507877</v>
      </c>
      <c r="S1096" s="9">
        <f>Table1[[#This Row],[Ask Rate]]*Table1[[#This Row],[Ask Qty]]</f>
        <v>0</v>
      </c>
      <c r="T1096">
        <f>VLOOKUP(Table1[[#This Row],[Isin code]],Table2[#All],7,FALSE)</f>
        <v>10</v>
      </c>
      <c r="U1096" s="17" t="str">
        <f>VLOOKUP(Table1[[#This Row],[Isin code]],Table2[#All],8,FALSE)</f>
        <v>11-Sep-2026</v>
      </c>
      <c r="V1096" s="10">
        <f ca="1">Table1[[#This Row],[Maturity]]-TODAY()</f>
        <v>695</v>
      </c>
      <c r="W1096" t="str">
        <f>VLOOKUP(Table1[[#This Row],[Isin code]],Table2[#All],10,FALSE)</f>
        <v>Yearly</v>
      </c>
      <c r="X1096">
        <f ca="1">_xlfn.DAYS(Table1[[#This Row],[Maturity]],TODAY())-15</f>
        <v>680</v>
      </c>
      <c r="Y10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096">
        <f>IF(Table1[[#This Row],[Ask Rate]]=0,0,Table1[[#This Row],[Face Value]]-Table1[[#This Row],[Ask Rate]])</f>
        <v>0</v>
      </c>
      <c r="AA1096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1096">
        <f ca="1">Table1[[#This Row],[Face Value]]*Table1[[#This Row],[Rate]]*Table1[[#This Row],[Time]]</f>
        <v>200</v>
      </c>
      <c r="AC1096">
        <f ca="1">Table1[[#This Row],[SI]]+Table1[[#This Row],[Disc/Prem]]</f>
        <v>200</v>
      </c>
      <c r="AD1096" s="3" t="e">
        <f ca="1">Table1[[#This Row],[Net Gain]]/Table1[[#This Row],[Ask Rate]]</f>
        <v>#DIV/0!</v>
      </c>
      <c r="AE1096" s="3">
        <f>IF(Table1[[#This Row],[Ask Qty]]=0,0,Table1[[#This Row],[Gross Yield]]*365/Table1[[#This Row],[Days Left]])</f>
        <v>0</v>
      </c>
      <c r="AF1096" s="9">
        <f ca="1">+Table1[[#This Row],[Net Gain]]*Table1[[#This Row],[Ask Qty]]</f>
        <v>0</v>
      </c>
      <c r="AG1096" t="str">
        <f>IF(Table1[[#This Row],[YTM]]&gt;0.12,IF(Table1[[#This Row],[Gross Profit]]&gt;10000,"Invest","Review"),"Low YTM")</f>
        <v>Low YTM</v>
      </c>
    </row>
    <row r="1097" spans="1:33" x14ac:dyDescent="0.3">
      <c r="A1097" t="str">
        <f>RTD("nest.scriprtd",,"bse_cm|10JFPL30","Symbol")</f>
        <v>10JFPL30</v>
      </c>
      <c r="B1097" t="str">
        <f>RTD("nest.scriprtd",,"bse_cm|10JFPL30","Trading Symbol")</f>
        <v>10JFPL30</v>
      </c>
      <c r="C1097" t="str">
        <f>RTD("nest.scriprtd",,"bse_cm|10JFPL30","Exchange")</f>
        <v>BSE</v>
      </c>
      <c r="D1097">
        <f>RTD("nest.scriprtd",,"bse_cm|10JFPL30","Bid Qty")</f>
        <v>45</v>
      </c>
      <c r="E1097">
        <f>RTD("nest.scriprtd",,"bse_cm|10JFPL30","Bid Rate")</f>
        <v>855.8</v>
      </c>
      <c r="F1097">
        <f>RTD("nest.scriprtd",,"bse_cm|10JFPL30","Ask Rate")</f>
        <v>0</v>
      </c>
      <c r="G1097">
        <f>RTD("nest.scriprtd",,"bse_cm|10JFPL30","Ask Qty")</f>
        <v>0</v>
      </c>
      <c r="H1097">
        <f>RTD("nest.scriprtd",,"bse_cm|10JFPL30","LTP")</f>
        <v>0</v>
      </c>
      <c r="I1097" t="str">
        <f>RTD("nest.scriprtd",,"bse_cm|10JFPL30","LTT")</f>
        <v>00:00:00</v>
      </c>
      <c r="J1097">
        <f>RTD("nest.scriprtd",,"bse_cm|10JFPL30","% Change")</f>
        <v>-100</v>
      </c>
      <c r="K1097">
        <f>RTD("nest.scriprtd",,"bse_cm|10JFPL30","ATP")</f>
        <v>0</v>
      </c>
      <c r="L1097">
        <f>RTD("nest.scriprtd",,"bse_cm|10JFPL30","Volume Traded Today")</f>
        <v>0</v>
      </c>
      <c r="M1097">
        <f>RTD("nest.scriprtd",,"bse_cm|10JFPL30","Open")</f>
        <v>0</v>
      </c>
      <c r="N1097">
        <f>RTD("nest.scriprtd",,"bse_cm|10JFPL30","High")</f>
        <v>1007</v>
      </c>
      <c r="O1097">
        <f>RTD("nest.scriprtd",,"bse_cm|10JFPL30","Low ")</f>
        <v>1007</v>
      </c>
      <c r="P1097">
        <f>RTD("nest.scriprtd",,"bse_cm|10JFPL30","Prev Close")</f>
        <v>1007</v>
      </c>
      <c r="Q1097">
        <f>RTD("nest.scriprtd",,"bse_cm|10JFPL30","Face Value")</f>
        <v>1000</v>
      </c>
      <c r="R1097" t="str">
        <f>RTD("nest.scriprtd",,"bse_cm|10JFPL30","Isin code")</f>
        <v>INE523H07BB1</v>
      </c>
      <c r="S1097" s="9">
        <f>Table1[[#This Row],[Ask Rate]]*Table1[[#This Row],[Ask Qty]]</f>
        <v>0</v>
      </c>
      <c r="T1097">
        <f>VLOOKUP(Table1[[#This Row],[Isin code]],Table2[#All],7,FALSE)</f>
        <v>10</v>
      </c>
      <c r="U1097" s="17" t="str">
        <f>VLOOKUP(Table1[[#This Row],[Isin code]],Table2[#All],8,FALSE)</f>
        <v>16-Mar-2030</v>
      </c>
      <c r="V1097" s="10">
        <f ca="1">Table1[[#This Row],[Maturity]]-TODAY()</f>
        <v>1977</v>
      </c>
      <c r="W1097" t="str">
        <f>VLOOKUP(Table1[[#This Row],[Isin code]],Table2[#All],10,FALSE)</f>
        <v>Yearly</v>
      </c>
      <c r="X1097">
        <f ca="1">_xlfn.DAYS(Table1[[#This Row],[Maturity]],TODAY())-15</f>
        <v>1962</v>
      </c>
      <c r="Y10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097">
        <f>IF(Table1[[#This Row],[Ask Rate]]=0,0,Table1[[#This Row],[Face Value]]-Table1[[#This Row],[Ask Rate]])</f>
        <v>0</v>
      </c>
      <c r="AA1097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1097">
        <f ca="1">Table1[[#This Row],[Face Value]]*Table1[[#This Row],[Rate]]*Table1[[#This Row],[Time]]</f>
        <v>600</v>
      </c>
      <c r="AC1097">
        <f ca="1">Table1[[#This Row],[SI]]+Table1[[#This Row],[Disc/Prem]]</f>
        <v>600</v>
      </c>
      <c r="AD1097" s="3" t="e">
        <f ca="1">Table1[[#This Row],[Net Gain]]/Table1[[#This Row],[Ask Rate]]</f>
        <v>#DIV/0!</v>
      </c>
      <c r="AE1097" s="3">
        <f>IF(Table1[[#This Row],[Ask Qty]]=0,0,Table1[[#This Row],[Gross Yield]]*365/Table1[[#This Row],[Days Left]])</f>
        <v>0</v>
      </c>
      <c r="AF1097" s="9">
        <f ca="1">+Table1[[#This Row],[Net Gain]]*Table1[[#This Row],[Ask Qty]]</f>
        <v>0</v>
      </c>
      <c r="AG1097" t="str">
        <f>IF(Table1[[#This Row],[YTM]]&gt;0.12,IF(Table1[[#This Row],[Gross Profit]]&gt;10000,"Invest","Review"),"Low YTM")</f>
        <v>Low YTM</v>
      </c>
    </row>
    <row r="1098" spans="1:33" x14ac:dyDescent="0.3">
      <c r="A1098" t="str">
        <f>RTD("nest.scriprtd",,"bse_cm|10IIFLSF27","Symbol")</f>
        <v>10IIFLSF27</v>
      </c>
      <c r="B1098" t="str">
        <f>RTD("nest.scriprtd",,"bse_cm|10IIFLSF27","Trading Symbol")</f>
        <v>10IIFLSF27</v>
      </c>
      <c r="C1098" t="str">
        <f>RTD("nest.scriprtd",,"bse_cm|10IIFLSF27","Exchange")</f>
        <v>BSE</v>
      </c>
      <c r="D1098">
        <f>RTD("nest.scriprtd",,"bse_cm|10IIFLSF27","Bid Qty")</f>
        <v>50</v>
      </c>
      <c r="E1098">
        <f>RTD("nest.scriprtd",,"bse_cm|10IIFLSF27","Bid Rate")</f>
        <v>836.5</v>
      </c>
      <c r="F1098">
        <f>RTD("nest.scriprtd",,"bse_cm|10IIFLSF27","Ask Rate")</f>
        <v>0</v>
      </c>
      <c r="G1098">
        <f>RTD("nest.scriprtd",,"bse_cm|10IIFLSF27","Ask Qty")</f>
        <v>0</v>
      </c>
      <c r="H1098">
        <f>RTD("nest.scriprtd",,"bse_cm|10IIFLSF27","LTP")</f>
        <v>0</v>
      </c>
      <c r="I1098" t="str">
        <f>RTD("nest.scriprtd",,"bse_cm|10IIFLSF27","LTT")</f>
        <v>00:00:00</v>
      </c>
      <c r="J1098">
        <f>RTD("nest.scriprtd",,"bse_cm|10IIFLSF27","% Change")</f>
        <v>-100</v>
      </c>
      <c r="K1098">
        <f>RTD("nest.scriprtd",,"bse_cm|10IIFLSF27","ATP")</f>
        <v>0</v>
      </c>
      <c r="L1098">
        <f>RTD("nest.scriprtd",,"bse_cm|10IIFLSF27","Volume Traded Today")</f>
        <v>0</v>
      </c>
      <c r="M1098">
        <f>RTD("nest.scriprtd",,"bse_cm|10IIFLSF27","Open")</f>
        <v>0</v>
      </c>
      <c r="N1098">
        <f>RTD("nest.scriprtd",,"bse_cm|10IIFLSF27","High")</f>
        <v>950</v>
      </c>
      <c r="O1098">
        <f>RTD("nest.scriprtd",,"bse_cm|10IIFLSF27","Low ")</f>
        <v>950</v>
      </c>
      <c r="P1098">
        <f>RTD("nest.scriprtd",,"bse_cm|10IIFLSF27","Prev Close")</f>
        <v>950</v>
      </c>
      <c r="Q1098">
        <f>RTD("nest.scriprtd",,"bse_cm|10IIFLSF27","Face Value")</f>
        <v>1000</v>
      </c>
      <c r="R1098" t="str">
        <f>RTD("nest.scriprtd",,"bse_cm|10IIFLSF27","Isin code")</f>
        <v>INE413U07293</v>
      </c>
      <c r="S1098" s="9">
        <f>Table1[[#This Row],[Ask Rate]]*Table1[[#This Row],[Ask Qty]]</f>
        <v>0</v>
      </c>
      <c r="T1098">
        <f>VLOOKUP(Table1[[#This Row],[Isin code]],Table2[#All],7,FALSE)</f>
        <v>10</v>
      </c>
      <c r="U1098" s="17" t="str">
        <f>VLOOKUP(Table1[[#This Row],[Isin code]],Table2[#All],8,FALSE)</f>
        <v>21-Jun-2027</v>
      </c>
      <c r="V1098" s="10">
        <f ca="1">Table1[[#This Row],[Maturity]]-TODAY()</f>
        <v>978</v>
      </c>
      <c r="W1098" t="str">
        <f>VLOOKUP(Table1[[#This Row],[Isin code]],Table2[#All],10,FALSE)</f>
        <v>Annual</v>
      </c>
      <c r="X1098">
        <f ca="1">_xlfn.DAYS(Table1[[#This Row],[Maturity]],TODAY())-15</f>
        <v>963</v>
      </c>
      <c r="Y109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098">
        <f>IF(Table1[[#This Row],[Ask Rate]]=0,0,Table1[[#This Row],[Face Value]]-Table1[[#This Row],[Ask Rate]])</f>
        <v>0</v>
      </c>
      <c r="AA109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098">
        <f>Table1[[#This Row],[Face Value]]*Table1[[#This Row],[Rate]]*Table1[[#This Row],[Time]]</f>
        <v>0</v>
      </c>
      <c r="AC1098">
        <f>Table1[[#This Row],[SI]]+Table1[[#This Row],[Disc/Prem]]</f>
        <v>0</v>
      </c>
      <c r="AD1098" s="3" t="e">
        <f>Table1[[#This Row],[Net Gain]]/Table1[[#This Row],[Ask Rate]]</f>
        <v>#DIV/0!</v>
      </c>
      <c r="AE1098" s="3">
        <f>IF(Table1[[#This Row],[Ask Qty]]=0,0,Table1[[#This Row],[Gross Yield]]*365/Table1[[#This Row],[Days Left]])</f>
        <v>0</v>
      </c>
      <c r="AF1098" s="9">
        <f>+Table1[[#This Row],[Net Gain]]*Table1[[#This Row],[Ask Qty]]</f>
        <v>0</v>
      </c>
      <c r="AG1098" t="str">
        <f>IF(Table1[[#This Row],[YTM]]&gt;0.12,IF(Table1[[#This Row],[Gross Profit]]&gt;10000,"Invest","Review"),"Low YTM")</f>
        <v>Low YTM</v>
      </c>
    </row>
    <row r="1099" spans="1:33" hidden="1" x14ac:dyDescent="0.3">
      <c r="A1099" t="str">
        <f>RTD("nest.scriprtd",,"bse_cm|850SCFL25","Symbol")</f>
        <v>850SCFL25</v>
      </c>
      <c r="B1099" t="str">
        <f>RTD("nest.scriprtd",,"bse_cm|850SCFL25","Trading Symbol")</f>
        <v>850SCFL25</v>
      </c>
      <c r="C1099" t="str">
        <f>RTD("nest.scriprtd",,"bse_cm|850SCFL25","Exchange")</f>
        <v>BSE</v>
      </c>
      <c r="D1099">
        <f>RTD("nest.scriprtd",,"bse_cm|850SCFL25","Bid Qty")</f>
        <v>20</v>
      </c>
      <c r="E1099">
        <f>RTD("nest.scriprtd",,"bse_cm|850SCFL25","Bid Rate")</f>
        <v>825.2</v>
      </c>
      <c r="F1099">
        <f>RTD("nest.scriprtd",,"bse_cm|850SCFL25","Ask Rate")</f>
        <v>0</v>
      </c>
      <c r="G1099">
        <f>RTD("nest.scriprtd",,"bse_cm|850SCFL25","Ask Qty")</f>
        <v>0</v>
      </c>
      <c r="H1099">
        <f>RTD("nest.scriprtd",,"bse_cm|850SCFL25","LTP")</f>
        <v>0</v>
      </c>
      <c r="I1099" t="str">
        <f>RTD("nest.scriprtd",,"bse_cm|850SCFL25","LTT")</f>
        <v>00:00:00</v>
      </c>
      <c r="J1099">
        <f>RTD("nest.scriprtd",,"bse_cm|850SCFL25","% Change")</f>
        <v>-100</v>
      </c>
      <c r="K1099">
        <f>RTD("nest.scriprtd",,"bse_cm|850SCFL25","ATP")</f>
        <v>0</v>
      </c>
      <c r="L1099">
        <f>RTD("nest.scriprtd",,"bse_cm|850SCFL25","Volume Traded Today")</f>
        <v>0</v>
      </c>
      <c r="M1099">
        <f>RTD("nest.scriprtd",,"bse_cm|850SCFL25","Open")</f>
        <v>0</v>
      </c>
      <c r="N1099">
        <f>RTD("nest.scriprtd",,"bse_cm|850SCFL25","High")</f>
        <v>0</v>
      </c>
      <c r="O1099">
        <f>RTD("nest.scriprtd",,"bse_cm|850SCFL25","Low ")</f>
        <v>0</v>
      </c>
      <c r="P1099">
        <f>RTD("nest.scriprtd",,"bse_cm|850SCFL25","Prev Close")</f>
        <v>1000</v>
      </c>
      <c r="Q1099">
        <f>RTD("nest.scriprtd",,"bse_cm|850SCFL25","Face Value")</f>
        <v>1000</v>
      </c>
      <c r="R1099" t="str">
        <f>RTD("nest.scriprtd",,"bse_cm|850SCFL25","Isin code")</f>
        <v>INE148I07KW2</v>
      </c>
      <c r="S1099" s="9">
        <f>Table1[[#This Row],[Ask Rate]]*Table1[[#This Row],[Ask Qty]]</f>
        <v>0</v>
      </c>
      <c r="T1099">
        <f>VLOOKUP(Table1[[#This Row],[Isin code]],Table2[#All],7,FALSE)</f>
        <v>8.5</v>
      </c>
      <c r="U1099" s="17" t="str">
        <f>VLOOKUP(Table1[[#This Row],[Isin code]],Table2[#All],8,FALSE)</f>
        <v>06-Jan-2025</v>
      </c>
      <c r="V1099" s="10">
        <f ca="1">Table1[[#This Row],[Maturity]]-TODAY()</f>
        <v>82</v>
      </c>
      <c r="W1099" t="str">
        <f>VLOOKUP(Table1[[#This Row],[Isin code]],Table2[#All],10,FALSE)</f>
        <v>Yearly</v>
      </c>
      <c r="X1099">
        <f ca="1">_xlfn.DAYS(Table1[[#This Row],[Maturity]],TODAY())-15</f>
        <v>67</v>
      </c>
      <c r="Y10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099">
        <f>IF(Table1[[#This Row],[Ask Rate]]=0,0,Table1[[#This Row],[Face Value]]-Table1[[#This Row],[Ask Rate]])</f>
        <v>0</v>
      </c>
      <c r="AA1099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1099">
        <f ca="1">Table1[[#This Row],[Face Value]]*Table1[[#This Row],[Rate]]*Table1[[#This Row],[Time]]</f>
        <v>85</v>
      </c>
      <c r="AC1099">
        <f ca="1">Table1[[#This Row],[SI]]+Table1[[#This Row],[Disc/Prem]]</f>
        <v>85</v>
      </c>
      <c r="AD1099" s="3" t="e">
        <f ca="1">Table1[[#This Row],[Net Gain]]/Table1[[#This Row],[Ask Rate]]</f>
        <v>#DIV/0!</v>
      </c>
      <c r="AE1099" s="3">
        <f>IF(Table1[[#This Row],[Ask Qty]]=0,0,Table1[[#This Row],[Gross Yield]]*365/Table1[[#This Row],[Days Left]])</f>
        <v>0</v>
      </c>
      <c r="AF1099" s="9">
        <f ca="1">+Table1[[#This Row],[Net Gain]]*Table1[[#This Row],[Ask Qty]]</f>
        <v>0</v>
      </c>
      <c r="AG1099" t="str">
        <f>IF(Table1[[#This Row],[YTM]]&gt;0.12,IF(Table1[[#This Row],[Gross Profit]]&gt;10000,"Invest","Review"),"Low YTM")</f>
        <v>Low YTM</v>
      </c>
    </row>
    <row r="1100" spans="1:33" hidden="1" x14ac:dyDescent="0.3">
      <c r="A1100" t="str">
        <f>RTD("nest.scriprtd",,"bse_cm|850MFL24","Symbol")</f>
        <v>850MFL24</v>
      </c>
      <c r="B1100" t="str">
        <f>RTD("nest.scriprtd",,"bse_cm|850MFL24","Trading Symbol")</f>
        <v>850MFL24</v>
      </c>
      <c r="C1100" t="str">
        <f>RTD("nest.scriprtd",,"bse_cm|850MFL24","Exchange")</f>
        <v>BSE</v>
      </c>
      <c r="D1100">
        <f>RTD("nest.scriprtd",,"bse_cm|850MFL24","Bid Qty")</f>
        <v>180</v>
      </c>
      <c r="E1100">
        <f>RTD("nest.scriprtd",,"bse_cm|850MFL24","Bid Rate")</f>
        <v>982.2</v>
      </c>
      <c r="F1100">
        <f>RTD("nest.scriprtd",,"bse_cm|850MFL24","Ask Rate")</f>
        <v>0</v>
      </c>
      <c r="G1100">
        <f>RTD("nest.scriprtd",,"bse_cm|850MFL24","Ask Qty")</f>
        <v>0</v>
      </c>
      <c r="H1100">
        <f>RTD("nest.scriprtd",,"bse_cm|850MFL24","LTP")</f>
        <v>0</v>
      </c>
      <c r="I1100" t="str">
        <f>RTD("nest.scriprtd",,"bse_cm|850MFL24","LTT")</f>
        <v>00:00:00</v>
      </c>
      <c r="J1100">
        <f>RTD("nest.scriprtd",,"bse_cm|850MFL24","% Change")</f>
        <v>-100</v>
      </c>
      <c r="K1100">
        <f>RTD("nest.scriprtd",,"bse_cm|850MFL24","ATP")</f>
        <v>0</v>
      </c>
      <c r="L1100">
        <f>RTD("nest.scriprtd",,"bse_cm|850MFL24","Volume Traded Today")</f>
        <v>0</v>
      </c>
      <c r="M1100">
        <f>RTD("nest.scriprtd",,"bse_cm|850MFL24","Open")</f>
        <v>0</v>
      </c>
      <c r="N1100">
        <f>RTD("nest.scriprtd",,"bse_cm|850MFL24","High")</f>
        <v>990</v>
      </c>
      <c r="O1100">
        <f>RTD("nest.scriprtd",,"bse_cm|850MFL24","Low ")</f>
        <v>990</v>
      </c>
      <c r="P1100">
        <f>RTD("nest.scriprtd",,"bse_cm|850MFL24","Prev Close")</f>
        <v>990</v>
      </c>
      <c r="Q1100">
        <f>RTD("nest.scriprtd",,"bse_cm|850MFL24","Face Value")</f>
        <v>1000</v>
      </c>
      <c r="R1100" t="str">
        <f>RTD("nest.scriprtd",,"bse_cm|850MFL24","Isin code")</f>
        <v>INE549K07AT4</v>
      </c>
      <c r="S1100" s="9">
        <f>Table1[[#This Row],[Ask Rate]]*Table1[[#This Row],[Ask Qty]]</f>
        <v>0</v>
      </c>
      <c r="T1100">
        <f>VLOOKUP(Table1[[#This Row],[Isin code]],Table2[#All],7,FALSE)</f>
        <v>8.5</v>
      </c>
      <c r="U1100" s="17" t="str">
        <f>VLOOKUP(Table1[[#This Row],[Isin code]],Table2[#All],8,FALSE)</f>
        <v>28-Dec-2024</v>
      </c>
      <c r="V1100" s="10">
        <f ca="1">Table1[[#This Row],[Maturity]]-TODAY()</f>
        <v>73</v>
      </c>
      <c r="W1100" t="str">
        <f>VLOOKUP(Table1[[#This Row],[Isin code]],Table2[#All],10,FALSE)</f>
        <v>Monthly</v>
      </c>
      <c r="X1100">
        <f ca="1">_xlfn.DAYS(Table1[[#This Row],[Maturity]],TODAY())-15</f>
        <v>58</v>
      </c>
      <c r="Y11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100">
        <f>IF(Table1[[#This Row],[Ask Rate]]=0,0,Table1[[#This Row],[Face Value]]-Table1[[#This Row],[Ask Rate]])</f>
        <v>0</v>
      </c>
      <c r="AA1100">
        <f>IF(Table1[[#This Row],[Freq]]="Yearly",Table1[[#This Row],[Coupon_Rate]]/100,IF(Table1[[#This Row],[Freq]]="Monthly",Table1[[#This Row],[Coupon_Rate]]/1200,IF(Table1[[#This Row],[Freq]]="Quarterly",Table1[[#This Row],[Coupon_Rate]]/400,0)))</f>
        <v>7.083333333333333E-3</v>
      </c>
      <c r="AB1100">
        <f ca="1">Table1[[#This Row],[Face Value]]*Table1[[#This Row],[Rate]]*Table1[[#This Row],[Time]]</f>
        <v>14.166666666666666</v>
      </c>
      <c r="AC1100">
        <f ca="1">Table1[[#This Row],[SI]]+Table1[[#This Row],[Disc/Prem]]</f>
        <v>14.166666666666666</v>
      </c>
      <c r="AD1100" s="3" t="e">
        <f ca="1">Table1[[#This Row],[Net Gain]]/Table1[[#This Row],[Ask Rate]]</f>
        <v>#DIV/0!</v>
      </c>
      <c r="AE1100" s="3">
        <f>IF(Table1[[#This Row],[Ask Qty]]=0,0,Table1[[#This Row],[Gross Yield]]*365/Table1[[#This Row],[Days Left]])</f>
        <v>0</v>
      </c>
      <c r="AF1100" s="9">
        <f ca="1">+Table1[[#This Row],[Net Gain]]*Table1[[#This Row],[Ask Qty]]</f>
        <v>0</v>
      </c>
      <c r="AG1100" t="str">
        <f>IF(Table1[[#This Row],[YTM]]&gt;0.12,IF(Table1[[#This Row],[Gross Profit]]&gt;10000,"Invest","Review"),"Low YTM")</f>
        <v>Low YTM</v>
      </c>
    </row>
    <row r="1101" spans="1:33" x14ac:dyDescent="0.3">
      <c r="A1101" t="str">
        <f>RTD("nest.scriprtd",,"bse_cm|985ONE34","Symbol")</f>
        <v>985ONE34</v>
      </c>
      <c r="B1101" t="str">
        <f>RTD("nest.scriprtd",,"bse_cm|985ONE34","Trading Symbol")</f>
        <v>985ONE34</v>
      </c>
      <c r="C1101" t="str">
        <f>RTD("nest.scriprtd",,"bse_cm|985ONE34","Exchange")</f>
        <v>BSE</v>
      </c>
      <c r="D1101">
        <f>RTD("nest.scriprtd",,"bse_cm|985ONE34","Bid Qty")</f>
        <v>25</v>
      </c>
      <c r="E1101">
        <f>RTD("nest.scriprtd",,"bse_cm|985ONE34","Bid Rate")</f>
        <v>880</v>
      </c>
      <c r="F1101">
        <f>RTD("nest.scriprtd",,"bse_cm|985ONE34","Ask Rate")</f>
        <v>0</v>
      </c>
      <c r="G1101">
        <f>RTD("nest.scriprtd",,"bse_cm|985ONE34","Ask Qty")</f>
        <v>0</v>
      </c>
      <c r="H1101">
        <f>RTD("nest.scriprtd",,"bse_cm|985ONE34","LTP")</f>
        <v>0</v>
      </c>
      <c r="I1101" t="str">
        <f>RTD("nest.scriprtd",,"bse_cm|985ONE34","LTT")</f>
        <v>00:00:00</v>
      </c>
      <c r="J1101">
        <f>RTD("nest.scriprtd",,"bse_cm|985ONE34","% Change")</f>
        <v>-100</v>
      </c>
      <c r="K1101">
        <f>RTD("nest.scriprtd",,"bse_cm|985ONE34","ATP")</f>
        <v>0</v>
      </c>
      <c r="L1101">
        <f>RTD("nest.scriprtd",,"bse_cm|985ONE34","Volume Traded Today")</f>
        <v>0</v>
      </c>
      <c r="M1101">
        <f>RTD("nest.scriprtd",,"bse_cm|985ONE34","Open")</f>
        <v>0</v>
      </c>
      <c r="N1101">
        <f>RTD("nest.scriprtd",,"bse_cm|985ONE34","High")</f>
        <v>1018.12</v>
      </c>
      <c r="O1101">
        <f>RTD("nest.scriprtd",,"bse_cm|985ONE34","Low ")</f>
        <v>1018.12</v>
      </c>
      <c r="P1101">
        <f>RTD("nest.scriprtd",,"bse_cm|985ONE34","Prev Close")</f>
        <v>1018.12</v>
      </c>
      <c r="Q1101">
        <f>RTD("nest.scriprtd",,"bse_cm|985ONE34","Face Value")</f>
        <v>1000</v>
      </c>
      <c r="R1101" t="str">
        <f>RTD("nest.scriprtd",,"bse_cm|985ONE34","Isin code")</f>
        <v>INE248U07FM6</v>
      </c>
      <c r="S1101" s="9">
        <f>Table1[[#This Row],[Ask Rate]]*Table1[[#This Row],[Ask Qty]]</f>
        <v>0</v>
      </c>
      <c r="T1101">
        <f>VLOOKUP(Table1[[#This Row],[Isin code]],Table2[#All],7,FALSE)</f>
        <v>9.85</v>
      </c>
      <c r="U1101" s="17" t="str">
        <f>VLOOKUP(Table1[[#This Row],[Isin code]],Table2[#All],8,FALSE)</f>
        <v>12-Jun-2034</v>
      </c>
      <c r="V1101" s="10">
        <f ca="1">Table1[[#This Row],[Maturity]]-TODAY()</f>
        <v>3526</v>
      </c>
      <c r="W1101" t="str">
        <f>VLOOKUP(Table1[[#This Row],[Isin code]],Table2[#All],10,FALSE)</f>
        <v>Annual</v>
      </c>
      <c r="X1101">
        <f ca="1">_xlfn.DAYS(Table1[[#This Row],[Maturity]],TODAY())-15</f>
        <v>3511</v>
      </c>
      <c r="Y110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01">
        <f>IF(Table1[[#This Row],[Ask Rate]]=0,0,Table1[[#This Row],[Face Value]]-Table1[[#This Row],[Ask Rate]])</f>
        <v>0</v>
      </c>
      <c r="AA110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01">
        <f>Table1[[#This Row],[Face Value]]*Table1[[#This Row],[Rate]]*Table1[[#This Row],[Time]]</f>
        <v>0</v>
      </c>
      <c r="AC1101">
        <f>Table1[[#This Row],[SI]]+Table1[[#This Row],[Disc/Prem]]</f>
        <v>0</v>
      </c>
      <c r="AD1101" s="3" t="e">
        <f>Table1[[#This Row],[Net Gain]]/Table1[[#This Row],[Ask Rate]]</f>
        <v>#DIV/0!</v>
      </c>
      <c r="AE1101" s="3">
        <f>IF(Table1[[#This Row],[Ask Qty]]=0,0,Table1[[#This Row],[Gross Yield]]*365/Table1[[#This Row],[Days Left]])</f>
        <v>0</v>
      </c>
      <c r="AF1101" s="9">
        <f>+Table1[[#This Row],[Net Gain]]*Table1[[#This Row],[Ask Qty]]</f>
        <v>0</v>
      </c>
      <c r="AG1101" t="str">
        <f>IF(Table1[[#This Row],[YTM]]&gt;0.12,IF(Table1[[#This Row],[Gross Profit]]&gt;10000,"Invest","Review"),"Low YTM")</f>
        <v>Low YTM</v>
      </c>
    </row>
    <row r="1102" spans="1:33" x14ac:dyDescent="0.3">
      <c r="A1102" t="str">
        <f>RTD("nest.scriprtd",,"bse_cm|985KAFL26","Symbol")</f>
        <v>985KAFL26</v>
      </c>
      <c r="B1102" t="str">
        <f>RTD("nest.scriprtd",,"bse_cm|985KAFL26","Trading Symbol")</f>
        <v>985KAFL26</v>
      </c>
      <c r="C1102" t="str">
        <f>RTD("nest.scriprtd",,"bse_cm|985KAFL26","Exchange")</f>
        <v>BSE</v>
      </c>
      <c r="D1102">
        <f>RTD("nest.scriprtd",,"bse_cm|985KAFL26","Bid Qty")</f>
        <v>12</v>
      </c>
      <c r="E1102">
        <f>RTD("nest.scriprtd",,"bse_cm|985KAFL26","Bid Rate")</f>
        <v>825.25</v>
      </c>
      <c r="F1102">
        <f>RTD("nest.scriprtd",,"bse_cm|985KAFL26","Ask Rate")</f>
        <v>0</v>
      </c>
      <c r="G1102">
        <f>RTD("nest.scriprtd",,"bse_cm|985KAFL26","Ask Qty")</f>
        <v>0</v>
      </c>
      <c r="H1102">
        <f>RTD("nest.scriprtd",,"bse_cm|985KAFL26","LTP")</f>
        <v>0</v>
      </c>
      <c r="I1102" t="str">
        <f>RTD("nest.scriprtd",,"bse_cm|985KAFL26","LTT")</f>
        <v>00:00:00</v>
      </c>
      <c r="J1102">
        <f>RTD("nest.scriprtd",,"bse_cm|985KAFL26","% Change")</f>
        <v>-100</v>
      </c>
      <c r="K1102">
        <f>RTD("nest.scriprtd",,"bse_cm|985KAFL26","ATP")</f>
        <v>0</v>
      </c>
      <c r="L1102">
        <f>RTD("nest.scriprtd",,"bse_cm|985KAFL26","Volume Traded Today")</f>
        <v>0</v>
      </c>
      <c r="M1102">
        <f>RTD("nest.scriprtd",,"bse_cm|985KAFL26","Open")</f>
        <v>0</v>
      </c>
      <c r="N1102">
        <f>RTD("nest.scriprtd",,"bse_cm|985KAFL26","High")</f>
        <v>0</v>
      </c>
      <c r="O1102">
        <f>RTD("nest.scriprtd",,"bse_cm|985KAFL26","Low ")</f>
        <v>0</v>
      </c>
      <c r="P1102">
        <f>RTD("nest.scriprtd",,"bse_cm|985KAFL26","Prev Close")</f>
        <v>1000</v>
      </c>
      <c r="Q1102">
        <f>RTD("nest.scriprtd",,"bse_cm|985KAFL26","Face Value")</f>
        <v>1000</v>
      </c>
      <c r="R1102" t="str">
        <f>RTD("nest.scriprtd",,"bse_cm|985KAFL26","Isin code")</f>
        <v>INE01I507943</v>
      </c>
      <c r="S1102" s="9">
        <f>Table1[[#This Row],[Ask Rate]]*Table1[[#This Row],[Ask Qty]]</f>
        <v>0</v>
      </c>
      <c r="T1102">
        <f>VLOOKUP(Table1[[#This Row],[Isin code]],Table2[#All],7,FALSE)</f>
        <v>9.85</v>
      </c>
      <c r="U1102" s="17" t="str">
        <f>VLOOKUP(Table1[[#This Row],[Isin code]],Table2[#All],8,FALSE)</f>
        <v>06-Feb-2026</v>
      </c>
      <c r="V1102" s="10">
        <f ca="1">Table1[[#This Row],[Maturity]]-TODAY()</f>
        <v>478</v>
      </c>
      <c r="W1102" t="str">
        <f>VLOOKUP(Table1[[#This Row],[Isin code]],Table2[#All],10,FALSE)</f>
        <v>MONTHLY</v>
      </c>
      <c r="X1102">
        <f ca="1">_xlfn.DAYS(Table1[[#This Row],[Maturity]],TODAY())-15</f>
        <v>463</v>
      </c>
      <c r="Y11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16</v>
      </c>
      <c r="Z1102">
        <f>IF(Table1[[#This Row],[Ask Rate]]=0,0,Table1[[#This Row],[Face Value]]-Table1[[#This Row],[Ask Rate]])</f>
        <v>0</v>
      </c>
      <c r="AA1102">
        <f>IF(Table1[[#This Row],[Freq]]="Yearly",Table1[[#This Row],[Coupon_Rate]]/100,IF(Table1[[#This Row],[Freq]]="Monthly",Table1[[#This Row],[Coupon_Rate]]/1200,IF(Table1[[#This Row],[Freq]]="Quarterly",Table1[[#This Row],[Coupon_Rate]]/400,0)))</f>
        <v>8.2083333333333331E-3</v>
      </c>
      <c r="AB1102">
        <f ca="1">Table1[[#This Row],[Face Value]]*Table1[[#This Row],[Rate]]*Table1[[#This Row],[Time]]</f>
        <v>131.33333333333334</v>
      </c>
      <c r="AC1102">
        <f ca="1">Table1[[#This Row],[SI]]+Table1[[#This Row],[Disc/Prem]]</f>
        <v>131.33333333333334</v>
      </c>
      <c r="AD1102" s="3" t="e">
        <f ca="1">Table1[[#This Row],[Net Gain]]/Table1[[#This Row],[Ask Rate]]</f>
        <v>#DIV/0!</v>
      </c>
      <c r="AE1102" s="3">
        <f>IF(Table1[[#This Row],[Ask Qty]]=0,0,Table1[[#This Row],[Gross Yield]]*365/Table1[[#This Row],[Days Left]])</f>
        <v>0</v>
      </c>
      <c r="AF1102" s="9">
        <f ca="1">+Table1[[#This Row],[Net Gain]]*Table1[[#This Row],[Ask Qty]]</f>
        <v>0</v>
      </c>
      <c r="AG1102" t="str">
        <f>IF(Table1[[#This Row],[YTM]]&gt;0.12,IF(Table1[[#This Row],[Gross Profit]]&gt;10000,"Invest","Review"),"Low YTM")</f>
        <v>Low YTM</v>
      </c>
    </row>
    <row r="1103" spans="1:33" x14ac:dyDescent="0.3">
      <c r="A1103" t="str">
        <f>RTD("nest.scriprtd",,"bse_cm|1015MML25","Symbol")</f>
        <v>1015MML25</v>
      </c>
      <c r="B1103" t="str">
        <f>RTD("nest.scriprtd",,"bse_cm|1015MML25","Trading Symbol")</f>
        <v>1015MML25</v>
      </c>
      <c r="C1103" t="str">
        <f>RTD("nest.scriprtd",,"bse_cm|1015MML25","Exchange")</f>
        <v>BSE</v>
      </c>
      <c r="D1103">
        <f>RTD("nest.scriprtd",,"bse_cm|1015MML25","Bid Qty")</f>
        <v>10</v>
      </c>
      <c r="E1103">
        <f>RTD("nest.scriprtd",,"bse_cm|1015MML25","Bid Rate")</f>
        <v>850</v>
      </c>
      <c r="F1103">
        <f>RTD("nest.scriprtd",,"bse_cm|1015MML25","Ask Rate")</f>
        <v>0</v>
      </c>
      <c r="G1103">
        <f>RTD("nest.scriprtd",,"bse_cm|1015MML25","Ask Qty")</f>
        <v>0</v>
      </c>
      <c r="H1103">
        <f>RTD("nest.scriprtd",,"bse_cm|1015MML25","LTP")</f>
        <v>0</v>
      </c>
      <c r="I1103" t="str">
        <f>RTD("nest.scriprtd",,"bse_cm|1015MML25","LTT")</f>
        <v>00:00:00</v>
      </c>
      <c r="J1103">
        <f>RTD("nest.scriprtd",,"bse_cm|1015MML25","% Change")</f>
        <v>-100</v>
      </c>
      <c r="K1103">
        <f>RTD("nest.scriprtd",,"bse_cm|1015MML25","ATP")</f>
        <v>0</v>
      </c>
      <c r="L1103">
        <f>RTD("nest.scriprtd",,"bse_cm|1015MML25","Volume Traded Today")</f>
        <v>0</v>
      </c>
      <c r="M1103">
        <f>RTD("nest.scriprtd",,"bse_cm|1015MML25","Open")</f>
        <v>0</v>
      </c>
      <c r="N1103">
        <f>RTD("nest.scriprtd",,"bse_cm|1015MML25","High")</f>
        <v>1194.8</v>
      </c>
      <c r="O1103">
        <f>RTD("nest.scriprtd",,"bse_cm|1015MML25","Low ")</f>
        <v>868.2</v>
      </c>
      <c r="P1103">
        <f>RTD("nest.scriprtd",,"bse_cm|1015MML25","Prev Close")</f>
        <v>922.8</v>
      </c>
      <c r="Q1103">
        <f>RTD("nest.scriprtd",,"bse_cm|1015MML25","Face Value")</f>
        <v>1000</v>
      </c>
      <c r="R1103" t="str">
        <f>RTD("nest.scriprtd",,"bse_cm|1015MML25","Isin code")</f>
        <v>INE05F407BS0</v>
      </c>
      <c r="S1103" s="9">
        <f>Table1[[#This Row],[Ask Rate]]*Table1[[#This Row],[Ask Qty]]</f>
        <v>0</v>
      </c>
      <c r="T1103">
        <f>VLOOKUP(Table1[[#This Row],[Isin code]],Table2[#All],7,FALSE)</f>
        <v>10.15</v>
      </c>
      <c r="U1103" s="17" t="str">
        <f>VLOOKUP(Table1[[#This Row],[Isin code]],Table2[#All],8,FALSE)</f>
        <v>21-Jun-2025</v>
      </c>
      <c r="V1103" s="10">
        <f ca="1">Table1[[#This Row],[Maturity]]-TODAY()</f>
        <v>248</v>
      </c>
      <c r="W1103" t="str">
        <f>VLOOKUP(Table1[[#This Row],[Isin code]],Table2[#All],10,FALSE)</f>
        <v>Monthly</v>
      </c>
      <c r="X1103">
        <f ca="1">_xlfn.DAYS(Table1[[#This Row],[Maturity]],TODAY())-15</f>
        <v>233</v>
      </c>
      <c r="Y11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1103">
        <f>IF(Table1[[#This Row],[Ask Rate]]=0,0,Table1[[#This Row],[Face Value]]-Table1[[#This Row],[Ask Rate]])</f>
        <v>0</v>
      </c>
      <c r="AA1103">
        <f>IF(Table1[[#This Row],[Freq]]="Yearly",Table1[[#This Row],[Coupon_Rate]]/100,IF(Table1[[#This Row],[Freq]]="Monthly",Table1[[#This Row],[Coupon_Rate]]/1200,IF(Table1[[#This Row],[Freq]]="Quarterly",Table1[[#This Row],[Coupon_Rate]]/400,0)))</f>
        <v>8.4583333333333333E-3</v>
      </c>
      <c r="AB1103">
        <f ca="1">Table1[[#This Row],[Face Value]]*Table1[[#This Row],[Rate]]*Table1[[#This Row],[Time]]</f>
        <v>67.666666666666671</v>
      </c>
      <c r="AC1103">
        <f ca="1">Table1[[#This Row],[SI]]+Table1[[#This Row],[Disc/Prem]]</f>
        <v>67.666666666666671</v>
      </c>
      <c r="AD1103" s="3" t="e">
        <f ca="1">Table1[[#This Row],[Net Gain]]/Table1[[#This Row],[Ask Rate]]</f>
        <v>#DIV/0!</v>
      </c>
      <c r="AE1103" s="3">
        <f>IF(Table1[[#This Row],[Ask Qty]]=0,0,Table1[[#This Row],[Gross Yield]]*365/Table1[[#This Row],[Days Left]])</f>
        <v>0</v>
      </c>
      <c r="AF1103" s="9">
        <f ca="1">+Table1[[#This Row],[Net Gain]]*Table1[[#This Row],[Ask Qty]]</f>
        <v>0</v>
      </c>
      <c r="AG1103" t="str">
        <f>IF(Table1[[#This Row],[YTM]]&gt;0.12,IF(Table1[[#This Row],[Gross Profit]]&gt;10000,"Invest","Review"),"Low YTM")</f>
        <v>Low YTM</v>
      </c>
    </row>
    <row r="1104" spans="1:33" x14ac:dyDescent="0.3">
      <c r="A1104" t="str">
        <f>RTD("nest.scriprtd",,"bse_cm|835SCL23A","Symbol")</f>
        <v>835SCL23A</v>
      </c>
      <c r="B1104" t="str">
        <f>RTD("nest.scriprtd",,"bse_cm|835SCL23A","Trading Symbol")</f>
        <v>835SCL23A</v>
      </c>
      <c r="C1104" t="str">
        <f>RTD("nest.scriprtd",,"bse_cm|835SCL23A","Exchange")</f>
        <v>BSE</v>
      </c>
      <c r="D1104">
        <f>RTD("nest.scriprtd",,"bse_cm|835SCL23A","Bid Qty")</f>
        <v>20</v>
      </c>
      <c r="E1104">
        <f>RTD("nest.scriprtd",,"bse_cm|835SCL23A","Bid Rate")</f>
        <v>816.1</v>
      </c>
      <c r="F1104">
        <f>RTD("nest.scriprtd",,"bse_cm|835SCL23A","Ask Rate")</f>
        <v>0</v>
      </c>
      <c r="G1104">
        <f>RTD("nest.scriprtd",,"bse_cm|835SCL23A","Ask Qty")</f>
        <v>0</v>
      </c>
      <c r="H1104">
        <f>RTD("nest.scriprtd",,"bse_cm|835SCL23A","LTP")</f>
        <v>0</v>
      </c>
      <c r="I1104" t="str">
        <f>RTD("nest.scriprtd",,"bse_cm|835SCL23A","LTT")</f>
        <v>00:00:00</v>
      </c>
      <c r="J1104">
        <f>RTD("nest.scriprtd",,"bse_cm|835SCL23A","% Change")</f>
        <v>-100</v>
      </c>
      <c r="K1104">
        <f>RTD("nest.scriprtd",,"bse_cm|835SCL23A","ATP")</f>
        <v>0</v>
      </c>
      <c r="L1104">
        <f>RTD("nest.scriprtd",,"bse_cm|835SCL23A","Volume Traded Today")</f>
        <v>0</v>
      </c>
      <c r="M1104">
        <f>RTD("nest.scriprtd",,"bse_cm|835SCL23A","Open")</f>
        <v>0</v>
      </c>
      <c r="N1104">
        <f>RTD("nest.scriprtd",,"bse_cm|835SCL23A","High")</f>
        <v>977.3</v>
      </c>
      <c r="O1104">
        <f>RTD("nest.scriprtd",,"bse_cm|835SCL23A","Low ")</f>
        <v>816.1</v>
      </c>
      <c r="P1104">
        <f>RTD("nest.scriprtd",,"bse_cm|835SCL23A","Prev Close")</f>
        <v>977.3</v>
      </c>
      <c r="Q1104">
        <f>RTD("nest.scriprtd",,"bse_cm|835SCL23A","Face Value")</f>
        <v>1000</v>
      </c>
      <c r="R1104" t="str">
        <f>RTD("nest.scriprtd",,"bse_cm|835SCL23A","Isin code")</f>
        <v>INE148I07RR7</v>
      </c>
      <c r="S1104" s="9">
        <f>Table1[[#This Row],[Ask Rate]]*Table1[[#This Row],[Ask Qty]]</f>
        <v>0</v>
      </c>
      <c r="T1104">
        <f>VLOOKUP(Table1[[#This Row],[Isin code]],Table2[#All],7,FALSE)</f>
        <v>10.5</v>
      </c>
      <c r="U1104" s="17" t="str">
        <f>VLOOKUP(Table1[[#This Row],[Isin code]],Table2[#All],8,FALSE)</f>
        <v>27-Dec-2030</v>
      </c>
      <c r="V1104" s="10">
        <f ca="1">Table1[[#This Row],[Maturity]]-TODAY()</f>
        <v>2263</v>
      </c>
      <c r="W1104" t="str">
        <f>VLOOKUP(Table1[[#This Row],[Isin code]],Table2[#All],10,FALSE)</f>
        <v>Yearly</v>
      </c>
      <c r="X1104">
        <f ca="1">_xlfn.DAYS(Table1[[#This Row],[Maturity]],TODAY())-15</f>
        <v>2248</v>
      </c>
      <c r="Y11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104">
        <f>IF(Table1[[#This Row],[Ask Rate]]=0,0,Table1[[#This Row],[Face Value]]-Table1[[#This Row],[Ask Rate]])</f>
        <v>0</v>
      </c>
      <c r="AA1104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1104">
        <f ca="1">Table1[[#This Row],[Face Value]]*Table1[[#This Row],[Rate]]*Table1[[#This Row],[Time]]</f>
        <v>735</v>
      </c>
      <c r="AC1104">
        <f ca="1">Table1[[#This Row],[SI]]+Table1[[#This Row],[Disc/Prem]]</f>
        <v>735</v>
      </c>
      <c r="AD1104" s="3" t="e">
        <f ca="1">Table1[[#This Row],[Net Gain]]/Table1[[#This Row],[Ask Rate]]</f>
        <v>#DIV/0!</v>
      </c>
      <c r="AE1104" s="3">
        <f>IF(Table1[[#This Row],[Ask Qty]]=0,0,Table1[[#This Row],[Gross Yield]]*365/Table1[[#This Row],[Days Left]])</f>
        <v>0</v>
      </c>
      <c r="AF1104" s="9">
        <f ca="1">+Table1[[#This Row],[Net Gain]]*Table1[[#This Row],[Ask Qty]]</f>
        <v>0</v>
      </c>
      <c r="AG1104" t="str">
        <f>IF(Table1[[#This Row],[YTM]]&gt;0.12,IF(Table1[[#This Row],[Gross Profit]]&gt;10000,"Invest","Review"),"Low YTM")</f>
        <v>Low YTM</v>
      </c>
    </row>
    <row r="1105" spans="1:33" x14ac:dyDescent="0.3">
      <c r="A1105" t="str">
        <f>RTD("nest.scriprtd",,"bse_cm|965SCL25","Symbol")</f>
        <v>965SCL25</v>
      </c>
      <c r="B1105" t="str">
        <f>RTD("nest.scriprtd",,"bse_cm|965SCL25","Trading Symbol")</f>
        <v>965SCL25</v>
      </c>
      <c r="C1105" t="str">
        <f>RTD("nest.scriprtd",,"bse_cm|965SCL25","Exchange")</f>
        <v>BSE</v>
      </c>
      <c r="D1105">
        <f>RTD("nest.scriprtd",,"bse_cm|965SCL25","Bid Qty")</f>
        <v>12</v>
      </c>
      <c r="E1105">
        <f>RTD("nest.scriprtd",,"bse_cm|965SCL25","Bid Rate")</f>
        <v>1100.0999999999999</v>
      </c>
      <c r="F1105">
        <f>RTD("nest.scriprtd",,"bse_cm|965SCL25","Ask Rate")</f>
        <v>0</v>
      </c>
      <c r="G1105">
        <f>RTD("nest.scriprtd",,"bse_cm|965SCL25","Ask Qty")</f>
        <v>0</v>
      </c>
      <c r="H1105">
        <f>RTD("nest.scriprtd",,"bse_cm|965SCL25","LTP")</f>
        <v>0</v>
      </c>
      <c r="I1105" t="str">
        <f>RTD("nest.scriprtd",,"bse_cm|965SCL25","LTT")</f>
        <v>00:00:00</v>
      </c>
      <c r="J1105">
        <f>RTD("nest.scriprtd",,"bse_cm|965SCL25","% Change")</f>
        <v>-100</v>
      </c>
      <c r="K1105">
        <f>RTD("nest.scriprtd",,"bse_cm|965SCL25","ATP")</f>
        <v>0</v>
      </c>
      <c r="L1105">
        <f>RTD("nest.scriprtd",,"bse_cm|965SCL25","Volume Traded Today")</f>
        <v>0</v>
      </c>
      <c r="M1105">
        <f>RTD("nest.scriprtd",,"bse_cm|965SCL25","Open")</f>
        <v>0</v>
      </c>
      <c r="N1105">
        <f>RTD("nest.scriprtd",,"bse_cm|965SCL25","High")</f>
        <v>1123</v>
      </c>
      <c r="O1105">
        <f>RTD("nest.scriprtd",,"bse_cm|965SCL25","Low ")</f>
        <v>1123</v>
      </c>
      <c r="P1105">
        <f>RTD("nest.scriprtd",,"bse_cm|965SCL25","Prev Close")</f>
        <v>1123</v>
      </c>
      <c r="Q1105">
        <f>RTD("nest.scriprtd",,"bse_cm|965SCL25","Face Value")</f>
        <v>1000</v>
      </c>
      <c r="R1105" t="str">
        <f>RTD("nest.scriprtd",,"bse_cm|965SCL25","Isin code")</f>
        <v>INE148I07OD4</v>
      </c>
      <c r="S1105" s="9">
        <f>Table1[[#This Row],[Ask Rate]]*Table1[[#This Row],[Ask Qty]]</f>
        <v>0</v>
      </c>
      <c r="T1105" t="str">
        <f>VLOOKUP(Table1[[#This Row],[Isin code]],Table2[#All],7,FALSE)</f>
        <v>--</v>
      </c>
      <c r="U1105" s="17" t="str">
        <f>VLOOKUP(Table1[[#This Row],[Isin code]],Table2[#All],8,FALSE)</f>
        <v>23-Mar-2025</v>
      </c>
      <c r="V1105" s="10">
        <f ca="1">Table1[[#This Row],[Maturity]]-TODAY()</f>
        <v>158</v>
      </c>
      <c r="W1105" t="str">
        <f>VLOOKUP(Table1[[#This Row],[Isin code]],Table2[#All],10,FALSE)</f>
        <v>At the End</v>
      </c>
      <c r="X1105">
        <f ca="1">_xlfn.DAYS(Table1[[#This Row],[Maturity]],TODAY())-15</f>
        <v>143</v>
      </c>
      <c r="Y110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05">
        <f>IF(Table1[[#This Row],[Ask Rate]]=0,0,Table1[[#This Row],[Face Value]]-Table1[[#This Row],[Ask Rate]])</f>
        <v>0</v>
      </c>
      <c r="AA110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05">
        <f>Table1[[#This Row],[Face Value]]*Table1[[#This Row],[Rate]]*Table1[[#This Row],[Time]]</f>
        <v>0</v>
      </c>
      <c r="AC1105">
        <f>Table1[[#This Row],[SI]]+Table1[[#This Row],[Disc/Prem]]</f>
        <v>0</v>
      </c>
      <c r="AD1105" s="3" t="e">
        <f>Table1[[#This Row],[Net Gain]]/Table1[[#This Row],[Ask Rate]]</f>
        <v>#DIV/0!</v>
      </c>
      <c r="AE1105" s="3">
        <f>IF(Table1[[#This Row],[Ask Qty]]=0,0,Table1[[#This Row],[Gross Yield]]*365/Table1[[#This Row],[Days Left]])</f>
        <v>0</v>
      </c>
      <c r="AF1105" s="9">
        <f>+Table1[[#This Row],[Net Gain]]*Table1[[#This Row],[Ask Qty]]</f>
        <v>0</v>
      </c>
      <c r="AG1105" t="str">
        <f>IF(Table1[[#This Row],[YTM]]&gt;0.12,IF(Table1[[#This Row],[Gross Profit]]&gt;10000,"Invest","Review"),"Low YTM")</f>
        <v>Low YTM</v>
      </c>
    </row>
    <row r="1106" spans="1:33" x14ac:dyDescent="0.3">
      <c r="A1106" t="str">
        <f>RTD("nest.scriprtd",,"bse_cm|965SCFL25","Symbol")</f>
        <v>965SCFL25</v>
      </c>
      <c r="B1106" t="str">
        <f>RTD("nest.scriprtd",,"bse_cm|965SCFL25","Trading Symbol")</f>
        <v>965SCFL25</v>
      </c>
      <c r="C1106" t="str">
        <f>RTD("nest.scriprtd",,"bse_cm|965SCFL25","Exchange")</f>
        <v>BSE</v>
      </c>
      <c r="D1106">
        <f>RTD("nest.scriprtd",,"bse_cm|965SCFL25","Bid Qty")</f>
        <v>95</v>
      </c>
      <c r="E1106">
        <f>RTD("nest.scriprtd",,"bse_cm|965SCFL25","Bid Rate")</f>
        <v>1010.2</v>
      </c>
      <c r="F1106">
        <f>RTD("nest.scriprtd",,"bse_cm|965SCFL25","Ask Rate")</f>
        <v>0</v>
      </c>
      <c r="G1106">
        <f>RTD("nest.scriprtd",,"bse_cm|965SCFL25","Ask Qty")</f>
        <v>0</v>
      </c>
      <c r="H1106">
        <f>RTD("nest.scriprtd",,"bse_cm|965SCFL25","LTP")</f>
        <v>0</v>
      </c>
      <c r="I1106" t="str">
        <f>RTD("nest.scriprtd",,"bse_cm|965SCFL25","LTT")</f>
        <v>00:00:00</v>
      </c>
      <c r="J1106">
        <f>RTD("nest.scriprtd",,"bse_cm|965SCFL25","% Change")</f>
        <v>-100</v>
      </c>
      <c r="K1106">
        <f>RTD("nest.scriprtd",,"bse_cm|965SCFL25","ATP")</f>
        <v>0</v>
      </c>
      <c r="L1106">
        <f>RTD("nest.scriprtd",,"bse_cm|965SCFL25","Volume Traded Today")</f>
        <v>0</v>
      </c>
      <c r="M1106">
        <f>RTD("nest.scriprtd",,"bse_cm|965SCFL25","Open")</f>
        <v>0</v>
      </c>
      <c r="N1106">
        <f>RTD("nest.scriprtd",,"bse_cm|965SCFL25","High")</f>
        <v>1010.2</v>
      </c>
      <c r="O1106">
        <f>RTD("nest.scriprtd",,"bse_cm|965SCFL25","Low ")</f>
        <v>1010.2</v>
      </c>
      <c r="P1106">
        <f>RTD("nest.scriprtd",,"bse_cm|965SCFL25","Prev Close")</f>
        <v>1010.2</v>
      </c>
      <c r="Q1106">
        <f>RTD("nest.scriprtd",,"bse_cm|965SCFL25","Face Value")</f>
        <v>1000</v>
      </c>
      <c r="R1106" t="str">
        <f>RTD("nest.scriprtd",,"bse_cm|965SCFL25","Isin code")</f>
        <v>INE148I07NT2</v>
      </c>
      <c r="S1106" s="9">
        <f>Table1[[#This Row],[Ask Rate]]*Table1[[#This Row],[Ask Qty]]</f>
        <v>0</v>
      </c>
      <c r="T1106">
        <f>VLOOKUP(Table1[[#This Row],[Isin code]],Table2[#All],7,FALSE)</f>
        <v>9.65</v>
      </c>
      <c r="U1106" s="17" t="str">
        <f>VLOOKUP(Table1[[#This Row],[Isin code]],Table2[#All],8,FALSE)</f>
        <v>23-Mar-2025</v>
      </c>
      <c r="V1106" s="10">
        <f ca="1">Table1[[#This Row],[Maturity]]-TODAY()</f>
        <v>158</v>
      </c>
      <c r="W1106" t="str">
        <f>VLOOKUP(Table1[[#This Row],[Isin code]],Table2[#All],10,FALSE)</f>
        <v>Yearly</v>
      </c>
      <c r="X1106">
        <f ca="1">_xlfn.DAYS(Table1[[#This Row],[Maturity]],TODAY())-15</f>
        <v>143</v>
      </c>
      <c r="Y11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06">
        <f>IF(Table1[[#This Row],[Ask Rate]]=0,0,Table1[[#This Row],[Face Value]]-Table1[[#This Row],[Ask Rate]])</f>
        <v>0</v>
      </c>
      <c r="AA1106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106">
        <f ca="1">Table1[[#This Row],[Face Value]]*Table1[[#This Row],[Rate]]*Table1[[#This Row],[Time]]</f>
        <v>96.5</v>
      </c>
      <c r="AC1106">
        <f ca="1">Table1[[#This Row],[SI]]+Table1[[#This Row],[Disc/Prem]]</f>
        <v>96.5</v>
      </c>
      <c r="AD1106" s="3" t="e">
        <f ca="1">Table1[[#This Row],[Net Gain]]/Table1[[#This Row],[Ask Rate]]</f>
        <v>#DIV/0!</v>
      </c>
      <c r="AE1106" s="3">
        <f>IF(Table1[[#This Row],[Ask Qty]]=0,0,Table1[[#This Row],[Gross Yield]]*365/Table1[[#This Row],[Days Left]])</f>
        <v>0</v>
      </c>
      <c r="AF1106" s="9">
        <f ca="1">+Table1[[#This Row],[Net Gain]]*Table1[[#This Row],[Ask Qty]]</f>
        <v>0</v>
      </c>
      <c r="AG1106" t="str">
        <f>IF(Table1[[#This Row],[YTM]]&gt;0.12,IF(Table1[[#This Row],[Gross Profit]]&gt;10000,"Invest","Review"),"Low YTM")</f>
        <v>Low YTM</v>
      </c>
    </row>
    <row r="1107" spans="1:33" x14ac:dyDescent="0.3">
      <c r="A1107" t="str">
        <f>RTD("nest.scriprtd",,"bse_cm|965MML25","Symbol")</f>
        <v>965MML25</v>
      </c>
      <c r="B1107" t="str">
        <f>RTD("nest.scriprtd",,"bse_cm|965MML25","Trading Symbol")</f>
        <v>965MML25</v>
      </c>
      <c r="C1107" t="str">
        <f>RTD("nest.scriprtd",,"bse_cm|965MML25","Exchange")</f>
        <v>BSE</v>
      </c>
      <c r="D1107">
        <f>RTD("nest.scriprtd",,"bse_cm|965MML25","Bid Qty")</f>
        <v>0</v>
      </c>
      <c r="E1107">
        <f>RTD("nest.scriprtd",,"bse_cm|965MML25","Bid Rate")</f>
        <v>0</v>
      </c>
      <c r="F1107">
        <f>RTD("nest.scriprtd",,"bse_cm|965MML25","Ask Rate")</f>
        <v>0</v>
      </c>
      <c r="G1107">
        <f>RTD("nest.scriprtd",,"bse_cm|965MML25","Ask Qty")</f>
        <v>0</v>
      </c>
      <c r="H1107">
        <f>RTD("nest.scriprtd",,"bse_cm|965MML25","LTP")</f>
        <v>0</v>
      </c>
      <c r="I1107" t="str">
        <f>RTD("nest.scriprtd",,"bse_cm|965MML25","LTT")</f>
        <v>00:00:00</v>
      </c>
      <c r="J1107">
        <f>RTD("nest.scriprtd",,"bse_cm|965MML25","% Change")</f>
        <v>-100</v>
      </c>
      <c r="K1107">
        <f>RTD("nest.scriprtd",,"bse_cm|965MML25","ATP")</f>
        <v>0</v>
      </c>
      <c r="L1107">
        <f>RTD("nest.scriprtd",,"bse_cm|965MML25","Volume Traded Today")</f>
        <v>0</v>
      </c>
      <c r="M1107">
        <f>RTD("nest.scriprtd",,"bse_cm|965MML25","Open")</f>
        <v>0</v>
      </c>
      <c r="N1107">
        <f>RTD("nest.scriprtd",,"bse_cm|965MML25","High")</f>
        <v>990</v>
      </c>
      <c r="O1107">
        <f>RTD("nest.scriprtd",,"bse_cm|965MML25","Low ")</f>
        <v>821.2</v>
      </c>
      <c r="P1107">
        <f>RTD("nest.scriprtd",,"bse_cm|965MML25","Prev Close")</f>
        <v>625</v>
      </c>
      <c r="Q1107">
        <f>RTD("nest.scriprtd",,"bse_cm|965MML25","Face Value")</f>
        <v>625</v>
      </c>
      <c r="R1107" t="str">
        <f>RTD("nest.scriprtd",,"bse_cm|965MML25","Isin code")</f>
        <v>INE05F407BE0</v>
      </c>
      <c r="S1107" s="9">
        <f>Table1[[#This Row],[Ask Rate]]*Table1[[#This Row],[Ask Qty]]</f>
        <v>0</v>
      </c>
      <c r="T1107">
        <f>VLOOKUP(Table1[[#This Row],[Isin code]],Table2[#All],7,FALSE)</f>
        <v>9.65</v>
      </c>
      <c r="U1107" s="17" t="str">
        <f>VLOOKUP(Table1[[#This Row],[Isin code]],Table2[#All],8,FALSE)</f>
        <v>21-Jun-2025</v>
      </c>
      <c r="V1107" s="10">
        <f ca="1">Table1[[#This Row],[Maturity]]-TODAY()</f>
        <v>248</v>
      </c>
      <c r="W1107" t="str">
        <f>VLOOKUP(Table1[[#This Row],[Isin code]],Table2[#All],10,FALSE)</f>
        <v>Monthly</v>
      </c>
      <c r="X1107">
        <f ca="1">_xlfn.DAYS(Table1[[#This Row],[Maturity]],TODAY())-15</f>
        <v>233</v>
      </c>
      <c r="Y11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1107">
        <f>IF(Table1[[#This Row],[Ask Rate]]=0,0,Table1[[#This Row],[Face Value]]-Table1[[#This Row],[Ask Rate]])</f>
        <v>0</v>
      </c>
      <c r="AA1107">
        <f>IF(Table1[[#This Row],[Freq]]="Yearly",Table1[[#This Row],[Coupon_Rate]]/100,IF(Table1[[#This Row],[Freq]]="Monthly",Table1[[#This Row],[Coupon_Rate]]/1200,IF(Table1[[#This Row],[Freq]]="Quarterly",Table1[[#This Row],[Coupon_Rate]]/400,0)))</f>
        <v>8.0416666666666674E-3</v>
      </c>
      <c r="AB1107">
        <f ca="1">Table1[[#This Row],[Face Value]]*Table1[[#This Row],[Rate]]*Table1[[#This Row],[Time]]</f>
        <v>40.208333333333336</v>
      </c>
      <c r="AC1107">
        <f ca="1">Table1[[#This Row],[SI]]+Table1[[#This Row],[Disc/Prem]]</f>
        <v>40.208333333333336</v>
      </c>
      <c r="AD1107" s="3" t="e">
        <f ca="1">Table1[[#This Row],[Net Gain]]/Table1[[#This Row],[Ask Rate]]</f>
        <v>#DIV/0!</v>
      </c>
      <c r="AE1107" s="3">
        <f>IF(Table1[[#This Row],[Ask Qty]]=0,0,Table1[[#This Row],[Gross Yield]]*365/Table1[[#This Row],[Days Left]])</f>
        <v>0</v>
      </c>
      <c r="AF1107" s="9">
        <f ca="1">+Table1[[#This Row],[Net Gain]]*Table1[[#This Row],[Ask Qty]]</f>
        <v>0</v>
      </c>
      <c r="AG1107" t="str">
        <f>IF(Table1[[#This Row],[YTM]]&gt;0.12,IF(Table1[[#This Row],[Gross Profit]]&gt;10000,"Invest","Review"),"Low YTM")</f>
        <v>Low YTM</v>
      </c>
    </row>
    <row r="1108" spans="1:33" x14ac:dyDescent="0.3">
      <c r="A1108" t="str">
        <f>RTD("nest.scriprtd",,"bse_cm|957SCL31","Symbol")</f>
        <v>957SCL31</v>
      </c>
      <c r="B1108" t="str">
        <f>RTD("nest.scriprtd",,"bse_cm|957SCL31","Trading Symbol")</f>
        <v>957SCL31</v>
      </c>
      <c r="C1108" t="str">
        <f>RTD("nest.scriprtd",,"bse_cm|957SCL31","Exchange")</f>
        <v>BSE</v>
      </c>
      <c r="D1108">
        <f>RTD("nest.scriprtd",,"bse_cm|957SCL31","Bid Qty")</f>
        <v>20</v>
      </c>
      <c r="E1108">
        <f>RTD("nest.scriprtd",,"bse_cm|957SCL31","Bid Rate")</f>
        <v>814.4</v>
      </c>
      <c r="F1108">
        <f>RTD("nest.scriprtd",,"bse_cm|957SCL31","Ask Rate")</f>
        <v>0</v>
      </c>
      <c r="G1108">
        <f>RTD("nest.scriprtd",,"bse_cm|957SCL31","Ask Qty")</f>
        <v>0</v>
      </c>
      <c r="H1108">
        <f>RTD("nest.scriprtd",,"bse_cm|957SCL31","LTP")</f>
        <v>0</v>
      </c>
      <c r="I1108" t="str">
        <f>RTD("nest.scriprtd",,"bse_cm|957SCL31","LTT")</f>
        <v>00:00:00</v>
      </c>
      <c r="J1108">
        <f>RTD("nest.scriprtd",,"bse_cm|957SCL31","% Change")</f>
        <v>-100</v>
      </c>
      <c r="K1108">
        <f>RTD("nest.scriprtd",,"bse_cm|957SCL31","ATP")</f>
        <v>0</v>
      </c>
      <c r="L1108">
        <f>RTD("nest.scriprtd",,"bse_cm|957SCL31","Volume Traded Today")</f>
        <v>0</v>
      </c>
      <c r="M1108">
        <f>RTD("nest.scriprtd",,"bse_cm|957SCL31","Open")</f>
        <v>0</v>
      </c>
      <c r="N1108">
        <f>RTD("nest.scriprtd",,"bse_cm|957SCL31","High")</f>
        <v>0</v>
      </c>
      <c r="O1108">
        <f>RTD("nest.scriprtd",,"bse_cm|957SCL31","Low ")</f>
        <v>0</v>
      </c>
      <c r="P1108">
        <f>RTD("nest.scriprtd",,"bse_cm|957SCL31","Prev Close")</f>
        <v>1000</v>
      </c>
      <c r="Q1108">
        <f>RTD("nest.scriprtd",,"bse_cm|957SCL31","Face Value")</f>
        <v>1000</v>
      </c>
      <c r="R1108" t="str">
        <f>RTD("nest.scriprtd",,"bse_cm|957SCL31","Isin code")</f>
        <v>INE148I07ST1</v>
      </c>
      <c r="S1108" s="9">
        <f>Table1[[#This Row],[Ask Rate]]*Table1[[#This Row],[Ask Qty]]</f>
        <v>0</v>
      </c>
      <c r="T1108">
        <f>VLOOKUP(Table1[[#This Row],[Isin code]],Table2[#All],7,FALSE)</f>
        <v>9.5699999999999985</v>
      </c>
      <c r="U1108" s="17" t="str">
        <f>VLOOKUP(Table1[[#This Row],[Isin code]],Table2[#All],8,FALSE)</f>
        <v>26-Mar-2031</v>
      </c>
      <c r="V1108" s="10">
        <f ca="1">Table1[[#This Row],[Maturity]]-TODAY()</f>
        <v>2352</v>
      </c>
      <c r="W1108" t="str">
        <f>VLOOKUP(Table1[[#This Row],[Isin code]],Table2[#All],10,FALSE)</f>
        <v>Monthly</v>
      </c>
      <c r="X1108">
        <f ca="1">_xlfn.DAYS(Table1[[#This Row],[Maturity]],TODAY())-15</f>
        <v>2337</v>
      </c>
      <c r="Y11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78</v>
      </c>
      <c r="Z1108">
        <f>IF(Table1[[#This Row],[Ask Rate]]=0,0,Table1[[#This Row],[Face Value]]-Table1[[#This Row],[Ask Rate]])</f>
        <v>0</v>
      </c>
      <c r="AA1108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1108">
        <f ca="1">Table1[[#This Row],[Face Value]]*Table1[[#This Row],[Rate]]*Table1[[#This Row],[Time]]</f>
        <v>622.04999999999995</v>
      </c>
      <c r="AC1108">
        <f ca="1">Table1[[#This Row],[SI]]+Table1[[#This Row],[Disc/Prem]]</f>
        <v>622.04999999999995</v>
      </c>
      <c r="AD1108" s="3" t="e">
        <f ca="1">Table1[[#This Row],[Net Gain]]/Table1[[#This Row],[Ask Rate]]</f>
        <v>#DIV/0!</v>
      </c>
      <c r="AE1108" s="3">
        <f>IF(Table1[[#This Row],[Ask Qty]]=0,0,Table1[[#This Row],[Gross Yield]]*365/Table1[[#This Row],[Days Left]])</f>
        <v>0</v>
      </c>
      <c r="AF1108" s="9">
        <f ca="1">+Table1[[#This Row],[Net Gain]]*Table1[[#This Row],[Ask Qty]]</f>
        <v>0</v>
      </c>
      <c r="AG1108" t="str">
        <f>IF(Table1[[#This Row],[YTM]]&gt;0.12,IF(Table1[[#This Row],[Gross Profit]]&gt;10000,"Invest","Review"),"Low YTM")</f>
        <v>Low YTM</v>
      </c>
    </row>
    <row r="1109" spans="1:33" x14ac:dyDescent="0.3">
      <c r="A1109" t="str">
        <f>RTD("nest.scriprtd",,"nse_cm|957SCL30-BX","Symbol")</f>
        <v>957SCL30</v>
      </c>
      <c r="B1109" t="str">
        <f>RTD("nest.scriprtd",,"nse_cm|957SCL30-BX","Trading Symbol")</f>
        <v>957SCL30-BX</v>
      </c>
      <c r="C1109" t="str">
        <f>RTD("nest.scriprtd",,"nse_cm|957SCL30-BX","Exchange")</f>
        <v>NSE</v>
      </c>
      <c r="D1109">
        <f>RTD("nest.scriprtd",,"nse_cm|957SCL30-BX","Bid Qty")</f>
        <v>0</v>
      </c>
      <c r="E1109">
        <f>RTD("nest.scriprtd",,"nse_cm|957SCL30-BX","Bid Rate")</f>
        <v>0</v>
      </c>
      <c r="F1109">
        <f>RTD("nest.scriprtd",,"nse_cm|957SCL30-BX","Ask Rate")</f>
        <v>0</v>
      </c>
      <c r="G1109">
        <f>RTD("nest.scriprtd",,"nse_cm|957SCL30-BX","Ask Qty")</f>
        <v>0</v>
      </c>
      <c r="H1109">
        <f>RTD("nest.scriprtd",,"nse_cm|957SCL30-BX","LTP")</f>
        <v>1024.4000000000001</v>
      </c>
      <c r="I1109" t="str">
        <f>RTD("nest.scriprtd",,"nse_cm|957SCL30-BX","LTT")</f>
        <v/>
      </c>
      <c r="J1109">
        <f>RTD("nest.scriprtd",,"nse_cm|957SCL30-BX","% Change")</f>
        <v>0</v>
      </c>
      <c r="K1109">
        <f>RTD("nest.scriprtd",,"nse_cm|957SCL30-BX","ATP")</f>
        <v>0</v>
      </c>
      <c r="L1109">
        <f>RTD("nest.scriprtd",,"nse_cm|957SCL30-BX","Volume Traded Today")</f>
        <v>0</v>
      </c>
      <c r="M1109">
        <f>RTD("nest.scriprtd",,"nse_cm|957SCL30-BX","Open")</f>
        <v>0</v>
      </c>
      <c r="N1109">
        <f>RTD("nest.scriprtd",,"nse_cm|957SCL30-BX","High")</f>
        <v>1024.4000000000001</v>
      </c>
      <c r="O1109">
        <f>RTD("nest.scriprtd",,"nse_cm|957SCL30-BX","Low ")</f>
        <v>1024.4000000000001</v>
      </c>
      <c r="P1109">
        <f>RTD("nest.scriprtd",,"nse_cm|957SCL30-BX","Prev Close")</f>
        <v>1024.4000000000001</v>
      </c>
      <c r="Q1109">
        <f>RTD("nest.scriprtd",,"nse_cm|957SCL30-BX","Face Value")</f>
        <v>857.14</v>
      </c>
      <c r="R1109" t="str">
        <f>RTD("nest.scriprtd",,"nse_cm|957SCL30-BX","Isin code")</f>
        <v>INE148I07PS9</v>
      </c>
      <c r="S1109" s="9">
        <f>Table1[[#This Row],[Ask Rate]]*Table1[[#This Row],[Ask Qty]]</f>
        <v>0</v>
      </c>
      <c r="T1109">
        <f>VLOOKUP(Table1[[#This Row],[Isin code]],Table2[#All],7,FALSE)</f>
        <v>10.5</v>
      </c>
      <c r="U1109" s="17" t="str">
        <f>VLOOKUP(Table1[[#This Row],[Isin code]],Table2[#All],8,FALSE)</f>
        <v>26-Sep-2030</v>
      </c>
      <c r="V1109" s="10">
        <f ca="1">Table1[[#This Row],[Maturity]]-TODAY()</f>
        <v>2171</v>
      </c>
      <c r="W1109" t="str">
        <f>VLOOKUP(Table1[[#This Row],[Isin code]],Table2[#All],10,FALSE)</f>
        <v>Yearly</v>
      </c>
      <c r="X1109">
        <f ca="1">_xlfn.DAYS(Table1[[#This Row],[Maturity]],TODAY())-15</f>
        <v>2156</v>
      </c>
      <c r="Y11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109">
        <f>IF(Table1[[#This Row],[Ask Rate]]=0,0,Table1[[#This Row],[Face Value]]-Table1[[#This Row],[Ask Rate]])</f>
        <v>0</v>
      </c>
      <c r="AA1109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1109">
        <f ca="1">Table1[[#This Row],[Face Value]]*Table1[[#This Row],[Rate]]*Table1[[#This Row],[Time]]</f>
        <v>539.9982</v>
      </c>
      <c r="AC1109">
        <f ca="1">Table1[[#This Row],[SI]]+Table1[[#This Row],[Disc/Prem]]</f>
        <v>539.9982</v>
      </c>
      <c r="AD1109" s="3" t="e">
        <f ca="1">Table1[[#This Row],[Net Gain]]/Table1[[#This Row],[Ask Rate]]</f>
        <v>#DIV/0!</v>
      </c>
      <c r="AE1109" s="3">
        <f>IF(Table1[[#This Row],[Ask Qty]]=0,0,Table1[[#This Row],[Gross Yield]]*365/Table1[[#This Row],[Days Left]])</f>
        <v>0</v>
      </c>
      <c r="AF1109" s="9">
        <f ca="1">+Table1[[#This Row],[Net Gain]]*Table1[[#This Row],[Ask Qty]]</f>
        <v>0</v>
      </c>
      <c r="AG1109" t="str">
        <f>IF(Table1[[#This Row],[YTM]]&gt;0.12,IF(Table1[[#This Row],[Gross Profit]]&gt;10000,"Invest","Review"),"Low YTM")</f>
        <v>Low YTM</v>
      </c>
    </row>
    <row r="1110" spans="1:33" x14ac:dyDescent="0.3">
      <c r="A1110" t="str">
        <f>RTD("nest.scriprtd",,"bse_cm|957SCL30","Symbol")</f>
        <v>957SCL30</v>
      </c>
      <c r="B1110" t="str">
        <f>RTD("nest.scriprtd",,"bse_cm|957SCL30","Trading Symbol")</f>
        <v>957SCL30</v>
      </c>
      <c r="C1110" t="str">
        <f>RTD("nest.scriprtd",,"bse_cm|957SCL30","Exchange")</f>
        <v>BSE</v>
      </c>
      <c r="D1110">
        <f>RTD("nest.scriprtd",,"bse_cm|957SCL30","Bid Qty")</f>
        <v>0</v>
      </c>
      <c r="E1110">
        <f>RTD("nest.scriprtd",,"bse_cm|957SCL30","Bid Rate")</f>
        <v>0</v>
      </c>
      <c r="F1110">
        <f>RTD("nest.scriprtd",,"bse_cm|957SCL30","Ask Rate")</f>
        <v>0</v>
      </c>
      <c r="G1110">
        <f>RTD("nest.scriprtd",,"bse_cm|957SCL30","Ask Qty")</f>
        <v>0</v>
      </c>
      <c r="H1110">
        <f>RTD("nest.scriprtd",,"bse_cm|957SCL30","LTP")</f>
        <v>0</v>
      </c>
      <c r="I1110" t="str">
        <f>RTD("nest.scriprtd",,"bse_cm|957SCL30","LTT")</f>
        <v>00:00:00</v>
      </c>
      <c r="J1110">
        <f>RTD("nest.scriprtd",,"bse_cm|957SCL30","% Change")</f>
        <v>-100</v>
      </c>
      <c r="K1110">
        <f>RTD("nest.scriprtd",,"bse_cm|957SCL30","ATP")</f>
        <v>0</v>
      </c>
      <c r="L1110">
        <f>RTD("nest.scriprtd",,"bse_cm|957SCL30","Volume Traded Today")</f>
        <v>0</v>
      </c>
      <c r="M1110">
        <f>RTD("nest.scriprtd",,"bse_cm|957SCL30","Open")</f>
        <v>0</v>
      </c>
      <c r="N1110">
        <f>RTD("nest.scriprtd",,"bse_cm|957SCL30","High")</f>
        <v>970</v>
      </c>
      <c r="O1110">
        <f>RTD("nest.scriprtd",,"bse_cm|957SCL30","Low ")</f>
        <v>970</v>
      </c>
      <c r="P1110">
        <f>RTD("nest.scriprtd",,"bse_cm|957SCL30","Prev Close")</f>
        <v>970</v>
      </c>
      <c r="Q1110">
        <f>RTD("nest.scriprtd",,"bse_cm|957SCL30","Face Value")</f>
        <v>857.14</v>
      </c>
      <c r="R1110" t="str">
        <f>RTD("nest.scriprtd",,"bse_cm|957SCL30","Isin code")</f>
        <v>INE148I07PS9</v>
      </c>
      <c r="S1110" s="9">
        <f>Table1[[#This Row],[Ask Rate]]*Table1[[#This Row],[Ask Qty]]</f>
        <v>0</v>
      </c>
      <c r="T1110">
        <f>VLOOKUP(Table1[[#This Row],[Isin code]],Table2[#All],7,FALSE)</f>
        <v>10.5</v>
      </c>
      <c r="U1110" s="17" t="str">
        <f>VLOOKUP(Table1[[#This Row],[Isin code]],Table2[#All],8,FALSE)</f>
        <v>26-Sep-2030</v>
      </c>
      <c r="V1110" s="10">
        <f ca="1">Table1[[#This Row],[Maturity]]-TODAY()</f>
        <v>2171</v>
      </c>
      <c r="W1110" t="str">
        <f>VLOOKUP(Table1[[#This Row],[Isin code]],Table2[#All],10,FALSE)</f>
        <v>Yearly</v>
      </c>
      <c r="X1110">
        <f ca="1">_xlfn.DAYS(Table1[[#This Row],[Maturity]],TODAY())-15</f>
        <v>2156</v>
      </c>
      <c r="Y11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110">
        <f>IF(Table1[[#This Row],[Ask Rate]]=0,0,Table1[[#This Row],[Face Value]]-Table1[[#This Row],[Ask Rate]])</f>
        <v>0</v>
      </c>
      <c r="AA1110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1110">
        <f ca="1">Table1[[#This Row],[Face Value]]*Table1[[#This Row],[Rate]]*Table1[[#This Row],[Time]]</f>
        <v>539.9982</v>
      </c>
      <c r="AC1110">
        <f ca="1">Table1[[#This Row],[SI]]+Table1[[#This Row],[Disc/Prem]]</f>
        <v>539.9982</v>
      </c>
      <c r="AD1110" s="3" t="e">
        <f ca="1">Table1[[#This Row],[Net Gain]]/Table1[[#This Row],[Ask Rate]]</f>
        <v>#DIV/0!</v>
      </c>
      <c r="AE1110" s="3">
        <f>IF(Table1[[#This Row],[Ask Qty]]=0,0,Table1[[#This Row],[Gross Yield]]*365/Table1[[#This Row],[Days Left]])</f>
        <v>0</v>
      </c>
      <c r="AF1110" s="9">
        <f ca="1">+Table1[[#This Row],[Net Gain]]*Table1[[#This Row],[Ask Qty]]</f>
        <v>0</v>
      </c>
      <c r="AG1110" t="str">
        <f>IF(Table1[[#This Row],[YTM]]&gt;0.12,IF(Table1[[#This Row],[Gross Profit]]&gt;10000,"Invest","Review"),"Low YTM")</f>
        <v>Low YTM</v>
      </c>
    </row>
    <row r="1111" spans="1:33" x14ac:dyDescent="0.3">
      <c r="A1111" t="str">
        <f>RTD("nest.scriprtd",,"bse_cm|922ONE25","Symbol")</f>
        <v>922ONE25</v>
      </c>
      <c r="B1111" t="str">
        <f>RTD("nest.scriprtd",,"bse_cm|922ONE25","Trading Symbol")</f>
        <v>922ONE25</v>
      </c>
      <c r="C1111" t="str">
        <f>RTD("nest.scriprtd",,"bse_cm|922ONE25","Exchange")</f>
        <v>BSE</v>
      </c>
      <c r="D1111">
        <f>RTD("nest.scriprtd",,"bse_cm|922ONE25","Bid Qty")</f>
        <v>22</v>
      </c>
      <c r="E1111">
        <f>RTD("nest.scriprtd",,"bse_cm|922ONE25","Bid Rate")</f>
        <v>862</v>
      </c>
      <c r="F1111">
        <f>RTD("nest.scriprtd",,"bse_cm|922ONE25","Ask Rate")</f>
        <v>0</v>
      </c>
      <c r="G1111">
        <f>RTD("nest.scriprtd",,"bse_cm|922ONE25","Ask Qty")</f>
        <v>0</v>
      </c>
      <c r="H1111">
        <f>RTD("nest.scriprtd",,"bse_cm|922ONE25","LTP")</f>
        <v>0</v>
      </c>
      <c r="I1111" t="str">
        <f>RTD("nest.scriprtd",,"bse_cm|922ONE25","LTT")</f>
        <v>00:00:00</v>
      </c>
      <c r="J1111">
        <f>RTD("nest.scriprtd",,"bse_cm|922ONE25","% Change")</f>
        <v>-100</v>
      </c>
      <c r="K1111">
        <f>RTD("nest.scriprtd",,"bse_cm|922ONE25","ATP")</f>
        <v>0</v>
      </c>
      <c r="L1111">
        <f>RTD("nest.scriprtd",,"bse_cm|922ONE25","Volume Traded Today")</f>
        <v>0</v>
      </c>
      <c r="M1111">
        <f>RTD("nest.scriprtd",,"bse_cm|922ONE25","Open")</f>
        <v>0</v>
      </c>
      <c r="N1111">
        <f>RTD("nest.scriprtd",,"bse_cm|922ONE25","High")</f>
        <v>1050</v>
      </c>
      <c r="O1111">
        <f>RTD("nest.scriprtd",,"bse_cm|922ONE25","Low ")</f>
        <v>1050</v>
      </c>
      <c r="P1111">
        <f>RTD("nest.scriprtd",,"bse_cm|922ONE25","Prev Close")</f>
        <v>1050</v>
      </c>
      <c r="Q1111">
        <f>RTD("nest.scriprtd",,"bse_cm|922ONE25","Face Value")</f>
        <v>1000</v>
      </c>
      <c r="R1111" t="str">
        <f>RTD("nest.scriprtd",,"bse_cm|922ONE25","Isin code")</f>
        <v>INE248U07EV0</v>
      </c>
      <c r="S1111" s="9">
        <f>Table1[[#This Row],[Ask Rate]]*Table1[[#This Row],[Ask Qty]]</f>
        <v>0</v>
      </c>
      <c r="T1111">
        <f>VLOOKUP(Table1[[#This Row],[Isin code]],Table2[#All],7,FALSE)</f>
        <v>9.2200000000000006</v>
      </c>
      <c r="U1111" s="17" t="str">
        <f>VLOOKUP(Table1[[#This Row],[Isin code]],Table2[#All],8,FALSE)</f>
        <v>18-Jul-2025</v>
      </c>
      <c r="V1111" s="10">
        <f ca="1">Table1[[#This Row],[Maturity]]-TODAY()</f>
        <v>275</v>
      </c>
      <c r="W1111" t="str">
        <f>VLOOKUP(Table1[[#This Row],[Isin code]],Table2[#All],10,FALSE)</f>
        <v>Yearly</v>
      </c>
      <c r="X1111">
        <f ca="1">_xlfn.DAYS(Table1[[#This Row],[Maturity]],TODAY())-15</f>
        <v>260</v>
      </c>
      <c r="Y11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11">
        <f>IF(Table1[[#This Row],[Ask Rate]]=0,0,Table1[[#This Row],[Face Value]]-Table1[[#This Row],[Ask Rate]])</f>
        <v>0</v>
      </c>
      <c r="AA1111">
        <f>IF(Table1[[#This Row],[Freq]]="Yearly",Table1[[#This Row],[Coupon_Rate]]/100,IF(Table1[[#This Row],[Freq]]="Monthly",Table1[[#This Row],[Coupon_Rate]]/1200,IF(Table1[[#This Row],[Freq]]="Quarterly",Table1[[#This Row],[Coupon_Rate]]/400,0)))</f>
        <v>9.2200000000000004E-2</v>
      </c>
      <c r="AB1111">
        <f ca="1">Table1[[#This Row],[Face Value]]*Table1[[#This Row],[Rate]]*Table1[[#This Row],[Time]]</f>
        <v>92.2</v>
      </c>
      <c r="AC1111">
        <f ca="1">Table1[[#This Row],[SI]]+Table1[[#This Row],[Disc/Prem]]</f>
        <v>92.2</v>
      </c>
      <c r="AD1111" s="3" t="e">
        <f ca="1">Table1[[#This Row],[Net Gain]]/Table1[[#This Row],[Ask Rate]]</f>
        <v>#DIV/0!</v>
      </c>
      <c r="AE1111" s="3">
        <f>IF(Table1[[#This Row],[Ask Qty]]=0,0,Table1[[#This Row],[Gross Yield]]*365/Table1[[#This Row],[Days Left]])</f>
        <v>0</v>
      </c>
      <c r="AF1111" s="9">
        <f ca="1">+Table1[[#This Row],[Net Gain]]*Table1[[#This Row],[Ask Qty]]</f>
        <v>0</v>
      </c>
      <c r="AG1111" t="str">
        <f>IF(Table1[[#This Row],[YTM]]&gt;0.12,IF(Table1[[#This Row],[Gross Profit]]&gt;10000,"Invest","Review"),"Low YTM")</f>
        <v>Low YTM</v>
      </c>
    </row>
    <row r="1112" spans="1:33" x14ac:dyDescent="0.3">
      <c r="A1112" t="str">
        <f>RTD("nest.scriprtd",,"bse_cm|921ONE29","Symbol")</f>
        <v>921ONE29</v>
      </c>
      <c r="B1112" t="str">
        <f>RTD("nest.scriprtd",,"bse_cm|921ONE29","Trading Symbol")</f>
        <v>921ONE29</v>
      </c>
      <c r="C1112" t="str">
        <f>RTD("nest.scriprtd",,"bse_cm|921ONE29","Exchange")</f>
        <v>BSE</v>
      </c>
      <c r="D1112">
        <f>RTD("nest.scriprtd",,"bse_cm|921ONE29","Bid Qty")</f>
        <v>50</v>
      </c>
      <c r="E1112">
        <f>RTD("nest.scriprtd",,"bse_cm|921ONE29","Bid Rate")</f>
        <v>900</v>
      </c>
      <c r="F1112">
        <f>RTD("nest.scriprtd",,"bse_cm|921ONE29","Ask Rate")</f>
        <v>0</v>
      </c>
      <c r="G1112">
        <f>RTD("nest.scriprtd",,"bse_cm|921ONE29","Ask Qty")</f>
        <v>0</v>
      </c>
      <c r="H1112">
        <f>RTD("nest.scriprtd",,"bse_cm|921ONE29","LTP")</f>
        <v>0</v>
      </c>
      <c r="I1112" t="str">
        <f>RTD("nest.scriprtd",,"bse_cm|921ONE29","LTT")</f>
        <v>00:00:00</v>
      </c>
      <c r="J1112">
        <f>RTD("nest.scriprtd",,"bse_cm|921ONE29","% Change")</f>
        <v>-100</v>
      </c>
      <c r="K1112">
        <f>RTD("nest.scriprtd",,"bse_cm|921ONE29","ATP")</f>
        <v>0</v>
      </c>
      <c r="L1112">
        <f>RTD("nest.scriprtd",,"bse_cm|921ONE29","Volume Traded Today")</f>
        <v>0</v>
      </c>
      <c r="M1112">
        <f>RTD("nest.scriprtd",,"bse_cm|921ONE29","Open")</f>
        <v>0</v>
      </c>
      <c r="N1112">
        <f>RTD("nest.scriprtd",,"bse_cm|921ONE29","High")</f>
        <v>823</v>
      </c>
      <c r="O1112">
        <f>RTD("nest.scriprtd",,"bse_cm|921ONE29","Low ")</f>
        <v>823</v>
      </c>
      <c r="P1112">
        <f>RTD("nest.scriprtd",,"bse_cm|921ONE29","Prev Close")</f>
        <v>823</v>
      </c>
      <c r="Q1112">
        <f>RTD("nest.scriprtd",,"bse_cm|921ONE29","Face Value")</f>
        <v>1000</v>
      </c>
      <c r="R1112" t="str">
        <f>RTD("nest.scriprtd",,"bse_cm|921ONE29","Isin code")</f>
        <v>INE248U07FF0</v>
      </c>
      <c r="S1112" s="9">
        <f>Table1[[#This Row],[Ask Rate]]*Table1[[#This Row],[Ask Qty]]</f>
        <v>0</v>
      </c>
      <c r="T1112">
        <f>VLOOKUP(Table1[[#This Row],[Isin code]],Table2[#All],7,FALSE)</f>
        <v>9.2100000000000009</v>
      </c>
      <c r="U1112" s="17" t="str">
        <f>VLOOKUP(Table1[[#This Row],[Isin code]],Table2[#All],8,FALSE)</f>
        <v>12-Jun-2029</v>
      </c>
      <c r="V1112" s="10">
        <f ca="1">Table1[[#This Row],[Maturity]]-TODAY()</f>
        <v>1700</v>
      </c>
      <c r="W1112" t="str">
        <f>VLOOKUP(Table1[[#This Row],[Isin code]],Table2[#All],10,FALSE)</f>
        <v>Monthly</v>
      </c>
      <c r="X1112">
        <f ca="1">_xlfn.DAYS(Table1[[#This Row],[Maturity]],TODAY())-15</f>
        <v>1685</v>
      </c>
      <c r="Y11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57</v>
      </c>
      <c r="Z1112">
        <f>IF(Table1[[#This Row],[Ask Rate]]=0,0,Table1[[#This Row],[Face Value]]-Table1[[#This Row],[Ask Rate]])</f>
        <v>0</v>
      </c>
      <c r="AA1112">
        <f>IF(Table1[[#This Row],[Freq]]="Yearly",Table1[[#This Row],[Coupon_Rate]]/100,IF(Table1[[#This Row],[Freq]]="Monthly",Table1[[#This Row],[Coupon_Rate]]/1200,IF(Table1[[#This Row],[Freq]]="Quarterly",Table1[[#This Row],[Coupon_Rate]]/400,0)))</f>
        <v>7.6750000000000004E-3</v>
      </c>
      <c r="AB1112">
        <f ca="1">Table1[[#This Row],[Face Value]]*Table1[[#This Row],[Rate]]*Table1[[#This Row],[Time]]</f>
        <v>437.47500000000002</v>
      </c>
      <c r="AC1112">
        <f ca="1">Table1[[#This Row],[SI]]+Table1[[#This Row],[Disc/Prem]]</f>
        <v>437.47500000000002</v>
      </c>
      <c r="AD1112" s="3" t="e">
        <f ca="1">Table1[[#This Row],[Net Gain]]/Table1[[#This Row],[Ask Rate]]</f>
        <v>#DIV/0!</v>
      </c>
      <c r="AE1112" s="3">
        <f>IF(Table1[[#This Row],[Ask Qty]]=0,0,Table1[[#This Row],[Gross Yield]]*365/Table1[[#This Row],[Days Left]])</f>
        <v>0</v>
      </c>
      <c r="AF1112" s="9">
        <f ca="1">+Table1[[#This Row],[Net Gain]]*Table1[[#This Row],[Ask Qty]]</f>
        <v>0</v>
      </c>
      <c r="AG1112" t="str">
        <f>IF(Table1[[#This Row],[YTM]]&gt;0.12,IF(Table1[[#This Row],[Gross Profit]]&gt;10000,"Invest","Review"),"Low YTM")</f>
        <v>Low YTM</v>
      </c>
    </row>
    <row r="1113" spans="1:33" x14ac:dyDescent="0.3">
      <c r="A1113" t="str">
        <f>RTD("nest.scriprtd",,"nse_cm|920SCL23A-AO","Symbol")</f>
        <v>920SCL23A</v>
      </c>
      <c r="B1113" t="str">
        <f>RTD("nest.scriprtd",,"nse_cm|920SCL23A-AO","Trading Symbol")</f>
        <v>920SCL23A-AO</v>
      </c>
      <c r="C1113" t="str">
        <f>RTD("nest.scriprtd",,"nse_cm|920SCL23A-AO","Exchange")</f>
        <v>NSE</v>
      </c>
      <c r="D1113">
        <f>RTD("nest.scriprtd",,"nse_cm|920SCL23A-AO","Bid Qty")</f>
        <v>0</v>
      </c>
      <c r="E1113">
        <f>RTD("nest.scriprtd",,"nse_cm|920SCL23A-AO","Bid Rate")</f>
        <v>0</v>
      </c>
      <c r="F1113">
        <f>RTD("nest.scriprtd",,"nse_cm|920SCL23A-AO","Ask Rate")</f>
        <v>0</v>
      </c>
      <c r="G1113">
        <f>RTD("nest.scriprtd",,"nse_cm|920SCL23A-AO","Ask Qty")</f>
        <v>0</v>
      </c>
      <c r="H1113">
        <f>RTD("nest.scriprtd",,"nse_cm|920SCL23A-AO","LTP")</f>
        <v>965.78</v>
      </c>
      <c r="I1113" t="str">
        <f>RTD("nest.scriprtd",,"nse_cm|920SCL23A-AO","LTT")</f>
        <v/>
      </c>
      <c r="J1113">
        <f>RTD("nest.scriprtd",,"nse_cm|920SCL23A-AO","% Change")</f>
        <v>0</v>
      </c>
      <c r="K1113">
        <f>RTD("nest.scriprtd",,"nse_cm|920SCL23A-AO","ATP")</f>
        <v>0</v>
      </c>
      <c r="L1113">
        <f>RTD("nest.scriprtd",,"nse_cm|920SCL23A-AO","Volume Traded Today")</f>
        <v>0</v>
      </c>
      <c r="M1113">
        <f>RTD("nest.scriprtd",,"nse_cm|920SCL23A-AO","Open")</f>
        <v>0</v>
      </c>
      <c r="N1113">
        <f>RTD("nest.scriprtd",,"nse_cm|920SCL23A-AO","High")</f>
        <v>965.78</v>
      </c>
      <c r="O1113">
        <f>RTD("nest.scriprtd",,"nse_cm|920SCL23A-AO","Low ")</f>
        <v>965.78</v>
      </c>
      <c r="P1113">
        <f>RTD("nest.scriprtd",,"nse_cm|920SCL23A-AO","Prev Close")</f>
        <v>965.78</v>
      </c>
      <c r="Q1113">
        <f>RTD("nest.scriprtd",,"nse_cm|920SCL23A-AO","Face Value")</f>
        <v>1000</v>
      </c>
      <c r="R1113" t="str">
        <f>RTD("nest.scriprtd",,"nse_cm|920SCL23A-AO","Isin code")</f>
        <v>INE148I07OI3</v>
      </c>
      <c r="S1113" s="9">
        <f>Table1[[#This Row],[Ask Rate]]*Table1[[#This Row],[Ask Qty]]</f>
        <v>0</v>
      </c>
      <c r="T1113">
        <f>VLOOKUP(Table1[[#This Row],[Isin code]],Table2[#All],7,FALSE)</f>
        <v>9.25</v>
      </c>
      <c r="U1113" s="17" t="str">
        <f>VLOOKUP(Table1[[#This Row],[Isin code]],Table2[#All],8,FALSE)</f>
        <v>27-Jul-2025</v>
      </c>
      <c r="V1113" s="10">
        <f ca="1">Table1[[#This Row],[Maturity]]-TODAY()</f>
        <v>284</v>
      </c>
      <c r="W1113" t="str">
        <f>VLOOKUP(Table1[[#This Row],[Isin code]],Table2[#All],10,FALSE)</f>
        <v>Yearly</v>
      </c>
      <c r="X1113">
        <f ca="1">_xlfn.DAYS(Table1[[#This Row],[Maturity]],TODAY())-15</f>
        <v>269</v>
      </c>
      <c r="Y11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13">
        <f>IF(Table1[[#This Row],[Ask Rate]]=0,0,Table1[[#This Row],[Face Value]]-Table1[[#This Row],[Ask Rate]])</f>
        <v>0</v>
      </c>
      <c r="AA1113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1113">
        <f ca="1">Table1[[#This Row],[Face Value]]*Table1[[#This Row],[Rate]]*Table1[[#This Row],[Time]]</f>
        <v>92.5</v>
      </c>
      <c r="AC1113">
        <f ca="1">Table1[[#This Row],[SI]]+Table1[[#This Row],[Disc/Prem]]</f>
        <v>92.5</v>
      </c>
      <c r="AD1113" s="3" t="e">
        <f ca="1">Table1[[#This Row],[Net Gain]]/Table1[[#This Row],[Ask Rate]]</f>
        <v>#DIV/0!</v>
      </c>
      <c r="AE1113" s="3">
        <f>IF(Table1[[#This Row],[Ask Qty]]=0,0,Table1[[#This Row],[Gross Yield]]*365/Table1[[#This Row],[Days Left]])</f>
        <v>0</v>
      </c>
      <c r="AF1113" s="9">
        <f ca="1">+Table1[[#This Row],[Net Gain]]*Table1[[#This Row],[Ask Qty]]</f>
        <v>0</v>
      </c>
      <c r="AG1113" t="str">
        <f>IF(Table1[[#This Row],[YTM]]&gt;0.12,IF(Table1[[#This Row],[Gross Profit]]&gt;10000,"Invest","Review"),"Low YTM")</f>
        <v>Low YTM</v>
      </c>
    </row>
    <row r="1114" spans="1:33" x14ac:dyDescent="0.3">
      <c r="A1114" t="str">
        <f>RTD("nest.scriprtd",,"bse_cm|920SCL23A","Symbol")</f>
        <v>920SCL23A</v>
      </c>
      <c r="B1114" t="str">
        <f>RTD("nest.scriprtd",,"bse_cm|920SCL23A","Trading Symbol")</f>
        <v>920SCL23A</v>
      </c>
      <c r="C1114" t="str">
        <f>RTD("nest.scriprtd",,"bse_cm|920SCL23A","Exchange")</f>
        <v>BSE</v>
      </c>
      <c r="D1114">
        <f>RTD("nest.scriprtd",,"bse_cm|920SCL23A","Bid Qty")</f>
        <v>20</v>
      </c>
      <c r="E1114">
        <f>RTD("nest.scriprtd",,"bse_cm|920SCL23A","Bid Rate")</f>
        <v>825.2</v>
      </c>
      <c r="F1114">
        <f>RTD("nest.scriprtd",,"bse_cm|920SCL23A","Ask Rate")</f>
        <v>0</v>
      </c>
      <c r="G1114">
        <f>RTD("nest.scriprtd",,"bse_cm|920SCL23A","Ask Qty")</f>
        <v>0</v>
      </c>
      <c r="H1114">
        <f>RTD("nest.scriprtd",,"bse_cm|920SCL23A","LTP")</f>
        <v>0</v>
      </c>
      <c r="I1114" t="str">
        <f>RTD("nest.scriprtd",,"bse_cm|920SCL23A","LTT")</f>
        <v>00:00:00</v>
      </c>
      <c r="J1114">
        <f>RTD("nest.scriprtd",,"bse_cm|920SCL23A","% Change")</f>
        <v>-100</v>
      </c>
      <c r="K1114">
        <f>RTD("nest.scriprtd",,"bse_cm|920SCL23A","ATP")</f>
        <v>0</v>
      </c>
      <c r="L1114">
        <f>RTD("nest.scriprtd",,"bse_cm|920SCL23A","Volume Traded Today")</f>
        <v>0</v>
      </c>
      <c r="M1114">
        <f>RTD("nest.scriprtd",,"bse_cm|920SCL23A","Open")</f>
        <v>0</v>
      </c>
      <c r="N1114">
        <f>RTD("nest.scriprtd",,"bse_cm|920SCL23A","High")</f>
        <v>0</v>
      </c>
      <c r="O1114">
        <f>RTD("nest.scriprtd",,"bse_cm|920SCL23A","Low ")</f>
        <v>0</v>
      </c>
      <c r="P1114">
        <f>RTD("nest.scriprtd",,"bse_cm|920SCL23A","Prev Close")</f>
        <v>1000</v>
      </c>
      <c r="Q1114">
        <f>RTD("nest.scriprtd",,"bse_cm|920SCL23A","Face Value")</f>
        <v>1000</v>
      </c>
      <c r="R1114" t="str">
        <f>RTD("nest.scriprtd",,"bse_cm|920SCL23A","Isin code")</f>
        <v>INE148I07OI3</v>
      </c>
      <c r="S1114" s="9">
        <f>Table1[[#This Row],[Ask Rate]]*Table1[[#This Row],[Ask Qty]]</f>
        <v>0</v>
      </c>
      <c r="T1114">
        <f>VLOOKUP(Table1[[#This Row],[Isin code]],Table2[#All],7,FALSE)</f>
        <v>9.25</v>
      </c>
      <c r="U1114" s="17" t="str">
        <f>VLOOKUP(Table1[[#This Row],[Isin code]],Table2[#All],8,FALSE)</f>
        <v>27-Jul-2025</v>
      </c>
      <c r="V1114" s="10">
        <f ca="1">Table1[[#This Row],[Maturity]]-TODAY()</f>
        <v>284</v>
      </c>
      <c r="W1114" t="str">
        <f>VLOOKUP(Table1[[#This Row],[Isin code]],Table2[#All],10,FALSE)</f>
        <v>Yearly</v>
      </c>
      <c r="X1114">
        <f ca="1">_xlfn.DAYS(Table1[[#This Row],[Maturity]],TODAY())-15</f>
        <v>269</v>
      </c>
      <c r="Y11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14">
        <f>IF(Table1[[#This Row],[Ask Rate]]=0,0,Table1[[#This Row],[Face Value]]-Table1[[#This Row],[Ask Rate]])</f>
        <v>0</v>
      </c>
      <c r="AA1114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1114">
        <f ca="1">Table1[[#This Row],[Face Value]]*Table1[[#This Row],[Rate]]*Table1[[#This Row],[Time]]</f>
        <v>92.5</v>
      </c>
      <c r="AC1114">
        <f ca="1">Table1[[#This Row],[SI]]+Table1[[#This Row],[Disc/Prem]]</f>
        <v>92.5</v>
      </c>
      <c r="AD1114" s="3" t="e">
        <f ca="1">Table1[[#This Row],[Net Gain]]/Table1[[#This Row],[Ask Rate]]</f>
        <v>#DIV/0!</v>
      </c>
      <c r="AE1114" s="3">
        <f>IF(Table1[[#This Row],[Ask Qty]]=0,0,Table1[[#This Row],[Gross Yield]]*365/Table1[[#This Row],[Days Left]])</f>
        <v>0</v>
      </c>
      <c r="AF1114" s="9">
        <f ca="1">+Table1[[#This Row],[Net Gain]]*Table1[[#This Row],[Ask Qty]]</f>
        <v>0</v>
      </c>
      <c r="AG1114" t="str">
        <f>IF(Table1[[#This Row],[YTM]]&gt;0.12,IF(Table1[[#This Row],[Gross Profit]]&gt;10000,"Invest","Review"),"Low YTM")</f>
        <v>Low YTM</v>
      </c>
    </row>
    <row r="1115" spans="1:33" x14ac:dyDescent="0.3">
      <c r="A1115" t="str">
        <f>RTD("nest.scriprtd",,"bse_cm|1075MML26","Symbol")</f>
        <v>1075MML26</v>
      </c>
      <c r="B1115" t="str">
        <f>RTD("nest.scriprtd",,"bse_cm|1075MML26","Trading Symbol")</f>
        <v>1075MML26</v>
      </c>
      <c r="C1115" t="str">
        <f>RTD("nest.scriprtd",,"bse_cm|1075MML26","Exchange")</f>
        <v>BSE</v>
      </c>
      <c r="D1115">
        <f>RTD("nest.scriprtd",,"bse_cm|1075MML26","Bid Qty")</f>
        <v>28</v>
      </c>
      <c r="E1115">
        <f>RTD("nest.scriprtd",,"bse_cm|1075MML26","Bid Rate")</f>
        <v>832.2</v>
      </c>
      <c r="F1115">
        <f>RTD("nest.scriprtd",,"bse_cm|1075MML26","Ask Rate")</f>
        <v>0</v>
      </c>
      <c r="G1115">
        <f>RTD("nest.scriprtd",,"bse_cm|1075MML26","Ask Qty")</f>
        <v>0</v>
      </c>
      <c r="H1115">
        <f>RTD("nest.scriprtd",,"bse_cm|1075MML26","LTP")</f>
        <v>0</v>
      </c>
      <c r="I1115" t="str">
        <f>RTD("nest.scriprtd",,"bse_cm|1075MML26","LTT")</f>
        <v>00:00:00</v>
      </c>
      <c r="J1115">
        <f>RTD("nest.scriprtd",,"bse_cm|1075MML26","% Change")</f>
        <v>-100</v>
      </c>
      <c r="K1115">
        <f>RTD("nest.scriprtd",,"bse_cm|1075MML26","ATP")</f>
        <v>0</v>
      </c>
      <c r="L1115">
        <f>RTD("nest.scriprtd",,"bse_cm|1075MML26","Volume Traded Today")</f>
        <v>0</v>
      </c>
      <c r="M1115">
        <f>RTD("nest.scriprtd",,"bse_cm|1075MML26","Open")</f>
        <v>0</v>
      </c>
      <c r="N1115">
        <f>RTD("nest.scriprtd",,"bse_cm|1075MML26","High")</f>
        <v>1000</v>
      </c>
      <c r="O1115">
        <f>RTD("nest.scriprtd",,"bse_cm|1075MML26","Low ")</f>
        <v>1000</v>
      </c>
      <c r="P1115">
        <f>RTD("nest.scriprtd",,"bse_cm|1075MML26","Prev Close")</f>
        <v>1000</v>
      </c>
      <c r="Q1115">
        <f>RTD("nest.scriprtd",,"bse_cm|1075MML26","Face Value")</f>
        <v>1000</v>
      </c>
      <c r="R1115" t="str">
        <f>RTD("nest.scriprtd",,"bse_cm|1075MML26","Isin code")</f>
        <v>INE05F407BM3</v>
      </c>
      <c r="S1115" s="9">
        <f>Table1[[#This Row],[Ask Rate]]*Table1[[#This Row],[Ask Qty]]</f>
        <v>0</v>
      </c>
      <c r="T1115">
        <f>VLOOKUP(Table1[[#This Row],[Isin code]],Table2[#All],7,FALSE)</f>
        <v>10.75</v>
      </c>
      <c r="U1115" s="17" t="str">
        <f>VLOOKUP(Table1[[#This Row],[Isin code]],Table2[#All],8,FALSE)</f>
        <v>21-Dec-2026</v>
      </c>
      <c r="V1115" s="10">
        <f ca="1">Table1[[#This Row],[Maturity]]-TODAY()</f>
        <v>796</v>
      </c>
      <c r="W1115" t="str">
        <f>VLOOKUP(Table1[[#This Row],[Isin code]],Table2[#All],10,FALSE)</f>
        <v>Monthly</v>
      </c>
      <c r="X1115">
        <f ca="1">_xlfn.DAYS(Table1[[#This Row],[Maturity]],TODAY())-15</f>
        <v>781</v>
      </c>
      <c r="Y11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1115">
        <f>IF(Table1[[#This Row],[Ask Rate]]=0,0,Table1[[#This Row],[Face Value]]-Table1[[#This Row],[Ask Rate]])</f>
        <v>0</v>
      </c>
      <c r="AA1115">
        <f>IF(Table1[[#This Row],[Freq]]="Yearly",Table1[[#This Row],[Coupon_Rate]]/100,IF(Table1[[#This Row],[Freq]]="Monthly",Table1[[#This Row],[Coupon_Rate]]/1200,IF(Table1[[#This Row],[Freq]]="Quarterly",Table1[[#This Row],[Coupon_Rate]]/400,0)))</f>
        <v>8.9583333333333338E-3</v>
      </c>
      <c r="AB1115">
        <f ca="1">Table1[[#This Row],[Face Value]]*Table1[[#This Row],[Rate]]*Table1[[#This Row],[Time]]</f>
        <v>241.87500000000003</v>
      </c>
      <c r="AC1115">
        <f ca="1">Table1[[#This Row],[SI]]+Table1[[#This Row],[Disc/Prem]]</f>
        <v>241.87500000000003</v>
      </c>
      <c r="AD1115" s="3" t="e">
        <f ca="1">Table1[[#This Row],[Net Gain]]/Table1[[#This Row],[Ask Rate]]</f>
        <v>#DIV/0!</v>
      </c>
      <c r="AE1115" s="3">
        <f>IF(Table1[[#This Row],[Ask Qty]]=0,0,Table1[[#This Row],[Gross Yield]]*365/Table1[[#This Row],[Days Left]])</f>
        <v>0</v>
      </c>
      <c r="AF1115" s="9">
        <f ca="1">+Table1[[#This Row],[Net Gain]]*Table1[[#This Row],[Ask Qty]]</f>
        <v>0</v>
      </c>
      <c r="AG1115" t="str">
        <f>IF(Table1[[#This Row],[YTM]]&gt;0.12,IF(Table1[[#This Row],[Gross Profit]]&gt;10000,"Invest","Review"),"Low YTM")</f>
        <v>Low YTM</v>
      </c>
    </row>
    <row r="1116" spans="1:33" x14ac:dyDescent="0.3">
      <c r="A1116" t="str">
        <f>RTD("nest.scriprtd",,"bse_cm|1075KLMA28","Symbol")</f>
        <v>1075KLMA28</v>
      </c>
      <c r="B1116" t="str">
        <f>RTD("nest.scriprtd",,"bse_cm|1075KLMA28","Trading Symbol")</f>
        <v>1075KLMA28</v>
      </c>
      <c r="C1116" t="str">
        <f>RTD("nest.scriprtd",,"bse_cm|1075KLMA28","Exchange")</f>
        <v>BSE</v>
      </c>
      <c r="D1116">
        <f>RTD("nest.scriprtd",,"bse_cm|1075KLMA28","Bid Qty")</f>
        <v>30</v>
      </c>
      <c r="E1116">
        <f>RTD("nest.scriprtd",,"bse_cm|1075KLMA28","Bid Rate")</f>
        <v>850</v>
      </c>
      <c r="F1116">
        <f>RTD("nest.scriprtd",,"bse_cm|1075KLMA28","Ask Rate")</f>
        <v>0</v>
      </c>
      <c r="G1116">
        <f>RTD("nest.scriprtd",,"bse_cm|1075KLMA28","Ask Qty")</f>
        <v>0</v>
      </c>
      <c r="H1116">
        <f>RTD("nest.scriprtd",,"bse_cm|1075KLMA28","LTP")</f>
        <v>0</v>
      </c>
      <c r="I1116" t="str">
        <f>RTD("nest.scriprtd",,"bse_cm|1075KLMA28","LTT")</f>
        <v>00:00:00</v>
      </c>
      <c r="J1116">
        <f>RTD("nest.scriprtd",,"bse_cm|1075KLMA28","% Change")</f>
        <v>-100</v>
      </c>
      <c r="K1116">
        <f>RTD("nest.scriprtd",,"bse_cm|1075KLMA28","ATP")</f>
        <v>0</v>
      </c>
      <c r="L1116">
        <f>RTD("nest.scriprtd",,"bse_cm|1075KLMA28","Volume Traded Today")</f>
        <v>0</v>
      </c>
      <c r="M1116">
        <f>RTD("nest.scriprtd",,"bse_cm|1075KLMA28","Open")</f>
        <v>0</v>
      </c>
      <c r="N1116">
        <f>RTD("nest.scriprtd",,"bse_cm|1075KLMA28","High")</f>
        <v>990</v>
      </c>
      <c r="O1116">
        <f>RTD("nest.scriprtd",,"bse_cm|1075KLMA28","Low ")</f>
        <v>987</v>
      </c>
      <c r="P1116">
        <f>RTD("nest.scriprtd",,"bse_cm|1075KLMA28","Prev Close")</f>
        <v>987</v>
      </c>
      <c r="Q1116">
        <f>RTD("nest.scriprtd",,"bse_cm|1075KLMA28","Face Value")</f>
        <v>1000</v>
      </c>
      <c r="R1116" t="str">
        <f>RTD("nest.scriprtd",,"bse_cm|1075KLMA28","Isin code")</f>
        <v>INE01I507703</v>
      </c>
      <c r="S1116" s="9">
        <f>Table1[[#This Row],[Ask Rate]]*Table1[[#This Row],[Ask Qty]]</f>
        <v>0</v>
      </c>
      <c r="T1116">
        <f>VLOOKUP(Table1[[#This Row],[Isin code]],Table2[#All],7,FALSE)</f>
        <v>10.75</v>
      </c>
      <c r="U1116" s="17" t="str">
        <f>VLOOKUP(Table1[[#This Row],[Isin code]],Table2[#All],8,FALSE)</f>
        <v>09-Mar-2028</v>
      </c>
      <c r="V1116" s="10">
        <f ca="1">Table1[[#This Row],[Maturity]]-TODAY()</f>
        <v>1240</v>
      </c>
      <c r="W1116" t="str">
        <f>VLOOKUP(Table1[[#This Row],[Isin code]],Table2[#All],10,FALSE)</f>
        <v>Yearly</v>
      </c>
      <c r="X1116">
        <f ca="1">_xlfn.DAYS(Table1[[#This Row],[Maturity]],TODAY())-15</f>
        <v>1225</v>
      </c>
      <c r="Y11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16">
        <f>IF(Table1[[#This Row],[Ask Rate]]=0,0,Table1[[#This Row],[Face Value]]-Table1[[#This Row],[Ask Rate]])</f>
        <v>0</v>
      </c>
      <c r="AA1116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1116">
        <f ca="1">Table1[[#This Row],[Face Value]]*Table1[[#This Row],[Rate]]*Table1[[#This Row],[Time]]</f>
        <v>430</v>
      </c>
      <c r="AC1116">
        <f ca="1">Table1[[#This Row],[SI]]+Table1[[#This Row],[Disc/Prem]]</f>
        <v>430</v>
      </c>
      <c r="AD1116" s="3" t="e">
        <f ca="1">Table1[[#This Row],[Net Gain]]/Table1[[#This Row],[Ask Rate]]</f>
        <v>#DIV/0!</v>
      </c>
      <c r="AE1116" s="3">
        <f>IF(Table1[[#This Row],[Ask Qty]]=0,0,Table1[[#This Row],[Gross Yield]]*365/Table1[[#This Row],[Days Left]])</f>
        <v>0</v>
      </c>
      <c r="AF1116" s="9">
        <f ca="1">+Table1[[#This Row],[Net Gain]]*Table1[[#This Row],[Ask Qty]]</f>
        <v>0</v>
      </c>
      <c r="AG1116" t="str">
        <f>IF(Table1[[#This Row],[YTM]]&gt;0.12,IF(Table1[[#This Row],[Gross Profit]]&gt;10000,"Invest","Review"),"Low YTM")</f>
        <v>Low YTM</v>
      </c>
    </row>
    <row r="1117" spans="1:33" x14ac:dyDescent="0.3">
      <c r="A1117" t="str">
        <f>RTD("nest.scriprtd",,"bse_cm|1075KLM27","Symbol")</f>
        <v>1075KLM27</v>
      </c>
      <c r="B1117" t="str">
        <f>RTD("nest.scriprtd",,"bse_cm|1075KLM27","Trading Symbol")</f>
        <v>1075KLM27</v>
      </c>
      <c r="C1117" t="str">
        <f>RTD("nest.scriprtd",,"bse_cm|1075KLM27","Exchange")</f>
        <v>BSE</v>
      </c>
      <c r="D1117">
        <f>RTD("nest.scriprtd",,"bse_cm|1075KLM27","Bid Qty")</f>
        <v>18</v>
      </c>
      <c r="E1117">
        <f>RTD("nest.scriprtd",,"bse_cm|1075KLM27","Bid Rate")</f>
        <v>825.2</v>
      </c>
      <c r="F1117">
        <f>RTD("nest.scriprtd",,"bse_cm|1075KLM27","Ask Rate")</f>
        <v>0</v>
      </c>
      <c r="G1117">
        <f>RTD("nest.scriprtd",,"bse_cm|1075KLM27","Ask Qty")</f>
        <v>0</v>
      </c>
      <c r="H1117">
        <f>RTD("nest.scriprtd",,"bse_cm|1075KLM27","LTP")</f>
        <v>0</v>
      </c>
      <c r="I1117" t="str">
        <f>RTD("nest.scriprtd",,"bse_cm|1075KLM27","LTT")</f>
        <v>00:00:00</v>
      </c>
      <c r="J1117">
        <f>RTD("nest.scriprtd",,"bse_cm|1075KLM27","% Change")</f>
        <v>-100</v>
      </c>
      <c r="K1117">
        <f>RTD("nest.scriprtd",,"bse_cm|1075KLM27","ATP")</f>
        <v>0</v>
      </c>
      <c r="L1117">
        <f>RTD("nest.scriprtd",,"bse_cm|1075KLM27","Volume Traded Today")</f>
        <v>0</v>
      </c>
      <c r="M1117">
        <f>RTD("nest.scriprtd",,"bse_cm|1075KLM27","Open")</f>
        <v>0</v>
      </c>
      <c r="N1117">
        <f>RTD("nest.scriprtd",,"bse_cm|1075KLM27","High")</f>
        <v>1020.12</v>
      </c>
      <c r="O1117">
        <f>RTD("nest.scriprtd",,"bse_cm|1075KLM27","Low ")</f>
        <v>1020.12</v>
      </c>
      <c r="P1117">
        <f>RTD("nest.scriprtd",,"bse_cm|1075KLM27","Prev Close")</f>
        <v>1020.12</v>
      </c>
      <c r="Q1117">
        <f>RTD("nest.scriprtd",,"bse_cm|1075KLM27","Face Value")</f>
        <v>1000</v>
      </c>
      <c r="R1117" t="str">
        <f>RTD("nest.scriprtd",,"bse_cm|1075KLM27","Isin code")</f>
        <v>INE01I507661</v>
      </c>
      <c r="S1117" s="9">
        <f>Table1[[#This Row],[Ask Rate]]*Table1[[#This Row],[Ask Qty]]</f>
        <v>0</v>
      </c>
      <c r="T1117">
        <f>VLOOKUP(Table1[[#This Row],[Isin code]],Table2[#All],7,FALSE)</f>
        <v>10.75</v>
      </c>
      <c r="U1117" s="17" t="str">
        <f>VLOOKUP(Table1[[#This Row],[Isin code]],Table2[#All],8,FALSE)</f>
        <v>16-Oct-2027</v>
      </c>
      <c r="V1117" s="10">
        <f ca="1">Table1[[#This Row],[Maturity]]-TODAY()</f>
        <v>1095</v>
      </c>
      <c r="W1117" t="str">
        <f>VLOOKUP(Table1[[#This Row],[Isin code]],Table2[#All],10,FALSE)</f>
        <v>Yearly</v>
      </c>
      <c r="X1117">
        <f ca="1">_xlfn.DAYS(Table1[[#This Row],[Maturity]],TODAY())-15</f>
        <v>1080</v>
      </c>
      <c r="Y11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17">
        <f>IF(Table1[[#This Row],[Ask Rate]]=0,0,Table1[[#This Row],[Face Value]]-Table1[[#This Row],[Ask Rate]])</f>
        <v>0</v>
      </c>
      <c r="AA1117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1117">
        <f ca="1">Table1[[#This Row],[Face Value]]*Table1[[#This Row],[Rate]]*Table1[[#This Row],[Time]]</f>
        <v>322.5</v>
      </c>
      <c r="AC1117">
        <f ca="1">Table1[[#This Row],[SI]]+Table1[[#This Row],[Disc/Prem]]</f>
        <v>322.5</v>
      </c>
      <c r="AD1117" s="3" t="e">
        <f ca="1">Table1[[#This Row],[Net Gain]]/Table1[[#This Row],[Ask Rate]]</f>
        <v>#DIV/0!</v>
      </c>
      <c r="AE1117" s="3">
        <f>IF(Table1[[#This Row],[Ask Qty]]=0,0,Table1[[#This Row],[Gross Yield]]*365/Table1[[#This Row],[Days Left]])</f>
        <v>0</v>
      </c>
      <c r="AF1117" s="9">
        <f ca="1">+Table1[[#This Row],[Net Gain]]*Table1[[#This Row],[Ask Qty]]</f>
        <v>0</v>
      </c>
      <c r="AG1117" t="str">
        <f>IF(Table1[[#This Row],[YTM]]&gt;0.12,IF(Table1[[#This Row],[Gross Profit]]&gt;10000,"Invest","Review"),"Low YTM")</f>
        <v>Low YTM</v>
      </c>
    </row>
    <row r="1118" spans="1:33" x14ac:dyDescent="0.3">
      <c r="A1118" t="str">
        <f>RTD("nest.scriprtd",,"bse_cm|1075KAFL28","Symbol")</f>
        <v>1075KAFL28</v>
      </c>
      <c r="B1118" t="str">
        <f>RTD("nest.scriprtd",,"bse_cm|1075KAFL28","Trading Symbol")</f>
        <v>1075KAFL28</v>
      </c>
      <c r="C1118" t="str">
        <f>RTD("nest.scriprtd",,"bse_cm|1075KAFL28","Exchange")</f>
        <v>BSE</v>
      </c>
      <c r="D1118">
        <f>RTD("nest.scriprtd",,"bse_cm|1075KAFL28","Bid Qty")</f>
        <v>100</v>
      </c>
      <c r="E1118">
        <f>RTD("nest.scriprtd",,"bse_cm|1075KAFL28","Bid Rate")</f>
        <v>837</v>
      </c>
      <c r="F1118">
        <f>RTD("nest.scriprtd",,"bse_cm|1075KAFL28","Ask Rate")</f>
        <v>0</v>
      </c>
      <c r="G1118">
        <f>RTD("nest.scriprtd",,"bse_cm|1075KAFL28","Ask Qty")</f>
        <v>0</v>
      </c>
      <c r="H1118">
        <f>RTD("nest.scriprtd",,"bse_cm|1075KAFL28","LTP")</f>
        <v>0</v>
      </c>
      <c r="I1118" t="str">
        <f>RTD("nest.scriprtd",,"bse_cm|1075KAFL28","LTT")</f>
        <v>00:00:00</v>
      </c>
      <c r="J1118">
        <f>RTD("nest.scriprtd",,"bse_cm|1075KAFL28","% Change")</f>
        <v>-100</v>
      </c>
      <c r="K1118">
        <f>RTD("nest.scriprtd",,"bse_cm|1075KAFL28","ATP")</f>
        <v>0</v>
      </c>
      <c r="L1118">
        <f>RTD("nest.scriprtd",,"bse_cm|1075KAFL28","Volume Traded Today")</f>
        <v>0</v>
      </c>
      <c r="M1118">
        <f>RTD("nest.scriprtd",,"bse_cm|1075KAFL28","Open")</f>
        <v>0</v>
      </c>
      <c r="N1118">
        <f>RTD("nest.scriprtd",,"bse_cm|1075KAFL28","High")</f>
        <v>0</v>
      </c>
      <c r="O1118">
        <f>RTD("nest.scriprtd",,"bse_cm|1075KAFL28","Low ")</f>
        <v>0</v>
      </c>
      <c r="P1118">
        <f>RTD("nest.scriprtd",,"bse_cm|1075KAFL28","Prev Close")</f>
        <v>1000</v>
      </c>
      <c r="Q1118">
        <f>RTD("nest.scriprtd",,"bse_cm|1075KAFL28","Face Value")</f>
        <v>1000</v>
      </c>
      <c r="R1118" t="str">
        <f>RTD("nest.scriprtd",,"bse_cm|1075KAFL28","Isin code")</f>
        <v>INE01I507802</v>
      </c>
      <c r="S1118" s="9">
        <f>Table1[[#This Row],[Ask Rate]]*Table1[[#This Row],[Ask Qty]]</f>
        <v>0</v>
      </c>
      <c r="T1118">
        <f>VLOOKUP(Table1[[#This Row],[Isin code]],Table2[#All],7,FALSE)</f>
        <v>10.75</v>
      </c>
      <c r="U1118" s="17" t="str">
        <f>VLOOKUP(Table1[[#This Row],[Isin code]],Table2[#All],8,FALSE)</f>
        <v>12-Sep-2028</v>
      </c>
      <c r="V1118" s="10">
        <f ca="1">Table1[[#This Row],[Maturity]]-TODAY()</f>
        <v>1427</v>
      </c>
      <c r="W1118" t="str">
        <f>VLOOKUP(Table1[[#This Row],[Isin code]],Table2[#All],10,FALSE)</f>
        <v>Yearly</v>
      </c>
      <c r="X1118">
        <f ca="1">_xlfn.DAYS(Table1[[#This Row],[Maturity]],TODAY())-15</f>
        <v>1412</v>
      </c>
      <c r="Y11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18">
        <f>IF(Table1[[#This Row],[Ask Rate]]=0,0,Table1[[#This Row],[Face Value]]-Table1[[#This Row],[Ask Rate]])</f>
        <v>0</v>
      </c>
      <c r="AA1118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1118">
        <f ca="1">Table1[[#This Row],[Face Value]]*Table1[[#This Row],[Rate]]*Table1[[#This Row],[Time]]</f>
        <v>430</v>
      </c>
      <c r="AC1118">
        <f ca="1">Table1[[#This Row],[SI]]+Table1[[#This Row],[Disc/Prem]]</f>
        <v>430</v>
      </c>
      <c r="AD1118" s="3" t="e">
        <f ca="1">Table1[[#This Row],[Net Gain]]/Table1[[#This Row],[Ask Rate]]</f>
        <v>#DIV/0!</v>
      </c>
      <c r="AE1118" s="3">
        <f>IF(Table1[[#This Row],[Ask Qty]]=0,0,Table1[[#This Row],[Gross Yield]]*365/Table1[[#This Row],[Days Left]])</f>
        <v>0</v>
      </c>
      <c r="AF1118" s="9">
        <f ca="1">+Table1[[#This Row],[Net Gain]]*Table1[[#This Row],[Ask Qty]]</f>
        <v>0</v>
      </c>
      <c r="AG1118" t="str">
        <f>IF(Table1[[#This Row],[YTM]]&gt;0.12,IF(Table1[[#This Row],[Gross Profit]]&gt;10000,"Invest","Review"),"Low YTM")</f>
        <v>Low YTM</v>
      </c>
    </row>
    <row r="1119" spans="1:33" x14ac:dyDescent="0.3">
      <c r="A1119" t="str">
        <f>RTD("nest.scriprtd",,"bse_cm|1075CCL25","Symbol")</f>
        <v>1075CCL25</v>
      </c>
      <c r="B1119" t="str">
        <f>RTD("nest.scriprtd",,"bse_cm|1075CCL25","Trading Symbol")</f>
        <v>1075CCL25</v>
      </c>
      <c r="C1119" t="str">
        <f>RTD("nest.scriprtd",,"bse_cm|1075CCL25","Exchange")</f>
        <v>BSE</v>
      </c>
      <c r="D1119">
        <f>RTD("nest.scriprtd",,"bse_cm|1075CCL25","Bid Qty")</f>
        <v>12</v>
      </c>
      <c r="E1119">
        <f>RTD("nest.scriprtd",,"bse_cm|1075CCL25","Bid Rate")</f>
        <v>890.2</v>
      </c>
      <c r="F1119">
        <f>RTD("nest.scriprtd",,"bse_cm|1075CCL25","Ask Rate")</f>
        <v>0</v>
      </c>
      <c r="G1119">
        <f>RTD("nest.scriprtd",,"bse_cm|1075CCL25","Ask Qty")</f>
        <v>0</v>
      </c>
      <c r="H1119">
        <f>RTD("nest.scriprtd",,"bse_cm|1075CCL25","LTP")</f>
        <v>0</v>
      </c>
      <c r="I1119" t="str">
        <f>RTD("nest.scriprtd",,"bse_cm|1075CCL25","LTT")</f>
        <v>00:00:00</v>
      </c>
      <c r="J1119">
        <f>RTD("nest.scriprtd",,"bse_cm|1075CCL25","% Change")</f>
        <v>-100</v>
      </c>
      <c r="K1119">
        <f>RTD("nest.scriprtd",,"bse_cm|1075CCL25","ATP")</f>
        <v>0</v>
      </c>
      <c r="L1119">
        <f>RTD("nest.scriprtd",,"bse_cm|1075CCL25","Volume Traded Today")</f>
        <v>0</v>
      </c>
      <c r="M1119">
        <f>RTD("nest.scriprtd",,"bse_cm|1075CCL25","Open")</f>
        <v>0</v>
      </c>
      <c r="N1119">
        <f>RTD("nest.scriprtd",,"bse_cm|1075CCL25","High")</f>
        <v>990</v>
      </c>
      <c r="O1119">
        <f>RTD("nest.scriprtd",,"bse_cm|1075CCL25","Low ")</f>
        <v>990</v>
      </c>
      <c r="P1119">
        <f>RTD("nest.scriprtd",,"bse_cm|1075CCL25","Prev Close")</f>
        <v>990</v>
      </c>
      <c r="Q1119">
        <f>RTD("nest.scriprtd",,"bse_cm|1075CCL25","Face Value")</f>
        <v>1000</v>
      </c>
      <c r="R1119" t="str">
        <f>RTD("nest.scriprtd",,"bse_cm|1075CCL25","Isin code")</f>
        <v>INE051307AN3</v>
      </c>
      <c r="S1119" s="9">
        <f>Table1[[#This Row],[Ask Rate]]*Table1[[#This Row],[Ask Qty]]</f>
        <v>0</v>
      </c>
      <c r="T1119">
        <f>VLOOKUP(Table1[[#This Row],[Isin code]],Table2[#All],7,FALSE)</f>
        <v>10.75</v>
      </c>
      <c r="U1119" s="17" t="str">
        <f>VLOOKUP(Table1[[#This Row],[Isin code]],Table2[#All],8,FALSE)</f>
        <v>01-Nov-2025</v>
      </c>
      <c r="V1119" s="10">
        <f ca="1">Table1[[#This Row],[Maturity]]-TODAY()</f>
        <v>381</v>
      </c>
      <c r="W1119" t="str">
        <f>VLOOKUP(Table1[[#This Row],[Isin code]],Table2[#All],10,FALSE)</f>
        <v>Monthly</v>
      </c>
      <c r="X1119">
        <f ca="1">_xlfn.DAYS(Table1[[#This Row],[Maturity]],TODAY())-15</f>
        <v>366</v>
      </c>
      <c r="Y11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1119">
        <f>IF(Table1[[#This Row],[Ask Rate]]=0,0,Table1[[#This Row],[Face Value]]-Table1[[#This Row],[Ask Rate]])</f>
        <v>0</v>
      </c>
      <c r="AA1119">
        <f>IF(Table1[[#This Row],[Freq]]="Yearly",Table1[[#This Row],[Coupon_Rate]]/100,IF(Table1[[#This Row],[Freq]]="Monthly",Table1[[#This Row],[Coupon_Rate]]/1200,IF(Table1[[#This Row],[Freq]]="Quarterly",Table1[[#This Row],[Coupon_Rate]]/400,0)))</f>
        <v>8.9583333333333338E-3</v>
      </c>
      <c r="AB1119">
        <f ca="1">Table1[[#This Row],[Face Value]]*Table1[[#This Row],[Rate]]*Table1[[#This Row],[Time]]</f>
        <v>116.45833333333334</v>
      </c>
      <c r="AC1119">
        <f ca="1">Table1[[#This Row],[SI]]+Table1[[#This Row],[Disc/Prem]]</f>
        <v>116.45833333333334</v>
      </c>
      <c r="AD1119" s="3" t="e">
        <f ca="1">Table1[[#This Row],[Net Gain]]/Table1[[#This Row],[Ask Rate]]</f>
        <v>#DIV/0!</v>
      </c>
      <c r="AE1119" s="3">
        <f>IF(Table1[[#This Row],[Ask Qty]]=0,0,Table1[[#This Row],[Gross Yield]]*365/Table1[[#This Row],[Days Left]])</f>
        <v>0</v>
      </c>
      <c r="AF1119" s="9">
        <f ca="1">+Table1[[#This Row],[Net Gain]]*Table1[[#This Row],[Ask Qty]]</f>
        <v>0</v>
      </c>
      <c r="AG1119" t="str">
        <f>IF(Table1[[#This Row],[YTM]]&gt;0.12,IF(Table1[[#This Row],[Gross Profit]]&gt;10000,"Invest","Review"),"Low YTM")</f>
        <v>Low YTM</v>
      </c>
    </row>
    <row r="1120" spans="1:33" x14ac:dyDescent="0.3">
      <c r="A1120" t="str">
        <f>RTD("nest.scriprtd",,"bse_cm|1075CCIL26","Symbol")</f>
        <v>1075CCIL26</v>
      </c>
      <c r="B1120" t="str">
        <f>RTD("nest.scriprtd",,"bse_cm|1075CCIL26","Trading Symbol")</f>
        <v>1075CCIL26</v>
      </c>
      <c r="C1120" t="str">
        <f>RTD("nest.scriprtd",,"bse_cm|1075CCIL26","Exchange")</f>
        <v>BSE</v>
      </c>
      <c r="D1120">
        <f>RTD("nest.scriprtd",,"bse_cm|1075CCIL26","Bid Qty")</f>
        <v>100</v>
      </c>
      <c r="E1120">
        <f>RTD("nest.scriprtd",,"bse_cm|1075CCIL26","Bid Rate")</f>
        <v>942</v>
      </c>
      <c r="F1120">
        <f>RTD("nest.scriprtd",,"bse_cm|1075CCIL26","Ask Rate")</f>
        <v>0</v>
      </c>
      <c r="G1120">
        <f>RTD("nest.scriprtd",,"bse_cm|1075CCIL26","Ask Qty")</f>
        <v>0</v>
      </c>
      <c r="H1120">
        <f>RTD("nest.scriprtd",,"bse_cm|1075CCIL26","LTP")</f>
        <v>0</v>
      </c>
      <c r="I1120" t="str">
        <f>RTD("nest.scriprtd",,"bse_cm|1075CCIL26","LTT")</f>
        <v>00:00:00</v>
      </c>
      <c r="J1120">
        <f>RTD("nest.scriprtd",,"bse_cm|1075CCIL26","% Change")</f>
        <v>-100</v>
      </c>
      <c r="K1120">
        <f>RTD("nest.scriprtd",,"bse_cm|1075CCIL26","ATP")</f>
        <v>0</v>
      </c>
      <c r="L1120">
        <f>RTD("nest.scriprtd",,"bse_cm|1075CCIL26","Volume Traded Today")</f>
        <v>0</v>
      </c>
      <c r="M1120">
        <f>RTD("nest.scriprtd",,"bse_cm|1075CCIL26","Open")</f>
        <v>0</v>
      </c>
      <c r="N1120">
        <f>RTD("nest.scriprtd",,"bse_cm|1075CCIL26","High")</f>
        <v>955</v>
      </c>
      <c r="O1120">
        <f>RTD("nest.scriprtd",,"bse_cm|1075CCIL26","Low ")</f>
        <v>915.7</v>
      </c>
      <c r="P1120">
        <f>RTD("nest.scriprtd",,"bse_cm|1075CCIL26","Prev Close")</f>
        <v>955</v>
      </c>
      <c r="Q1120">
        <f>RTD("nest.scriprtd",,"bse_cm|1075CCIL26","Face Value")</f>
        <v>1000</v>
      </c>
      <c r="R1120" t="str">
        <f>RTD("nest.scriprtd",,"bse_cm|1075CCIL26","Isin code")</f>
        <v>INE051307AV6</v>
      </c>
      <c r="S1120" s="9">
        <f>Table1[[#This Row],[Ask Rate]]*Table1[[#This Row],[Ask Qty]]</f>
        <v>0</v>
      </c>
      <c r="T1120">
        <f>VLOOKUP(Table1[[#This Row],[Isin code]],Table2[#All],7,FALSE)</f>
        <v>10.75</v>
      </c>
      <c r="U1120" s="17" t="str">
        <f>VLOOKUP(Table1[[#This Row],[Isin code]],Table2[#All],8,FALSE)</f>
        <v>10-Mar-2026</v>
      </c>
      <c r="V1120" s="10">
        <f ca="1">Table1[[#This Row],[Maturity]]-TODAY()</f>
        <v>510</v>
      </c>
      <c r="W1120" t="str">
        <f>VLOOKUP(Table1[[#This Row],[Isin code]],Table2[#All],10,FALSE)</f>
        <v>Monthly</v>
      </c>
      <c r="X1120">
        <f ca="1">_xlfn.DAYS(Table1[[#This Row],[Maturity]],TODAY())-15</f>
        <v>495</v>
      </c>
      <c r="Y11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17</v>
      </c>
      <c r="Z1120">
        <f>IF(Table1[[#This Row],[Ask Rate]]=0,0,Table1[[#This Row],[Face Value]]-Table1[[#This Row],[Ask Rate]])</f>
        <v>0</v>
      </c>
      <c r="AA1120">
        <f>IF(Table1[[#This Row],[Freq]]="Yearly",Table1[[#This Row],[Coupon_Rate]]/100,IF(Table1[[#This Row],[Freq]]="Monthly",Table1[[#This Row],[Coupon_Rate]]/1200,IF(Table1[[#This Row],[Freq]]="Quarterly",Table1[[#This Row],[Coupon_Rate]]/400,0)))</f>
        <v>8.9583333333333338E-3</v>
      </c>
      <c r="AB1120">
        <f ca="1">Table1[[#This Row],[Face Value]]*Table1[[#This Row],[Rate]]*Table1[[#This Row],[Time]]</f>
        <v>152.29166666666669</v>
      </c>
      <c r="AC1120">
        <f ca="1">Table1[[#This Row],[SI]]+Table1[[#This Row],[Disc/Prem]]</f>
        <v>152.29166666666669</v>
      </c>
      <c r="AD1120" s="3" t="e">
        <f ca="1">Table1[[#This Row],[Net Gain]]/Table1[[#This Row],[Ask Rate]]</f>
        <v>#DIV/0!</v>
      </c>
      <c r="AE1120" s="3">
        <f>IF(Table1[[#This Row],[Ask Qty]]=0,0,Table1[[#This Row],[Gross Yield]]*365/Table1[[#This Row],[Days Left]])</f>
        <v>0</v>
      </c>
      <c r="AF1120" s="9">
        <f ca="1">+Table1[[#This Row],[Net Gain]]*Table1[[#This Row],[Ask Qty]]</f>
        <v>0</v>
      </c>
      <c r="AG1120" t="str">
        <f>IF(Table1[[#This Row],[YTM]]&gt;0.12,IF(Table1[[#This Row],[Gross Profit]]&gt;10000,"Invest","Review"),"Low YTM")</f>
        <v>Low YTM</v>
      </c>
    </row>
    <row r="1121" spans="1:33" hidden="1" x14ac:dyDescent="0.3">
      <c r="A1121" t="str">
        <f>RTD("nest.scriprtd",,"bse_cm|1075CCIL25","Symbol")</f>
        <v>1075CCIL25</v>
      </c>
      <c r="B1121" t="str">
        <f>RTD("nest.scriprtd",,"bse_cm|1075CCIL25","Trading Symbol")</f>
        <v>1075CCIL25</v>
      </c>
      <c r="C1121" t="str">
        <f>RTD("nest.scriprtd",,"bse_cm|1075CCIL25","Exchange")</f>
        <v>BSE</v>
      </c>
      <c r="D1121">
        <f>RTD("nest.scriprtd",,"bse_cm|1075CCIL25","Bid Qty")</f>
        <v>12</v>
      </c>
      <c r="E1121">
        <f>RTD("nest.scriprtd",,"bse_cm|1075CCIL25","Bid Rate")</f>
        <v>836.45</v>
      </c>
      <c r="F1121">
        <f>RTD("nest.scriprtd",,"bse_cm|1075CCIL25","Ask Rate")</f>
        <v>0</v>
      </c>
      <c r="G1121">
        <f>RTD("nest.scriprtd",,"bse_cm|1075CCIL25","Ask Qty")</f>
        <v>0</v>
      </c>
      <c r="H1121">
        <f>RTD("nest.scriprtd",,"bse_cm|1075CCIL25","LTP")</f>
        <v>0</v>
      </c>
      <c r="I1121" t="str">
        <f>RTD("nest.scriprtd",,"bse_cm|1075CCIL25","LTT")</f>
        <v>00:00:00</v>
      </c>
      <c r="J1121">
        <f>RTD("nest.scriprtd",,"bse_cm|1075CCIL25","% Change")</f>
        <v>-100</v>
      </c>
      <c r="K1121">
        <f>RTD("nest.scriprtd",,"bse_cm|1075CCIL25","ATP")</f>
        <v>0</v>
      </c>
      <c r="L1121">
        <f>RTD("nest.scriprtd",,"bse_cm|1075CCIL25","Volume Traded Today")</f>
        <v>0</v>
      </c>
      <c r="M1121">
        <f>RTD("nest.scriprtd",,"bse_cm|1075CCIL25","Open")</f>
        <v>0</v>
      </c>
      <c r="N1121">
        <f>RTD("nest.scriprtd",,"bse_cm|1075CCIL25","High")</f>
        <v>985</v>
      </c>
      <c r="O1121">
        <f>RTD("nest.scriprtd",,"bse_cm|1075CCIL25","Low ")</f>
        <v>985</v>
      </c>
      <c r="P1121">
        <f>RTD("nest.scriprtd",,"bse_cm|1075CCIL25","Prev Close")</f>
        <v>985</v>
      </c>
      <c r="Q1121">
        <f>RTD("nest.scriprtd",,"bse_cm|1075CCIL25","Face Value")</f>
        <v>1000</v>
      </c>
      <c r="R1121" t="str">
        <f>RTD("nest.scriprtd",,"bse_cm|1075CCIL25","Isin code")</f>
        <v>INE051307994</v>
      </c>
      <c r="S1121" s="9">
        <f>Table1[[#This Row],[Ask Rate]]*Table1[[#This Row],[Ask Qty]]</f>
        <v>0</v>
      </c>
      <c r="T1121">
        <f>VLOOKUP(Table1[[#This Row],[Isin code]],Table2[#All],7,FALSE)</f>
        <v>10.75</v>
      </c>
      <c r="U1121" s="17" t="str">
        <f>VLOOKUP(Table1[[#This Row],[Isin code]],Table2[#All],8,FALSE)</f>
        <v>10-Jan-2025</v>
      </c>
      <c r="V1121" s="10">
        <f ca="1">Table1[[#This Row],[Maturity]]-TODAY()</f>
        <v>86</v>
      </c>
      <c r="W1121" t="str">
        <f>VLOOKUP(Table1[[#This Row],[Isin code]],Table2[#All],10,FALSE)</f>
        <v>Monthly</v>
      </c>
      <c r="X1121">
        <f ca="1">_xlfn.DAYS(Table1[[#This Row],[Maturity]],TODAY())-15</f>
        <v>71</v>
      </c>
      <c r="Y11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21">
        <f>IF(Table1[[#This Row],[Ask Rate]]=0,0,Table1[[#This Row],[Face Value]]-Table1[[#This Row],[Ask Rate]])</f>
        <v>0</v>
      </c>
      <c r="AA1121">
        <f>IF(Table1[[#This Row],[Freq]]="Yearly",Table1[[#This Row],[Coupon_Rate]]/100,IF(Table1[[#This Row],[Freq]]="Monthly",Table1[[#This Row],[Coupon_Rate]]/1200,IF(Table1[[#This Row],[Freq]]="Quarterly",Table1[[#This Row],[Coupon_Rate]]/400,0)))</f>
        <v>8.9583333333333338E-3</v>
      </c>
      <c r="AB1121">
        <f ca="1">Table1[[#This Row],[Face Value]]*Table1[[#This Row],[Rate]]*Table1[[#This Row],[Time]]</f>
        <v>26.875</v>
      </c>
      <c r="AC1121">
        <f ca="1">Table1[[#This Row],[SI]]+Table1[[#This Row],[Disc/Prem]]</f>
        <v>26.875</v>
      </c>
      <c r="AD1121" s="3" t="e">
        <f ca="1">Table1[[#This Row],[Net Gain]]/Table1[[#This Row],[Ask Rate]]</f>
        <v>#DIV/0!</v>
      </c>
      <c r="AE1121" s="3">
        <f>IF(Table1[[#This Row],[Ask Qty]]=0,0,Table1[[#This Row],[Gross Yield]]*365/Table1[[#This Row],[Days Left]])</f>
        <v>0</v>
      </c>
      <c r="AF1121" s="9">
        <f ca="1">+Table1[[#This Row],[Net Gain]]*Table1[[#This Row],[Ask Qty]]</f>
        <v>0</v>
      </c>
      <c r="AG1121" t="str">
        <f>IF(Table1[[#This Row],[YTM]]&gt;0.12,IF(Table1[[#This Row],[Gross Profit]]&gt;10000,"Invest","Review"),"Low YTM")</f>
        <v>Low YTM</v>
      </c>
    </row>
    <row r="1122" spans="1:33" x14ac:dyDescent="0.3">
      <c r="A1122" t="str">
        <f>RTD("nest.scriprtd",,"bse_cm|1071KFL25","Symbol")</f>
        <v>1071KFL25</v>
      </c>
      <c r="B1122" t="str">
        <f>RTD("nest.scriprtd",,"bse_cm|1071KFL25","Trading Symbol")</f>
        <v>1071KFL25</v>
      </c>
      <c r="C1122" t="str">
        <f>RTD("nest.scriprtd",,"bse_cm|1071KFL25","Exchange")</f>
        <v>BSE</v>
      </c>
      <c r="D1122">
        <f>RTD("nest.scriprtd",,"bse_cm|1071KFL25","Bid Qty")</f>
        <v>20</v>
      </c>
      <c r="E1122">
        <f>RTD("nest.scriprtd",,"bse_cm|1071KFL25","Bid Rate")</f>
        <v>1465.21</v>
      </c>
      <c r="F1122">
        <f>RTD("nest.scriprtd",,"bse_cm|1071KFL25","Ask Rate")</f>
        <v>0</v>
      </c>
      <c r="G1122">
        <f>RTD("nest.scriprtd",,"bse_cm|1071KFL25","Ask Qty")</f>
        <v>0</v>
      </c>
      <c r="H1122">
        <f>RTD("nest.scriprtd",,"bse_cm|1071KFL25","LTP")</f>
        <v>0</v>
      </c>
      <c r="I1122" t="str">
        <f>RTD("nest.scriprtd",,"bse_cm|1071KFL25","LTT")</f>
        <v>00:00:00</v>
      </c>
      <c r="J1122">
        <f>RTD("nest.scriprtd",,"bse_cm|1071KFL25","% Change")</f>
        <v>-100</v>
      </c>
      <c r="K1122">
        <f>RTD("nest.scriprtd",,"bse_cm|1071KFL25","ATP")</f>
        <v>0</v>
      </c>
      <c r="L1122">
        <f>RTD("nest.scriprtd",,"bse_cm|1071KFL25","Volume Traded Today")</f>
        <v>0</v>
      </c>
      <c r="M1122">
        <f>RTD("nest.scriprtd",,"bse_cm|1071KFL25","Open")</f>
        <v>0</v>
      </c>
      <c r="N1122">
        <f>RTD("nest.scriprtd",,"bse_cm|1071KFL25","High")</f>
        <v>1400</v>
      </c>
      <c r="O1122">
        <f>RTD("nest.scriprtd",,"bse_cm|1071KFL25","Low ")</f>
        <v>1400</v>
      </c>
      <c r="P1122">
        <f>RTD("nest.scriprtd",,"bse_cm|1071KFL25","Prev Close")</f>
        <v>1400</v>
      </c>
      <c r="Q1122">
        <f>RTD("nest.scriprtd",,"bse_cm|1071KFL25","Face Value")</f>
        <v>1000</v>
      </c>
      <c r="R1122" t="str">
        <f>RTD("nest.scriprtd",,"bse_cm|1071KFL25","Isin code")</f>
        <v>INE403Q07AV7</v>
      </c>
      <c r="S1122" s="9">
        <f>Table1[[#This Row],[Ask Rate]]*Table1[[#This Row],[Ask Qty]]</f>
        <v>0</v>
      </c>
      <c r="T1122" t="str">
        <f>VLOOKUP(Table1[[#This Row],[Isin code]],Table2[#All],7,FALSE)</f>
        <v>--</v>
      </c>
      <c r="U1122" s="17" t="str">
        <f>VLOOKUP(Table1[[#This Row],[Isin code]],Table2[#All],8,FALSE)</f>
        <v>09-Jun-2025</v>
      </c>
      <c r="V1122" s="10">
        <f ca="1">Table1[[#This Row],[Maturity]]-TODAY()</f>
        <v>236</v>
      </c>
      <c r="W1122" t="str">
        <f>VLOOKUP(Table1[[#This Row],[Isin code]],Table2[#All],10,FALSE)</f>
        <v>At the End</v>
      </c>
      <c r="X1122">
        <f ca="1">_xlfn.DAYS(Table1[[#This Row],[Maturity]],TODAY())-15</f>
        <v>221</v>
      </c>
      <c r="Y112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22">
        <f>IF(Table1[[#This Row],[Ask Rate]]=0,0,Table1[[#This Row],[Face Value]]-Table1[[#This Row],[Ask Rate]])</f>
        <v>0</v>
      </c>
      <c r="AA112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22">
        <f>Table1[[#This Row],[Face Value]]*Table1[[#This Row],[Rate]]*Table1[[#This Row],[Time]]</f>
        <v>0</v>
      </c>
      <c r="AC1122">
        <f>Table1[[#This Row],[SI]]+Table1[[#This Row],[Disc/Prem]]</f>
        <v>0</v>
      </c>
      <c r="AD1122" s="3" t="e">
        <f>Table1[[#This Row],[Net Gain]]/Table1[[#This Row],[Ask Rate]]</f>
        <v>#DIV/0!</v>
      </c>
      <c r="AE1122" s="3">
        <f>IF(Table1[[#This Row],[Ask Qty]]=0,0,Table1[[#This Row],[Gross Yield]]*365/Table1[[#This Row],[Days Left]])</f>
        <v>0</v>
      </c>
      <c r="AF1122" s="9">
        <f>+Table1[[#This Row],[Net Gain]]*Table1[[#This Row],[Ask Qty]]</f>
        <v>0</v>
      </c>
      <c r="AG1122" t="str">
        <f>IF(Table1[[#This Row],[YTM]]&gt;0.12,IF(Table1[[#This Row],[Gross Profit]]&gt;10000,"Invest","Review"),"Low YTM")</f>
        <v>Low YTM</v>
      </c>
    </row>
    <row r="1123" spans="1:33" x14ac:dyDescent="0.3">
      <c r="A1123" t="str">
        <f>RTD("nest.scriprtd",,"bse_cm|1050SCFL31","Symbol")</f>
        <v>1050SCFL31</v>
      </c>
      <c r="B1123" t="str">
        <f>RTD("nest.scriprtd",,"bse_cm|1050SCFL31","Trading Symbol")</f>
        <v>1050SCFL31</v>
      </c>
      <c r="C1123" t="str">
        <f>RTD("nest.scriprtd",,"bse_cm|1050SCFL31","Exchange")</f>
        <v>BSE</v>
      </c>
      <c r="D1123">
        <f>RTD("nest.scriprtd",,"bse_cm|1050SCFL31","Bid Qty")</f>
        <v>7</v>
      </c>
      <c r="E1123">
        <f>RTD("nest.scriprtd",,"bse_cm|1050SCFL31","Bid Rate")</f>
        <v>810.2</v>
      </c>
      <c r="F1123">
        <f>RTD("nest.scriprtd",,"bse_cm|1050SCFL31","Ask Rate")</f>
        <v>0</v>
      </c>
      <c r="G1123">
        <f>RTD("nest.scriprtd",,"bse_cm|1050SCFL31","Ask Qty")</f>
        <v>0</v>
      </c>
      <c r="H1123">
        <f>RTD("nest.scriprtd",,"bse_cm|1050SCFL31","LTP")</f>
        <v>0</v>
      </c>
      <c r="I1123" t="str">
        <f>RTD("nest.scriprtd",,"bse_cm|1050SCFL31","LTT")</f>
        <v>00:00:00</v>
      </c>
      <c r="J1123">
        <f>RTD("nest.scriprtd",,"bse_cm|1050SCFL31","% Change")</f>
        <v>-100</v>
      </c>
      <c r="K1123">
        <f>RTD("nest.scriprtd",,"bse_cm|1050SCFL31","ATP")</f>
        <v>0</v>
      </c>
      <c r="L1123">
        <f>RTD("nest.scriprtd",,"bse_cm|1050SCFL31","Volume Traded Today")</f>
        <v>0</v>
      </c>
      <c r="M1123">
        <f>RTD("nest.scriprtd",,"bse_cm|1050SCFL31","Open")</f>
        <v>0</v>
      </c>
      <c r="N1123">
        <f>RTD("nest.scriprtd",,"bse_cm|1050SCFL31","High")</f>
        <v>0</v>
      </c>
      <c r="O1123">
        <f>RTD("nest.scriprtd",,"bse_cm|1050SCFL31","Low ")</f>
        <v>0</v>
      </c>
      <c r="P1123">
        <f>RTD("nest.scriprtd",,"bse_cm|1050SCFL31","Prev Close")</f>
        <v>1000</v>
      </c>
      <c r="Q1123">
        <f>RTD("nest.scriprtd",,"bse_cm|1050SCFL31","Face Value")</f>
        <v>1000</v>
      </c>
      <c r="R1123" t="str">
        <f>RTD("nest.scriprtd",,"bse_cm|1050SCFL31","Isin code")</f>
        <v>INE148I07SM6</v>
      </c>
      <c r="S1123" s="9">
        <f>Table1[[#This Row],[Ask Rate]]*Table1[[#This Row],[Ask Qty]]</f>
        <v>0</v>
      </c>
      <c r="T1123">
        <f>VLOOKUP(Table1[[#This Row],[Isin code]],Table2[#All],7,FALSE)</f>
        <v>10.5</v>
      </c>
      <c r="U1123" s="17" t="str">
        <f>VLOOKUP(Table1[[#This Row],[Isin code]],Table2[#All],8,FALSE)</f>
        <v>26-Mar-2031</v>
      </c>
      <c r="V1123" s="10">
        <f ca="1">Table1[[#This Row],[Maturity]]-TODAY()</f>
        <v>2352</v>
      </c>
      <c r="W1123" t="str">
        <f>VLOOKUP(Table1[[#This Row],[Isin code]],Table2[#All],10,FALSE)</f>
        <v>Annual</v>
      </c>
      <c r="X1123">
        <f ca="1">_xlfn.DAYS(Table1[[#This Row],[Maturity]],TODAY())-15</f>
        <v>2337</v>
      </c>
      <c r="Y112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23">
        <f>IF(Table1[[#This Row],[Ask Rate]]=0,0,Table1[[#This Row],[Face Value]]-Table1[[#This Row],[Ask Rate]])</f>
        <v>0</v>
      </c>
      <c r="AA112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23">
        <f>Table1[[#This Row],[Face Value]]*Table1[[#This Row],[Rate]]*Table1[[#This Row],[Time]]</f>
        <v>0</v>
      </c>
      <c r="AC1123">
        <f>Table1[[#This Row],[SI]]+Table1[[#This Row],[Disc/Prem]]</f>
        <v>0</v>
      </c>
      <c r="AD1123" s="3" t="e">
        <f>Table1[[#This Row],[Net Gain]]/Table1[[#This Row],[Ask Rate]]</f>
        <v>#DIV/0!</v>
      </c>
      <c r="AE1123" s="3">
        <f>IF(Table1[[#This Row],[Ask Qty]]=0,0,Table1[[#This Row],[Gross Yield]]*365/Table1[[#This Row],[Days Left]])</f>
        <v>0</v>
      </c>
      <c r="AF1123" s="9">
        <f>+Table1[[#This Row],[Net Gain]]*Table1[[#This Row],[Ask Qty]]</f>
        <v>0</v>
      </c>
      <c r="AG1123" t="str">
        <f>IF(Table1[[#This Row],[YTM]]&gt;0.12,IF(Table1[[#This Row],[Gross Profit]]&gt;10000,"Invest","Review"),"Low YTM")</f>
        <v>Low YTM</v>
      </c>
    </row>
    <row r="1124" spans="1:33" x14ac:dyDescent="0.3">
      <c r="A1124" t="str">
        <f>RTD("nest.scriprtd",,"bse_cm|1050NIDO29","Symbol")</f>
        <v>1050NIDO29</v>
      </c>
      <c r="B1124" t="str">
        <f>RTD("nest.scriprtd",,"bse_cm|1050NIDO29","Trading Symbol")</f>
        <v>1050NIDO29</v>
      </c>
      <c r="C1124" t="str">
        <f>RTD("nest.scriprtd",,"bse_cm|1050NIDO29","Exchange")</f>
        <v>BSE</v>
      </c>
      <c r="D1124">
        <f>RTD("nest.scriprtd",,"bse_cm|1050NIDO29","Bid Qty")</f>
        <v>14</v>
      </c>
      <c r="E1124">
        <f>RTD("nest.scriprtd",,"bse_cm|1050NIDO29","Bid Rate")</f>
        <v>820.2</v>
      </c>
      <c r="F1124">
        <f>RTD("nest.scriprtd",,"bse_cm|1050NIDO29","Ask Rate")</f>
        <v>0</v>
      </c>
      <c r="G1124">
        <f>RTD("nest.scriprtd",,"bse_cm|1050NIDO29","Ask Qty")</f>
        <v>0</v>
      </c>
      <c r="H1124">
        <f>RTD("nest.scriprtd",,"bse_cm|1050NIDO29","LTP")</f>
        <v>0</v>
      </c>
      <c r="I1124" t="str">
        <f>RTD("nest.scriprtd",,"bse_cm|1050NIDO29","LTT")</f>
        <v>00:00:00</v>
      </c>
      <c r="J1124">
        <f>RTD("nest.scriprtd",,"bse_cm|1050NIDO29","% Change")</f>
        <v>-100</v>
      </c>
      <c r="K1124">
        <f>RTD("nest.scriprtd",,"bse_cm|1050NIDO29","ATP")</f>
        <v>0</v>
      </c>
      <c r="L1124">
        <f>RTD("nest.scriprtd",,"bse_cm|1050NIDO29","Volume Traded Today")</f>
        <v>0</v>
      </c>
      <c r="M1124">
        <f>RTD("nest.scriprtd",,"bse_cm|1050NIDO29","Open")</f>
        <v>0</v>
      </c>
      <c r="N1124">
        <f>RTD("nest.scriprtd",,"bse_cm|1050NIDO29","High")</f>
        <v>0</v>
      </c>
      <c r="O1124">
        <f>RTD("nest.scriprtd",,"bse_cm|1050NIDO29","Low ")</f>
        <v>0</v>
      </c>
      <c r="P1124">
        <f>RTD("nest.scriprtd",,"bse_cm|1050NIDO29","Prev Close")</f>
        <v>1000</v>
      </c>
      <c r="Q1124">
        <f>RTD("nest.scriprtd",,"bse_cm|1050NIDO29","Face Value")</f>
        <v>1000</v>
      </c>
      <c r="R1124" t="str">
        <f>RTD("nest.scriprtd",,"bse_cm|1050NIDO29","Isin code")</f>
        <v>INE530L07640</v>
      </c>
      <c r="S1124" s="9">
        <f>Table1[[#This Row],[Ask Rate]]*Table1[[#This Row],[Ask Qty]]</f>
        <v>0</v>
      </c>
      <c r="T1124">
        <f>VLOOKUP(Table1[[#This Row],[Isin code]],Table2[#All],7,FALSE)</f>
        <v>10.5</v>
      </c>
      <c r="U1124" s="17" t="str">
        <f>VLOOKUP(Table1[[#This Row],[Isin code]],Table2[#All],8,FALSE)</f>
        <v>01-Mar-2029</v>
      </c>
      <c r="V1124" s="10">
        <f ca="1">Table1[[#This Row],[Maturity]]-TODAY()</f>
        <v>1597</v>
      </c>
      <c r="W1124" t="str">
        <f>VLOOKUP(Table1[[#This Row],[Isin code]],Table2[#All],10,FALSE)</f>
        <v>Yearly</v>
      </c>
      <c r="X1124">
        <f ca="1">_xlfn.DAYS(Table1[[#This Row],[Maturity]],TODAY())-15</f>
        <v>1582</v>
      </c>
      <c r="Y11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124">
        <f>IF(Table1[[#This Row],[Ask Rate]]=0,0,Table1[[#This Row],[Face Value]]-Table1[[#This Row],[Ask Rate]])</f>
        <v>0</v>
      </c>
      <c r="AA1124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1124">
        <f ca="1">Table1[[#This Row],[Face Value]]*Table1[[#This Row],[Rate]]*Table1[[#This Row],[Time]]</f>
        <v>525</v>
      </c>
      <c r="AC1124">
        <f ca="1">Table1[[#This Row],[SI]]+Table1[[#This Row],[Disc/Prem]]</f>
        <v>525</v>
      </c>
      <c r="AD1124" s="3" t="e">
        <f ca="1">Table1[[#This Row],[Net Gain]]/Table1[[#This Row],[Ask Rate]]</f>
        <v>#DIV/0!</v>
      </c>
      <c r="AE1124" s="3">
        <f>IF(Table1[[#This Row],[Ask Qty]]=0,0,Table1[[#This Row],[Gross Yield]]*365/Table1[[#This Row],[Days Left]])</f>
        <v>0</v>
      </c>
      <c r="AF1124" s="9">
        <f ca="1">+Table1[[#This Row],[Net Gain]]*Table1[[#This Row],[Ask Qty]]</f>
        <v>0</v>
      </c>
      <c r="AG1124" t="str">
        <f>IF(Table1[[#This Row],[YTM]]&gt;0.12,IF(Table1[[#This Row],[Gross Profit]]&gt;10000,"Invest","Review"),"Low YTM")</f>
        <v>Low YTM</v>
      </c>
    </row>
    <row r="1125" spans="1:33" x14ac:dyDescent="0.3">
      <c r="A1125" t="str">
        <f>RTD("nest.scriprtd",,"bse_cm|1050NHFL29","Symbol")</f>
        <v>1050NHFL29</v>
      </c>
      <c r="B1125" t="str">
        <f>RTD("nest.scriprtd",,"bse_cm|1050NHFL29","Trading Symbol")</f>
        <v>1050NHFL29</v>
      </c>
      <c r="C1125" t="str">
        <f>RTD("nest.scriprtd",,"bse_cm|1050NHFL29","Exchange")</f>
        <v>BSE</v>
      </c>
      <c r="D1125">
        <f>RTD("nest.scriprtd",,"bse_cm|1050NHFL29","Bid Qty")</f>
        <v>15</v>
      </c>
      <c r="E1125">
        <f>RTD("nest.scriprtd",,"bse_cm|1050NHFL29","Bid Rate")</f>
        <v>840.2</v>
      </c>
      <c r="F1125">
        <f>RTD("nest.scriprtd",,"bse_cm|1050NHFL29","Ask Rate")</f>
        <v>0</v>
      </c>
      <c r="G1125">
        <f>RTD("nest.scriprtd",,"bse_cm|1050NHFL29","Ask Qty")</f>
        <v>0</v>
      </c>
      <c r="H1125">
        <f>RTD("nest.scriprtd",,"bse_cm|1050NHFL29","LTP")</f>
        <v>0</v>
      </c>
      <c r="I1125" t="str">
        <f>RTD("nest.scriprtd",,"bse_cm|1050NHFL29","LTT")</f>
        <v>00:00:00</v>
      </c>
      <c r="J1125">
        <f>RTD("nest.scriprtd",,"bse_cm|1050NHFL29","% Change")</f>
        <v>-100</v>
      </c>
      <c r="K1125">
        <f>RTD("nest.scriprtd",,"bse_cm|1050NHFL29","ATP")</f>
        <v>0</v>
      </c>
      <c r="L1125">
        <f>RTD("nest.scriprtd",,"bse_cm|1050NHFL29","Volume Traded Today")</f>
        <v>0</v>
      </c>
      <c r="M1125">
        <f>RTD("nest.scriprtd",,"bse_cm|1050NHFL29","Open")</f>
        <v>0</v>
      </c>
      <c r="N1125">
        <f>RTD("nest.scriprtd",,"bse_cm|1050NHFL29","High")</f>
        <v>1000</v>
      </c>
      <c r="O1125">
        <f>RTD("nest.scriprtd",,"bse_cm|1050NHFL29","Low ")</f>
        <v>841</v>
      </c>
      <c r="P1125">
        <f>RTD("nest.scriprtd",,"bse_cm|1050NHFL29","Prev Close")</f>
        <v>1000</v>
      </c>
      <c r="Q1125">
        <f>RTD("nest.scriprtd",,"bse_cm|1050NHFL29","Face Value")</f>
        <v>1000</v>
      </c>
      <c r="R1125" t="str">
        <f>RTD("nest.scriprtd",,"bse_cm|1050NHFL29","Isin code")</f>
        <v>INE530L07756</v>
      </c>
      <c r="S1125" s="9">
        <f>Table1[[#This Row],[Ask Rate]]*Table1[[#This Row],[Ask Qty]]</f>
        <v>0</v>
      </c>
      <c r="T1125">
        <f>VLOOKUP(Table1[[#This Row],[Isin code]],Table2[#All],7,FALSE)</f>
        <v>10.5</v>
      </c>
      <c r="U1125" s="17" t="str">
        <f>VLOOKUP(Table1[[#This Row],[Isin code]],Table2[#All],8,FALSE)</f>
        <v>03-Jul-2029</v>
      </c>
      <c r="V1125" s="10">
        <f ca="1">Table1[[#This Row],[Maturity]]-TODAY()</f>
        <v>1721</v>
      </c>
      <c r="W1125" t="str">
        <f>VLOOKUP(Table1[[#This Row],[Isin code]],Table2[#All],10,FALSE)</f>
        <v>Annual</v>
      </c>
      <c r="X1125">
        <f ca="1">_xlfn.DAYS(Table1[[#This Row],[Maturity]],TODAY())-15</f>
        <v>1706</v>
      </c>
      <c r="Y112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25">
        <f>IF(Table1[[#This Row],[Ask Rate]]=0,0,Table1[[#This Row],[Face Value]]-Table1[[#This Row],[Ask Rate]])</f>
        <v>0</v>
      </c>
      <c r="AA112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25">
        <f>Table1[[#This Row],[Face Value]]*Table1[[#This Row],[Rate]]*Table1[[#This Row],[Time]]</f>
        <v>0</v>
      </c>
      <c r="AC1125">
        <f>Table1[[#This Row],[SI]]+Table1[[#This Row],[Disc/Prem]]</f>
        <v>0</v>
      </c>
      <c r="AD1125" s="3" t="e">
        <f>Table1[[#This Row],[Net Gain]]/Table1[[#This Row],[Ask Rate]]</f>
        <v>#DIV/0!</v>
      </c>
      <c r="AE1125" s="3">
        <f>IF(Table1[[#This Row],[Ask Qty]]=0,0,Table1[[#This Row],[Gross Yield]]*365/Table1[[#This Row],[Days Left]])</f>
        <v>0</v>
      </c>
      <c r="AF1125" s="9">
        <f>+Table1[[#This Row],[Net Gain]]*Table1[[#This Row],[Ask Qty]]</f>
        <v>0</v>
      </c>
      <c r="AG1125" t="str">
        <f>IF(Table1[[#This Row],[YTM]]&gt;0.12,IF(Table1[[#This Row],[Gross Profit]]&gt;10000,"Invest","Review"),"Low YTM")</f>
        <v>Low YTM</v>
      </c>
    </row>
    <row r="1126" spans="1:33" x14ac:dyDescent="0.3">
      <c r="A1126" t="str">
        <f>RTD("nest.scriprtd",,"bse_cm|940ICCL28","Symbol")</f>
        <v>940ICCL28</v>
      </c>
      <c r="B1126" t="str">
        <f>RTD("nest.scriprtd",,"bse_cm|940ICCL28","Trading Symbol")</f>
        <v>940ICCL28</v>
      </c>
      <c r="C1126" t="str">
        <f>RTD("nest.scriprtd",,"bse_cm|940ICCL28","Exchange")</f>
        <v>BSE</v>
      </c>
      <c r="D1126">
        <f>RTD("nest.scriprtd",,"bse_cm|940ICCL28","Bid Qty")</f>
        <v>20</v>
      </c>
      <c r="E1126">
        <f>RTD("nest.scriprtd",,"bse_cm|940ICCL28","Bid Rate")</f>
        <v>650.20000000000005</v>
      </c>
      <c r="F1126">
        <f>RTD("nest.scriprtd",,"bse_cm|940ICCL28","Ask Rate")</f>
        <v>0</v>
      </c>
      <c r="G1126">
        <f>RTD("nest.scriprtd",,"bse_cm|940ICCL28","Ask Qty")</f>
        <v>0</v>
      </c>
      <c r="H1126">
        <f>RTD("nest.scriprtd",,"bse_cm|940ICCL28","LTP")</f>
        <v>0</v>
      </c>
      <c r="I1126" t="str">
        <f>RTD("nest.scriprtd",,"bse_cm|940ICCL28","LTT")</f>
        <v>00:00:00</v>
      </c>
      <c r="J1126">
        <f>RTD("nest.scriprtd",,"bse_cm|940ICCL28","% Change")</f>
        <v>-100</v>
      </c>
      <c r="K1126">
        <f>RTD("nest.scriprtd",,"bse_cm|940ICCL28","ATP")</f>
        <v>0</v>
      </c>
      <c r="L1126">
        <f>RTD("nest.scriprtd",,"bse_cm|940ICCL28","Volume Traded Today")</f>
        <v>0</v>
      </c>
      <c r="M1126">
        <f>RTD("nest.scriprtd",,"bse_cm|940ICCL28","Open")</f>
        <v>0</v>
      </c>
      <c r="N1126">
        <f>RTD("nest.scriprtd",,"bse_cm|940ICCL28","High")</f>
        <v>0</v>
      </c>
      <c r="O1126">
        <f>RTD("nest.scriprtd",,"bse_cm|940ICCL28","Low ")</f>
        <v>0</v>
      </c>
      <c r="P1126">
        <f>RTD("nest.scriprtd",,"bse_cm|940ICCL28","Prev Close")</f>
        <v>800</v>
      </c>
      <c r="Q1126">
        <f>RTD("nest.scriprtd",,"bse_cm|940ICCL28","Face Value")</f>
        <v>800</v>
      </c>
      <c r="R1126" t="str">
        <f>RTD("nest.scriprtd",,"bse_cm|940ICCL28","Isin code")</f>
        <v>INE244L07408</v>
      </c>
      <c r="S1126" s="9">
        <f>Table1[[#This Row],[Ask Rate]]*Table1[[#This Row],[Ask Qty]]</f>
        <v>0</v>
      </c>
      <c r="T1126">
        <f>VLOOKUP(Table1[[#This Row],[Isin code]],Table2[#All],7,FALSE)</f>
        <v>9.4</v>
      </c>
      <c r="U1126" s="17" t="str">
        <f>VLOOKUP(Table1[[#This Row],[Isin code]],Table2[#All],8,FALSE)</f>
        <v>02-Feb-2028</v>
      </c>
      <c r="V1126" s="10">
        <f ca="1">Table1[[#This Row],[Maturity]]-TODAY()</f>
        <v>1204</v>
      </c>
      <c r="W1126" t="str">
        <f>VLOOKUP(Table1[[#This Row],[Isin code]],Table2[#All],10,FALSE)</f>
        <v>Monthly</v>
      </c>
      <c r="X1126">
        <f ca="1">_xlfn.DAYS(Table1[[#This Row],[Maturity]],TODAY())-15</f>
        <v>1189</v>
      </c>
      <c r="Y11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1126">
        <f>IF(Table1[[#This Row],[Ask Rate]]=0,0,Table1[[#This Row],[Face Value]]-Table1[[#This Row],[Ask Rate]])</f>
        <v>0</v>
      </c>
      <c r="AA1126">
        <f>IF(Table1[[#This Row],[Freq]]="Yearly",Table1[[#This Row],[Coupon_Rate]]/100,IF(Table1[[#This Row],[Freq]]="Monthly",Table1[[#This Row],[Coupon_Rate]]/1200,IF(Table1[[#This Row],[Freq]]="Quarterly",Table1[[#This Row],[Coupon_Rate]]/400,0)))</f>
        <v>7.8333333333333328E-3</v>
      </c>
      <c r="AB1126">
        <f ca="1">Table1[[#This Row],[Face Value]]*Table1[[#This Row],[Rate]]*Table1[[#This Row],[Time]]</f>
        <v>250.66666666666666</v>
      </c>
      <c r="AC1126">
        <f ca="1">Table1[[#This Row],[SI]]+Table1[[#This Row],[Disc/Prem]]</f>
        <v>250.66666666666666</v>
      </c>
      <c r="AD1126" s="3" t="e">
        <f ca="1">Table1[[#This Row],[Net Gain]]/Table1[[#This Row],[Ask Rate]]</f>
        <v>#DIV/0!</v>
      </c>
      <c r="AE1126" s="3">
        <f>IF(Table1[[#This Row],[Ask Qty]]=0,0,Table1[[#This Row],[Gross Yield]]*365/Table1[[#This Row],[Days Left]])</f>
        <v>0</v>
      </c>
      <c r="AF1126" s="9">
        <f ca="1">+Table1[[#This Row],[Net Gain]]*Table1[[#This Row],[Ask Qty]]</f>
        <v>0</v>
      </c>
      <c r="AG1126" t="str">
        <f>IF(Table1[[#This Row],[YTM]]&gt;0.12,IF(Table1[[#This Row],[Gross Profit]]&gt;10000,"Invest","Review"),"Low YTM")</f>
        <v>Low YTM</v>
      </c>
    </row>
    <row r="1127" spans="1:33" x14ac:dyDescent="0.3">
      <c r="A1127" t="str">
        <f>RTD("nest.scriprtd",,"bse_cm|915SCL27","Symbol")</f>
        <v>915SCL27</v>
      </c>
      <c r="B1127" t="str">
        <f>RTD("nest.scriprtd",,"bse_cm|915SCL27","Trading Symbol")</f>
        <v>915SCL27</v>
      </c>
      <c r="C1127" t="str">
        <f>RTD("nest.scriprtd",,"bse_cm|915SCL27","Exchange")</f>
        <v>BSE</v>
      </c>
      <c r="D1127">
        <f>RTD("nest.scriprtd",,"bse_cm|915SCL27","Bid Qty")</f>
        <v>20</v>
      </c>
      <c r="E1127">
        <f>RTD("nest.scriprtd",,"bse_cm|915SCL27","Bid Rate")</f>
        <v>813.9</v>
      </c>
      <c r="F1127">
        <f>RTD("nest.scriprtd",,"bse_cm|915SCL27","Ask Rate")</f>
        <v>0</v>
      </c>
      <c r="G1127">
        <f>RTD("nest.scriprtd",,"bse_cm|915SCL27","Ask Qty")</f>
        <v>0</v>
      </c>
      <c r="H1127">
        <f>RTD("nest.scriprtd",,"bse_cm|915SCL27","LTP")</f>
        <v>0</v>
      </c>
      <c r="I1127" t="str">
        <f>RTD("nest.scriprtd",,"bse_cm|915SCL27","LTT")</f>
        <v>00:00:00</v>
      </c>
      <c r="J1127">
        <f>RTD("nest.scriprtd",,"bse_cm|915SCL27","% Change")</f>
        <v>-100</v>
      </c>
      <c r="K1127">
        <f>RTD("nest.scriprtd",,"bse_cm|915SCL27","ATP")</f>
        <v>0</v>
      </c>
      <c r="L1127">
        <f>RTD("nest.scriprtd",,"bse_cm|915SCL27","Volume Traded Today")</f>
        <v>0</v>
      </c>
      <c r="M1127">
        <f>RTD("nest.scriprtd",,"bse_cm|915SCL27","Open")</f>
        <v>0</v>
      </c>
      <c r="N1127">
        <f>RTD("nest.scriprtd",,"bse_cm|915SCL27","High")</f>
        <v>814</v>
      </c>
      <c r="O1127">
        <f>RTD("nest.scriprtd",,"bse_cm|915SCL27","Low ")</f>
        <v>814</v>
      </c>
      <c r="P1127">
        <f>RTD("nest.scriprtd",,"bse_cm|915SCL27","Prev Close")</f>
        <v>814</v>
      </c>
      <c r="Q1127">
        <f>RTD("nest.scriprtd",,"bse_cm|915SCL27","Face Value")</f>
        <v>1000</v>
      </c>
      <c r="R1127" t="str">
        <f>RTD("nest.scriprtd",,"bse_cm|915SCL27","Isin code")</f>
        <v>INE148I07ME6</v>
      </c>
      <c r="S1127" s="9">
        <f>Table1[[#This Row],[Ask Rate]]*Table1[[#This Row],[Ask Qty]]</f>
        <v>0</v>
      </c>
      <c r="T1127">
        <f>VLOOKUP(Table1[[#This Row],[Isin code]],Table2[#All],7,FALSE)</f>
        <v>9.5500000000000007</v>
      </c>
      <c r="U1127" s="17" t="str">
        <f>VLOOKUP(Table1[[#This Row],[Isin code]],Table2[#All],8,FALSE)</f>
        <v>28-Sep-2027</v>
      </c>
      <c r="V1127" s="10">
        <f ca="1">Table1[[#This Row],[Maturity]]-TODAY()</f>
        <v>1077</v>
      </c>
      <c r="W1127" t="str">
        <f>VLOOKUP(Table1[[#This Row],[Isin code]],Table2[#All],10,FALSE)</f>
        <v>Yearly</v>
      </c>
      <c r="X1127">
        <f ca="1">_xlfn.DAYS(Table1[[#This Row],[Maturity]],TODAY())-15</f>
        <v>1062</v>
      </c>
      <c r="Y11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27">
        <f>IF(Table1[[#This Row],[Ask Rate]]=0,0,Table1[[#This Row],[Face Value]]-Table1[[#This Row],[Ask Rate]])</f>
        <v>0</v>
      </c>
      <c r="AA1127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1127">
        <f ca="1">Table1[[#This Row],[Face Value]]*Table1[[#This Row],[Rate]]*Table1[[#This Row],[Time]]</f>
        <v>286.5</v>
      </c>
      <c r="AC1127">
        <f ca="1">Table1[[#This Row],[SI]]+Table1[[#This Row],[Disc/Prem]]</f>
        <v>286.5</v>
      </c>
      <c r="AD1127" s="3" t="e">
        <f ca="1">Table1[[#This Row],[Net Gain]]/Table1[[#This Row],[Ask Rate]]</f>
        <v>#DIV/0!</v>
      </c>
      <c r="AE1127" s="3">
        <f>IF(Table1[[#This Row],[Ask Qty]]=0,0,Table1[[#This Row],[Gross Yield]]*365/Table1[[#This Row],[Days Left]])</f>
        <v>0</v>
      </c>
      <c r="AF1127" s="9">
        <f ca="1">+Table1[[#This Row],[Net Gain]]*Table1[[#This Row],[Ask Qty]]</f>
        <v>0</v>
      </c>
      <c r="AG1127" t="str">
        <f>IF(Table1[[#This Row],[YTM]]&gt;0.12,IF(Table1[[#This Row],[Gross Profit]]&gt;10000,"Invest","Review"),"Low YTM")</f>
        <v>Low YTM</v>
      </c>
    </row>
    <row r="1128" spans="1:33" x14ac:dyDescent="0.3">
      <c r="A1128" t="str">
        <f>RTD("nest.scriprtd",,"bse_cm|955SCL25","Symbol")</f>
        <v>955SCL25</v>
      </c>
      <c r="B1128" t="str">
        <f>RTD("nest.scriprtd",,"bse_cm|955SCL25","Trading Symbol")</f>
        <v>955SCL25</v>
      </c>
      <c r="C1128" t="str">
        <f>RTD("nest.scriprtd",,"bse_cm|955SCL25","Exchange")</f>
        <v>BSE</v>
      </c>
      <c r="D1128">
        <f>RTD("nest.scriprtd",,"bse_cm|955SCL25","Bid Qty")</f>
        <v>12</v>
      </c>
      <c r="E1128">
        <f>RTD("nest.scriprtd",,"bse_cm|955SCL25","Bid Rate")</f>
        <v>710.1</v>
      </c>
      <c r="F1128">
        <f>RTD("nest.scriprtd",,"bse_cm|955SCL25","Ask Rate")</f>
        <v>0</v>
      </c>
      <c r="G1128">
        <f>RTD("nest.scriprtd",,"bse_cm|955SCL25","Ask Qty")</f>
        <v>0</v>
      </c>
      <c r="H1128">
        <f>RTD("nest.scriprtd",,"bse_cm|955SCL25","LTP")</f>
        <v>0</v>
      </c>
      <c r="I1128" t="str">
        <f>RTD("nest.scriprtd",,"bse_cm|955SCL25","LTT")</f>
        <v>00:00:00</v>
      </c>
      <c r="J1128">
        <f>RTD("nest.scriprtd",,"bse_cm|955SCL25","% Change")</f>
        <v>-100</v>
      </c>
      <c r="K1128">
        <f>RTD("nest.scriprtd",,"bse_cm|955SCL25","ATP")</f>
        <v>0</v>
      </c>
      <c r="L1128">
        <f>RTD("nest.scriprtd",,"bse_cm|955SCL25","Volume Traded Today")</f>
        <v>0</v>
      </c>
      <c r="M1128">
        <f>RTD("nest.scriprtd",,"bse_cm|955SCL25","Open")</f>
        <v>0</v>
      </c>
      <c r="N1128">
        <f>RTD("nest.scriprtd",,"bse_cm|955SCL25","High")</f>
        <v>710.1</v>
      </c>
      <c r="O1128">
        <f>RTD("nest.scriprtd",,"bse_cm|955SCL25","Low ")</f>
        <v>710.1</v>
      </c>
      <c r="P1128">
        <f>RTD("nest.scriprtd",,"bse_cm|955SCL25","Prev Close")</f>
        <v>710.1</v>
      </c>
      <c r="Q1128">
        <f>RTD("nest.scriprtd",,"bse_cm|955SCL25","Face Value")</f>
        <v>667</v>
      </c>
      <c r="R1128" t="str">
        <f>RTD("nest.scriprtd",,"bse_cm|955SCL25","Isin code")</f>
        <v>INE148I07NH7</v>
      </c>
      <c r="S1128" s="9">
        <f>Table1[[#This Row],[Ask Rate]]*Table1[[#This Row],[Ask Qty]]</f>
        <v>0</v>
      </c>
      <c r="T1128">
        <f>VLOOKUP(Table1[[#This Row],[Isin code]],Table2[#All],7,FALSE)</f>
        <v>9.5500000000000007</v>
      </c>
      <c r="U1128" s="17">
        <f>VLOOKUP(Table1[[#This Row],[Isin code]],Table2[#All],8,FALSE)</f>
        <v>46019</v>
      </c>
      <c r="V1128" s="10">
        <f ca="1">Table1[[#This Row],[Maturity]]-TODAY()</f>
        <v>438</v>
      </c>
      <c r="W1128" t="str">
        <f>VLOOKUP(Table1[[#This Row],[Isin code]],Table2[#All],10,FALSE)</f>
        <v>Yearly</v>
      </c>
      <c r="X1128">
        <f ca="1">_xlfn.DAYS(Table1[[#This Row],[Maturity]],TODAY())-15</f>
        <v>423</v>
      </c>
      <c r="Y11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128">
        <f>IF(Table1[[#This Row],[Ask Rate]]=0,0,Table1[[#This Row],[Face Value]]-Table1[[#This Row],[Ask Rate]])</f>
        <v>0</v>
      </c>
      <c r="AA1128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1128">
        <f ca="1">Table1[[#This Row],[Face Value]]*Table1[[#This Row],[Rate]]*Table1[[#This Row],[Time]]</f>
        <v>127.39700000000001</v>
      </c>
      <c r="AC1128">
        <f ca="1">Table1[[#This Row],[SI]]+Table1[[#This Row],[Disc/Prem]]</f>
        <v>127.39700000000001</v>
      </c>
      <c r="AD1128" s="3" t="e">
        <f ca="1">Table1[[#This Row],[Net Gain]]/Table1[[#This Row],[Ask Rate]]</f>
        <v>#DIV/0!</v>
      </c>
      <c r="AE1128" s="3">
        <f>IF(Table1[[#This Row],[Ask Qty]]=0,0,Table1[[#This Row],[Gross Yield]]*365/Table1[[#This Row],[Days Left]])</f>
        <v>0</v>
      </c>
      <c r="AF1128" s="9">
        <f ca="1">+Table1[[#This Row],[Net Gain]]*Table1[[#This Row],[Ask Qty]]</f>
        <v>0</v>
      </c>
      <c r="AG1128" t="str">
        <f>IF(Table1[[#This Row],[YTM]]&gt;0.12,IF(Table1[[#This Row],[Gross Profit]]&gt;10000,"Invest","Review"),"Low YTM")</f>
        <v>Low YTM</v>
      </c>
    </row>
    <row r="1129" spans="1:33" x14ac:dyDescent="0.3">
      <c r="A1129" t="str">
        <f>RTD("nest.scriprtd",,"bse_cm|955ONE27","Symbol")</f>
        <v>955ONE27</v>
      </c>
      <c r="B1129" t="str">
        <f>RTD("nest.scriprtd",,"bse_cm|955ONE27","Trading Symbol")</f>
        <v>955ONE27</v>
      </c>
      <c r="C1129" t="str">
        <f>RTD("nest.scriprtd",,"bse_cm|955ONE27","Exchange")</f>
        <v>BSE</v>
      </c>
      <c r="D1129">
        <f>RTD("nest.scriprtd",,"bse_cm|955ONE27","Bid Qty")</f>
        <v>50</v>
      </c>
      <c r="E1129">
        <f>RTD("nest.scriprtd",,"bse_cm|955ONE27","Bid Rate")</f>
        <v>850.11</v>
      </c>
      <c r="F1129">
        <f>RTD("nest.scriprtd",,"bse_cm|955ONE27","Ask Rate")</f>
        <v>0</v>
      </c>
      <c r="G1129">
        <f>RTD("nest.scriprtd",,"bse_cm|955ONE27","Ask Qty")</f>
        <v>0</v>
      </c>
      <c r="H1129">
        <f>RTD("nest.scriprtd",,"bse_cm|955ONE27","LTP")</f>
        <v>0</v>
      </c>
      <c r="I1129" t="str">
        <f>RTD("nest.scriprtd",,"bse_cm|955ONE27","LTT")</f>
        <v>00:00:00</v>
      </c>
      <c r="J1129">
        <f>RTD("nest.scriprtd",,"bse_cm|955ONE27","% Change")</f>
        <v>-100</v>
      </c>
      <c r="K1129">
        <f>RTD("nest.scriprtd",,"bse_cm|955ONE27","ATP")</f>
        <v>0</v>
      </c>
      <c r="L1129">
        <f>RTD("nest.scriprtd",,"bse_cm|955ONE27","Volume Traded Today")</f>
        <v>0</v>
      </c>
      <c r="M1129">
        <f>RTD("nest.scriprtd",,"bse_cm|955ONE27","Open")</f>
        <v>0</v>
      </c>
      <c r="N1129">
        <f>RTD("nest.scriprtd",,"bse_cm|955ONE27","High")</f>
        <v>0</v>
      </c>
      <c r="O1129">
        <f>RTD("nest.scriprtd",,"bse_cm|955ONE27","Low ")</f>
        <v>0</v>
      </c>
      <c r="P1129">
        <f>RTD("nest.scriprtd",,"bse_cm|955ONE27","Prev Close")</f>
        <v>1000</v>
      </c>
      <c r="Q1129">
        <f>RTD("nest.scriprtd",,"bse_cm|955ONE27","Face Value")</f>
        <v>1000</v>
      </c>
      <c r="R1129" t="str">
        <f>RTD("nest.scriprtd",,"bse_cm|955ONE27","Isin code")</f>
        <v>INE248U07FG8</v>
      </c>
      <c r="S1129" s="9">
        <f>Table1[[#This Row],[Ask Rate]]*Table1[[#This Row],[Ask Qty]]</f>
        <v>0</v>
      </c>
      <c r="T1129">
        <f>VLOOKUP(Table1[[#This Row],[Isin code]],Table2[#All],7,FALSE)</f>
        <v>9.5500000000000007</v>
      </c>
      <c r="U1129" s="17" t="str">
        <f>VLOOKUP(Table1[[#This Row],[Isin code]],Table2[#All],8,FALSE)</f>
        <v>12-Jun-2027</v>
      </c>
      <c r="V1129" s="10">
        <f ca="1">Table1[[#This Row],[Maturity]]-TODAY()</f>
        <v>969</v>
      </c>
      <c r="W1129" t="str">
        <f>VLOOKUP(Table1[[#This Row],[Isin code]],Table2[#All],10,FALSE)</f>
        <v>Annual</v>
      </c>
      <c r="X1129">
        <f ca="1">_xlfn.DAYS(Table1[[#This Row],[Maturity]],TODAY())-15</f>
        <v>954</v>
      </c>
      <c r="Y112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29">
        <f>IF(Table1[[#This Row],[Ask Rate]]=0,0,Table1[[#This Row],[Face Value]]-Table1[[#This Row],[Ask Rate]])</f>
        <v>0</v>
      </c>
      <c r="AA112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29">
        <f>Table1[[#This Row],[Face Value]]*Table1[[#This Row],[Rate]]*Table1[[#This Row],[Time]]</f>
        <v>0</v>
      </c>
      <c r="AC1129">
        <f>Table1[[#This Row],[SI]]+Table1[[#This Row],[Disc/Prem]]</f>
        <v>0</v>
      </c>
      <c r="AD1129" s="3" t="e">
        <f>Table1[[#This Row],[Net Gain]]/Table1[[#This Row],[Ask Rate]]</f>
        <v>#DIV/0!</v>
      </c>
      <c r="AE1129" s="3">
        <f>IF(Table1[[#This Row],[Ask Qty]]=0,0,Table1[[#This Row],[Gross Yield]]*365/Table1[[#This Row],[Days Left]])</f>
        <v>0</v>
      </c>
      <c r="AF1129" s="9">
        <f>+Table1[[#This Row],[Net Gain]]*Table1[[#This Row],[Ask Qty]]</f>
        <v>0</v>
      </c>
      <c r="AG1129" t="str">
        <f>IF(Table1[[#This Row],[YTM]]&gt;0.12,IF(Table1[[#This Row],[Gross Profit]]&gt;10000,"Invest","Review"),"Low YTM")</f>
        <v>Low YTM</v>
      </c>
    </row>
    <row r="1130" spans="1:33" x14ac:dyDescent="0.3">
      <c r="A1130" t="str">
        <f>RTD("nest.scriprtd",,"bse_cm|955MFCL30","Symbol")</f>
        <v>955MFCL30</v>
      </c>
      <c r="B1130" t="str">
        <f>RTD("nest.scriprtd",,"bse_cm|955MFCL30","Trading Symbol")</f>
        <v>955MFCL30</v>
      </c>
      <c r="C1130" t="str">
        <f>RTD("nest.scriprtd",,"bse_cm|955MFCL30","Exchange")</f>
        <v>BSE</v>
      </c>
      <c r="D1130">
        <f>RTD("nest.scriprtd",,"bse_cm|955MFCL30","Bid Qty")</f>
        <v>1</v>
      </c>
      <c r="E1130">
        <f>RTD("nest.scriprtd",,"bse_cm|955MFCL30","Bid Rate")</f>
        <v>960</v>
      </c>
      <c r="F1130">
        <f>RTD("nest.scriprtd",,"bse_cm|955MFCL30","Ask Rate")</f>
        <v>0</v>
      </c>
      <c r="G1130">
        <f>RTD("nest.scriprtd",,"bse_cm|955MFCL30","Ask Qty")</f>
        <v>0</v>
      </c>
      <c r="H1130">
        <f>RTD("nest.scriprtd",,"bse_cm|955MFCL30","LTP")</f>
        <v>0</v>
      </c>
      <c r="I1130" t="str">
        <f>RTD("nest.scriprtd",,"bse_cm|955MFCL30","LTT")</f>
        <v>00:00:00</v>
      </c>
      <c r="J1130">
        <f>RTD("nest.scriprtd",,"bse_cm|955MFCL30","% Change")</f>
        <v>-100</v>
      </c>
      <c r="K1130">
        <f>RTD("nest.scriprtd",,"bse_cm|955MFCL30","ATP")</f>
        <v>0</v>
      </c>
      <c r="L1130">
        <f>RTD("nest.scriprtd",,"bse_cm|955MFCL30","Volume Traded Today")</f>
        <v>0</v>
      </c>
      <c r="M1130">
        <f>RTD("nest.scriprtd",,"bse_cm|955MFCL30","Open")</f>
        <v>0</v>
      </c>
      <c r="N1130">
        <f>RTD("nest.scriprtd",,"bse_cm|955MFCL30","High")</f>
        <v>989</v>
      </c>
      <c r="O1130">
        <f>RTD("nest.scriprtd",,"bse_cm|955MFCL30","Low ")</f>
        <v>989</v>
      </c>
      <c r="P1130">
        <f>RTD("nest.scriprtd",,"bse_cm|955MFCL30","Prev Close")</f>
        <v>989</v>
      </c>
      <c r="Q1130">
        <f>RTD("nest.scriprtd",,"bse_cm|955MFCL30","Face Value")</f>
        <v>1000</v>
      </c>
      <c r="R1130" t="str">
        <f>RTD("nest.scriprtd",,"bse_cm|955MFCL30","Isin code")</f>
        <v>INE549K07DU6</v>
      </c>
      <c r="S1130" s="9">
        <f>Table1[[#This Row],[Ask Rate]]*Table1[[#This Row],[Ask Qty]]</f>
        <v>0</v>
      </c>
      <c r="T1130">
        <f>VLOOKUP(Table1[[#This Row],[Isin code]],Table2[#All],7,FALSE)</f>
        <v>9.5500000000000007</v>
      </c>
      <c r="U1130" s="17" t="str">
        <f>VLOOKUP(Table1[[#This Row],[Isin code]],Table2[#All],8,FALSE)</f>
        <v>30-Apr-2030</v>
      </c>
      <c r="V1130" s="10">
        <f ca="1">Table1[[#This Row],[Maturity]]-TODAY()</f>
        <v>2022</v>
      </c>
      <c r="W1130" t="str">
        <f>VLOOKUP(Table1[[#This Row],[Isin code]],Table2[#All],10,FALSE)</f>
        <v>Monthly</v>
      </c>
      <c r="X1130">
        <f ca="1">_xlfn.DAYS(Table1[[#This Row],[Maturity]],TODAY())-15</f>
        <v>2007</v>
      </c>
      <c r="Y11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67</v>
      </c>
      <c r="Z1130">
        <f>IF(Table1[[#This Row],[Ask Rate]]=0,0,Table1[[#This Row],[Face Value]]-Table1[[#This Row],[Ask Rate]])</f>
        <v>0</v>
      </c>
      <c r="AA1130">
        <f>IF(Table1[[#This Row],[Freq]]="Yearly",Table1[[#This Row],[Coupon_Rate]]/100,IF(Table1[[#This Row],[Freq]]="Monthly",Table1[[#This Row],[Coupon_Rate]]/1200,IF(Table1[[#This Row],[Freq]]="Quarterly",Table1[[#This Row],[Coupon_Rate]]/400,0)))</f>
        <v>7.9583333333333346E-3</v>
      </c>
      <c r="AB1130">
        <f ca="1">Table1[[#This Row],[Face Value]]*Table1[[#This Row],[Rate]]*Table1[[#This Row],[Time]]</f>
        <v>533.20833333333348</v>
      </c>
      <c r="AC1130">
        <f ca="1">Table1[[#This Row],[SI]]+Table1[[#This Row],[Disc/Prem]]</f>
        <v>533.20833333333348</v>
      </c>
      <c r="AD1130" s="3" t="e">
        <f ca="1">Table1[[#This Row],[Net Gain]]/Table1[[#This Row],[Ask Rate]]</f>
        <v>#DIV/0!</v>
      </c>
      <c r="AE1130" s="3">
        <f>IF(Table1[[#This Row],[Ask Qty]]=0,0,Table1[[#This Row],[Gross Yield]]*365/Table1[[#This Row],[Days Left]])</f>
        <v>0</v>
      </c>
      <c r="AF1130" s="9">
        <f ca="1">+Table1[[#This Row],[Net Gain]]*Table1[[#This Row],[Ask Qty]]</f>
        <v>0</v>
      </c>
      <c r="AG1130" t="str">
        <f>IF(Table1[[#This Row],[YTM]]&gt;0.12,IF(Table1[[#This Row],[Gross Profit]]&gt;10000,"Invest","Review"),"Low YTM")</f>
        <v>Low YTM</v>
      </c>
    </row>
    <row r="1131" spans="1:33" x14ac:dyDescent="0.3">
      <c r="A1131" t="str">
        <f>RTD("nest.scriprtd",,"bse_cm|11MML28","Symbol")</f>
        <v>11MML28</v>
      </c>
      <c r="B1131" t="str">
        <f>RTD("nest.scriprtd",,"bse_cm|11MML28","Trading Symbol")</f>
        <v>11MML28</v>
      </c>
      <c r="C1131" t="str">
        <f>RTD("nest.scriprtd",,"bse_cm|11MML28","Exchange")</f>
        <v>BSE</v>
      </c>
      <c r="D1131">
        <f>RTD("nest.scriprtd",,"bse_cm|11MML28","Bid Qty")</f>
        <v>22</v>
      </c>
      <c r="E1131">
        <f>RTD("nest.scriprtd",,"bse_cm|11MML28","Bid Rate")</f>
        <v>865.4</v>
      </c>
      <c r="F1131">
        <f>RTD("nest.scriprtd",,"bse_cm|11MML28","Ask Rate")</f>
        <v>0</v>
      </c>
      <c r="G1131">
        <f>RTD("nest.scriprtd",,"bse_cm|11MML28","Ask Qty")</f>
        <v>0</v>
      </c>
      <c r="H1131">
        <f>RTD("nest.scriprtd",,"bse_cm|11MML28","LTP")</f>
        <v>0</v>
      </c>
      <c r="I1131" t="str">
        <f>RTD("nest.scriprtd",,"bse_cm|11MML28","LTT")</f>
        <v>00:00:00</v>
      </c>
      <c r="J1131">
        <f>RTD("nest.scriprtd",,"bse_cm|11MML28","% Change")</f>
        <v>-100</v>
      </c>
      <c r="K1131">
        <f>RTD("nest.scriprtd",,"bse_cm|11MML28","ATP")</f>
        <v>0</v>
      </c>
      <c r="L1131">
        <f>RTD("nest.scriprtd",,"bse_cm|11MML28","Volume Traded Today")</f>
        <v>0</v>
      </c>
      <c r="M1131">
        <f>RTD("nest.scriprtd",,"bse_cm|11MML28","Open")</f>
        <v>0</v>
      </c>
      <c r="N1131">
        <f>RTD("nest.scriprtd",,"bse_cm|11MML28","High")</f>
        <v>866</v>
      </c>
      <c r="O1131">
        <f>RTD("nest.scriprtd",,"bse_cm|11MML28","Low ")</f>
        <v>866</v>
      </c>
      <c r="P1131">
        <f>RTD("nest.scriprtd",,"bse_cm|11MML28","Prev Close")</f>
        <v>866</v>
      </c>
      <c r="Q1131">
        <f>RTD("nest.scriprtd",,"bse_cm|11MML28","Face Value")</f>
        <v>1000</v>
      </c>
      <c r="R1131" t="str">
        <f>RTD("nest.scriprtd",,"bse_cm|11MML28","Isin code")</f>
        <v>INE05F407BL5</v>
      </c>
      <c r="S1131" s="9">
        <f>Table1[[#This Row],[Ask Rate]]*Table1[[#This Row],[Ask Qty]]</f>
        <v>0</v>
      </c>
      <c r="T1131">
        <f>VLOOKUP(Table1[[#This Row],[Isin code]],Table2[#All],7,FALSE)</f>
        <v>11</v>
      </c>
      <c r="U1131" s="17" t="str">
        <f>VLOOKUP(Table1[[#This Row],[Isin code]],Table2[#All],8,FALSE)</f>
        <v>21-Dec-2028</v>
      </c>
      <c r="V1131" s="10">
        <f ca="1">Table1[[#This Row],[Maturity]]-TODAY()</f>
        <v>1527</v>
      </c>
      <c r="W1131" t="str">
        <f>VLOOKUP(Table1[[#This Row],[Isin code]],Table2[#All],10,FALSE)</f>
        <v>Monthly</v>
      </c>
      <c r="X1131">
        <f ca="1">_xlfn.DAYS(Table1[[#This Row],[Maturity]],TODAY())-15</f>
        <v>1512</v>
      </c>
      <c r="Y11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1131">
        <f>IF(Table1[[#This Row],[Ask Rate]]=0,0,Table1[[#This Row],[Face Value]]-Table1[[#This Row],[Ask Rate]])</f>
        <v>0</v>
      </c>
      <c r="AA1131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1131">
        <f ca="1">Table1[[#This Row],[Face Value]]*Table1[[#This Row],[Rate]]*Table1[[#This Row],[Time]]</f>
        <v>467.49999999999994</v>
      </c>
      <c r="AC1131">
        <f ca="1">Table1[[#This Row],[SI]]+Table1[[#This Row],[Disc/Prem]]</f>
        <v>467.49999999999994</v>
      </c>
      <c r="AD1131" s="3" t="e">
        <f ca="1">Table1[[#This Row],[Net Gain]]/Table1[[#This Row],[Ask Rate]]</f>
        <v>#DIV/0!</v>
      </c>
      <c r="AE1131" s="3">
        <f>IF(Table1[[#This Row],[Ask Qty]]=0,0,Table1[[#This Row],[Gross Yield]]*365/Table1[[#This Row],[Days Left]])</f>
        <v>0</v>
      </c>
      <c r="AF1131" s="9">
        <f ca="1">+Table1[[#This Row],[Net Gain]]*Table1[[#This Row],[Ask Qty]]</f>
        <v>0</v>
      </c>
      <c r="AG1131" t="str">
        <f>IF(Table1[[#This Row],[YTM]]&gt;0.12,IF(Table1[[#This Row],[Gross Profit]]&gt;10000,"Invest","Review"),"Low YTM")</f>
        <v>Low YTM</v>
      </c>
    </row>
    <row r="1132" spans="1:33" x14ac:dyDescent="0.3">
      <c r="A1132" t="str">
        <f>RTD("nest.scriprtd",,"bse_cm|11IML26","Symbol")</f>
        <v>11IML26</v>
      </c>
      <c r="B1132" t="str">
        <f>RTD("nest.scriprtd",,"bse_cm|11IML26","Trading Symbol")</f>
        <v>11IML26</v>
      </c>
      <c r="C1132" t="str">
        <f>RTD("nest.scriprtd",,"bse_cm|11IML26","Exchange")</f>
        <v>BSE</v>
      </c>
      <c r="D1132">
        <f>RTD("nest.scriprtd",,"bse_cm|11IML26","Bid Qty")</f>
        <v>10</v>
      </c>
      <c r="E1132">
        <f>RTD("nest.scriprtd",,"bse_cm|11IML26","Bid Rate")</f>
        <v>901.7</v>
      </c>
      <c r="F1132">
        <f>RTD("nest.scriprtd",,"bse_cm|11IML26","Ask Rate")</f>
        <v>0</v>
      </c>
      <c r="G1132">
        <f>RTD("nest.scriprtd",,"bse_cm|11IML26","Ask Qty")</f>
        <v>0</v>
      </c>
      <c r="H1132">
        <f>RTD("nest.scriprtd",,"bse_cm|11IML26","LTP")</f>
        <v>0</v>
      </c>
      <c r="I1132" t="str">
        <f>RTD("nest.scriprtd",,"bse_cm|11IML26","LTT")</f>
        <v>00:00:00</v>
      </c>
      <c r="J1132">
        <f>RTD("nest.scriprtd",,"bse_cm|11IML26","% Change")</f>
        <v>-100</v>
      </c>
      <c r="K1132">
        <f>RTD("nest.scriprtd",,"bse_cm|11IML26","ATP")</f>
        <v>0</v>
      </c>
      <c r="L1132">
        <f>RTD("nest.scriprtd",,"bse_cm|11IML26","Volume Traded Today")</f>
        <v>0</v>
      </c>
      <c r="M1132">
        <f>RTD("nest.scriprtd",,"bse_cm|11IML26","Open")</f>
        <v>0</v>
      </c>
      <c r="N1132">
        <f>RTD("nest.scriprtd",,"bse_cm|11IML26","High")</f>
        <v>875</v>
      </c>
      <c r="O1132">
        <f>RTD("nest.scriprtd",,"bse_cm|11IML26","Low ")</f>
        <v>875</v>
      </c>
      <c r="P1132">
        <f>RTD("nest.scriprtd",,"bse_cm|11IML26","Prev Close")</f>
        <v>875</v>
      </c>
      <c r="Q1132">
        <f>RTD("nest.scriprtd",,"bse_cm|11IML26","Face Value")</f>
        <v>1000</v>
      </c>
      <c r="R1132" t="str">
        <f>RTD("nest.scriprtd",,"bse_cm|11IML26","Isin code")</f>
        <v>INE0BUS07098</v>
      </c>
      <c r="S1132" s="9">
        <f>Table1[[#This Row],[Ask Rate]]*Table1[[#This Row],[Ask Qty]]</f>
        <v>0</v>
      </c>
      <c r="T1132">
        <f>VLOOKUP(Table1[[#This Row],[Isin code]],Table2[#All],7,FALSE)</f>
        <v>11</v>
      </c>
      <c r="U1132" s="17" t="str">
        <f>VLOOKUP(Table1[[#This Row],[Isin code]],Table2[#All],8,FALSE)</f>
        <v>24-Apr-2026</v>
      </c>
      <c r="V1132" s="10">
        <f ca="1">Table1[[#This Row],[Maturity]]-TODAY()</f>
        <v>555</v>
      </c>
      <c r="W1132" t="str">
        <f>VLOOKUP(Table1[[#This Row],[Isin code]],Table2[#All],10,FALSE)</f>
        <v>Monthly</v>
      </c>
      <c r="X1132">
        <f ca="1">_xlfn.DAYS(Table1[[#This Row],[Maturity]],TODAY())-15</f>
        <v>540</v>
      </c>
      <c r="Y11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1132">
        <f>IF(Table1[[#This Row],[Ask Rate]]=0,0,Table1[[#This Row],[Face Value]]-Table1[[#This Row],[Ask Rate]])</f>
        <v>0</v>
      </c>
      <c r="AA1132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1132">
        <f ca="1">Table1[[#This Row],[Face Value]]*Table1[[#This Row],[Rate]]*Table1[[#This Row],[Time]]</f>
        <v>165</v>
      </c>
      <c r="AC1132">
        <f ca="1">Table1[[#This Row],[SI]]+Table1[[#This Row],[Disc/Prem]]</f>
        <v>165</v>
      </c>
      <c r="AD1132" s="3" t="e">
        <f ca="1">Table1[[#This Row],[Net Gain]]/Table1[[#This Row],[Ask Rate]]</f>
        <v>#DIV/0!</v>
      </c>
      <c r="AE1132" s="3">
        <f>IF(Table1[[#This Row],[Ask Qty]]=0,0,Table1[[#This Row],[Gross Yield]]*365/Table1[[#This Row],[Days Left]])</f>
        <v>0</v>
      </c>
      <c r="AF1132" s="9">
        <f ca="1">+Table1[[#This Row],[Net Gain]]*Table1[[#This Row],[Ask Qty]]</f>
        <v>0</v>
      </c>
      <c r="AG1132" t="str">
        <f>IF(Table1[[#This Row],[YTM]]&gt;0.12,IF(Table1[[#This Row],[Gross Profit]]&gt;10000,"Invest","Review"),"Low YTM")</f>
        <v>Low YTM</v>
      </c>
    </row>
    <row r="1133" spans="1:33" x14ac:dyDescent="0.3">
      <c r="A1133" t="str">
        <f>RTD("nest.scriprtd",,"bse_cm|1050ICCL28","Symbol")</f>
        <v>1050ICCL28</v>
      </c>
      <c r="B1133" t="str">
        <f>RTD("nest.scriprtd",,"bse_cm|1050ICCL28","Trading Symbol")</f>
        <v>1050ICCL28</v>
      </c>
      <c r="C1133" t="str">
        <f>RTD("nest.scriprtd",,"bse_cm|1050ICCL28","Exchange")</f>
        <v>BSE</v>
      </c>
      <c r="D1133">
        <f>RTD("nest.scriprtd",,"bse_cm|1050ICCL28","Bid Qty")</f>
        <v>20</v>
      </c>
      <c r="E1133">
        <f>RTD("nest.scriprtd",,"bse_cm|1050ICCL28","Bid Rate")</f>
        <v>877.2</v>
      </c>
      <c r="F1133">
        <f>RTD("nest.scriprtd",,"bse_cm|1050ICCL28","Ask Rate")</f>
        <v>0</v>
      </c>
      <c r="G1133">
        <f>RTD("nest.scriprtd",,"bse_cm|1050ICCL28","Ask Qty")</f>
        <v>0</v>
      </c>
      <c r="H1133">
        <f>RTD("nest.scriprtd",,"bse_cm|1050ICCL28","LTP")</f>
        <v>0</v>
      </c>
      <c r="I1133" t="str">
        <f>RTD("nest.scriprtd",,"bse_cm|1050ICCL28","LTT")</f>
        <v>00:00:00</v>
      </c>
      <c r="J1133">
        <f>RTD("nest.scriprtd",,"bse_cm|1050ICCL28","% Change")</f>
        <v>-100</v>
      </c>
      <c r="K1133">
        <f>RTD("nest.scriprtd",,"bse_cm|1050ICCL28","ATP")</f>
        <v>0</v>
      </c>
      <c r="L1133">
        <f>RTD("nest.scriprtd",,"bse_cm|1050ICCL28","Volume Traded Today")</f>
        <v>0</v>
      </c>
      <c r="M1133">
        <f>RTD("nest.scriprtd",,"bse_cm|1050ICCL28","Open")</f>
        <v>0</v>
      </c>
      <c r="N1133">
        <f>RTD("nest.scriprtd",,"bse_cm|1050ICCL28","High")</f>
        <v>0</v>
      </c>
      <c r="O1133">
        <f>RTD("nest.scriprtd",,"bse_cm|1050ICCL28","Low ")</f>
        <v>0</v>
      </c>
      <c r="P1133">
        <f>RTD("nest.scriprtd",,"bse_cm|1050ICCL28","Prev Close")</f>
        <v>1000</v>
      </c>
      <c r="Q1133">
        <f>RTD("nest.scriprtd",,"bse_cm|1050ICCL28","Face Value")</f>
        <v>1000</v>
      </c>
      <c r="R1133" t="str">
        <f>RTD("nest.scriprtd",,"bse_cm|1050ICCL28","Isin code")</f>
        <v>INE244L07531</v>
      </c>
      <c r="S1133" s="9">
        <f>Table1[[#This Row],[Ask Rate]]*Table1[[#This Row],[Ask Qty]]</f>
        <v>0</v>
      </c>
      <c r="T1133" t="str">
        <f>VLOOKUP(Table1[[#This Row],[Isin code]],Table2[#All],7,FALSE)</f>
        <v>--</v>
      </c>
      <c r="U1133" s="17" t="str">
        <f>VLOOKUP(Table1[[#This Row],[Isin code]],Table2[#All],8,FALSE)</f>
        <v>25-Apr-2026</v>
      </c>
      <c r="V1133" s="10">
        <f ca="1">Table1[[#This Row],[Maturity]]-TODAY()</f>
        <v>556</v>
      </c>
      <c r="W1133" t="str">
        <f>VLOOKUP(Table1[[#This Row],[Isin code]],Table2[#All],10,FALSE)</f>
        <v>At the End</v>
      </c>
      <c r="X1133">
        <f ca="1">_xlfn.DAYS(Table1[[#This Row],[Maturity]],TODAY())-15</f>
        <v>541</v>
      </c>
      <c r="Y113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33">
        <f>IF(Table1[[#This Row],[Ask Rate]]=0,0,Table1[[#This Row],[Face Value]]-Table1[[#This Row],[Ask Rate]])</f>
        <v>0</v>
      </c>
      <c r="AA113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33">
        <f>Table1[[#This Row],[Face Value]]*Table1[[#This Row],[Rate]]*Table1[[#This Row],[Time]]</f>
        <v>0</v>
      </c>
      <c r="AC1133">
        <f>Table1[[#This Row],[SI]]+Table1[[#This Row],[Disc/Prem]]</f>
        <v>0</v>
      </c>
      <c r="AD1133" s="3" t="e">
        <f>Table1[[#This Row],[Net Gain]]/Table1[[#This Row],[Ask Rate]]</f>
        <v>#DIV/0!</v>
      </c>
      <c r="AE1133" s="3">
        <f>IF(Table1[[#This Row],[Ask Qty]]=0,0,Table1[[#This Row],[Gross Yield]]*365/Table1[[#This Row],[Days Left]])</f>
        <v>0</v>
      </c>
      <c r="AF1133" s="9">
        <f>+Table1[[#This Row],[Net Gain]]*Table1[[#This Row],[Ask Qty]]</f>
        <v>0</v>
      </c>
      <c r="AG1133" t="str">
        <f>IF(Table1[[#This Row],[YTM]]&gt;0.12,IF(Table1[[#This Row],[Gross Profit]]&gt;10000,"Invest","Review"),"Low YTM")</f>
        <v>Low YTM</v>
      </c>
    </row>
    <row r="1134" spans="1:33" x14ac:dyDescent="0.3">
      <c r="A1134" t="str">
        <f>RTD("nest.scriprtd",,"bse_cm|888SCL25","Symbol")</f>
        <v>888SCL25</v>
      </c>
      <c r="B1134" t="str">
        <f>RTD("nest.scriprtd",,"bse_cm|888SCL25","Trading Symbol")</f>
        <v>888SCL25</v>
      </c>
      <c r="C1134" t="str">
        <f>RTD("nest.scriprtd",,"bse_cm|888SCL25","Exchange")</f>
        <v>BSE</v>
      </c>
      <c r="D1134">
        <f>RTD("nest.scriprtd",,"bse_cm|888SCL25","Bid Qty")</f>
        <v>6</v>
      </c>
      <c r="E1134">
        <f>RTD("nest.scriprtd",,"bse_cm|888SCL25","Bid Rate")</f>
        <v>820.2</v>
      </c>
      <c r="F1134">
        <f>RTD("nest.scriprtd",,"bse_cm|888SCL25","Ask Rate")</f>
        <v>0</v>
      </c>
      <c r="G1134">
        <f>RTD("nest.scriprtd",,"bse_cm|888SCL25","Ask Qty")</f>
        <v>0</v>
      </c>
      <c r="H1134">
        <f>RTD("nest.scriprtd",,"bse_cm|888SCL25","LTP")</f>
        <v>0</v>
      </c>
      <c r="I1134" t="str">
        <f>RTD("nest.scriprtd",,"bse_cm|888SCL25","LTT")</f>
        <v>00:00:00</v>
      </c>
      <c r="J1134">
        <f>RTD("nest.scriprtd",,"bse_cm|888SCL25","% Change")</f>
        <v>-100</v>
      </c>
      <c r="K1134">
        <f>RTD("nest.scriprtd",,"bse_cm|888SCL25","ATP")</f>
        <v>0</v>
      </c>
      <c r="L1134">
        <f>RTD("nest.scriprtd",,"bse_cm|888SCL25","Volume Traded Today")</f>
        <v>0</v>
      </c>
      <c r="M1134">
        <f>RTD("nest.scriprtd",,"bse_cm|888SCL25","Open")</f>
        <v>0</v>
      </c>
      <c r="N1134">
        <f>RTD("nest.scriprtd",,"bse_cm|888SCL25","High")</f>
        <v>0</v>
      </c>
      <c r="O1134">
        <f>RTD("nest.scriprtd",,"bse_cm|888SCL25","Low ")</f>
        <v>0</v>
      </c>
      <c r="P1134">
        <f>RTD("nest.scriprtd",,"bse_cm|888SCL25","Prev Close")</f>
        <v>1000</v>
      </c>
      <c r="Q1134">
        <f>RTD("nest.scriprtd",,"bse_cm|888SCL25","Face Value")</f>
        <v>1000</v>
      </c>
      <c r="R1134" t="str">
        <f>RTD("nest.scriprtd",,"bse_cm|888SCL25","Isin code")</f>
        <v>INE148I07QF4</v>
      </c>
      <c r="S1134" s="9">
        <f>Table1[[#This Row],[Ask Rate]]*Table1[[#This Row],[Ask Qty]]</f>
        <v>0</v>
      </c>
      <c r="T1134">
        <f>VLOOKUP(Table1[[#This Row],[Isin code]],Table2[#All],7,FALSE)</f>
        <v>8.8800000000000008</v>
      </c>
      <c r="U1134" s="17" t="str">
        <f>VLOOKUP(Table1[[#This Row],[Isin code]],Table2[#All],8,FALSE)</f>
        <v>09-Nov-2025</v>
      </c>
      <c r="V1134" s="10">
        <f ca="1">Table1[[#This Row],[Maturity]]-TODAY()</f>
        <v>389</v>
      </c>
      <c r="W1134" t="str">
        <f>VLOOKUP(Table1[[#This Row],[Isin code]],Table2[#All],10,FALSE)</f>
        <v>Monthly</v>
      </c>
      <c r="X1134">
        <f ca="1">_xlfn.DAYS(Table1[[#This Row],[Maturity]],TODAY())-15</f>
        <v>374</v>
      </c>
      <c r="Y11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1134">
        <f>IF(Table1[[#This Row],[Ask Rate]]=0,0,Table1[[#This Row],[Face Value]]-Table1[[#This Row],[Ask Rate]])</f>
        <v>0</v>
      </c>
      <c r="AA1134">
        <f>IF(Table1[[#This Row],[Freq]]="Yearly",Table1[[#This Row],[Coupon_Rate]]/100,IF(Table1[[#This Row],[Freq]]="Monthly",Table1[[#This Row],[Coupon_Rate]]/1200,IF(Table1[[#This Row],[Freq]]="Quarterly",Table1[[#This Row],[Coupon_Rate]]/400,0)))</f>
        <v>7.4000000000000003E-3</v>
      </c>
      <c r="AB1134">
        <f ca="1">Table1[[#This Row],[Face Value]]*Table1[[#This Row],[Rate]]*Table1[[#This Row],[Time]]</f>
        <v>96.2</v>
      </c>
      <c r="AC1134">
        <f ca="1">Table1[[#This Row],[SI]]+Table1[[#This Row],[Disc/Prem]]</f>
        <v>96.2</v>
      </c>
      <c r="AD1134" s="3" t="e">
        <f ca="1">Table1[[#This Row],[Net Gain]]/Table1[[#This Row],[Ask Rate]]</f>
        <v>#DIV/0!</v>
      </c>
      <c r="AE1134" s="3">
        <f>IF(Table1[[#This Row],[Ask Qty]]=0,0,Table1[[#This Row],[Gross Yield]]*365/Table1[[#This Row],[Days Left]])</f>
        <v>0</v>
      </c>
      <c r="AF1134" s="9">
        <f ca="1">+Table1[[#This Row],[Net Gain]]*Table1[[#This Row],[Ask Qty]]</f>
        <v>0</v>
      </c>
      <c r="AG1134" t="str">
        <f>IF(Table1[[#This Row],[YTM]]&gt;0.12,IF(Table1[[#This Row],[Gross Profit]]&gt;10000,"Invest","Review"),"Low YTM")</f>
        <v>Low YTM</v>
      </c>
    </row>
    <row r="1135" spans="1:33" x14ac:dyDescent="0.3">
      <c r="A1135" t="str">
        <f>RTD("nest.scriprtd",,"bse_cm|9SCL26B","Symbol")</f>
        <v>9SCL26B</v>
      </c>
      <c r="B1135" t="str">
        <f>RTD("nest.scriprtd",,"bse_cm|9SCL26B","Trading Symbol")</f>
        <v>9SCL26B</v>
      </c>
      <c r="C1135" t="str">
        <f>RTD("nest.scriprtd",,"bse_cm|9SCL26B","Exchange")</f>
        <v>BSE</v>
      </c>
      <c r="D1135">
        <f>RTD("nest.scriprtd",,"bse_cm|9SCL26B","Bid Qty")</f>
        <v>12</v>
      </c>
      <c r="E1135">
        <f>RTD("nest.scriprtd",,"bse_cm|9SCL26B","Bid Rate")</f>
        <v>832.4</v>
      </c>
      <c r="F1135">
        <f>RTD("nest.scriprtd",,"bse_cm|9SCL26B","Ask Rate")</f>
        <v>0</v>
      </c>
      <c r="G1135">
        <f>RTD("nest.scriprtd",,"bse_cm|9SCL26B","Ask Qty")</f>
        <v>0</v>
      </c>
      <c r="H1135">
        <f>RTD("nest.scriprtd",,"bse_cm|9SCL26B","LTP")</f>
        <v>0</v>
      </c>
      <c r="I1135" t="str">
        <f>RTD("nest.scriprtd",,"bse_cm|9SCL26B","LTT")</f>
        <v>00:00:00</v>
      </c>
      <c r="J1135">
        <f>RTD("nest.scriprtd",,"bse_cm|9SCL26B","% Change")</f>
        <v>-100</v>
      </c>
      <c r="K1135">
        <f>RTD("nest.scriprtd",,"bse_cm|9SCL26B","ATP")</f>
        <v>0</v>
      </c>
      <c r="L1135">
        <f>RTD("nest.scriprtd",,"bse_cm|9SCL26B","Volume Traded Today")</f>
        <v>0</v>
      </c>
      <c r="M1135">
        <f>RTD("nest.scriprtd",,"bse_cm|9SCL26B","Open")</f>
        <v>0</v>
      </c>
      <c r="N1135">
        <f>RTD("nest.scriprtd",,"bse_cm|9SCL26B","High")</f>
        <v>0</v>
      </c>
      <c r="O1135">
        <f>RTD("nest.scriprtd",,"bse_cm|9SCL26B","Low ")</f>
        <v>0</v>
      </c>
      <c r="P1135">
        <f>RTD("nest.scriprtd",,"bse_cm|9SCL26B","Prev Close")</f>
        <v>1038</v>
      </c>
      <c r="Q1135">
        <f>RTD("nest.scriprtd",,"bse_cm|9SCL26B","Face Value")</f>
        <v>1000</v>
      </c>
      <c r="R1135" t="str">
        <f>RTD("nest.scriprtd",,"bse_cm|9SCL26B","Isin code")</f>
        <v>INE148I08249</v>
      </c>
      <c r="S1135" s="9">
        <f>Table1[[#This Row],[Ask Rate]]*Table1[[#This Row],[Ask Qty]]</f>
        <v>0</v>
      </c>
      <c r="T1135">
        <f>VLOOKUP(Table1[[#This Row],[Isin code]],Table2[#All],7,FALSE)</f>
        <v>9</v>
      </c>
      <c r="U1135" s="17" t="str">
        <f>VLOOKUP(Table1[[#This Row],[Isin code]],Table2[#All],8,FALSE)</f>
        <v>26-Sep-2026</v>
      </c>
      <c r="V1135" s="10">
        <f ca="1">Table1[[#This Row],[Maturity]]-TODAY()</f>
        <v>710</v>
      </c>
      <c r="W1135" t="str">
        <f>VLOOKUP(Table1[[#This Row],[Isin code]],Table2[#All],10,FALSE)</f>
        <v>Yearly</v>
      </c>
      <c r="X1135">
        <f ca="1">_xlfn.DAYS(Table1[[#This Row],[Maturity]],TODAY())-15</f>
        <v>695</v>
      </c>
      <c r="Y113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135">
        <f>IF(Table1[[#This Row],[Ask Rate]]=0,0,Table1[[#This Row],[Face Value]]-Table1[[#This Row],[Ask Rate]])</f>
        <v>0</v>
      </c>
      <c r="AA1135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1135">
        <f ca="1">Table1[[#This Row],[Face Value]]*Table1[[#This Row],[Rate]]*Table1[[#This Row],[Time]]</f>
        <v>180</v>
      </c>
      <c r="AC1135">
        <f ca="1">Table1[[#This Row],[SI]]+Table1[[#This Row],[Disc/Prem]]</f>
        <v>180</v>
      </c>
      <c r="AD1135" s="3" t="e">
        <f ca="1">Table1[[#This Row],[Net Gain]]/Table1[[#This Row],[Ask Rate]]</f>
        <v>#DIV/0!</v>
      </c>
      <c r="AE1135" s="3">
        <f>IF(Table1[[#This Row],[Ask Qty]]=0,0,Table1[[#This Row],[Gross Yield]]*365/Table1[[#This Row],[Days Left]])</f>
        <v>0</v>
      </c>
      <c r="AF1135" s="9">
        <f ca="1">+Table1[[#This Row],[Net Gain]]*Table1[[#This Row],[Ask Qty]]</f>
        <v>0</v>
      </c>
      <c r="AG1135" t="str">
        <f>IF(Table1[[#This Row],[YTM]]&gt;0.12,IF(Table1[[#This Row],[Gross Profit]]&gt;10000,"Invest","Review"),"Low YTM")</f>
        <v>Low YTM</v>
      </c>
    </row>
    <row r="1136" spans="1:33" x14ac:dyDescent="0.3">
      <c r="A1136" t="str">
        <f>RTD("nest.scriprtd",,"bse_cm|965SCL28A","Symbol")</f>
        <v>965SCL28A</v>
      </c>
      <c r="B1136" t="str">
        <f>RTD("nest.scriprtd",,"bse_cm|965SCL28A","Trading Symbol")</f>
        <v>965SCL28A</v>
      </c>
      <c r="C1136" t="str">
        <f>RTD("nest.scriprtd",,"bse_cm|965SCL28A","Exchange")</f>
        <v>BSE</v>
      </c>
      <c r="D1136">
        <f>RTD("nest.scriprtd",,"bse_cm|965SCL28A","Bid Qty")</f>
        <v>20</v>
      </c>
      <c r="E1136">
        <f>RTD("nest.scriprtd",,"bse_cm|965SCL28A","Bid Rate")</f>
        <v>826.1</v>
      </c>
      <c r="F1136">
        <f>RTD("nest.scriprtd",,"bse_cm|965SCL28A","Ask Rate")</f>
        <v>0</v>
      </c>
      <c r="G1136">
        <f>RTD("nest.scriprtd",,"bse_cm|965SCL28A","Ask Qty")</f>
        <v>0</v>
      </c>
      <c r="H1136">
        <f>RTD("nest.scriprtd",,"bse_cm|965SCL28A","LTP")</f>
        <v>0</v>
      </c>
      <c r="I1136" t="str">
        <f>RTD("nest.scriprtd",,"bse_cm|965SCL28A","LTT")</f>
        <v>00:00:00</v>
      </c>
      <c r="J1136">
        <f>RTD("nest.scriprtd",,"bse_cm|965SCL28A","% Change")</f>
        <v>-100</v>
      </c>
      <c r="K1136">
        <f>RTD("nest.scriprtd",,"bse_cm|965SCL28A","ATP")</f>
        <v>0</v>
      </c>
      <c r="L1136">
        <f>RTD("nest.scriprtd",,"bse_cm|965SCL28A","Volume Traded Today")</f>
        <v>0</v>
      </c>
      <c r="M1136">
        <f>RTD("nest.scriprtd",,"bse_cm|965SCL28A","Open")</f>
        <v>0</v>
      </c>
      <c r="N1136">
        <f>RTD("nest.scriprtd",,"bse_cm|965SCL28A","High")</f>
        <v>0</v>
      </c>
      <c r="O1136">
        <f>RTD("nest.scriprtd",,"bse_cm|965SCL28A","Low ")</f>
        <v>0</v>
      </c>
      <c r="P1136">
        <f>RTD("nest.scriprtd",,"bse_cm|965SCL28A","Prev Close")</f>
        <v>1000</v>
      </c>
      <c r="Q1136">
        <f>RTD("nest.scriprtd",,"bse_cm|965SCL28A","Face Value")</f>
        <v>1000</v>
      </c>
      <c r="R1136" t="str">
        <f>RTD("nest.scriprtd",,"bse_cm|965SCL28A","Isin code")</f>
        <v>INE148I07QQ1</v>
      </c>
      <c r="S1136" s="9">
        <f>Table1[[#This Row],[Ask Rate]]*Table1[[#This Row],[Ask Qty]]</f>
        <v>0</v>
      </c>
      <c r="T1136">
        <f>VLOOKUP(Table1[[#This Row],[Isin code]],Table2[#All],7,FALSE)</f>
        <v>9.65</v>
      </c>
      <c r="U1136" s="17" t="str">
        <f>VLOOKUP(Table1[[#This Row],[Isin code]],Table2[#All],8,FALSE)</f>
        <v>09-Nov-2028</v>
      </c>
      <c r="V1136" s="10">
        <f ca="1">Table1[[#This Row],[Maturity]]-TODAY()</f>
        <v>1485</v>
      </c>
      <c r="W1136" t="str">
        <f>VLOOKUP(Table1[[#This Row],[Isin code]],Table2[#All],10,FALSE)</f>
        <v>Yearly</v>
      </c>
      <c r="X1136">
        <f ca="1">_xlfn.DAYS(Table1[[#This Row],[Maturity]],TODAY())-15</f>
        <v>1470</v>
      </c>
      <c r="Y11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136">
        <f>IF(Table1[[#This Row],[Ask Rate]]=0,0,Table1[[#This Row],[Face Value]]-Table1[[#This Row],[Ask Rate]])</f>
        <v>0</v>
      </c>
      <c r="AA1136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136">
        <f ca="1">Table1[[#This Row],[Face Value]]*Table1[[#This Row],[Rate]]*Table1[[#This Row],[Time]]</f>
        <v>482.5</v>
      </c>
      <c r="AC1136">
        <f ca="1">Table1[[#This Row],[SI]]+Table1[[#This Row],[Disc/Prem]]</f>
        <v>482.5</v>
      </c>
      <c r="AD1136" s="3" t="e">
        <f ca="1">Table1[[#This Row],[Net Gain]]/Table1[[#This Row],[Ask Rate]]</f>
        <v>#DIV/0!</v>
      </c>
      <c r="AE1136" s="3">
        <f>IF(Table1[[#This Row],[Ask Qty]]=0,0,Table1[[#This Row],[Gross Yield]]*365/Table1[[#This Row],[Days Left]])</f>
        <v>0</v>
      </c>
      <c r="AF1136" s="9">
        <f ca="1">+Table1[[#This Row],[Net Gain]]*Table1[[#This Row],[Ask Qty]]</f>
        <v>0</v>
      </c>
      <c r="AG1136" t="str">
        <f>IF(Table1[[#This Row],[YTM]]&gt;0.12,IF(Table1[[#This Row],[Gross Profit]]&gt;10000,"Invest","Review"),"Low YTM")</f>
        <v>Low YTM</v>
      </c>
    </row>
    <row r="1137" spans="1:33" x14ac:dyDescent="0.3">
      <c r="A1137" t="str">
        <f>RTD("nest.scriprtd",,"nse_cm|965SCL28-AK","Symbol")</f>
        <v>965SCL28</v>
      </c>
      <c r="B1137" t="str">
        <f>RTD("nest.scriprtd",,"nse_cm|965SCL28-AK","Trading Symbol")</f>
        <v>965SCL28-AK</v>
      </c>
      <c r="C1137" t="str">
        <f>RTD("nest.scriprtd",,"nse_cm|965SCL28-AK","Exchange")</f>
        <v>NSE</v>
      </c>
      <c r="D1137">
        <f>RTD("nest.scriprtd",,"nse_cm|965SCL28-AK","Bid Qty")</f>
        <v>0</v>
      </c>
      <c r="E1137">
        <f>RTD("nest.scriprtd",,"nse_cm|965SCL28-AK","Bid Rate")</f>
        <v>0</v>
      </c>
      <c r="F1137">
        <f>RTD("nest.scriprtd",,"nse_cm|965SCL28-AK","Ask Rate")</f>
        <v>0</v>
      </c>
      <c r="G1137">
        <f>RTD("nest.scriprtd",,"nse_cm|965SCL28-AK","Ask Qty")</f>
        <v>0</v>
      </c>
      <c r="H1137">
        <f>RTD("nest.scriprtd",,"nse_cm|965SCL28-AK","LTP")</f>
        <v>0</v>
      </c>
      <c r="I1137" t="str">
        <f>RTD("nest.scriprtd",,"nse_cm|965SCL28-AK","LTT")</f>
        <v/>
      </c>
      <c r="J1137">
        <f>RTD("nest.scriprtd",,"nse_cm|965SCL28-AK","% Change")</f>
        <v>-100</v>
      </c>
      <c r="K1137">
        <f>RTD("nest.scriprtd",,"nse_cm|965SCL28-AK","ATP")</f>
        <v>0</v>
      </c>
      <c r="L1137">
        <f>RTD("nest.scriprtd",,"nse_cm|965SCL28-AK","Volume Traded Today")</f>
        <v>0</v>
      </c>
      <c r="M1137">
        <f>RTD("nest.scriprtd",,"nse_cm|965SCL28-AK","Open")</f>
        <v>0</v>
      </c>
      <c r="N1137">
        <f>RTD("nest.scriprtd",,"nse_cm|965SCL28-AK","High")</f>
        <v>0</v>
      </c>
      <c r="O1137">
        <f>RTD("nest.scriprtd",,"nse_cm|965SCL28-AK","Low ")</f>
        <v>0</v>
      </c>
      <c r="P1137">
        <f>RTD("nest.scriprtd",,"nse_cm|965SCL28-AK","Prev Close")</f>
        <v>1000</v>
      </c>
      <c r="Q1137">
        <f>RTD("nest.scriprtd",,"nse_cm|965SCL28-AK","Face Value")</f>
        <v>800</v>
      </c>
      <c r="R1137" t="str">
        <f>RTD("nest.scriprtd",,"nse_cm|965SCL28-AK","Isin code")</f>
        <v>INE148I07NW6</v>
      </c>
      <c r="S1137" s="9">
        <f>Table1[[#This Row],[Ask Rate]]*Table1[[#This Row],[Ask Qty]]</f>
        <v>0</v>
      </c>
      <c r="T1137">
        <f>VLOOKUP(Table1[[#This Row],[Isin code]],Table2[#All],7,FALSE)</f>
        <v>9.65</v>
      </c>
      <c r="U1137" s="17" t="str">
        <f>VLOOKUP(Table1[[#This Row],[Isin code]],Table2[#All],8,FALSE)</f>
        <v>23-Mar-2028</v>
      </c>
      <c r="V1137" s="10">
        <f ca="1">Table1[[#This Row],[Maturity]]-TODAY()</f>
        <v>1254</v>
      </c>
      <c r="W1137" t="str">
        <f>VLOOKUP(Table1[[#This Row],[Isin code]],Table2[#All],10,FALSE)</f>
        <v>Yearly</v>
      </c>
      <c r="X1137">
        <f ca="1">_xlfn.DAYS(Table1[[#This Row],[Maturity]],TODAY())-15</f>
        <v>1239</v>
      </c>
      <c r="Y11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37">
        <f>IF(Table1[[#This Row],[Ask Rate]]=0,0,Table1[[#This Row],[Face Value]]-Table1[[#This Row],[Ask Rate]])</f>
        <v>0</v>
      </c>
      <c r="AA1137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137">
        <f ca="1">Table1[[#This Row],[Face Value]]*Table1[[#This Row],[Rate]]*Table1[[#This Row],[Time]]</f>
        <v>308.8</v>
      </c>
      <c r="AC1137">
        <f ca="1">Table1[[#This Row],[SI]]+Table1[[#This Row],[Disc/Prem]]</f>
        <v>308.8</v>
      </c>
      <c r="AD1137" s="3" t="e">
        <f ca="1">Table1[[#This Row],[Net Gain]]/Table1[[#This Row],[Ask Rate]]</f>
        <v>#DIV/0!</v>
      </c>
      <c r="AE1137" s="3">
        <f>IF(Table1[[#This Row],[Ask Qty]]=0,0,Table1[[#This Row],[Gross Yield]]*365/Table1[[#This Row],[Days Left]])</f>
        <v>0</v>
      </c>
      <c r="AF1137" s="9">
        <f ca="1">+Table1[[#This Row],[Net Gain]]*Table1[[#This Row],[Ask Qty]]</f>
        <v>0</v>
      </c>
      <c r="AG1137" t="str">
        <f>IF(Table1[[#This Row],[YTM]]&gt;0.12,IF(Table1[[#This Row],[Gross Profit]]&gt;10000,"Invest","Review"),"Low YTM")</f>
        <v>Low YTM</v>
      </c>
    </row>
    <row r="1138" spans="1:33" x14ac:dyDescent="0.3">
      <c r="A1138" t="str">
        <f>RTD("nest.scriprtd",,"bse_cm|965SCL28","Symbol")</f>
        <v>965SCL28</v>
      </c>
      <c r="B1138" t="str">
        <f>RTD("nest.scriprtd",,"bse_cm|965SCL28","Trading Symbol")</f>
        <v>965SCL28</v>
      </c>
      <c r="C1138" t="str">
        <f>RTD("nest.scriprtd",,"bse_cm|965SCL28","Exchange")</f>
        <v>BSE</v>
      </c>
      <c r="D1138">
        <f>RTD("nest.scriprtd",,"bse_cm|965SCL28","Bid Qty")</f>
        <v>10</v>
      </c>
      <c r="E1138">
        <f>RTD("nest.scriprtd",,"bse_cm|965SCL28","Bid Rate")</f>
        <v>652.79999999999995</v>
      </c>
      <c r="F1138">
        <f>RTD("nest.scriprtd",,"bse_cm|965SCL28","Ask Rate")</f>
        <v>0</v>
      </c>
      <c r="G1138">
        <f>RTD("nest.scriprtd",,"bse_cm|965SCL28","Ask Qty")</f>
        <v>0</v>
      </c>
      <c r="H1138">
        <f>RTD("nest.scriprtd",,"bse_cm|965SCL28","LTP")</f>
        <v>0</v>
      </c>
      <c r="I1138" t="str">
        <f>RTD("nest.scriprtd",,"bse_cm|965SCL28","LTT")</f>
        <v>00:00:00</v>
      </c>
      <c r="J1138">
        <f>RTD("nest.scriprtd",,"bse_cm|965SCL28","% Change")</f>
        <v>-100</v>
      </c>
      <c r="K1138">
        <f>RTD("nest.scriprtd",,"bse_cm|965SCL28","ATP")</f>
        <v>0</v>
      </c>
      <c r="L1138">
        <f>RTD("nest.scriprtd",,"bse_cm|965SCL28","Volume Traded Today")</f>
        <v>0</v>
      </c>
      <c r="M1138">
        <f>RTD("nest.scriprtd",,"bse_cm|965SCL28","Open")</f>
        <v>0</v>
      </c>
      <c r="N1138">
        <f>RTD("nest.scriprtd",,"bse_cm|965SCL28","High")</f>
        <v>807.5</v>
      </c>
      <c r="O1138">
        <f>RTD("nest.scriprtd",,"bse_cm|965SCL28","Low ")</f>
        <v>807.5</v>
      </c>
      <c r="P1138">
        <f>RTD("nest.scriprtd",,"bse_cm|965SCL28","Prev Close")</f>
        <v>807.5</v>
      </c>
      <c r="Q1138">
        <f>RTD("nest.scriprtd",,"bse_cm|965SCL28","Face Value")</f>
        <v>800</v>
      </c>
      <c r="R1138" t="str">
        <f>RTD("nest.scriprtd",,"bse_cm|965SCL28","Isin code")</f>
        <v>INE148I07NW6</v>
      </c>
      <c r="S1138" s="9">
        <f>Table1[[#This Row],[Ask Rate]]*Table1[[#This Row],[Ask Qty]]</f>
        <v>0</v>
      </c>
      <c r="T1138">
        <f>VLOOKUP(Table1[[#This Row],[Isin code]],Table2[#All],7,FALSE)</f>
        <v>9.65</v>
      </c>
      <c r="U1138" s="17" t="str">
        <f>VLOOKUP(Table1[[#This Row],[Isin code]],Table2[#All],8,FALSE)</f>
        <v>23-Mar-2028</v>
      </c>
      <c r="V1138" s="10">
        <f ca="1">Table1[[#This Row],[Maturity]]-TODAY()</f>
        <v>1254</v>
      </c>
      <c r="W1138" t="str">
        <f>VLOOKUP(Table1[[#This Row],[Isin code]],Table2[#All],10,FALSE)</f>
        <v>Yearly</v>
      </c>
      <c r="X1138">
        <f ca="1">_xlfn.DAYS(Table1[[#This Row],[Maturity]],TODAY())-15</f>
        <v>1239</v>
      </c>
      <c r="Y11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38">
        <f>IF(Table1[[#This Row],[Ask Rate]]=0,0,Table1[[#This Row],[Face Value]]-Table1[[#This Row],[Ask Rate]])</f>
        <v>0</v>
      </c>
      <c r="AA1138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138">
        <f ca="1">Table1[[#This Row],[Face Value]]*Table1[[#This Row],[Rate]]*Table1[[#This Row],[Time]]</f>
        <v>308.8</v>
      </c>
      <c r="AC1138">
        <f ca="1">Table1[[#This Row],[SI]]+Table1[[#This Row],[Disc/Prem]]</f>
        <v>308.8</v>
      </c>
      <c r="AD1138" s="3" t="e">
        <f ca="1">Table1[[#This Row],[Net Gain]]/Table1[[#This Row],[Ask Rate]]</f>
        <v>#DIV/0!</v>
      </c>
      <c r="AE1138" s="3">
        <f>IF(Table1[[#This Row],[Ask Qty]]=0,0,Table1[[#This Row],[Gross Yield]]*365/Table1[[#This Row],[Days Left]])</f>
        <v>0</v>
      </c>
      <c r="AF1138" s="9">
        <f ca="1">+Table1[[#This Row],[Net Gain]]*Table1[[#This Row],[Ask Qty]]</f>
        <v>0</v>
      </c>
      <c r="AG1138" t="str">
        <f>IF(Table1[[#This Row],[YTM]]&gt;0.12,IF(Table1[[#This Row],[Gross Profit]]&gt;10000,"Invest","Review"),"Low YTM")</f>
        <v>Low YTM</v>
      </c>
    </row>
    <row r="1139" spans="1:33" x14ac:dyDescent="0.3">
      <c r="A1139" t="str">
        <f>RTD("nest.scriprtd",,"bse_cm|10EFSL27","Symbol")</f>
        <v>10EFSL27</v>
      </c>
      <c r="B1139" t="str">
        <f>RTD("nest.scriprtd",,"bse_cm|10EFSL27","Trading Symbol")</f>
        <v>10EFSL27</v>
      </c>
      <c r="C1139" t="str">
        <f>RTD("nest.scriprtd",,"bse_cm|10EFSL27","Exchange")</f>
        <v>BSE</v>
      </c>
      <c r="D1139">
        <f>RTD("nest.scriprtd",,"bse_cm|10EFSL27","Bid Qty")</f>
        <v>25</v>
      </c>
      <c r="E1139">
        <f>RTD("nest.scriprtd",,"bse_cm|10EFSL27","Bid Rate")</f>
        <v>955</v>
      </c>
      <c r="F1139">
        <f>RTD("nest.scriprtd",,"bse_cm|10EFSL27","Ask Rate")</f>
        <v>0</v>
      </c>
      <c r="G1139">
        <f>RTD("nest.scriprtd",,"bse_cm|10EFSL27","Ask Qty")</f>
        <v>0</v>
      </c>
      <c r="H1139">
        <f>RTD("nest.scriprtd",,"bse_cm|10EFSL27","LTP")</f>
        <v>0</v>
      </c>
      <c r="I1139" t="str">
        <f>RTD("nest.scriprtd",,"bse_cm|10EFSL27","LTT")</f>
        <v>00:00:00</v>
      </c>
      <c r="J1139">
        <f>RTD("nest.scriprtd",,"bse_cm|10EFSL27","% Change")</f>
        <v>-100</v>
      </c>
      <c r="K1139">
        <f>RTD("nest.scriprtd",,"bse_cm|10EFSL27","ATP")</f>
        <v>0</v>
      </c>
      <c r="L1139">
        <f>RTD("nest.scriprtd",,"bse_cm|10EFSL27","Volume Traded Today")</f>
        <v>0</v>
      </c>
      <c r="M1139">
        <f>RTD("nest.scriprtd",,"bse_cm|10EFSL27","Open")</f>
        <v>0</v>
      </c>
      <c r="N1139">
        <f>RTD("nest.scriprtd",,"bse_cm|10EFSL27","High")</f>
        <v>1000</v>
      </c>
      <c r="O1139">
        <f>RTD("nest.scriprtd",,"bse_cm|10EFSL27","Low ")</f>
        <v>917</v>
      </c>
      <c r="P1139">
        <f>RTD("nest.scriprtd",,"bse_cm|10EFSL27","Prev Close")</f>
        <v>917</v>
      </c>
      <c r="Q1139">
        <f>RTD("nest.scriprtd",,"bse_cm|10EFSL27","Face Value")</f>
        <v>1000</v>
      </c>
      <c r="R1139" t="str">
        <f>RTD("nest.scriprtd",,"bse_cm|10EFSL27","Isin code")</f>
        <v>INE532F07FS1</v>
      </c>
      <c r="S1139" s="9">
        <f>Table1[[#This Row],[Ask Rate]]*Table1[[#This Row],[Ask Qty]]</f>
        <v>0</v>
      </c>
      <c r="T1139">
        <f>VLOOKUP(Table1[[#This Row],[Isin code]],Table2[#All],7,FALSE)</f>
        <v>10</v>
      </c>
      <c r="U1139" s="17" t="str">
        <f>VLOOKUP(Table1[[#This Row],[Isin code]],Table2[#All],8,FALSE)</f>
        <v>26-Jul-2027</v>
      </c>
      <c r="V1139" s="10">
        <f ca="1">Table1[[#This Row],[Maturity]]-TODAY()</f>
        <v>1013</v>
      </c>
      <c r="W1139" t="str">
        <f>VLOOKUP(Table1[[#This Row],[Isin code]],Table2[#All],10,FALSE)</f>
        <v>--</v>
      </c>
      <c r="X1139">
        <f ca="1">_xlfn.DAYS(Table1[[#This Row],[Maturity]],TODAY())-15</f>
        <v>998</v>
      </c>
      <c r="Y113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39">
        <f>IF(Table1[[#This Row],[Ask Rate]]=0,0,Table1[[#This Row],[Face Value]]-Table1[[#This Row],[Ask Rate]])</f>
        <v>0</v>
      </c>
      <c r="AA113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39">
        <f>Table1[[#This Row],[Face Value]]*Table1[[#This Row],[Rate]]*Table1[[#This Row],[Time]]</f>
        <v>0</v>
      </c>
      <c r="AC1139">
        <f>Table1[[#This Row],[SI]]+Table1[[#This Row],[Disc/Prem]]</f>
        <v>0</v>
      </c>
      <c r="AD1139" s="3" t="e">
        <f>Table1[[#This Row],[Net Gain]]/Table1[[#This Row],[Ask Rate]]</f>
        <v>#DIV/0!</v>
      </c>
      <c r="AE1139" s="3">
        <f>IF(Table1[[#This Row],[Ask Qty]]=0,0,Table1[[#This Row],[Gross Yield]]*365/Table1[[#This Row],[Days Left]])</f>
        <v>0</v>
      </c>
      <c r="AF1139" s="9">
        <f>+Table1[[#This Row],[Net Gain]]*Table1[[#This Row],[Ask Qty]]</f>
        <v>0</v>
      </c>
      <c r="AG1139" t="str">
        <f>IF(Table1[[#This Row],[YTM]]&gt;0.12,IF(Table1[[#This Row],[Gross Profit]]&gt;10000,"Invest","Review"),"Low YTM")</f>
        <v>Low YTM</v>
      </c>
    </row>
    <row r="1140" spans="1:33" x14ac:dyDescent="0.3">
      <c r="A1140" t="str">
        <f>RTD("nest.scriprtd",,"bse_cm|1119NFL27","Symbol")</f>
        <v>1119NFL27</v>
      </c>
      <c r="B1140" t="str">
        <f>RTD("nest.scriprtd",,"bse_cm|1119NFL27","Trading Symbol")</f>
        <v>1119NFL27</v>
      </c>
      <c r="C1140" t="str">
        <f>RTD("nest.scriprtd",,"bse_cm|1119NFL27","Exchange")</f>
        <v>BSE</v>
      </c>
      <c r="D1140">
        <f>RTD("nest.scriprtd",,"bse_cm|1119NFL27","Bid Qty")</f>
        <v>1</v>
      </c>
      <c r="E1140">
        <f>RTD("nest.scriprtd",,"bse_cm|1119NFL27","Bid Rate")</f>
        <v>975</v>
      </c>
      <c r="F1140">
        <f>RTD("nest.scriprtd",,"bse_cm|1119NFL27","Ask Rate")</f>
        <v>0</v>
      </c>
      <c r="G1140">
        <f>RTD("nest.scriprtd",,"bse_cm|1119NFL27","Ask Qty")</f>
        <v>0</v>
      </c>
      <c r="H1140">
        <f>RTD("nest.scriprtd",,"bse_cm|1119NFL27","LTP")</f>
        <v>0</v>
      </c>
      <c r="I1140" t="str">
        <f>RTD("nest.scriprtd",,"bse_cm|1119NFL27","LTT")</f>
        <v>00:00:00</v>
      </c>
      <c r="J1140">
        <f>RTD("nest.scriprtd",,"bse_cm|1119NFL27","% Change")</f>
        <v>-100</v>
      </c>
      <c r="K1140">
        <f>RTD("nest.scriprtd",,"bse_cm|1119NFL27","ATP")</f>
        <v>0</v>
      </c>
      <c r="L1140">
        <f>RTD("nest.scriprtd",,"bse_cm|1119NFL27","Volume Traded Today")</f>
        <v>0</v>
      </c>
      <c r="M1140">
        <f>RTD("nest.scriprtd",,"bse_cm|1119NFL27","Open")</f>
        <v>0</v>
      </c>
      <c r="N1140">
        <f>RTD("nest.scriprtd",,"bse_cm|1119NFL27","High")</f>
        <v>1010</v>
      </c>
      <c r="O1140">
        <f>RTD("nest.scriprtd",,"bse_cm|1119NFL27","Low ")</f>
        <v>1010</v>
      </c>
      <c r="P1140">
        <f>RTD("nest.scriprtd",,"bse_cm|1119NFL27","Prev Close")</f>
        <v>1010</v>
      </c>
      <c r="Q1140">
        <f>RTD("nest.scriprtd",,"bse_cm|1119NFL27","Face Value")</f>
        <v>1000</v>
      </c>
      <c r="R1140" t="str">
        <f>RTD("nest.scriprtd",,"bse_cm|1119NFL27","Isin code")</f>
        <v>INE342T07445</v>
      </c>
      <c r="S1140" s="9">
        <f>Table1[[#This Row],[Ask Rate]]*Table1[[#This Row],[Ask Qty]]</f>
        <v>0</v>
      </c>
      <c r="T1140">
        <f>VLOOKUP(Table1[[#This Row],[Isin code]],Table2[#All],7,FALSE)</f>
        <v>11.19</v>
      </c>
      <c r="U1140" s="17" t="str">
        <f>VLOOKUP(Table1[[#This Row],[Isin code]],Table2[#All],8,FALSE)</f>
        <v>13-Mar-2027</v>
      </c>
      <c r="V1140" s="10">
        <f ca="1">Table1[[#This Row],[Maturity]]-TODAY()</f>
        <v>878</v>
      </c>
      <c r="W1140" t="str">
        <f>VLOOKUP(Table1[[#This Row],[Isin code]],Table2[#All],10,FALSE)</f>
        <v>Yearly</v>
      </c>
      <c r="X1140">
        <f ca="1">_xlfn.DAYS(Table1[[#This Row],[Maturity]],TODAY())-15</f>
        <v>863</v>
      </c>
      <c r="Y11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40">
        <f>IF(Table1[[#This Row],[Ask Rate]]=0,0,Table1[[#This Row],[Face Value]]-Table1[[#This Row],[Ask Rate]])</f>
        <v>0</v>
      </c>
      <c r="AA1140">
        <f>IF(Table1[[#This Row],[Freq]]="Yearly",Table1[[#This Row],[Coupon_Rate]]/100,IF(Table1[[#This Row],[Freq]]="Monthly",Table1[[#This Row],[Coupon_Rate]]/1200,IF(Table1[[#This Row],[Freq]]="Quarterly",Table1[[#This Row],[Coupon_Rate]]/400,0)))</f>
        <v>0.1119</v>
      </c>
      <c r="AB1140">
        <f ca="1">Table1[[#This Row],[Face Value]]*Table1[[#This Row],[Rate]]*Table1[[#This Row],[Time]]</f>
        <v>335.70000000000005</v>
      </c>
      <c r="AC1140">
        <f ca="1">Table1[[#This Row],[SI]]+Table1[[#This Row],[Disc/Prem]]</f>
        <v>335.70000000000005</v>
      </c>
      <c r="AD1140" s="3" t="e">
        <f ca="1">Table1[[#This Row],[Net Gain]]/Table1[[#This Row],[Ask Rate]]</f>
        <v>#DIV/0!</v>
      </c>
      <c r="AE1140" s="3">
        <f>IF(Table1[[#This Row],[Ask Qty]]=0,0,Table1[[#This Row],[Gross Yield]]*365/Table1[[#This Row],[Days Left]])</f>
        <v>0</v>
      </c>
      <c r="AF1140" s="9">
        <f ca="1">+Table1[[#This Row],[Net Gain]]*Table1[[#This Row],[Ask Qty]]</f>
        <v>0</v>
      </c>
      <c r="AG1140" t="str">
        <f>IF(Table1[[#This Row],[YTM]]&gt;0.12,IF(Table1[[#This Row],[Gross Profit]]&gt;10000,"Invest","Review"),"Low YTM")</f>
        <v>Low YTM</v>
      </c>
    </row>
    <row r="1141" spans="1:33" hidden="1" x14ac:dyDescent="0.3">
      <c r="A1141" t="str">
        <f>RTD("nest.scriprtd",,"bse_cm|87SCL24A","Symbol")</f>
        <v>87SCL24A</v>
      </c>
      <c r="B1141" t="str">
        <f>RTD("nest.scriprtd",,"bse_cm|87SCL24A","Trading Symbol")</f>
        <v>87SCL24A</v>
      </c>
      <c r="C1141" t="str">
        <f>RTD("nest.scriprtd",,"bse_cm|87SCL24A","Exchange")</f>
        <v>BSE</v>
      </c>
      <c r="D1141">
        <f>RTD("nest.scriprtd",,"bse_cm|87SCL24A","Bid Qty")</f>
        <v>12</v>
      </c>
      <c r="E1141">
        <f>RTD("nest.scriprtd",,"bse_cm|87SCL24A","Bid Rate")</f>
        <v>960.1</v>
      </c>
      <c r="F1141">
        <f>RTD("nest.scriprtd",,"bse_cm|87SCL24A","Ask Rate")</f>
        <v>0</v>
      </c>
      <c r="G1141">
        <f>RTD("nest.scriprtd",,"bse_cm|87SCL24A","Ask Qty")</f>
        <v>0</v>
      </c>
      <c r="H1141">
        <f>RTD("nest.scriprtd",,"bse_cm|87SCL24A","LTP")</f>
        <v>0</v>
      </c>
      <c r="I1141" t="str">
        <f>RTD("nest.scriprtd",,"bse_cm|87SCL24A","LTT")</f>
        <v>00:00:00</v>
      </c>
      <c r="J1141">
        <f>RTD("nest.scriprtd",,"bse_cm|87SCL24A","% Change")</f>
        <v>-100</v>
      </c>
      <c r="K1141">
        <f>RTD("nest.scriprtd",,"bse_cm|87SCL24A","ATP")</f>
        <v>0</v>
      </c>
      <c r="L1141">
        <f>RTD("nest.scriprtd",,"bse_cm|87SCL24A","Volume Traded Today")</f>
        <v>0</v>
      </c>
      <c r="M1141">
        <f>RTD("nest.scriprtd",,"bse_cm|87SCL24A","Open")</f>
        <v>0</v>
      </c>
      <c r="N1141">
        <f>RTD("nest.scriprtd",,"bse_cm|87SCL24A","High")</f>
        <v>980</v>
      </c>
      <c r="O1141">
        <f>RTD("nest.scriprtd",,"bse_cm|87SCL24A","Low ")</f>
        <v>980</v>
      </c>
      <c r="P1141">
        <f>RTD("nest.scriprtd",,"bse_cm|87SCL24A","Prev Close")</f>
        <v>980</v>
      </c>
      <c r="Q1141">
        <f>RTD("nest.scriprtd",,"bse_cm|87SCL24A","Face Value")</f>
        <v>1000</v>
      </c>
      <c r="R1141" t="str">
        <f>RTD("nest.scriprtd",,"bse_cm|87SCL24A","Isin code")</f>
        <v>INE148I07MX6</v>
      </c>
      <c r="S1141" s="9">
        <f>Table1[[#This Row],[Ask Rate]]*Table1[[#This Row],[Ask Qty]]</f>
        <v>0</v>
      </c>
      <c r="T1141">
        <f>VLOOKUP(Table1[[#This Row],[Isin code]],Table2[#All],7,FALSE)</f>
        <v>8.6999999999999993</v>
      </c>
      <c r="U1141" s="17" t="str">
        <f>VLOOKUP(Table1[[#This Row],[Isin code]],Table2[#All],8,FALSE)</f>
        <v>03-Nov-2024</v>
      </c>
      <c r="V1141" s="10">
        <f ca="1">Table1[[#This Row],[Maturity]]-TODAY()</f>
        <v>18</v>
      </c>
      <c r="W1141" t="str">
        <f>VLOOKUP(Table1[[#This Row],[Isin code]],Table2[#All],10,FALSE)</f>
        <v>Monthly</v>
      </c>
      <c r="X1141">
        <f ca="1">_xlfn.DAYS(Table1[[#This Row],[Maturity]],TODAY())-15</f>
        <v>3</v>
      </c>
      <c r="Y11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41">
        <f>IF(Table1[[#This Row],[Ask Rate]]=0,0,Table1[[#This Row],[Face Value]]-Table1[[#This Row],[Ask Rate]])</f>
        <v>0</v>
      </c>
      <c r="AA1141">
        <f>IF(Table1[[#This Row],[Freq]]="Yearly",Table1[[#This Row],[Coupon_Rate]]/100,IF(Table1[[#This Row],[Freq]]="Monthly",Table1[[#This Row],[Coupon_Rate]]/1200,IF(Table1[[#This Row],[Freq]]="Quarterly",Table1[[#This Row],[Coupon_Rate]]/400,0)))</f>
        <v>7.2499999999999995E-3</v>
      </c>
      <c r="AB1141">
        <f ca="1">Table1[[#This Row],[Face Value]]*Table1[[#This Row],[Rate]]*Table1[[#This Row],[Time]]</f>
        <v>7.2499999999999991</v>
      </c>
      <c r="AC1141">
        <f ca="1">Table1[[#This Row],[SI]]+Table1[[#This Row],[Disc/Prem]]</f>
        <v>7.2499999999999991</v>
      </c>
      <c r="AD1141" s="3" t="e">
        <f ca="1">Table1[[#This Row],[Net Gain]]/Table1[[#This Row],[Ask Rate]]</f>
        <v>#DIV/0!</v>
      </c>
      <c r="AE1141" s="3">
        <f>IF(Table1[[#This Row],[Ask Qty]]=0,0,Table1[[#This Row],[Gross Yield]]*365/Table1[[#This Row],[Days Left]])</f>
        <v>0</v>
      </c>
      <c r="AF1141" s="9">
        <f ca="1">+Table1[[#This Row],[Net Gain]]*Table1[[#This Row],[Ask Qty]]</f>
        <v>0</v>
      </c>
      <c r="AG1141" t="str">
        <f>IF(Table1[[#This Row],[YTM]]&gt;0.12,IF(Table1[[#This Row],[Gross Profit]]&gt;10000,"Invest","Review"),"Low YTM")</f>
        <v>Low YTM</v>
      </c>
    </row>
    <row r="1142" spans="1:33" x14ac:dyDescent="0.3">
      <c r="A1142" t="str">
        <f>RTD("nest.scriprtd",,"bse_cm|965IFSL26","Symbol")</f>
        <v>965IFSL26</v>
      </c>
      <c r="B1142" t="str">
        <f>RTD("nest.scriprtd",,"bse_cm|965IFSL26","Trading Symbol")</f>
        <v>965IFSL26</v>
      </c>
      <c r="C1142" t="str">
        <f>RTD("nest.scriprtd",,"bse_cm|965IFSL26","Exchange")</f>
        <v>BSE</v>
      </c>
      <c r="D1142">
        <f>RTD("nest.scriprtd",,"bse_cm|965IFSL26","Bid Qty")</f>
        <v>12</v>
      </c>
      <c r="E1142">
        <f>RTD("nest.scriprtd",,"bse_cm|965IFSL26","Bid Rate")</f>
        <v>930.2</v>
      </c>
      <c r="F1142">
        <f>RTD("nest.scriprtd",,"bse_cm|965IFSL26","Ask Rate")</f>
        <v>0</v>
      </c>
      <c r="G1142">
        <f>RTD("nest.scriprtd",,"bse_cm|965IFSL26","Ask Qty")</f>
        <v>0</v>
      </c>
      <c r="H1142">
        <f>RTD("nest.scriprtd",,"bse_cm|965IFSL26","LTP")</f>
        <v>0</v>
      </c>
      <c r="I1142" t="str">
        <f>RTD("nest.scriprtd",,"bse_cm|965IFSL26","LTT")</f>
        <v>00:00:00</v>
      </c>
      <c r="J1142">
        <f>RTD("nest.scriprtd",,"bse_cm|965IFSL26","% Change")</f>
        <v>-100</v>
      </c>
      <c r="K1142">
        <f>RTD("nest.scriprtd",,"bse_cm|965IFSL26","ATP")</f>
        <v>0</v>
      </c>
      <c r="L1142">
        <f>RTD("nest.scriprtd",,"bse_cm|965IFSL26","Volume Traded Today")</f>
        <v>0</v>
      </c>
      <c r="M1142">
        <f>RTD("nest.scriprtd",,"bse_cm|965IFSL26","Open")</f>
        <v>0</v>
      </c>
      <c r="N1142">
        <f>RTD("nest.scriprtd",,"bse_cm|965IFSL26","High")</f>
        <v>975</v>
      </c>
      <c r="O1142">
        <f>RTD("nest.scriprtd",,"bse_cm|965IFSL26","Low ")</f>
        <v>975</v>
      </c>
      <c r="P1142">
        <f>RTD("nest.scriprtd",,"bse_cm|965IFSL26","Prev Close")</f>
        <v>975</v>
      </c>
      <c r="Q1142">
        <f>RTD("nest.scriprtd",,"bse_cm|965IFSL26","Face Value")</f>
        <v>1000</v>
      </c>
      <c r="R1142" t="str">
        <f>RTD("nest.scriprtd",,"bse_cm|965IFSL26","Isin code")</f>
        <v>INE321N07277</v>
      </c>
      <c r="S1142" s="9">
        <f>Table1[[#This Row],[Ask Rate]]*Table1[[#This Row],[Ask Qty]]</f>
        <v>0</v>
      </c>
      <c r="T1142">
        <f>VLOOKUP(Table1[[#This Row],[Isin code]],Table2[#All],7,FALSE)</f>
        <v>9.65</v>
      </c>
      <c r="U1142" s="17" t="str">
        <f>VLOOKUP(Table1[[#This Row],[Isin code]],Table2[#All],8,FALSE)</f>
        <v>02-May-2026</v>
      </c>
      <c r="V1142" s="10">
        <f ca="1">Table1[[#This Row],[Maturity]]-TODAY()</f>
        <v>563</v>
      </c>
      <c r="W1142" t="str">
        <f>VLOOKUP(Table1[[#This Row],[Isin code]],Table2[#All],10,FALSE)</f>
        <v>Quarterly</v>
      </c>
      <c r="X1142">
        <f ca="1">_xlfn.DAYS(Table1[[#This Row],[Maturity]],TODAY())-15</f>
        <v>548</v>
      </c>
      <c r="Y11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142">
        <f>IF(Table1[[#This Row],[Ask Rate]]=0,0,Table1[[#This Row],[Face Value]]-Table1[[#This Row],[Ask Rate]])</f>
        <v>0</v>
      </c>
      <c r="AA1142">
        <f>IF(Table1[[#This Row],[Freq]]="Yearly",Table1[[#This Row],[Coupon_Rate]]/100,IF(Table1[[#This Row],[Freq]]="Monthly",Table1[[#This Row],[Coupon_Rate]]/1200,IF(Table1[[#This Row],[Freq]]="Quarterly",Table1[[#This Row],[Coupon_Rate]]/400,0)))</f>
        <v>2.4125000000000001E-2</v>
      </c>
      <c r="AB1142">
        <f ca="1">Table1[[#This Row],[Face Value]]*Table1[[#This Row],[Rate]]*Table1[[#This Row],[Time]]</f>
        <v>168.875</v>
      </c>
      <c r="AC1142">
        <f ca="1">Table1[[#This Row],[SI]]+Table1[[#This Row],[Disc/Prem]]</f>
        <v>168.875</v>
      </c>
      <c r="AD1142" s="3" t="e">
        <f ca="1">Table1[[#This Row],[Net Gain]]/Table1[[#This Row],[Ask Rate]]</f>
        <v>#DIV/0!</v>
      </c>
      <c r="AE1142" s="3">
        <f>IF(Table1[[#This Row],[Ask Qty]]=0,0,Table1[[#This Row],[Gross Yield]]*365/Table1[[#This Row],[Days Left]])</f>
        <v>0</v>
      </c>
      <c r="AF1142" s="9">
        <f ca="1">+Table1[[#This Row],[Net Gain]]*Table1[[#This Row],[Ask Qty]]</f>
        <v>0</v>
      </c>
      <c r="AG1142" t="str">
        <f>IF(Table1[[#This Row],[YTM]]&gt;0.12,IF(Table1[[#This Row],[Gross Profit]]&gt;10000,"Invest","Review"),"Low YTM")</f>
        <v>Low YTM</v>
      </c>
    </row>
    <row r="1143" spans="1:33" hidden="1" x14ac:dyDescent="0.3">
      <c r="A1143" t="str">
        <f>RTD("nest.scriprtd",,"bse_cm|955ICCL25A","Symbol")</f>
        <v>955ICCL25A</v>
      </c>
      <c r="B1143" t="str">
        <f>RTD("nest.scriprtd",,"bse_cm|955ICCL25A","Trading Symbol")</f>
        <v>955ICCL25A</v>
      </c>
      <c r="C1143" t="str">
        <f>RTD("nest.scriprtd",,"bse_cm|955ICCL25A","Exchange")</f>
        <v>BSE</v>
      </c>
      <c r="D1143">
        <f>RTD("nest.scriprtd",,"bse_cm|955ICCL25A","Bid Qty")</f>
        <v>30</v>
      </c>
      <c r="E1143">
        <f>RTD("nest.scriprtd",,"bse_cm|955ICCL25A","Bid Rate")</f>
        <v>882.8</v>
      </c>
      <c r="F1143">
        <f>RTD("nest.scriprtd",,"bse_cm|955ICCL25A","Ask Rate")</f>
        <v>0</v>
      </c>
      <c r="G1143">
        <f>RTD("nest.scriprtd",,"bse_cm|955ICCL25A","Ask Qty")</f>
        <v>0</v>
      </c>
      <c r="H1143">
        <f>RTD("nest.scriprtd",,"bse_cm|955ICCL25A","LTP")</f>
        <v>0</v>
      </c>
      <c r="I1143" t="str">
        <f>RTD("nest.scriprtd",,"bse_cm|955ICCL25A","LTT")</f>
        <v>00:00:00</v>
      </c>
      <c r="J1143">
        <f>RTD("nest.scriprtd",,"bse_cm|955ICCL25A","% Change")</f>
        <v>-100</v>
      </c>
      <c r="K1143">
        <f>RTD("nest.scriprtd",,"bse_cm|955ICCL25A","ATP")</f>
        <v>0</v>
      </c>
      <c r="L1143">
        <f>RTD("nest.scriprtd",,"bse_cm|955ICCL25A","Volume Traded Today")</f>
        <v>0</v>
      </c>
      <c r="M1143">
        <f>RTD("nest.scriprtd",,"bse_cm|955ICCL25A","Open")</f>
        <v>0</v>
      </c>
      <c r="N1143">
        <f>RTD("nest.scriprtd",,"bse_cm|955ICCL25A","High")</f>
        <v>992</v>
      </c>
      <c r="O1143">
        <f>RTD("nest.scriprtd",,"bse_cm|955ICCL25A","Low ")</f>
        <v>992</v>
      </c>
      <c r="P1143">
        <f>RTD("nest.scriprtd",,"bse_cm|955ICCL25A","Prev Close")</f>
        <v>992</v>
      </c>
      <c r="Q1143">
        <f>RTD("nest.scriprtd",,"bse_cm|955ICCL25A","Face Value")</f>
        <v>1000</v>
      </c>
      <c r="R1143" t="str">
        <f>RTD("nest.scriprtd",,"bse_cm|955ICCL25A","Isin code")</f>
        <v>INE244L07366</v>
      </c>
      <c r="S1143" s="9">
        <f>Table1[[#This Row],[Ask Rate]]*Table1[[#This Row],[Ask Qty]]</f>
        <v>0</v>
      </c>
      <c r="T1143">
        <f>VLOOKUP(Table1[[#This Row],[Isin code]],Table2[#All],7,FALSE)</f>
        <v>9.4</v>
      </c>
      <c r="U1143" s="17" t="str">
        <f>VLOOKUP(Table1[[#This Row],[Isin code]],Table2[#All],8,FALSE)</f>
        <v>02-Feb-2025</v>
      </c>
      <c r="V1143" s="10">
        <f ca="1">Table1[[#This Row],[Maturity]]-TODAY()</f>
        <v>109</v>
      </c>
      <c r="W1143" t="str">
        <f>VLOOKUP(Table1[[#This Row],[Isin code]],Table2[#All],10,FALSE)</f>
        <v>Monthly</v>
      </c>
      <c r="X1143">
        <f ca="1">_xlfn.DAYS(Table1[[#This Row],[Maturity]],TODAY())-15</f>
        <v>94</v>
      </c>
      <c r="Y11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43">
        <f>IF(Table1[[#This Row],[Ask Rate]]=0,0,Table1[[#This Row],[Face Value]]-Table1[[#This Row],[Ask Rate]])</f>
        <v>0</v>
      </c>
      <c r="AA1143">
        <f>IF(Table1[[#This Row],[Freq]]="Yearly",Table1[[#This Row],[Coupon_Rate]]/100,IF(Table1[[#This Row],[Freq]]="Monthly",Table1[[#This Row],[Coupon_Rate]]/1200,IF(Table1[[#This Row],[Freq]]="Quarterly",Table1[[#This Row],[Coupon_Rate]]/400,0)))</f>
        <v>7.8333333333333328E-3</v>
      </c>
      <c r="AB1143">
        <f ca="1">Table1[[#This Row],[Face Value]]*Table1[[#This Row],[Rate]]*Table1[[#This Row],[Time]]</f>
        <v>31.333333333333332</v>
      </c>
      <c r="AC1143">
        <f ca="1">Table1[[#This Row],[SI]]+Table1[[#This Row],[Disc/Prem]]</f>
        <v>31.333333333333332</v>
      </c>
      <c r="AD1143" s="3" t="e">
        <f ca="1">Table1[[#This Row],[Net Gain]]/Table1[[#This Row],[Ask Rate]]</f>
        <v>#DIV/0!</v>
      </c>
      <c r="AE1143" s="3">
        <f>IF(Table1[[#This Row],[Ask Qty]]=0,0,Table1[[#This Row],[Gross Yield]]*365/Table1[[#This Row],[Days Left]])</f>
        <v>0</v>
      </c>
      <c r="AF1143" s="9">
        <f ca="1">+Table1[[#This Row],[Net Gain]]*Table1[[#This Row],[Ask Qty]]</f>
        <v>0</v>
      </c>
      <c r="AG1143" t="str">
        <f>IF(Table1[[#This Row],[YTM]]&gt;0.12,IF(Table1[[#This Row],[Gross Profit]]&gt;10000,"Invest","Review"),"Low YTM")</f>
        <v>Low YTM</v>
      </c>
    </row>
    <row r="1144" spans="1:33" x14ac:dyDescent="0.3">
      <c r="A1144" t="str">
        <f>RTD("nest.scriprtd",,"bse_cm|950SFL27","Symbol")</f>
        <v>950SFL27</v>
      </c>
      <c r="B1144" t="str">
        <f>RTD("nest.scriprtd",,"bse_cm|950SFL27","Trading Symbol")</f>
        <v>950SFL27</v>
      </c>
      <c r="C1144" t="str">
        <f>RTD("nest.scriprtd",,"bse_cm|950SFL27","Exchange")</f>
        <v>BSE</v>
      </c>
      <c r="D1144">
        <f>RTD("nest.scriprtd",,"bse_cm|950SFL27","Bid Qty")</f>
        <v>14</v>
      </c>
      <c r="E1144">
        <f>RTD("nest.scriprtd",,"bse_cm|950SFL27","Bid Rate")</f>
        <v>827.25</v>
      </c>
      <c r="F1144">
        <f>RTD("nest.scriprtd",,"bse_cm|950SFL27","Ask Rate")</f>
        <v>0</v>
      </c>
      <c r="G1144">
        <f>RTD("nest.scriprtd",,"bse_cm|950SFL27","Ask Qty")</f>
        <v>0</v>
      </c>
      <c r="H1144">
        <f>RTD("nest.scriprtd",,"bse_cm|950SFL27","LTP")</f>
        <v>0</v>
      </c>
      <c r="I1144" t="str">
        <f>RTD("nest.scriprtd",,"bse_cm|950SFL27","LTT")</f>
        <v>00:00:00</v>
      </c>
      <c r="J1144">
        <f>RTD("nest.scriprtd",,"bse_cm|950SFL27","% Change")</f>
        <v>-100</v>
      </c>
      <c r="K1144">
        <f>RTD("nest.scriprtd",,"bse_cm|950SFL27","ATP")</f>
        <v>0</v>
      </c>
      <c r="L1144">
        <f>RTD("nest.scriprtd",,"bse_cm|950SFL27","Volume Traded Today")</f>
        <v>0</v>
      </c>
      <c r="M1144">
        <f>RTD("nest.scriprtd",,"bse_cm|950SFL27","Open")</f>
        <v>0</v>
      </c>
      <c r="N1144">
        <f>RTD("nest.scriprtd",,"bse_cm|950SFL27","High")</f>
        <v>1194.8</v>
      </c>
      <c r="O1144">
        <f>RTD("nest.scriprtd",,"bse_cm|950SFL27","Low ")</f>
        <v>835.8</v>
      </c>
      <c r="P1144">
        <f>RTD("nest.scriprtd",,"bse_cm|950SFL27","Prev Close")</f>
        <v>835.8</v>
      </c>
      <c r="Q1144">
        <f>RTD("nest.scriprtd",,"bse_cm|950SFL27","Face Value")</f>
        <v>1000</v>
      </c>
      <c r="R1144" t="str">
        <f>RTD("nest.scriprtd",,"bse_cm|950SFL27","Isin code")</f>
        <v>INE302E07557</v>
      </c>
      <c r="S1144" s="9">
        <f>Table1[[#This Row],[Ask Rate]]*Table1[[#This Row],[Ask Qty]]</f>
        <v>0</v>
      </c>
      <c r="T1144">
        <f>VLOOKUP(Table1[[#This Row],[Isin code]],Table2[#All],7,FALSE)</f>
        <v>9.5</v>
      </c>
      <c r="U1144" s="17" t="str">
        <f>VLOOKUP(Table1[[#This Row],[Isin code]],Table2[#All],8,FALSE)</f>
        <v>08-May-2027</v>
      </c>
      <c r="V1144" s="10">
        <f ca="1">Table1[[#This Row],[Maturity]]-TODAY()</f>
        <v>934</v>
      </c>
      <c r="W1144" t="str">
        <f>VLOOKUP(Table1[[#This Row],[Isin code]],Table2[#All],10,FALSE)</f>
        <v>Monthly</v>
      </c>
      <c r="X1144">
        <f ca="1">_xlfn.DAYS(Table1[[#This Row],[Maturity]],TODAY())-15</f>
        <v>919</v>
      </c>
      <c r="Y11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1144">
        <f>IF(Table1[[#This Row],[Ask Rate]]=0,0,Table1[[#This Row],[Face Value]]-Table1[[#This Row],[Ask Rate]])</f>
        <v>0</v>
      </c>
      <c r="AA1144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1144">
        <f ca="1">Table1[[#This Row],[Face Value]]*Table1[[#This Row],[Rate]]*Table1[[#This Row],[Time]]</f>
        <v>245.41666666666669</v>
      </c>
      <c r="AC1144">
        <f ca="1">Table1[[#This Row],[SI]]+Table1[[#This Row],[Disc/Prem]]</f>
        <v>245.41666666666669</v>
      </c>
      <c r="AD1144" s="3" t="e">
        <f ca="1">Table1[[#This Row],[Net Gain]]/Table1[[#This Row],[Ask Rate]]</f>
        <v>#DIV/0!</v>
      </c>
      <c r="AE1144" s="3">
        <f>IF(Table1[[#This Row],[Ask Qty]]=0,0,Table1[[#This Row],[Gross Yield]]*365/Table1[[#This Row],[Days Left]])</f>
        <v>0</v>
      </c>
      <c r="AF1144" s="9">
        <f ca="1">+Table1[[#This Row],[Net Gain]]*Table1[[#This Row],[Ask Qty]]</f>
        <v>0</v>
      </c>
      <c r="AG1144" t="str">
        <f>IF(Table1[[#This Row],[YTM]]&gt;0.12,IF(Table1[[#This Row],[Gross Profit]]&gt;10000,"Invest","Review"),"Low YTM")</f>
        <v>Low YTM</v>
      </c>
    </row>
    <row r="1145" spans="1:33" x14ac:dyDescent="0.3">
      <c r="A1145" t="str">
        <f>RTD("nest.scriprtd",,"nse_cm|950SCL23A-AP","Symbol")</f>
        <v>950SCL23A</v>
      </c>
      <c r="B1145" t="str">
        <f>RTD("nest.scriprtd",,"nse_cm|950SCL23A-AP","Trading Symbol")</f>
        <v>950SCL23A-AP</v>
      </c>
      <c r="C1145" t="str">
        <f>RTD("nest.scriprtd",,"nse_cm|950SCL23A-AP","Exchange")</f>
        <v>NSE</v>
      </c>
      <c r="D1145">
        <f>RTD("nest.scriprtd",,"nse_cm|950SCL23A-AP","Bid Qty")</f>
        <v>5</v>
      </c>
      <c r="E1145">
        <f>RTD("nest.scriprtd",,"nse_cm|950SCL23A-AP","Bid Rate")</f>
        <v>950.4</v>
      </c>
      <c r="F1145">
        <f>RTD("nest.scriprtd",,"nse_cm|950SCL23A-AP","Ask Rate")</f>
        <v>0</v>
      </c>
      <c r="G1145">
        <f>RTD("nest.scriprtd",,"nse_cm|950SCL23A-AP","Ask Qty")</f>
        <v>0</v>
      </c>
      <c r="H1145">
        <f>RTD("nest.scriprtd",,"nse_cm|950SCL23A-AP","LTP")</f>
        <v>990</v>
      </c>
      <c r="I1145" t="str">
        <f>RTD("nest.scriprtd",,"nse_cm|950SCL23A-AP","LTT")</f>
        <v/>
      </c>
      <c r="J1145">
        <f>RTD("nest.scriprtd",,"nse_cm|950SCL23A-AP","% Change")</f>
        <v>0</v>
      </c>
      <c r="K1145">
        <f>RTD("nest.scriprtd",,"nse_cm|950SCL23A-AP","ATP")</f>
        <v>0</v>
      </c>
      <c r="L1145">
        <f>RTD("nest.scriprtd",,"nse_cm|950SCL23A-AP","Volume Traded Today")</f>
        <v>0</v>
      </c>
      <c r="M1145">
        <f>RTD("nest.scriprtd",,"nse_cm|950SCL23A-AP","Open")</f>
        <v>0</v>
      </c>
      <c r="N1145">
        <f>RTD("nest.scriprtd",,"nse_cm|950SCL23A-AP","High")</f>
        <v>995</v>
      </c>
      <c r="O1145">
        <f>RTD("nest.scriprtd",,"nse_cm|950SCL23A-AP","Low ")</f>
        <v>990</v>
      </c>
      <c r="P1145">
        <f>RTD("nest.scriprtd",,"nse_cm|950SCL23A-AP","Prev Close")</f>
        <v>990</v>
      </c>
      <c r="Q1145">
        <f>RTD("nest.scriprtd",,"nse_cm|950SCL23A-AP","Face Value")</f>
        <v>1000</v>
      </c>
      <c r="R1145" t="str">
        <f>RTD("nest.scriprtd",,"nse_cm|950SCL23A-AP","Isin code")</f>
        <v>INE148I07OM5</v>
      </c>
      <c r="S1145" s="9">
        <f>Table1[[#This Row],[Ask Rate]]*Table1[[#This Row],[Ask Qty]]</f>
        <v>0</v>
      </c>
      <c r="T1145">
        <f>VLOOKUP(Table1[[#This Row],[Isin code]],Table2[#All],7,FALSE)</f>
        <v>9.65</v>
      </c>
      <c r="U1145" s="17" t="str">
        <f>VLOOKUP(Table1[[#This Row],[Isin code]],Table2[#All],8,FALSE)</f>
        <v>27-Jul-2025</v>
      </c>
      <c r="V1145" s="10">
        <f ca="1">Table1[[#This Row],[Maturity]]-TODAY()</f>
        <v>284</v>
      </c>
      <c r="W1145" t="str">
        <f>VLOOKUP(Table1[[#This Row],[Isin code]],Table2[#All],10,FALSE)</f>
        <v>Yearly</v>
      </c>
      <c r="X1145">
        <f ca="1">_xlfn.DAYS(Table1[[#This Row],[Maturity]],TODAY())-15</f>
        <v>269</v>
      </c>
      <c r="Y11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45">
        <f>IF(Table1[[#This Row],[Ask Rate]]=0,0,Table1[[#This Row],[Face Value]]-Table1[[#This Row],[Ask Rate]])</f>
        <v>0</v>
      </c>
      <c r="AA1145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145">
        <f ca="1">Table1[[#This Row],[Face Value]]*Table1[[#This Row],[Rate]]*Table1[[#This Row],[Time]]</f>
        <v>96.5</v>
      </c>
      <c r="AC1145">
        <f ca="1">Table1[[#This Row],[SI]]+Table1[[#This Row],[Disc/Prem]]</f>
        <v>96.5</v>
      </c>
      <c r="AD1145" s="3" t="e">
        <f ca="1">Table1[[#This Row],[Net Gain]]/Table1[[#This Row],[Ask Rate]]</f>
        <v>#DIV/0!</v>
      </c>
      <c r="AE1145" s="3">
        <f>IF(Table1[[#This Row],[Ask Qty]]=0,0,Table1[[#This Row],[Gross Yield]]*365/Table1[[#This Row],[Days Left]])</f>
        <v>0</v>
      </c>
      <c r="AF1145" s="9">
        <f ca="1">+Table1[[#This Row],[Net Gain]]*Table1[[#This Row],[Ask Qty]]</f>
        <v>0</v>
      </c>
      <c r="AG1145" t="str">
        <f>IF(Table1[[#This Row],[YTM]]&gt;0.12,IF(Table1[[#This Row],[Gross Profit]]&gt;10000,"Invest","Review"),"Low YTM")</f>
        <v>Low YTM</v>
      </c>
    </row>
    <row r="1146" spans="1:33" x14ac:dyDescent="0.3">
      <c r="A1146" t="str">
        <f>RTD("nest.scriprtd",,"bse_cm|950SCL23A","Symbol")</f>
        <v>950SCL23A</v>
      </c>
      <c r="B1146" t="str">
        <f>RTD("nest.scriprtd",,"bse_cm|950SCL23A","Trading Symbol")</f>
        <v>950SCL23A</v>
      </c>
      <c r="C1146" t="str">
        <f>RTD("nest.scriprtd",,"bse_cm|950SCL23A","Exchange")</f>
        <v>BSE</v>
      </c>
      <c r="D1146">
        <f>RTD("nest.scriprtd",,"bse_cm|950SCL23A","Bid Qty")</f>
        <v>12</v>
      </c>
      <c r="E1146">
        <f>RTD("nest.scriprtd",,"bse_cm|950SCL23A","Bid Rate")</f>
        <v>930.2</v>
      </c>
      <c r="F1146">
        <f>RTD("nest.scriprtd",,"bse_cm|950SCL23A","Ask Rate")</f>
        <v>0</v>
      </c>
      <c r="G1146">
        <f>RTD("nest.scriprtd",,"bse_cm|950SCL23A","Ask Qty")</f>
        <v>0</v>
      </c>
      <c r="H1146">
        <f>RTD("nest.scriprtd",,"bse_cm|950SCL23A","LTP")</f>
        <v>0</v>
      </c>
      <c r="I1146" t="str">
        <f>RTD("nest.scriprtd",,"bse_cm|950SCL23A","LTT")</f>
        <v>00:00:00</v>
      </c>
      <c r="J1146">
        <f>RTD("nest.scriprtd",,"bse_cm|950SCL23A","% Change")</f>
        <v>-100</v>
      </c>
      <c r="K1146">
        <f>RTD("nest.scriprtd",,"bse_cm|950SCL23A","ATP")</f>
        <v>0</v>
      </c>
      <c r="L1146">
        <f>RTD("nest.scriprtd",,"bse_cm|950SCL23A","Volume Traded Today")</f>
        <v>0</v>
      </c>
      <c r="M1146">
        <f>RTD("nest.scriprtd",,"bse_cm|950SCL23A","Open")</f>
        <v>0</v>
      </c>
      <c r="N1146">
        <f>RTD("nest.scriprtd",,"bse_cm|950SCL23A","High")</f>
        <v>984.91</v>
      </c>
      <c r="O1146">
        <f>RTD("nest.scriprtd",,"bse_cm|950SCL23A","Low ")</f>
        <v>984.91</v>
      </c>
      <c r="P1146">
        <f>RTD("nest.scriprtd",,"bse_cm|950SCL23A","Prev Close")</f>
        <v>984.91</v>
      </c>
      <c r="Q1146">
        <f>RTD("nest.scriprtd",,"bse_cm|950SCL23A","Face Value")</f>
        <v>1000</v>
      </c>
      <c r="R1146" t="str">
        <f>RTD("nest.scriprtd",,"bse_cm|950SCL23A","Isin code")</f>
        <v>INE148I07OM5</v>
      </c>
      <c r="S1146" s="9">
        <f>Table1[[#This Row],[Ask Rate]]*Table1[[#This Row],[Ask Qty]]</f>
        <v>0</v>
      </c>
      <c r="T1146">
        <f>VLOOKUP(Table1[[#This Row],[Isin code]],Table2[#All],7,FALSE)</f>
        <v>9.65</v>
      </c>
      <c r="U1146" s="17" t="str">
        <f>VLOOKUP(Table1[[#This Row],[Isin code]],Table2[#All],8,FALSE)</f>
        <v>27-Jul-2025</v>
      </c>
      <c r="V1146" s="10">
        <f ca="1">Table1[[#This Row],[Maturity]]-TODAY()</f>
        <v>284</v>
      </c>
      <c r="W1146" t="str">
        <f>VLOOKUP(Table1[[#This Row],[Isin code]],Table2[#All],10,FALSE)</f>
        <v>Yearly</v>
      </c>
      <c r="X1146">
        <f ca="1">_xlfn.DAYS(Table1[[#This Row],[Maturity]],TODAY())-15</f>
        <v>269</v>
      </c>
      <c r="Y11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46">
        <f>IF(Table1[[#This Row],[Ask Rate]]=0,0,Table1[[#This Row],[Face Value]]-Table1[[#This Row],[Ask Rate]])</f>
        <v>0</v>
      </c>
      <c r="AA1146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146">
        <f ca="1">Table1[[#This Row],[Face Value]]*Table1[[#This Row],[Rate]]*Table1[[#This Row],[Time]]</f>
        <v>96.5</v>
      </c>
      <c r="AC1146">
        <f ca="1">Table1[[#This Row],[SI]]+Table1[[#This Row],[Disc/Prem]]</f>
        <v>96.5</v>
      </c>
      <c r="AD1146" s="3" t="e">
        <f ca="1">Table1[[#This Row],[Net Gain]]/Table1[[#This Row],[Ask Rate]]</f>
        <v>#DIV/0!</v>
      </c>
      <c r="AE1146" s="3">
        <f>IF(Table1[[#This Row],[Ask Qty]]=0,0,Table1[[#This Row],[Gross Yield]]*365/Table1[[#This Row],[Days Left]])</f>
        <v>0</v>
      </c>
      <c r="AF1146" s="9">
        <f ca="1">+Table1[[#This Row],[Net Gain]]*Table1[[#This Row],[Ask Qty]]</f>
        <v>0</v>
      </c>
      <c r="AG1146" t="str">
        <f>IF(Table1[[#This Row],[YTM]]&gt;0.12,IF(Table1[[#This Row],[Gross Profit]]&gt;10000,"Invest","Review"),"Low YTM")</f>
        <v>Low YTM</v>
      </c>
    </row>
    <row r="1147" spans="1:33" x14ac:dyDescent="0.3">
      <c r="A1147" t="str">
        <f>RTD("nest.scriprtd",,"bse_cm|950MFL27","Symbol")</f>
        <v>950MFL27</v>
      </c>
      <c r="B1147" t="str">
        <f>RTD("nest.scriprtd",,"bse_cm|950MFL27","Trading Symbol")</f>
        <v>950MFL27</v>
      </c>
      <c r="C1147" t="str">
        <f>RTD("nest.scriprtd",,"bse_cm|950MFL27","Exchange")</f>
        <v>BSE</v>
      </c>
      <c r="D1147">
        <f>RTD("nest.scriprtd",,"bse_cm|950MFL27","Bid Qty")</f>
        <v>20</v>
      </c>
      <c r="E1147">
        <f>RTD("nest.scriprtd",,"bse_cm|950MFL27","Bid Rate")</f>
        <v>830.2</v>
      </c>
      <c r="F1147">
        <f>RTD("nest.scriprtd",,"bse_cm|950MFL27","Ask Rate")</f>
        <v>0</v>
      </c>
      <c r="G1147">
        <f>RTD("nest.scriprtd",,"bse_cm|950MFL27","Ask Qty")</f>
        <v>0</v>
      </c>
      <c r="H1147">
        <f>RTD("nest.scriprtd",,"bse_cm|950MFL27","LTP")</f>
        <v>0</v>
      </c>
      <c r="I1147" t="str">
        <f>RTD("nest.scriprtd",,"bse_cm|950MFL27","LTT")</f>
        <v>00:00:00</v>
      </c>
      <c r="J1147">
        <f>RTD("nest.scriprtd",,"bse_cm|950MFL27","% Change")</f>
        <v>-100</v>
      </c>
      <c r="K1147">
        <f>RTD("nest.scriprtd",,"bse_cm|950MFL27","ATP")</f>
        <v>0</v>
      </c>
      <c r="L1147">
        <f>RTD("nest.scriprtd",,"bse_cm|950MFL27","Volume Traded Today")</f>
        <v>0</v>
      </c>
      <c r="M1147">
        <f>RTD("nest.scriprtd",,"bse_cm|950MFL27","Open")</f>
        <v>0</v>
      </c>
      <c r="N1147">
        <f>RTD("nest.scriprtd",,"bse_cm|950MFL27","High")</f>
        <v>1020</v>
      </c>
      <c r="O1147">
        <f>RTD("nest.scriprtd",,"bse_cm|950MFL27","Low ")</f>
        <v>1020</v>
      </c>
      <c r="P1147">
        <f>RTD("nest.scriprtd",,"bse_cm|950MFL27","Prev Close")</f>
        <v>1020</v>
      </c>
      <c r="Q1147">
        <f>RTD("nest.scriprtd",,"bse_cm|950MFL27","Face Value")</f>
        <v>1000</v>
      </c>
      <c r="R1147" t="str">
        <f>RTD("nest.scriprtd",,"bse_cm|950MFL27","Isin code")</f>
        <v>INE549K08285</v>
      </c>
      <c r="S1147" s="9">
        <f>Table1[[#This Row],[Ask Rate]]*Table1[[#This Row],[Ask Qty]]</f>
        <v>0</v>
      </c>
      <c r="T1147">
        <f>VLOOKUP(Table1[[#This Row],[Isin code]],Table2[#All],7,FALSE)</f>
        <v>9.5</v>
      </c>
      <c r="U1147" s="17" t="str">
        <f>VLOOKUP(Table1[[#This Row],[Isin code]],Table2[#All],8,FALSE)</f>
        <v>29-Oct-2027</v>
      </c>
      <c r="V1147" s="10">
        <f ca="1">Table1[[#This Row],[Maturity]]-TODAY()</f>
        <v>1108</v>
      </c>
      <c r="W1147" t="str">
        <f>VLOOKUP(Table1[[#This Row],[Isin code]],Table2[#All],10,FALSE)</f>
        <v>Monthly</v>
      </c>
      <c r="X1147">
        <f ca="1">_xlfn.DAYS(Table1[[#This Row],[Maturity]],TODAY())-15</f>
        <v>1093</v>
      </c>
      <c r="Y11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37</v>
      </c>
      <c r="Z1147">
        <f>IF(Table1[[#This Row],[Ask Rate]]=0,0,Table1[[#This Row],[Face Value]]-Table1[[#This Row],[Ask Rate]])</f>
        <v>0</v>
      </c>
      <c r="AA1147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1147">
        <f ca="1">Table1[[#This Row],[Face Value]]*Table1[[#This Row],[Rate]]*Table1[[#This Row],[Time]]</f>
        <v>292.91666666666669</v>
      </c>
      <c r="AC1147">
        <f ca="1">Table1[[#This Row],[SI]]+Table1[[#This Row],[Disc/Prem]]</f>
        <v>292.91666666666669</v>
      </c>
      <c r="AD1147" s="3" t="e">
        <f ca="1">Table1[[#This Row],[Net Gain]]/Table1[[#This Row],[Ask Rate]]</f>
        <v>#DIV/0!</v>
      </c>
      <c r="AE1147" s="3">
        <f>IF(Table1[[#This Row],[Ask Qty]]=0,0,Table1[[#This Row],[Gross Yield]]*365/Table1[[#This Row],[Days Left]])</f>
        <v>0</v>
      </c>
      <c r="AF1147" s="9">
        <f ca="1">+Table1[[#This Row],[Net Gain]]*Table1[[#This Row],[Ask Qty]]</f>
        <v>0</v>
      </c>
      <c r="AG1147" t="str">
        <f>IF(Table1[[#This Row],[YTM]]&gt;0.12,IF(Table1[[#This Row],[Gross Profit]]&gt;10000,"Invest","Review"),"Low YTM")</f>
        <v>Low YTM</v>
      </c>
    </row>
    <row r="1148" spans="1:33" x14ac:dyDescent="0.3">
      <c r="A1148" t="str">
        <f>RTD("nest.scriprtd",,"bse_cm|950MFCL27","Symbol")</f>
        <v>950MFCL27</v>
      </c>
      <c r="B1148" t="str">
        <f>RTD("nest.scriprtd",,"bse_cm|950MFCL27","Trading Symbol")</f>
        <v>950MFCL27</v>
      </c>
      <c r="C1148" t="str">
        <f>RTD("nest.scriprtd",,"bse_cm|950MFCL27","Exchange")</f>
        <v>BSE</v>
      </c>
      <c r="D1148">
        <f>RTD("nest.scriprtd",,"bse_cm|950MFCL27","Bid Qty")</f>
        <v>10</v>
      </c>
      <c r="E1148">
        <f>RTD("nest.scriprtd",,"bse_cm|950MFCL27","Bid Rate")</f>
        <v>848</v>
      </c>
      <c r="F1148">
        <f>RTD("nest.scriprtd",,"bse_cm|950MFCL27","Ask Rate")</f>
        <v>0</v>
      </c>
      <c r="G1148">
        <f>RTD("nest.scriprtd",,"bse_cm|950MFCL27","Ask Qty")</f>
        <v>0</v>
      </c>
      <c r="H1148">
        <f>RTD("nest.scriprtd",,"bse_cm|950MFCL27","LTP")</f>
        <v>0</v>
      </c>
      <c r="I1148" t="str">
        <f>RTD("nest.scriprtd",,"bse_cm|950MFCL27","LTT")</f>
        <v>00:00:00</v>
      </c>
      <c r="J1148">
        <f>RTD("nest.scriprtd",,"bse_cm|950MFCL27","% Change")</f>
        <v>-100</v>
      </c>
      <c r="K1148">
        <f>RTD("nest.scriprtd",,"bse_cm|950MFCL27","ATP")</f>
        <v>0</v>
      </c>
      <c r="L1148">
        <f>RTD("nest.scriprtd",,"bse_cm|950MFCL27","Volume Traded Today")</f>
        <v>0</v>
      </c>
      <c r="M1148">
        <f>RTD("nest.scriprtd",,"bse_cm|950MFCL27","Open")</f>
        <v>0</v>
      </c>
      <c r="N1148">
        <f>RTD("nest.scriprtd",,"bse_cm|950MFCL27","High")</f>
        <v>960</v>
      </c>
      <c r="O1148">
        <f>RTD("nest.scriprtd",,"bse_cm|950MFCL27","Low ")</f>
        <v>960</v>
      </c>
      <c r="P1148">
        <f>RTD("nest.scriprtd",,"bse_cm|950MFCL27","Prev Close")</f>
        <v>960</v>
      </c>
      <c r="Q1148">
        <f>RTD("nest.scriprtd",,"bse_cm|950MFCL27","Face Value")</f>
        <v>1000</v>
      </c>
      <c r="R1148" t="str">
        <f>RTD("nest.scriprtd",,"bse_cm|950MFCL27","Isin code")</f>
        <v>INE549K07DN1</v>
      </c>
      <c r="S1148" s="9">
        <f>Table1[[#This Row],[Ask Rate]]*Table1[[#This Row],[Ask Qty]]</f>
        <v>0</v>
      </c>
      <c r="T1148">
        <f>VLOOKUP(Table1[[#This Row],[Isin code]],Table2[#All],7,FALSE)</f>
        <v>9.5</v>
      </c>
      <c r="U1148" s="17" t="str">
        <f>VLOOKUP(Table1[[#This Row],[Isin code]],Table2[#All],8,FALSE)</f>
        <v>30-Jun-2027</v>
      </c>
      <c r="V1148" s="10">
        <f ca="1">Table1[[#This Row],[Maturity]]-TODAY()</f>
        <v>987</v>
      </c>
      <c r="W1148" t="str">
        <f>VLOOKUP(Table1[[#This Row],[Isin code]],Table2[#All],10,FALSE)</f>
        <v>Annual</v>
      </c>
      <c r="X1148">
        <f ca="1">_xlfn.DAYS(Table1[[#This Row],[Maturity]],TODAY())-15</f>
        <v>972</v>
      </c>
      <c r="Y114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48">
        <f>IF(Table1[[#This Row],[Ask Rate]]=0,0,Table1[[#This Row],[Face Value]]-Table1[[#This Row],[Ask Rate]])</f>
        <v>0</v>
      </c>
      <c r="AA114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48">
        <f>Table1[[#This Row],[Face Value]]*Table1[[#This Row],[Rate]]*Table1[[#This Row],[Time]]</f>
        <v>0</v>
      </c>
      <c r="AC1148">
        <f>Table1[[#This Row],[SI]]+Table1[[#This Row],[Disc/Prem]]</f>
        <v>0</v>
      </c>
      <c r="AD1148" s="3" t="e">
        <f>Table1[[#This Row],[Net Gain]]/Table1[[#This Row],[Ask Rate]]</f>
        <v>#DIV/0!</v>
      </c>
      <c r="AE1148" s="3">
        <f>IF(Table1[[#This Row],[Ask Qty]]=0,0,Table1[[#This Row],[Gross Yield]]*365/Table1[[#This Row],[Days Left]])</f>
        <v>0</v>
      </c>
      <c r="AF1148" s="9">
        <f>+Table1[[#This Row],[Net Gain]]*Table1[[#This Row],[Ask Qty]]</f>
        <v>0</v>
      </c>
      <c r="AG1148" t="str">
        <f>IF(Table1[[#This Row],[YTM]]&gt;0.12,IF(Table1[[#This Row],[Gross Profit]]&gt;10000,"Invest","Review"),"Low YTM")</f>
        <v>Low YTM</v>
      </c>
    </row>
    <row r="1149" spans="1:33" hidden="1" x14ac:dyDescent="0.3">
      <c r="A1149" t="str">
        <f>RTD("nest.scriprtd",,"bse_cm|950KLMAF25","Symbol")</f>
        <v>950KLMAF25</v>
      </c>
      <c r="B1149" t="str">
        <f>RTD("nest.scriprtd",,"bse_cm|950KLMAF25","Trading Symbol")</f>
        <v>950KLMAF25</v>
      </c>
      <c r="C1149" t="str">
        <f>RTD("nest.scriprtd",,"bse_cm|950KLMAF25","Exchange")</f>
        <v>BSE</v>
      </c>
      <c r="D1149">
        <f>RTD("nest.scriprtd",,"bse_cm|950KLMAF25","Bid Qty")</f>
        <v>20</v>
      </c>
      <c r="E1149">
        <f>RTD("nest.scriprtd",,"bse_cm|950KLMAF25","Bid Rate")</f>
        <v>826.4</v>
      </c>
      <c r="F1149">
        <f>RTD("nest.scriprtd",,"bse_cm|950KLMAF25","Ask Rate")</f>
        <v>0</v>
      </c>
      <c r="G1149">
        <f>RTD("nest.scriprtd",,"bse_cm|950KLMAF25","Ask Qty")</f>
        <v>0</v>
      </c>
      <c r="H1149">
        <f>RTD("nest.scriprtd",,"bse_cm|950KLMAF25","LTP")</f>
        <v>0</v>
      </c>
      <c r="I1149" t="str">
        <f>RTD("nest.scriprtd",,"bse_cm|950KLMAF25","LTT")</f>
        <v>00:00:00</v>
      </c>
      <c r="J1149">
        <f>RTD("nest.scriprtd",,"bse_cm|950KLMAF25","% Change")</f>
        <v>-100</v>
      </c>
      <c r="K1149">
        <f>RTD("nest.scriprtd",,"bse_cm|950KLMAF25","ATP")</f>
        <v>0</v>
      </c>
      <c r="L1149">
        <f>RTD("nest.scriprtd",,"bse_cm|950KLMAF25","Volume Traded Today")</f>
        <v>0</v>
      </c>
      <c r="M1149">
        <f>RTD("nest.scriprtd",,"bse_cm|950KLMAF25","Open")</f>
        <v>0</v>
      </c>
      <c r="N1149">
        <f>RTD("nest.scriprtd",,"bse_cm|950KLMAF25","High")</f>
        <v>975</v>
      </c>
      <c r="O1149">
        <f>RTD("nest.scriprtd",,"bse_cm|950KLMAF25","Low ")</f>
        <v>975</v>
      </c>
      <c r="P1149">
        <f>RTD("nest.scriprtd",,"bse_cm|950KLMAF25","Prev Close")</f>
        <v>975</v>
      </c>
      <c r="Q1149">
        <f>RTD("nest.scriprtd",,"bse_cm|950KLMAF25","Face Value")</f>
        <v>1000</v>
      </c>
      <c r="R1149" t="str">
        <f>RTD("nest.scriprtd",,"bse_cm|950KLMAF25","Isin code")</f>
        <v>INE01I507786</v>
      </c>
      <c r="S1149" s="9">
        <f>Table1[[#This Row],[Ask Rate]]*Table1[[#This Row],[Ask Qty]]</f>
        <v>0</v>
      </c>
      <c r="T1149">
        <f>VLOOKUP(Table1[[#This Row],[Isin code]],Table2[#All],7,FALSE)</f>
        <v>9.5</v>
      </c>
      <c r="U1149" s="17" t="str">
        <f>VLOOKUP(Table1[[#This Row],[Isin code]],Table2[#All],8,FALSE)</f>
        <v>07-Mar-2025</v>
      </c>
      <c r="V1149" s="10">
        <f ca="1">Table1[[#This Row],[Maturity]]-TODAY()</f>
        <v>142</v>
      </c>
      <c r="W1149" t="str">
        <f>VLOOKUP(Table1[[#This Row],[Isin code]],Table2[#All],10,FALSE)</f>
        <v>Yearly</v>
      </c>
      <c r="X1149">
        <f ca="1">_xlfn.DAYS(Table1[[#This Row],[Maturity]],TODAY())-15</f>
        <v>127</v>
      </c>
      <c r="Y11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49">
        <f>IF(Table1[[#This Row],[Ask Rate]]=0,0,Table1[[#This Row],[Face Value]]-Table1[[#This Row],[Ask Rate]])</f>
        <v>0</v>
      </c>
      <c r="AA1149">
        <f>IF(Table1[[#This Row],[Freq]]="Yearly",Table1[[#This Row],[Coupon_Rate]]/100,IF(Table1[[#This Row],[Freq]]="Monthly",Table1[[#This Row],[Coupon_Rate]]/1200,IF(Table1[[#This Row],[Freq]]="Quarterly",Table1[[#This Row],[Coupon_Rate]]/400,0)))</f>
        <v>9.5000000000000001E-2</v>
      </c>
      <c r="AB1149">
        <f ca="1">Table1[[#This Row],[Face Value]]*Table1[[#This Row],[Rate]]*Table1[[#This Row],[Time]]</f>
        <v>95</v>
      </c>
      <c r="AC1149">
        <f ca="1">Table1[[#This Row],[SI]]+Table1[[#This Row],[Disc/Prem]]</f>
        <v>95</v>
      </c>
      <c r="AD1149" s="3" t="e">
        <f ca="1">Table1[[#This Row],[Net Gain]]/Table1[[#This Row],[Ask Rate]]</f>
        <v>#DIV/0!</v>
      </c>
      <c r="AE1149" s="3">
        <f>IF(Table1[[#This Row],[Ask Qty]]=0,0,Table1[[#This Row],[Gross Yield]]*365/Table1[[#This Row],[Days Left]])</f>
        <v>0</v>
      </c>
      <c r="AF1149" s="9">
        <f ca="1">+Table1[[#This Row],[Net Gain]]*Table1[[#This Row],[Ask Qty]]</f>
        <v>0</v>
      </c>
      <c r="AG1149" t="str">
        <f>IF(Table1[[#This Row],[YTM]]&gt;0.12,IF(Table1[[#This Row],[Gross Profit]]&gt;10000,"Invest","Review"),"Low YTM")</f>
        <v>Low YTM</v>
      </c>
    </row>
    <row r="1150" spans="1:33" x14ac:dyDescent="0.3">
      <c r="A1150" t="str">
        <f>RTD("nest.scriprtd",,"bse_cm|950KLM25","Symbol")</f>
        <v>950KLM25</v>
      </c>
      <c r="B1150" t="str">
        <f>RTD("nest.scriprtd",,"bse_cm|950KLM25","Trading Symbol")</f>
        <v>950KLM25</v>
      </c>
      <c r="C1150" t="str">
        <f>RTD("nest.scriprtd",,"bse_cm|950KLM25","Exchange")</f>
        <v>BSE</v>
      </c>
      <c r="D1150">
        <f>RTD("nest.scriprtd",,"bse_cm|950KLM25","Bid Qty")</f>
        <v>16</v>
      </c>
      <c r="E1150">
        <f>RTD("nest.scriprtd",,"bse_cm|950KLM25","Bid Rate")</f>
        <v>835.1</v>
      </c>
      <c r="F1150">
        <f>RTD("nest.scriprtd",,"bse_cm|950KLM25","Ask Rate")</f>
        <v>0</v>
      </c>
      <c r="G1150">
        <f>RTD("nest.scriprtd",,"bse_cm|950KLM25","Ask Qty")</f>
        <v>0</v>
      </c>
      <c r="H1150">
        <f>RTD("nest.scriprtd",,"bse_cm|950KLM25","LTP")</f>
        <v>0</v>
      </c>
      <c r="I1150" t="str">
        <f>RTD("nest.scriprtd",,"bse_cm|950KLM25","LTT")</f>
        <v>00:00:00</v>
      </c>
      <c r="J1150">
        <f>RTD("nest.scriprtd",,"bse_cm|950KLM25","% Change")</f>
        <v>-100</v>
      </c>
      <c r="K1150">
        <f>RTD("nest.scriprtd",,"bse_cm|950KLM25","ATP")</f>
        <v>0</v>
      </c>
      <c r="L1150">
        <f>RTD("nest.scriprtd",,"bse_cm|950KLM25","Volume Traded Today")</f>
        <v>0</v>
      </c>
      <c r="M1150">
        <f>RTD("nest.scriprtd",,"bse_cm|950KLM25","Open")</f>
        <v>0</v>
      </c>
      <c r="N1150">
        <f>RTD("nest.scriprtd",,"bse_cm|950KLM25","High")</f>
        <v>0</v>
      </c>
      <c r="O1150">
        <f>RTD("nest.scriprtd",,"bse_cm|950KLM25","Low ")</f>
        <v>0</v>
      </c>
      <c r="P1150">
        <f>RTD("nest.scriprtd",,"bse_cm|950KLM25","Prev Close")</f>
        <v>1000</v>
      </c>
      <c r="Q1150">
        <f>RTD("nest.scriprtd",,"bse_cm|950KLM25","Face Value")</f>
        <v>1000</v>
      </c>
      <c r="R1150" t="str">
        <f>RTD("nest.scriprtd",,"bse_cm|950KLM25","Isin code")</f>
        <v>INE01I507844</v>
      </c>
      <c r="S1150" s="9">
        <f>Table1[[#This Row],[Ask Rate]]*Table1[[#This Row],[Ask Qty]]</f>
        <v>0</v>
      </c>
      <c r="T1150">
        <f>VLOOKUP(Table1[[#This Row],[Isin code]],Table2[#All],7,FALSE)</f>
        <v>9.5</v>
      </c>
      <c r="U1150" s="17" t="str">
        <f>VLOOKUP(Table1[[#This Row],[Isin code]],Table2[#All],8,FALSE)</f>
        <v>11-Sep-2025</v>
      </c>
      <c r="V1150" s="10">
        <f ca="1">Table1[[#This Row],[Maturity]]-TODAY()</f>
        <v>330</v>
      </c>
      <c r="W1150" t="str">
        <f>VLOOKUP(Table1[[#This Row],[Isin code]],Table2[#All],10,FALSE)</f>
        <v>Monthly</v>
      </c>
      <c r="X1150">
        <f ca="1">_xlfn.DAYS(Table1[[#This Row],[Maturity]],TODAY())-15</f>
        <v>315</v>
      </c>
      <c r="Y115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1150">
        <f>IF(Table1[[#This Row],[Ask Rate]]=0,0,Table1[[#This Row],[Face Value]]-Table1[[#This Row],[Ask Rate]])</f>
        <v>0</v>
      </c>
      <c r="AA1150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1150">
        <f ca="1">Table1[[#This Row],[Face Value]]*Table1[[#This Row],[Rate]]*Table1[[#This Row],[Time]]</f>
        <v>87.083333333333343</v>
      </c>
      <c r="AC1150">
        <f ca="1">Table1[[#This Row],[SI]]+Table1[[#This Row],[Disc/Prem]]</f>
        <v>87.083333333333343</v>
      </c>
      <c r="AD1150" s="3" t="e">
        <f ca="1">Table1[[#This Row],[Net Gain]]/Table1[[#This Row],[Ask Rate]]</f>
        <v>#DIV/0!</v>
      </c>
      <c r="AE1150" s="3">
        <f>IF(Table1[[#This Row],[Ask Qty]]=0,0,Table1[[#This Row],[Gross Yield]]*365/Table1[[#This Row],[Days Left]])</f>
        <v>0</v>
      </c>
      <c r="AF1150" s="9">
        <f ca="1">+Table1[[#This Row],[Net Gain]]*Table1[[#This Row],[Ask Qty]]</f>
        <v>0</v>
      </c>
      <c r="AG1150" t="str">
        <f>IF(Table1[[#This Row],[YTM]]&gt;0.12,IF(Table1[[#This Row],[Gross Profit]]&gt;10000,"Invest","Review"),"Low YTM")</f>
        <v>Low YTM</v>
      </c>
    </row>
    <row r="1151" spans="1:33" x14ac:dyDescent="0.3">
      <c r="A1151" t="str">
        <f>RTD("nest.scriprtd",,"nse_cm|94SCL27-ZG","Symbol")</f>
        <v>94SCL27</v>
      </c>
      <c r="B1151" t="str">
        <f>RTD("nest.scriprtd",,"nse_cm|94SCL27-ZG","Trading Symbol")</f>
        <v>94SCL27-ZG</v>
      </c>
      <c r="C1151" t="str">
        <f>RTD("nest.scriprtd",,"nse_cm|94SCL27-ZG","Exchange")</f>
        <v>NSE</v>
      </c>
      <c r="D1151">
        <f>RTD("nest.scriprtd",,"nse_cm|94SCL27-ZG","Bid Qty")</f>
        <v>10</v>
      </c>
      <c r="E1151">
        <f>RTD("nest.scriprtd",,"nse_cm|94SCL27-ZG","Bid Rate")</f>
        <v>811.25</v>
      </c>
      <c r="F1151">
        <f>RTD("nest.scriprtd",,"nse_cm|94SCL27-ZG","Ask Rate")</f>
        <v>0</v>
      </c>
      <c r="G1151">
        <f>RTD("nest.scriprtd",,"nse_cm|94SCL27-ZG","Ask Qty")</f>
        <v>0</v>
      </c>
      <c r="H1151">
        <f>RTD("nest.scriprtd",,"nse_cm|94SCL27-ZG","LTP")</f>
        <v>0</v>
      </c>
      <c r="I1151" t="str">
        <f>RTD("nest.scriprtd",,"nse_cm|94SCL27-ZG","LTT")</f>
        <v/>
      </c>
      <c r="J1151">
        <f>RTD("nest.scriprtd",,"nse_cm|94SCL27-ZG","% Change")</f>
        <v>-100</v>
      </c>
      <c r="K1151">
        <f>RTD("nest.scriprtd",,"nse_cm|94SCL27-ZG","ATP")</f>
        <v>0</v>
      </c>
      <c r="L1151">
        <f>RTD("nest.scriprtd",,"nse_cm|94SCL27-ZG","Volume Traded Today")</f>
        <v>0</v>
      </c>
      <c r="M1151">
        <f>RTD("nest.scriprtd",,"nse_cm|94SCL27-ZG","Open")</f>
        <v>0</v>
      </c>
      <c r="N1151">
        <f>RTD("nest.scriprtd",,"nse_cm|94SCL27-ZG","High")</f>
        <v>0</v>
      </c>
      <c r="O1151">
        <f>RTD("nest.scriprtd",,"nse_cm|94SCL27-ZG","Low ")</f>
        <v>0</v>
      </c>
      <c r="P1151">
        <f>RTD("nest.scriprtd",,"nse_cm|94SCL27-ZG","Prev Close")</f>
        <v>1000</v>
      </c>
      <c r="Q1151">
        <f>RTD("nest.scriprtd",,"nse_cm|94SCL27-ZG","Face Value")</f>
        <v>1000</v>
      </c>
      <c r="R1151" t="str">
        <f>RTD("nest.scriprtd",,"nse_cm|94SCL27-ZG","Isin code")</f>
        <v>INE148I07TI2</v>
      </c>
      <c r="S1151" s="9">
        <f>Table1[[#This Row],[Ask Rate]]*Table1[[#This Row],[Ask Qty]]</f>
        <v>0</v>
      </c>
      <c r="T1151">
        <f>VLOOKUP(Table1[[#This Row],[Isin code]],Table2[#All],7,FALSE)</f>
        <v>9.4</v>
      </c>
      <c r="U1151" s="17" t="str">
        <f>VLOOKUP(Table1[[#This Row],[Isin code]],Table2[#All],8,FALSE)</f>
        <v>31-May-2027</v>
      </c>
      <c r="V1151" s="10">
        <f ca="1">Table1[[#This Row],[Maturity]]-TODAY()</f>
        <v>957</v>
      </c>
      <c r="W1151" t="str">
        <f>VLOOKUP(Table1[[#This Row],[Isin code]],Table2[#All],10,FALSE)</f>
        <v>Yearly</v>
      </c>
      <c r="X1151">
        <f ca="1">_xlfn.DAYS(Table1[[#This Row],[Maturity]],TODAY())-15</f>
        <v>942</v>
      </c>
      <c r="Y11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51">
        <f>IF(Table1[[#This Row],[Ask Rate]]=0,0,Table1[[#This Row],[Face Value]]-Table1[[#This Row],[Ask Rate]])</f>
        <v>0</v>
      </c>
      <c r="AA1151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1151">
        <f ca="1">Table1[[#This Row],[Face Value]]*Table1[[#This Row],[Rate]]*Table1[[#This Row],[Time]]</f>
        <v>282</v>
      </c>
      <c r="AC1151">
        <f ca="1">Table1[[#This Row],[SI]]+Table1[[#This Row],[Disc/Prem]]</f>
        <v>282</v>
      </c>
      <c r="AD1151" s="3" t="e">
        <f ca="1">Table1[[#This Row],[Net Gain]]/Table1[[#This Row],[Ask Rate]]</f>
        <v>#DIV/0!</v>
      </c>
      <c r="AE1151" s="3">
        <f>IF(Table1[[#This Row],[Ask Qty]]=0,0,Table1[[#This Row],[Gross Yield]]*365/Table1[[#This Row],[Days Left]])</f>
        <v>0</v>
      </c>
      <c r="AF1151" s="9">
        <f ca="1">+Table1[[#This Row],[Net Gain]]*Table1[[#This Row],[Ask Qty]]</f>
        <v>0</v>
      </c>
      <c r="AG1151" t="str">
        <f>IF(Table1[[#This Row],[YTM]]&gt;0.12,IF(Table1[[#This Row],[Gross Profit]]&gt;10000,"Invest","Review"),"Low YTM")</f>
        <v>Low YTM</v>
      </c>
    </row>
    <row r="1152" spans="1:33" x14ac:dyDescent="0.3">
      <c r="A1152" t="str">
        <f>RTD("nest.scriprtd",,"bse_cm|94SCL27","Symbol")</f>
        <v>94SCL27</v>
      </c>
      <c r="B1152" t="str">
        <f>RTD("nest.scriprtd",,"bse_cm|94SCL27","Trading Symbol")</f>
        <v>94SCL27</v>
      </c>
      <c r="C1152" t="str">
        <f>RTD("nest.scriprtd",,"bse_cm|94SCL27","Exchange")</f>
        <v>BSE</v>
      </c>
      <c r="D1152">
        <f>RTD("nest.scriprtd",,"bse_cm|94SCL27","Bid Qty")</f>
        <v>5</v>
      </c>
      <c r="E1152">
        <f>RTD("nest.scriprtd",,"bse_cm|94SCL27","Bid Rate")</f>
        <v>810.2</v>
      </c>
      <c r="F1152">
        <f>RTD("nest.scriprtd",,"bse_cm|94SCL27","Ask Rate")</f>
        <v>0</v>
      </c>
      <c r="G1152">
        <f>RTD("nest.scriprtd",,"bse_cm|94SCL27","Ask Qty")</f>
        <v>0</v>
      </c>
      <c r="H1152">
        <f>RTD("nest.scriprtd",,"bse_cm|94SCL27","LTP")</f>
        <v>0</v>
      </c>
      <c r="I1152" t="str">
        <f>RTD("nest.scriprtd",,"bse_cm|94SCL27","LTT")</f>
        <v>00:00:00</v>
      </c>
      <c r="J1152">
        <f>RTD("nest.scriprtd",,"bse_cm|94SCL27","% Change")</f>
        <v>-100</v>
      </c>
      <c r="K1152">
        <f>RTD("nest.scriprtd",,"bse_cm|94SCL27","ATP")</f>
        <v>0</v>
      </c>
      <c r="L1152">
        <f>RTD("nest.scriprtd",,"bse_cm|94SCL27","Volume Traded Today")</f>
        <v>0</v>
      </c>
      <c r="M1152">
        <f>RTD("nest.scriprtd",,"bse_cm|94SCL27","Open")</f>
        <v>0</v>
      </c>
      <c r="N1152">
        <f>RTD("nest.scriprtd",,"bse_cm|94SCL27","High")</f>
        <v>0</v>
      </c>
      <c r="O1152">
        <f>RTD("nest.scriprtd",,"bse_cm|94SCL27","Low ")</f>
        <v>0</v>
      </c>
      <c r="P1152">
        <f>RTD("nest.scriprtd",,"bse_cm|94SCL27","Prev Close")</f>
        <v>1000</v>
      </c>
      <c r="Q1152">
        <f>RTD("nest.scriprtd",,"bse_cm|94SCL27","Face Value")</f>
        <v>1000</v>
      </c>
      <c r="R1152" t="str">
        <f>RTD("nest.scriprtd",,"bse_cm|94SCL27","Isin code")</f>
        <v>INE148I07TI2</v>
      </c>
      <c r="S1152" s="9">
        <f>Table1[[#This Row],[Ask Rate]]*Table1[[#This Row],[Ask Qty]]</f>
        <v>0</v>
      </c>
      <c r="T1152">
        <f>VLOOKUP(Table1[[#This Row],[Isin code]],Table2[#All],7,FALSE)</f>
        <v>9.4</v>
      </c>
      <c r="U1152" s="17" t="str">
        <f>VLOOKUP(Table1[[#This Row],[Isin code]],Table2[#All],8,FALSE)</f>
        <v>31-May-2027</v>
      </c>
      <c r="V1152" s="10">
        <f ca="1">Table1[[#This Row],[Maturity]]-TODAY()</f>
        <v>957</v>
      </c>
      <c r="W1152" t="str">
        <f>VLOOKUP(Table1[[#This Row],[Isin code]],Table2[#All],10,FALSE)</f>
        <v>Yearly</v>
      </c>
      <c r="X1152">
        <f ca="1">_xlfn.DAYS(Table1[[#This Row],[Maturity]],TODAY())-15</f>
        <v>942</v>
      </c>
      <c r="Y11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52">
        <f>IF(Table1[[#This Row],[Ask Rate]]=0,0,Table1[[#This Row],[Face Value]]-Table1[[#This Row],[Ask Rate]])</f>
        <v>0</v>
      </c>
      <c r="AA1152">
        <f>IF(Table1[[#This Row],[Freq]]="Yearly",Table1[[#This Row],[Coupon_Rate]]/100,IF(Table1[[#This Row],[Freq]]="Monthly",Table1[[#This Row],[Coupon_Rate]]/1200,IF(Table1[[#This Row],[Freq]]="Quarterly",Table1[[#This Row],[Coupon_Rate]]/400,0)))</f>
        <v>9.4E-2</v>
      </c>
      <c r="AB1152">
        <f ca="1">Table1[[#This Row],[Face Value]]*Table1[[#This Row],[Rate]]*Table1[[#This Row],[Time]]</f>
        <v>282</v>
      </c>
      <c r="AC1152">
        <f ca="1">Table1[[#This Row],[SI]]+Table1[[#This Row],[Disc/Prem]]</f>
        <v>282</v>
      </c>
      <c r="AD1152" s="3" t="e">
        <f ca="1">Table1[[#This Row],[Net Gain]]/Table1[[#This Row],[Ask Rate]]</f>
        <v>#DIV/0!</v>
      </c>
      <c r="AE1152" s="3">
        <f>IF(Table1[[#This Row],[Ask Qty]]=0,0,Table1[[#This Row],[Gross Yield]]*365/Table1[[#This Row],[Days Left]])</f>
        <v>0</v>
      </c>
      <c r="AF1152" s="9">
        <f ca="1">+Table1[[#This Row],[Net Gain]]*Table1[[#This Row],[Ask Qty]]</f>
        <v>0</v>
      </c>
      <c r="AG1152" t="str">
        <f>IF(Table1[[#This Row],[YTM]]&gt;0.12,IF(Table1[[#This Row],[Gross Profit]]&gt;10000,"Invest","Review"),"Low YTM")</f>
        <v>Low YTM</v>
      </c>
    </row>
    <row r="1153" spans="1:33" hidden="1" x14ac:dyDescent="0.3">
      <c r="A1153" t="str">
        <f>RTD("nest.scriprtd",,"bse_cm|89SCL24","Symbol")</f>
        <v>89SCL24</v>
      </c>
      <c r="B1153" t="str">
        <f>RTD("nest.scriprtd",,"bse_cm|89SCL24","Trading Symbol")</f>
        <v>89SCL24</v>
      </c>
      <c r="C1153" t="str">
        <f>RTD("nest.scriprtd",,"bse_cm|89SCL24","Exchange")</f>
        <v>BSE</v>
      </c>
      <c r="D1153">
        <f>RTD("nest.scriprtd",,"bse_cm|89SCL24","Bid Qty")</f>
        <v>20</v>
      </c>
      <c r="E1153">
        <f>RTD("nest.scriprtd",,"bse_cm|89SCL24","Bid Rate")</f>
        <v>885.2</v>
      </c>
      <c r="F1153">
        <f>RTD("nest.scriprtd",,"bse_cm|89SCL24","Ask Rate")</f>
        <v>0</v>
      </c>
      <c r="G1153">
        <f>RTD("nest.scriprtd",,"bse_cm|89SCL24","Ask Qty")</f>
        <v>0</v>
      </c>
      <c r="H1153">
        <f>RTD("nest.scriprtd",,"bse_cm|89SCL24","LTP")</f>
        <v>0</v>
      </c>
      <c r="I1153" t="str">
        <f>RTD("nest.scriprtd",,"bse_cm|89SCL24","LTT")</f>
        <v>00:00:00</v>
      </c>
      <c r="J1153">
        <f>RTD("nest.scriprtd",,"bse_cm|89SCL24","% Change")</f>
        <v>-100</v>
      </c>
      <c r="K1153">
        <f>RTD("nest.scriprtd",,"bse_cm|89SCL24","ATP")</f>
        <v>0</v>
      </c>
      <c r="L1153">
        <f>RTD("nest.scriprtd",,"bse_cm|89SCL24","Volume Traded Today")</f>
        <v>0</v>
      </c>
      <c r="M1153">
        <f>RTD("nest.scriprtd",,"bse_cm|89SCL24","Open")</f>
        <v>0</v>
      </c>
      <c r="N1153">
        <f>RTD("nest.scriprtd",,"bse_cm|89SCL24","High")</f>
        <v>0</v>
      </c>
      <c r="O1153">
        <f>RTD("nest.scriprtd",,"bse_cm|89SCL24","Low ")</f>
        <v>0</v>
      </c>
      <c r="P1153">
        <f>RTD("nest.scriprtd",,"bse_cm|89SCL24","Prev Close")</f>
        <v>1000</v>
      </c>
      <c r="Q1153">
        <f>RTD("nest.scriprtd",,"bse_cm|89SCL24","Face Value")</f>
        <v>1000</v>
      </c>
      <c r="R1153" t="str">
        <f>RTD("nest.scriprtd",,"bse_cm|89SCL24","Isin code")</f>
        <v>INE148I07NE4</v>
      </c>
      <c r="S1153" s="9">
        <f>Table1[[#This Row],[Ask Rate]]*Table1[[#This Row],[Ask Qty]]</f>
        <v>0</v>
      </c>
      <c r="T1153">
        <f>VLOOKUP(Table1[[#This Row],[Isin code]],Table2[#All],7,FALSE)</f>
        <v>8.9</v>
      </c>
      <c r="U1153" s="17" t="str">
        <f>VLOOKUP(Table1[[#This Row],[Isin code]],Table2[#All],8,FALSE)</f>
        <v>28-Dec-2024</v>
      </c>
      <c r="V1153" s="10">
        <f ca="1">Table1[[#This Row],[Maturity]]-TODAY()</f>
        <v>73</v>
      </c>
      <c r="W1153" t="str">
        <f>VLOOKUP(Table1[[#This Row],[Isin code]],Table2[#All],10,FALSE)</f>
        <v>Yearly</v>
      </c>
      <c r="X1153">
        <f ca="1">_xlfn.DAYS(Table1[[#This Row],[Maturity]],TODAY())-15</f>
        <v>58</v>
      </c>
      <c r="Y11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53">
        <f>IF(Table1[[#This Row],[Ask Rate]]=0,0,Table1[[#This Row],[Face Value]]-Table1[[#This Row],[Ask Rate]])</f>
        <v>0</v>
      </c>
      <c r="AA1153">
        <f>IF(Table1[[#This Row],[Freq]]="Yearly",Table1[[#This Row],[Coupon_Rate]]/100,IF(Table1[[#This Row],[Freq]]="Monthly",Table1[[#This Row],[Coupon_Rate]]/1200,IF(Table1[[#This Row],[Freq]]="Quarterly",Table1[[#This Row],[Coupon_Rate]]/400,0)))</f>
        <v>8.900000000000001E-2</v>
      </c>
      <c r="AB1153">
        <f ca="1">Table1[[#This Row],[Face Value]]*Table1[[#This Row],[Rate]]*Table1[[#This Row],[Time]]</f>
        <v>89.000000000000014</v>
      </c>
      <c r="AC1153">
        <f ca="1">Table1[[#This Row],[SI]]+Table1[[#This Row],[Disc/Prem]]</f>
        <v>89.000000000000014</v>
      </c>
      <c r="AD1153" s="3" t="e">
        <f ca="1">Table1[[#This Row],[Net Gain]]/Table1[[#This Row],[Ask Rate]]</f>
        <v>#DIV/0!</v>
      </c>
      <c r="AE1153" s="3">
        <f>IF(Table1[[#This Row],[Ask Qty]]=0,0,Table1[[#This Row],[Gross Yield]]*365/Table1[[#This Row],[Days Left]])</f>
        <v>0</v>
      </c>
      <c r="AF1153" s="9">
        <f ca="1">+Table1[[#This Row],[Net Gain]]*Table1[[#This Row],[Ask Qty]]</f>
        <v>0</v>
      </c>
      <c r="AG1153" t="str">
        <f>IF(Table1[[#This Row],[YTM]]&gt;0.12,IF(Table1[[#This Row],[Gross Profit]]&gt;10000,"Invest","Review"),"Low YTM")</f>
        <v>Low YTM</v>
      </c>
    </row>
    <row r="1154" spans="1:33" x14ac:dyDescent="0.3">
      <c r="A1154" t="str">
        <f>RTD("nest.scriprtd",,"bse_cm|898ONE26","Symbol")</f>
        <v>898ONE26</v>
      </c>
      <c r="B1154" t="str">
        <f>RTD("nest.scriprtd",,"bse_cm|898ONE26","Trading Symbol")</f>
        <v>898ONE26</v>
      </c>
      <c r="C1154" t="str">
        <f>RTD("nest.scriprtd",,"bse_cm|898ONE26","Exchange")</f>
        <v>BSE</v>
      </c>
      <c r="D1154">
        <f>RTD("nest.scriprtd",,"bse_cm|898ONE26","Bid Qty")</f>
        <v>50</v>
      </c>
      <c r="E1154">
        <f>RTD("nest.scriprtd",,"bse_cm|898ONE26","Bid Rate")</f>
        <v>860.01</v>
      </c>
      <c r="F1154">
        <f>RTD("nest.scriprtd",,"bse_cm|898ONE26","Ask Rate")</f>
        <v>0</v>
      </c>
      <c r="G1154">
        <f>RTD("nest.scriprtd",,"bse_cm|898ONE26","Ask Qty")</f>
        <v>0</v>
      </c>
      <c r="H1154">
        <f>RTD("nest.scriprtd",,"bse_cm|898ONE26","LTP")</f>
        <v>0</v>
      </c>
      <c r="I1154" t="str">
        <f>RTD("nest.scriprtd",,"bse_cm|898ONE26","LTT")</f>
        <v>00:00:00</v>
      </c>
      <c r="J1154">
        <f>RTD("nest.scriprtd",,"bse_cm|898ONE26","% Change")</f>
        <v>-100</v>
      </c>
      <c r="K1154">
        <f>RTD("nest.scriprtd",,"bse_cm|898ONE26","ATP")</f>
        <v>0</v>
      </c>
      <c r="L1154">
        <f>RTD("nest.scriprtd",,"bse_cm|898ONE26","Volume Traded Today")</f>
        <v>0</v>
      </c>
      <c r="M1154">
        <f>RTD("nest.scriprtd",,"bse_cm|898ONE26","Open")</f>
        <v>0</v>
      </c>
      <c r="N1154">
        <f>RTD("nest.scriprtd",,"bse_cm|898ONE26","High")</f>
        <v>0</v>
      </c>
      <c r="O1154">
        <f>RTD("nest.scriprtd",,"bse_cm|898ONE26","Low ")</f>
        <v>0</v>
      </c>
      <c r="P1154">
        <f>RTD("nest.scriprtd",,"bse_cm|898ONE26","Prev Close")</f>
        <v>1000</v>
      </c>
      <c r="Q1154">
        <f>RTD("nest.scriprtd",,"bse_cm|898ONE26","Face Value")</f>
        <v>1000</v>
      </c>
      <c r="R1154" t="str">
        <f>RTD("nest.scriprtd",,"bse_cm|898ONE26","Isin code")</f>
        <v>INE248U07FK0</v>
      </c>
      <c r="S1154" s="9">
        <f>Table1[[#This Row],[Ask Rate]]*Table1[[#This Row],[Ask Qty]]</f>
        <v>0</v>
      </c>
      <c r="T1154">
        <f>VLOOKUP(Table1[[#This Row],[Isin code]],Table2[#All],7,FALSE)</f>
        <v>8.98</v>
      </c>
      <c r="U1154" s="17" t="str">
        <f>VLOOKUP(Table1[[#This Row],[Isin code]],Table2[#All],8,FALSE)</f>
        <v>12-Jun-2026</v>
      </c>
      <c r="V1154" s="10">
        <f ca="1">Table1[[#This Row],[Maturity]]-TODAY()</f>
        <v>604</v>
      </c>
      <c r="W1154" t="str">
        <f>VLOOKUP(Table1[[#This Row],[Isin code]],Table2[#All],10,FALSE)</f>
        <v>Monthly</v>
      </c>
      <c r="X1154">
        <f ca="1">_xlfn.DAYS(Table1[[#This Row],[Maturity]],TODAY())-15</f>
        <v>589</v>
      </c>
      <c r="Y11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1154">
        <f>IF(Table1[[#This Row],[Ask Rate]]=0,0,Table1[[#This Row],[Face Value]]-Table1[[#This Row],[Ask Rate]])</f>
        <v>0</v>
      </c>
      <c r="AA1154">
        <f>IF(Table1[[#This Row],[Freq]]="Yearly",Table1[[#This Row],[Coupon_Rate]]/100,IF(Table1[[#This Row],[Freq]]="Monthly",Table1[[#This Row],[Coupon_Rate]]/1200,IF(Table1[[#This Row],[Freq]]="Quarterly",Table1[[#This Row],[Coupon_Rate]]/400,0)))</f>
        <v>7.483333333333334E-3</v>
      </c>
      <c r="AB1154">
        <f ca="1">Table1[[#This Row],[Face Value]]*Table1[[#This Row],[Rate]]*Table1[[#This Row],[Time]]</f>
        <v>149.66666666666669</v>
      </c>
      <c r="AC1154">
        <f ca="1">Table1[[#This Row],[SI]]+Table1[[#This Row],[Disc/Prem]]</f>
        <v>149.66666666666669</v>
      </c>
      <c r="AD1154" s="3" t="e">
        <f ca="1">Table1[[#This Row],[Net Gain]]/Table1[[#This Row],[Ask Rate]]</f>
        <v>#DIV/0!</v>
      </c>
      <c r="AE1154" s="3">
        <f>IF(Table1[[#This Row],[Ask Qty]]=0,0,Table1[[#This Row],[Gross Yield]]*365/Table1[[#This Row],[Days Left]])</f>
        <v>0</v>
      </c>
      <c r="AF1154" s="9">
        <f ca="1">+Table1[[#This Row],[Net Gain]]*Table1[[#This Row],[Ask Qty]]</f>
        <v>0</v>
      </c>
      <c r="AG1154" t="str">
        <f>IF(Table1[[#This Row],[YTM]]&gt;0.12,IF(Table1[[#This Row],[Gross Profit]]&gt;10000,"Invest","Review"),"Low YTM")</f>
        <v>Low YTM</v>
      </c>
    </row>
    <row r="1155" spans="1:33" x14ac:dyDescent="0.3">
      <c r="A1155" t="str">
        <f>RTD("nest.scriprtd",,"bse_cm|875KFL26A","Symbol")</f>
        <v>875KFL26A</v>
      </c>
      <c r="B1155" t="str">
        <f>RTD("nest.scriprtd",,"bse_cm|875KFL26A","Trading Symbol")</f>
        <v>875KFL26A</v>
      </c>
      <c r="C1155" t="str">
        <f>RTD("nest.scriprtd",,"bse_cm|875KFL26A","Exchange")</f>
        <v>BSE</v>
      </c>
      <c r="D1155">
        <f>RTD("nest.scriprtd",,"bse_cm|875KFL26A","Bid Qty")</f>
        <v>20</v>
      </c>
      <c r="E1155">
        <f>RTD("nest.scriprtd",,"bse_cm|875KFL26A","Bid Rate")</f>
        <v>825.2</v>
      </c>
      <c r="F1155">
        <f>RTD("nest.scriprtd",,"bse_cm|875KFL26A","Ask Rate")</f>
        <v>0</v>
      </c>
      <c r="G1155">
        <f>RTD("nest.scriprtd",,"bse_cm|875KFL26A","Ask Qty")</f>
        <v>0</v>
      </c>
      <c r="H1155">
        <f>RTD("nest.scriprtd",,"bse_cm|875KFL26A","LTP")</f>
        <v>0</v>
      </c>
      <c r="I1155" t="str">
        <f>RTD("nest.scriprtd",,"bse_cm|875KFL26A","LTT")</f>
        <v>00:00:00</v>
      </c>
      <c r="J1155">
        <f>RTD("nest.scriprtd",,"bse_cm|875KFL26A","% Change")</f>
        <v>-100</v>
      </c>
      <c r="K1155">
        <f>RTD("nest.scriprtd",,"bse_cm|875KFL26A","ATP")</f>
        <v>0</v>
      </c>
      <c r="L1155">
        <f>RTD("nest.scriprtd",,"bse_cm|875KFL26A","Volume Traded Today")</f>
        <v>0</v>
      </c>
      <c r="M1155">
        <f>RTD("nest.scriprtd",,"bse_cm|875KFL26A","Open")</f>
        <v>0</v>
      </c>
      <c r="N1155">
        <f>RTD("nest.scriprtd",,"bse_cm|875KFL26A","High")</f>
        <v>970</v>
      </c>
      <c r="O1155">
        <f>RTD("nest.scriprtd",,"bse_cm|875KFL26A","Low ")</f>
        <v>970</v>
      </c>
      <c r="P1155">
        <f>RTD("nest.scriprtd",,"bse_cm|875KFL26A","Prev Close")</f>
        <v>970</v>
      </c>
      <c r="Q1155">
        <f>RTD("nest.scriprtd",,"bse_cm|875KFL26A","Face Value")</f>
        <v>1000</v>
      </c>
      <c r="R1155" t="str">
        <f>RTD("nest.scriprtd",,"bse_cm|875KFL26A","Isin code")</f>
        <v>INE403Q07EF2</v>
      </c>
      <c r="S1155" s="9">
        <f>Table1[[#This Row],[Ask Rate]]*Table1[[#This Row],[Ask Qty]]</f>
        <v>0</v>
      </c>
      <c r="T1155">
        <f>VLOOKUP(Table1[[#This Row],[Isin code]],Table2[#All],7,FALSE)</f>
        <v>8.75</v>
      </c>
      <c r="U1155" s="17" t="str">
        <f>VLOOKUP(Table1[[#This Row],[Isin code]],Table2[#All],8,FALSE)</f>
        <v>25-Apr-2026</v>
      </c>
      <c r="V1155" s="10">
        <f ca="1">Table1[[#This Row],[Maturity]]-TODAY()</f>
        <v>556</v>
      </c>
      <c r="W1155" t="str">
        <f>VLOOKUP(Table1[[#This Row],[Isin code]],Table2[#All],10,FALSE)</f>
        <v>Monthly</v>
      </c>
      <c r="X1155">
        <f ca="1">_xlfn.DAYS(Table1[[#This Row],[Maturity]],TODAY())-15</f>
        <v>541</v>
      </c>
      <c r="Y11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1155">
        <f>IF(Table1[[#This Row],[Ask Rate]]=0,0,Table1[[#This Row],[Face Value]]-Table1[[#This Row],[Ask Rate]])</f>
        <v>0</v>
      </c>
      <c r="AA1155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1155">
        <f ca="1">Table1[[#This Row],[Face Value]]*Table1[[#This Row],[Rate]]*Table1[[#This Row],[Time]]</f>
        <v>138.54166666666669</v>
      </c>
      <c r="AC1155">
        <f ca="1">Table1[[#This Row],[SI]]+Table1[[#This Row],[Disc/Prem]]</f>
        <v>138.54166666666669</v>
      </c>
      <c r="AD1155" s="3" t="e">
        <f ca="1">Table1[[#This Row],[Net Gain]]/Table1[[#This Row],[Ask Rate]]</f>
        <v>#DIV/0!</v>
      </c>
      <c r="AE1155" s="3">
        <f>IF(Table1[[#This Row],[Ask Qty]]=0,0,Table1[[#This Row],[Gross Yield]]*365/Table1[[#This Row],[Days Left]])</f>
        <v>0</v>
      </c>
      <c r="AF1155" s="9">
        <f ca="1">+Table1[[#This Row],[Net Gain]]*Table1[[#This Row],[Ask Qty]]</f>
        <v>0</v>
      </c>
      <c r="AG1155" t="str">
        <f>IF(Table1[[#This Row],[YTM]]&gt;0.12,IF(Table1[[#This Row],[Gross Profit]]&gt;10000,"Invest","Review"),"Low YTM")</f>
        <v>Low YTM</v>
      </c>
    </row>
    <row r="1156" spans="1:33" x14ac:dyDescent="0.3">
      <c r="A1156" t="str">
        <f>RTD("nest.scriprtd",,"bse_cm|875KFL26","Symbol")</f>
        <v>875KFL26</v>
      </c>
      <c r="B1156" t="str">
        <f>RTD("nest.scriprtd",,"bse_cm|875KFL26","Trading Symbol")</f>
        <v>875KFL26</v>
      </c>
      <c r="C1156" t="str">
        <f>RTD("nest.scriprtd",,"bse_cm|875KFL26","Exchange")</f>
        <v>BSE</v>
      </c>
      <c r="D1156">
        <f>RTD("nest.scriprtd",,"bse_cm|875KFL26","Bid Qty")</f>
        <v>20</v>
      </c>
      <c r="E1156">
        <f>RTD("nest.scriprtd",,"bse_cm|875KFL26","Bid Rate")</f>
        <v>901</v>
      </c>
      <c r="F1156">
        <f>RTD("nest.scriprtd",,"bse_cm|875KFL26","Ask Rate")</f>
        <v>0</v>
      </c>
      <c r="G1156">
        <f>RTD("nest.scriprtd",,"bse_cm|875KFL26","Ask Qty")</f>
        <v>0</v>
      </c>
      <c r="H1156">
        <f>RTD("nest.scriprtd",,"bse_cm|875KFL26","LTP")</f>
        <v>0</v>
      </c>
      <c r="I1156" t="str">
        <f>RTD("nest.scriprtd",,"bse_cm|875KFL26","LTT")</f>
        <v>00:00:00</v>
      </c>
      <c r="J1156">
        <f>RTD("nest.scriprtd",,"bse_cm|875KFL26","% Change")</f>
        <v>-100</v>
      </c>
      <c r="K1156">
        <f>RTD("nest.scriprtd",,"bse_cm|875KFL26","ATP")</f>
        <v>0</v>
      </c>
      <c r="L1156">
        <f>RTD("nest.scriprtd",,"bse_cm|875KFL26","Volume Traded Today")</f>
        <v>0</v>
      </c>
      <c r="M1156">
        <f>RTD("nest.scriprtd",,"bse_cm|875KFL26","Open")</f>
        <v>0</v>
      </c>
      <c r="N1156">
        <f>RTD("nest.scriprtd",,"bse_cm|875KFL26","High")</f>
        <v>975</v>
      </c>
      <c r="O1156">
        <f>RTD("nest.scriprtd",,"bse_cm|875KFL26","Low ")</f>
        <v>975</v>
      </c>
      <c r="P1156">
        <f>RTD("nest.scriprtd",,"bse_cm|875KFL26","Prev Close")</f>
        <v>975</v>
      </c>
      <c r="Q1156">
        <f>RTD("nest.scriprtd",,"bse_cm|875KFL26","Face Value")</f>
        <v>1000</v>
      </c>
      <c r="R1156" t="str">
        <f>RTD("nest.scriprtd",,"bse_cm|875KFL26","Isin code")</f>
        <v>INE403Q07EE5</v>
      </c>
      <c r="S1156" s="9">
        <f>Table1[[#This Row],[Ask Rate]]*Table1[[#This Row],[Ask Qty]]</f>
        <v>0</v>
      </c>
      <c r="T1156">
        <f>VLOOKUP(Table1[[#This Row],[Isin code]],Table2[#All],7,FALSE)</f>
        <v>8.75</v>
      </c>
      <c r="U1156" s="17" t="str">
        <f>VLOOKUP(Table1[[#This Row],[Isin code]],Table2[#All],8,FALSE)</f>
        <v>17-Jan-2026</v>
      </c>
      <c r="V1156" s="10">
        <f ca="1">Table1[[#This Row],[Maturity]]-TODAY()</f>
        <v>458</v>
      </c>
      <c r="W1156" t="str">
        <f>VLOOKUP(Table1[[#This Row],[Isin code]],Table2[#All],10,FALSE)</f>
        <v>Monthly</v>
      </c>
      <c r="X1156">
        <f ca="1">_xlfn.DAYS(Table1[[#This Row],[Maturity]],TODAY())-15</f>
        <v>443</v>
      </c>
      <c r="Y11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1156">
        <f>IF(Table1[[#This Row],[Ask Rate]]=0,0,Table1[[#This Row],[Face Value]]-Table1[[#This Row],[Ask Rate]])</f>
        <v>0</v>
      </c>
      <c r="AA1156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1156">
        <f ca="1">Table1[[#This Row],[Face Value]]*Table1[[#This Row],[Rate]]*Table1[[#This Row],[Time]]</f>
        <v>109.375</v>
      </c>
      <c r="AC1156">
        <f ca="1">Table1[[#This Row],[SI]]+Table1[[#This Row],[Disc/Prem]]</f>
        <v>109.375</v>
      </c>
      <c r="AD1156" s="3" t="e">
        <f ca="1">Table1[[#This Row],[Net Gain]]/Table1[[#This Row],[Ask Rate]]</f>
        <v>#DIV/0!</v>
      </c>
      <c r="AE1156" s="3">
        <f>IF(Table1[[#This Row],[Ask Qty]]=0,0,Table1[[#This Row],[Gross Yield]]*365/Table1[[#This Row],[Days Left]])</f>
        <v>0</v>
      </c>
      <c r="AF1156" s="9">
        <f ca="1">+Table1[[#This Row],[Net Gain]]*Table1[[#This Row],[Ask Qty]]</f>
        <v>0</v>
      </c>
      <c r="AG1156" t="str">
        <f>IF(Table1[[#This Row],[YTM]]&gt;0.12,IF(Table1[[#This Row],[Gross Profit]]&gt;10000,"Invest","Review"),"Low YTM")</f>
        <v>Low YTM</v>
      </c>
    </row>
    <row r="1157" spans="1:33" x14ac:dyDescent="0.3">
      <c r="A1157" t="str">
        <f>RTD("nest.scriprtd",,"bse_cm|875KFL25A","Symbol")</f>
        <v>875KFL25A</v>
      </c>
      <c r="B1157" t="str">
        <f>RTD("nest.scriprtd",,"bse_cm|875KFL25A","Trading Symbol")</f>
        <v>875KFL25A</v>
      </c>
      <c r="C1157" t="str">
        <f>RTD("nest.scriprtd",,"bse_cm|875KFL25A","Exchange")</f>
        <v>BSE</v>
      </c>
      <c r="D1157">
        <f>RTD("nest.scriprtd",,"bse_cm|875KFL25A","Bid Qty")</f>
        <v>45</v>
      </c>
      <c r="E1157">
        <f>RTD("nest.scriprtd",,"bse_cm|875KFL25A","Bid Rate")</f>
        <v>825.81</v>
      </c>
      <c r="F1157">
        <f>RTD("nest.scriprtd",,"bse_cm|875KFL25A","Ask Rate")</f>
        <v>0</v>
      </c>
      <c r="G1157">
        <f>RTD("nest.scriprtd",,"bse_cm|875KFL25A","Ask Qty")</f>
        <v>0</v>
      </c>
      <c r="H1157">
        <f>RTD("nest.scriprtd",,"bse_cm|875KFL25A","LTP")</f>
        <v>0</v>
      </c>
      <c r="I1157" t="str">
        <f>RTD("nest.scriprtd",,"bse_cm|875KFL25A","LTT")</f>
        <v>00:00:00</v>
      </c>
      <c r="J1157">
        <f>RTD("nest.scriprtd",,"bse_cm|875KFL25A","% Change")</f>
        <v>-100</v>
      </c>
      <c r="K1157">
        <f>RTD("nest.scriprtd",,"bse_cm|875KFL25A","ATP")</f>
        <v>0</v>
      </c>
      <c r="L1157">
        <f>RTD("nest.scriprtd",,"bse_cm|875KFL25A","Volume Traded Today")</f>
        <v>0</v>
      </c>
      <c r="M1157">
        <f>RTD("nest.scriprtd",,"bse_cm|875KFL25A","Open")</f>
        <v>0</v>
      </c>
      <c r="N1157">
        <f>RTD("nest.scriprtd",,"bse_cm|875KFL25A","High")</f>
        <v>975</v>
      </c>
      <c r="O1157">
        <f>RTD("nest.scriprtd",,"bse_cm|875KFL25A","Low ")</f>
        <v>945</v>
      </c>
      <c r="P1157">
        <f>RTD("nest.scriprtd",,"bse_cm|875KFL25A","Prev Close")</f>
        <v>975</v>
      </c>
      <c r="Q1157">
        <f>RTD("nest.scriprtd",,"bse_cm|875KFL25A","Face Value")</f>
        <v>1000</v>
      </c>
      <c r="R1157" t="str">
        <f>RTD("nest.scriprtd",,"bse_cm|875KFL25A","Isin code")</f>
        <v>INE403Q07DL2</v>
      </c>
      <c r="S1157" s="9">
        <f>Table1[[#This Row],[Ask Rate]]*Table1[[#This Row],[Ask Qty]]</f>
        <v>0</v>
      </c>
      <c r="T1157">
        <f>VLOOKUP(Table1[[#This Row],[Isin code]],Table2[#All],7,FALSE)</f>
        <v>8.75</v>
      </c>
      <c r="U1157" s="17" t="str">
        <f>VLOOKUP(Table1[[#This Row],[Isin code]],Table2[#All],8,FALSE)</f>
        <v>28-Apr-2025</v>
      </c>
      <c r="V1157" s="10">
        <f ca="1">Table1[[#This Row],[Maturity]]-TODAY()</f>
        <v>194</v>
      </c>
      <c r="W1157" t="str">
        <f>VLOOKUP(Table1[[#This Row],[Isin code]],Table2[#All],10,FALSE)</f>
        <v>Monthly</v>
      </c>
      <c r="X1157">
        <f ca="1">_xlfn.DAYS(Table1[[#This Row],[Maturity]],TODAY())-15</f>
        <v>179</v>
      </c>
      <c r="Y11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157">
        <f>IF(Table1[[#This Row],[Ask Rate]]=0,0,Table1[[#This Row],[Face Value]]-Table1[[#This Row],[Ask Rate]])</f>
        <v>0</v>
      </c>
      <c r="AA1157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1157">
        <f ca="1">Table1[[#This Row],[Face Value]]*Table1[[#This Row],[Rate]]*Table1[[#This Row],[Time]]</f>
        <v>43.75</v>
      </c>
      <c r="AC1157">
        <f ca="1">Table1[[#This Row],[SI]]+Table1[[#This Row],[Disc/Prem]]</f>
        <v>43.75</v>
      </c>
      <c r="AD1157" s="3" t="e">
        <f ca="1">Table1[[#This Row],[Net Gain]]/Table1[[#This Row],[Ask Rate]]</f>
        <v>#DIV/0!</v>
      </c>
      <c r="AE1157" s="3">
        <f>IF(Table1[[#This Row],[Ask Qty]]=0,0,Table1[[#This Row],[Gross Yield]]*365/Table1[[#This Row],[Days Left]])</f>
        <v>0</v>
      </c>
      <c r="AF1157" s="9">
        <f ca="1">+Table1[[#This Row],[Net Gain]]*Table1[[#This Row],[Ask Qty]]</f>
        <v>0</v>
      </c>
      <c r="AG1157" t="str">
        <f>IF(Table1[[#This Row],[YTM]]&gt;0.12,IF(Table1[[#This Row],[Gross Profit]]&gt;10000,"Invest","Review"),"Low YTM")</f>
        <v>Low YTM</v>
      </c>
    </row>
    <row r="1158" spans="1:33" x14ac:dyDescent="0.3">
      <c r="A1158" t="str">
        <f>RTD("nest.scriprtd",,"bse_cm|875KFL2025","Symbol")</f>
        <v>875KFL2025</v>
      </c>
      <c r="B1158" t="str">
        <f>RTD("nest.scriprtd",,"bse_cm|875KFL2025","Trading Symbol")</f>
        <v>875KFL2025</v>
      </c>
      <c r="C1158" t="str">
        <f>RTD("nest.scriprtd",,"bse_cm|875KFL2025","Exchange")</f>
        <v>BSE</v>
      </c>
      <c r="D1158">
        <f>RTD("nest.scriprtd",,"bse_cm|875KFL2025","Bid Qty")</f>
        <v>10</v>
      </c>
      <c r="E1158">
        <f>RTD("nest.scriprtd",,"bse_cm|875KFL2025","Bid Rate")</f>
        <v>836</v>
      </c>
      <c r="F1158">
        <f>RTD("nest.scriprtd",,"bse_cm|875KFL2025","Ask Rate")</f>
        <v>0</v>
      </c>
      <c r="G1158">
        <f>RTD("nest.scriprtd",,"bse_cm|875KFL2025","Ask Qty")</f>
        <v>0</v>
      </c>
      <c r="H1158">
        <f>RTD("nest.scriprtd",,"bse_cm|875KFL2025","LTP")</f>
        <v>0</v>
      </c>
      <c r="I1158" t="str">
        <f>RTD("nest.scriprtd",,"bse_cm|875KFL2025","LTT")</f>
        <v>00:00:00</v>
      </c>
      <c r="J1158">
        <f>RTD("nest.scriprtd",,"bse_cm|875KFL2025","% Change")</f>
        <v>-100</v>
      </c>
      <c r="K1158">
        <f>RTD("nest.scriprtd",,"bse_cm|875KFL2025","ATP")</f>
        <v>0</v>
      </c>
      <c r="L1158">
        <f>RTD("nest.scriprtd",,"bse_cm|875KFL2025","Volume Traded Today")</f>
        <v>0</v>
      </c>
      <c r="M1158">
        <f>RTD("nest.scriprtd",,"bse_cm|875KFL2025","Open")</f>
        <v>0</v>
      </c>
      <c r="N1158">
        <f>RTD("nest.scriprtd",,"bse_cm|875KFL2025","High")</f>
        <v>970</v>
      </c>
      <c r="O1158">
        <f>RTD("nest.scriprtd",,"bse_cm|875KFL2025","Low ")</f>
        <v>970</v>
      </c>
      <c r="P1158">
        <f>RTD("nest.scriprtd",,"bse_cm|875KFL2025","Prev Close")</f>
        <v>970</v>
      </c>
      <c r="Q1158">
        <f>RTD("nest.scriprtd",,"bse_cm|875KFL2025","Face Value")</f>
        <v>1000</v>
      </c>
      <c r="R1158" t="str">
        <f>RTD("nest.scriprtd",,"bse_cm|875KFL2025","Isin code")</f>
        <v>INE403Q07DT5</v>
      </c>
      <c r="S1158" s="9">
        <f>Table1[[#This Row],[Ask Rate]]*Table1[[#This Row],[Ask Qty]]</f>
        <v>0</v>
      </c>
      <c r="T1158">
        <f>VLOOKUP(Table1[[#This Row],[Isin code]],Table2[#All],7,FALSE)</f>
        <v>8.75</v>
      </c>
      <c r="U1158" s="17" t="str">
        <f>VLOOKUP(Table1[[#This Row],[Isin code]],Table2[#All],8,FALSE)</f>
        <v>27-Sep-2025</v>
      </c>
      <c r="V1158" s="10">
        <f ca="1">Table1[[#This Row],[Maturity]]-TODAY()</f>
        <v>346</v>
      </c>
      <c r="W1158" t="str">
        <f>VLOOKUP(Table1[[#This Row],[Isin code]],Table2[#All],10,FALSE)</f>
        <v>MONTHLY</v>
      </c>
      <c r="X1158">
        <f ca="1">_xlfn.DAYS(Table1[[#This Row],[Maturity]],TODAY())-15</f>
        <v>331</v>
      </c>
      <c r="Y115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1158">
        <f>IF(Table1[[#This Row],[Ask Rate]]=0,0,Table1[[#This Row],[Face Value]]-Table1[[#This Row],[Ask Rate]])</f>
        <v>0</v>
      </c>
      <c r="AA1158">
        <f>IF(Table1[[#This Row],[Freq]]="Yearly",Table1[[#This Row],[Coupon_Rate]]/100,IF(Table1[[#This Row],[Freq]]="Monthly",Table1[[#This Row],[Coupon_Rate]]/1200,IF(Table1[[#This Row],[Freq]]="Quarterly",Table1[[#This Row],[Coupon_Rate]]/400,0)))</f>
        <v>7.2916666666666668E-3</v>
      </c>
      <c r="AB1158">
        <f ca="1">Table1[[#This Row],[Face Value]]*Table1[[#This Row],[Rate]]*Table1[[#This Row],[Time]]</f>
        <v>87.5</v>
      </c>
      <c r="AC1158">
        <f ca="1">Table1[[#This Row],[SI]]+Table1[[#This Row],[Disc/Prem]]</f>
        <v>87.5</v>
      </c>
      <c r="AD1158" s="3" t="e">
        <f ca="1">Table1[[#This Row],[Net Gain]]/Table1[[#This Row],[Ask Rate]]</f>
        <v>#DIV/0!</v>
      </c>
      <c r="AE1158" s="3">
        <f>IF(Table1[[#This Row],[Ask Qty]]=0,0,Table1[[#This Row],[Gross Yield]]*365/Table1[[#This Row],[Days Left]])</f>
        <v>0</v>
      </c>
      <c r="AF1158" s="9">
        <f ca="1">+Table1[[#This Row],[Net Gain]]*Table1[[#This Row],[Ask Qty]]</f>
        <v>0</v>
      </c>
      <c r="AG1158" t="str">
        <f>IF(Table1[[#This Row],[YTM]]&gt;0.12,IF(Table1[[#This Row],[Gross Profit]]&gt;10000,"Invest","Review"),"Low YTM")</f>
        <v>Low YTM</v>
      </c>
    </row>
    <row r="1159" spans="1:33" x14ac:dyDescent="0.3">
      <c r="A1159" t="str">
        <f>RTD("nest.scriprtd",,"bse_cm|1050MML28","Symbol")</f>
        <v>1050MML28</v>
      </c>
      <c r="B1159" t="str">
        <f>RTD("nest.scriprtd",,"bse_cm|1050MML28","Trading Symbol")</f>
        <v>1050MML28</v>
      </c>
      <c r="C1159" t="str">
        <f>RTD("nest.scriprtd",,"bse_cm|1050MML28","Exchange")</f>
        <v>BSE</v>
      </c>
      <c r="D1159">
        <f>RTD("nest.scriprtd",,"bse_cm|1050MML28","Bid Qty")</f>
        <v>10</v>
      </c>
      <c r="E1159">
        <f>RTD("nest.scriprtd",,"bse_cm|1050MML28","Bid Rate")</f>
        <v>901</v>
      </c>
      <c r="F1159">
        <f>RTD("nest.scriprtd",,"bse_cm|1050MML28","Ask Rate")</f>
        <v>0</v>
      </c>
      <c r="G1159">
        <f>RTD("nest.scriprtd",,"bse_cm|1050MML28","Ask Qty")</f>
        <v>0</v>
      </c>
      <c r="H1159">
        <f>RTD("nest.scriprtd",,"bse_cm|1050MML28","LTP")</f>
        <v>0</v>
      </c>
      <c r="I1159" t="str">
        <f>RTD("nest.scriprtd",,"bse_cm|1050MML28","LTT")</f>
        <v>00:00:00</v>
      </c>
      <c r="J1159">
        <f>RTD("nest.scriprtd",,"bse_cm|1050MML28","% Change")</f>
        <v>-100</v>
      </c>
      <c r="K1159">
        <f>RTD("nest.scriprtd",,"bse_cm|1050MML28","ATP")</f>
        <v>0</v>
      </c>
      <c r="L1159">
        <f>RTD("nest.scriprtd",,"bse_cm|1050MML28","Volume Traded Today")</f>
        <v>0</v>
      </c>
      <c r="M1159">
        <f>RTD("nest.scriprtd",,"bse_cm|1050MML28","Open")</f>
        <v>0</v>
      </c>
      <c r="N1159">
        <f>RTD("nest.scriprtd",,"bse_cm|1050MML28","High")</f>
        <v>1000</v>
      </c>
      <c r="O1159">
        <f>RTD("nest.scriprtd",,"bse_cm|1050MML28","Low ")</f>
        <v>1000</v>
      </c>
      <c r="P1159">
        <f>RTD("nest.scriprtd",,"bse_cm|1050MML28","Prev Close")</f>
        <v>1000</v>
      </c>
      <c r="Q1159">
        <f>RTD("nest.scriprtd",,"bse_cm|1050MML28","Face Value")</f>
        <v>1000</v>
      </c>
      <c r="R1159" t="str">
        <f>RTD("nest.scriprtd",,"bse_cm|1050MML28","Isin code")</f>
        <v>INE05F407BB6</v>
      </c>
      <c r="S1159" s="9">
        <f>Table1[[#This Row],[Ask Rate]]*Table1[[#This Row],[Ask Qty]]</f>
        <v>0</v>
      </c>
      <c r="T1159">
        <f>VLOOKUP(Table1[[#This Row],[Isin code]],Table2[#All],7,FALSE)</f>
        <v>10.5</v>
      </c>
      <c r="U1159" s="17" t="str">
        <f>VLOOKUP(Table1[[#This Row],[Isin code]],Table2[#All],8,FALSE)</f>
        <v>21-Dec-2028</v>
      </c>
      <c r="V1159" s="10">
        <f ca="1">Table1[[#This Row],[Maturity]]-TODAY()</f>
        <v>1527</v>
      </c>
      <c r="W1159" t="str">
        <f>VLOOKUP(Table1[[#This Row],[Isin code]],Table2[#All],10,FALSE)</f>
        <v>Monthly</v>
      </c>
      <c r="X1159">
        <f ca="1">_xlfn.DAYS(Table1[[#This Row],[Maturity]],TODAY())-15</f>
        <v>1512</v>
      </c>
      <c r="Y11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1159">
        <f>IF(Table1[[#This Row],[Ask Rate]]=0,0,Table1[[#This Row],[Face Value]]-Table1[[#This Row],[Ask Rate]])</f>
        <v>0</v>
      </c>
      <c r="AA1159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1159">
        <f ca="1">Table1[[#This Row],[Face Value]]*Table1[[#This Row],[Rate]]*Table1[[#This Row],[Time]]</f>
        <v>446.25</v>
      </c>
      <c r="AC1159">
        <f ca="1">Table1[[#This Row],[SI]]+Table1[[#This Row],[Disc/Prem]]</f>
        <v>446.25</v>
      </c>
      <c r="AD1159" s="3" t="e">
        <f ca="1">Table1[[#This Row],[Net Gain]]/Table1[[#This Row],[Ask Rate]]</f>
        <v>#DIV/0!</v>
      </c>
      <c r="AE1159" s="3">
        <f>IF(Table1[[#This Row],[Ask Qty]]=0,0,Table1[[#This Row],[Gross Yield]]*365/Table1[[#This Row],[Days Left]])</f>
        <v>0</v>
      </c>
      <c r="AF1159" s="9">
        <f ca="1">+Table1[[#This Row],[Net Gain]]*Table1[[#This Row],[Ask Qty]]</f>
        <v>0</v>
      </c>
      <c r="AG1159" t="str">
        <f>IF(Table1[[#This Row],[YTM]]&gt;0.12,IF(Table1[[#This Row],[Gross Profit]]&gt;10000,"Invest","Review"),"Low YTM")</f>
        <v>Low YTM</v>
      </c>
    </row>
    <row r="1160" spans="1:33" x14ac:dyDescent="0.3">
      <c r="A1160" t="str">
        <f>RTD("nest.scriprtd",,"bse_cm|1050KAFL27","Symbol")</f>
        <v>1050KAFL27</v>
      </c>
      <c r="B1160" t="str">
        <f>RTD("nest.scriprtd",,"bse_cm|1050KAFL27","Trading Symbol")</f>
        <v>1050KAFL27</v>
      </c>
      <c r="C1160" t="str">
        <f>RTD("nest.scriprtd",,"bse_cm|1050KAFL27","Exchange")</f>
        <v>BSE</v>
      </c>
      <c r="D1160">
        <f>RTD("nest.scriprtd",,"bse_cm|1050KAFL27","Bid Qty")</f>
        <v>16</v>
      </c>
      <c r="E1160">
        <f>RTD("nest.scriprtd",,"bse_cm|1050KAFL27","Bid Rate")</f>
        <v>825.45</v>
      </c>
      <c r="F1160">
        <f>RTD("nest.scriprtd",,"bse_cm|1050KAFL27","Ask Rate")</f>
        <v>0</v>
      </c>
      <c r="G1160">
        <f>RTD("nest.scriprtd",,"bse_cm|1050KAFL27","Ask Qty")</f>
        <v>0</v>
      </c>
      <c r="H1160">
        <f>RTD("nest.scriprtd",,"bse_cm|1050KAFL27","LTP")</f>
        <v>0</v>
      </c>
      <c r="I1160" t="str">
        <f>RTD("nest.scriprtd",,"bse_cm|1050KAFL27","LTT")</f>
        <v>00:00:00</v>
      </c>
      <c r="J1160">
        <f>RTD("nest.scriprtd",,"bse_cm|1050KAFL27","% Change")</f>
        <v>-100</v>
      </c>
      <c r="K1160">
        <f>RTD("nest.scriprtd",,"bse_cm|1050KAFL27","ATP")</f>
        <v>0</v>
      </c>
      <c r="L1160">
        <f>RTD("nest.scriprtd",,"bse_cm|1050KAFL27","Volume Traded Today")</f>
        <v>0</v>
      </c>
      <c r="M1160">
        <f>RTD("nest.scriprtd",,"bse_cm|1050KAFL27","Open")</f>
        <v>0</v>
      </c>
      <c r="N1160">
        <f>RTD("nest.scriprtd",,"bse_cm|1050KAFL27","High")</f>
        <v>0</v>
      </c>
      <c r="O1160">
        <f>RTD("nest.scriprtd",,"bse_cm|1050KAFL27","Low ")</f>
        <v>0</v>
      </c>
      <c r="P1160">
        <f>RTD("nest.scriprtd",,"bse_cm|1050KAFL27","Prev Close")</f>
        <v>1000</v>
      </c>
      <c r="Q1160">
        <f>RTD("nest.scriprtd",,"bse_cm|1050KAFL27","Face Value")</f>
        <v>1000</v>
      </c>
      <c r="R1160" t="str">
        <f>RTD("nest.scriprtd",,"bse_cm|1050KAFL27","Isin code")</f>
        <v>INE01I507AC4</v>
      </c>
      <c r="S1160" s="9">
        <f>Table1[[#This Row],[Ask Rate]]*Table1[[#This Row],[Ask Qty]]</f>
        <v>0</v>
      </c>
      <c r="T1160">
        <f>VLOOKUP(Table1[[#This Row],[Isin code]],Table2[#All],7,FALSE)</f>
        <v>10.5</v>
      </c>
      <c r="U1160" s="17" t="str">
        <f>VLOOKUP(Table1[[#This Row],[Isin code]],Table2[#All],8,FALSE)</f>
        <v>07-Aug-2027</v>
      </c>
      <c r="V1160" s="10">
        <f ca="1">Table1[[#This Row],[Maturity]]-TODAY()</f>
        <v>1025</v>
      </c>
      <c r="W1160" t="str">
        <f>VLOOKUP(Table1[[#This Row],[Isin code]],Table2[#All],10,FALSE)</f>
        <v>ANNUALY</v>
      </c>
      <c r="X1160">
        <f ca="1">_xlfn.DAYS(Table1[[#This Row],[Maturity]],TODAY())-15</f>
        <v>1010</v>
      </c>
      <c r="Y116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60">
        <f>IF(Table1[[#This Row],[Ask Rate]]=0,0,Table1[[#This Row],[Face Value]]-Table1[[#This Row],[Ask Rate]])</f>
        <v>0</v>
      </c>
      <c r="AA116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60">
        <f>Table1[[#This Row],[Face Value]]*Table1[[#This Row],[Rate]]*Table1[[#This Row],[Time]]</f>
        <v>0</v>
      </c>
      <c r="AC1160">
        <f>Table1[[#This Row],[SI]]+Table1[[#This Row],[Disc/Prem]]</f>
        <v>0</v>
      </c>
      <c r="AD1160" s="3" t="e">
        <f>Table1[[#This Row],[Net Gain]]/Table1[[#This Row],[Ask Rate]]</f>
        <v>#DIV/0!</v>
      </c>
      <c r="AE1160" s="3">
        <f>IF(Table1[[#This Row],[Ask Qty]]=0,0,Table1[[#This Row],[Gross Yield]]*365/Table1[[#This Row],[Days Left]])</f>
        <v>0</v>
      </c>
      <c r="AF1160" s="9">
        <f>+Table1[[#This Row],[Net Gain]]*Table1[[#This Row],[Ask Qty]]</f>
        <v>0</v>
      </c>
      <c r="AG1160" t="str">
        <f>IF(Table1[[#This Row],[YTM]]&gt;0.12,IF(Table1[[#This Row],[Gross Profit]]&gt;10000,"Invest","Review"),"Low YTM")</f>
        <v>Low YTM</v>
      </c>
    </row>
    <row r="1161" spans="1:33" hidden="1" x14ac:dyDescent="0.3">
      <c r="A1161" t="str">
        <f>RTD("nest.scriprtd",,"bse_cm|1050KAFL25","Symbol")</f>
        <v>1050KAFL25</v>
      </c>
      <c r="B1161" t="str">
        <f>RTD("nest.scriprtd",,"bse_cm|1050KAFL25","Trading Symbol")</f>
        <v>1050KAFL25</v>
      </c>
      <c r="C1161" t="str">
        <f>RTD("nest.scriprtd",,"bse_cm|1050KAFL25","Exchange")</f>
        <v>BSE</v>
      </c>
      <c r="D1161">
        <f>RTD("nest.scriprtd",,"bse_cm|1050KAFL25","Bid Qty")</f>
        <v>20</v>
      </c>
      <c r="E1161">
        <f>RTD("nest.scriprtd",,"bse_cm|1050KAFL25","Bid Rate")</f>
        <v>850.2</v>
      </c>
      <c r="F1161">
        <f>RTD("nest.scriprtd",,"bse_cm|1050KAFL25","Ask Rate")</f>
        <v>0</v>
      </c>
      <c r="G1161">
        <f>RTD("nest.scriprtd",,"bse_cm|1050KAFL25","Ask Qty")</f>
        <v>0</v>
      </c>
      <c r="H1161">
        <f>RTD("nest.scriprtd",,"bse_cm|1050KAFL25","LTP")</f>
        <v>0</v>
      </c>
      <c r="I1161" t="str">
        <f>RTD("nest.scriprtd",,"bse_cm|1050KAFL25","LTT")</f>
        <v>00:00:00</v>
      </c>
      <c r="J1161">
        <f>RTD("nest.scriprtd",,"bse_cm|1050KAFL25","% Change")</f>
        <v>-100</v>
      </c>
      <c r="K1161">
        <f>RTD("nest.scriprtd",,"bse_cm|1050KAFL25","ATP")</f>
        <v>0</v>
      </c>
      <c r="L1161">
        <f>RTD("nest.scriprtd",,"bse_cm|1050KAFL25","Volume Traded Today")</f>
        <v>0</v>
      </c>
      <c r="M1161">
        <f>RTD("nest.scriprtd",,"bse_cm|1050KAFL25","Open")</f>
        <v>0</v>
      </c>
      <c r="N1161">
        <f>RTD("nest.scriprtd",,"bse_cm|1050KAFL25","High")</f>
        <v>0</v>
      </c>
      <c r="O1161">
        <f>RTD("nest.scriprtd",,"bse_cm|1050KAFL25","Low ")</f>
        <v>0</v>
      </c>
      <c r="P1161">
        <f>RTD("nest.scriprtd",,"bse_cm|1050KAFL25","Prev Close")</f>
        <v>1000</v>
      </c>
      <c r="Q1161">
        <f>RTD("nest.scriprtd",,"bse_cm|1050KAFL25","Face Value")</f>
        <v>1000</v>
      </c>
      <c r="R1161" t="str">
        <f>RTD("nest.scriprtd",,"bse_cm|1050KAFL25","Isin code")</f>
        <v>INE01I507562</v>
      </c>
      <c r="S1161" s="9">
        <f>Table1[[#This Row],[Ask Rate]]*Table1[[#This Row],[Ask Qty]]</f>
        <v>0</v>
      </c>
      <c r="T1161">
        <f>VLOOKUP(Table1[[#This Row],[Isin code]],Table2[#All],7,FALSE)</f>
        <v>10.5</v>
      </c>
      <c r="U1161" s="17" t="str">
        <f>VLOOKUP(Table1[[#This Row],[Isin code]],Table2[#All],8,FALSE)</f>
        <v>15-Mar-2025</v>
      </c>
      <c r="V1161" s="10">
        <f ca="1">Table1[[#This Row],[Maturity]]-TODAY()</f>
        <v>150</v>
      </c>
      <c r="W1161" t="str">
        <f>VLOOKUP(Table1[[#This Row],[Isin code]],Table2[#All],10,FALSE)</f>
        <v>Yearly</v>
      </c>
      <c r="X1161">
        <f ca="1">_xlfn.DAYS(Table1[[#This Row],[Maturity]],TODAY())-15</f>
        <v>135</v>
      </c>
      <c r="Y11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61">
        <f>IF(Table1[[#This Row],[Ask Rate]]=0,0,Table1[[#This Row],[Face Value]]-Table1[[#This Row],[Ask Rate]])</f>
        <v>0</v>
      </c>
      <c r="AA1161">
        <f>IF(Table1[[#This Row],[Freq]]="Yearly",Table1[[#This Row],[Coupon_Rate]]/100,IF(Table1[[#This Row],[Freq]]="Monthly",Table1[[#This Row],[Coupon_Rate]]/1200,IF(Table1[[#This Row],[Freq]]="Quarterly",Table1[[#This Row],[Coupon_Rate]]/400,0)))</f>
        <v>0.105</v>
      </c>
      <c r="AB1161">
        <f ca="1">Table1[[#This Row],[Face Value]]*Table1[[#This Row],[Rate]]*Table1[[#This Row],[Time]]</f>
        <v>105</v>
      </c>
      <c r="AC1161">
        <f ca="1">Table1[[#This Row],[SI]]+Table1[[#This Row],[Disc/Prem]]</f>
        <v>105</v>
      </c>
      <c r="AD1161" s="3" t="e">
        <f ca="1">Table1[[#This Row],[Net Gain]]/Table1[[#This Row],[Ask Rate]]</f>
        <v>#DIV/0!</v>
      </c>
      <c r="AE1161" s="3">
        <f>IF(Table1[[#This Row],[Ask Qty]]=0,0,Table1[[#This Row],[Gross Yield]]*365/Table1[[#This Row],[Days Left]])</f>
        <v>0</v>
      </c>
      <c r="AF1161" s="9">
        <f ca="1">+Table1[[#This Row],[Net Gain]]*Table1[[#This Row],[Ask Qty]]</f>
        <v>0</v>
      </c>
      <c r="AG1161" t="str">
        <f>IF(Table1[[#This Row],[YTM]]&gt;0.12,IF(Table1[[#This Row],[Gross Profit]]&gt;10000,"Invest","Review"),"Low YTM")</f>
        <v>Low YTM</v>
      </c>
    </row>
    <row r="1162" spans="1:33" hidden="1" x14ac:dyDescent="0.3">
      <c r="A1162" t="str">
        <f>RTD("nest.scriprtd",,"bse_cm|913ICCL24A","Symbol")</f>
        <v>913ICCL24A</v>
      </c>
      <c r="B1162" t="str">
        <f>RTD("nest.scriprtd",,"bse_cm|913ICCL24A","Trading Symbol")</f>
        <v>913ICCL24A</v>
      </c>
      <c r="C1162" t="str">
        <f>RTD("nest.scriprtd",,"bse_cm|913ICCL24A","Exchange")</f>
        <v>BSE</v>
      </c>
      <c r="D1162">
        <f>RTD("nest.scriprtd",,"bse_cm|913ICCL24A","Bid Qty")</f>
        <v>20</v>
      </c>
      <c r="E1162">
        <f>RTD("nest.scriprtd",,"bse_cm|913ICCL24A","Bid Rate")</f>
        <v>960.2</v>
      </c>
      <c r="F1162">
        <f>RTD("nest.scriprtd",,"bse_cm|913ICCL24A","Ask Rate")</f>
        <v>0</v>
      </c>
      <c r="G1162">
        <f>RTD("nest.scriprtd",,"bse_cm|913ICCL24A","Ask Qty")</f>
        <v>0</v>
      </c>
      <c r="H1162">
        <f>RTD("nest.scriprtd",,"bse_cm|913ICCL24A","LTP")</f>
        <v>0</v>
      </c>
      <c r="I1162" t="str">
        <f>RTD("nest.scriprtd",,"bse_cm|913ICCL24A","LTT")</f>
        <v>00:00:00</v>
      </c>
      <c r="J1162">
        <f>RTD("nest.scriprtd",,"bse_cm|913ICCL24A","% Change")</f>
        <v>-100</v>
      </c>
      <c r="K1162">
        <f>RTD("nest.scriprtd",,"bse_cm|913ICCL24A","ATP")</f>
        <v>0</v>
      </c>
      <c r="L1162">
        <f>RTD("nest.scriprtd",,"bse_cm|913ICCL24A","Volume Traded Today")</f>
        <v>0</v>
      </c>
      <c r="M1162">
        <f>RTD("nest.scriprtd",,"bse_cm|913ICCL24A","Open")</f>
        <v>0</v>
      </c>
      <c r="N1162">
        <f>RTD("nest.scriprtd",,"bse_cm|913ICCL24A","High")</f>
        <v>0</v>
      </c>
      <c r="O1162">
        <f>RTD("nest.scriprtd",,"bse_cm|913ICCL24A","Low ")</f>
        <v>0</v>
      </c>
      <c r="P1162">
        <f>RTD("nest.scriprtd",,"bse_cm|913ICCL24A","Prev Close")</f>
        <v>1000</v>
      </c>
      <c r="Q1162">
        <f>RTD("nest.scriprtd",,"bse_cm|913ICCL24A","Face Value")</f>
        <v>1000</v>
      </c>
      <c r="R1162" t="str">
        <f>RTD("nest.scriprtd",,"bse_cm|913ICCL24A","Isin code")</f>
        <v>INE244L07291</v>
      </c>
      <c r="S1162" s="9">
        <f>Table1[[#This Row],[Ask Rate]]*Table1[[#This Row],[Ask Qty]]</f>
        <v>0</v>
      </c>
      <c r="T1162">
        <f>VLOOKUP(Table1[[#This Row],[Isin code]],Table2[#All],7,FALSE)</f>
        <v>0</v>
      </c>
      <c r="U1162" s="17" t="str">
        <f>VLOOKUP(Table1[[#This Row],[Isin code]],Table2[#All],8,FALSE)</f>
        <v>02-Feb-2025</v>
      </c>
      <c r="V1162" s="10">
        <f ca="1">Table1[[#This Row],[Maturity]]-TODAY()</f>
        <v>109</v>
      </c>
      <c r="W1162" t="str">
        <f>VLOOKUP(Table1[[#This Row],[Isin code]],Table2[#All],10,FALSE)</f>
        <v>0</v>
      </c>
      <c r="X1162">
        <f ca="1">_xlfn.DAYS(Table1[[#This Row],[Maturity]],TODAY())-15</f>
        <v>94</v>
      </c>
      <c r="Y116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62">
        <f>IF(Table1[[#This Row],[Ask Rate]]=0,0,Table1[[#This Row],[Face Value]]-Table1[[#This Row],[Ask Rate]])</f>
        <v>0</v>
      </c>
      <c r="AA116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62">
        <f>Table1[[#This Row],[Face Value]]*Table1[[#This Row],[Rate]]*Table1[[#This Row],[Time]]</f>
        <v>0</v>
      </c>
      <c r="AC1162">
        <f>Table1[[#This Row],[SI]]+Table1[[#This Row],[Disc/Prem]]</f>
        <v>0</v>
      </c>
      <c r="AD1162" s="3" t="e">
        <f>Table1[[#This Row],[Net Gain]]/Table1[[#This Row],[Ask Rate]]</f>
        <v>#DIV/0!</v>
      </c>
      <c r="AE1162" s="3">
        <f>IF(Table1[[#This Row],[Ask Qty]]=0,0,Table1[[#This Row],[Gross Yield]]*365/Table1[[#This Row],[Days Left]])</f>
        <v>0</v>
      </c>
      <c r="AF1162" s="9">
        <f>+Table1[[#This Row],[Net Gain]]*Table1[[#This Row],[Ask Qty]]</f>
        <v>0</v>
      </c>
      <c r="AG1162" t="str">
        <f>IF(Table1[[#This Row],[YTM]]&gt;0.12,IF(Table1[[#This Row],[Gross Profit]]&gt;10000,"Invest","Review"),"Low YTM")</f>
        <v>Low YTM</v>
      </c>
    </row>
    <row r="1163" spans="1:33" x14ac:dyDescent="0.3">
      <c r="A1163" t="str">
        <f>RTD("nest.scriprtd",,"bse_cm|1080MML26","Symbol")</f>
        <v>1080MML26</v>
      </c>
      <c r="B1163" t="str">
        <f>RTD("nest.scriprtd",,"bse_cm|1080MML26","Trading Symbol")</f>
        <v>1080MML26</v>
      </c>
      <c r="C1163" t="str">
        <f>RTD("nest.scriprtd",,"bse_cm|1080MML26","Exchange")</f>
        <v>BSE</v>
      </c>
      <c r="D1163">
        <f>RTD("nest.scriprtd",,"bse_cm|1080MML26","Bid Qty")</f>
        <v>16</v>
      </c>
      <c r="E1163">
        <f>RTD("nest.scriprtd",,"bse_cm|1080MML26","Bid Rate")</f>
        <v>830.2</v>
      </c>
      <c r="F1163">
        <f>RTD("nest.scriprtd",,"bse_cm|1080MML26","Ask Rate")</f>
        <v>0</v>
      </c>
      <c r="G1163">
        <f>RTD("nest.scriprtd",,"bse_cm|1080MML26","Ask Qty")</f>
        <v>0</v>
      </c>
      <c r="H1163">
        <f>RTD("nest.scriprtd",,"bse_cm|1080MML26","LTP")</f>
        <v>0</v>
      </c>
      <c r="I1163" t="str">
        <f>RTD("nest.scriprtd",,"bse_cm|1080MML26","LTT")</f>
        <v>00:00:00</v>
      </c>
      <c r="J1163">
        <f>RTD("nest.scriprtd",,"bse_cm|1080MML26","% Change")</f>
        <v>-100</v>
      </c>
      <c r="K1163">
        <f>RTD("nest.scriprtd",,"bse_cm|1080MML26","ATP")</f>
        <v>0</v>
      </c>
      <c r="L1163">
        <f>RTD("nest.scriprtd",,"bse_cm|1080MML26","Volume Traded Today")</f>
        <v>0</v>
      </c>
      <c r="M1163">
        <f>RTD("nest.scriprtd",,"bse_cm|1080MML26","Open")</f>
        <v>0</v>
      </c>
      <c r="N1163">
        <f>RTD("nest.scriprtd",,"bse_cm|1080MML26","High")</f>
        <v>0</v>
      </c>
      <c r="O1163">
        <f>RTD("nest.scriprtd",,"bse_cm|1080MML26","Low ")</f>
        <v>0</v>
      </c>
      <c r="P1163">
        <f>RTD("nest.scriprtd",,"bse_cm|1080MML26","Prev Close")</f>
        <v>1000</v>
      </c>
      <c r="Q1163">
        <f>RTD("nest.scriprtd",,"bse_cm|1080MML26","Face Value")</f>
        <v>1000</v>
      </c>
      <c r="R1163" t="str">
        <f>RTD("nest.scriprtd",,"bse_cm|1080MML26","Isin code")</f>
        <v>INE05F407CP4</v>
      </c>
      <c r="S1163" s="9">
        <f>Table1[[#This Row],[Ask Rate]]*Table1[[#This Row],[Ask Qty]]</f>
        <v>0</v>
      </c>
      <c r="T1163">
        <f>VLOOKUP(Table1[[#This Row],[Isin code]],Table2[#All],7,FALSE)</f>
        <v>10.8</v>
      </c>
      <c r="U1163" s="17" t="str">
        <f>VLOOKUP(Table1[[#This Row],[Isin code]],Table2[#All],8,FALSE)</f>
        <v>11-May-2026</v>
      </c>
      <c r="V1163" s="10">
        <f ca="1">Table1[[#This Row],[Maturity]]-TODAY()</f>
        <v>572</v>
      </c>
      <c r="W1163" t="str">
        <f>VLOOKUP(Table1[[#This Row],[Isin code]],Table2[#All],10,FALSE)</f>
        <v>Monthly</v>
      </c>
      <c r="X1163">
        <f ca="1">_xlfn.DAYS(Table1[[#This Row],[Maturity]],TODAY())-15</f>
        <v>557</v>
      </c>
      <c r="Y11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1163">
        <f>IF(Table1[[#This Row],[Ask Rate]]=0,0,Table1[[#This Row],[Face Value]]-Table1[[#This Row],[Ask Rate]])</f>
        <v>0</v>
      </c>
      <c r="AA1163">
        <f>IF(Table1[[#This Row],[Freq]]="Yearly",Table1[[#This Row],[Coupon_Rate]]/100,IF(Table1[[#This Row],[Freq]]="Monthly",Table1[[#This Row],[Coupon_Rate]]/1200,IF(Table1[[#This Row],[Freq]]="Quarterly",Table1[[#This Row],[Coupon_Rate]]/400,0)))</f>
        <v>9.0000000000000011E-3</v>
      </c>
      <c r="AB1163">
        <f ca="1">Table1[[#This Row],[Face Value]]*Table1[[#This Row],[Rate]]*Table1[[#This Row],[Time]]</f>
        <v>171.00000000000003</v>
      </c>
      <c r="AC1163">
        <f ca="1">Table1[[#This Row],[SI]]+Table1[[#This Row],[Disc/Prem]]</f>
        <v>171.00000000000003</v>
      </c>
      <c r="AD1163" s="3" t="e">
        <f ca="1">Table1[[#This Row],[Net Gain]]/Table1[[#This Row],[Ask Rate]]</f>
        <v>#DIV/0!</v>
      </c>
      <c r="AE1163" s="3">
        <f>IF(Table1[[#This Row],[Ask Qty]]=0,0,Table1[[#This Row],[Gross Yield]]*365/Table1[[#This Row],[Days Left]])</f>
        <v>0</v>
      </c>
      <c r="AF1163" s="9">
        <f ca="1">+Table1[[#This Row],[Net Gain]]*Table1[[#This Row],[Ask Qty]]</f>
        <v>0</v>
      </c>
      <c r="AG1163" t="str">
        <f>IF(Table1[[#This Row],[YTM]]&gt;0.12,IF(Table1[[#This Row],[Gross Profit]]&gt;10000,"Invest","Review"),"Low YTM")</f>
        <v>Low YTM</v>
      </c>
    </row>
    <row r="1164" spans="1:33" x14ac:dyDescent="0.3">
      <c r="A1164" t="str">
        <f>RTD("nest.scriprtd",,"bse_cm|850CIFCL26","Symbol")</f>
        <v>850CIFCL26</v>
      </c>
      <c r="B1164" t="str">
        <f>RTD("nest.scriprtd",,"bse_cm|850CIFCL26","Trading Symbol")</f>
        <v>850CIFCL26</v>
      </c>
      <c r="C1164" t="str">
        <f>RTD("nest.scriprtd",,"bse_cm|850CIFCL26","Exchange")</f>
        <v>BSE</v>
      </c>
      <c r="D1164">
        <f>RTD("nest.scriprtd",,"bse_cm|850CIFCL26","Bid Qty")</f>
        <v>75</v>
      </c>
      <c r="E1164">
        <f>RTD("nest.scriprtd",,"bse_cm|850CIFCL26","Bid Rate")</f>
        <v>1044.01</v>
      </c>
      <c r="F1164">
        <f>RTD("nest.scriprtd",,"bse_cm|850CIFCL26","Ask Rate")</f>
        <v>0</v>
      </c>
      <c r="G1164">
        <f>RTD("nest.scriprtd",,"bse_cm|850CIFCL26","Ask Qty")</f>
        <v>0</v>
      </c>
      <c r="H1164">
        <f>RTD("nest.scriprtd",,"bse_cm|850CIFCL26","LTP")</f>
        <v>0</v>
      </c>
      <c r="I1164" t="str">
        <f>RTD("nest.scriprtd",,"bse_cm|850CIFCL26","LTT")</f>
        <v>00:00:00</v>
      </c>
      <c r="J1164">
        <f>RTD("nest.scriprtd",,"bse_cm|850CIFCL26","% Change")</f>
        <v>-100</v>
      </c>
      <c r="K1164">
        <f>RTD("nest.scriprtd",,"bse_cm|850CIFCL26","ATP")</f>
        <v>0</v>
      </c>
      <c r="L1164">
        <f>RTD("nest.scriprtd",,"bse_cm|850CIFCL26","Volume Traded Today")</f>
        <v>0</v>
      </c>
      <c r="M1164">
        <f>RTD("nest.scriprtd",,"bse_cm|850CIFCL26","Open")</f>
        <v>0</v>
      </c>
      <c r="N1164">
        <f>RTD("nest.scriprtd",,"bse_cm|850CIFCL26","High")</f>
        <v>1049</v>
      </c>
      <c r="O1164">
        <f>RTD("nest.scriprtd",,"bse_cm|850CIFCL26","Low ")</f>
        <v>1049</v>
      </c>
      <c r="P1164">
        <f>RTD("nest.scriprtd",,"bse_cm|850CIFCL26","Prev Close")</f>
        <v>1049</v>
      </c>
      <c r="Q1164">
        <f>RTD("nest.scriprtd",,"bse_cm|850CIFCL26","Face Value")</f>
        <v>1000</v>
      </c>
      <c r="R1164" t="str">
        <f>RTD("nest.scriprtd",,"bse_cm|850CIFCL26","Isin code")</f>
        <v>INE121A07RO8</v>
      </c>
      <c r="S1164" s="9">
        <f>Table1[[#This Row],[Ask Rate]]*Table1[[#This Row],[Ask Qty]]</f>
        <v>0</v>
      </c>
      <c r="T1164">
        <f>VLOOKUP(Table1[[#This Row],[Isin code]],Table2[#All],7,FALSE)</f>
        <v>8.5</v>
      </c>
      <c r="U1164" s="17" t="str">
        <f>VLOOKUP(Table1[[#This Row],[Isin code]],Table2[#All],8,FALSE)</f>
        <v>07-Dec-2026</v>
      </c>
      <c r="V1164" s="10">
        <f ca="1">Table1[[#This Row],[Maturity]]-TODAY()</f>
        <v>782</v>
      </c>
      <c r="W1164" t="str">
        <f>VLOOKUP(Table1[[#This Row],[Isin code]],Table2[#All],10,FALSE)</f>
        <v>Yearly</v>
      </c>
      <c r="X1164">
        <f ca="1">_xlfn.DAYS(Table1[[#This Row],[Maturity]],TODAY())-15</f>
        <v>767</v>
      </c>
      <c r="Y11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64">
        <f>IF(Table1[[#This Row],[Ask Rate]]=0,0,Table1[[#This Row],[Face Value]]-Table1[[#This Row],[Ask Rate]])</f>
        <v>0</v>
      </c>
      <c r="AA1164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1164">
        <f ca="1">Table1[[#This Row],[Face Value]]*Table1[[#This Row],[Rate]]*Table1[[#This Row],[Time]]</f>
        <v>255</v>
      </c>
      <c r="AC1164">
        <f ca="1">Table1[[#This Row],[SI]]+Table1[[#This Row],[Disc/Prem]]</f>
        <v>255</v>
      </c>
      <c r="AD1164" s="3" t="e">
        <f ca="1">Table1[[#This Row],[Net Gain]]/Table1[[#This Row],[Ask Rate]]</f>
        <v>#DIV/0!</v>
      </c>
      <c r="AE1164" s="3">
        <f>IF(Table1[[#This Row],[Ask Qty]]=0,0,Table1[[#This Row],[Gross Yield]]*365/Table1[[#This Row],[Days Left]])</f>
        <v>0</v>
      </c>
      <c r="AF1164" s="9">
        <f ca="1">+Table1[[#This Row],[Net Gain]]*Table1[[#This Row],[Ask Qty]]</f>
        <v>0</v>
      </c>
      <c r="AG1164" t="str">
        <f>IF(Table1[[#This Row],[YTM]]&gt;0.12,IF(Table1[[#This Row],[Gross Profit]]&gt;10000,"Invest","Review"),"Low YTM")</f>
        <v>Low YTM</v>
      </c>
    </row>
    <row r="1165" spans="1:33" hidden="1" x14ac:dyDescent="0.3">
      <c r="A1165" t="str">
        <f>RTD("nest.scriprtd",,"bse_cm|865SCL24","Symbol")</f>
        <v>865SCL24</v>
      </c>
      <c r="B1165" t="str">
        <f>RTD("nest.scriprtd",,"bse_cm|865SCL24","Trading Symbol")</f>
        <v>865SCL24</v>
      </c>
      <c r="C1165" t="str">
        <f>RTD("nest.scriprtd",,"bse_cm|865SCL24","Exchange")</f>
        <v>BSE</v>
      </c>
      <c r="D1165">
        <f>RTD("nest.scriprtd",,"bse_cm|865SCL24","Bid Qty")</f>
        <v>20</v>
      </c>
      <c r="E1165">
        <f>RTD("nest.scriprtd",,"bse_cm|865SCL24","Bid Rate")</f>
        <v>830.2</v>
      </c>
      <c r="F1165">
        <f>RTD("nest.scriprtd",,"bse_cm|865SCL24","Ask Rate")</f>
        <v>0</v>
      </c>
      <c r="G1165">
        <f>RTD("nest.scriprtd",,"bse_cm|865SCL24","Ask Qty")</f>
        <v>0</v>
      </c>
      <c r="H1165">
        <f>RTD("nest.scriprtd",,"bse_cm|865SCL24","LTP")</f>
        <v>0</v>
      </c>
      <c r="I1165" t="str">
        <f>RTD("nest.scriprtd",,"bse_cm|865SCL24","LTT")</f>
        <v>00:00:00</v>
      </c>
      <c r="J1165">
        <f>RTD("nest.scriprtd",,"bse_cm|865SCL24","% Change")</f>
        <v>-100</v>
      </c>
      <c r="K1165">
        <f>RTD("nest.scriprtd",,"bse_cm|865SCL24","ATP")</f>
        <v>0</v>
      </c>
      <c r="L1165">
        <f>RTD("nest.scriprtd",,"bse_cm|865SCL24","Volume Traded Today")</f>
        <v>0</v>
      </c>
      <c r="M1165">
        <f>RTD("nest.scriprtd",,"bse_cm|865SCL24","Open")</f>
        <v>0</v>
      </c>
      <c r="N1165">
        <f>RTD("nest.scriprtd",,"bse_cm|865SCL24","High")</f>
        <v>0</v>
      </c>
      <c r="O1165">
        <f>RTD("nest.scriprtd",,"bse_cm|865SCL24","Low ")</f>
        <v>0</v>
      </c>
      <c r="P1165">
        <f>RTD("nest.scriprtd",,"bse_cm|865SCL24","Prev Close")</f>
        <v>1000</v>
      </c>
      <c r="Q1165">
        <f>RTD("nest.scriprtd",,"bse_cm|865SCL24","Face Value")</f>
        <v>1000</v>
      </c>
      <c r="R1165" t="str">
        <f>RTD("nest.scriprtd",,"bse_cm|865SCL24","Isin code")</f>
        <v>INE148I07MM9</v>
      </c>
      <c r="S1165" s="9">
        <f>Table1[[#This Row],[Ask Rate]]*Table1[[#This Row],[Ask Qty]]</f>
        <v>0</v>
      </c>
      <c r="T1165">
        <f>VLOOKUP(Table1[[#This Row],[Isin code]],Table2[#All],7,FALSE)</f>
        <v>8.6499999999999986</v>
      </c>
      <c r="U1165" s="17" t="str">
        <f>VLOOKUP(Table1[[#This Row],[Isin code]],Table2[#All],8,FALSE)</f>
        <v>03-Nov-2024</v>
      </c>
      <c r="V1165" s="10">
        <f ca="1">Table1[[#This Row],[Maturity]]-TODAY()</f>
        <v>18</v>
      </c>
      <c r="W1165" t="str">
        <f>VLOOKUP(Table1[[#This Row],[Isin code]],Table2[#All],10,FALSE)</f>
        <v>Yearly</v>
      </c>
      <c r="X1165">
        <f ca="1">_xlfn.DAYS(Table1[[#This Row],[Maturity]],TODAY())-15</f>
        <v>3</v>
      </c>
      <c r="Y11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65">
        <f>IF(Table1[[#This Row],[Ask Rate]]=0,0,Table1[[#This Row],[Face Value]]-Table1[[#This Row],[Ask Rate]])</f>
        <v>0</v>
      </c>
      <c r="AA1165">
        <f>IF(Table1[[#This Row],[Freq]]="Yearly",Table1[[#This Row],[Coupon_Rate]]/100,IF(Table1[[#This Row],[Freq]]="Monthly",Table1[[#This Row],[Coupon_Rate]]/1200,IF(Table1[[#This Row],[Freq]]="Quarterly",Table1[[#This Row],[Coupon_Rate]]/400,0)))</f>
        <v>8.649999999999998E-2</v>
      </c>
      <c r="AB1165">
        <f ca="1">Table1[[#This Row],[Face Value]]*Table1[[#This Row],[Rate]]*Table1[[#This Row],[Time]]</f>
        <v>86.499999999999986</v>
      </c>
      <c r="AC1165">
        <f ca="1">Table1[[#This Row],[SI]]+Table1[[#This Row],[Disc/Prem]]</f>
        <v>86.499999999999986</v>
      </c>
      <c r="AD1165" s="3" t="e">
        <f ca="1">Table1[[#This Row],[Net Gain]]/Table1[[#This Row],[Ask Rate]]</f>
        <v>#DIV/0!</v>
      </c>
      <c r="AE1165" s="3">
        <f>IF(Table1[[#This Row],[Ask Qty]]=0,0,Table1[[#This Row],[Gross Yield]]*365/Table1[[#This Row],[Days Left]])</f>
        <v>0</v>
      </c>
      <c r="AF1165" s="9">
        <f ca="1">+Table1[[#This Row],[Net Gain]]*Table1[[#This Row],[Ask Qty]]</f>
        <v>0</v>
      </c>
      <c r="AG1165" t="str">
        <f>IF(Table1[[#This Row],[YTM]]&gt;0.12,IF(Table1[[#This Row],[Gross Profit]]&gt;10000,"Invest","Review"),"Low YTM")</f>
        <v>Low YTM</v>
      </c>
    </row>
    <row r="1166" spans="1:33" x14ac:dyDescent="0.3">
      <c r="A1166" t="str">
        <f>RTD("nest.scriprtd",,"nse_cm|865NHB34-N4","Symbol")</f>
        <v>865NHB34</v>
      </c>
      <c r="B1166" t="str">
        <f>RTD("nest.scriprtd",,"nse_cm|865NHB34-N4","Trading Symbol")</f>
        <v>865NHB34-N4</v>
      </c>
      <c r="C1166" t="str">
        <f>RTD("nest.scriprtd",,"nse_cm|865NHB34-N4","Exchange")</f>
        <v>NSE</v>
      </c>
      <c r="D1166">
        <f>RTD("nest.scriprtd",,"nse_cm|865NHB34-N4","Bid Qty")</f>
        <v>200</v>
      </c>
      <c r="E1166">
        <f>RTD("nest.scriprtd",,"nse_cm|865NHB34-N4","Bid Rate")</f>
        <v>6078</v>
      </c>
      <c r="F1166">
        <f>RTD("nest.scriprtd",,"nse_cm|865NHB34-N4","Ask Rate")</f>
        <v>0</v>
      </c>
      <c r="G1166">
        <f>RTD("nest.scriprtd",,"nse_cm|865NHB34-N4","Ask Qty")</f>
        <v>0</v>
      </c>
      <c r="H1166">
        <f>RTD("nest.scriprtd",,"nse_cm|865NHB34-N4","LTP")</f>
        <v>6570</v>
      </c>
      <c r="I1166" t="str">
        <f>RTD("nest.scriprtd",,"nse_cm|865NHB34-N4","LTT")</f>
        <v/>
      </c>
      <c r="J1166">
        <f>RTD("nest.scriprtd",,"nse_cm|865NHB34-N4","% Change")</f>
        <v>0</v>
      </c>
      <c r="K1166">
        <f>RTD("nest.scriprtd",,"nse_cm|865NHB34-N4","ATP")</f>
        <v>0</v>
      </c>
      <c r="L1166">
        <f>RTD("nest.scriprtd",,"nse_cm|865NHB34-N4","Volume Traded Today")</f>
        <v>0</v>
      </c>
      <c r="M1166">
        <f>RTD("nest.scriprtd",,"nse_cm|865NHB34-N4","Open")</f>
        <v>0</v>
      </c>
      <c r="N1166">
        <f>RTD("nest.scriprtd",,"nse_cm|865NHB34-N4","High")</f>
        <v>6570</v>
      </c>
      <c r="O1166">
        <f>RTD("nest.scriprtd",,"nse_cm|865NHB34-N4","Low ")</f>
        <v>6570</v>
      </c>
      <c r="P1166">
        <f>RTD("nest.scriprtd",,"nse_cm|865NHB34-N4","Prev Close")</f>
        <v>6570</v>
      </c>
      <c r="Q1166">
        <f>RTD("nest.scriprtd",,"nse_cm|865NHB34-N4","Face Value")</f>
        <v>5000</v>
      </c>
      <c r="R1166" t="str">
        <f>RTD("nest.scriprtd",,"nse_cm|865NHB34-N4","Isin code")</f>
        <v>INE557F07165</v>
      </c>
      <c r="S1166" s="9">
        <f>Table1[[#This Row],[Ask Rate]]*Table1[[#This Row],[Ask Qty]]</f>
        <v>0</v>
      </c>
      <c r="T1166">
        <f>VLOOKUP(Table1[[#This Row],[Isin code]],Table2[#All],7,FALSE)</f>
        <v>8.65</v>
      </c>
      <c r="U1166" s="17" t="str">
        <f>VLOOKUP(Table1[[#This Row],[Isin code]],Table2[#All],8,FALSE)</f>
        <v>24-Mar-2034</v>
      </c>
      <c r="V1166" s="10">
        <f ca="1">Table1[[#This Row],[Maturity]]-TODAY()</f>
        <v>3446</v>
      </c>
      <c r="W1166" t="str">
        <f>VLOOKUP(Table1[[#This Row],[Isin code]],Table2[#All],10,FALSE)</f>
        <v>Yearly</v>
      </c>
      <c r="X1166">
        <f ca="1">_xlfn.DAYS(Table1[[#This Row],[Maturity]],TODAY())-15</f>
        <v>3431</v>
      </c>
      <c r="Y11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1166">
        <f>IF(Table1[[#This Row],[Ask Rate]]=0,0,Table1[[#This Row],[Face Value]]-Table1[[#This Row],[Ask Rate]])</f>
        <v>0</v>
      </c>
      <c r="AA1166">
        <f>IF(Table1[[#This Row],[Freq]]="Yearly",Table1[[#This Row],[Coupon_Rate]]/100,IF(Table1[[#This Row],[Freq]]="Monthly",Table1[[#This Row],[Coupon_Rate]]/1200,IF(Table1[[#This Row],[Freq]]="Quarterly",Table1[[#This Row],[Coupon_Rate]]/400,0)))</f>
        <v>8.6500000000000007E-2</v>
      </c>
      <c r="AB1166">
        <f ca="1">Table1[[#This Row],[Face Value]]*Table1[[#This Row],[Rate]]*Table1[[#This Row],[Time]]</f>
        <v>4325.0000000000009</v>
      </c>
      <c r="AC1166">
        <f ca="1">Table1[[#This Row],[SI]]+Table1[[#This Row],[Disc/Prem]]</f>
        <v>4325.0000000000009</v>
      </c>
      <c r="AD1166" s="3" t="e">
        <f ca="1">Table1[[#This Row],[Net Gain]]/Table1[[#This Row],[Ask Rate]]</f>
        <v>#DIV/0!</v>
      </c>
      <c r="AE1166" s="3">
        <f>IF(Table1[[#This Row],[Ask Qty]]=0,0,Table1[[#This Row],[Gross Yield]]*365/Table1[[#This Row],[Days Left]])</f>
        <v>0</v>
      </c>
      <c r="AF1166" s="9">
        <f ca="1">+Table1[[#This Row],[Net Gain]]*Table1[[#This Row],[Ask Qty]]</f>
        <v>0</v>
      </c>
      <c r="AG1166" t="str">
        <f>IF(Table1[[#This Row],[YTM]]&gt;0.12,IF(Table1[[#This Row],[Gross Profit]]&gt;10000,"Invest","Review"),"Low YTM")</f>
        <v>Low YTM</v>
      </c>
    </row>
    <row r="1167" spans="1:33" hidden="1" x14ac:dyDescent="0.3">
      <c r="A1167" t="str">
        <f>RTD("nest.scriprtd",,"bse_cm|815LTF24","Symbol")</f>
        <v>815LTF24</v>
      </c>
      <c r="B1167" t="str">
        <f>RTD("nest.scriprtd",,"bse_cm|815LTF24","Trading Symbol")</f>
        <v>815LTF24</v>
      </c>
      <c r="C1167" t="str">
        <f>RTD("nest.scriprtd",,"bse_cm|815LTF24","Exchange")</f>
        <v>BSE</v>
      </c>
      <c r="D1167">
        <f>RTD("nest.scriprtd",,"bse_cm|815LTF24","Bid Qty")</f>
        <v>20</v>
      </c>
      <c r="E1167">
        <f>RTD("nest.scriprtd",,"bse_cm|815LTF24","Bid Rate")</f>
        <v>962.2</v>
      </c>
      <c r="F1167">
        <f>RTD("nest.scriprtd",,"bse_cm|815LTF24","Ask Rate")</f>
        <v>0</v>
      </c>
      <c r="G1167">
        <f>RTD("nest.scriprtd",,"bse_cm|815LTF24","Ask Qty")</f>
        <v>0</v>
      </c>
      <c r="H1167">
        <f>RTD("nest.scriprtd",,"bse_cm|815LTF24","LTP")</f>
        <v>0</v>
      </c>
      <c r="I1167" t="str">
        <f>RTD("nest.scriprtd",,"bse_cm|815LTF24","LTT")</f>
        <v>00:00:00</v>
      </c>
      <c r="J1167">
        <f>RTD("nest.scriprtd",,"bse_cm|815LTF24","% Change")</f>
        <v>-100</v>
      </c>
      <c r="K1167">
        <f>RTD("nest.scriprtd",,"bse_cm|815LTF24","ATP")</f>
        <v>0</v>
      </c>
      <c r="L1167">
        <f>RTD("nest.scriprtd",,"bse_cm|815LTF24","Volume Traded Today")</f>
        <v>0</v>
      </c>
      <c r="M1167">
        <f>RTD("nest.scriprtd",,"bse_cm|815LTF24","Open")</f>
        <v>0</v>
      </c>
      <c r="N1167">
        <f>RTD("nest.scriprtd",,"bse_cm|815LTF24","High")</f>
        <v>1055</v>
      </c>
      <c r="O1167">
        <f>RTD("nest.scriprtd",,"bse_cm|815LTF24","Low ")</f>
        <v>1055</v>
      </c>
      <c r="P1167">
        <f>RTD("nest.scriprtd",,"bse_cm|815LTF24","Prev Close")</f>
        <v>1055</v>
      </c>
      <c r="Q1167">
        <f>RTD("nest.scriprtd",,"bse_cm|815LTF24","Face Value")</f>
        <v>1000</v>
      </c>
      <c r="R1167" t="str">
        <f>RTD("nest.scriprtd",,"bse_cm|815LTF24","Isin code")</f>
        <v>INE027E07AZ1</v>
      </c>
      <c r="S1167" s="9">
        <f>Table1[[#This Row],[Ask Rate]]*Table1[[#This Row],[Ask Qty]]</f>
        <v>0</v>
      </c>
      <c r="T1167">
        <f>VLOOKUP(Table1[[#This Row],[Isin code]],Table2[#All],7,FALSE)</f>
        <v>8.15</v>
      </c>
      <c r="U1167" s="17" t="str">
        <f>VLOOKUP(Table1[[#This Row],[Isin code]],Table2[#All],8,FALSE)</f>
        <v>23-Dec-2024</v>
      </c>
      <c r="V1167" s="10">
        <f ca="1">Table1[[#This Row],[Maturity]]-TODAY()</f>
        <v>68</v>
      </c>
      <c r="W1167" t="str">
        <f>VLOOKUP(Table1[[#This Row],[Isin code]],Table2[#All],10,FALSE)</f>
        <v>Monthly</v>
      </c>
      <c r="X1167">
        <f ca="1">_xlfn.DAYS(Table1[[#This Row],[Maturity]],TODAY())-15</f>
        <v>53</v>
      </c>
      <c r="Y11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167">
        <f>IF(Table1[[#This Row],[Ask Rate]]=0,0,Table1[[#This Row],[Face Value]]-Table1[[#This Row],[Ask Rate]])</f>
        <v>0</v>
      </c>
      <c r="AA1167">
        <f>IF(Table1[[#This Row],[Freq]]="Yearly",Table1[[#This Row],[Coupon_Rate]]/100,IF(Table1[[#This Row],[Freq]]="Monthly",Table1[[#This Row],[Coupon_Rate]]/1200,IF(Table1[[#This Row],[Freq]]="Quarterly",Table1[[#This Row],[Coupon_Rate]]/400,0)))</f>
        <v>6.7916666666666672E-3</v>
      </c>
      <c r="AB1167">
        <f ca="1">Table1[[#This Row],[Face Value]]*Table1[[#This Row],[Rate]]*Table1[[#This Row],[Time]]</f>
        <v>13.583333333333334</v>
      </c>
      <c r="AC1167">
        <f ca="1">Table1[[#This Row],[SI]]+Table1[[#This Row],[Disc/Prem]]</f>
        <v>13.583333333333334</v>
      </c>
      <c r="AD1167" s="3" t="e">
        <f ca="1">Table1[[#This Row],[Net Gain]]/Table1[[#This Row],[Ask Rate]]</f>
        <v>#DIV/0!</v>
      </c>
      <c r="AE1167" s="3">
        <f>IF(Table1[[#This Row],[Ask Qty]]=0,0,Table1[[#This Row],[Gross Yield]]*365/Table1[[#This Row],[Days Left]])</f>
        <v>0</v>
      </c>
      <c r="AF1167" s="9">
        <f ca="1">+Table1[[#This Row],[Net Gain]]*Table1[[#This Row],[Ask Qty]]</f>
        <v>0</v>
      </c>
      <c r="AG1167" t="str">
        <f>IF(Table1[[#This Row],[YTM]]&gt;0.12,IF(Table1[[#This Row],[Gross Profit]]&gt;10000,"Invest","Review"),"Low YTM")</f>
        <v>Low YTM</v>
      </c>
    </row>
    <row r="1168" spans="1:33" x14ac:dyDescent="0.3">
      <c r="A1168" t="str">
        <f>RTD("nest.scriprtd",,"nse_cm|99SCL27-ZH","Symbol")</f>
        <v>99SCL27</v>
      </c>
      <c r="B1168" t="str">
        <f>RTD("nest.scriprtd",,"nse_cm|99SCL27-ZH","Trading Symbol")</f>
        <v>99SCL27-ZH</v>
      </c>
      <c r="C1168" t="str">
        <f>RTD("nest.scriprtd",,"nse_cm|99SCL27-ZH","Exchange")</f>
        <v>NSE</v>
      </c>
      <c r="D1168">
        <f>RTD("nest.scriprtd",,"nse_cm|99SCL27-ZH","Bid Qty")</f>
        <v>16</v>
      </c>
      <c r="E1168">
        <f>RTD("nest.scriprtd",,"nse_cm|99SCL27-ZH","Bid Rate")</f>
        <v>901.2</v>
      </c>
      <c r="F1168">
        <f>RTD("nest.scriprtd",,"nse_cm|99SCL27-ZH","Ask Rate")</f>
        <v>0</v>
      </c>
      <c r="G1168">
        <f>RTD("nest.scriprtd",,"nse_cm|99SCL27-ZH","Ask Qty")</f>
        <v>0</v>
      </c>
      <c r="H1168">
        <f>RTD("nest.scriprtd",,"nse_cm|99SCL27-ZH","LTP")</f>
        <v>973.6</v>
      </c>
      <c r="I1168" t="str">
        <f>RTD("nest.scriprtd",,"nse_cm|99SCL27-ZH","LTT")</f>
        <v/>
      </c>
      <c r="J1168">
        <f>RTD("nest.scriprtd",,"nse_cm|99SCL27-ZH","% Change")</f>
        <v>0</v>
      </c>
      <c r="K1168">
        <f>RTD("nest.scriprtd",,"nse_cm|99SCL27-ZH","ATP")</f>
        <v>0</v>
      </c>
      <c r="L1168">
        <f>RTD("nest.scriprtd",,"nse_cm|99SCL27-ZH","Volume Traded Today")</f>
        <v>0</v>
      </c>
      <c r="M1168">
        <f>RTD("nest.scriprtd",,"nse_cm|99SCL27-ZH","Open")</f>
        <v>0</v>
      </c>
      <c r="N1168">
        <f>RTD("nest.scriprtd",,"nse_cm|99SCL27-ZH","High")</f>
        <v>973.6</v>
      </c>
      <c r="O1168">
        <f>RTD("nest.scriprtd",,"nse_cm|99SCL27-ZH","Low ")</f>
        <v>973.6</v>
      </c>
      <c r="P1168">
        <f>RTD("nest.scriprtd",,"nse_cm|99SCL27-ZH","Prev Close")</f>
        <v>973.6</v>
      </c>
      <c r="Q1168">
        <f>RTD("nest.scriprtd",,"nse_cm|99SCL27-ZH","Face Value")</f>
        <v>1000</v>
      </c>
      <c r="R1168" t="str">
        <f>RTD("nest.scriprtd",,"nse_cm|99SCL27-ZH","Isin code")</f>
        <v>INE148I07TF8</v>
      </c>
      <c r="S1168" s="9">
        <f>Table1[[#This Row],[Ask Rate]]*Table1[[#This Row],[Ask Qty]]</f>
        <v>0</v>
      </c>
      <c r="T1168">
        <f>VLOOKUP(Table1[[#This Row],[Isin code]],Table2[#All],7,FALSE)</f>
        <v>9.9</v>
      </c>
      <c r="U1168" s="17" t="str">
        <f>VLOOKUP(Table1[[#This Row],[Isin code]],Table2[#All],8,FALSE)</f>
        <v>31-May-2027</v>
      </c>
      <c r="V1168" s="10">
        <f ca="1">Table1[[#This Row],[Maturity]]-TODAY()</f>
        <v>957</v>
      </c>
      <c r="W1168" t="str">
        <f>VLOOKUP(Table1[[#This Row],[Isin code]],Table2[#All],10,FALSE)</f>
        <v>Yearly</v>
      </c>
      <c r="X1168">
        <f ca="1">_xlfn.DAYS(Table1[[#This Row],[Maturity]],TODAY())-15</f>
        <v>942</v>
      </c>
      <c r="Y11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68">
        <f>IF(Table1[[#This Row],[Ask Rate]]=0,0,Table1[[#This Row],[Face Value]]-Table1[[#This Row],[Ask Rate]])</f>
        <v>0</v>
      </c>
      <c r="AA1168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168">
        <f ca="1">Table1[[#This Row],[Face Value]]*Table1[[#This Row],[Rate]]*Table1[[#This Row],[Time]]</f>
        <v>297</v>
      </c>
      <c r="AC1168">
        <f ca="1">Table1[[#This Row],[SI]]+Table1[[#This Row],[Disc/Prem]]</f>
        <v>297</v>
      </c>
      <c r="AD1168" s="3" t="e">
        <f ca="1">Table1[[#This Row],[Net Gain]]/Table1[[#This Row],[Ask Rate]]</f>
        <v>#DIV/0!</v>
      </c>
      <c r="AE1168" s="3">
        <f>IF(Table1[[#This Row],[Ask Qty]]=0,0,Table1[[#This Row],[Gross Yield]]*365/Table1[[#This Row],[Days Left]])</f>
        <v>0</v>
      </c>
      <c r="AF1168" s="9">
        <f ca="1">+Table1[[#This Row],[Net Gain]]*Table1[[#This Row],[Ask Qty]]</f>
        <v>0</v>
      </c>
      <c r="AG1168" t="str">
        <f>IF(Table1[[#This Row],[YTM]]&gt;0.12,IF(Table1[[#This Row],[Gross Profit]]&gt;10000,"Invest","Review"),"Low YTM")</f>
        <v>Low YTM</v>
      </c>
    </row>
    <row r="1169" spans="1:33" x14ac:dyDescent="0.3">
      <c r="A1169" t="str">
        <f>RTD("nest.scriprtd",,"bse_cm|99SCL27","Symbol")</f>
        <v>99SCL27</v>
      </c>
      <c r="B1169" t="str">
        <f>RTD("nest.scriprtd",,"bse_cm|99SCL27","Trading Symbol")</f>
        <v>99SCL27</v>
      </c>
      <c r="C1169" t="str">
        <f>RTD("nest.scriprtd",,"bse_cm|99SCL27","Exchange")</f>
        <v>BSE</v>
      </c>
      <c r="D1169">
        <f>RTD("nest.scriprtd",,"bse_cm|99SCL27","Bid Qty")</f>
        <v>12</v>
      </c>
      <c r="E1169">
        <f>RTD("nest.scriprtd",,"bse_cm|99SCL27","Bid Rate")</f>
        <v>900.3</v>
      </c>
      <c r="F1169">
        <f>RTD("nest.scriprtd",,"bse_cm|99SCL27","Ask Rate")</f>
        <v>0</v>
      </c>
      <c r="G1169">
        <f>RTD("nest.scriprtd",,"bse_cm|99SCL27","Ask Qty")</f>
        <v>0</v>
      </c>
      <c r="H1169">
        <f>RTD("nest.scriprtd",,"bse_cm|99SCL27","LTP")</f>
        <v>0</v>
      </c>
      <c r="I1169" t="str">
        <f>RTD("nest.scriprtd",,"bse_cm|99SCL27","LTT")</f>
        <v>00:00:00</v>
      </c>
      <c r="J1169">
        <f>RTD("nest.scriprtd",,"bse_cm|99SCL27","% Change")</f>
        <v>-100</v>
      </c>
      <c r="K1169">
        <f>RTD("nest.scriprtd",,"bse_cm|99SCL27","ATP")</f>
        <v>0</v>
      </c>
      <c r="L1169">
        <f>RTD("nest.scriprtd",,"bse_cm|99SCL27","Volume Traded Today")</f>
        <v>0</v>
      </c>
      <c r="M1169">
        <f>RTD("nest.scriprtd",,"bse_cm|99SCL27","Open")</f>
        <v>0</v>
      </c>
      <c r="N1169">
        <f>RTD("nest.scriprtd",,"bse_cm|99SCL27","High")</f>
        <v>987.76</v>
      </c>
      <c r="O1169">
        <f>RTD("nest.scriprtd",,"bse_cm|99SCL27","Low ")</f>
        <v>987.76</v>
      </c>
      <c r="P1169">
        <f>RTD("nest.scriprtd",,"bse_cm|99SCL27","Prev Close")</f>
        <v>987.76</v>
      </c>
      <c r="Q1169">
        <f>RTD("nest.scriprtd",,"bse_cm|99SCL27","Face Value")</f>
        <v>1000</v>
      </c>
      <c r="R1169" t="str">
        <f>RTD("nest.scriprtd",,"bse_cm|99SCL27","Isin code")</f>
        <v>INE148I07TF8</v>
      </c>
      <c r="S1169" s="9">
        <f>Table1[[#This Row],[Ask Rate]]*Table1[[#This Row],[Ask Qty]]</f>
        <v>0</v>
      </c>
      <c r="T1169">
        <f>VLOOKUP(Table1[[#This Row],[Isin code]],Table2[#All],7,FALSE)</f>
        <v>9.9</v>
      </c>
      <c r="U1169" s="17" t="str">
        <f>VLOOKUP(Table1[[#This Row],[Isin code]],Table2[#All],8,FALSE)</f>
        <v>31-May-2027</v>
      </c>
      <c r="V1169" s="10">
        <f ca="1">Table1[[#This Row],[Maturity]]-TODAY()</f>
        <v>957</v>
      </c>
      <c r="W1169" t="str">
        <f>VLOOKUP(Table1[[#This Row],[Isin code]],Table2[#All],10,FALSE)</f>
        <v>Yearly</v>
      </c>
      <c r="X1169">
        <f ca="1">_xlfn.DAYS(Table1[[#This Row],[Maturity]],TODAY())-15</f>
        <v>942</v>
      </c>
      <c r="Y11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69">
        <f>IF(Table1[[#This Row],[Ask Rate]]=0,0,Table1[[#This Row],[Face Value]]-Table1[[#This Row],[Ask Rate]])</f>
        <v>0</v>
      </c>
      <c r="AA1169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169">
        <f ca="1">Table1[[#This Row],[Face Value]]*Table1[[#This Row],[Rate]]*Table1[[#This Row],[Time]]</f>
        <v>297</v>
      </c>
      <c r="AC1169">
        <f ca="1">Table1[[#This Row],[SI]]+Table1[[#This Row],[Disc/Prem]]</f>
        <v>297</v>
      </c>
      <c r="AD1169" s="3" t="e">
        <f ca="1">Table1[[#This Row],[Net Gain]]/Table1[[#This Row],[Ask Rate]]</f>
        <v>#DIV/0!</v>
      </c>
      <c r="AE1169" s="3">
        <f>IF(Table1[[#This Row],[Ask Qty]]=0,0,Table1[[#This Row],[Gross Yield]]*365/Table1[[#This Row],[Days Left]])</f>
        <v>0</v>
      </c>
      <c r="AF1169" s="9">
        <f ca="1">+Table1[[#This Row],[Net Gain]]*Table1[[#This Row],[Ask Qty]]</f>
        <v>0</v>
      </c>
      <c r="AG1169" t="str">
        <f>IF(Table1[[#This Row],[YTM]]&gt;0.12,IF(Table1[[#This Row],[Gross Profit]]&gt;10000,"Invest","Review"),"Low YTM")</f>
        <v>Low YTM</v>
      </c>
    </row>
    <row r="1170" spans="1:33" x14ac:dyDescent="0.3">
      <c r="A1170" t="str">
        <f>RTD("nest.scriprtd",,"bse_cm|105MML25","Symbol")</f>
        <v>105MML25</v>
      </c>
      <c r="B1170" t="str">
        <f>RTD("nest.scriprtd",,"bse_cm|105MML25","Trading Symbol")</f>
        <v>105MML25</v>
      </c>
      <c r="C1170" t="str">
        <f>RTD("nest.scriprtd",,"bse_cm|105MML25","Exchange")</f>
        <v>BSE</v>
      </c>
      <c r="D1170">
        <f>RTD("nest.scriprtd",,"bse_cm|105MML25","Bid Qty")</f>
        <v>18</v>
      </c>
      <c r="E1170">
        <f>RTD("nest.scriprtd",,"bse_cm|105MML25","Bid Rate")</f>
        <v>826.3</v>
      </c>
      <c r="F1170">
        <f>RTD("nest.scriprtd",,"bse_cm|105MML25","Ask Rate")</f>
        <v>0</v>
      </c>
      <c r="G1170">
        <f>RTD("nest.scriprtd",,"bse_cm|105MML25","Ask Qty")</f>
        <v>0</v>
      </c>
      <c r="H1170">
        <f>RTD("nest.scriprtd",,"bse_cm|105MML25","LTP")</f>
        <v>0</v>
      </c>
      <c r="I1170" t="str">
        <f>RTD("nest.scriprtd",,"bse_cm|105MML25","LTT")</f>
        <v>00:00:00</v>
      </c>
      <c r="J1170">
        <f>RTD("nest.scriprtd",,"bse_cm|105MML25","% Change")</f>
        <v>-100</v>
      </c>
      <c r="K1170">
        <f>RTD("nest.scriprtd",,"bse_cm|105MML25","ATP")</f>
        <v>0</v>
      </c>
      <c r="L1170">
        <f>RTD("nest.scriprtd",,"bse_cm|105MML25","Volume Traded Today")</f>
        <v>0</v>
      </c>
      <c r="M1170">
        <f>RTD("nest.scriprtd",,"bse_cm|105MML25","Open")</f>
        <v>0</v>
      </c>
      <c r="N1170">
        <f>RTD("nest.scriprtd",,"bse_cm|105MML25","High")</f>
        <v>988</v>
      </c>
      <c r="O1170">
        <f>RTD("nest.scriprtd",,"bse_cm|105MML25","Low ")</f>
        <v>988</v>
      </c>
      <c r="P1170">
        <f>RTD("nest.scriprtd",,"bse_cm|105MML25","Prev Close")</f>
        <v>988</v>
      </c>
      <c r="Q1170">
        <f>RTD("nest.scriprtd",,"bse_cm|105MML25","Face Value")</f>
        <v>1000</v>
      </c>
      <c r="R1170" t="str">
        <f>RTD("nest.scriprtd",,"bse_cm|105MML25","Isin code")</f>
        <v>INE05F407CJ7</v>
      </c>
      <c r="S1170" s="9">
        <f>Table1[[#This Row],[Ask Rate]]*Table1[[#This Row],[Ask Qty]]</f>
        <v>0</v>
      </c>
      <c r="T1170">
        <f>VLOOKUP(Table1[[#This Row],[Isin code]],Table2[#All],7,FALSE)</f>
        <v>10.5</v>
      </c>
      <c r="U1170" s="17" t="str">
        <f>VLOOKUP(Table1[[#This Row],[Isin code]],Table2[#All],8,FALSE)</f>
        <v>26-Nov-2025</v>
      </c>
      <c r="V1170" s="10">
        <f ca="1">Table1[[#This Row],[Maturity]]-TODAY()</f>
        <v>406</v>
      </c>
      <c r="W1170" t="str">
        <f>VLOOKUP(Table1[[#This Row],[Isin code]],Table2[#All],10,FALSE)</f>
        <v>Monthly</v>
      </c>
      <c r="X1170">
        <f ca="1">_xlfn.DAYS(Table1[[#This Row],[Maturity]],TODAY())-15</f>
        <v>391</v>
      </c>
      <c r="Y11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1170">
        <f>IF(Table1[[#This Row],[Ask Rate]]=0,0,Table1[[#This Row],[Face Value]]-Table1[[#This Row],[Ask Rate]])</f>
        <v>0</v>
      </c>
      <c r="AA1170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1170">
        <f ca="1">Table1[[#This Row],[Face Value]]*Table1[[#This Row],[Rate]]*Table1[[#This Row],[Time]]</f>
        <v>122.5</v>
      </c>
      <c r="AC1170">
        <f ca="1">Table1[[#This Row],[SI]]+Table1[[#This Row],[Disc/Prem]]</f>
        <v>122.5</v>
      </c>
      <c r="AD1170" s="3" t="e">
        <f ca="1">Table1[[#This Row],[Net Gain]]/Table1[[#This Row],[Ask Rate]]</f>
        <v>#DIV/0!</v>
      </c>
      <c r="AE1170" s="3">
        <f>IF(Table1[[#This Row],[Ask Qty]]=0,0,Table1[[#This Row],[Gross Yield]]*365/Table1[[#This Row],[Days Left]])</f>
        <v>0</v>
      </c>
      <c r="AF1170" s="9">
        <f ca="1">+Table1[[#This Row],[Net Gain]]*Table1[[#This Row],[Ask Qty]]</f>
        <v>0</v>
      </c>
      <c r="AG1170" t="str">
        <f>IF(Table1[[#This Row],[YTM]]&gt;0.12,IF(Table1[[#This Row],[Gross Profit]]&gt;10000,"Invest","Review"),"Low YTM")</f>
        <v>Low YTM</v>
      </c>
    </row>
    <row r="1171" spans="1:33" hidden="1" x14ac:dyDescent="0.3">
      <c r="A1171" t="str">
        <f>RTD("nest.scriprtd",,"bse_cm|105MMFL25","Symbol")</f>
        <v>105MMFL25</v>
      </c>
      <c r="B1171" t="str">
        <f>RTD("nest.scriprtd",,"bse_cm|105MMFL25","Trading Symbol")</f>
        <v>105MMFL25</v>
      </c>
      <c r="C1171" t="str">
        <f>RTD("nest.scriprtd",,"bse_cm|105MMFL25","Exchange")</f>
        <v>BSE</v>
      </c>
      <c r="D1171">
        <f>RTD("nest.scriprtd",,"bse_cm|105MMFL25","Bid Qty")</f>
        <v>54</v>
      </c>
      <c r="E1171">
        <f>RTD("nest.scriprtd",,"bse_cm|105MMFL25","Bid Rate")</f>
        <v>865.4</v>
      </c>
      <c r="F1171">
        <f>RTD("nest.scriprtd",,"bse_cm|105MMFL25","Ask Rate")</f>
        <v>0</v>
      </c>
      <c r="G1171">
        <f>RTD("nest.scriprtd",,"bse_cm|105MMFL25","Ask Qty")</f>
        <v>0</v>
      </c>
      <c r="H1171">
        <f>RTD("nest.scriprtd",,"bse_cm|105MMFL25","LTP")</f>
        <v>0</v>
      </c>
      <c r="I1171" t="str">
        <f>RTD("nest.scriprtd",,"bse_cm|105MMFL25","LTT")</f>
        <v>00:00:00</v>
      </c>
      <c r="J1171">
        <f>RTD("nest.scriprtd",,"bse_cm|105MMFL25","% Change")</f>
        <v>-100</v>
      </c>
      <c r="K1171">
        <f>RTD("nest.scriprtd",,"bse_cm|105MMFL25","ATP")</f>
        <v>0</v>
      </c>
      <c r="L1171">
        <f>RTD("nest.scriprtd",,"bse_cm|105MMFL25","Volume Traded Today")</f>
        <v>0</v>
      </c>
      <c r="M1171">
        <f>RTD("nest.scriprtd",,"bse_cm|105MMFL25","Open")</f>
        <v>0</v>
      </c>
      <c r="N1171">
        <f>RTD("nest.scriprtd",,"bse_cm|105MMFL25","High")</f>
        <v>995.5</v>
      </c>
      <c r="O1171">
        <f>RTD("nest.scriprtd",,"bse_cm|105MMFL25","Low ")</f>
        <v>995</v>
      </c>
      <c r="P1171">
        <f>RTD("nest.scriprtd",,"bse_cm|105MMFL25","Prev Close")</f>
        <v>995</v>
      </c>
      <c r="Q1171">
        <f>RTD("nest.scriprtd",,"bse_cm|105MMFL25","Face Value")</f>
        <v>1000</v>
      </c>
      <c r="R1171" t="str">
        <f>RTD("nest.scriprtd",,"bse_cm|105MMFL25","Isin code")</f>
        <v>INE101Q07599</v>
      </c>
      <c r="S1171" s="9">
        <f>Table1[[#This Row],[Ask Rate]]*Table1[[#This Row],[Ask Qty]]</f>
        <v>0</v>
      </c>
      <c r="T1171">
        <f>VLOOKUP(Table1[[#This Row],[Isin code]],Table2[#All],7,FALSE)</f>
        <v>10.5</v>
      </c>
      <c r="U1171" s="17" t="str">
        <f>VLOOKUP(Table1[[#This Row],[Isin code]],Table2[#All],8,FALSE)</f>
        <v>17-Feb-2025</v>
      </c>
      <c r="V1171" s="10">
        <f ca="1">Table1[[#This Row],[Maturity]]-TODAY()</f>
        <v>124</v>
      </c>
      <c r="W1171" t="str">
        <f>VLOOKUP(Table1[[#This Row],[Isin code]],Table2[#All],10,FALSE)</f>
        <v>Monthly</v>
      </c>
      <c r="X1171">
        <f ca="1">_xlfn.DAYS(Table1[[#This Row],[Maturity]],TODAY())-15</f>
        <v>109</v>
      </c>
      <c r="Y11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71">
        <f>IF(Table1[[#This Row],[Ask Rate]]=0,0,Table1[[#This Row],[Face Value]]-Table1[[#This Row],[Ask Rate]])</f>
        <v>0</v>
      </c>
      <c r="AA1171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1171">
        <f ca="1">Table1[[#This Row],[Face Value]]*Table1[[#This Row],[Rate]]*Table1[[#This Row],[Time]]</f>
        <v>35</v>
      </c>
      <c r="AC1171">
        <f ca="1">Table1[[#This Row],[SI]]+Table1[[#This Row],[Disc/Prem]]</f>
        <v>35</v>
      </c>
      <c r="AD1171" s="3" t="e">
        <f ca="1">Table1[[#This Row],[Net Gain]]/Table1[[#This Row],[Ask Rate]]</f>
        <v>#DIV/0!</v>
      </c>
      <c r="AE1171" s="3">
        <f>IF(Table1[[#This Row],[Ask Qty]]=0,0,Table1[[#This Row],[Gross Yield]]*365/Table1[[#This Row],[Days Left]])</f>
        <v>0</v>
      </c>
      <c r="AF1171" s="9">
        <f ca="1">+Table1[[#This Row],[Net Gain]]*Table1[[#This Row],[Ask Qty]]</f>
        <v>0</v>
      </c>
      <c r="AG1171" t="str">
        <f>IF(Table1[[#This Row],[YTM]]&gt;0.12,IF(Table1[[#This Row],[Gross Profit]]&gt;10000,"Invest","Review"),"Low YTM")</f>
        <v>Low YTM</v>
      </c>
    </row>
    <row r="1172" spans="1:33" x14ac:dyDescent="0.3">
      <c r="A1172" t="str">
        <f>RTD("nest.scriprtd",,"bse_cm|875PCHFL31","Symbol")</f>
        <v>875PCHFL31</v>
      </c>
      <c r="B1172" t="str">
        <f>RTD("nest.scriprtd",,"bse_cm|875PCHFL31","Trading Symbol")</f>
        <v>875PCHFL31</v>
      </c>
      <c r="C1172" t="str">
        <f>RTD("nest.scriprtd",,"bse_cm|875PCHFL31","Exchange")</f>
        <v>BSE</v>
      </c>
      <c r="D1172">
        <f>RTD("nest.scriprtd",,"bse_cm|875PCHFL31","Bid Qty")</f>
        <v>30</v>
      </c>
      <c r="E1172">
        <f>RTD("nest.scriprtd",,"bse_cm|875PCHFL31","Bid Rate")</f>
        <v>882</v>
      </c>
      <c r="F1172">
        <f>RTD("nest.scriprtd",,"bse_cm|875PCHFL31","Ask Rate")</f>
        <v>0</v>
      </c>
      <c r="G1172">
        <f>RTD("nest.scriprtd",,"bse_cm|875PCHFL31","Ask Qty")</f>
        <v>0</v>
      </c>
      <c r="H1172">
        <f>RTD("nest.scriprtd",,"bse_cm|875PCHFL31","LTP")</f>
        <v>0</v>
      </c>
      <c r="I1172" t="str">
        <f>RTD("nest.scriprtd",,"bse_cm|875PCHFL31","LTT")</f>
        <v>00:00:00</v>
      </c>
      <c r="J1172">
        <f>RTD("nest.scriprtd",,"bse_cm|875PCHFL31","% Change")</f>
        <v>-100</v>
      </c>
      <c r="K1172">
        <f>RTD("nest.scriprtd",,"bse_cm|875PCHFL31","ATP")</f>
        <v>0</v>
      </c>
      <c r="L1172">
        <f>RTD("nest.scriprtd",,"bse_cm|875PCHFL31","Volume Traded Today")</f>
        <v>0</v>
      </c>
      <c r="M1172">
        <f>RTD("nest.scriprtd",,"bse_cm|875PCHFL31","Open")</f>
        <v>0</v>
      </c>
      <c r="N1172">
        <f>RTD("nest.scriprtd",,"bse_cm|875PCHFL31","High")</f>
        <v>0</v>
      </c>
      <c r="O1172">
        <f>RTD("nest.scriprtd",,"bse_cm|875PCHFL31","Low ")</f>
        <v>0</v>
      </c>
      <c r="P1172">
        <f>RTD("nest.scriprtd",,"bse_cm|875PCHFL31","Prev Close")</f>
        <v>1000</v>
      </c>
      <c r="Q1172">
        <f>RTD("nest.scriprtd",,"bse_cm|875PCHFL31","Face Value")</f>
        <v>1000</v>
      </c>
      <c r="R1172" t="str">
        <f>RTD("nest.scriprtd",,"bse_cm|875PCHFL31","Isin code")</f>
        <v>INE516Y07378</v>
      </c>
      <c r="S1172" s="9">
        <f>Table1[[#This Row],[Ask Rate]]*Table1[[#This Row],[Ask Qty]]</f>
        <v>0</v>
      </c>
      <c r="T1172">
        <f>VLOOKUP(Table1[[#This Row],[Isin code]],Table2[#All],7,FALSE)</f>
        <v>8.75</v>
      </c>
      <c r="U1172" s="17" t="str">
        <f>VLOOKUP(Table1[[#This Row],[Isin code]],Table2[#All],8,FALSE)</f>
        <v>23-Jul-2031</v>
      </c>
      <c r="V1172" s="10">
        <f ca="1">Table1[[#This Row],[Maturity]]-TODAY()</f>
        <v>2471</v>
      </c>
      <c r="W1172" t="str">
        <f>VLOOKUP(Table1[[#This Row],[Isin code]],Table2[#All],10,FALSE)</f>
        <v>Yearly</v>
      </c>
      <c r="X1172">
        <f ca="1">_xlfn.DAYS(Table1[[#This Row],[Maturity]],TODAY())-15</f>
        <v>2456</v>
      </c>
      <c r="Y11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172">
        <f>IF(Table1[[#This Row],[Ask Rate]]=0,0,Table1[[#This Row],[Face Value]]-Table1[[#This Row],[Ask Rate]])</f>
        <v>0</v>
      </c>
      <c r="AA1172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1172">
        <f ca="1">Table1[[#This Row],[Face Value]]*Table1[[#This Row],[Rate]]*Table1[[#This Row],[Time]]</f>
        <v>612.5</v>
      </c>
      <c r="AC1172">
        <f ca="1">Table1[[#This Row],[SI]]+Table1[[#This Row],[Disc/Prem]]</f>
        <v>612.5</v>
      </c>
      <c r="AD1172" s="3" t="e">
        <f ca="1">Table1[[#This Row],[Net Gain]]/Table1[[#This Row],[Ask Rate]]</f>
        <v>#DIV/0!</v>
      </c>
      <c r="AE1172" s="3">
        <f>IF(Table1[[#This Row],[Ask Qty]]=0,0,Table1[[#This Row],[Gross Yield]]*365/Table1[[#This Row],[Days Left]])</f>
        <v>0</v>
      </c>
      <c r="AF1172" s="9">
        <f ca="1">+Table1[[#This Row],[Net Gain]]*Table1[[#This Row],[Ask Qty]]</f>
        <v>0</v>
      </c>
      <c r="AG1172" t="str">
        <f>IF(Table1[[#This Row],[YTM]]&gt;0.12,IF(Table1[[#This Row],[Gross Profit]]&gt;10000,"Invest","Review"),"Low YTM")</f>
        <v>Low YTM</v>
      </c>
    </row>
    <row r="1173" spans="1:33" x14ac:dyDescent="0.3">
      <c r="A1173" t="str">
        <f>RTD("nest.scriprtd",,"bse_cm|935ONE26","Symbol")</f>
        <v>935ONE26</v>
      </c>
      <c r="B1173" t="str">
        <f>RTD("nest.scriprtd",,"bse_cm|935ONE26","Trading Symbol")</f>
        <v>935ONE26</v>
      </c>
      <c r="C1173" t="str">
        <f>RTD("nest.scriprtd",,"bse_cm|935ONE26","Exchange")</f>
        <v>BSE</v>
      </c>
      <c r="D1173">
        <f>RTD("nest.scriprtd",,"bse_cm|935ONE26","Bid Qty")</f>
        <v>1</v>
      </c>
      <c r="E1173">
        <f>RTD("nest.scriprtd",,"bse_cm|935ONE26","Bid Rate")</f>
        <v>901</v>
      </c>
      <c r="F1173">
        <f>RTD("nest.scriprtd",,"bse_cm|935ONE26","Ask Rate")</f>
        <v>0</v>
      </c>
      <c r="G1173">
        <f>RTD("nest.scriprtd",,"bse_cm|935ONE26","Ask Qty")</f>
        <v>0</v>
      </c>
      <c r="H1173">
        <f>RTD("nest.scriprtd",,"bse_cm|935ONE26","LTP")</f>
        <v>0</v>
      </c>
      <c r="I1173" t="str">
        <f>RTD("nest.scriprtd",,"bse_cm|935ONE26","LTT")</f>
        <v>00:00:00</v>
      </c>
      <c r="J1173">
        <f>RTD("nest.scriprtd",,"bse_cm|935ONE26","% Change")</f>
        <v>-100</v>
      </c>
      <c r="K1173">
        <f>RTD("nest.scriprtd",,"bse_cm|935ONE26","ATP")</f>
        <v>0</v>
      </c>
      <c r="L1173">
        <f>RTD("nest.scriprtd",,"bse_cm|935ONE26","Volume Traded Today")</f>
        <v>0</v>
      </c>
      <c r="M1173">
        <f>RTD("nest.scriprtd",,"bse_cm|935ONE26","Open")</f>
        <v>0</v>
      </c>
      <c r="N1173">
        <f>RTD("nest.scriprtd",,"bse_cm|935ONE26","High")</f>
        <v>982</v>
      </c>
      <c r="O1173">
        <f>RTD("nest.scriprtd",,"bse_cm|935ONE26","Low ")</f>
        <v>982</v>
      </c>
      <c r="P1173">
        <f>RTD("nest.scriprtd",,"bse_cm|935ONE26","Prev Close")</f>
        <v>982</v>
      </c>
      <c r="Q1173">
        <f>RTD("nest.scriprtd",,"bse_cm|935ONE26","Face Value")</f>
        <v>1000</v>
      </c>
      <c r="R1173" t="str">
        <f>RTD("nest.scriprtd",,"bse_cm|935ONE26","Isin code")</f>
        <v>INE248U07FJ2</v>
      </c>
      <c r="S1173" s="9">
        <f>Table1[[#This Row],[Ask Rate]]*Table1[[#This Row],[Ask Qty]]</f>
        <v>0</v>
      </c>
      <c r="T1173">
        <f>VLOOKUP(Table1[[#This Row],[Isin code]],Table2[#All],7,FALSE)</f>
        <v>9.35</v>
      </c>
      <c r="U1173" s="17" t="str">
        <f>VLOOKUP(Table1[[#This Row],[Isin code]],Table2[#All],8,FALSE)</f>
        <v>12-Jun-2026</v>
      </c>
      <c r="V1173" s="10">
        <f ca="1">Table1[[#This Row],[Maturity]]-TODAY()</f>
        <v>604</v>
      </c>
      <c r="W1173" t="str">
        <f>VLOOKUP(Table1[[#This Row],[Isin code]],Table2[#All],10,FALSE)</f>
        <v>Annual</v>
      </c>
      <c r="X1173">
        <f ca="1">_xlfn.DAYS(Table1[[#This Row],[Maturity]],TODAY())-15</f>
        <v>589</v>
      </c>
      <c r="Y117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73">
        <f>IF(Table1[[#This Row],[Ask Rate]]=0,0,Table1[[#This Row],[Face Value]]-Table1[[#This Row],[Ask Rate]])</f>
        <v>0</v>
      </c>
      <c r="AA117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73">
        <f>Table1[[#This Row],[Face Value]]*Table1[[#This Row],[Rate]]*Table1[[#This Row],[Time]]</f>
        <v>0</v>
      </c>
      <c r="AC1173">
        <f>Table1[[#This Row],[SI]]+Table1[[#This Row],[Disc/Prem]]</f>
        <v>0</v>
      </c>
      <c r="AD1173" s="3" t="e">
        <f>Table1[[#This Row],[Net Gain]]/Table1[[#This Row],[Ask Rate]]</f>
        <v>#DIV/0!</v>
      </c>
      <c r="AE1173" s="3">
        <f>IF(Table1[[#This Row],[Ask Qty]]=0,0,Table1[[#This Row],[Gross Yield]]*365/Table1[[#This Row],[Days Left]])</f>
        <v>0</v>
      </c>
      <c r="AF1173" s="9">
        <f>+Table1[[#This Row],[Net Gain]]*Table1[[#This Row],[Ask Qty]]</f>
        <v>0</v>
      </c>
      <c r="AG1173" t="str">
        <f>IF(Table1[[#This Row],[YTM]]&gt;0.12,IF(Table1[[#This Row],[Gross Profit]]&gt;10000,"Invest","Review"),"Low YTM")</f>
        <v>Low YTM</v>
      </c>
    </row>
    <row r="1174" spans="1:33" x14ac:dyDescent="0.3">
      <c r="A1174" t="str">
        <f>RTD("nest.scriprtd",,"bse_cm|935MMFSL29","Symbol")</f>
        <v>935MMFSL29</v>
      </c>
      <c r="B1174" t="str">
        <f>RTD("nest.scriprtd",,"bse_cm|935MMFSL29","Trading Symbol")</f>
        <v>935MMFSL29</v>
      </c>
      <c r="C1174" t="str">
        <f>RTD("nest.scriprtd",,"bse_cm|935MMFSL29","Exchange")</f>
        <v>BSE</v>
      </c>
      <c r="D1174">
        <f>RTD("nest.scriprtd",,"bse_cm|935MMFSL29","Bid Qty")</f>
        <v>3</v>
      </c>
      <c r="E1174">
        <f>RTD("nest.scriprtd",,"bse_cm|935MMFSL29","Bid Rate")</f>
        <v>972</v>
      </c>
      <c r="F1174">
        <f>RTD("nest.scriprtd",,"bse_cm|935MMFSL29","Ask Rate")</f>
        <v>0</v>
      </c>
      <c r="G1174">
        <f>RTD("nest.scriprtd",,"bse_cm|935MMFSL29","Ask Qty")</f>
        <v>0</v>
      </c>
      <c r="H1174">
        <f>RTD("nest.scriprtd",,"bse_cm|935MMFSL29","LTP")</f>
        <v>0</v>
      </c>
      <c r="I1174" t="str">
        <f>RTD("nest.scriprtd",,"bse_cm|935MMFSL29","LTT")</f>
        <v>00:00:00</v>
      </c>
      <c r="J1174">
        <f>RTD("nest.scriprtd",,"bse_cm|935MMFSL29","% Change")</f>
        <v>-100</v>
      </c>
      <c r="K1174">
        <f>RTD("nest.scriprtd",,"bse_cm|935MMFSL29","ATP")</f>
        <v>0</v>
      </c>
      <c r="L1174">
        <f>RTD("nest.scriprtd",,"bse_cm|935MMFSL29","Volume Traded Today")</f>
        <v>0</v>
      </c>
      <c r="M1174">
        <f>RTD("nest.scriprtd",,"bse_cm|935MMFSL29","Open")</f>
        <v>0</v>
      </c>
      <c r="N1174">
        <f>RTD("nest.scriprtd",,"bse_cm|935MMFSL29","High")</f>
        <v>0</v>
      </c>
      <c r="O1174">
        <f>RTD("nest.scriprtd",,"bse_cm|935MMFSL29","Low ")</f>
        <v>0</v>
      </c>
      <c r="P1174">
        <f>RTD("nest.scriprtd",,"bse_cm|935MMFSL29","Prev Close")</f>
        <v>840.8</v>
      </c>
      <c r="Q1174">
        <f>RTD("nest.scriprtd",,"bse_cm|935MMFSL29","Face Value")</f>
        <v>1000</v>
      </c>
      <c r="R1174" t="str">
        <f>RTD("nest.scriprtd",,"bse_cm|935MMFSL29","Isin code")</f>
        <v>INE774D08MO7</v>
      </c>
      <c r="S1174" s="9">
        <f>Table1[[#This Row],[Ask Rate]]*Table1[[#This Row],[Ask Qty]]</f>
        <v>0</v>
      </c>
      <c r="T1174">
        <f>VLOOKUP(Table1[[#This Row],[Isin code]],Table2[#All],7,FALSE)</f>
        <v>9.35</v>
      </c>
      <c r="U1174" s="17" t="str">
        <f>VLOOKUP(Table1[[#This Row],[Isin code]],Table2[#All],8,FALSE)</f>
        <v>18-Jan-2029</v>
      </c>
      <c r="V1174" s="10">
        <f ca="1">Table1[[#This Row],[Maturity]]-TODAY()</f>
        <v>1555</v>
      </c>
      <c r="W1174" t="str">
        <f>VLOOKUP(Table1[[#This Row],[Isin code]],Table2[#All],10,FALSE)</f>
        <v>Yearly</v>
      </c>
      <c r="X1174">
        <f ca="1">_xlfn.DAYS(Table1[[#This Row],[Maturity]],TODAY())-15</f>
        <v>1540</v>
      </c>
      <c r="Y11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174">
        <f>IF(Table1[[#This Row],[Ask Rate]]=0,0,Table1[[#This Row],[Face Value]]-Table1[[#This Row],[Ask Rate]])</f>
        <v>0</v>
      </c>
      <c r="AA1174">
        <f>IF(Table1[[#This Row],[Freq]]="Yearly",Table1[[#This Row],[Coupon_Rate]]/100,IF(Table1[[#This Row],[Freq]]="Monthly",Table1[[#This Row],[Coupon_Rate]]/1200,IF(Table1[[#This Row],[Freq]]="Quarterly",Table1[[#This Row],[Coupon_Rate]]/400,0)))</f>
        <v>9.35E-2</v>
      </c>
      <c r="AB1174">
        <f ca="1">Table1[[#This Row],[Face Value]]*Table1[[#This Row],[Rate]]*Table1[[#This Row],[Time]]</f>
        <v>467.5</v>
      </c>
      <c r="AC1174">
        <f ca="1">Table1[[#This Row],[SI]]+Table1[[#This Row],[Disc/Prem]]</f>
        <v>467.5</v>
      </c>
      <c r="AD1174" s="3" t="e">
        <f ca="1">Table1[[#This Row],[Net Gain]]/Table1[[#This Row],[Ask Rate]]</f>
        <v>#DIV/0!</v>
      </c>
      <c r="AE1174" s="3">
        <f>IF(Table1[[#This Row],[Ask Qty]]=0,0,Table1[[#This Row],[Gross Yield]]*365/Table1[[#This Row],[Days Left]])</f>
        <v>0</v>
      </c>
      <c r="AF1174" s="9">
        <f ca="1">+Table1[[#This Row],[Net Gain]]*Table1[[#This Row],[Ask Qty]]</f>
        <v>0</v>
      </c>
      <c r="AG1174" t="str">
        <f>IF(Table1[[#This Row],[YTM]]&gt;0.12,IF(Table1[[#This Row],[Gross Profit]]&gt;10000,"Invest","Review"),"Low YTM")</f>
        <v>Low YTM</v>
      </c>
    </row>
    <row r="1175" spans="1:33" x14ac:dyDescent="0.3">
      <c r="A1175" t="str">
        <f>RTD("nest.scriprtd",,"bse_cm|1025ICCL26","Symbol")</f>
        <v>1025ICCL26</v>
      </c>
      <c r="B1175" t="str">
        <f>RTD("nest.scriprtd",,"bse_cm|1025ICCL26","Trading Symbol")</f>
        <v>1025ICCL26</v>
      </c>
      <c r="C1175" t="str">
        <f>RTD("nest.scriprtd",,"bse_cm|1025ICCL26","Exchange")</f>
        <v>BSE</v>
      </c>
      <c r="D1175">
        <f>RTD("nest.scriprtd",,"bse_cm|1025ICCL26","Bid Qty")</f>
        <v>0</v>
      </c>
      <c r="E1175">
        <f>RTD("nest.scriprtd",,"bse_cm|1025ICCL26","Bid Rate")</f>
        <v>0</v>
      </c>
      <c r="F1175">
        <f>RTD("nest.scriprtd",,"bse_cm|1025ICCL26","Ask Rate")</f>
        <v>0</v>
      </c>
      <c r="G1175">
        <f>RTD("nest.scriprtd",,"bse_cm|1025ICCL26","Ask Qty")</f>
        <v>0</v>
      </c>
      <c r="H1175">
        <f>RTD("nest.scriprtd",,"bse_cm|1025ICCL26","LTP")</f>
        <v>0</v>
      </c>
      <c r="I1175" t="str">
        <f>RTD("nest.scriprtd",,"bse_cm|1025ICCL26","LTT")</f>
        <v>00:00:00</v>
      </c>
      <c r="J1175">
        <f>RTD("nest.scriprtd",,"bse_cm|1025ICCL26","% Change")</f>
        <v>-100</v>
      </c>
      <c r="K1175">
        <f>RTD("nest.scriprtd",,"bse_cm|1025ICCL26","ATP")</f>
        <v>0</v>
      </c>
      <c r="L1175">
        <f>RTD("nest.scriprtd",,"bse_cm|1025ICCL26","Volume Traded Today")</f>
        <v>0</v>
      </c>
      <c r="M1175">
        <f>RTD("nest.scriprtd",,"bse_cm|1025ICCL26","Open")</f>
        <v>0</v>
      </c>
      <c r="N1175">
        <f>RTD("nest.scriprtd",,"bse_cm|1025ICCL26","High")</f>
        <v>930</v>
      </c>
      <c r="O1175">
        <f>RTD("nest.scriprtd",,"bse_cm|1025ICCL26","Low ")</f>
        <v>930</v>
      </c>
      <c r="P1175">
        <f>RTD("nest.scriprtd",,"bse_cm|1025ICCL26","Prev Close")</f>
        <v>930</v>
      </c>
      <c r="Q1175">
        <f>RTD("nest.scriprtd",,"bse_cm|1025ICCL26","Face Value")</f>
        <v>667</v>
      </c>
      <c r="R1175" t="str">
        <f>RTD("nest.scriprtd",,"bse_cm|1025ICCL26","Isin code")</f>
        <v>INE244L07507</v>
      </c>
      <c r="S1175" s="9">
        <f>Table1[[#This Row],[Ask Rate]]*Table1[[#This Row],[Ask Qty]]</f>
        <v>0</v>
      </c>
      <c r="T1175">
        <f>VLOOKUP(Table1[[#This Row],[Isin code]],Table2[#All],7,FALSE)</f>
        <v>10.25</v>
      </c>
      <c r="U1175" s="17">
        <f>VLOOKUP(Table1[[#This Row],[Isin code]],Table2[#All],8,FALSE)</f>
        <v>46137</v>
      </c>
      <c r="V1175" s="10">
        <f ca="1">Table1[[#This Row],[Maturity]]-TODAY()</f>
        <v>556</v>
      </c>
      <c r="W1175" t="str">
        <f>VLOOKUP(Table1[[#This Row],[Isin code]],Table2[#All],10,FALSE)</f>
        <v>Yearly</v>
      </c>
      <c r="X1175">
        <f ca="1">_xlfn.DAYS(Table1[[#This Row],[Maturity]],TODAY())-15</f>
        <v>541</v>
      </c>
      <c r="Y11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175">
        <f>IF(Table1[[#This Row],[Ask Rate]]=0,0,Table1[[#This Row],[Face Value]]-Table1[[#This Row],[Ask Rate]])</f>
        <v>0</v>
      </c>
      <c r="AA1175">
        <f>IF(Table1[[#This Row],[Freq]]="Yearly",Table1[[#This Row],[Coupon_Rate]]/100,IF(Table1[[#This Row],[Freq]]="Monthly",Table1[[#This Row],[Coupon_Rate]]/1200,IF(Table1[[#This Row],[Freq]]="Quarterly",Table1[[#This Row],[Coupon_Rate]]/400,0)))</f>
        <v>0.10249999999999999</v>
      </c>
      <c r="AB1175">
        <f ca="1">Table1[[#This Row],[Face Value]]*Table1[[#This Row],[Rate]]*Table1[[#This Row],[Time]]</f>
        <v>136.73499999999999</v>
      </c>
      <c r="AC1175">
        <f ca="1">Table1[[#This Row],[SI]]+Table1[[#This Row],[Disc/Prem]]</f>
        <v>136.73499999999999</v>
      </c>
      <c r="AD1175" s="3" t="e">
        <f ca="1">Table1[[#This Row],[Net Gain]]/Table1[[#This Row],[Ask Rate]]</f>
        <v>#DIV/0!</v>
      </c>
      <c r="AE1175" s="3">
        <f>IF(Table1[[#This Row],[Ask Qty]]=0,0,Table1[[#This Row],[Gross Yield]]*365/Table1[[#This Row],[Days Left]])</f>
        <v>0</v>
      </c>
      <c r="AF1175" s="9">
        <f ca="1">+Table1[[#This Row],[Net Gain]]*Table1[[#This Row],[Ask Qty]]</f>
        <v>0</v>
      </c>
      <c r="AG1175" t="str">
        <f>IF(Table1[[#This Row],[YTM]]&gt;0.12,IF(Table1[[#This Row],[Gross Profit]]&gt;10000,"Invest","Review"),"Low YTM")</f>
        <v>Low YTM</v>
      </c>
    </row>
    <row r="1176" spans="1:33" x14ac:dyDescent="0.3">
      <c r="A1176" t="str">
        <f>RTD("nest.scriprtd",,"nse_cm|1015SCL29-ZL","Symbol")</f>
        <v>1015SCL29</v>
      </c>
      <c r="B1176" t="str">
        <f>RTD("nest.scriprtd",,"nse_cm|1015SCL29-ZL","Trading Symbol")</f>
        <v>1015SCL29-ZL</v>
      </c>
      <c r="C1176" t="str">
        <f>RTD("nest.scriprtd",,"nse_cm|1015SCL29-ZL","Exchange")</f>
        <v>NSE</v>
      </c>
      <c r="D1176">
        <f>RTD("nest.scriprtd",,"nse_cm|1015SCL29-ZL","Bid Qty")</f>
        <v>6</v>
      </c>
      <c r="E1176">
        <f>RTD("nest.scriprtd",,"nse_cm|1015SCL29-ZL","Bid Rate")</f>
        <v>825.2</v>
      </c>
      <c r="F1176">
        <f>RTD("nest.scriprtd",,"nse_cm|1015SCL29-ZL","Ask Rate")</f>
        <v>0</v>
      </c>
      <c r="G1176">
        <f>RTD("nest.scriprtd",,"nse_cm|1015SCL29-ZL","Ask Qty")</f>
        <v>0</v>
      </c>
      <c r="H1176">
        <f>RTD("nest.scriprtd",,"nse_cm|1015SCL29-ZL","LTP")</f>
        <v>0</v>
      </c>
      <c r="I1176" t="str">
        <f>RTD("nest.scriprtd",,"nse_cm|1015SCL29-ZL","LTT")</f>
        <v/>
      </c>
      <c r="J1176">
        <f>RTD("nest.scriprtd",,"nse_cm|1015SCL29-ZL","% Change")</f>
        <v>-100</v>
      </c>
      <c r="K1176">
        <f>RTD("nest.scriprtd",,"nse_cm|1015SCL29-ZL","ATP")</f>
        <v>0</v>
      </c>
      <c r="L1176">
        <f>RTD("nest.scriprtd",,"nse_cm|1015SCL29-ZL","Volume Traded Today")</f>
        <v>0</v>
      </c>
      <c r="M1176">
        <f>RTD("nest.scriprtd",,"nse_cm|1015SCL29-ZL","Open")</f>
        <v>0</v>
      </c>
      <c r="N1176">
        <f>RTD("nest.scriprtd",,"nse_cm|1015SCL29-ZL","High")</f>
        <v>0</v>
      </c>
      <c r="O1176">
        <f>RTD("nest.scriprtd",,"nse_cm|1015SCL29-ZL","Low ")</f>
        <v>0</v>
      </c>
      <c r="P1176">
        <f>RTD("nest.scriprtd",,"nse_cm|1015SCL29-ZL","Prev Close")</f>
        <v>1000</v>
      </c>
      <c r="Q1176">
        <f>RTD("nest.scriprtd",,"nse_cm|1015SCL29-ZL","Face Value")</f>
        <v>1000</v>
      </c>
      <c r="R1176" t="str">
        <f>RTD("nest.scriprtd",,"nse_cm|1015SCL29-ZL","Isin code")</f>
        <v>INE148I07TR3</v>
      </c>
      <c r="S1176" s="9">
        <f>Table1[[#This Row],[Ask Rate]]*Table1[[#This Row],[Ask Qty]]</f>
        <v>0</v>
      </c>
      <c r="T1176">
        <f>VLOOKUP(Table1[[#This Row],[Isin code]],Table2[#All],7,FALSE)</f>
        <v>10.15</v>
      </c>
      <c r="U1176" s="17" t="str">
        <f>VLOOKUP(Table1[[#This Row],[Isin code]],Table2[#All],8,FALSE)</f>
        <v>31-May-2029</v>
      </c>
      <c r="V1176" s="10">
        <f ca="1">Table1[[#This Row],[Maturity]]-TODAY()</f>
        <v>1688</v>
      </c>
      <c r="W1176" t="str">
        <f>VLOOKUP(Table1[[#This Row],[Isin code]],Table2[#All],10,FALSE)</f>
        <v>Yearly</v>
      </c>
      <c r="X1176">
        <f ca="1">_xlfn.DAYS(Table1[[#This Row],[Maturity]],TODAY())-15</f>
        <v>1673</v>
      </c>
      <c r="Y11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176">
        <f>IF(Table1[[#This Row],[Ask Rate]]=0,0,Table1[[#This Row],[Face Value]]-Table1[[#This Row],[Ask Rate]])</f>
        <v>0</v>
      </c>
      <c r="AA1176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1176">
        <f ca="1">Table1[[#This Row],[Face Value]]*Table1[[#This Row],[Rate]]*Table1[[#This Row],[Time]]</f>
        <v>507.5</v>
      </c>
      <c r="AC1176">
        <f ca="1">Table1[[#This Row],[SI]]+Table1[[#This Row],[Disc/Prem]]</f>
        <v>507.5</v>
      </c>
      <c r="AD1176" s="3" t="e">
        <f ca="1">Table1[[#This Row],[Net Gain]]/Table1[[#This Row],[Ask Rate]]</f>
        <v>#DIV/0!</v>
      </c>
      <c r="AE1176" s="3">
        <f>IF(Table1[[#This Row],[Ask Qty]]=0,0,Table1[[#This Row],[Gross Yield]]*365/Table1[[#This Row],[Days Left]])</f>
        <v>0</v>
      </c>
      <c r="AF1176" s="9">
        <f ca="1">+Table1[[#This Row],[Net Gain]]*Table1[[#This Row],[Ask Qty]]</f>
        <v>0</v>
      </c>
      <c r="AG1176" t="str">
        <f>IF(Table1[[#This Row],[YTM]]&gt;0.12,IF(Table1[[#This Row],[Gross Profit]]&gt;10000,"Invest","Review"),"Low YTM")</f>
        <v>Low YTM</v>
      </c>
    </row>
    <row r="1177" spans="1:33" x14ac:dyDescent="0.3">
      <c r="A1177" t="str">
        <f>RTD("nest.scriprtd",,"bse_cm|1015SCL29","Symbol")</f>
        <v>1015SCL29</v>
      </c>
      <c r="B1177" t="str">
        <f>RTD("nest.scriprtd",,"bse_cm|1015SCL29","Trading Symbol")</f>
        <v>1015SCL29</v>
      </c>
      <c r="C1177" t="str">
        <f>RTD("nest.scriprtd",,"bse_cm|1015SCL29","Exchange")</f>
        <v>BSE</v>
      </c>
      <c r="D1177">
        <f>RTD("nest.scriprtd",,"bse_cm|1015SCL29","Bid Qty")</f>
        <v>12</v>
      </c>
      <c r="E1177">
        <f>RTD("nest.scriprtd",,"bse_cm|1015SCL29","Bid Rate")</f>
        <v>820.4</v>
      </c>
      <c r="F1177">
        <f>RTD("nest.scriprtd",,"bse_cm|1015SCL29","Ask Rate")</f>
        <v>0</v>
      </c>
      <c r="G1177">
        <f>RTD("nest.scriprtd",,"bse_cm|1015SCL29","Ask Qty")</f>
        <v>0</v>
      </c>
      <c r="H1177">
        <f>RTD("nest.scriprtd",,"bse_cm|1015SCL29","LTP")</f>
        <v>0</v>
      </c>
      <c r="I1177" t="str">
        <f>RTD("nest.scriprtd",,"bse_cm|1015SCL29","LTT")</f>
        <v>00:00:00</v>
      </c>
      <c r="J1177">
        <f>RTD("nest.scriprtd",,"bse_cm|1015SCL29","% Change")</f>
        <v>-100</v>
      </c>
      <c r="K1177">
        <f>RTD("nest.scriprtd",,"bse_cm|1015SCL29","ATP")</f>
        <v>0</v>
      </c>
      <c r="L1177">
        <f>RTD("nest.scriprtd",,"bse_cm|1015SCL29","Volume Traded Today")</f>
        <v>0</v>
      </c>
      <c r="M1177">
        <f>RTD("nest.scriprtd",,"bse_cm|1015SCL29","Open")</f>
        <v>0</v>
      </c>
      <c r="N1177">
        <f>RTD("nest.scriprtd",,"bse_cm|1015SCL29","High")</f>
        <v>0</v>
      </c>
      <c r="O1177">
        <f>RTD("nest.scriprtd",,"bse_cm|1015SCL29","Low ")</f>
        <v>0</v>
      </c>
      <c r="P1177">
        <f>RTD("nest.scriprtd",,"bse_cm|1015SCL29","Prev Close")</f>
        <v>1000</v>
      </c>
      <c r="Q1177">
        <f>RTD("nest.scriprtd",,"bse_cm|1015SCL29","Face Value")</f>
        <v>1000</v>
      </c>
      <c r="R1177" t="str">
        <f>RTD("nest.scriprtd",,"bse_cm|1015SCL29","Isin code")</f>
        <v>INE148I07TR3</v>
      </c>
      <c r="S1177" s="9">
        <f>Table1[[#This Row],[Ask Rate]]*Table1[[#This Row],[Ask Qty]]</f>
        <v>0</v>
      </c>
      <c r="T1177">
        <f>VLOOKUP(Table1[[#This Row],[Isin code]],Table2[#All],7,FALSE)</f>
        <v>10.15</v>
      </c>
      <c r="U1177" s="17" t="str">
        <f>VLOOKUP(Table1[[#This Row],[Isin code]],Table2[#All],8,FALSE)</f>
        <v>31-May-2029</v>
      </c>
      <c r="V1177" s="10">
        <f ca="1">Table1[[#This Row],[Maturity]]-TODAY()</f>
        <v>1688</v>
      </c>
      <c r="W1177" t="str">
        <f>VLOOKUP(Table1[[#This Row],[Isin code]],Table2[#All],10,FALSE)</f>
        <v>Yearly</v>
      </c>
      <c r="X1177">
        <f ca="1">_xlfn.DAYS(Table1[[#This Row],[Maturity]],TODAY())-15</f>
        <v>1673</v>
      </c>
      <c r="Y11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177">
        <f>IF(Table1[[#This Row],[Ask Rate]]=0,0,Table1[[#This Row],[Face Value]]-Table1[[#This Row],[Ask Rate]])</f>
        <v>0</v>
      </c>
      <c r="AA1177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1177">
        <f ca="1">Table1[[#This Row],[Face Value]]*Table1[[#This Row],[Rate]]*Table1[[#This Row],[Time]]</f>
        <v>507.5</v>
      </c>
      <c r="AC1177">
        <f ca="1">Table1[[#This Row],[SI]]+Table1[[#This Row],[Disc/Prem]]</f>
        <v>507.5</v>
      </c>
      <c r="AD1177" s="3" t="e">
        <f ca="1">Table1[[#This Row],[Net Gain]]/Table1[[#This Row],[Ask Rate]]</f>
        <v>#DIV/0!</v>
      </c>
      <c r="AE1177" s="3">
        <f>IF(Table1[[#This Row],[Ask Qty]]=0,0,Table1[[#This Row],[Gross Yield]]*365/Table1[[#This Row],[Days Left]])</f>
        <v>0</v>
      </c>
      <c r="AF1177" s="9">
        <f ca="1">+Table1[[#This Row],[Net Gain]]*Table1[[#This Row],[Ask Qty]]</f>
        <v>0</v>
      </c>
      <c r="AG1177" t="str">
        <f>IF(Table1[[#This Row],[YTM]]&gt;0.12,IF(Table1[[#This Row],[Gross Profit]]&gt;10000,"Invest","Review"),"Low YTM")</f>
        <v>Low YTM</v>
      </c>
    </row>
    <row r="1178" spans="1:33" x14ac:dyDescent="0.3">
      <c r="A1178" t="str">
        <f>RTD("nest.scriprtd",,"bse_cm|1015SCL28B","Symbol")</f>
        <v>1015SCL28B</v>
      </c>
      <c r="B1178" t="str">
        <f>RTD("nest.scriprtd",,"bse_cm|1015SCL28B","Trading Symbol")</f>
        <v>1015SCL28B</v>
      </c>
      <c r="C1178" t="str">
        <f>RTD("nest.scriprtd",,"bse_cm|1015SCL28B","Exchange")</f>
        <v>BSE</v>
      </c>
      <c r="D1178">
        <f>RTD("nest.scriprtd",,"bse_cm|1015SCL28B","Bid Qty")</f>
        <v>5</v>
      </c>
      <c r="E1178">
        <f>RTD("nest.scriprtd",,"bse_cm|1015SCL28B","Bid Rate")</f>
        <v>814.3</v>
      </c>
      <c r="F1178">
        <f>RTD("nest.scriprtd",,"bse_cm|1015SCL28B","Ask Rate")</f>
        <v>0</v>
      </c>
      <c r="G1178">
        <f>RTD("nest.scriprtd",,"bse_cm|1015SCL28B","Ask Qty")</f>
        <v>0</v>
      </c>
      <c r="H1178">
        <f>RTD("nest.scriprtd",,"bse_cm|1015SCL28B","LTP")</f>
        <v>0</v>
      </c>
      <c r="I1178" t="str">
        <f>RTD("nest.scriprtd",,"bse_cm|1015SCL28B","LTT")</f>
        <v>00:00:00</v>
      </c>
      <c r="J1178">
        <f>RTD("nest.scriprtd",,"bse_cm|1015SCL28B","% Change")</f>
        <v>-100</v>
      </c>
      <c r="K1178">
        <f>RTD("nest.scriprtd",,"bse_cm|1015SCL28B","ATP")</f>
        <v>0</v>
      </c>
      <c r="L1178">
        <f>RTD("nest.scriprtd",,"bse_cm|1015SCL28B","Volume Traded Today")</f>
        <v>0</v>
      </c>
      <c r="M1178">
        <f>RTD("nest.scriprtd",,"bse_cm|1015SCL28B","Open")</f>
        <v>0</v>
      </c>
      <c r="N1178">
        <f>RTD("nest.scriprtd",,"bse_cm|1015SCL28B","High")</f>
        <v>814</v>
      </c>
      <c r="O1178">
        <f>RTD("nest.scriprtd",,"bse_cm|1015SCL28B","Low ")</f>
        <v>814</v>
      </c>
      <c r="P1178">
        <f>RTD("nest.scriprtd",,"bse_cm|1015SCL28B","Prev Close")</f>
        <v>814</v>
      </c>
      <c r="Q1178">
        <f>RTD("nest.scriprtd",,"bse_cm|1015SCL28B","Face Value")</f>
        <v>800</v>
      </c>
      <c r="R1178" t="str">
        <f>RTD("nest.scriprtd",,"bse_cm|1015SCL28B","Isin code")</f>
        <v>INE148I07OW4</v>
      </c>
      <c r="S1178" s="9">
        <f>Table1[[#This Row],[Ask Rate]]*Table1[[#This Row],[Ask Qty]]</f>
        <v>0</v>
      </c>
      <c r="T1178">
        <f>VLOOKUP(Table1[[#This Row],[Isin code]],Table2[#All],7,FALSE)</f>
        <v>10.15</v>
      </c>
      <c r="U1178" s="17" t="str">
        <f>VLOOKUP(Table1[[#This Row],[Isin code]],Table2[#All],8,FALSE)</f>
        <v>27-Jul-2028</v>
      </c>
      <c r="V1178" s="10">
        <f ca="1">Table1[[#This Row],[Maturity]]-TODAY()</f>
        <v>1380</v>
      </c>
      <c r="W1178" t="str">
        <f>VLOOKUP(Table1[[#This Row],[Isin code]],Table2[#All],10,FALSE)</f>
        <v>Yearly</v>
      </c>
      <c r="X1178">
        <f ca="1">_xlfn.DAYS(Table1[[#This Row],[Maturity]],TODAY())-15</f>
        <v>1365</v>
      </c>
      <c r="Y11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78">
        <f>IF(Table1[[#This Row],[Ask Rate]]=0,0,Table1[[#This Row],[Face Value]]-Table1[[#This Row],[Ask Rate]])</f>
        <v>0</v>
      </c>
      <c r="AA1178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1178">
        <f ca="1">Table1[[#This Row],[Face Value]]*Table1[[#This Row],[Rate]]*Table1[[#This Row],[Time]]</f>
        <v>324.8</v>
      </c>
      <c r="AC1178">
        <f ca="1">Table1[[#This Row],[SI]]+Table1[[#This Row],[Disc/Prem]]</f>
        <v>324.8</v>
      </c>
      <c r="AD1178" s="3" t="e">
        <f ca="1">Table1[[#This Row],[Net Gain]]/Table1[[#This Row],[Ask Rate]]</f>
        <v>#DIV/0!</v>
      </c>
      <c r="AE1178" s="3">
        <f>IF(Table1[[#This Row],[Ask Qty]]=0,0,Table1[[#This Row],[Gross Yield]]*365/Table1[[#This Row],[Days Left]])</f>
        <v>0</v>
      </c>
      <c r="AF1178" s="9">
        <f ca="1">+Table1[[#This Row],[Net Gain]]*Table1[[#This Row],[Ask Qty]]</f>
        <v>0</v>
      </c>
      <c r="AG1178" t="str">
        <f>IF(Table1[[#This Row],[YTM]]&gt;0.12,IF(Table1[[#This Row],[Gross Profit]]&gt;10000,"Invest","Review"),"Low YTM")</f>
        <v>Low YTM</v>
      </c>
    </row>
    <row r="1179" spans="1:33" x14ac:dyDescent="0.3">
      <c r="A1179" t="str">
        <f>RTD("nest.scriprtd",,"bse_cm|IIFLZC26B","Symbol")</f>
        <v>IIFLZC26B</v>
      </c>
      <c r="B1179" t="str">
        <f>RTD("nest.scriprtd",,"bse_cm|IIFLZC26B","Trading Symbol")</f>
        <v>IIFLZC26B</v>
      </c>
      <c r="C1179" t="str">
        <f>RTD("nest.scriprtd",,"bse_cm|IIFLZC26B","Exchange")</f>
        <v>BSE</v>
      </c>
      <c r="D1179">
        <f>RTD("nest.scriprtd",,"bse_cm|IIFLZC26B","Bid Qty")</f>
        <v>5</v>
      </c>
      <c r="E1179">
        <f>RTD("nest.scriprtd",,"bse_cm|IIFLZC26B","Bid Rate")</f>
        <v>996.55</v>
      </c>
      <c r="F1179">
        <f>RTD("nest.scriprtd",,"bse_cm|IIFLZC26B","Ask Rate")</f>
        <v>0</v>
      </c>
      <c r="G1179">
        <f>RTD("nest.scriprtd",,"bse_cm|IIFLZC26B","Ask Qty")</f>
        <v>0</v>
      </c>
      <c r="H1179">
        <f>RTD("nest.scriprtd",,"bse_cm|IIFLZC26B","LTP")</f>
        <v>0</v>
      </c>
      <c r="I1179" t="str">
        <f>RTD("nest.scriprtd",,"bse_cm|IIFLZC26B","LTT")</f>
        <v>00:00:00</v>
      </c>
      <c r="J1179">
        <f>RTD("nest.scriprtd",,"bse_cm|IIFLZC26B","% Change")</f>
        <v>-100</v>
      </c>
      <c r="K1179">
        <f>RTD("nest.scriprtd",,"bse_cm|IIFLZC26B","ATP")</f>
        <v>0</v>
      </c>
      <c r="L1179">
        <f>RTD("nest.scriprtd",,"bse_cm|IIFLZC26B","Volume Traded Today")</f>
        <v>0</v>
      </c>
      <c r="M1179">
        <f>RTD("nest.scriprtd",,"bse_cm|IIFLZC26B","Open")</f>
        <v>0</v>
      </c>
      <c r="N1179">
        <f>RTD("nest.scriprtd",,"bse_cm|IIFLZC26B","High")</f>
        <v>1000.55</v>
      </c>
      <c r="O1179">
        <f>RTD("nest.scriprtd",,"bse_cm|IIFLZC26B","Low ")</f>
        <v>1000</v>
      </c>
      <c r="P1179">
        <f>RTD("nest.scriprtd",,"bse_cm|IIFLZC26B","Prev Close")</f>
        <v>1000.28</v>
      </c>
      <c r="Q1179">
        <f>RTD("nest.scriprtd",,"bse_cm|IIFLZC26B","Face Value")</f>
        <v>1000</v>
      </c>
      <c r="R1179" t="str">
        <f>RTD("nest.scriprtd",,"bse_cm|IIFLZC26B","Isin code")</f>
        <v>INE530B07351</v>
      </c>
      <c r="S1179" s="9">
        <f>Table1[[#This Row],[Ask Rate]]*Table1[[#This Row],[Ask Qty]]</f>
        <v>0</v>
      </c>
      <c r="T1179">
        <f>VLOOKUP(Table1[[#This Row],[Isin code]],Table2[#All],7,FALSE)</f>
        <v>0</v>
      </c>
      <c r="U1179" s="17" t="str">
        <f>VLOOKUP(Table1[[#This Row],[Isin code]],Table2[#All],8,FALSE)</f>
        <v>28-Jun-2026</v>
      </c>
      <c r="V1179" s="10">
        <f ca="1">Table1[[#This Row],[Maturity]]-TODAY()</f>
        <v>620</v>
      </c>
      <c r="W1179" t="str">
        <f>VLOOKUP(Table1[[#This Row],[Isin code]],Table2[#All],10,FALSE)</f>
        <v>0</v>
      </c>
      <c r="X1179">
        <f ca="1">_xlfn.DAYS(Table1[[#This Row],[Maturity]],TODAY())-15</f>
        <v>605</v>
      </c>
      <c r="Y117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179">
        <f>IF(Table1[[#This Row],[Ask Rate]]=0,0,Table1[[#This Row],[Face Value]]-Table1[[#This Row],[Ask Rate]])</f>
        <v>0</v>
      </c>
      <c r="AA117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179">
        <f>Table1[[#This Row],[Face Value]]*Table1[[#This Row],[Rate]]*Table1[[#This Row],[Time]]</f>
        <v>0</v>
      </c>
      <c r="AC1179">
        <f>Table1[[#This Row],[SI]]+Table1[[#This Row],[Disc/Prem]]</f>
        <v>0</v>
      </c>
      <c r="AD1179" s="3" t="e">
        <f>Table1[[#This Row],[Net Gain]]/Table1[[#This Row],[Ask Rate]]</f>
        <v>#DIV/0!</v>
      </c>
      <c r="AE1179" s="3">
        <f>IF(Table1[[#This Row],[Ask Qty]]=0,0,Table1[[#This Row],[Gross Yield]]*365/Table1[[#This Row],[Days Left]])</f>
        <v>0</v>
      </c>
      <c r="AF1179" s="9">
        <f>+Table1[[#This Row],[Net Gain]]*Table1[[#This Row],[Ask Qty]]</f>
        <v>0</v>
      </c>
      <c r="AG1179" t="str">
        <f>IF(Table1[[#This Row],[YTM]]&gt;0.12,IF(Table1[[#This Row],[Gross Profit]]&gt;10000,"Invest","Review"),"Low YTM")</f>
        <v>Low YTM</v>
      </c>
    </row>
    <row r="1180" spans="1:33" hidden="1" x14ac:dyDescent="0.3">
      <c r="A1180" t="str">
        <f>RTD("nest.scriprtd",,"bse_cm|833SCL24","Symbol")</f>
        <v>833SCL24</v>
      </c>
      <c r="B1180" t="str">
        <f>RTD("nest.scriprtd",,"bse_cm|833SCL24","Trading Symbol")</f>
        <v>833SCL24</v>
      </c>
      <c r="C1180" t="str">
        <f>RTD("nest.scriprtd",,"bse_cm|833SCL24","Exchange")</f>
        <v>BSE</v>
      </c>
      <c r="D1180">
        <f>RTD("nest.scriprtd",,"bse_cm|833SCL24","Bid Qty")</f>
        <v>16</v>
      </c>
      <c r="E1180">
        <f>RTD("nest.scriprtd",,"bse_cm|833SCL24","Bid Rate")</f>
        <v>825.2</v>
      </c>
      <c r="F1180">
        <f>RTD("nest.scriprtd",,"bse_cm|833SCL24","Ask Rate")</f>
        <v>0</v>
      </c>
      <c r="G1180">
        <f>RTD("nest.scriprtd",,"bse_cm|833SCL24","Ask Qty")</f>
        <v>0</v>
      </c>
      <c r="H1180">
        <f>RTD("nest.scriprtd",,"bse_cm|833SCL24","LTP")</f>
        <v>0</v>
      </c>
      <c r="I1180" t="str">
        <f>RTD("nest.scriprtd",,"bse_cm|833SCL24","LTT")</f>
        <v>00:00:00</v>
      </c>
      <c r="J1180">
        <f>RTD("nest.scriprtd",,"bse_cm|833SCL24","% Change")</f>
        <v>-100</v>
      </c>
      <c r="K1180">
        <f>RTD("nest.scriprtd",,"bse_cm|833SCL24","ATP")</f>
        <v>0</v>
      </c>
      <c r="L1180">
        <f>RTD("nest.scriprtd",,"bse_cm|833SCL24","Volume Traded Today")</f>
        <v>0</v>
      </c>
      <c r="M1180">
        <f>RTD("nest.scriprtd",,"bse_cm|833SCL24","Open")</f>
        <v>0</v>
      </c>
      <c r="N1180">
        <f>RTD("nest.scriprtd",,"bse_cm|833SCL24","High")</f>
        <v>0</v>
      </c>
      <c r="O1180">
        <f>RTD("nest.scriprtd",,"bse_cm|833SCL24","Low ")</f>
        <v>0</v>
      </c>
      <c r="P1180">
        <f>RTD("nest.scriprtd",,"bse_cm|833SCL24","Prev Close")</f>
        <v>1000</v>
      </c>
      <c r="Q1180">
        <f>RTD("nest.scriprtd",,"bse_cm|833SCL24","Face Value")</f>
        <v>1000</v>
      </c>
      <c r="R1180" t="str">
        <f>RTD("nest.scriprtd",,"bse_cm|833SCL24","Isin code")</f>
        <v>INE148I07MW8</v>
      </c>
      <c r="S1180" s="9">
        <f>Table1[[#This Row],[Ask Rate]]*Table1[[#This Row],[Ask Qty]]</f>
        <v>0</v>
      </c>
      <c r="T1180">
        <f>VLOOKUP(Table1[[#This Row],[Isin code]],Table2[#All],7,FALSE)</f>
        <v>8.33</v>
      </c>
      <c r="U1180" s="17" t="str">
        <f>VLOOKUP(Table1[[#This Row],[Isin code]],Table2[#All],8,FALSE)</f>
        <v>03-Nov-2024</v>
      </c>
      <c r="V1180" s="10">
        <f ca="1">Table1[[#This Row],[Maturity]]-TODAY()</f>
        <v>18</v>
      </c>
      <c r="W1180" t="str">
        <f>VLOOKUP(Table1[[#This Row],[Isin code]],Table2[#All],10,FALSE)</f>
        <v>Monthly</v>
      </c>
      <c r="X1180">
        <f ca="1">_xlfn.DAYS(Table1[[#This Row],[Maturity]],TODAY())-15</f>
        <v>3</v>
      </c>
      <c r="Y11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180">
        <f>IF(Table1[[#This Row],[Ask Rate]]=0,0,Table1[[#This Row],[Face Value]]-Table1[[#This Row],[Ask Rate]])</f>
        <v>0</v>
      </c>
      <c r="AA1180">
        <f>IF(Table1[[#This Row],[Freq]]="Yearly",Table1[[#This Row],[Coupon_Rate]]/100,IF(Table1[[#This Row],[Freq]]="Monthly",Table1[[#This Row],[Coupon_Rate]]/1200,IF(Table1[[#This Row],[Freq]]="Quarterly",Table1[[#This Row],[Coupon_Rate]]/400,0)))</f>
        <v>6.9416666666666663E-3</v>
      </c>
      <c r="AB1180">
        <f ca="1">Table1[[#This Row],[Face Value]]*Table1[[#This Row],[Rate]]*Table1[[#This Row],[Time]]</f>
        <v>6.9416666666666664</v>
      </c>
      <c r="AC1180">
        <f ca="1">Table1[[#This Row],[SI]]+Table1[[#This Row],[Disc/Prem]]</f>
        <v>6.9416666666666664</v>
      </c>
      <c r="AD1180" s="3" t="e">
        <f ca="1">Table1[[#This Row],[Net Gain]]/Table1[[#This Row],[Ask Rate]]</f>
        <v>#DIV/0!</v>
      </c>
      <c r="AE1180" s="3">
        <f>IF(Table1[[#This Row],[Ask Qty]]=0,0,Table1[[#This Row],[Gross Yield]]*365/Table1[[#This Row],[Days Left]])</f>
        <v>0</v>
      </c>
      <c r="AF1180" s="9">
        <f ca="1">+Table1[[#This Row],[Net Gain]]*Table1[[#This Row],[Ask Qty]]</f>
        <v>0</v>
      </c>
      <c r="AG1180" t="str">
        <f>IF(Table1[[#This Row],[YTM]]&gt;0.12,IF(Table1[[#This Row],[Gross Profit]]&gt;10000,"Invest","Review"),"Low YTM")</f>
        <v>Low YTM</v>
      </c>
    </row>
    <row r="1181" spans="1:33" x14ac:dyDescent="0.3">
      <c r="A1181" t="str">
        <f>RTD("nest.scriprtd",,"nse_cm|801TCH28-N7","Symbol")</f>
        <v>801TCH28</v>
      </c>
      <c r="B1181" t="str">
        <f>RTD("nest.scriprtd",,"nse_cm|801TCH28-N7","Trading Symbol")</f>
        <v>801TCH28-N7</v>
      </c>
      <c r="C1181" t="str">
        <f>RTD("nest.scriprtd",,"nse_cm|801TCH28-N7","Exchange")</f>
        <v>NSE</v>
      </c>
      <c r="D1181">
        <f>RTD("nest.scriprtd",,"nse_cm|801TCH28-N7","Bid Qty")</f>
        <v>10</v>
      </c>
      <c r="E1181">
        <f>RTD("nest.scriprtd",,"nse_cm|801TCH28-N7","Bid Rate")</f>
        <v>875.2</v>
      </c>
      <c r="F1181">
        <f>RTD("nest.scriprtd",,"nse_cm|801TCH28-N7","Ask Rate")</f>
        <v>0</v>
      </c>
      <c r="G1181">
        <f>RTD("nest.scriprtd",,"nse_cm|801TCH28-N7","Ask Qty")</f>
        <v>0</v>
      </c>
      <c r="H1181">
        <f>RTD("nest.scriprtd",,"nse_cm|801TCH28-N7","LTP")</f>
        <v>0</v>
      </c>
      <c r="I1181" t="str">
        <f>RTD("nest.scriprtd",,"nse_cm|801TCH28-N7","LTT")</f>
        <v/>
      </c>
      <c r="J1181">
        <f>RTD("nest.scriprtd",,"nse_cm|801TCH28-N7","% Change")</f>
        <v>-100</v>
      </c>
      <c r="K1181">
        <f>RTD("nest.scriprtd",,"nse_cm|801TCH28-N7","ATP")</f>
        <v>0</v>
      </c>
      <c r="L1181">
        <f>RTD("nest.scriprtd",,"nse_cm|801TCH28-N7","Volume Traded Today")</f>
        <v>0</v>
      </c>
      <c r="M1181">
        <f>RTD("nest.scriprtd",,"nse_cm|801TCH28-N7","Open")</f>
        <v>0</v>
      </c>
      <c r="N1181">
        <f>RTD("nest.scriprtd",,"nse_cm|801TCH28-N7","High")</f>
        <v>0</v>
      </c>
      <c r="O1181">
        <f>RTD("nest.scriprtd",,"nse_cm|801TCH28-N7","Low ")</f>
        <v>0</v>
      </c>
      <c r="P1181">
        <f>RTD("nest.scriprtd",,"nse_cm|801TCH28-N7","Prev Close")</f>
        <v>1000</v>
      </c>
      <c r="Q1181">
        <f>RTD("nest.scriprtd",,"nse_cm|801TCH28-N7","Face Value")</f>
        <v>1000</v>
      </c>
      <c r="R1181" t="str">
        <f>RTD("nest.scriprtd",,"nse_cm|801TCH28-N7","Isin code")</f>
        <v>INE033L07GR8</v>
      </c>
      <c r="S1181" s="9">
        <f>Table1[[#This Row],[Ask Rate]]*Table1[[#This Row],[Ask Qty]]</f>
        <v>0</v>
      </c>
      <c r="T1181">
        <f>VLOOKUP(Table1[[#This Row],[Isin code]],Table2[#All],7,FALSE)</f>
        <v>8.01</v>
      </c>
      <c r="U1181" s="17" t="str">
        <f>VLOOKUP(Table1[[#This Row],[Isin code]],Table2[#All],8,FALSE)</f>
        <v>14-Jan-2028</v>
      </c>
      <c r="V1181" s="10">
        <f ca="1">Table1[[#This Row],[Maturity]]-TODAY()</f>
        <v>1185</v>
      </c>
      <c r="W1181" t="str">
        <f>VLOOKUP(Table1[[#This Row],[Isin code]],Table2[#All],10,FALSE)</f>
        <v>Monthly</v>
      </c>
      <c r="X1181">
        <f ca="1">_xlfn.DAYS(Table1[[#This Row],[Maturity]],TODAY())-15</f>
        <v>1170</v>
      </c>
      <c r="Y11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1181">
        <f>IF(Table1[[#This Row],[Ask Rate]]=0,0,Table1[[#This Row],[Face Value]]-Table1[[#This Row],[Ask Rate]])</f>
        <v>0</v>
      </c>
      <c r="AA1181">
        <f>IF(Table1[[#This Row],[Freq]]="Yearly",Table1[[#This Row],[Coupon_Rate]]/100,IF(Table1[[#This Row],[Freq]]="Monthly",Table1[[#This Row],[Coupon_Rate]]/1200,IF(Table1[[#This Row],[Freq]]="Quarterly",Table1[[#This Row],[Coupon_Rate]]/400,0)))</f>
        <v>6.6749999999999995E-3</v>
      </c>
      <c r="AB1181">
        <f ca="1">Table1[[#This Row],[Face Value]]*Table1[[#This Row],[Rate]]*Table1[[#This Row],[Time]]</f>
        <v>260.32499999999999</v>
      </c>
      <c r="AC1181">
        <f ca="1">Table1[[#This Row],[SI]]+Table1[[#This Row],[Disc/Prem]]</f>
        <v>260.32499999999999</v>
      </c>
      <c r="AD1181" s="3" t="e">
        <f ca="1">Table1[[#This Row],[Net Gain]]/Table1[[#This Row],[Ask Rate]]</f>
        <v>#DIV/0!</v>
      </c>
      <c r="AE1181" s="3">
        <f>IF(Table1[[#This Row],[Ask Qty]]=0,0,Table1[[#This Row],[Gross Yield]]*365/Table1[[#This Row],[Days Left]])</f>
        <v>0</v>
      </c>
      <c r="AF1181" s="9">
        <f ca="1">+Table1[[#This Row],[Net Gain]]*Table1[[#This Row],[Ask Qty]]</f>
        <v>0</v>
      </c>
      <c r="AG1181" t="str">
        <f>IF(Table1[[#This Row],[YTM]]&gt;0.12,IF(Table1[[#This Row],[Gross Profit]]&gt;10000,"Invest","Review"),"Low YTM")</f>
        <v>Low YTM</v>
      </c>
    </row>
    <row r="1182" spans="1:33" x14ac:dyDescent="0.3">
      <c r="A1182" t="str">
        <f>RTD("nest.scriprtd",,"bse_cm|801TCH28","Symbol")</f>
        <v>801TCH28</v>
      </c>
      <c r="B1182" t="str">
        <f>RTD("nest.scriprtd",,"bse_cm|801TCH28","Trading Symbol")</f>
        <v>801TCH28</v>
      </c>
      <c r="C1182" t="str">
        <f>RTD("nest.scriprtd",,"bse_cm|801TCH28","Exchange")</f>
        <v>BSE</v>
      </c>
      <c r="D1182">
        <f>RTD("nest.scriprtd",,"bse_cm|801TCH28","Bid Qty")</f>
        <v>27</v>
      </c>
      <c r="E1182">
        <f>RTD("nest.scriprtd",,"bse_cm|801TCH28","Bid Rate")</f>
        <v>888.2</v>
      </c>
      <c r="F1182">
        <f>RTD("nest.scriprtd",,"bse_cm|801TCH28","Ask Rate")</f>
        <v>0</v>
      </c>
      <c r="G1182">
        <f>RTD("nest.scriprtd",,"bse_cm|801TCH28","Ask Qty")</f>
        <v>0</v>
      </c>
      <c r="H1182">
        <f>RTD("nest.scriprtd",,"bse_cm|801TCH28","LTP")</f>
        <v>0</v>
      </c>
      <c r="I1182" t="str">
        <f>RTD("nest.scriprtd",,"bse_cm|801TCH28","LTT")</f>
        <v>00:00:00</v>
      </c>
      <c r="J1182">
        <f>RTD("nest.scriprtd",,"bse_cm|801TCH28","% Change")</f>
        <v>-100</v>
      </c>
      <c r="K1182">
        <f>RTD("nest.scriprtd",,"bse_cm|801TCH28","ATP")</f>
        <v>0</v>
      </c>
      <c r="L1182">
        <f>RTD("nest.scriprtd",,"bse_cm|801TCH28","Volume Traded Today")</f>
        <v>0</v>
      </c>
      <c r="M1182">
        <f>RTD("nest.scriprtd",,"bse_cm|801TCH28","Open")</f>
        <v>0</v>
      </c>
      <c r="N1182">
        <f>RTD("nest.scriprtd",,"bse_cm|801TCH28","High")</f>
        <v>0</v>
      </c>
      <c r="O1182">
        <f>RTD("nest.scriprtd",,"bse_cm|801TCH28","Low ")</f>
        <v>0</v>
      </c>
      <c r="P1182">
        <f>RTD("nest.scriprtd",,"bse_cm|801TCH28","Prev Close")</f>
        <v>1000</v>
      </c>
      <c r="Q1182">
        <f>RTD("nest.scriprtd",,"bse_cm|801TCH28","Face Value")</f>
        <v>1000</v>
      </c>
      <c r="R1182" t="str">
        <f>RTD("nest.scriprtd",,"bse_cm|801TCH28","Isin code")</f>
        <v>INE033L07GR8</v>
      </c>
      <c r="S1182" s="9">
        <f>Table1[[#This Row],[Ask Rate]]*Table1[[#This Row],[Ask Qty]]</f>
        <v>0</v>
      </c>
      <c r="T1182">
        <f>VLOOKUP(Table1[[#This Row],[Isin code]],Table2[#All],7,FALSE)</f>
        <v>8.01</v>
      </c>
      <c r="U1182" s="17" t="str">
        <f>VLOOKUP(Table1[[#This Row],[Isin code]],Table2[#All],8,FALSE)</f>
        <v>14-Jan-2028</v>
      </c>
      <c r="V1182" s="10">
        <f ca="1">Table1[[#This Row],[Maturity]]-TODAY()</f>
        <v>1185</v>
      </c>
      <c r="W1182" t="str">
        <f>VLOOKUP(Table1[[#This Row],[Isin code]],Table2[#All],10,FALSE)</f>
        <v>Monthly</v>
      </c>
      <c r="X1182">
        <f ca="1">_xlfn.DAYS(Table1[[#This Row],[Maturity]],TODAY())-15</f>
        <v>1170</v>
      </c>
      <c r="Y11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39</v>
      </c>
      <c r="Z1182">
        <f>IF(Table1[[#This Row],[Ask Rate]]=0,0,Table1[[#This Row],[Face Value]]-Table1[[#This Row],[Ask Rate]])</f>
        <v>0</v>
      </c>
      <c r="AA1182">
        <f>IF(Table1[[#This Row],[Freq]]="Yearly",Table1[[#This Row],[Coupon_Rate]]/100,IF(Table1[[#This Row],[Freq]]="Monthly",Table1[[#This Row],[Coupon_Rate]]/1200,IF(Table1[[#This Row],[Freq]]="Quarterly",Table1[[#This Row],[Coupon_Rate]]/400,0)))</f>
        <v>6.6749999999999995E-3</v>
      </c>
      <c r="AB1182">
        <f ca="1">Table1[[#This Row],[Face Value]]*Table1[[#This Row],[Rate]]*Table1[[#This Row],[Time]]</f>
        <v>260.32499999999999</v>
      </c>
      <c r="AC1182">
        <f ca="1">Table1[[#This Row],[SI]]+Table1[[#This Row],[Disc/Prem]]</f>
        <v>260.32499999999999</v>
      </c>
      <c r="AD1182" s="3" t="e">
        <f ca="1">Table1[[#This Row],[Net Gain]]/Table1[[#This Row],[Ask Rate]]</f>
        <v>#DIV/0!</v>
      </c>
      <c r="AE1182" s="3">
        <f>IF(Table1[[#This Row],[Ask Qty]]=0,0,Table1[[#This Row],[Gross Yield]]*365/Table1[[#This Row],[Days Left]])</f>
        <v>0</v>
      </c>
      <c r="AF1182" s="9">
        <f ca="1">+Table1[[#This Row],[Net Gain]]*Table1[[#This Row],[Ask Qty]]</f>
        <v>0</v>
      </c>
      <c r="AG1182" t="str">
        <f>IF(Table1[[#This Row],[YTM]]&gt;0.12,IF(Table1[[#This Row],[Gross Profit]]&gt;10000,"Invest","Review"),"Low YTM")</f>
        <v>Low YTM</v>
      </c>
    </row>
    <row r="1183" spans="1:33" x14ac:dyDescent="0.3">
      <c r="A1183" t="str">
        <f>RTD("nest.scriprtd",,"bse_cm|79IGT28","Symbol")</f>
        <v>79IGT28</v>
      </c>
      <c r="B1183" t="str">
        <f>RTD("nest.scriprtd",,"bse_cm|79IGT28","Trading Symbol")</f>
        <v>79IGT28</v>
      </c>
      <c r="C1183" t="str">
        <f>RTD("nest.scriprtd",,"bse_cm|79IGT28","Exchange")</f>
        <v>BSE</v>
      </c>
      <c r="D1183">
        <f>RTD("nest.scriprtd",,"bse_cm|79IGT28","Bid Qty")</f>
        <v>500</v>
      </c>
      <c r="E1183">
        <f>RTD("nest.scriprtd",,"bse_cm|79IGT28","Bid Rate")</f>
        <v>899</v>
      </c>
      <c r="F1183">
        <f>RTD("nest.scriprtd",,"bse_cm|79IGT28","Ask Rate")</f>
        <v>0</v>
      </c>
      <c r="G1183">
        <f>RTD("nest.scriprtd",,"bse_cm|79IGT28","Ask Qty")</f>
        <v>0</v>
      </c>
      <c r="H1183">
        <f>RTD("nest.scriprtd",,"bse_cm|79IGT28","LTP")</f>
        <v>0</v>
      </c>
      <c r="I1183" t="str">
        <f>RTD("nest.scriprtd",,"bse_cm|79IGT28","LTT")</f>
        <v>00:00:00</v>
      </c>
      <c r="J1183">
        <f>RTD("nest.scriprtd",,"bse_cm|79IGT28","% Change")</f>
        <v>-100</v>
      </c>
      <c r="K1183">
        <f>RTD("nest.scriprtd",,"bse_cm|79IGT28","ATP")</f>
        <v>0</v>
      </c>
      <c r="L1183">
        <f>RTD("nest.scriprtd",,"bse_cm|79IGT28","Volume Traded Today")</f>
        <v>0</v>
      </c>
      <c r="M1183">
        <f>RTD("nest.scriprtd",,"bse_cm|79IGT28","Open")</f>
        <v>0</v>
      </c>
      <c r="N1183">
        <f>RTD("nest.scriprtd",,"bse_cm|79IGT28","High")</f>
        <v>1000</v>
      </c>
      <c r="O1183">
        <f>RTD("nest.scriprtd",,"bse_cm|79IGT28","Low ")</f>
        <v>1000</v>
      </c>
      <c r="P1183">
        <f>RTD("nest.scriprtd",,"bse_cm|79IGT28","Prev Close")</f>
        <v>1000</v>
      </c>
      <c r="Q1183">
        <f>RTD("nest.scriprtd",,"bse_cm|79IGT28","Face Value")</f>
        <v>1000</v>
      </c>
      <c r="R1183" t="str">
        <f>RTD("nest.scriprtd",,"bse_cm|79IGT28","Isin code")</f>
        <v>INE219X07223</v>
      </c>
      <c r="S1183" s="9">
        <f>Table1[[#This Row],[Ask Rate]]*Table1[[#This Row],[Ask Qty]]</f>
        <v>0</v>
      </c>
      <c r="T1183">
        <f>VLOOKUP(Table1[[#This Row],[Isin code]],Table2[#All],7,FALSE)</f>
        <v>7.9</v>
      </c>
      <c r="U1183" s="17" t="str">
        <f>VLOOKUP(Table1[[#This Row],[Isin code]],Table2[#All],8,FALSE)</f>
        <v>06-May-2028</v>
      </c>
      <c r="V1183" s="10">
        <f ca="1">Table1[[#This Row],[Maturity]]-TODAY()</f>
        <v>1298</v>
      </c>
      <c r="W1183" t="str">
        <f>VLOOKUP(Table1[[#This Row],[Isin code]],Table2[#All],10,FALSE)</f>
        <v>Yearly</v>
      </c>
      <c r="X1183">
        <f ca="1">_xlfn.DAYS(Table1[[#This Row],[Maturity]],TODAY())-15</f>
        <v>1283</v>
      </c>
      <c r="Y11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83">
        <f>IF(Table1[[#This Row],[Ask Rate]]=0,0,Table1[[#This Row],[Face Value]]-Table1[[#This Row],[Ask Rate]])</f>
        <v>0</v>
      </c>
      <c r="AA1183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7.9000000000000001E-2</v>
      </c>
      <c r="AB1183">
        <f ca="1">Table1[[#This Row],[Face Value]]*Table1[[#This Row],[Rate]]*Table1[[#This Row],[Time]]</f>
        <v>316</v>
      </c>
      <c r="AC1183">
        <f ca="1">Table1[[#This Row],[SI]]+Table1[[#This Row],[Disc/Prem]]</f>
        <v>316</v>
      </c>
      <c r="AD1183" s="3" t="e">
        <f ca="1">Table1[[#This Row],[Net Gain]]/Table1[[#This Row],[Ask Rate]]</f>
        <v>#DIV/0!</v>
      </c>
      <c r="AE1183" s="3">
        <f>IF(Table1[[#This Row],[Ask Qty]]=0,0,Table1[[#This Row],[Gross Yield]]*365/Table1[[#This Row],[Days Left]])</f>
        <v>0</v>
      </c>
      <c r="AF1183" s="9">
        <f ca="1">+Table1[[#This Row],[Net Gain]]*Table1[[#This Row],[Ask Qty]]</f>
        <v>0</v>
      </c>
      <c r="AG1183" t="str">
        <f>IF(Table1[[#This Row],[YTM]]&gt;0.12,IF(Table1[[#This Row],[Gross Profit]]&gt;10000,"Invest","Review"),"Low YTM")</f>
        <v>Low YTM</v>
      </c>
    </row>
    <row r="1184" spans="1:33" x14ac:dyDescent="0.3">
      <c r="A1184" t="str">
        <f>RTD("nest.scriprtd",,"bse_cm|795MMFSL32","Symbol")</f>
        <v>795MMFSL32</v>
      </c>
      <c r="B1184" t="str">
        <f>RTD("nest.scriprtd",,"bse_cm|795MMFSL32","Trading Symbol")</f>
        <v>795MMFSL32</v>
      </c>
      <c r="C1184" t="str">
        <f>RTD("nest.scriprtd",,"bse_cm|795MMFSL32","Exchange")</f>
        <v>BSE</v>
      </c>
      <c r="D1184">
        <f>RTD("nest.scriprtd",,"bse_cm|795MMFSL32","Bid Qty")</f>
        <v>20</v>
      </c>
      <c r="E1184">
        <f>RTD("nest.scriprtd",,"bse_cm|795MMFSL32","Bid Rate")</f>
        <v>905.4</v>
      </c>
      <c r="F1184">
        <f>RTD("nest.scriprtd",,"bse_cm|795MMFSL32","Ask Rate")</f>
        <v>0</v>
      </c>
      <c r="G1184">
        <f>RTD("nest.scriprtd",,"bse_cm|795MMFSL32","Ask Qty")</f>
        <v>0</v>
      </c>
      <c r="H1184">
        <f>RTD("nest.scriprtd",,"bse_cm|795MMFSL32","LTP")</f>
        <v>0</v>
      </c>
      <c r="I1184" t="str">
        <f>RTD("nest.scriprtd",,"bse_cm|795MMFSL32","LTT")</f>
        <v>00:00:00</v>
      </c>
      <c r="J1184">
        <f>RTD("nest.scriprtd",,"bse_cm|795MMFSL32","% Change")</f>
        <v>-100</v>
      </c>
      <c r="K1184">
        <f>RTD("nest.scriprtd",,"bse_cm|795MMFSL32","ATP")</f>
        <v>0</v>
      </c>
      <c r="L1184">
        <f>RTD("nest.scriprtd",,"bse_cm|795MMFSL32","Volume Traded Today")</f>
        <v>0</v>
      </c>
      <c r="M1184">
        <f>RTD("nest.scriprtd",,"bse_cm|795MMFSL32","Open")</f>
        <v>0</v>
      </c>
      <c r="N1184">
        <f>RTD("nest.scriprtd",,"bse_cm|795MMFSL32","High")</f>
        <v>0</v>
      </c>
      <c r="O1184">
        <f>RTD("nest.scriprtd",,"bse_cm|795MMFSL32","Low ")</f>
        <v>0</v>
      </c>
      <c r="P1184">
        <f>RTD("nest.scriprtd",,"bse_cm|795MMFSL32","Prev Close")</f>
        <v>893.2</v>
      </c>
      <c r="Q1184">
        <f>RTD("nest.scriprtd",,"bse_cm|795MMFSL32","Face Value")</f>
        <v>1000</v>
      </c>
      <c r="R1184" t="str">
        <f>RTD("nest.scriprtd",,"bse_cm|795MMFSL32","Isin code")</f>
        <v>INE774D08ML3</v>
      </c>
      <c r="S1184" s="9">
        <f>Table1[[#This Row],[Ask Rate]]*Table1[[#This Row],[Ask Qty]]</f>
        <v>0</v>
      </c>
      <c r="T1184">
        <f>VLOOKUP(Table1[[#This Row],[Isin code]],Table2[#All],7,FALSE)</f>
        <v>7.95</v>
      </c>
      <c r="U1184" s="17" t="str">
        <f>VLOOKUP(Table1[[#This Row],[Isin code]],Table2[#All],8,FALSE)</f>
        <v>24-Jul-2032</v>
      </c>
      <c r="V1184" s="10">
        <f ca="1">Table1[[#This Row],[Maturity]]-TODAY()</f>
        <v>2838</v>
      </c>
      <c r="W1184" t="str">
        <f>VLOOKUP(Table1[[#This Row],[Isin code]],Table2[#All],10,FALSE)</f>
        <v>Yearly</v>
      </c>
      <c r="X1184">
        <f ca="1">_xlfn.DAYS(Table1[[#This Row],[Maturity]],TODAY())-15</f>
        <v>2823</v>
      </c>
      <c r="Y11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1184">
        <f>IF(Table1[[#This Row],[Ask Rate]]=0,0,Table1[[#This Row],[Face Value]]-Table1[[#This Row],[Ask Rate]])</f>
        <v>0</v>
      </c>
      <c r="AA1184">
        <f>IF(Table1[[#This Row],[Freq]]="Yearly",Table1[[#This Row],[Coupon_Rate]]/100,IF(Table1[[#This Row],[Freq]]="Monthly",Table1[[#This Row],[Coupon_Rate]]/1200,IF(Table1[[#This Row],[Freq]]="Quarterly",Table1[[#This Row],[Coupon_Rate]]/400,0)))</f>
        <v>7.9500000000000001E-2</v>
      </c>
      <c r="AB1184">
        <f ca="1">Table1[[#This Row],[Face Value]]*Table1[[#This Row],[Rate]]*Table1[[#This Row],[Time]]</f>
        <v>636</v>
      </c>
      <c r="AC1184">
        <f ca="1">Table1[[#This Row],[SI]]+Table1[[#This Row],[Disc/Prem]]</f>
        <v>636</v>
      </c>
      <c r="AD1184" s="3" t="e">
        <f ca="1">Table1[[#This Row],[Net Gain]]/Table1[[#This Row],[Ask Rate]]</f>
        <v>#DIV/0!</v>
      </c>
      <c r="AE1184" s="3">
        <f>IF(Table1[[#This Row],[Ask Qty]]=0,0,Table1[[#This Row],[Gross Yield]]*365/Table1[[#This Row],[Days Left]])</f>
        <v>0</v>
      </c>
      <c r="AF1184" s="9">
        <f ca="1">+Table1[[#This Row],[Net Gain]]*Table1[[#This Row],[Ask Qty]]</f>
        <v>0</v>
      </c>
      <c r="AG1184" t="str">
        <f>IF(Table1[[#This Row],[YTM]]&gt;0.12,IF(Table1[[#This Row],[Gross Profit]]&gt;10000,"Invest","Review"),"Low YTM")</f>
        <v>Low YTM</v>
      </c>
    </row>
    <row r="1185" spans="1:33" x14ac:dyDescent="0.3">
      <c r="A1185" t="str">
        <f>RTD("nest.scriprtd",,"nse_cm|795IGT31-NI","Symbol")</f>
        <v>795IGT31</v>
      </c>
      <c r="B1185" t="str">
        <f>RTD("nest.scriprtd",,"nse_cm|795IGT31-NI","Trading Symbol")</f>
        <v>795IGT31-NI</v>
      </c>
      <c r="C1185" t="str">
        <f>RTD("nest.scriprtd",,"nse_cm|795IGT31-NI","Exchange")</f>
        <v>NSE</v>
      </c>
      <c r="D1185">
        <f>RTD("nest.scriprtd",,"nse_cm|795IGT31-NI","Bid Qty")</f>
        <v>20</v>
      </c>
      <c r="E1185">
        <f>RTD("nest.scriprtd",,"nse_cm|795IGT31-NI","Bid Rate")</f>
        <v>870.3</v>
      </c>
      <c r="F1185">
        <f>RTD("nest.scriprtd",,"nse_cm|795IGT31-NI","Ask Rate")</f>
        <v>0</v>
      </c>
      <c r="G1185">
        <f>RTD("nest.scriprtd",,"nse_cm|795IGT31-NI","Ask Qty")</f>
        <v>0</v>
      </c>
      <c r="H1185">
        <f>RTD("nest.scriprtd",,"nse_cm|795IGT31-NI","LTP")</f>
        <v>0</v>
      </c>
      <c r="I1185" t="str">
        <f>RTD("nest.scriprtd",,"nse_cm|795IGT31-NI","LTT")</f>
        <v/>
      </c>
      <c r="J1185">
        <f>RTD("nest.scriprtd",,"nse_cm|795IGT31-NI","% Change")</f>
        <v>-100</v>
      </c>
      <c r="K1185">
        <f>RTD("nest.scriprtd",,"nse_cm|795IGT31-NI","ATP")</f>
        <v>0</v>
      </c>
      <c r="L1185">
        <f>RTD("nest.scriprtd",,"nse_cm|795IGT31-NI","Volume Traded Today")</f>
        <v>0</v>
      </c>
      <c r="M1185">
        <f>RTD("nest.scriprtd",,"nse_cm|795IGT31-NI","Open")</f>
        <v>0</v>
      </c>
      <c r="N1185">
        <f>RTD("nest.scriprtd",,"nse_cm|795IGT31-NI","High")</f>
        <v>0</v>
      </c>
      <c r="O1185">
        <f>RTD("nest.scriprtd",,"nse_cm|795IGT31-NI","Low ")</f>
        <v>0</v>
      </c>
      <c r="P1185">
        <f>RTD("nest.scriprtd",,"nse_cm|795IGT31-NI","Prev Close")</f>
        <v>1000</v>
      </c>
      <c r="Q1185">
        <f>RTD("nest.scriprtd",,"nse_cm|795IGT31-NI","Face Value")</f>
        <v>1000</v>
      </c>
      <c r="R1185" t="str">
        <f>RTD("nest.scriprtd",,"nse_cm|795IGT31-NI","Isin code")</f>
        <v>INE219X07256</v>
      </c>
      <c r="S1185" s="9">
        <f>Table1[[#This Row],[Ask Rate]]*Table1[[#This Row],[Ask Qty]]</f>
        <v>0</v>
      </c>
      <c r="T1185">
        <f>VLOOKUP(Table1[[#This Row],[Isin code]],Table2[#All],7,FALSE)</f>
        <v>7.95</v>
      </c>
      <c r="U1185" s="17" t="str">
        <f>VLOOKUP(Table1[[#This Row],[Isin code]],Table2[#All],8,FALSE)</f>
        <v>06-May-2031</v>
      </c>
      <c r="V1185" s="10">
        <f ca="1">Table1[[#This Row],[Maturity]]-TODAY()</f>
        <v>2393</v>
      </c>
      <c r="W1185" t="str">
        <f>VLOOKUP(Table1[[#This Row],[Isin code]],Table2[#All],10,FALSE)</f>
        <v>Yearly</v>
      </c>
      <c r="X1185">
        <f ca="1">_xlfn.DAYS(Table1[[#This Row],[Maturity]],TODAY())-15</f>
        <v>2378</v>
      </c>
      <c r="Y11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185">
        <f>IF(Table1[[#This Row],[Ask Rate]]=0,0,Table1[[#This Row],[Face Value]]-Table1[[#This Row],[Ask Rate]])</f>
        <v>0</v>
      </c>
      <c r="AA1185">
        <f>IF(Table1[[#This Row],[Freq]]="Yearly",Table1[[#This Row],[Coupon_Rate]]/100,IF(Table1[[#This Row],[Freq]]="Monthly",Table1[[#This Row],[Coupon_Rate]]/1200,IF(Table1[[#This Row],[Freq]]="Quarterly",Table1[[#This Row],[Coupon_Rate]]/400,0)))</f>
        <v>7.9500000000000001E-2</v>
      </c>
      <c r="AB1185">
        <f ca="1">Table1[[#This Row],[Face Value]]*Table1[[#This Row],[Rate]]*Table1[[#This Row],[Time]]</f>
        <v>556.5</v>
      </c>
      <c r="AC1185">
        <f ca="1">Table1[[#This Row],[SI]]+Table1[[#This Row],[Disc/Prem]]</f>
        <v>556.5</v>
      </c>
      <c r="AD1185" s="3" t="e">
        <f ca="1">Table1[[#This Row],[Net Gain]]/Table1[[#This Row],[Ask Rate]]</f>
        <v>#DIV/0!</v>
      </c>
      <c r="AE1185" s="3">
        <f>IF(Table1[[#This Row],[Ask Qty]]=0,0,Table1[[#This Row],[Gross Yield]]*365/Table1[[#This Row],[Days Left]])</f>
        <v>0</v>
      </c>
      <c r="AF1185" s="9">
        <f ca="1">+Table1[[#This Row],[Net Gain]]*Table1[[#This Row],[Ask Qty]]</f>
        <v>0</v>
      </c>
      <c r="AG1185" t="str">
        <f>IF(Table1[[#This Row],[YTM]]&gt;0.12,IF(Table1[[#This Row],[Gross Profit]]&gt;10000,"Invest","Review"),"Low YTM")</f>
        <v>Low YTM</v>
      </c>
    </row>
    <row r="1186" spans="1:33" x14ac:dyDescent="0.3">
      <c r="A1186" t="str">
        <f>RTD("nest.scriprtd",,"bse_cm|795IGT31","Symbol")</f>
        <v>795IGT31</v>
      </c>
      <c r="B1186" t="str">
        <f>RTD("nest.scriprtd",,"bse_cm|795IGT31","Trading Symbol")</f>
        <v>795IGT31</v>
      </c>
      <c r="C1186" t="str">
        <f>RTD("nest.scriprtd",,"bse_cm|795IGT31","Exchange")</f>
        <v>BSE</v>
      </c>
      <c r="D1186">
        <f>RTD("nest.scriprtd",,"bse_cm|795IGT31","Bid Qty")</f>
        <v>10</v>
      </c>
      <c r="E1186">
        <f>RTD("nest.scriprtd",,"bse_cm|795IGT31","Bid Rate")</f>
        <v>872.8</v>
      </c>
      <c r="F1186">
        <f>RTD("nest.scriprtd",,"bse_cm|795IGT31","Ask Rate")</f>
        <v>0</v>
      </c>
      <c r="G1186">
        <f>RTD("nest.scriprtd",,"bse_cm|795IGT31","Ask Qty")</f>
        <v>0</v>
      </c>
      <c r="H1186">
        <f>RTD("nest.scriprtd",,"bse_cm|795IGT31","LTP")</f>
        <v>0</v>
      </c>
      <c r="I1186" t="str">
        <f>RTD("nest.scriprtd",,"bse_cm|795IGT31","LTT")</f>
        <v>00:00:00</v>
      </c>
      <c r="J1186">
        <f>RTD("nest.scriprtd",,"bse_cm|795IGT31","% Change")</f>
        <v>-100</v>
      </c>
      <c r="K1186">
        <f>RTD("nest.scriprtd",,"bse_cm|795IGT31","ATP")</f>
        <v>0</v>
      </c>
      <c r="L1186">
        <f>RTD("nest.scriprtd",,"bse_cm|795IGT31","Volume Traded Today")</f>
        <v>0</v>
      </c>
      <c r="M1186">
        <f>RTD("nest.scriprtd",,"bse_cm|795IGT31","Open")</f>
        <v>0</v>
      </c>
      <c r="N1186">
        <f>RTD("nest.scriprtd",,"bse_cm|795IGT31","High")</f>
        <v>0</v>
      </c>
      <c r="O1186">
        <f>RTD("nest.scriprtd",,"bse_cm|795IGT31","Low ")</f>
        <v>0</v>
      </c>
      <c r="P1186">
        <f>RTD("nest.scriprtd",,"bse_cm|795IGT31","Prev Close")</f>
        <v>1000</v>
      </c>
      <c r="Q1186">
        <f>RTD("nest.scriprtd",,"bse_cm|795IGT31","Face Value")</f>
        <v>1000</v>
      </c>
      <c r="R1186" t="str">
        <f>RTD("nest.scriprtd",,"bse_cm|795IGT31","Isin code")</f>
        <v>INE219X07256</v>
      </c>
      <c r="S1186" s="9">
        <f>Table1[[#This Row],[Ask Rate]]*Table1[[#This Row],[Ask Qty]]</f>
        <v>0</v>
      </c>
      <c r="T1186">
        <f>VLOOKUP(Table1[[#This Row],[Isin code]],Table2[#All],7,FALSE)</f>
        <v>7.95</v>
      </c>
      <c r="U1186" s="17" t="str">
        <f>VLOOKUP(Table1[[#This Row],[Isin code]],Table2[#All],8,FALSE)</f>
        <v>06-May-2031</v>
      </c>
      <c r="V1186" s="10">
        <f ca="1">Table1[[#This Row],[Maturity]]-TODAY()</f>
        <v>2393</v>
      </c>
      <c r="W1186" t="str">
        <f>VLOOKUP(Table1[[#This Row],[Isin code]],Table2[#All],10,FALSE)</f>
        <v>Yearly</v>
      </c>
      <c r="X1186">
        <f ca="1">_xlfn.DAYS(Table1[[#This Row],[Maturity]],TODAY())-15</f>
        <v>2378</v>
      </c>
      <c r="Y11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186">
        <f>IF(Table1[[#This Row],[Ask Rate]]=0,0,Table1[[#This Row],[Face Value]]-Table1[[#This Row],[Ask Rate]])</f>
        <v>0</v>
      </c>
      <c r="AA1186">
        <f>IF(Table1[[#This Row],[Freq]]="Yearly",Table1[[#This Row],[Coupon_Rate]]/100,IF(Table1[[#This Row],[Freq]]="Monthly",Table1[[#This Row],[Coupon_Rate]]/1200,IF(Table1[[#This Row],[Freq]]="Quarterly",Table1[[#This Row],[Coupon_Rate]]/400,0)))</f>
        <v>7.9500000000000001E-2</v>
      </c>
      <c r="AB1186">
        <f ca="1">Table1[[#This Row],[Face Value]]*Table1[[#This Row],[Rate]]*Table1[[#This Row],[Time]]</f>
        <v>556.5</v>
      </c>
      <c r="AC1186">
        <f ca="1">Table1[[#This Row],[SI]]+Table1[[#This Row],[Disc/Prem]]</f>
        <v>556.5</v>
      </c>
      <c r="AD1186" s="3" t="e">
        <f ca="1">Table1[[#This Row],[Net Gain]]/Table1[[#This Row],[Ask Rate]]</f>
        <v>#DIV/0!</v>
      </c>
      <c r="AE1186" s="3">
        <f>IF(Table1[[#This Row],[Ask Qty]]=0,0,Table1[[#This Row],[Gross Yield]]*365/Table1[[#This Row],[Days Left]])</f>
        <v>0</v>
      </c>
      <c r="AF1186" s="9">
        <f ca="1">+Table1[[#This Row],[Net Gain]]*Table1[[#This Row],[Ask Qty]]</f>
        <v>0</v>
      </c>
      <c r="AG1186" t="str">
        <f>IF(Table1[[#This Row],[YTM]]&gt;0.12,IF(Table1[[#This Row],[Gross Profit]]&gt;10000,"Invest","Review"),"Low YTM")</f>
        <v>Low YTM</v>
      </c>
    </row>
    <row r="1187" spans="1:33" hidden="1" x14ac:dyDescent="0.3">
      <c r="A1187" t="str">
        <f>RTD("nest.scriprtd",,"nse_cm|792TCH25-N3","Symbol")</f>
        <v>792TCH25</v>
      </c>
      <c r="B1187" t="str">
        <f>RTD("nest.scriprtd",,"nse_cm|792TCH25-N3","Trading Symbol")</f>
        <v>792TCH25-N3</v>
      </c>
      <c r="C1187" t="str">
        <f>RTD("nest.scriprtd",,"nse_cm|792TCH25-N3","Exchange")</f>
        <v>NSE</v>
      </c>
      <c r="D1187">
        <f>RTD("nest.scriprtd",,"nse_cm|792TCH25-N3","Bid Qty")</f>
        <v>16</v>
      </c>
      <c r="E1187">
        <f>RTD("nest.scriprtd",,"nse_cm|792TCH25-N3","Bid Rate")</f>
        <v>871.2</v>
      </c>
      <c r="F1187">
        <f>RTD("nest.scriprtd",,"nse_cm|792TCH25-N3","Ask Rate")</f>
        <v>0</v>
      </c>
      <c r="G1187">
        <f>RTD("nest.scriprtd",,"nse_cm|792TCH25-N3","Ask Qty")</f>
        <v>0</v>
      </c>
      <c r="H1187">
        <f>RTD("nest.scriprtd",,"nse_cm|792TCH25-N3","LTP")</f>
        <v>0</v>
      </c>
      <c r="I1187" t="str">
        <f>RTD("nest.scriprtd",,"nse_cm|792TCH25-N3","LTT")</f>
        <v/>
      </c>
      <c r="J1187">
        <f>RTD("nest.scriprtd",,"nse_cm|792TCH25-N3","% Change")</f>
        <v>-100</v>
      </c>
      <c r="K1187">
        <f>RTD("nest.scriprtd",,"nse_cm|792TCH25-N3","ATP")</f>
        <v>0</v>
      </c>
      <c r="L1187">
        <f>RTD("nest.scriprtd",,"nse_cm|792TCH25-N3","Volume Traded Today")</f>
        <v>0</v>
      </c>
      <c r="M1187">
        <f>RTD("nest.scriprtd",,"nse_cm|792TCH25-N3","Open")</f>
        <v>0</v>
      </c>
      <c r="N1187">
        <f>RTD("nest.scriprtd",,"nse_cm|792TCH25-N3","High")</f>
        <v>0</v>
      </c>
      <c r="O1187">
        <f>RTD("nest.scriprtd",,"nse_cm|792TCH25-N3","Low ")</f>
        <v>0</v>
      </c>
      <c r="P1187">
        <f>RTD("nest.scriprtd",,"nse_cm|792TCH25-N3","Prev Close")</f>
        <v>1000</v>
      </c>
      <c r="Q1187">
        <f>RTD("nest.scriprtd",,"nse_cm|792TCH25-N3","Face Value")</f>
        <v>1000</v>
      </c>
      <c r="R1187" t="str">
        <f>RTD("nest.scriprtd",,"nse_cm|792TCH25-N3","Isin code")</f>
        <v>INE033L07GN7</v>
      </c>
      <c r="S1187" s="9">
        <f>Table1[[#This Row],[Ask Rate]]*Table1[[#This Row],[Ask Qty]]</f>
        <v>0</v>
      </c>
      <c r="T1187">
        <f>VLOOKUP(Table1[[#This Row],[Isin code]],Table2[#All],7,FALSE)</f>
        <v>7.92</v>
      </c>
      <c r="U1187" s="17" t="str">
        <f>VLOOKUP(Table1[[#This Row],[Isin code]],Table2[#All],8,FALSE)</f>
        <v>14-Jan-2025</v>
      </c>
      <c r="V1187" s="10">
        <f ca="1">Table1[[#This Row],[Maturity]]-TODAY()</f>
        <v>90</v>
      </c>
      <c r="W1187" t="str">
        <f>VLOOKUP(Table1[[#This Row],[Isin code]],Table2[#All],10,FALSE)</f>
        <v>Monthly</v>
      </c>
      <c r="X1187">
        <f ca="1">_xlfn.DAYS(Table1[[#This Row],[Maturity]],TODAY())-15</f>
        <v>75</v>
      </c>
      <c r="Y11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87">
        <f>IF(Table1[[#This Row],[Ask Rate]]=0,0,Table1[[#This Row],[Face Value]]-Table1[[#This Row],[Ask Rate]])</f>
        <v>0</v>
      </c>
      <c r="AA1187">
        <f>IF(Table1[[#This Row],[Freq]]="Yearly",Table1[[#This Row],[Coupon_Rate]]/100,IF(Table1[[#This Row],[Freq]]="Monthly",Table1[[#This Row],[Coupon_Rate]]/1200,IF(Table1[[#This Row],[Freq]]="Quarterly",Table1[[#This Row],[Coupon_Rate]]/400,0)))</f>
        <v>6.6E-3</v>
      </c>
      <c r="AB1187">
        <f ca="1">Table1[[#This Row],[Face Value]]*Table1[[#This Row],[Rate]]*Table1[[#This Row],[Time]]</f>
        <v>19.799999999999997</v>
      </c>
      <c r="AC1187">
        <f ca="1">Table1[[#This Row],[SI]]+Table1[[#This Row],[Disc/Prem]]</f>
        <v>19.799999999999997</v>
      </c>
      <c r="AD1187" s="3" t="e">
        <f ca="1">Table1[[#This Row],[Net Gain]]/Table1[[#This Row],[Ask Rate]]</f>
        <v>#DIV/0!</v>
      </c>
      <c r="AE1187" s="3">
        <f>IF(Table1[[#This Row],[Ask Qty]]=0,0,Table1[[#This Row],[Gross Yield]]*365/Table1[[#This Row],[Days Left]])</f>
        <v>0</v>
      </c>
      <c r="AF1187" s="9">
        <f ca="1">+Table1[[#This Row],[Net Gain]]*Table1[[#This Row],[Ask Qty]]</f>
        <v>0</v>
      </c>
      <c r="AG1187" t="str">
        <f>IF(Table1[[#This Row],[YTM]]&gt;0.12,IF(Table1[[#This Row],[Gross Profit]]&gt;10000,"Invest","Review"),"Low YTM")</f>
        <v>Low YTM</v>
      </c>
    </row>
    <row r="1188" spans="1:33" hidden="1" x14ac:dyDescent="0.3">
      <c r="A1188" t="str">
        <f>RTD("nest.scriprtd",,"bse_cm|792TCH25","Symbol")</f>
        <v>792TCH25</v>
      </c>
      <c r="B1188" t="str">
        <f>RTD("nest.scriprtd",,"bse_cm|792TCH25","Trading Symbol")</f>
        <v>792TCH25</v>
      </c>
      <c r="C1188" t="str">
        <f>RTD("nest.scriprtd",,"bse_cm|792TCH25","Exchange")</f>
        <v>BSE</v>
      </c>
      <c r="D1188">
        <f>RTD("nest.scriprtd",,"bse_cm|792TCH25","Bid Qty")</f>
        <v>20</v>
      </c>
      <c r="E1188">
        <f>RTD("nest.scriprtd",,"bse_cm|792TCH25","Bid Rate")</f>
        <v>920.2</v>
      </c>
      <c r="F1188">
        <f>RTD("nest.scriprtd",,"bse_cm|792TCH25","Ask Rate")</f>
        <v>0</v>
      </c>
      <c r="G1188">
        <f>RTD("nest.scriprtd",,"bse_cm|792TCH25","Ask Qty")</f>
        <v>0</v>
      </c>
      <c r="H1188">
        <f>RTD("nest.scriprtd",,"bse_cm|792TCH25","LTP")</f>
        <v>0</v>
      </c>
      <c r="I1188" t="str">
        <f>RTD("nest.scriprtd",,"bse_cm|792TCH25","LTT")</f>
        <v>00:00:00</v>
      </c>
      <c r="J1188">
        <f>RTD("nest.scriprtd",,"bse_cm|792TCH25","% Change")</f>
        <v>-100</v>
      </c>
      <c r="K1188">
        <f>RTD("nest.scriprtd",,"bse_cm|792TCH25","ATP")</f>
        <v>0</v>
      </c>
      <c r="L1188">
        <f>RTD("nest.scriprtd",,"bse_cm|792TCH25","Volume Traded Today")</f>
        <v>0</v>
      </c>
      <c r="M1188">
        <f>RTD("nest.scriprtd",,"bse_cm|792TCH25","Open")</f>
        <v>0</v>
      </c>
      <c r="N1188">
        <f>RTD("nest.scriprtd",,"bse_cm|792TCH25","High")</f>
        <v>1000</v>
      </c>
      <c r="O1188">
        <f>RTD("nest.scriprtd",,"bse_cm|792TCH25","Low ")</f>
        <v>1000</v>
      </c>
      <c r="P1188">
        <f>RTD("nest.scriprtd",,"bse_cm|792TCH25","Prev Close")</f>
        <v>1000</v>
      </c>
      <c r="Q1188">
        <f>RTD("nest.scriprtd",,"bse_cm|792TCH25","Face Value")</f>
        <v>1000</v>
      </c>
      <c r="R1188" t="str">
        <f>RTD("nest.scriprtd",,"bse_cm|792TCH25","Isin code")</f>
        <v>INE033L07GN7</v>
      </c>
      <c r="S1188" s="9">
        <f>Table1[[#This Row],[Ask Rate]]*Table1[[#This Row],[Ask Qty]]</f>
        <v>0</v>
      </c>
      <c r="T1188">
        <f>VLOOKUP(Table1[[#This Row],[Isin code]],Table2[#All],7,FALSE)</f>
        <v>7.92</v>
      </c>
      <c r="U1188" s="17" t="str">
        <f>VLOOKUP(Table1[[#This Row],[Isin code]],Table2[#All],8,FALSE)</f>
        <v>14-Jan-2025</v>
      </c>
      <c r="V1188" s="10">
        <f ca="1">Table1[[#This Row],[Maturity]]-TODAY()</f>
        <v>90</v>
      </c>
      <c r="W1188" t="str">
        <f>VLOOKUP(Table1[[#This Row],[Isin code]],Table2[#All],10,FALSE)</f>
        <v>Monthly</v>
      </c>
      <c r="X1188">
        <f ca="1">_xlfn.DAYS(Table1[[#This Row],[Maturity]],TODAY())-15</f>
        <v>75</v>
      </c>
      <c r="Y11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88">
        <f>IF(Table1[[#This Row],[Ask Rate]]=0,0,Table1[[#This Row],[Face Value]]-Table1[[#This Row],[Ask Rate]])</f>
        <v>0</v>
      </c>
      <c r="AA1188">
        <f>IF(Table1[[#This Row],[Freq]]="Yearly",Table1[[#This Row],[Coupon_Rate]]/100,IF(Table1[[#This Row],[Freq]]="Monthly",Table1[[#This Row],[Coupon_Rate]]/1200,IF(Table1[[#This Row],[Freq]]="Quarterly",Table1[[#This Row],[Coupon_Rate]]/400,0)))</f>
        <v>6.6E-3</v>
      </c>
      <c r="AB1188">
        <f ca="1">Table1[[#This Row],[Face Value]]*Table1[[#This Row],[Rate]]*Table1[[#This Row],[Time]]</f>
        <v>19.799999999999997</v>
      </c>
      <c r="AC1188">
        <f ca="1">Table1[[#This Row],[SI]]+Table1[[#This Row],[Disc/Prem]]</f>
        <v>19.799999999999997</v>
      </c>
      <c r="AD1188" s="3" t="e">
        <f ca="1">Table1[[#This Row],[Net Gain]]/Table1[[#This Row],[Ask Rate]]</f>
        <v>#DIV/0!</v>
      </c>
      <c r="AE1188" s="3">
        <f>IF(Table1[[#This Row],[Ask Qty]]=0,0,Table1[[#This Row],[Gross Yield]]*365/Table1[[#This Row],[Days Left]])</f>
        <v>0</v>
      </c>
      <c r="AF1188" s="9">
        <f ca="1">+Table1[[#This Row],[Net Gain]]*Table1[[#This Row],[Ask Qty]]</f>
        <v>0</v>
      </c>
      <c r="AG1188" t="str">
        <f>IF(Table1[[#This Row],[YTM]]&gt;0.12,IF(Table1[[#This Row],[Gross Profit]]&gt;10000,"Invest","Review"),"Low YTM")</f>
        <v>Low YTM</v>
      </c>
    </row>
    <row r="1189" spans="1:33" x14ac:dyDescent="0.3">
      <c r="A1189" t="str">
        <f>RTD("nest.scriprtd",,"bse_cm|790MMFSL27","Symbol")</f>
        <v>790MMFSL27</v>
      </c>
      <c r="B1189" t="str">
        <f>RTD("nest.scriprtd",,"bse_cm|790MMFSL27","Trading Symbol")</f>
        <v>790MMFSL27</v>
      </c>
      <c r="C1189" t="str">
        <f>RTD("nest.scriprtd",,"bse_cm|790MMFSL27","Exchange")</f>
        <v>BSE</v>
      </c>
      <c r="D1189">
        <f>RTD("nest.scriprtd",,"bse_cm|790MMFSL27","Bid Qty")</f>
        <v>20</v>
      </c>
      <c r="E1189">
        <f>RTD("nest.scriprtd",,"bse_cm|790MMFSL27","Bid Rate")</f>
        <v>910.2</v>
      </c>
      <c r="F1189">
        <f>RTD("nest.scriprtd",,"bse_cm|790MMFSL27","Ask Rate")</f>
        <v>0</v>
      </c>
      <c r="G1189">
        <f>RTD("nest.scriprtd",,"bse_cm|790MMFSL27","Ask Qty")</f>
        <v>0</v>
      </c>
      <c r="H1189">
        <f>RTD("nest.scriprtd",,"bse_cm|790MMFSL27","LTP")</f>
        <v>0</v>
      </c>
      <c r="I1189" t="str">
        <f>RTD("nest.scriprtd",,"bse_cm|790MMFSL27","LTT")</f>
        <v>00:00:00</v>
      </c>
      <c r="J1189">
        <f>RTD("nest.scriprtd",,"bse_cm|790MMFSL27","% Change")</f>
        <v>-100</v>
      </c>
      <c r="K1189">
        <f>RTD("nest.scriprtd",,"bse_cm|790MMFSL27","ATP")</f>
        <v>0</v>
      </c>
      <c r="L1189">
        <f>RTD("nest.scriprtd",,"bse_cm|790MMFSL27","Volume Traded Today")</f>
        <v>0</v>
      </c>
      <c r="M1189">
        <f>RTD("nest.scriprtd",,"bse_cm|790MMFSL27","Open")</f>
        <v>0</v>
      </c>
      <c r="N1189">
        <f>RTD("nest.scriprtd",,"bse_cm|790MMFSL27","High")</f>
        <v>0</v>
      </c>
      <c r="O1189">
        <f>RTD("nest.scriprtd",,"bse_cm|790MMFSL27","Low ")</f>
        <v>0</v>
      </c>
      <c r="P1189">
        <f>RTD("nest.scriprtd",,"bse_cm|790MMFSL27","Prev Close")</f>
        <v>892.4</v>
      </c>
      <c r="Q1189">
        <f>RTD("nest.scriprtd",,"bse_cm|790MMFSL27","Face Value")</f>
        <v>1000</v>
      </c>
      <c r="R1189" t="str">
        <f>RTD("nest.scriprtd",,"bse_cm|790MMFSL27","Isin code")</f>
        <v>INE774D08MJ7</v>
      </c>
      <c r="S1189" s="9">
        <f>Table1[[#This Row],[Ask Rate]]*Table1[[#This Row],[Ask Qty]]</f>
        <v>0</v>
      </c>
      <c r="T1189">
        <f>VLOOKUP(Table1[[#This Row],[Isin code]],Table2[#All],7,FALSE)</f>
        <v>7.9</v>
      </c>
      <c r="U1189" s="17" t="str">
        <f>VLOOKUP(Table1[[#This Row],[Isin code]],Table2[#All],8,FALSE)</f>
        <v>24-Jul-2027</v>
      </c>
      <c r="V1189" s="10">
        <f ca="1">Table1[[#This Row],[Maturity]]-TODAY()</f>
        <v>1011</v>
      </c>
      <c r="W1189" t="str">
        <f>VLOOKUP(Table1[[#This Row],[Isin code]],Table2[#All],10,FALSE)</f>
        <v>Yearly</v>
      </c>
      <c r="X1189">
        <f ca="1">_xlfn.DAYS(Table1[[#This Row],[Maturity]],TODAY())-15</f>
        <v>996</v>
      </c>
      <c r="Y11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189">
        <f>IF(Table1[[#This Row],[Ask Rate]]=0,0,Table1[[#This Row],[Face Value]]-Table1[[#This Row],[Ask Rate]])</f>
        <v>0</v>
      </c>
      <c r="AA1189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7.9000000000000001E-2</v>
      </c>
      <c r="AB1189">
        <f ca="1">Table1[[#This Row],[Face Value]]*Table1[[#This Row],[Rate]]*Table1[[#This Row],[Time]]</f>
        <v>237</v>
      </c>
      <c r="AC1189">
        <f ca="1">Table1[[#This Row],[SI]]+Table1[[#This Row],[Disc/Prem]]</f>
        <v>237</v>
      </c>
      <c r="AD1189" s="3" t="e">
        <f ca="1">Table1[[#This Row],[Net Gain]]/Table1[[#This Row],[Ask Rate]]</f>
        <v>#DIV/0!</v>
      </c>
      <c r="AE1189" s="3">
        <f>IF(Table1[[#This Row],[Ask Qty]]=0,0,Table1[[#This Row],[Gross Yield]]*365/Table1[[#This Row],[Days Left]])</f>
        <v>0</v>
      </c>
      <c r="AF1189" s="9">
        <f ca="1">+Table1[[#This Row],[Net Gain]]*Table1[[#This Row],[Ask Qty]]</f>
        <v>0</v>
      </c>
      <c r="AG1189" t="str">
        <f>IF(Table1[[#This Row],[YTM]]&gt;0.12,IF(Table1[[#This Row],[Gross Profit]]&gt;10000,"Invest","Review"),"Low YTM")</f>
        <v>Low YTM</v>
      </c>
    </row>
    <row r="1190" spans="1:33" x14ac:dyDescent="0.3">
      <c r="A1190" t="str">
        <f>RTD("nest.scriprtd",,"nse_cm|77IGT28-NE","Symbol")</f>
        <v>77IGT28</v>
      </c>
      <c r="B1190" t="str">
        <f>RTD("nest.scriprtd",,"nse_cm|77IGT28-NE","Trading Symbol")</f>
        <v>77IGT28-NE</v>
      </c>
      <c r="C1190" t="str">
        <f>RTD("nest.scriprtd",,"nse_cm|77IGT28-NE","Exchange")</f>
        <v>NSE</v>
      </c>
      <c r="D1190">
        <f>RTD("nest.scriprtd",,"nse_cm|77IGT28-NE","Bid Qty")</f>
        <v>20</v>
      </c>
      <c r="E1190">
        <f>RTD("nest.scriprtd",,"nse_cm|77IGT28-NE","Bid Rate")</f>
        <v>875.2</v>
      </c>
      <c r="F1190">
        <f>RTD("nest.scriprtd",,"nse_cm|77IGT28-NE","Ask Rate")</f>
        <v>0</v>
      </c>
      <c r="G1190">
        <f>RTD("nest.scriprtd",,"nse_cm|77IGT28-NE","Ask Qty")</f>
        <v>0</v>
      </c>
      <c r="H1190">
        <f>RTD("nest.scriprtd",,"nse_cm|77IGT28-NE","LTP")</f>
        <v>0</v>
      </c>
      <c r="I1190" t="str">
        <f>RTD("nest.scriprtd",,"nse_cm|77IGT28-NE","LTT")</f>
        <v/>
      </c>
      <c r="J1190">
        <f>RTD("nest.scriprtd",,"nse_cm|77IGT28-NE","% Change")</f>
        <v>-100</v>
      </c>
      <c r="K1190">
        <f>RTD("nest.scriprtd",,"nse_cm|77IGT28-NE","ATP")</f>
        <v>0</v>
      </c>
      <c r="L1190">
        <f>RTD("nest.scriprtd",,"nse_cm|77IGT28-NE","Volume Traded Today")</f>
        <v>0</v>
      </c>
      <c r="M1190">
        <f>RTD("nest.scriprtd",,"nse_cm|77IGT28-NE","Open")</f>
        <v>0</v>
      </c>
      <c r="N1190">
        <f>RTD("nest.scriprtd",,"nse_cm|77IGT28-NE","High")</f>
        <v>0</v>
      </c>
      <c r="O1190">
        <f>RTD("nest.scriprtd",,"nse_cm|77IGT28-NE","Low ")</f>
        <v>0</v>
      </c>
      <c r="P1190">
        <f>RTD("nest.scriprtd",,"nse_cm|77IGT28-NE","Prev Close")</f>
        <v>1000</v>
      </c>
      <c r="Q1190">
        <f>RTD("nest.scriprtd",,"nse_cm|77IGT28-NE","Face Value")</f>
        <v>1000</v>
      </c>
      <c r="R1190" t="str">
        <f>RTD("nest.scriprtd",,"nse_cm|77IGT28-NE","Isin code")</f>
        <v>INE219X07215</v>
      </c>
      <c r="S1190" s="9">
        <f>Table1[[#This Row],[Ask Rate]]*Table1[[#This Row],[Ask Qty]]</f>
        <v>0</v>
      </c>
      <c r="T1190">
        <f>VLOOKUP(Table1[[#This Row],[Isin code]],Table2[#All],7,FALSE)</f>
        <v>7.7</v>
      </c>
      <c r="U1190" s="17" t="str">
        <f>VLOOKUP(Table1[[#This Row],[Isin code]],Table2[#All],8,FALSE)</f>
        <v>06-May-2028</v>
      </c>
      <c r="V1190" s="10">
        <f ca="1">Table1[[#This Row],[Maturity]]-TODAY()</f>
        <v>1298</v>
      </c>
      <c r="W1190" t="str">
        <f>VLOOKUP(Table1[[#This Row],[Isin code]],Table2[#All],10,FALSE)</f>
        <v>Yearly</v>
      </c>
      <c r="X1190">
        <f ca="1">_xlfn.DAYS(Table1[[#This Row],[Maturity]],TODAY())-15</f>
        <v>1283</v>
      </c>
      <c r="Y11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90">
        <f>IF(Table1[[#This Row],[Ask Rate]]=0,0,Table1[[#This Row],[Face Value]]-Table1[[#This Row],[Ask Rate]])</f>
        <v>0</v>
      </c>
      <c r="AA1190">
        <f>IF(Table1[[#This Row],[Freq]]="Yearly",Table1[[#This Row],[Coupon_Rate]]/100,IF(Table1[[#This Row],[Freq]]="Monthly",Table1[[#This Row],[Coupon_Rate]]/1200,IF(Table1[[#This Row],[Freq]]="Quarterly",Table1[[#This Row],[Coupon_Rate]]/400,0)))</f>
        <v>7.6999999999999999E-2</v>
      </c>
      <c r="AB1190">
        <f ca="1">Table1[[#This Row],[Face Value]]*Table1[[#This Row],[Rate]]*Table1[[#This Row],[Time]]</f>
        <v>308</v>
      </c>
      <c r="AC1190">
        <f ca="1">Table1[[#This Row],[SI]]+Table1[[#This Row],[Disc/Prem]]</f>
        <v>308</v>
      </c>
      <c r="AD1190" s="3" t="e">
        <f ca="1">Table1[[#This Row],[Net Gain]]/Table1[[#This Row],[Ask Rate]]</f>
        <v>#DIV/0!</v>
      </c>
      <c r="AE1190" s="3">
        <f>IF(Table1[[#This Row],[Ask Qty]]=0,0,Table1[[#This Row],[Gross Yield]]*365/Table1[[#This Row],[Days Left]])</f>
        <v>0</v>
      </c>
      <c r="AF1190" s="9">
        <f ca="1">+Table1[[#This Row],[Net Gain]]*Table1[[#This Row],[Ask Qty]]</f>
        <v>0</v>
      </c>
      <c r="AG1190" t="str">
        <f>IF(Table1[[#This Row],[YTM]]&gt;0.12,IF(Table1[[#This Row],[Gross Profit]]&gt;10000,"Invest","Review"),"Low YTM")</f>
        <v>Low YTM</v>
      </c>
    </row>
    <row r="1191" spans="1:33" x14ac:dyDescent="0.3">
      <c r="A1191" t="str">
        <f>RTD("nest.scriprtd",,"bse_cm|77IGT28","Symbol")</f>
        <v>77IGT28</v>
      </c>
      <c r="B1191" t="str">
        <f>RTD("nest.scriprtd",,"bse_cm|77IGT28","Trading Symbol")</f>
        <v>77IGT28</v>
      </c>
      <c r="C1191" t="str">
        <f>RTD("nest.scriprtd",,"bse_cm|77IGT28","Exchange")</f>
        <v>BSE</v>
      </c>
      <c r="D1191">
        <f>RTD("nest.scriprtd",,"bse_cm|77IGT28","Bid Qty")</f>
        <v>18</v>
      </c>
      <c r="E1191">
        <f>RTD("nest.scriprtd",,"bse_cm|77IGT28","Bid Rate")</f>
        <v>882.6</v>
      </c>
      <c r="F1191">
        <f>RTD("nest.scriprtd",,"bse_cm|77IGT28","Ask Rate")</f>
        <v>0</v>
      </c>
      <c r="G1191">
        <f>RTD("nest.scriprtd",,"bse_cm|77IGT28","Ask Qty")</f>
        <v>0</v>
      </c>
      <c r="H1191">
        <f>RTD("nest.scriprtd",,"bse_cm|77IGT28","LTP")</f>
        <v>0</v>
      </c>
      <c r="I1191" t="str">
        <f>RTD("nest.scriprtd",,"bse_cm|77IGT28","LTT")</f>
        <v>00:00:00</v>
      </c>
      <c r="J1191">
        <f>RTD("nest.scriprtd",,"bse_cm|77IGT28","% Change")</f>
        <v>-100</v>
      </c>
      <c r="K1191">
        <f>RTD("nest.scriprtd",,"bse_cm|77IGT28","ATP")</f>
        <v>0</v>
      </c>
      <c r="L1191">
        <f>RTD("nest.scriprtd",,"bse_cm|77IGT28","Volume Traded Today")</f>
        <v>0</v>
      </c>
      <c r="M1191">
        <f>RTD("nest.scriprtd",,"bse_cm|77IGT28","Open")</f>
        <v>0</v>
      </c>
      <c r="N1191">
        <f>RTD("nest.scriprtd",,"bse_cm|77IGT28","High")</f>
        <v>0</v>
      </c>
      <c r="O1191">
        <f>RTD("nest.scriprtd",,"bse_cm|77IGT28","Low ")</f>
        <v>0</v>
      </c>
      <c r="P1191">
        <f>RTD("nest.scriprtd",,"bse_cm|77IGT28","Prev Close")</f>
        <v>1000</v>
      </c>
      <c r="Q1191">
        <f>RTD("nest.scriprtd",,"bse_cm|77IGT28","Face Value")</f>
        <v>1000</v>
      </c>
      <c r="R1191" t="str">
        <f>RTD("nest.scriprtd",,"bse_cm|77IGT28","Isin code")</f>
        <v>INE219X07215</v>
      </c>
      <c r="S1191" s="9">
        <f>Table1[[#This Row],[Ask Rate]]*Table1[[#This Row],[Ask Qty]]</f>
        <v>0</v>
      </c>
      <c r="T1191">
        <f>VLOOKUP(Table1[[#This Row],[Isin code]],Table2[#All],7,FALSE)</f>
        <v>7.7</v>
      </c>
      <c r="U1191" s="17" t="str">
        <f>VLOOKUP(Table1[[#This Row],[Isin code]],Table2[#All],8,FALSE)</f>
        <v>06-May-2028</v>
      </c>
      <c r="V1191" s="10">
        <f ca="1">Table1[[#This Row],[Maturity]]-TODAY()</f>
        <v>1298</v>
      </c>
      <c r="W1191" t="str">
        <f>VLOOKUP(Table1[[#This Row],[Isin code]],Table2[#All],10,FALSE)</f>
        <v>Yearly</v>
      </c>
      <c r="X1191">
        <f ca="1">_xlfn.DAYS(Table1[[#This Row],[Maturity]],TODAY())-15</f>
        <v>1283</v>
      </c>
      <c r="Y11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191">
        <f>IF(Table1[[#This Row],[Ask Rate]]=0,0,Table1[[#This Row],[Face Value]]-Table1[[#This Row],[Ask Rate]])</f>
        <v>0</v>
      </c>
      <c r="AA1191">
        <f>IF(Table1[[#This Row],[Freq]]="Yearly",Table1[[#This Row],[Coupon_Rate]]/100,IF(Table1[[#This Row],[Freq]]="Monthly",Table1[[#This Row],[Coupon_Rate]]/1200,IF(Table1[[#This Row],[Freq]]="Quarterly",Table1[[#This Row],[Coupon_Rate]]/400,0)))</f>
        <v>7.6999999999999999E-2</v>
      </c>
      <c r="AB1191">
        <f ca="1">Table1[[#This Row],[Face Value]]*Table1[[#This Row],[Rate]]*Table1[[#This Row],[Time]]</f>
        <v>308</v>
      </c>
      <c r="AC1191">
        <f ca="1">Table1[[#This Row],[SI]]+Table1[[#This Row],[Disc/Prem]]</f>
        <v>308</v>
      </c>
      <c r="AD1191" s="3" t="e">
        <f ca="1">Table1[[#This Row],[Net Gain]]/Table1[[#This Row],[Ask Rate]]</f>
        <v>#DIV/0!</v>
      </c>
      <c r="AE1191" s="3">
        <f>IF(Table1[[#This Row],[Ask Qty]]=0,0,Table1[[#This Row],[Gross Yield]]*365/Table1[[#This Row],[Days Left]])</f>
        <v>0</v>
      </c>
      <c r="AF1191" s="9">
        <f ca="1">+Table1[[#This Row],[Net Gain]]*Table1[[#This Row],[Ask Qty]]</f>
        <v>0</v>
      </c>
      <c r="AG1191" t="str">
        <f>IF(Table1[[#This Row],[YTM]]&gt;0.12,IF(Table1[[#This Row],[Gross Profit]]&gt;10000,"Invest","Review"),"Low YTM")</f>
        <v>Low YTM</v>
      </c>
    </row>
    <row r="1192" spans="1:33" x14ac:dyDescent="0.3">
      <c r="A1192" t="str">
        <f>RTD("nest.scriprtd",,"bse_cm|775MFLTD28","Symbol")</f>
        <v>775MFLTD28</v>
      </c>
      <c r="B1192" t="str">
        <f>RTD("nest.scriprtd",,"bse_cm|775MFLTD28","Trading Symbol")</f>
        <v>775MFLTD28</v>
      </c>
      <c r="C1192" t="str">
        <f>RTD("nest.scriprtd",,"bse_cm|775MFLTD28","Exchange")</f>
        <v>BSE</v>
      </c>
      <c r="D1192">
        <f>RTD("nest.scriprtd",,"bse_cm|775MFLTD28","Bid Qty")</f>
        <v>15</v>
      </c>
      <c r="E1192">
        <f>RTD("nest.scriprtd",,"bse_cm|775MFLTD28","Bid Rate")</f>
        <v>840.8</v>
      </c>
      <c r="F1192">
        <f>RTD("nest.scriprtd",,"bse_cm|775MFLTD28","Ask Rate")</f>
        <v>0</v>
      </c>
      <c r="G1192">
        <f>RTD("nest.scriprtd",,"bse_cm|775MFLTD28","Ask Qty")</f>
        <v>0</v>
      </c>
      <c r="H1192">
        <f>RTD("nest.scriprtd",,"bse_cm|775MFLTD28","LTP")</f>
        <v>0</v>
      </c>
      <c r="I1192" t="str">
        <f>RTD("nest.scriprtd",,"bse_cm|775MFLTD28","LTT")</f>
        <v>00:00:00</v>
      </c>
      <c r="J1192">
        <f>RTD("nest.scriprtd",,"bse_cm|775MFLTD28","% Change")</f>
        <v>-100</v>
      </c>
      <c r="K1192">
        <f>RTD("nest.scriprtd",,"bse_cm|775MFLTD28","ATP")</f>
        <v>0</v>
      </c>
      <c r="L1192">
        <f>RTD("nest.scriprtd",,"bse_cm|775MFLTD28","Volume Traded Today")</f>
        <v>0</v>
      </c>
      <c r="M1192">
        <f>RTD("nest.scriprtd",,"bse_cm|775MFLTD28","Open")</f>
        <v>0</v>
      </c>
      <c r="N1192">
        <f>RTD("nest.scriprtd",,"bse_cm|775MFLTD28","High")</f>
        <v>985.85</v>
      </c>
      <c r="O1192">
        <f>RTD("nest.scriprtd",,"bse_cm|775MFLTD28","Low ")</f>
        <v>985</v>
      </c>
      <c r="P1192">
        <f>RTD("nest.scriprtd",,"bse_cm|775MFLTD28","Prev Close")</f>
        <v>985.85</v>
      </c>
      <c r="Q1192">
        <f>RTD("nest.scriprtd",,"bse_cm|775MFLTD28","Face Value")</f>
        <v>1000</v>
      </c>
      <c r="R1192" t="str">
        <f>RTD("nest.scriprtd",,"bse_cm|775MFLTD28","Isin code")</f>
        <v>INE414G07IL9</v>
      </c>
      <c r="S1192" s="9">
        <f>Table1[[#This Row],[Ask Rate]]*Table1[[#This Row],[Ask Qty]]</f>
        <v>0</v>
      </c>
      <c r="T1192">
        <f>VLOOKUP(Table1[[#This Row],[Isin code]],Table2[#All],7,FALSE)</f>
        <v>7.75</v>
      </c>
      <c r="U1192" s="17" t="str">
        <f>VLOOKUP(Table1[[#This Row],[Isin code]],Table2[#All],8,FALSE)</f>
        <v>04-Oct-2028</v>
      </c>
      <c r="V1192" s="10">
        <f ca="1">Table1[[#This Row],[Maturity]]-TODAY()</f>
        <v>1449</v>
      </c>
      <c r="W1192" t="str">
        <f>VLOOKUP(Table1[[#This Row],[Isin code]],Table2[#All],10,FALSE)</f>
        <v>Monthly</v>
      </c>
      <c r="X1192">
        <f ca="1">_xlfn.DAYS(Table1[[#This Row],[Maturity]],TODAY())-15</f>
        <v>1434</v>
      </c>
      <c r="Y11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48</v>
      </c>
      <c r="Z1192">
        <f>IF(Table1[[#This Row],[Ask Rate]]=0,0,Table1[[#This Row],[Face Value]]-Table1[[#This Row],[Ask Rate]])</f>
        <v>0</v>
      </c>
      <c r="AA1192">
        <f>IF(Table1[[#This Row],[Freq]]="Yearly",Table1[[#This Row],[Coupon_Rate]]/100,IF(Table1[[#This Row],[Freq]]="Monthly",Table1[[#This Row],[Coupon_Rate]]/1200,IF(Table1[[#This Row],[Freq]]="Quarterly",Table1[[#This Row],[Coupon_Rate]]/400,0)))</f>
        <v>6.4583333333333333E-3</v>
      </c>
      <c r="AB1192">
        <f ca="1">Table1[[#This Row],[Face Value]]*Table1[[#This Row],[Rate]]*Table1[[#This Row],[Time]]</f>
        <v>310</v>
      </c>
      <c r="AC1192">
        <f ca="1">Table1[[#This Row],[SI]]+Table1[[#This Row],[Disc/Prem]]</f>
        <v>310</v>
      </c>
      <c r="AD1192" s="3" t="e">
        <f ca="1">Table1[[#This Row],[Net Gain]]/Table1[[#This Row],[Ask Rate]]</f>
        <v>#DIV/0!</v>
      </c>
      <c r="AE1192" s="3">
        <f>IF(Table1[[#This Row],[Ask Qty]]=0,0,Table1[[#This Row],[Gross Yield]]*365/Table1[[#This Row],[Days Left]])</f>
        <v>0</v>
      </c>
      <c r="AF1192" s="9">
        <f ca="1">+Table1[[#This Row],[Net Gain]]*Table1[[#This Row],[Ask Qty]]</f>
        <v>0</v>
      </c>
      <c r="AG1192" t="str">
        <f>IF(Table1[[#This Row],[YTM]]&gt;0.12,IF(Table1[[#This Row],[Gross Profit]]&gt;10000,"Invest","Review"),"Low YTM")</f>
        <v>Low YTM</v>
      </c>
    </row>
    <row r="1193" spans="1:33" x14ac:dyDescent="0.3">
      <c r="A1193" t="str">
        <f>RTD("nest.scriprtd",,"nse_cm|772IGT31-NK","Symbol")</f>
        <v>772IGT31</v>
      </c>
      <c r="B1193" t="str">
        <f>RTD("nest.scriprtd",,"nse_cm|772IGT31-NK","Trading Symbol")</f>
        <v>772IGT31-NK</v>
      </c>
      <c r="C1193" t="str">
        <f>RTD("nest.scriprtd",,"nse_cm|772IGT31-NK","Exchange")</f>
        <v>NSE</v>
      </c>
      <c r="D1193">
        <f>RTD("nest.scriprtd",,"nse_cm|772IGT31-NK","Bid Qty")</f>
        <v>16</v>
      </c>
      <c r="E1193">
        <f>RTD("nest.scriprtd",,"nse_cm|772IGT31-NK","Bid Rate")</f>
        <v>870.2</v>
      </c>
      <c r="F1193">
        <f>RTD("nest.scriprtd",,"nse_cm|772IGT31-NK","Ask Rate")</f>
        <v>0</v>
      </c>
      <c r="G1193">
        <f>RTD("nest.scriprtd",,"nse_cm|772IGT31-NK","Ask Qty")</f>
        <v>0</v>
      </c>
      <c r="H1193">
        <f>RTD("nest.scriprtd",,"nse_cm|772IGT31-NK","LTP")</f>
        <v>0</v>
      </c>
      <c r="I1193" t="str">
        <f>RTD("nest.scriprtd",,"nse_cm|772IGT31-NK","LTT")</f>
        <v/>
      </c>
      <c r="J1193">
        <f>RTD("nest.scriprtd",,"nse_cm|772IGT31-NK","% Change")</f>
        <v>-100</v>
      </c>
      <c r="K1193">
        <f>RTD("nest.scriprtd",,"nse_cm|772IGT31-NK","ATP")</f>
        <v>0</v>
      </c>
      <c r="L1193">
        <f>RTD("nest.scriprtd",,"nse_cm|772IGT31-NK","Volume Traded Today")</f>
        <v>0</v>
      </c>
      <c r="M1193">
        <f>RTD("nest.scriprtd",,"nse_cm|772IGT31-NK","Open")</f>
        <v>0</v>
      </c>
      <c r="N1193">
        <f>RTD("nest.scriprtd",,"nse_cm|772IGT31-NK","High")</f>
        <v>0</v>
      </c>
      <c r="O1193">
        <f>RTD("nest.scriprtd",,"nse_cm|772IGT31-NK","Low ")</f>
        <v>0</v>
      </c>
      <c r="P1193">
        <f>RTD("nest.scriprtd",,"nse_cm|772IGT31-NK","Prev Close")</f>
        <v>1000</v>
      </c>
      <c r="Q1193">
        <f>RTD("nest.scriprtd",,"nse_cm|772IGT31-NK","Face Value")</f>
        <v>1000</v>
      </c>
      <c r="R1193" t="str">
        <f>RTD("nest.scriprtd",,"nse_cm|772IGT31-NK","Isin code")</f>
        <v>INE219X07272</v>
      </c>
      <c r="S1193" s="9">
        <f>Table1[[#This Row],[Ask Rate]]*Table1[[#This Row],[Ask Qty]]</f>
        <v>0</v>
      </c>
      <c r="T1193">
        <f>VLOOKUP(Table1[[#This Row],[Isin code]],Table2[#All],7,FALSE)</f>
        <v>7.72</v>
      </c>
      <c r="U1193" s="17" t="str">
        <f>VLOOKUP(Table1[[#This Row],[Isin code]],Table2[#All],8,FALSE)</f>
        <v>06-May-2031</v>
      </c>
      <c r="V1193" s="10">
        <f ca="1">Table1[[#This Row],[Maturity]]-TODAY()</f>
        <v>2393</v>
      </c>
      <c r="W1193" t="str">
        <f>VLOOKUP(Table1[[#This Row],[Isin code]],Table2[#All],10,FALSE)</f>
        <v>Quarterly</v>
      </c>
      <c r="X1193">
        <f ca="1">_xlfn.DAYS(Table1[[#This Row],[Maturity]],TODAY())-15</f>
        <v>2378</v>
      </c>
      <c r="Y11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1193">
        <f>IF(Table1[[#This Row],[Ask Rate]]=0,0,Table1[[#This Row],[Face Value]]-Table1[[#This Row],[Ask Rate]])</f>
        <v>0</v>
      </c>
      <c r="AA1193">
        <f>IF(Table1[[#This Row],[Freq]]="Yearly",Table1[[#This Row],[Coupon_Rate]]/100,IF(Table1[[#This Row],[Freq]]="Monthly",Table1[[#This Row],[Coupon_Rate]]/1200,IF(Table1[[#This Row],[Freq]]="Quarterly",Table1[[#This Row],[Coupon_Rate]]/400,0)))</f>
        <v>1.9299999999999998E-2</v>
      </c>
      <c r="AB1193">
        <f ca="1">Table1[[#This Row],[Face Value]]*Table1[[#This Row],[Rate]]*Table1[[#This Row],[Time]]</f>
        <v>521.09999999999991</v>
      </c>
      <c r="AC1193">
        <f ca="1">Table1[[#This Row],[SI]]+Table1[[#This Row],[Disc/Prem]]</f>
        <v>521.09999999999991</v>
      </c>
      <c r="AD1193" s="3" t="e">
        <f ca="1">Table1[[#This Row],[Net Gain]]/Table1[[#This Row],[Ask Rate]]</f>
        <v>#DIV/0!</v>
      </c>
      <c r="AE1193" s="3">
        <f>IF(Table1[[#This Row],[Ask Qty]]=0,0,Table1[[#This Row],[Gross Yield]]*365/Table1[[#This Row],[Days Left]])</f>
        <v>0</v>
      </c>
      <c r="AF1193" s="9">
        <f ca="1">+Table1[[#This Row],[Net Gain]]*Table1[[#This Row],[Ask Qty]]</f>
        <v>0</v>
      </c>
      <c r="AG1193" t="str">
        <f>IF(Table1[[#This Row],[YTM]]&gt;0.12,IF(Table1[[#This Row],[Gross Profit]]&gt;10000,"Invest","Review"),"Low YTM")</f>
        <v>Low YTM</v>
      </c>
    </row>
    <row r="1194" spans="1:33" x14ac:dyDescent="0.3">
      <c r="A1194" t="str">
        <f>RTD("nest.scriprtd",,"bse_cm|772IGT31","Symbol")</f>
        <v>772IGT31</v>
      </c>
      <c r="B1194" t="str">
        <f>RTD("nest.scriprtd",,"bse_cm|772IGT31","Trading Symbol")</f>
        <v>772IGT31</v>
      </c>
      <c r="C1194" t="str">
        <f>RTD("nest.scriprtd",,"bse_cm|772IGT31","Exchange")</f>
        <v>BSE</v>
      </c>
      <c r="D1194">
        <f>RTD("nest.scriprtd",,"bse_cm|772IGT31","Bid Qty")</f>
        <v>10</v>
      </c>
      <c r="E1194">
        <f>RTD("nest.scriprtd",,"bse_cm|772IGT31","Bid Rate")</f>
        <v>873.8</v>
      </c>
      <c r="F1194">
        <f>RTD("nest.scriprtd",,"bse_cm|772IGT31","Ask Rate")</f>
        <v>0</v>
      </c>
      <c r="G1194">
        <f>RTD("nest.scriprtd",,"bse_cm|772IGT31","Ask Qty")</f>
        <v>0</v>
      </c>
      <c r="H1194">
        <f>RTD("nest.scriprtd",,"bse_cm|772IGT31","LTP")</f>
        <v>0</v>
      </c>
      <c r="I1194" t="str">
        <f>RTD("nest.scriprtd",,"bse_cm|772IGT31","LTT")</f>
        <v>00:00:00</v>
      </c>
      <c r="J1194">
        <f>RTD("nest.scriprtd",,"bse_cm|772IGT31","% Change")</f>
        <v>-100</v>
      </c>
      <c r="K1194">
        <f>RTD("nest.scriprtd",,"bse_cm|772IGT31","ATP")</f>
        <v>0</v>
      </c>
      <c r="L1194">
        <f>RTD("nest.scriprtd",,"bse_cm|772IGT31","Volume Traded Today")</f>
        <v>0</v>
      </c>
      <c r="M1194">
        <f>RTD("nest.scriprtd",,"bse_cm|772IGT31","Open")</f>
        <v>0</v>
      </c>
      <c r="N1194">
        <f>RTD("nest.scriprtd",,"bse_cm|772IGT31","High")</f>
        <v>0</v>
      </c>
      <c r="O1194">
        <f>RTD("nest.scriprtd",,"bse_cm|772IGT31","Low ")</f>
        <v>0</v>
      </c>
      <c r="P1194">
        <f>RTD("nest.scriprtd",,"bse_cm|772IGT31","Prev Close")</f>
        <v>1000</v>
      </c>
      <c r="Q1194">
        <f>RTD("nest.scriprtd",,"bse_cm|772IGT31","Face Value")</f>
        <v>1000</v>
      </c>
      <c r="R1194" t="str">
        <f>RTD("nest.scriprtd",,"bse_cm|772IGT31","Isin code")</f>
        <v>INE219X07272</v>
      </c>
      <c r="S1194" s="9">
        <f>Table1[[#This Row],[Ask Rate]]*Table1[[#This Row],[Ask Qty]]</f>
        <v>0</v>
      </c>
      <c r="T1194">
        <f>VLOOKUP(Table1[[#This Row],[Isin code]],Table2[#All],7,FALSE)</f>
        <v>7.72</v>
      </c>
      <c r="U1194" s="17" t="str">
        <f>VLOOKUP(Table1[[#This Row],[Isin code]],Table2[#All],8,FALSE)</f>
        <v>06-May-2031</v>
      </c>
      <c r="V1194" s="10">
        <f ca="1">Table1[[#This Row],[Maturity]]-TODAY()</f>
        <v>2393</v>
      </c>
      <c r="W1194" t="str">
        <f>VLOOKUP(Table1[[#This Row],[Isin code]],Table2[#All],10,FALSE)</f>
        <v>Quarterly</v>
      </c>
      <c r="X1194">
        <f ca="1">_xlfn.DAYS(Table1[[#This Row],[Maturity]],TODAY())-15</f>
        <v>2378</v>
      </c>
      <c r="Y11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1194">
        <f>IF(Table1[[#This Row],[Ask Rate]]=0,0,Table1[[#This Row],[Face Value]]-Table1[[#This Row],[Ask Rate]])</f>
        <v>0</v>
      </c>
      <c r="AA1194">
        <f>IF(Table1[[#This Row],[Freq]]="Yearly",Table1[[#This Row],[Coupon_Rate]]/100,IF(Table1[[#This Row],[Freq]]="Monthly",Table1[[#This Row],[Coupon_Rate]]/1200,IF(Table1[[#This Row],[Freq]]="Quarterly",Table1[[#This Row],[Coupon_Rate]]/400,0)))</f>
        <v>1.9299999999999998E-2</v>
      </c>
      <c r="AB1194">
        <f ca="1">Table1[[#This Row],[Face Value]]*Table1[[#This Row],[Rate]]*Table1[[#This Row],[Time]]</f>
        <v>521.09999999999991</v>
      </c>
      <c r="AC1194">
        <f ca="1">Table1[[#This Row],[SI]]+Table1[[#This Row],[Disc/Prem]]</f>
        <v>521.09999999999991</v>
      </c>
      <c r="AD1194" s="3" t="e">
        <f ca="1">Table1[[#This Row],[Net Gain]]/Table1[[#This Row],[Ask Rate]]</f>
        <v>#DIV/0!</v>
      </c>
      <c r="AE1194" s="3">
        <f>IF(Table1[[#This Row],[Ask Qty]]=0,0,Table1[[#This Row],[Gross Yield]]*365/Table1[[#This Row],[Days Left]])</f>
        <v>0</v>
      </c>
      <c r="AF1194" s="9">
        <f ca="1">+Table1[[#This Row],[Net Gain]]*Table1[[#This Row],[Ask Qty]]</f>
        <v>0</v>
      </c>
      <c r="AG1194" t="str">
        <f>IF(Table1[[#This Row],[YTM]]&gt;0.12,IF(Table1[[#This Row],[Gross Profit]]&gt;10000,"Invest","Review"),"Low YTM")</f>
        <v>Low YTM</v>
      </c>
    </row>
    <row r="1195" spans="1:33" x14ac:dyDescent="0.3">
      <c r="A1195" t="str">
        <f>RTD("nest.scriprtd",,"bse_cm|769IGT28","Symbol")</f>
        <v>769IGT28</v>
      </c>
      <c r="B1195" t="str">
        <f>RTD("nest.scriprtd",,"bse_cm|769IGT28","Trading Symbol")</f>
        <v>769IGT28</v>
      </c>
      <c r="C1195" t="str">
        <f>RTD("nest.scriprtd",,"bse_cm|769IGT28","Exchange")</f>
        <v>BSE</v>
      </c>
      <c r="D1195">
        <f>RTD("nest.scriprtd",,"bse_cm|769IGT28","Bid Qty")</f>
        <v>500</v>
      </c>
      <c r="E1195">
        <f>RTD("nest.scriprtd",,"bse_cm|769IGT28","Bid Rate")</f>
        <v>899</v>
      </c>
      <c r="F1195">
        <f>RTD("nest.scriprtd",,"bse_cm|769IGT28","Ask Rate")</f>
        <v>0</v>
      </c>
      <c r="G1195">
        <f>RTD("nest.scriprtd",,"bse_cm|769IGT28","Ask Qty")</f>
        <v>0</v>
      </c>
      <c r="H1195">
        <f>RTD("nest.scriprtd",,"bse_cm|769IGT28","LTP")</f>
        <v>0</v>
      </c>
      <c r="I1195" t="str">
        <f>RTD("nest.scriprtd",,"bse_cm|769IGT28","LTT")</f>
        <v>00:00:00</v>
      </c>
      <c r="J1195">
        <f>RTD("nest.scriprtd",,"bse_cm|769IGT28","% Change")</f>
        <v>-100</v>
      </c>
      <c r="K1195">
        <f>RTD("nest.scriprtd",,"bse_cm|769IGT28","ATP")</f>
        <v>0</v>
      </c>
      <c r="L1195">
        <f>RTD("nest.scriprtd",,"bse_cm|769IGT28","Volume Traded Today")</f>
        <v>0</v>
      </c>
      <c r="M1195">
        <f>RTD("nest.scriprtd",,"bse_cm|769IGT28","Open")</f>
        <v>0</v>
      </c>
      <c r="N1195">
        <f>RTD("nest.scriprtd",,"bse_cm|769IGT28","High")</f>
        <v>980</v>
      </c>
      <c r="O1195">
        <f>RTD("nest.scriprtd",,"bse_cm|769IGT28","Low ")</f>
        <v>980</v>
      </c>
      <c r="P1195">
        <f>RTD("nest.scriprtd",,"bse_cm|769IGT28","Prev Close")</f>
        <v>980</v>
      </c>
      <c r="Q1195">
        <f>RTD("nest.scriprtd",,"bse_cm|769IGT28","Face Value")</f>
        <v>1000</v>
      </c>
      <c r="R1195" t="str">
        <f>RTD("nest.scriprtd",,"bse_cm|769IGT28","Isin code")</f>
        <v>INE219X07249</v>
      </c>
      <c r="S1195" s="9">
        <f>Table1[[#This Row],[Ask Rate]]*Table1[[#This Row],[Ask Qty]]</f>
        <v>0</v>
      </c>
      <c r="T1195">
        <f>VLOOKUP(Table1[[#This Row],[Isin code]],Table2[#All],7,FALSE)</f>
        <v>7.69</v>
      </c>
      <c r="U1195" s="17" t="str">
        <f>VLOOKUP(Table1[[#This Row],[Isin code]],Table2[#All],8,FALSE)</f>
        <v>06-May-2028</v>
      </c>
      <c r="V1195" s="10">
        <f ca="1">Table1[[#This Row],[Maturity]]-TODAY()</f>
        <v>1298</v>
      </c>
      <c r="W1195" t="str">
        <f>VLOOKUP(Table1[[#This Row],[Isin code]],Table2[#All],10,FALSE)</f>
        <v>Quarterly</v>
      </c>
      <c r="X1195">
        <f ca="1">_xlfn.DAYS(Table1[[#This Row],[Maturity]],TODAY())-15</f>
        <v>1283</v>
      </c>
      <c r="Y11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1195">
        <f>IF(Table1[[#This Row],[Ask Rate]]=0,0,Table1[[#This Row],[Face Value]]-Table1[[#This Row],[Ask Rate]])</f>
        <v>0</v>
      </c>
      <c r="AA1195">
        <f>IF(Table1[[#This Row],[Freq]]="Yearly",Table1[[#This Row],[Coupon_Rate]]/100,IF(Table1[[#This Row],[Freq]]="Monthly",Table1[[#This Row],[Coupon_Rate]]/1200,IF(Table1[[#This Row],[Freq]]="Quarterly",Table1[[#This Row],[Coupon_Rate]]/400,0)))</f>
        <v>1.9225000000000003E-2</v>
      </c>
      <c r="AB1195">
        <f ca="1">Table1[[#This Row],[Face Value]]*Table1[[#This Row],[Rate]]*Table1[[#This Row],[Time]]</f>
        <v>288.375</v>
      </c>
      <c r="AC1195">
        <f ca="1">Table1[[#This Row],[SI]]+Table1[[#This Row],[Disc/Prem]]</f>
        <v>288.375</v>
      </c>
      <c r="AD1195" s="3" t="e">
        <f ca="1">Table1[[#This Row],[Net Gain]]/Table1[[#This Row],[Ask Rate]]</f>
        <v>#DIV/0!</v>
      </c>
      <c r="AE1195" s="3">
        <f>IF(Table1[[#This Row],[Ask Qty]]=0,0,Table1[[#This Row],[Gross Yield]]*365/Table1[[#This Row],[Days Left]])</f>
        <v>0</v>
      </c>
      <c r="AF1195" s="9">
        <f ca="1">+Table1[[#This Row],[Net Gain]]*Table1[[#This Row],[Ask Qty]]</f>
        <v>0</v>
      </c>
      <c r="AG1195" t="str">
        <f>IF(Table1[[#This Row],[YTM]]&gt;0.12,IF(Table1[[#This Row],[Gross Profit]]&gt;10000,"Invest","Review"),"Low YTM")</f>
        <v>Low YTM</v>
      </c>
    </row>
    <row r="1196" spans="1:33" x14ac:dyDescent="0.3">
      <c r="A1196" t="str">
        <f>RTD("nest.scriprtd",,"bse_cm|750PFCL38","Symbol")</f>
        <v>750PFCL38</v>
      </c>
      <c r="B1196" t="str">
        <f>RTD("nest.scriprtd",,"bse_cm|750PFCL38","Trading Symbol")</f>
        <v>750PFCL38</v>
      </c>
      <c r="C1196" t="str">
        <f>RTD("nest.scriprtd",,"bse_cm|750PFCL38","Exchange")</f>
        <v>BSE</v>
      </c>
      <c r="D1196">
        <f>RTD("nest.scriprtd",,"bse_cm|750PFCL38","Bid Qty")</f>
        <v>10</v>
      </c>
      <c r="E1196">
        <f>RTD("nest.scriprtd",,"bse_cm|750PFCL38","Bid Rate")</f>
        <v>860.2</v>
      </c>
      <c r="F1196">
        <f>RTD("nest.scriprtd",,"bse_cm|750PFCL38","Ask Rate")</f>
        <v>0</v>
      </c>
      <c r="G1196">
        <f>RTD("nest.scriprtd",,"bse_cm|750PFCL38","Ask Qty")</f>
        <v>0</v>
      </c>
      <c r="H1196">
        <f>RTD("nest.scriprtd",,"bse_cm|750PFCL38","LTP")</f>
        <v>0</v>
      </c>
      <c r="I1196" t="str">
        <f>RTD("nest.scriprtd",,"bse_cm|750PFCL38","LTT")</f>
        <v>00:00:00</v>
      </c>
      <c r="J1196">
        <f>RTD("nest.scriprtd",,"bse_cm|750PFCL38","% Change")</f>
        <v>-100</v>
      </c>
      <c r="K1196">
        <f>RTD("nest.scriprtd",,"bse_cm|750PFCL38","ATP")</f>
        <v>0</v>
      </c>
      <c r="L1196">
        <f>RTD("nest.scriprtd",,"bse_cm|750PFCL38","Volume Traded Today")</f>
        <v>0</v>
      </c>
      <c r="M1196">
        <f>RTD("nest.scriprtd",,"bse_cm|750PFCL38","Open")</f>
        <v>0</v>
      </c>
      <c r="N1196">
        <f>RTD("nest.scriprtd",,"bse_cm|750PFCL38","High")</f>
        <v>975</v>
      </c>
      <c r="O1196">
        <f>RTD("nest.scriprtd",,"bse_cm|750PFCL38","Low ")</f>
        <v>975</v>
      </c>
      <c r="P1196">
        <f>RTD("nest.scriprtd",,"bse_cm|750PFCL38","Prev Close")</f>
        <v>975</v>
      </c>
      <c r="Q1196">
        <f>RTD("nest.scriprtd",,"bse_cm|750PFCL38","Face Value")</f>
        <v>1000</v>
      </c>
      <c r="R1196" t="str">
        <f>RTD("nest.scriprtd",,"bse_cm|750PFCL38","Isin code")</f>
        <v>INE134E07CJ5</v>
      </c>
      <c r="S1196" s="9">
        <f>Table1[[#This Row],[Ask Rate]]*Table1[[#This Row],[Ask Qty]]</f>
        <v>0</v>
      </c>
      <c r="T1196">
        <f>VLOOKUP(Table1[[#This Row],[Isin code]],Table2[#All],7,FALSE)</f>
        <v>7.5</v>
      </c>
      <c r="U1196" s="17" t="str">
        <f>VLOOKUP(Table1[[#This Row],[Isin code]],Table2[#All],8,FALSE)</f>
        <v>01-Aug-2038</v>
      </c>
      <c r="V1196" s="10">
        <f ca="1">Table1[[#This Row],[Maturity]]-TODAY()</f>
        <v>5037</v>
      </c>
      <c r="W1196" t="str">
        <f>VLOOKUP(Table1[[#This Row],[Isin code]],Table2[#All],10,FALSE)</f>
        <v>Yearly</v>
      </c>
      <c r="X1196">
        <f ca="1">_xlfn.DAYS(Table1[[#This Row],[Maturity]],TODAY())-15</f>
        <v>5022</v>
      </c>
      <c r="Y11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1196">
        <f>IF(Table1[[#This Row],[Ask Rate]]=0,0,Table1[[#This Row],[Face Value]]-Table1[[#This Row],[Ask Rate]])</f>
        <v>0</v>
      </c>
      <c r="AA1196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7.4999999999999997E-2</v>
      </c>
      <c r="AB1196">
        <f ca="1">Table1[[#This Row],[Face Value]]*Table1[[#This Row],[Rate]]*Table1[[#This Row],[Time]]</f>
        <v>1050</v>
      </c>
      <c r="AC1196">
        <f ca="1">Table1[[#This Row],[SI]]+Table1[[#This Row],[Disc/Prem]]</f>
        <v>1050</v>
      </c>
      <c r="AD1196" s="3" t="e">
        <f ca="1">Table1[[#This Row],[Net Gain]]/Table1[[#This Row],[Ask Rate]]</f>
        <v>#DIV/0!</v>
      </c>
      <c r="AE1196" s="3">
        <f>IF(Table1[[#This Row],[Ask Qty]]=0,0,Table1[[#This Row],[Gross Yield]]*365/Table1[[#This Row],[Days Left]])</f>
        <v>0</v>
      </c>
      <c r="AF1196" s="9">
        <f ca="1">+Table1[[#This Row],[Net Gain]]*Table1[[#This Row],[Ask Qty]]</f>
        <v>0</v>
      </c>
      <c r="AG1196" t="str">
        <f>IF(Table1[[#This Row],[YTM]]&gt;0.12,IF(Table1[[#This Row],[Gross Profit]]&gt;10000,"Invest","Review"),"Low YTM")</f>
        <v>Low YTM</v>
      </c>
    </row>
    <row r="1197" spans="1:33" x14ac:dyDescent="0.3">
      <c r="A1197" t="str">
        <f>RTD("nest.scriprtd",,"nse_cm|749IGT28-NG","Symbol")</f>
        <v>749IGT28</v>
      </c>
      <c r="B1197" t="str">
        <f>RTD("nest.scriprtd",,"nse_cm|749IGT28-NG","Trading Symbol")</f>
        <v>749IGT28-NG</v>
      </c>
      <c r="C1197" t="str">
        <f>RTD("nest.scriprtd",,"nse_cm|749IGT28-NG","Exchange")</f>
        <v>NSE</v>
      </c>
      <c r="D1197">
        <f>RTD("nest.scriprtd",,"nse_cm|749IGT28-NG","Bid Qty")</f>
        <v>12</v>
      </c>
      <c r="E1197">
        <f>RTD("nest.scriprtd",,"nse_cm|749IGT28-NG","Bid Rate")</f>
        <v>870.2</v>
      </c>
      <c r="F1197">
        <f>RTD("nest.scriprtd",,"nse_cm|749IGT28-NG","Ask Rate")</f>
        <v>0</v>
      </c>
      <c r="G1197">
        <f>RTD("nest.scriprtd",,"nse_cm|749IGT28-NG","Ask Qty")</f>
        <v>0</v>
      </c>
      <c r="H1197">
        <f>RTD("nest.scriprtd",,"nse_cm|749IGT28-NG","LTP")</f>
        <v>0</v>
      </c>
      <c r="I1197" t="str">
        <f>RTD("nest.scriprtd",,"nse_cm|749IGT28-NG","LTT")</f>
        <v/>
      </c>
      <c r="J1197">
        <f>RTD("nest.scriprtd",,"nse_cm|749IGT28-NG","% Change")</f>
        <v>-100</v>
      </c>
      <c r="K1197">
        <f>RTD("nest.scriprtd",,"nse_cm|749IGT28-NG","ATP")</f>
        <v>0</v>
      </c>
      <c r="L1197">
        <f>RTD("nest.scriprtd",,"nse_cm|749IGT28-NG","Volume Traded Today")</f>
        <v>0</v>
      </c>
      <c r="M1197">
        <f>RTD("nest.scriprtd",,"nse_cm|749IGT28-NG","Open")</f>
        <v>0</v>
      </c>
      <c r="N1197">
        <f>RTD("nest.scriprtd",,"nse_cm|749IGT28-NG","High")</f>
        <v>0</v>
      </c>
      <c r="O1197">
        <f>RTD("nest.scriprtd",,"nse_cm|749IGT28-NG","Low ")</f>
        <v>0</v>
      </c>
      <c r="P1197">
        <f>RTD("nest.scriprtd",,"nse_cm|749IGT28-NG","Prev Close")</f>
        <v>1000</v>
      </c>
      <c r="Q1197">
        <f>RTD("nest.scriprtd",,"nse_cm|749IGT28-NG","Face Value")</f>
        <v>1000</v>
      </c>
      <c r="R1197" t="str">
        <f>RTD("nest.scriprtd",,"nse_cm|749IGT28-NG","Isin code")</f>
        <v>INE219X07231</v>
      </c>
      <c r="S1197" s="9">
        <f>Table1[[#This Row],[Ask Rate]]*Table1[[#This Row],[Ask Qty]]</f>
        <v>0</v>
      </c>
      <c r="T1197">
        <f>VLOOKUP(Table1[[#This Row],[Isin code]],Table2[#All],7,FALSE)</f>
        <v>7.49</v>
      </c>
      <c r="U1197" s="17" t="str">
        <f>VLOOKUP(Table1[[#This Row],[Isin code]],Table2[#All],8,FALSE)</f>
        <v>06-May-2028</v>
      </c>
      <c r="V1197" s="10">
        <f ca="1">Table1[[#This Row],[Maturity]]-TODAY()</f>
        <v>1298</v>
      </c>
      <c r="W1197" t="str">
        <f>VLOOKUP(Table1[[#This Row],[Isin code]],Table2[#All],10,FALSE)</f>
        <v>Quarterly</v>
      </c>
      <c r="X1197">
        <f ca="1">_xlfn.DAYS(Table1[[#This Row],[Maturity]],TODAY())-15</f>
        <v>1283</v>
      </c>
      <c r="Y119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1197">
        <f>IF(Table1[[#This Row],[Ask Rate]]=0,0,Table1[[#This Row],[Face Value]]-Table1[[#This Row],[Ask Rate]])</f>
        <v>0</v>
      </c>
      <c r="AA1197">
        <f>IF(Table1[[#This Row],[Freq]]="Yearly",Table1[[#This Row],[Coupon_Rate]]/100,IF(Table1[[#This Row],[Freq]]="Monthly",Table1[[#This Row],[Coupon_Rate]]/1200,IF(Table1[[#This Row],[Freq]]="Quarterly",Table1[[#This Row],[Coupon_Rate]]/400,0)))</f>
        <v>1.8725000000000002E-2</v>
      </c>
      <c r="AB1197">
        <f ca="1">Table1[[#This Row],[Face Value]]*Table1[[#This Row],[Rate]]*Table1[[#This Row],[Time]]</f>
        <v>280.875</v>
      </c>
      <c r="AC1197">
        <f ca="1">Table1[[#This Row],[SI]]+Table1[[#This Row],[Disc/Prem]]</f>
        <v>280.875</v>
      </c>
      <c r="AD1197" s="3" t="e">
        <f ca="1">Table1[[#This Row],[Net Gain]]/Table1[[#This Row],[Ask Rate]]</f>
        <v>#DIV/0!</v>
      </c>
      <c r="AE1197" s="3">
        <f>IF(Table1[[#This Row],[Ask Qty]]=0,0,Table1[[#This Row],[Gross Yield]]*365/Table1[[#This Row],[Days Left]])</f>
        <v>0</v>
      </c>
      <c r="AF1197" s="9">
        <f ca="1">+Table1[[#This Row],[Net Gain]]*Table1[[#This Row],[Ask Qty]]</f>
        <v>0</v>
      </c>
      <c r="AG1197" t="str">
        <f>IF(Table1[[#This Row],[YTM]]&gt;0.12,IF(Table1[[#This Row],[Gross Profit]]&gt;10000,"Invest","Review"),"Low YTM")</f>
        <v>Low YTM</v>
      </c>
    </row>
    <row r="1198" spans="1:33" x14ac:dyDescent="0.3">
      <c r="A1198" t="str">
        <f>RTD("nest.scriprtd",,"bse_cm|749IGT28","Symbol")</f>
        <v>749IGT28</v>
      </c>
      <c r="B1198" t="str">
        <f>RTD("nest.scriprtd",,"bse_cm|749IGT28","Trading Symbol")</f>
        <v>749IGT28</v>
      </c>
      <c r="C1198" t="str">
        <f>RTD("nest.scriprtd",,"bse_cm|749IGT28","Exchange")</f>
        <v>BSE</v>
      </c>
      <c r="D1198">
        <f>RTD("nest.scriprtd",,"bse_cm|749IGT28","Bid Qty")</f>
        <v>20</v>
      </c>
      <c r="E1198">
        <f>RTD("nest.scriprtd",,"bse_cm|749IGT28","Bid Rate")</f>
        <v>875.2</v>
      </c>
      <c r="F1198">
        <f>RTD("nest.scriprtd",,"bse_cm|749IGT28","Ask Rate")</f>
        <v>0</v>
      </c>
      <c r="G1198">
        <f>RTD("nest.scriprtd",,"bse_cm|749IGT28","Ask Qty")</f>
        <v>0</v>
      </c>
      <c r="H1198">
        <f>RTD("nest.scriprtd",,"bse_cm|749IGT28","LTP")</f>
        <v>0</v>
      </c>
      <c r="I1198" t="str">
        <f>RTD("nest.scriprtd",,"bse_cm|749IGT28","LTT")</f>
        <v>00:00:00</v>
      </c>
      <c r="J1198">
        <f>RTD("nest.scriprtd",,"bse_cm|749IGT28","% Change")</f>
        <v>-100</v>
      </c>
      <c r="K1198">
        <f>RTD("nest.scriprtd",,"bse_cm|749IGT28","ATP")</f>
        <v>0</v>
      </c>
      <c r="L1198">
        <f>RTD("nest.scriprtd",,"bse_cm|749IGT28","Volume Traded Today")</f>
        <v>0</v>
      </c>
      <c r="M1198">
        <f>RTD("nest.scriprtd",,"bse_cm|749IGT28","Open")</f>
        <v>0</v>
      </c>
      <c r="N1198">
        <f>RTD("nest.scriprtd",,"bse_cm|749IGT28","High")</f>
        <v>0</v>
      </c>
      <c r="O1198">
        <f>RTD("nest.scriprtd",,"bse_cm|749IGT28","Low ")</f>
        <v>0</v>
      </c>
      <c r="P1198">
        <f>RTD("nest.scriprtd",,"bse_cm|749IGT28","Prev Close")</f>
        <v>1000</v>
      </c>
      <c r="Q1198">
        <f>RTD("nest.scriprtd",,"bse_cm|749IGT28","Face Value")</f>
        <v>1000</v>
      </c>
      <c r="R1198" t="str">
        <f>RTD("nest.scriprtd",,"bse_cm|749IGT28","Isin code")</f>
        <v>INE219X07231</v>
      </c>
      <c r="S1198" s="9">
        <f>Table1[[#This Row],[Ask Rate]]*Table1[[#This Row],[Ask Qty]]</f>
        <v>0</v>
      </c>
      <c r="T1198">
        <f>VLOOKUP(Table1[[#This Row],[Isin code]],Table2[#All],7,FALSE)</f>
        <v>7.49</v>
      </c>
      <c r="U1198" s="17" t="str">
        <f>VLOOKUP(Table1[[#This Row],[Isin code]],Table2[#All],8,FALSE)</f>
        <v>06-May-2028</v>
      </c>
      <c r="V1198" s="10">
        <f ca="1">Table1[[#This Row],[Maturity]]-TODAY()</f>
        <v>1298</v>
      </c>
      <c r="W1198" t="str">
        <f>VLOOKUP(Table1[[#This Row],[Isin code]],Table2[#All],10,FALSE)</f>
        <v>Quarterly</v>
      </c>
      <c r="X1198">
        <f ca="1">_xlfn.DAYS(Table1[[#This Row],[Maturity]],TODAY())-15</f>
        <v>1283</v>
      </c>
      <c r="Y119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1198">
        <f>IF(Table1[[#This Row],[Ask Rate]]=0,0,Table1[[#This Row],[Face Value]]-Table1[[#This Row],[Ask Rate]])</f>
        <v>0</v>
      </c>
      <c r="AA1198">
        <f>IF(Table1[[#This Row],[Freq]]="Yearly",Table1[[#This Row],[Coupon_Rate]]/100,IF(Table1[[#This Row],[Freq]]="Monthly",Table1[[#This Row],[Coupon_Rate]]/1200,IF(Table1[[#This Row],[Freq]]="Quarterly",Table1[[#This Row],[Coupon_Rate]]/400,0)))</f>
        <v>1.8725000000000002E-2</v>
      </c>
      <c r="AB1198">
        <f ca="1">Table1[[#This Row],[Face Value]]*Table1[[#This Row],[Rate]]*Table1[[#This Row],[Time]]</f>
        <v>280.875</v>
      </c>
      <c r="AC1198">
        <f ca="1">Table1[[#This Row],[SI]]+Table1[[#This Row],[Disc/Prem]]</f>
        <v>280.875</v>
      </c>
      <c r="AD1198" s="3" t="e">
        <f ca="1">Table1[[#This Row],[Net Gain]]/Table1[[#This Row],[Ask Rate]]</f>
        <v>#DIV/0!</v>
      </c>
      <c r="AE1198" s="3">
        <f>IF(Table1[[#This Row],[Ask Qty]]=0,0,Table1[[#This Row],[Gross Yield]]*365/Table1[[#This Row],[Days Left]])</f>
        <v>0</v>
      </c>
      <c r="AF1198" s="9">
        <f ca="1">+Table1[[#This Row],[Net Gain]]*Table1[[#This Row],[Ask Qty]]</f>
        <v>0</v>
      </c>
      <c r="AG1198" t="str">
        <f>IF(Table1[[#This Row],[YTM]]&gt;0.12,IF(Table1[[#This Row],[Gross Profit]]&gt;10000,"Invest","Review"),"Low YTM")</f>
        <v>Low YTM</v>
      </c>
    </row>
    <row r="1199" spans="1:33" x14ac:dyDescent="0.3">
      <c r="A1199" t="str">
        <f>RTD("nest.scriprtd",,"bse_cm|747PFCL33","Symbol")</f>
        <v>747PFCL33</v>
      </c>
      <c r="B1199" t="str">
        <f>RTD("nest.scriprtd",,"bse_cm|747PFCL33","Trading Symbol")</f>
        <v>747PFCL33</v>
      </c>
      <c r="C1199" t="str">
        <f>RTD("nest.scriprtd",,"bse_cm|747PFCL33","Exchange")</f>
        <v>BSE</v>
      </c>
      <c r="D1199">
        <f>RTD("nest.scriprtd",,"bse_cm|747PFCL33","Bid Qty")</f>
        <v>22</v>
      </c>
      <c r="E1199">
        <f>RTD("nest.scriprtd",,"bse_cm|747PFCL33","Bid Rate")</f>
        <v>855.2</v>
      </c>
      <c r="F1199">
        <f>RTD("nest.scriprtd",,"bse_cm|747PFCL33","Ask Rate")</f>
        <v>0</v>
      </c>
      <c r="G1199">
        <f>RTD("nest.scriprtd",,"bse_cm|747PFCL33","Ask Qty")</f>
        <v>0</v>
      </c>
      <c r="H1199">
        <f>RTD("nest.scriprtd",,"bse_cm|747PFCL33","LTP")</f>
        <v>0</v>
      </c>
      <c r="I1199" t="str">
        <f>RTD("nest.scriprtd",,"bse_cm|747PFCL33","LTT")</f>
        <v>00:00:00</v>
      </c>
      <c r="J1199">
        <f>RTD("nest.scriprtd",,"bse_cm|747PFCL33","% Change")</f>
        <v>-100</v>
      </c>
      <c r="K1199">
        <f>RTD("nest.scriprtd",,"bse_cm|747PFCL33","ATP")</f>
        <v>0</v>
      </c>
      <c r="L1199">
        <f>RTD("nest.scriprtd",,"bse_cm|747PFCL33","Volume Traded Today")</f>
        <v>0</v>
      </c>
      <c r="M1199">
        <f>RTD("nest.scriprtd",,"bse_cm|747PFCL33","Open")</f>
        <v>0</v>
      </c>
      <c r="N1199">
        <f>RTD("nest.scriprtd",,"bse_cm|747PFCL33","High")</f>
        <v>0</v>
      </c>
      <c r="O1199">
        <f>RTD("nest.scriprtd",,"bse_cm|747PFCL33","Low ")</f>
        <v>0</v>
      </c>
      <c r="P1199">
        <f>RTD("nest.scriprtd",,"bse_cm|747PFCL33","Prev Close")</f>
        <v>1000</v>
      </c>
      <c r="Q1199">
        <f>RTD("nest.scriprtd",,"bse_cm|747PFCL33","Face Value")</f>
        <v>1000</v>
      </c>
      <c r="R1199" t="str">
        <f>RTD("nest.scriprtd",,"bse_cm|747PFCL33","Isin code")</f>
        <v>INE134E07CI7</v>
      </c>
      <c r="S1199" s="9">
        <f>Table1[[#This Row],[Ask Rate]]*Table1[[#This Row],[Ask Qty]]</f>
        <v>0</v>
      </c>
      <c r="T1199">
        <f>VLOOKUP(Table1[[#This Row],[Isin code]],Table2[#All],7,FALSE)</f>
        <v>7.4700000000000006</v>
      </c>
      <c r="U1199" s="17" t="str">
        <f>VLOOKUP(Table1[[#This Row],[Isin code]],Table2[#All],8,FALSE)</f>
        <v>01-Aug-2033</v>
      </c>
      <c r="V1199" s="10">
        <f ca="1">Table1[[#This Row],[Maturity]]-TODAY()</f>
        <v>3211</v>
      </c>
      <c r="W1199" t="str">
        <f>VLOOKUP(Table1[[#This Row],[Isin code]],Table2[#All],10,FALSE)</f>
        <v>Yearly</v>
      </c>
      <c r="X1199">
        <f ca="1">_xlfn.DAYS(Table1[[#This Row],[Maturity]],TODAY())-15</f>
        <v>3196</v>
      </c>
      <c r="Y119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1199">
        <f>IF(Table1[[#This Row],[Ask Rate]]=0,0,Table1[[#This Row],[Face Value]]-Table1[[#This Row],[Ask Rate]])</f>
        <v>0</v>
      </c>
      <c r="AA1199">
        <f>IF(Table1[[#This Row],[Freq]]="Yearly",Table1[[#This Row],[Coupon_Rate]]/100,IF(Table1[[#This Row],[Freq]]="Monthly",Table1[[#This Row],[Coupon_Rate]]/1200,IF(Table1[[#This Row],[Freq]]="Quarterly",Table1[[#This Row],[Coupon_Rate]]/400,0)))</f>
        <v>7.4700000000000003E-2</v>
      </c>
      <c r="AB1199">
        <f ca="1">Table1[[#This Row],[Face Value]]*Table1[[#This Row],[Rate]]*Table1[[#This Row],[Time]]</f>
        <v>672.30000000000007</v>
      </c>
      <c r="AC1199">
        <f ca="1">Table1[[#This Row],[SI]]+Table1[[#This Row],[Disc/Prem]]</f>
        <v>672.30000000000007</v>
      </c>
      <c r="AD1199" s="3" t="e">
        <f ca="1">Table1[[#This Row],[Net Gain]]/Table1[[#This Row],[Ask Rate]]</f>
        <v>#DIV/0!</v>
      </c>
      <c r="AE1199" s="3">
        <f>IF(Table1[[#This Row],[Ask Qty]]=0,0,Table1[[#This Row],[Gross Yield]]*365/Table1[[#This Row],[Days Left]])</f>
        <v>0</v>
      </c>
      <c r="AF1199" s="9">
        <f ca="1">+Table1[[#This Row],[Net Gain]]*Table1[[#This Row],[Ask Qty]]</f>
        <v>0</v>
      </c>
      <c r="AG1199" t="str">
        <f>IF(Table1[[#This Row],[YTM]]&gt;0.12,IF(Table1[[#This Row],[Gross Profit]]&gt;10000,"Invest","Review"),"Low YTM")</f>
        <v>Low YTM</v>
      </c>
    </row>
    <row r="1200" spans="1:33" x14ac:dyDescent="0.3">
      <c r="A1200" t="str">
        <f>RTD("nest.scriprtd",,"bse_cm|745PFCL26","Symbol")</f>
        <v>745PFCL26</v>
      </c>
      <c r="B1200" t="str">
        <f>RTD("nest.scriprtd",,"bse_cm|745PFCL26","Trading Symbol")</f>
        <v>745PFCL26</v>
      </c>
      <c r="C1200" t="str">
        <f>RTD("nest.scriprtd",,"bse_cm|745PFCL26","Exchange")</f>
        <v>BSE</v>
      </c>
      <c r="D1200">
        <f>RTD("nest.scriprtd",,"bse_cm|745PFCL26","Bid Qty")</f>
        <v>25</v>
      </c>
      <c r="E1200">
        <f>RTD("nest.scriprtd",,"bse_cm|745PFCL26","Bid Rate")</f>
        <v>850.2</v>
      </c>
      <c r="F1200">
        <f>RTD("nest.scriprtd",,"bse_cm|745PFCL26","Ask Rate")</f>
        <v>0</v>
      </c>
      <c r="G1200">
        <f>RTD("nest.scriprtd",,"bse_cm|745PFCL26","Ask Qty")</f>
        <v>0</v>
      </c>
      <c r="H1200">
        <f>RTD("nest.scriprtd",,"bse_cm|745PFCL26","LTP")</f>
        <v>0</v>
      </c>
      <c r="I1200" t="str">
        <f>RTD("nest.scriprtd",,"bse_cm|745PFCL26","LTT")</f>
        <v>00:00:00</v>
      </c>
      <c r="J1200">
        <f>RTD("nest.scriprtd",,"bse_cm|745PFCL26","% Change")</f>
        <v>-100</v>
      </c>
      <c r="K1200">
        <f>RTD("nest.scriprtd",,"bse_cm|745PFCL26","ATP")</f>
        <v>0</v>
      </c>
      <c r="L1200">
        <f>RTD("nest.scriprtd",,"bse_cm|745PFCL26","Volume Traded Today")</f>
        <v>0</v>
      </c>
      <c r="M1200">
        <f>RTD("nest.scriprtd",,"bse_cm|745PFCL26","Open")</f>
        <v>0</v>
      </c>
      <c r="N1200">
        <f>RTD("nest.scriprtd",,"bse_cm|745PFCL26","High")</f>
        <v>0</v>
      </c>
      <c r="O1200">
        <f>RTD("nest.scriprtd",,"bse_cm|745PFCL26","Low ")</f>
        <v>0</v>
      </c>
      <c r="P1200">
        <f>RTD("nest.scriprtd",,"bse_cm|745PFCL26","Prev Close")</f>
        <v>1000</v>
      </c>
      <c r="Q1200">
        <f>RTD("nest.scriprtd",,"bse_cm|745PFCL26","Face Value")</f>
        <v>1000</v>
      </c>
      <c r="R1200" t="str">
        <f>RTD("nest.scriprtd",,"bse_cm|745PFCL26","Isin code")</f>
        <v>INE134E07CG1</v>
      </c>
      <c r="S1200" s="9">
        <f>Table1[[#This Row],[Ask Rate]]*Table1[[#This Row],[Ask Qty]]</f>
        <v>0</v>
      </c>
      <c r="T1200">
        <f>VLOOKUP(Table1[[#This Row],[Isin code]],Table2[#All],7,FALSE)</f>
        <v>7.4499999999999993</v>
      </c>
      <c r="U1200" s="17" t="str">
        <f>VLOOKUP(Table1[[#This Row],[Isin code]],Table2[#All],8,FALSE)</f>
        <v>01-Aug-2026</v>
      </c>
      <c r="V1200" s="10">
        <f ca="1">Table1[[#This Row],[Maturity]]-TODAY()</f>
        <v>654</v>
      </c>
      <c r="W1200" t="str">
        <f>VLOOKUP(Table1[[#This Row],[Isin code]],Table2[#All],10,FALSE)</f>
        <v>Yearly</v>
      </c>
      <c r="X1200">
        <f ca="1">_xlfn.DAYS(Table1[[#This Row],[Maturity]],TODAY())-15</f>
        <v>639</v>
      </c>
      <c r="Y12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00">
        <f>IF(Table1[[#This Row],[Ask Rate]]=0,0,Table1[[#This Row],[Face Value]]-Table1[[#This Row],[Ask Rate]])</f>
        <v>0</v>
      </c>
      <c r="AA1200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7.4499999999999997E-2</v>
      </c>
      <c r="AB1200">
        <f ca="1">Table1[[#This Row],[Face Value]]*Table1[[#This Row],[Rate]]*Table1[[#This Row],[Time]]</f>
        <v>149</v>
      </c>
      <c r="AC1200">
        <f ca="1">Table1[[#This Row],[SI]]+Table1[[#This Row],[Disc/Prem]]</f>
        <v>149</v>
      </c>
      <c r="AD1200" s="3" t="e">
        <f ca="1">Table1[[#This Row],[Net Gain]]/Table1[[#This Row],[Ask Rate]]</f>
        <v>#DIV/0!</v>
      </c>
      <c r="AE1200" s="3">
        <f>IF(Table1[[#This Row],[Ask Qty]]=0,0,Table1[[#This Row],[Gross Yield]]*365/Table1[[#This Row],[Days Left]])</f>
        <v>0</v>
      </c>
      <c r="AF1200" s="9">
        <f ca="1">+Table1[[#This Row],[Net Gain]]*Table1[[#This Row],[Ask Qty]]</f>
        <v>0</v>
      </c>
      <c r="AG1200" t="str">
        <f>IF(Table1[[#This Row],[YTM]]&gt;0.12,IF(Table1[[#This Row],[Gross Profit]]&gt;10000,"Invest","Review"),"Low YTM")</f>
        <v>Low YTM</v>
      </c>
    </row>
    <row r="1201" spans="1:33" x14ac:dyDescent="0.3">
      <c r="A1201" t="str">
        <f>RTD("nest.scriprtd",,"nse_cm|745IGT26-NC","Symbol")</f>
        <v>745IGT26</v>
      </c>
      <c r="B1201" t="str">
        <f>RTD("nest.scriprtd",,"nse_cm|745IGT26-NC","Trading Symbol")</f>
        <v>745IGT26-NC</v>
      </c>
      <c r="C1201" t="str">
        <f>RTD("nest.scriprtd",,"nse_cm|745IGT26-NC","Exchange")</f>
        <v>NSE</v>
      </c>
      <c r="D1201">
        <f>RTD("nest.scriprtd",,"nse_cm|745IGT26-NC","Bid Qty")</f>
        <v>0</v>
      </c>
      <c r="E1201">
        <f>RTD("nest.scriprtd",,"nse_cm|745IGT26-NC","Bid Rate")</f>
        <v>0</v>
      </c>
      <c r="F1201">
        <f>RTD("nest.scriprtd",,"nse_cm|745IGT26-NC","Ask Rate")</f>
        <v>0</v>
      </c>
      <c r="G1201">
        <f>RTD("nest.scriprtd",,"nse_cm|745IGT26-NC","Ask Qty")</f>
        <v>0</v>
      </c>
      <c r="H1201">
        <f>RTD("nest.scriprtd",,"nse_cm|745IGT26-NC","LTP")</f>
        <v>0</v>
      </c>
      <c r="I1201" t="str">
        <f>RTD("nest.scriprtd",,"nse_cm|745IGT26-NC","LTT")</f>
        <v/>
      </c>
      <c r="J1201">
        <f>RTD("nest.scriprtd",,"nse_cm|745IGT26-NC","% Change")</f>
        <v>-100</v>
      </c>
      <c r="K1201">
        <f>RTD("nest.scriprtd",,"nse_cm|745IGT26-NC","ATP")</f>
        <v>0</v>
      </c>
      <c r="L1201">
        <f>RTD("nest.scriprtd",,"nse_cm|745IGT26-NC","Volume Traded Today")</f>
        <v>0</v>
      </c>
      <c r="M1201">
        <f>RTD("nest.scriprtd",,"nse_cm|745IGT26-NC","Open")</f>
        <v>0</v>
      </c>
      <c r="N1201">
        <f>RTD("nest.scriprtd",,"nse_cm|745IGT26-NC","High")</f>
        <v>0</v>
      </c>
      <c r="O1201">
        <f>RTD("nest.scriprtd",,"nse_cm|745IGT26-NC","Low ")</f>
        <v>0</v>
      </c>
      <c r="P1201">
        <f>RTD("nest.scriprtd",,"nse_cm|745IGT26-NC","Prev Close")</f>
        <v>1000</v>
      </c>
      <c r="Q1201">
        <f>RTD("nest.scriprtd",,"nse_cm|745IGT26-NC","Face Value")</f>
        <v>1000</v>
      </c>
      <c r="R1201" t="str">
        <f>RTD("nest.scriprtd",,"nse_cm|745IGT26-NC","Isin code")</f>
        <v>INE219X07199</v>
      </c>
      <c r="S1201" s="9">
        <f>Table1[[#This Row],[Ask Rate]]*Table1[[#This Row],[Ask Qty]]</f>
        <v>0</v>
      </c>
      <c r="T1201">
        <f>VLOOKUP(Table1[[#This Row],[Isin code]],Table2[#All],7,FALSE)</f>
        <v>7.45</v>
      </c>
      <c r="U1201" s="17" t="str">
        <f>VLOOKUP(Table1[[#This Row],[Isin code]],Table2[#All],8,FALSE)</f>
        <v>06-May-2026</v>
      </c>
      <c r="V1201" s="10">
        <f ca="1">Table1[[#This Row],[Maturity]]-TODAY()</f>
        <v>567</v>
      </c>
      <c r="W1201" t="str">
        <f>VLOOKUP(Table1[[#This Row],[Isin code]],Table2[#All],10,FALSE)</f>
        <v>Yearly</v>
      </c>
      <c r="X1201">
        <f ca="1">_xlfn.DAYS(Table1[[#This Row],[Maturity]],TODAY())-15</f>
        <v>552</v>
      </c>
      <c r="Y120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01">
        <f>IF(Table1[[#This Row],[Ask Rate]]=0,0,Table1[[#This Row],[Face Value]]-Table1[[#This Row],[Ask Rate]])</f>
        <v>0</v>
      </c>
      <c r="AA1201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7.4499999999999997E-2</v>
      </c>
      <c r="AB1201">
        <f ca="1">Table1[[#This Row],[Face Value]]*Table1[[#This Row],[Rate]]*Table1[[#This Row],[Time]]</f>
        <v>149</v>
      </c>
      <c r="AC1201">
        <f ca="1">Table1[[#This Row],[SI]]+Table1[[#This Row],[Disc/Prem]]</f>
        <v>149</v>
      </c>
      <c r="AD1201" s="3" t="e">
        <f ca="1">Table1[[#This Row],[Net Gain]]/Table1[[#This Row],[Ask Rate]]</f>
        <v>#DIV/0!</v>
      </c>
      <c r="AE1201" s="3">
        <f>IF(Table1[[#This Row],[Ask Qty]]=0,0,Table1[[#This Row],[Gross Yield]]*365/Table1[[#This Row],[Days Left]])</f>
        <v>0</v>
      </c>
      <c r="AF1201" s="9">
        <f ca="1">+Table1[[#This Row],[Net Gain]]*Table1[[#This Row],[Ask Qty]]</f>
        <v>0</v>
      </c>
      <c r="AG1201" t="str">
        <f>IF(Table1[[#This Row],[YTM]]&gt;0.12,IF(Table1[[#This Row],[Gross Profit]]&gt;10000,"Invest","Review"),"Low YTM")</f>
        <v>Low YTM</v>
      </c>
    </row>
    <row r="1202" spans="1:33" x14ac:dyDescent="0.3">
      <c r="A1202" t="str">
        <f>RTD("nest.scriprtd",,"bse_cm|745IGT26","Symbol")</f>
        <v>745IGT26</v>
      </c>
      <c r="B1202" t="str">
        <f>RTD("nest.scriprtd",,"bse_cm|745IGT26","Trading Symbol")</f>
        <v>745IGT26</v>
      </c>
      <c r="C1202" t="str">
        <f>RTD("nest.scriprtd",,"bse_cm|745IGT26","Exchange")</f>
        <v>BSE</v>
      </c>
      <c r="D1202">
        <f>RTD("nest.scriprtd",,"bse_cm|745IGT26","Bid Qty")</f>
        <v>17</v>
      </c>
      <c r="E1202">
        <f>RTD("nest.scriprtd",,"bse_cm|745IGT26","Bid Rate")</f>
        <v>882.5</v>
      </c>
      <c r="F1202">
        <f>RTD("nest.scriprtd",,"bse_cm|745IGT26","Ask Rate")</f>
        <v>0</v>
      </c>
      <c r="G1202">
        <f>RTD("nest.scriprtd",,"bse_cm|745IGT26","Ask Qty")</f>
        <v>0</v>
      </c>
      <c r="H1202">
        <f>RTD("nest.scriprtd",,"bse_cm|745IGT26","LTP")</f>
        <v>0</v>
      </c>
      <c r="I1202" t="str">
        <f>RTD("nest.scriprtd",,"bse_cm|745IGT26","LTT")</f>
        <v>00:00:00</v>
      </c>
      <c r="J1202">
        <f>RTD("nest.scriprtd",,"bse_cm|745IGT26","% Change")</f>
        <v>-100</v>
      </c>
      <c r="K1202">
        <f>RTD("nest.scriprtd",,"bse_cm|745IGT26","ATP")</f>
        <v>0</v>
      </c>
      <c r="L1202">
        <f>RTD("nest.scriprtd",,"bse_cm|745IGT26","Volume Traded Today")</f>
        <v>0</v>
      </c>
      <c r="M1202">
        <f>RTD("nest.scriprtd",,"bse_cm|745IGT26","Open")</f>
        <v>0</v>
      </c>
      <c r="N1202">
        <f>RTD("nest.scriprtd",,"bse_cm|745IGT26","High")</f>
        <v>0</v>
      </c>
      <c r="O1202">
        <f>RTD("nest.scriprtd",,"bse_cm|745IGT26","Low ")</f>
        <v>0</v>
      </c>
      <c r="P1202">
        <f>RTD("nest.scriprtd",,"bse_cm|745IGT26","Prev Close")</f>
        <v>1000</v>
      </c>
      <c r="Q1202">
        <f>RTD("nest.scriprtd",,"bse_cm|745IGT26","Face Value")</f>
        <v>1000</v>
      </c>
      <c r="R1202" t="str">
        <f>RTD("nest.scriprtd",,"bse_cm|745IGT26","Isin code")</f>
        <v>INE219X07199</v>
      </c>
      <c r="S1202" s="9">
        <f>Table1[[#This Row],[Ask Rate]]*Table1[[#This Row],[Ask Qty]]</f>
        <v>0</v>
      </c>
      <c r="T1202">
        <f>VLOOKUP(Table1[[#This Row],[Isin code]],Table2[#All],7,FALSE)</f>
        <v>7.45</v>
      </c>
      <c r="U1202" s="17" t="str">
        <f>VLOOKUP(Table1[[#This Row],[Isin code]],Table2[#All],8,FALSE)</f>
        <v>06-May-2026</v>
      </c>
      <c r="V1202" s="10">
        <f ca="1">Table1[[#This Row],[Maturity]]-TODAY()</f>
        <v>567</v>
      </c>
      <c r="W1202" t="str">
        <f>VLOOKUP(Table1[[#This Row],[Isin code]],Table2[#All],10,FALSE)</f>
        <v>Yearly</v>
      </c>
      <c r="X1202">
        <f ca="1">_xlfn.DAYS(Table1[[#This Row],[Maturity]],TODAY())-15</f>
        <v>552</v>
      </c>
      <c r="Y12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02">
        <f>IF(Table1[[#This Row],[Ask Rate]]=0,0,Table1[[#This Row],[Face Value]]-Table1[[#This Row],[Ask Rate]])</f>
        <v>0</v>
      </c>
      <c r="AA1202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7.4499999999999997E-2</v>
      </c>
      <c r="AB1202">
        <f ca="1">Table1[[#This Row],[Face Value]]*Table1[[#This Row],[Rate]]*Table1[[#This Row],[Time]]</f>
        <v>149</v>
      </c>
      <c r="AC1202">
        <f ca="1">Table1[[#This Row],[SI]]+Table1[[#This Row],[Disc/Prem]]</f>
        <v>149</v>
      </c>
      <c r="AD1202" s="3" t="e">
        <f ca="1">Table1[[#This Row],[Net Gain]]/Table1[[#This Row],[Ask Rate]]</f>
        <v>#DIV/0!</v>
      </c>
      <c r="AE1202" s="3">
        <f>IF(Table1[[#This Row],[Ask Qty]]=0,0,Table1[[#This Row],[Gross Yield]]*365/Table1[[#This Row],[Days Left]])</f>
        <v>0</v>
      </c>
      <c r="AF1202" s="9">
        <f ca="1">+Table1[[#This Row],[Net Gain]]*Table1[[#This Row],[Ask Qty]]</f>
        <v>0</v>
      </c>
      <c r="AG1202" t="str">
        <f>IF(Table1[[#This Row],[YTM]]&gt;0.12,IF(Table1[[#This Row],[Gross Profit]]&gt;10000,"Invest","Review"),"Low YTM")</f>
        <v>Low YTM</v>
      </c>
    </row>
    <row r="1203" spans="1:33" x14ac:dyDescent="0.3">
      <c r="A1203" t="str">
        <f>RTD("nest.scriprtd",,"bse_cm|728IREDA26","Symbol")</f>
        <v>728IREDA26</v>
      </c>
      <c r="B1203" t="str">
        <f>RTD("nest.scriprtd",,"bse_cm|728IREDA26","Trading Symbol")</f>
        <v>728IREDA26</v>
      </c>
      <c r="C1203" t="str">
        <f>RTD("nest.scriprtd",,"bse_cm|728IREDA26","Exchange")</f>
        <v>BSE</v>
      </c>
      <c r="D1203">
        <f>RTD("nest.scriprtd",,"bse_cm|728IREDA26","Bid Qty")</f>
        <v>0</v>
      </c>
      <c r="E1203">
        <f>RTD("nest.scriprtd",,"bse_cm|728IREDA26","Bid Rate")</f>
        <v>0</v>
      </c>
      <c r="F1203">
        <f>RTD("nest.scriprtd",,"bse_cm|728IREDA26","Ask Rate")</f>
        <v>0</v>
      </c>
      <c r="G1203">
        <f>RTD("nest.scriprtd",,"bse_cm|728IREDA26","Ask Qty")</f>
        <v>0</v>
      </c>
      <c r="H1203">
        <f>RTD("nest.scriprtd",,"bse_cm|728IREDA26","LTP")</f>
        <v>0</v>
      </c>
      <c r="I1203" t="str">
        <f>RTD("nest.scriprtd",,"bse_cm|728IREDA26","LTT")</f>
        <v>00:00:00</v>
      </c>
      <c r="J1203">
        <f>RTD("nest.scriprtd",,"bse_cm|728IREDA26","% Change")</f>
        <v>-100</v>
      </c>
      <c r="K1203">
        <f>RTD("nest.scriprtd",,"bse_cm|728IREDA26","ATP")</f>
        <v>0</v>
      </c>
      <c r="L1203">
        <f>RTD("nest.scriprtd",,"bse_cm|728IREDA26","Volume Traded Today")</f>
        <v>0</v>
      </c>
      <c r="M1203">
        <f>RTD("nest.scriprtd",,"bse_cm|728IREDA26","Open")</f>
        <v>0</v>
      </c>
      <c r="N1203">
        <f>RTD("nest.scriprtd",,"bse_cm|728IREDA26","High")</f>
        <v>2584</v>
      </c>
      <c r="O1203">
        <f>RTD("nest.scriprtd",,"bse_cm|728IREDA26","Low ")</f>
        <v>2584</v>
      </c>
      <c r="P1203">
        <f>RTD("nest.scriprtd",,"bse_cm|728IREDA26","Prev Close")</f>
        <v>2584</v>
      </c>
      <c r="Q1203">
        <f>RTD("nest.scriprtd",,"bse_cm|728IREDA26","Face Value")</f>
        <v>1000</v>
      </c>
      <c r="R1203" t="str">
        <f>RTD("nest.scriprtd",,"bse_cm|728IREDA26","Isin code")</f>
        <v>INE202E07187</v>
      </c>
      <c r="S1203" s="9">
        <f>Table1[[#This Row],[Ask Rate]]*Table1[[#This Row],[Ask Qty]]</f>
        <v>0</v>
      </c>
      <c r="T1203">
        <f>VLOOKUP(Table1[[#This Row],[Isin code]],Table2[#All],7,FALSE)</f>
        <v>7.28</v>
      </c>
      <c r="U1203" s="17" t="str">
        <f>VLOOKUP(Table1[[#This Row],[Isin code]],Table2[#All],8,FALSE)</f>
        <v>21-Jan-2026</v>
      </c>
      <c r="V1203" s="10">
        <f ca="1">Table1[[#This Row],[Maturity]]-TODAY()</f>
        <v>462</v>
      </c>
      <c r="W1203" t="str">
        <f>VLOOKUP(Table1[[#This Row],[Isin code]],Table2[#All],10,FALSE)</f>
        <v>Yearly</v>
      </c>
      <c r="X1203">
        <f ca="1">_xlfn.DAYS(Table1[[#This Row],[Maturity]],TODAY())-15</f>
        <v>447</v>
      </c>
      <c r="Y12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03">
        <f>IF(Table1[[#This Row],[Ask Rate]]=0,0,Table1[[#This Row],[Face Value]]-Table1[[#This Row],[Ask Rate]])</f>
        <v>0</v>
      </c>
      <c r="AA1203">
        <f>IF(Table1[[#This Row],[Freq]]="Yearly",Table1[[#This Row],[Coupon_Rate]]/100,IF(Table1[[#This Row],[Freq]]="Monthly",Table1[[#This Row],[Coupon_Rate]]/1200,IF(Table1[[#This Row],[Freq]]="Quarterly",Table1[[#This Row],[Coupon_Rate]]/400,0)))</f>
        <v>7.2800000000000004E-2</v>
      </c>
      <c r="AB1203">
        <f ca="1">Table1[[#This Row],[Face Value]]*Table1[[#This Row],[Rate]]*Table1[[#This Row],[Time]]</f>
        <v>145.6</v>
      </c>
      <c r="AC1203">
        <f ca="1">Table1[[#This Row],[SI]]+Table1[[#This Row],[Disc/Prem]]</f>
        <v>145.6</v>
      </c>
      <c r="AD1203" s="3" t="e">
        <f ca="1">Table1[[#This Row],[Net Gain]]/Table1[[#This Row],[Ask Rate]]</f>
        <v>#DIV/0!</v>
      </c>
      <c r="AE1203" s="3">
        <f>IF(Table1[[#This Row],[Ask Qty]]=0,0,Table1[[#This Row],[Gross Yield]]*365/Table1[[#This Row],[Days Left]])</f>
        <v>0</v>
      </c>
      <c r="AF1203" s="9">
        <f ca="1">+Table1[[#This Row],[Net Gain]]*Table1[[#This Row],[Ask Qty]]</f>
        <v>0</v>
      </c>
      <c r="AG1203" t="str">
        <f>IF(Table1[[#This Row],[YTM]]&gt;0.12,IF(Table1[[#This Row],[Gross Profit]]&gt;10000,"Invest","Review"),"Low YTM")</f>
        <v>Low YTM</v>
      </c>
    </row>
    <row r="1204" spans="1:33" x14ac:dyDescent="0.3">
      <c r="A1204" t="str">
        <f>RTD("nest.scriprtd",,"bse_cm|704NHAI26","Symbol")</f>
        <v>704NHAI26</v>
      </c>
      <c r="B1204" t="str">
        <f>RTD("nest.scriprtd",,"bse_cm|704NHAI26","Trading Symbol")</f>
        <v>704NHAI26</v>
      </c>
      <c r="C1204" t="str">
        <f>RTD("nest.scriprtd",,"bse_cm|704NHAI26","Exchange")</f>
        <v>BSE</v>
      </c>
      <c r="D1204">
        <f>RTD("nest.scriprtd",,"bse_cm|704NHAI26","Bid Qty")</f>
        <v>0</v>
      </c>
      <c r="E1204">
        <f>RTD("nest.scriprtd",,"bse_cm|704NHAI26","Bid Rate")</f>
        <v>0</v>
      </c>
      <c r="F1204">
        <f>RTD("nest.scriprtd",,"bse_cm|704NHAI26","Ask Rate")</f>
        <v>0</v>
      </c>
      <c r="G1204">
        <f>RTD("nest.scriprtd",,"bse_cm|704NHAI26","Ask Qty")</f>
        <v>0</v>
      </c>
      <c r="H1204">
        <f>RTD("nest.scriprtd",,"bse_cm|704NHAI26","LTP")</f>
        <v>0</v>
      </c>
      <c r="I1204" t="str">
        <f>RTD("nest.scriprtd",,"bse_cm|704NHAI26","LTT")</f>
        <v>00:00:00</v>
      </c>
      <c r="J1204">
        <f>RTD("nest.scriprtd",,"bse_cm|704NHAI26","% Change")</f>
        <v>-100</v>
      </c>
      <c r="K1204">
        <f>RTD("nest.scriprtd",,"bse_cm|704NHAI26","ATP")</f>
        <v>0</v>
      </c>
      <c r="L1204">
        <f>RTD("nest.scriprtd",,"bse_cm|704NHAI26","Volume Traded Today")</f>
        <v>0</v>
      </c>
      <c r="M1204">
        <f>RTD("nest.scriprtd",,"bse_cm|704NHAI26","Open")</f>
        <v>0</v>
      </c>
      <c r="N1204">
        <f>RTD("nest.scriprtd",,"bse_cm|704NHAI26","High")</f>
        <v>0</v>
      </c>
      <c r="O1204">
        <f>RTD("nest.scriprtd",,"bse_cm|704NHAI26","Low ")</f>
        <v>0</v>
      </c>
      <c r="P1204">
        <f>RTD("nest.scriprtd",,"bse_cm|704NHAI26","Prev Close")</f>
        <v>1619.98</v>
      </c>
      <c r="Q1204">
        <f>RTD("nest.scriprtd",,"bse_cm|704NHAI26","Face Value")</f>
        <v>1000</v>
      </c>
      <c r="R1204" t="str">
        <f>RTD("nest.scriprtd",,"bse_cm|704NHAI26","Isin code")</f>
        <v>INE906B07EM2</v>
      </c>
      <c r="S1204" s="9">
        <f>Table1[[#This Row],[Ask Rate]]*Table1[[#This Row],[Ask Qty]]</f>
        <v>0</v>
      </c>
      <c r="T1204">
        <f>VLOOKUP(Table1[[#This Row],[Isin code]],Table2[#All],7,FALSE)</f>
        <v>7.04</v>
      </c>
      <c r="U1204" s="17" t="str">
        <f>VLOOKUP(Table1[[#This Row],[Isin code]],Table2[#All],8,FALSE)</f>
        <v>09-Mar-2026</v>
      </c>
      <c r="V1204" s="10">
        <f ca="1">Table1[[#This Row],[Maturity]]-TODAY()</f>
        <v>509</v>
      </c>
      <c r="W1204" t="str">
        <f>VLOOKUP(Table1[[#This Row],[Isin code]],Table2[#All],10,FALSE)</f>
        <v>Yearly</v>
      </c>
      <c r="X1204">
        <f ca="1">_xlfn.DAYS(Table1[[#This Row],[Maturity]],TODAY())-15</f>
        <v>494</v>
      </c>
      <c r="Y12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04">
        <f>IF(Table1[[#This Row],[Ask Rate]]=0,0,Table1[[#This Row],[Face Value]]-Table1[[#This Row],[Ask Rate]])</f>
        <v>0</v>
      </c>
      <c r="AA1204">
        <f>IF(Table1[[#This Row],[Freq]]="Yearly",Table1[[#This Row],[Coupon_Rate]]/100,IF(Table1[[#This Row],[Freq]]="Monthly",Table1[[#This Row],[Coupon_Rate]]/1200,IF(Table1[[#This Row],[Freq]]="Quarterly",Table1[[#This Row],[Coupon_Rate]]/400,0)))</f>
        <v>7.0400000000000004E-2</v>
      </c>
      <c r="AB1204">
        <f ca="1">Table1[[#This Row],[Face Value]]*Table1[[#This Row],[Rate]]*Table1[[#This Row],[Time]]</f>
        <v>140.80000000000001</v>
      </c>
      <c r="AC1204">
        <f ca="1">Table1[[#This Row],[SI]]+Table1[[#This Row],[Disc/Prem]]</f>
        <v>140.80000000000001</v>
      </c>
      <c r="AD1204" s="3" t="e">
        <f ca="1">Table1[[#This Row],[Net Gain]]/Table1[[#This Row],[Ask Rate]]</f>
        <v>#DIV/0!</v>
      </c>
      <c r="AE1204" s="3">
        <f>IF(Table1[[#This Row],[Ask Qty]]=0,0,Table1[[#This Row],[Gross Yield]]*365/Table1[[#This Row],[Days Left]])</f>
        <v>0</v>
      </c>
      <c r="AF1204" s="9">
        <f ca="1">+Table1[[#This Row],[Net Gain]]*Table1[[#This Row],[Ask Qty]]</f>
        <v>0</v>
      </c>
      <c r="AG1204" t="str">
        <f>IF(Table1[[#This Row],[YTM]]&gt;0.12,IF(Table1[[#This Row],[Gross Profit]]&gt;10000,"Invest","Review"),"Low YTM")</f>
        <v>Low YTM</v>
      </c>
    </row>
    <row r="1205" spans="1:33" x14ac:dyDescent="0.3">
      <c r="A1205" t="str">
        <f>RTD("nest.scriprtd",,"bse_cm|68PFCL31","Symbol")</f>
        <v>68PFCL31</v>
      </c>
      <c r="B1205" t="str">
        <f>RTD("nest.scriprtd",,"bse_cm|68PFCL31","Trading Symbol")</f>
        <v>68PFCL31</v>
      </c>
      <c r="C1205" t="str">
        <f>RTD("nest.scriprtd",,"bse_cm|68PFCL31","Exchange")</f>
        <v>BSE</v>
      </c>
      <c r="D1205">
        <f>RTD("nest.scriprtd",,"bse_cm|68PFCL31","Bid Qty")</f>
        <v>100</v>
      </c>
      <c r="E1205">
        <f>RTD("nest.scriprtd",,"bse_cm|68PFCL31","Bid Rate")</f>
        <v>850</v>
      </c>
      <c r="F1205">
        <f>RTD("nest.scriprtd",,"bse_cm|68PFCL31","Ask Rate")</f>
        <v>0</v>
      </c>
      <c r="G1205">
        <f>RTD("nest.scriprtd",,"bse_cm|68PFCL31","Ask Qty")</f>
        <v>0</v>
      </c>
      <c r="H1205">
        <f>RTD("nest.scriprtd",,"bse_cm|68PFCL31","LTP")</f>
        <v>0</v>
      </c>
      <c r="I1205" t="str">
        <f>RTD("nest.scriprtd",,"bse_cm|68PFCL31","LTT")</f>
        <v>00:00:00</v>
      </c>
      <c r="J1205">
        <f>RTD("nest.scriprtd",,"bse_cm|68PFCL31","% Change")</f>
        <v>-100</v>
      </c>
      <c r="K1205">
        <f>RTD("nest.scriprtd",,"bse_cm|68PFCL31","ATP")</f>
        <v>0</v>
      </c>
      <c r="L1205">
        <f>RTD("nest.scriprtd",,"bse_cm|68PFCL31","Volume Traded Today")</f>
        <v>0</v>
      </c>
      <c r="M1205">
        <f>RTD("nest.scriprtd",,"bse_cm|68PFCL31","Open")</f>
        <v>0</v>
      </c>
      <c r="N1205">
        <f>RTD("nest.scriprtd",,"bse_cm|68PFCL31","High")</f>
        <v>0</v>
      </c>
      <c r="O1205">
        <f>RTD("nest.scriprtd",,"bse_cm|68PFCL31","Low ")</f>
        <v>0</v>
      </c>
      <c r="P1205">
        <f>RTD("nest.scriprtd",,"bse_cm|68PFCL31","Prev Close")</f>
        <v>1000</v>
      </c>
      <c r="Q1205">
        <f>RTD("nest.scriprtd",,"bse_cm|68PFCL31","Face Value")</f>
        <v>1000</v>
      </c>
      <c r="R1205" t="str">
        <f>RTD("nest.scriprtd",,"bse_cm|68PFCL31","Isin code")</f>
        <v>INE134E07AM3</v>
      </c>
      <c r="S1205" s="9">
        <f>Table1[[#This Row],[Ask Rate]]*Table1[[#This Row],[Ask Qty]]</f>
        <v>0</v>
      </c>
      <c r="T1205">
        <f>VLOOKUP(Table1[[#This Row],[Isin code]],Table2[#All],7,FALSE)</f>
        <v>6.8000000000000007</v>
      </c>
      <c r="U1205" s="17" t="str">
        <f>VLOOKUP(Table1[[#This Row],[Isin code]],Table2[#All],8,FALSE)</f>
        <v>22-Jan-2031</v>
      </c>
      <c r="V1205" s="10">
        <f ca="1">Table1[[#This Row],[Maturity]]-TODAY()</f>
        <v>2289</v>
      </c>
      <c r="W1205" t="str">
        <f>VLOOKUP(Table1[[#This Row],[Isin code]],Table2[#All],10,FALSE)</f>
        <v>Yearly</v>
      </c>
      <c r="X1205">
        <f ca="1">_xlfn.DAYS(Table1[[#This Row],[Maturity]],TODAY())-15</f>
        <v>2274</v>
      </c>
      <c r="Y12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205">
        <f>IF(Table1[[#This Row],[Ask Rate]]=0,0,Table1[[#This Row],[Face Value]]-Table1[[#This Row],[Ask Rate]])</f>
        <v>0</v>
      </c>
      <c r="AA1205">
        <f>IF(Table1[[#This Row],[Freq]]="Yearly",Table1[[#This Row],[Coupon_Rate]]/100,IF(Table1[[#This Row],[Freq]]="Monthly",Table1[[#This Row],[Coupon_Rate]]/1200,IF(Table1[[#This Row],[Freq]]="Quarterly",Table1[[#This Row],[Coupon_Rate]]/400,0)))</f>
        <v>6.8000000000000005E-2</v>
      </c>
      <c r="AB1205">
        <f ca="1">Table1[[#This Row],[Face Value]]*Table1[[#This Row],[Rate]]*Table1[[#This Row],[Time]]</f>
        <v>476</v>
      </c>
      <c r="AC1205">
        <f ca="1">Table1[[#This Row],[SI]]+Table1[[#This Row],[Disc/Prem]]</f>
        <v>476</v>
      </c>
      <c r="AD1205" s="3" t="e">
        <f ca="1">Table1[[#This Row],[Net Gain]]/Table1[[#This Row],[Ask Rate]]</f>
        <v>#DIV/0!</v>
      </c>
      <c r="AE1205" s="3">
        <f>IF(Table1[[#This Row],[Ask Qty]]=0,0,Table1[[#This Row],[Gross Yield]]*365/Table1[[#This Row],[Days Left]])</f>
        <v>0</v>
      </c>
      <c r="AF1205" s="9">
        <f ca="1">+Table1[[#This Row],[Net Gain]]*Table1[[#This Row],[Ask Qty]]</f>
        <v>0</v>
      </c>
      <c r="AG1205" t="str">
        <f>IF(Table1[[#This Row],[YTM]]&gt;0.12,IF(Table1[[#This Row],[Gross Profit]]&gt;10000,"Invest","Review"),"Low YTM")</f>
        <v>Low YTM</v>
      </c>
    </row>
    <row r="1206" spans="1:33" x14ac:dyDescent="0.3">
      <c r="A1206" t="str">
        <f>RTD("nest.scriprtd",,"bse_cm|689RECL24","Symbol")</f>
        <v>689RECL24</v>
      </c>
      <c r="B1206" t="str">
        <f>RTD("nest.scriprtd",,"bse_cm|689RECL24","Trading Symbol")</f>
        <v>689RECL24</v>
      </c>
      <c r="C1206" t="str">
        <f>RTD("nest.scriprtd",,"bse_cm|689RECL24","Exchange")</f>
        <v>BSE</v>
      </c>
      <c r="D1206">
        <f>RTD("nest.scriprtd",,"bse_cm|689RECL24","Bid Qty")</f>
        <v>100</v>
      </c>
      <c r="E1206">
        <f>RTD("nest.scriprtd",,"bse_cm|689RECL24","Bid Rate")</f>
        <v>1001.1</v>
      </c>
      <c r="F1206">
        <f>RTD("nest.scriprtd",,"bse_cm|689RECL24","Ask Rate")</f>
        <v>0</v>
      </c>
      <c r="G1206">
        <f>RTD("nest.scriprtd",,"bse_cm|689RECL24","Ask Qty")</f>
        <v>0</v>
      </c>
      <c r="H1206">
        <f>RTD("nest.scriprtd",,"bse_cm|689RECL24","LTP")</f>
        <v>0</v>
      </c>
      <c r="I1206" t="str">
        <f>RTD("nest.scriprtd",,"bse_cm|689RECL24","LTT")</f>
        <v>00:00:00</v>
      </c>
      <c r="J1206">
        <f>RTD("nest.scriprtd",,"bse_cm|689RECL24","% Change")</f>
        <v>-100</v>
      </c>
      <c r="K1206">
        <f>RTD("nest.scriprtd",,"bse_cm|689RECL24","ATP")</f>
        <v>0</v>
      </c>
      <c r="L1206">
        <f>RTD("nest.scriprtd",,"bse_cm|689RECL24","Volume Traded Today")</f>
        <v>0</v>
      </c>
      <c r="M1206">
        <f>RTD("nest.scriprtd",,"bse_cm|689RECL24","Open")</f>
        <v>0</v>
      </c>
      <c r="N1206">
        <f>RTD("nest.scriprtd",,"bse_cm|689RECL24","High")</f>
        <v>1040</v>
      </c>
      <c r="O1206">
        <f>RTD("nest.scriprtd",,"bse_cm|689RECL24","Low ")</f>
        <v>1040</v>
      </c>
      <c r="P1206">
        <f>RTD("nest.scriprtd",,"bse_cm|689RECL24","Prev Close")</f>
        <v>1040</v>
      </c>
      <c r="Q1206">
        <f>RTD("nest.scriprtd",,"bse_cm|689RECL24","Face Value")</f>
        <v>1000</v>
      </c>
      <c r="R1206" t="str">
        <f>RTD("nest.scriprtd",,"bse_cm|689RECL24","Isin code")</f>
        <v>INE020B07JP4</v>
      </c>
      <c r="S1206" s="9">
        <f>Table1[[#This Row],[Ask Rate]]*Table1[[#This Row],[Ask Qty]]</f>
        <v>0</v>
      </c>
      <c r="T1206">
        <f>VLOOKUP(Table1[[#This Row],[Isin code]],Table2[#All],7,FALSE)</f>
        <v>6.8900000000000006</v>
      </c>
      <c r="U1206" s="17" t="str">
        <f>VLOOKUP(Table1[[#This Row],[Isin code]],Table2[#All],8,FALSE)</f>
        <v>05-Nov-2025</v>
      </c>
      <c r="V1206" s="10">
        <f ca="1">Table1[[#This Row],[Maturity]]-TODAY()</f>
        <v>385</v>
      </c>
      <c r="W1206" t="str">
        <f>VLOOKUP(Table1[[#This Row],[Isin code]],Table2[#All],10,FALSE)</f>
        <v>Yearly</v>
      </c>
      <c r="X1206">
        <f ca="1">_xlfn.DAYS(Table1[[#This Row],[Maturity]],TODAY())-15</f>
        <v>370</v>
      </c>
      <c r="Y12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06">
        <f>IF(Table1[[#This Row],[Ask Rate]]=0,0,Table1[[#This Row],[Face Value]]-Table1[[#This Row],[Ask Rate]])</f>
        <v>0</v>
      </c>
      <c r="AA1206">
        <f>IF(Table1[[#This Row],[Freq]]="Yearly",Table1[[#This Row],[Coupon_Rate]]/100,IF(Table1[[#This Row],[Freq]]="Monthly",Table1[[#This Row],[Coupon_Rate]]/1200,IF(Table1[[#This Row],[Freq]]="Quarterly",Table1[[#This Row],[Coupon_Rate]]/400,0)))</f>
        <v>6.8900000000000003E-2</v>
      </c>
      <c r="AB1206">
        <f ca="1">Table1[[#This Row],[Face Value]]*Table1[[#This Row],[Rate]]*Table1[[#This Row],[Time]]</f>
        <v>137.80000000000001</v>
      </c>
      <c r="AC1206">
        <f ca="1">Table1[[#This Row],[SI]]+Table1[[#This Row],[Disc/Prem]]</f>
        <v>137.80000000000001</v>
      </c>
      <c r="AD1206" s="3" t="e">
        <f ca="1">Table1[[#This Row],[Net Gain]]/Table1[[#This Row],[Ask Rate]]</f>
        <v>#DIV/0!</v>
      </c>
      <c r="AE1206" s="3">
        <f>IF(Table1[[#This Row],[Ask Qty]]=0,0,Table1[[#This Row],[Gross Yield]]*365/Table1[[#This Row],[Days Left]])</f>
        <v>0</v>
      </c>
      <c r="AF1206" s="9">
        <f ca="1">+Table1[[#This Row],[Net Gain]]*Table1[[#This Row],[Ask Qty]]</f>
        <v>0</v>
      </c>
      <c r="AG1206" t="str">
        <f>IF(Table1[[#This Row],[YTM]]&gt;0.12,IF(Table1[[#This Row],[Gross Profit]]&gt;10000,"Invest","Review"),"Low YTM")</f>
        <v>Low YTM</v>
      </c>
    </row>
    <row r="1207" spans="1:33" x14ac:dyDescent="0.3">
      <c r="A1207" t="str">
        <f>RTD("nest.scriprtd",,"bse_cm|678PFCL36","Symbol")</f>
        <v>678PFCL36</v>
      </c>
      <c r="B1207" t="str">
        <f>RTD("nest.scriprtd",,"bse_cm|678PFCL36","Trading Symbol")</f>
        <v>678PFCL36</v>
      </c>
      <c r="C1207" t="str">
        <f>RTD("nest.scriprtd",,"bse_cm|678PFCL36","Exchange")</f>
        <v>BSE</v>
      </c>
      <c r="D1207">
        <f>RTD("nest.scriprtd",,"bse_cm|678PFCL36","Bid Qty")</f>
        <v>100</v>
      </c>
      <c r="E1207">
        <f>RTD("nest.scriprtd",,"bse_cm|678PFCL36","Bid Rate")</f>
        <v>849</v>
      </c>
      <c r="F1207">
        <f>RTD("nest.scriprtd",,"bse_cm|678PFCL36","Ask Rate")</f>
        <v>0</v>
      </c>
      <c r="G1207">
        <f>RTD("nest.scriprtd",,"bse_cm|678PFCL36","Ask Qty")</f>
        <v>0</v>
      </c>
      <c r="H1207">
        <f>RTD("nest.scriprtd",,"bse_cm|678PFCL36","LTP")</f>
        <v>0</v>
      </c>
      <c r="I1207" t="str">
        <f>RTD("nest.scriprtd",,"bse_cm|678PFCL36","LTT")</f>
        <v>00:00:00</v>
      </c>
      <c r="J1207">
        <f>RTD("nest.scriprtd",,"bse_cm|678PFCL36","% Change")</f>
        <v>-100</v>
      </c>
      <c r="K1207">
        <f>RTD("nest.scriprtd",,"bse_cm|678PFCL36","ATP")</f>
        <v>0</v>
      </c>
      <c r="L1207">
        <f>RTD("nest.scriprtd",,"bse_cm|678PFCL36","Volume Traded Today")</f>
        <v>0</v>
      </c>
      <c r="M1207">
        <f>RTD("nest.scriprtd",,"bse_cm|678PFCL36","Open")</f>
        <v>0</v>
      </c>
      <c r="N1207">
        <f>RTD("nest.scriprtd",,"bse_cm|678PFCL36","High")</f>
        <v>0</v>
      </c>
      <c r="O1207">
        <f>RTD("nest.scriprtd",,"bse_cm|678PFCL36","Low ")</f>
        <v>0</v>
      </c>
      <c r="P1207">
        <f>RTD("nest.scriprtd",,"bse_cm|678PFCL36","Prev Close")</f>
        <v>1000</v>
      </c>
      <c r="Q1207">
        <f>RTD("nest.scriprtd",,"bse_cm|678PFCL36","Face Value")</f>
        <v>1000</v>
      </c>
      <c r="R1207" t="str">
        <f>RTD("nest.scriprtd",,"bse_cm|678PFCL36","Isin code")</f>
        <v>INE134E07AQ4</v>
      </c>
      <c r="S1207" s="9">
        <f>Table1[[#This Row],[Ask Rate]]*Table1[[#This Row],[Ask Qty]]</f>
        <v>0</v>
      </c>
      <c r="T1207">
        <f>VLOOKUP(Table1[[#This Row],[Isin code]],Table2[#All],7,FALSE)</f>
        <v>6.78</v>
      </c>
      <c r="U1207" s="17" t="str">
        <f>VLOOKUP(Table1[[#This Row],[Isin code]],Table2[#All],8,FALSE)</f>
        <v>22-Jan-2036</v>
      </c>
      <c r="V1207" s="10">
        <f ca="1">Table1[[#This Row],[Maturity]]-TODAY()</f>
        <v>4115</v>
      </c>
      <c r="W1207" t="str">
        <f>VLOOKUP(Table1[[#This Row],[Isin code]],Table2[#All],10,FALSE)</f>
        <v>Quarterly</v>
      </c>
      <c r="X1207">
        <f ca="1">_xlfn.DAYS(Table1[[#This Row],[Maturity]],TODAY())-15</f>
        <v>4100</v>
      </c>
      <c r="Y12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1207">
        <f>IF(Table1[[#This Row],[Ask Rate]]=0,0,Table1[[#This Row],[Face Value]]-Table1[[#This Row],[Ask Rate]])</f>
        <v>0</v>
      </c>
      <c r="AA1207">
        <f>IF(Table1[[#This Row],[Freq]]="Yearly",Table1[[#This Row],[Coupon_Rate]]/100,IF(Table1[[#This Row],[Freq]]="Monthly",Table1[[#This Row],[Coupon_Rate]]/1200,IF(Table1[[#This Row],[Freq]]="Quarterly",Table1[[#This Row],[Coupon_Rate]]/400,0)))</f>
        <v>1.695E-2</v>
      </c>
      <c r="AB1207">
        <f ca="1">Table1[[#This Row],[Face Value]]*Table1[[#This Row],[Rate]]*Table1[[#This Row],[Time]]</f>
        <v>779.69999999999993</v>
      </c>
      <c r="AC1207">
        <f ca="1">Table1[[#This Row],[SI]]+Table1[[#This Row],[Disc/Prem]]</f>
        <v>779.69999999999993</v>
      </c>
      <c r="AD1207" s="3" t="e">
        <f ca="1">Table1[[#This Row],[Net Gain]]/Table1[[#This Row],[Ask Rate]]</f>
        <v>#DIV/0!</v>
      </c>
      <c r="AE1207" s="3">
        <f>IF(Table1[[#This Row],[Ask Qty]]=0,0,Table1[[#This Row],[Gross Yield]]*365/Table1[[#This Row],[Days Left]])</f>
        <v>0</v>
      </c>
      <c r="AF1207" s="9">
        <f ca="1">+Table1[[#This Row],[Net Gain]]*Table1[[#This Row],[Ask Qty]]</f>
        <v>0</v>
      </c>
      <c r="AG1207" t="str">
        <f>IF(Table1[[#This Row],[YTM]]&gt;0.12,IF(Table1[[#This Row],[Gross Profit]]&gt;10000,"Invest","Review"),"Low YTM")</f>
        <v>Low YTM</v>
      </c>
    </row>
    <row r="1208" spans="1:33" x14ac:dyDescent="0.3">
      <c r="A1208" t="str">
        <f>RTD("nest.scriprtd",,"bse_cm|663PFCL31","Symbol")</f>
        <v>663PFCL31</v>
      </c>
      <c r="B1208" t="str">
        <f>RTD("nest.scriprtd",,"bse_cm|663PFCL31","Trading Symbol")</f>
        <v>663PFCL31</v>
      </c>
      <c r="C1208" t="str">
        <f>RTD("nest.scriprtd",,"bse_cm|663PFCL31","Exchange")</f>
        <v>BSE</v>
      </c>
      <c r="D1208">
        <f>RTD("nest.scriprtd",,"bse_cm|663PFCL31","Bid Qty")</f>
        <v>500</v>
      </c>
      <c r="E1208">
        <f>RTD("nest.scriprtd",,"bse_cm|663PFCL31","Bid Rate")</f>
        <v>849</v>
      </c>
      <c r="F1208">
        <f>RTD("nest.scriprtd",,"bse_cm|663PFCL31","Ask Rate")</f>
        <v>0</v>
      </c>
      <c r="G1208">
        <f>RTD("nest.scriprtd",,"bse_cm|663PFCL31","Ask Qty")</f>
        <v>0</v>
      </c>
      <c r="H1208">
        <f>RTD("nest.scriprtd",,"bse_cm|663PFCL31","LTP")</f>
        <v>0</v>
      </c>
      <c r="I1208" t="str">
        <f>RTD("nest.scriprtd",,"bse_cm|663PFCL31","LTT")</f>
        <v>00:00:00</v>
      </c>
      <c r="J1208">
        <f>RTD("nest.scriprtd",,"bse_cm|663PFCL31","% Change")</f>
        <v>-100</v>
      </c>
      <c r="K1208">
        <f>RTD("nest.scriprtd",,"bse_cm|663PFCL31","ATP")</f>
        <v>0</v>
      </c>
      <c r="L1208">
        <f>RTD("nest.scriprtd",,"bse_cm|663PFCL31","Volume Traded Today")</f>
        <v>0</v>
      </c>
      <c r="M1208">
        <f>RTD("nest.scriprtd",,"bse_cm|663PFCL31","Open")</f>
        <v>0</v>
      </c>
      <c r="N1208">
        <f>RTD("nest.scriprtd",,"bse_cm|663PFCL31","High")</f>
        <v>1189.8</v>
      </c>
      <c r="O1208">
        <f>RTD("nest.scriprtd",,"bse_cm|663PFCL31","Low ")</f>
        <v>848.4</v>
      </c>
      <c r="P1208">
        <f>RTD("nest.scriprtd",,"bse_cm|663PFCL31","Prev Close")</f>
        <v>901.4</v>
      </c>
      <c r="Q1208">
        <f>RTD("nest.scriprtd",,"bse_cm|663PFCL31","Face Value")</f>
        <v>1000</v>
      </c>
      <c r="R1208" t="str">
        <f>RTD("nest.scriprtd",,"bse_cm|663PFCL31","Isin code")</f>
        <v>INE134E07AK7</v>
      </c>
      <c r="S1208" s="9">
        <f>Table1[[#This Row],[Ask Rate]]*Table1[[#This Row],[Ask Qty]]</f>
        <v>0</v>
      </c>
      <c r="T1208">
        <f>VLOOKUP(Table1[[#This Row],[Isin code]],Table2[#All],7,FALSE)</f>
        <v>6.63</v>
      </c>
      <c r="U1208" s="17" t="str">
        <f>VLOOKUP(Table1[[#This Row],[Isin code]],Table2[#All],8,FALSE)</f>
        <v>22-Jan-2031</v>
      </c>
      <c r="V1208" s="10">
        <f ca="1">Table1[[#This Row],[Maturity]]-TODAY()</f>
        <v>2289</v>
      </c>
      <c r="W1208" t="str">
        <f>VLOOKUP(Table1[[#This Row],[Isin code]],Table2[#All],10,FALSE)</f>
        <v>Quarterly</v>
      </c>
      <c r="X1208">
        <f ca="1">_xlfn.DAYS(Table1[[#This Row],[Maturity]],TODAY())-15</f>
        <v>2274</v>
      </c>
      <c r="Y12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26</v>
      </c>
      <c r="Z1208">
        <f>IF(Table1[[#This Row],[Ask Rate]]=0,0,Table1[[#This Row],[Face Value]]-Table1[[#This Row],[Ask Rate]])</f>
        <v>0</v>
      </c>
      <c r="AA1208">
        <f>IF(Table1[[#This Row],[Freq]]="Yearly",Table1[[#This Row],[Coupon_Rate]]/100,IF(Table1[[#This Row],[Freq]]="Monthly",Table1[[#This Row],[Coupon_Rate]]/1200,IF(Table1[[#This Row],[Freq]]="Quarterly",Table1[[#This Row],[Coupon_Rate]]/400,0)))</f>
        <v>1.6574999999999999E-2</v>
      </c>
      <c r="AB1208">
        <f ca="1">Table1[[#This Row],[Face Value]]*Table1[[#This Row],[Rate]]*Table1[[#This Row],[Time]]</f>
        <v>430.95</v>
      </c>
      <c r="AC1208">
        <f ca="1">Table1[[#This Row],[SI]]+Table1[[#This Row],[Disc/Prem]]</f>
        <v>430.95</v>
      </c>
      <c r="AD1208" s="3" t="e">
        <f ca="1">Table1[[#This Row],[Net Gain]]/Table1[[#This Row],[Ask Rate]]</f>
        <v>#DIV/0!</v>
      </c>
      <c r="AE1208" s="3">
        <f>IF(Table1[[#This Row],[Ask Qty]]=0,0,Table1[[#This Row],[Gross Yield]]*365/Table1[[#This Row],[Days Left]])</f>
        <v>0</v>
      </c>
      <c r="AF1208" s="9">
        <f ca="1">+Table1[[#This Row],[Net Gain]]*Table1[[#This Row],[Ask Qty]]</f>
        <v>0</v>
      </c>
      <c r="AG1208" t="str">
        <f>IF(Table1[[#This Row],[YTM]]&gt;0.12,IF(Table1[[#This Row],[Gross Profit]]&gt;10000,"Invest","Review"),"Low YTM")</f>
        <v>Low YTM</v>
      </c>
    </row>
    <row r="1209" spans="1:33" x14ac:dyDescent="0.3">
      <c r="A1209" t="str">
        <f>RTD("nest.scriprtd",,"bse_cm|658PFCL31","Symbol")</f>
        <v>658PFCL31</v>
      </c>
      <c r="B1209" t="str">
        <f>RTD("nest.scriprtd",,"bse_cm|658PFCL31","Trading Symbol")</f>
        <v>658PFCL31</v>
      </c>
      <c r="C1209" t="str">
        <f>RTD("nest.scriprtd",,"bse_cm|658PFCL31","Exchange")</f>
        <v>BSE</v>
      </c>
      <c r="D1209">
        <f>RTD("nest.scriprtd",,"bse_cm|658PFCL31","Bid Qty")</f>
        <v>100</v>
      </c>
      <c r="E1209">
        <f>RTD("nest.scriprtd",,"bse_cm|658PFCL31","Bid Rate")</f>
        <v>850</v>
      </c>
      <c r="F1209">
        <f>RTD("nest.scriprtd",,"bse_cm|658PFCL31","Ask Rate")</f>
        <v>0</v>
      </c>
      <c r="G1209">
        <f>RTD("nest.scriprtd",,"bse_cm|658PFCL31","Ask Qty")</f>
        <v>0</v>
      </c>
      <c r="H1209">
        <f>RTD("nest.scriprtd",,"bse_cm|658PFCL31","LTP")</f>
        <v>0</v>
      </c>
      <c r="I1209" t="str">
        <f>RTD("nest.scriprtd",,"bse_cm|658PFCL31","LTT")</f>
        <v>00:00:00</v>
      </c>
      <c r="J1209">
        <f>RTD("nest.scriprtd",,"bse_cm|658PFCL31","% Change")</f>
        <v>-100</v>
      </c>
      <c r="K1209">
        <f>RTD("nest.scriprtd",,"bse_cm|658PFCL31","ATP")</f>
        <v>0</v>
      </c>
      <c r="L1209">
        <f>RTD("nest.scriprtd",,"bse_cm|658PFCL31","Volume Traded Today")</f>
        <v>0</v>
      </c>
      <c r="M1209">
        <f>RTD("nest.scriprtd",,"bse_cm|658PFCL31","Open")</f>
        <v>0</v>
      </c>
      <c r="N1209">
        <f>RTD("nest.scriprtd",,"bse_cm|658PFCL31","High")</f>
        <v>0</v>
      </c>
      <c r="O1209">
        <f>RTD("nest.scriprtd",,"bse_cm|658PFCL31","Low ")</f>
        <v>0</v>
      </c>
      <c r="P1209">
        <f>RTD("nest.scriprtd",,"bse_cm|658PFCL31","Prev Close")</f>
        <v>1000</v>
      </c>
      <c r="Q1209">
        <f>RTD("nest.scriprtd",,"bse_cm|658PFCL31","Face Value")</f>
        <v>1000</v>
      </c>
      <c r="R1209" t="str">
        <f>RTD("nest.scriprtd",,"bse_cm|658PFCL31","Isin code")</f>
        <v>INE134E07AO9</v>
      </c>
      <c r="S1209" s="9">
        <f>Table1[[#This Row],[Ask Rate]]*Table1[[#This Row],[Ask Qty]]</f>
        <v>0</v>
      </c>
      <c r="T1209">
        <f>VLOOKUP(Table1[[#This Row],[Isin code]],Table2[#All],7,FALSE)</f>
        <v>6.58</v>
      </c>
      <c r="U1209" s="17" t="str">
        <f>VLOOKUP(Table1[[#This Row],[Isin code]],Table2[#All],8,FALSE)</f>
        <v>22-Jan-2031</v>
      </c>
      <c r="V1209" s="10">
        <f ca="1">Table1[[#This Row],[Maturity]]-TODAY()</f>
        <v>2289</v>
      </c>
      <c r="W1209" t="str">
        <f>VLOOKUP(Table1[[#This Row],[Isin code]],Table2[#All],10,FALSE)</f>
        <v>Yearly</v>
      </c>
      <c r="X1209">
        <f ca="1">_xlfn.DAYS(Table1[[#This Row],[Maturity]],TODAY())-15</f>
        <v>2274</v>
      </c>
      <c r="Y12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209">
        <f>IF(Table1[[#This Row],[Ask Rate]]=0,0,Table1[[#This Row],[Face Value]]-Table1[[#This Row],[Ask Rate]])</f>
        <v>0</v>
      </c>
      <c r="AA1209">
        <f>IF(Table1[[#This Row],[Freq]]="Yearly",Table1[[#This Row],[Coupon_Rate]]/100,IF(Table1[[#This Row],[Freq]]="Monthly",Table1[[#This Row],[Coupon_Rate]]/1200,IF(Table1[[#This Row],[Freq]]="Quarterly",Table1[[#This Row],[Coupon_Rate]]/400,0)))</f>
        <v>6.5799999999999997E-2</v>
      </c>
      <c r="AB1209">
        <f ca="1">Table1[[#This Row],[Face Value]]*Table1[[#This Row],[Rate]]*Table1[[#This Row],[Time]]</f>
        <v>460.59999999999997</v>
      </c>
      <c r="AC1209">
        <f ca="1">Table1[[#This Row],[SI]]+Table1[[#This Row],[Disc/Prem]]</f>
        <v>460.59999999999997</v>
      </c>
      <c r="AD1209" s="3" t="e">
        <f ca="1">Table1[[#This Row],[Net Gain]]/Table1[[#This Row],[Ask Rate]]</f>
        <v>#DIV/0!</v>
      </c>
      <c r="AE1209" s="3">
        <f>IF(Table1[[#This Row],[Ask Qty]]=0,0,Table1[[#This Row],[Gross Yield]]*365/Table1[[#This Row],[Days Left]])</f>
        <v>0</v>
      </c>
      <c r="AF1209" s="9">
        <f ca="1">+Table1[[#This Row],[Net Gain]]*Table1[[#This Row],[Ask Qty]]</f>
        <v>0</v>
      </c>
      <c r="AG1209" t="str">
        <f>IF(Table1[[#This Row],[YTM]]&gt;0.12,IF(Table1[[#This Row],[Gross Profit]]&gt;10000,"Invest","Review"),"Low YTM")</f>
        <v>Low YTM</v>
      </c>
    </row>
    <row r="1210" spans="1:33" x14ac:dyDescent="0.3">
      <c r="A1210" t="str">
        <f>RTD("nest.scriprtd",,"bse_cm|565PFCL26","Symbol")</f>
        <v>565PFCL26</v>
      </c>
      <c r="B1210" t="str">
        <f>RTD("nest.scriprtd",,"bse_cm|565PFCL26","Trading Symbol")</f>
        <v>565PFCL26</v>
      </c>
      <c r="C1210" t="str">
        <f>RTD("nest.scriprtd",,"bse_cm|565PFCL26","Exchange")</f>
        <v>BSE</v>
      </c>
      <c r="D1210">
        <f>RTD("nest.scriprtd",,"bse_cm|565PFCL26","Bid Qty")</f>
        <v>100</v>
      </c>
      <c r="E1210">
        <f>RTD("nest.scriprtd",,"bse_cm|565PFCL26","Bid Rate")</f>
        <v>850</v>
      </c>
      <c r="F1210">
        <f>RTD("nest.scriprtd",,"bse_cm|565PFCL26","Ask Rate")</f>
        <v>0</v>
      </c>
      <c r="G1210">
        <f>RTD("nest.scriprtd",,"bse_cm|565PFCL26","Ask Qty")</f>
        <v>0</v>
      </c>
      <c r="H1210">
        <f>RTD("nest.scriprtd",,"bse_cm|565PFCL26","LTP")</f>
        <v>0</v>
      </c>
      <c r="I1210" t="str">
        <f>RTD("nest.scriprtd",,"bse_cm|565PFCL26","LTT")</f>
        <v>00:00:00</v>
      </c>
      <c r="J1210">
        <f>RTD("nest.scriprtd",,"bse_cm|565PFCL26","% Change")</f>
        <v>-100</v>
      </c>
      <c r="K1210">
        <f>RTD("nest.scriprtd",,"bse_cm|565PFCL26","ATP")</f>
        <v>0</v>
      </c>
      <c r="L1210">
        <f>RTD("nest.scriprtd",,"bse_cm|565PFCL26","Volume Traded Today")</f>
        <v>0</v>
      </c>
      <c r="M1210">
        <f>RTD("nest.scriprtd",,"bse_cm|565PFCL26","Open")</f>
        <v>0</v>
      </c>
      <c r="N1210">
        <f>RTD("nest.scriprtd",,"bse_cm|565PFCL26","High")</f>
        <v>0</v>
      </c>
      <c r="O1210">
        <f>RTD("nest.scriprtd",,"bse_cm|565PFCL26","Low ")</f>
        <v>0</v>
      </c>
      <c r="P1210">
        <f>RTD("nest.scriprtd",,"bse_cm|565PFCL26","Prev Close")</f>
        <v>1000</v>
      </c>
      <c r="Q1210">
        <f>RTD("nest.scriprtd",,"bse_cm|565PFCL26","Face Value")</f>
        <v>1000</v>
      </c>
      <c r="R1210" t="str">
        <f>RTD("nest.scriprtd",,"bse_cm|565PFCL26","Isin code")</f>
        <v>INE134E07AI1</v>
      </c>
      <c r="S1210" s="9">
        <f>Table1[[#This Row],[Ask Rate]]*Table1[[#This Row],[Ask Qty]]</f>
        <v>0</v>
      </c>
      <c r="T1210">
        <f>VLOOKUP(Table1[[#This Row],[Isin code]],Table2[#All],7,FALSE)</f>
        <v>5.65</v>
      </c>
      <c r="U1210" s="17">
        <f>VLOOKUP(Table1[[#This Row],[Isin code]],Table2[#All],8,FALSE)</f>
        <v>46044</v>
      </c>
      <c r="V1210" s="10">
        <f ca="1">Table1[[#This Row],[Maturity]]-TODAY()</f>
        <v>463</v>
      </c>
      <c r="W1210" t="str">
        <f>VLOOKUP(Table1[[#This Row],[Isin code]],Table2[#All],10,FALSE)</f>
        <v>Yearly</v>
      </c>
      <c r="X1210">
        <f ca="1">_xlfn.DAYS(Table1[[#This Row],[Maturity]],TODAY())-15</f>
        <v>448</v>
      </c>
      <c r="Y12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10">
        <f>IF(Table1[[#This Row],[Ask Rate]]=0,0,Table1[[#This Row],[Face Value]]-Table1[[#This Row],[Ask Rate]])</f>
        <v>0</v>
      </c>
      <c r="AA1210">
        <f>IF(Table1[[#This Row],[Freq]]="Yearly",Table1[[#This Row],[Coupon_Rate]]/100,IF(Table1[[#This Row],[Freq]]="Monthly",Table1[[#This Row],[Coupon_Rate]]/1200,IF(Table1[[#This Row],[Freq]]="Quarterly",Table1[[#This Row],[Coupon_Rate]]/400,0)))</f>
        <v>5.6500000000000002E-2</v>
      </c>
      <c r="AB1210">
        <f ca="1">Table1[[#This Row],[Face Value]]*Table1[[#This Row],[Rate]]*Table1[[#This Row],[Time]]</f>
        <v>113</v>
      </c>
      <c r="AC1210">
        <f ca="1">Table1[[#This Row],[SI]]+Table1[[#This Row],[Disc/Prem]]</f>
        <v>113</v>
      </c>
      <c r="AD1210" s="3" t="e">
        <f ca="1">Table1[[#This Row],[Net Gain]]/Table1[[#This Row],[Ask Rate]]</f>
        <v>#DIV/0!</v>
      </c>
      <c r="AE1210" s="3">
        <f>IF(Table1[[#This Row],[Ask Qty]]=0,0,Table1[[#This Row],[Gross Yield]]*365/Table1[[#This Row],[Days Left]])</f>
        <v>0</v>
      </c>
      <c r="AF1210" s="9">
        <f ca="1">+Table1[[#This Row],[Net Gain]]*Table1[[#This Row],[Ask Qty]]</f>
        <v>0</v>
      </c>
      <c r="AG1210" t="str">
        <f>IF(Table1[[#This Row],[YTM]]&gt;0.12,IF(Table1[[#This Row],[Gross Profit]]&gt;10000,"Invest","Review"),"Low YTM")</f>
        <v>Low YTM</v>
      </c>
    </row>
    <row r="1211" spans="1:33" x14ac:dyDescent="0.3">
      <c r="A1211" t="str">
        <f>RTD("nest.scriprtd",,"bse_cm|12KLM25","Symbol")</f>
        <v>12KLM25</v>
      </c>
      <c r="B1211" t="str">
        <f>RTD("nest.scriprtd",,"bse_cm|12KLM25","Trading Symbol")</f>
        <v>12KLM25</v>
      </c>
      <c r="C1211" t="str">
        <f>RTD("nest.scriprtd",,"bse_cm|12KLM25","Exchange")</f>
        <v>BSE</v>
      </c>
      <c r="D1211">
        <f>RTD("nest.scriprtd",,"bse_cm|12KLM25","Bid Qty")</f>
        <v>20</v>
      </c>
      <c r="E1211">
        <f>RTD("nest.scriprtd",,"bse_cm|12KLM25","Bid Rate")</f>
        <v>860.2</v>
      </c>
      <c r="F1211">
        <f>RTD("nest.scriprtd",,"bse_cm|12KLM25","Ask Rate")</f>
        <v>0</v>
      </c>
      <c r="G1211">
        <f>RTD("nest.scriprtd",,"bse_cm|12KLM25","Ask Qty")</f>
        <v>0</v>
      </c>
      <c r="H1211">
        <f>RTD("nest.scriprtd",,"bse_cm|12KLM25","LTP")</f>
        <v>0</v>
      </c>
      <c r="I1211" t="str">
        <f>RTD("nest.scriprtd",,"bse_cm|12KLM25","LTT")</f>
        <v>00:00:00</v>
      </c>
      <c r="J1211">
        <f>RTD("nest.scriprtd",,"bse_cm|12KLM25","% Change")</f>
        <v>-100</v>
      </c>
      <c r="K1211">
        <f>RTD("nest.scriprtd",,"bse_cm|12KLM25","ATP")</f>
        <v>0</v>
      </c>
      <c r="L1211">
        <f>RTD("nest.scriprtd",,"bse_cm|12KLM25","Volume Traded Today")</f>
        <v>0</v>
      </c>
      <c r="M1211">
        <f>RTD("nest.scriprtd",,"bse_cm|12KLM25","Open")</f>
        <v>0</v>
      </c>
      <c r="N1211">
        <f>RTD("nest.scriprtd",,"bse_cm|12KLM25","High")</f>
        <v>0</v>
      </c>
      <c r="O1211">
        <f>RTD("nest.scriprtd",,"bse_cm|12KLM25","Low ")</f>
        <v>0</v>
      </c>
      <c r="P1211">
        <f>RTD("nest.scriprtd",,"bse_cm|12KLM25","Prev Close")</f>
        <v>950</v>
      </c>
      <c r="Q1211">
        <f>RTD("nest.scriprtd",,"bse_cm|12KLM25","Face Value")</f>
        <v>1000</v>
      </c>
      <c r="R1211" t="str">
        <f>RTD("nest.scriprtd",,"bse_cm|12KLM25","Isin code")</f>
        <v>INE01I507281</v>
      </c>
      <c r="S1211" s="9">
        <f>Table1[[#This Row],[Ask Rate]]*Table1[[#This Row],[Ask Qty]]</f>
        <v>0</v>
      </c>
      <c r="T1211">
        <f>VLOOKUP(Table1[[#This Row],[Isin code]],Table2[#All],7,FALSE)</f>
        <v>12</v>
      </c>
      <c r="U1211" s="17" t="str">
        <f>VLOOKUP(Table1[[#This Row],[Isin code]],Table2[#All],8,FALSE)</f>
        <v>01-Jul-2025</v>
      </c>
      <c r="V1211" s="10">
        <f ca="1">Table1[[#This Row],[Maturity]]-TODAY()</f>
        <v>258</v>
      </c>
      <c r="W1211" t="str">
        <f>VLOOKUP(Table1[[#This Row],[Isin code]],Table2[#All],10,FALSE)</f>
        <v>Yearly</v>
      </c>
      <c r="X1211">
        <f ca="1">_xlfn.DAYS(Table1[[#This Row],[Maturity]],TODAY())-15</f>
        <v>243</v>
      </c>
      <c r="Y121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211">
        <f>IF(Table1[[#This Row],[Ask Rate]]=0,0,Table1[[#This Row],[Face Value]]-Table1[[#This Row],[Ask Rate]])</f>
        <v>0</v>
      </c>
      <c r="AA1211">
        <f>IF(Table1[[#This Row],[Freq]]="Yearly",Table1[[#This Row],[Coupon_Rate]]/100,IF(Table1[[#This Row],[Freq]]="Monthly",Table1[[#This Row],[Coupon_Rate]]/1200,IF(Table1[[#This Row],[Freq]]="Quarterly",Table1[[#This Row],[Coupon_Rate]]/400,0)))</f>
        <v>0.12</v>
      </c>
      <c r="AB1211">
        <f ca="1">Table1[[#This Row],[Face Value]]*Table1[[#This Row],[Rate]]*Table1[[#This Row],[Time]]</f>
        <v>120</v>
      </c>
      <c r="AC1211">
        <f ca="1">Table1[[#This Row],[SI]]+Table1[[#This Row],[Disc/Prem]]</f>
        <v>120</v>
      </c>
      <c r="AD1211" s="3" t="e">
        <f ca="1">Table1[[#This Row],[Net Gain]]/Table1[[#This Row],[Ask Rate]]</f>
        <v>#DIV/0!</v>
      </c>
      <c r="AE1211" s="3">
        <f>IF(Table1[[#This Row],[Ask Qty]]=0,0,Table1[[#This Row],[Gross Yield]]*365/Table1[[#This Row],[Days Left]])</f>
        <v>0</v>
      </c>
      <c r="AF1211" s="9">
        <f ca="1">+Table1[[#This Row],[Net Gain]]*Table1[[#This Row],[Ask Qty]]</f>
        <v>0</v>
      </c>
      <c r="AG1211" t="str">
        <f>IF(Table1[[#This Row],[YTM]]&gt;0.12,IF(Table1[[#This Row],[Gross Profit]]&gt;10000,"Invest","Review"),"Low YTM")</f>
        <v>Low YTM</v>
      </c>
    </row>
    <row r="1212" spans="1:33" x14ac:dyDescent="0.3">
      <c r="A1212" t="str">
        <f>RTD("nest.scriprtd",,"bse_cm|12IML26A","Symbol")</f>
        <v>12IML26A</v>
      </c>
      <c r="B1212" t="str">
        <f>RTD("nest.scriprtd",,"bse_cm|12IML26A","Trading Symbol")</f>
        <v>12IML26A</v>
      </c>
      <c r="C1212" t="str">
        <f>RTD("nest.scriprtd",,"bse_cm|12IML26A","Exchange")</f>
        <v>BSE</v>
      </c>
      <c r="D1212">
        <f>RTD("nest.scriprtd",,"bse_cm|12IML26A","Bid Qty")</f>
        <v>10</v>
      </c>
      <c r="E1212">
        <f>RTD("nest.scriprtd",,"bse_cm|12IML26A","Bid Rate")</f>
        <v>901.7</v>
      </c>
      <c r="F1212">
        <f>RTD("nest.scriprtd",,"bse_cm|12IML26A","Ask Rate")</f>
        <v>0</v>
      </c>
      <c r="G1212">
        <f>RTD("nest.scriprtd",,"bse_cm|12IML26A","Ask Qty")</f>
        <v>0</v>
      </c>
      <c r="H1212">
        <f>RTD("nest.scriprtd",,"bse_cm|12IML26A","LTP")</f>
        <v>0</v>
      </c>
      <c r="I1212" t="str">
        <f>RTD("nest.scriprtd",,"bse_cm|12IML26A","LTT")</f>
        <v>00:00:00</v>
      </c>
      <c r="J1212">
        <f>RTD("nest.scriprtd",,"bse_cm|12IML26A","% Change")</f>
        <v>-100</v>
      </c>
      <c r="K1212">
        <f>RTD("nest.scriprtd",,"bse_cm|12IML26A","ATP")</f>
        <v>0</v>
      </c>
      <c r="L1212">
        <f>RTD("nest.scriprtd",,"bse_cm|12IML26A","Volume Traded Today")</f>
        <v>0</v>
      </c>
      <c r="M1212">
        <f>RTD("nest.scriprtd",,"bse_cm|12IML26A","Open")</f>
        <v>0</v>
      </c>
      <c r="N1212">
        <f>RTD("nest.scriprtd",,"bse_cm|12IML26A","High")</f>
        <v>881</v>
      </c>
      <c r="O1212">
        <f>RTD("nest.scriprtd",,"bse_cm|12IML26A","Low ")</f>
        <v>881</v>
      </c>
      <c r="P1212">
        <f>RTD("nest.scriprtd",,"bse_cm|12IML26A","Prev Close")</f>
        <v>881</v>
      </c>
      <c r="Q1212">
        <f>RTD("nest.scriprtd",,"bse_cm|12IML26A","Face Value")</f>
        <v>1000</v>
      </c>
      <c r="R1212" t="str">
        <f>RTD("nest.scriprtd",,"bse_cm|12IML26A","Isin code")</f>
        <v>INE0BUS08021</v>
      </c>
      <c r="S1212" s="9">
        <f>Table1[[#This Row],[Ask Rate]]*Table1[[#This Row],[Ask Qty]]</f>
        <v>0</v>
      </c>
      <c r="T1212">
        <f>VLOOKUP(Table1[[#This Row],[Isin code]],Table2[#All],7,FALSE)</f>
        <v>12</v>
      </c>
      <c r="U1212" s="17" t="str">
        <f>VLOOKUP(Table1[[#This Row],[Isin code]],Table2[#All],8,FALSE)</f>
        <v>24-Nov-2026</v>
      </c>
      <c r="V1212" s="10">
        <f ca="1">Table1[[#This Row],[Maturity]]-TODAY()</f>
        <v>769</v>
      </c>
      <c r="W1212" t="str">
        <f>VLOOKUP(Table1[[#This Row],[Isin code]],Table2[#All],10,FALSE)</f>
        <v>Yearly</v>
      </c>
      <c r="X1212">
        <f ca="1">_xlfn.DAYS(Table1[[#This Row],[Maturity]],TODAY())-15</f>
        <v>754</v>
      </c>
      <c r="Y12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212">
        <f>IF(Table1[[#This Row],[Ask Rate]]=0,0,Table1[[#This Row],[Face Value]]-Table1[[#This Row],[Ask Rate]])</f>
        <v>0</v>
      </c>
      <c r="AA1212">
        <f>IF(Table1[[#This Row],[Freq]]="Yearly",Table1[[#This Row],[Coupon_Rate]]/100,IF(Table1[[#This Row],[Freq]]="Monthly",Table1[[#This Row],[Coupon_Rate]]/1200,IF(Table1[[#This Row],[Freq]]="Quarterly",Table1[[#This Row],[Coupon_Rate]]/400,0)))</f>
        <v>0.12</v>
      </c>
      <c r="AB1212">
        <f ca="1">Table1[[#This Row],[Face Value]]*Table1[[#This Row],[Rate]]*Table1[[#This Row],[Time]]</f>
        <v>360</v>
      </c>
      <c r="AC1212">
        <f ca="1">Table1[[#This Row],[SI]]+Table1[[#This Row],[Disc/Prem]]</f>
        <v>360</v>
      </c>
      <c r="AD1212" s="3" t="e">
        <f ca="1">Table1[[#This Row],[Net Gain]]/Table1[[#This Row],[Ask Rate]]</f>
        <v>#DIV/0!</v>
      </c>
      <c r="AE1212" s="3">
        <f>IF(Table1[[#This Row],[Ask Qty]]=0,0,Table1[[#This Row],[Gross Yield]]*365/Table1[[#This Row],[Days Left]])</f>
        <v>0</v>
      </c>
      <c r="AF1212" s="9">
        <f ca="1">+Table1[[#This Row],[Net Gain]]*Table1[[#This Row],[Ask Qty]]</f>
        <v>0</v>
      </c>
      <c r="AG1212" t="str">
        <f>IF(Table1[[#This Row],[YTM]]&gt;0.12,IF(Table1[[#This Row],[Gross Profit]]&gt;10000,"Invest","Review"),"Low YTM")</f>
        <v>Low YTM</v>
      </c>
    </row>
    <row r="1213" spans="1:33" x14ac:dyDescent="0.3">
      <c r="A1213" t="str">
        <f>RTD("nest.scriprtd",,"bse_cm|12ICFL25","Symbol")</f>
        <v>12ICFL25</v>
      </c>
      <c r="B1213" t="str">
        <f>RTD("nest.scriprtd",,"bse_cm|12ICFL25","Trading Symbol")</f>
        <v>12ICFL25</v>
      </c>
      <c r="C1213" t="str">
        <f>RTD("nest.scriprtd",,"bse_cm|12ICFL25","Exchange")</f>
        <v>BSE</v>
      </c>
      <c r="D1213">
        <f>RTD("nest.scriprtd",,"bse_cm|12ICFL25","Bid Qty")</f>
        <v>36</v>
      </c>
      <c r="E1213">
        <f>RTD("nest.scriprtd",,"bse_cm|12ICFL25","Bid Rate")</f>
        <v>905.2</v>
      </c>
      <c r="F1213">
        <f>RTD("nest.scriprtd",,"bse_cm|12ICFL25","Ask Rate")</f>
        <v>0</v>
      </c>
      <c r="G1213">
        <f>RTD("nest.scriprtd",,"bse_cm|12ICFL25","Ask Qty")</f>
        <v>0</v>
      </c>
      <c r="H1213">
        <f>RTD("nest.scriprtd",,"bse_cm|12ICFL25","LTP")</f>
        <v>0</v>
      </c>
      <c r="I1213" t="str">
        <f>RTD("nest.scriprtd",,"bse_cm|12ICFL25","LTT")</f>
        <v>00:00:00</v>
      </c>
      <c r="J1213">
        <f>RTD("nest.scriprtd",,"bse_cm|12ICFL25","% Change")</f>
        <v>-100</v>
      </c>
      <c r="K1213">
        <f>RTD("nest.scriprtd",,"bse_cm|12ICFL25","ATP")</f>
        <v>0</v>
      </c>
      <c r="L1213">
        <f>RTD("nest.scriprtd",,"bse_cm|12ICFL25","Volume Traded Today")</f>
        <v>0</v>
      </c>
      <c r="M1213">
        <f>RTD("nest.scriprtd",,"bse_cm|12ICFL25","Open")</f>
        <v>0</v>
      </c>
      <c r="N1213">
        <f>RTD("nest.scriprtd",,"bse_cm|12ICFL25","High")</f>
        <v>1068</v>
      </c>
      <c r="O1213">
        <f>RTD("nest.scriprtd",,"bse_cm|12ICFL25","Low ")</f>
        <v>965.25</v>
      </c>
      <c r="P1213">
        <f>RTD("nest.scriprtd",,"bse_cm|12ICFL25","Prev Close")</f>
        <v>1068</v>
      </c>
      <c r="Q1213">
        <f>RTD("nest.scriprtd",,"bse_cm|12ICFL25","Face Value")</f>
        <v>1000</v>
      </c>
      <c r="R1213" t="str">
        <f>RTD("nest.scriprtd",,"bse_cm|12ICFL25","Isin code")</f>
        <v>INE01CY077F8</v>
      </c>
      <c r="S1213" s="9">
        <f>Table1[[#This Row],[Ask Rate]]*Table1[[#This Row],[Ask Qty]]</f>
        <v>0</v>
      </c>
      <c r="T1213">
        <f>VLOOKUP(Table1[[#This Row],[Isin code]],Table2[#All],7,FALSE)</f>
        <v>12</v>
      </c>
      <c r="U1213" s="17" t="str">
        <f>VLOOKUP(Table1[[#This Row],[Isin code]],Table2[#All],8,FALSE)</f>
        <v>12-Dec-2025</v>
      </c>
      <c r="V1213" s="10">
        <f ca="1">Table1[[#This Row],[Maturity]]-TODAY()</f>
        <v>422</v>
      </c>
      <c r="W1213" t="str">
        <f>VLOOKUP(Table1[[#This Row],[Isin code]],Table2[#All],10,FALSE)</f>
        <v>At the End</v>
      </c>
      <c r="X1213">
        <f ca="1">_xlfn.DAYS(Table1[[#This Row],[Maturity]],TODAY())-15</f>
        <v>407</v>
      </c>
      <c r="Y121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13">
        <f>IF(Table1[[#This Row],[Ask Rate]]=0,0,Table1[[#This Row],[Face Value]]-Table1[[#This Row],[Ask Rate]])</f>
        <v>0</v>
      </c>
      <c r="AA121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13">
        <f>Table1[[#This Row],[Face Value]]*Table1[[#This Row],[Rate]]*Table1[[#This Row],[Time]]</f>
        <v>0</v>
      </c>
      <c r="AC1213">
        <f>Table1[[#This Row],[SI]]+Table1[[#This Row],[Disc/Prem]]</f>
        <v>0</v>
      </c>
      <c r="AD1213" s="3" t="e">
        <f>Table1[[#This Row],[Net Gain]]/Table1[[#This Row],[Ask Rate]]</f>
        <v>#DIV/0!</v>
      </c>
      <c r="AE1213" s="3">
        <f>IF(Table1[[#This Row],[Ask Qty]]=0,0,Table1[[#This Row],[Gross Yield]]*365/Table1[[#This Row],[Days Left]])</f>
        <v>0</v>
      </c>
      <c r="AF1213" s="9">
        <f>+Table1[[#This Row],[Net Gain]]*Table1[[#This Row],[Ask Qty]]</f>
        <v>0</v>
      </c>
      <c r="AG1213" t="str">
        <f>IF(Table1[[#This Row],[YTM]]&gt;0.12,IF(Table1[[#This Row],[Gross Profit]]&gt;10000,"Invest","Review"),"Low YTM")</f>
        <v>Low YTM</v>
      </c>
    </row>
    <row r="1214" spans="1:33" x14ac:dyDescent="0.3">
      <c r="A1214" t="str">
        <f>RTD("nest.scriprtd",,"bse_cm|125ICFL26","Symbol")</f>
        <v>125ICFL26</v>
      </c>
      <c r="B1214" t="str">
        <f>RTD("nest.scriprtd",,"bse_cm|125ICFL26","Trading Symbol")</f>
        <v>125ICFL26</v>
      </c>
      <c r="C1214" t="str">
        <f>RTD("nest.scriprtd",,"bse_cm|125ICFL26","Exchange")</f>
        <v>BSE</v>
      </c>
      <c r="D1214">
        <f>RTD("nest.scriprtd",,"bse_cm|125ICFL26","Bid Qty")</f>
        <v>20</v>
      </c>
      <c r="E1214">
        <f>RTD("nest.scriprtd",,"bse_cm|125ICFL26","Bid Rate")</f>
        <v>862.8</v>
      </c>
      <c r="F1214">
        <f>RTD("nest.scriprtd",,"bse_cm|125ICFL26","Ask Rate")</f>
        <v>0</v>
      </c>
      <c r="G1214">
        <f>RTD("nest.scriprtd",,"bse_cm|125ICFL26","Ask Qty")</f>
        <v>0</v>
      </c>
      <c r="H1214">
        <f>RTD("nest.scriprtd",,"bse_cm|125ICFL26","LTP")</f>
        <v>0</v>
      </c>
      <c r="I1214" t="str">
        <f>RTD("nest.scriprtd",,"bse_cm|125ICFL26","LTT")</f>
        <v>00:00:00</v>
      </c>
      <c r="J1214">
        <f>RTD("nest.scriprtd",,"bse_cm|125ICFL26","% Change")</f>
        <v>-100</v>
      </c>
      <c r="K1214">
        <f>RTD("nest.scriprtd",,"bse_cm|125ICFL26","ATP")</f>
        <v>0</v>
      </c>
      <c r="L1214">
        <f>RTD("nest.scriprtd",,"bse_cm|125ICFL26","Volume Traded Today")</f>
        <v>0</v>
      </c>
      <c r="M1214">
        <f>RTD("nest.scriprtd",,"bse_cm|125ICFL26","Open")</f>
        <v>0</v>
      </c>
      <c r="N1214">
        <f>RTD("nest.scriprtd",,"bse_cm|125ICFL26","High")</f>
        <v>1071.5</v>
      </c>
      <c r="O1214">
        <f>RTD("nest.scriprtd",,"bse_cm|125ICFL26","Low ")</f>
        <v>1000</v>
      </c>
      <c r="P1214">
        <f>RTD("nest.scriprtd",,"bse_cm|125ICFL26","Prev Close")</f>
        <v>1071.5</v>
      </c>
      <c r="Q1214">
        <f>RTD("nest.scriprtd",,"bse_cm|125ICFL26","Face Value")</f>
        <v>1000</v>
      </c>
      <c r="R1214" t="str">
        <f>RTD("nest.scriprtd",,"bse_cm|125ICFL26","Isin code")</f>
        <v>INE01CY077J0</v>
      </c>
      <c r="S1214" s="9">
        <f>Table1[[#This Row],[Ask Rate]]*Table1[[#This Row],[Ask Qty]]</f>
        <v>0</v>
      </c>
      <c r="T1214">
        <f>VLOOKUP(Table1[[#This Row],[Isin code]],Table2[#All],7,FALSE)</f>
        <v>12.5</v>
      </c>
      <c r="U1214" s="17" t="str">
        <f>VLOOKUP(Table1[[#This Row],[Isin code]],Table2[#All],8,FALSE)</f>
        <v>14-Dec-2026</v>
      </c>
      <c r="V1214" s="10">
        <f ca="1">Table1[[#This Row],[Maturity]]-TODAY()</f>
        <v>789</v>
      </c>
      <c r="W1214" t="str">
        <f>VLOOKUP(Table1[[#This Row],[Isin code]],Table2[#All],10,FALSE)</f>
        <v>At the End</v>
      </c>
      <c r="X1214">
        <f ca="1">_xlfn.DAYS(Table1[[#This Row],[Maturity]],TODAY())-15</f>
        <v>774</v>
      </c>
      <c r="Y121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14">
        <f>IF(Table1[[#This Row],[Ask Rate]]=0,0,Table1[[#This Row],[Face Value]]-Table1[[#This Row],[Ask Rate]])</f>
        <v>0</v>
      </c>
      <c r="AA121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14">
        <f>Table1[[#This Row],[Face Value]]*Table1[[#This Row],[Rate]]*Table1[[#This Row],[Time]]</f>
        <v>0</v>
      </c>
      <c r="AC1214">
        <f>Table1[[#This Row],[SI]]+Table1[[#This Row],[Disc/Prem]]</f>
        <v>0</v>
      </c>
      <c r="AD1214" s="3" t="e">
        <f>Table1[[#This Row],[Net Gain]]/Table1[[#This Row],[Ask Rate]]</f>
        <v>#DIV/0!</v>
      </c>
      <c r="AE1214" s="3">
        <f>IF(Table1[[#This Row],[Ask Qty]]=0,0,Table1[[#This Row],[Gross Yield]]*365/Table1[[#This Row],[Days Left]])</f>
        <v>0</v>
      </c>
      <c r="AF1214" s="9">
        <f>+Table1[[#This Row],[Net Gain]]*Table1[[#This Row],[Ask Qty]]</f>
        <v>0</v>
      </c>
      <c r="AG1214" t="str">
        <f>IF(Table1[[#This Row],[YTM]]&gt;0.12,IF(Table1[[#This Row],[Gross Profit]]&gt;10000,"Invest","Review"),"Low YTM")</f>
        <v>Low YTM</v>
      </c>
    </row>
    <row r="1215" spans="1:33" x14ac:dyDescent="0.3">
      <c r="A1215" t="str">
        <f>RTD("nest.scriprtd",,"bse_cm|1250IFL29","Symbol")</f>
        <v>1250IFL29</v>
      </c>
      <c r="B1215" t="str">
        <f>RTD("nest.scriprtd",,"bse_cm|1250IFL29","Trading Symbol")</f>
        <v>1250IFL29</v>
      </c>
      <c r="C1215" t="str">
        <f>RTD("nest.scriprtd",,"bse_cm|1250IFL29","Exchange")</f>
        <v>BSE</v>
      </c>
      <c r="D1215">
        <f>RTD("nest.scriprtd",,"bse_cm|1250IFL29","Bid Qty")</f>
        <v>20</v>
      </c>
      <c r="E1215">
        <f>RTD("nest.scriprtd",,"bse_cm|1250IFL29","Bid Rate")</f>
        <v>865.7</v>
      </c>
      <c r="F1215">
        <f>RTD("nest.scriprtd",,"bse_cm|1250IFL29","Ask Rate")</f>
        <v>0</v>
      </c>
      <c r="G1215">
        <f>RTD("nest.scriprtd",,"bse_cm|1250IFL29","Ask Qty")</f>
        <v>0</v>
      </c>
      <c r="H1215">
        <f>RTD("nest.scriprtd",,"bse_cm|1250IFL29","LTP")</f>
        <v>0</v>
      </c>
      <c r="I1215" t="str">
        <f>RTD("nest.scriprtd",,"bse_cm|1250IFL29","LTT")</f>
        <v>00:00:00</v>
      </c>
      <c r="J1215">
        <f>RTD("nest.scriprtd",,"bse_cm|1250IFL29","% Change")</f>
        <v>-100</v>
      </c>
      <c r="K1215">
        <f>RTD("nest.scriprtd",,"bse_cm|1250IFL29","ATP")</f>
        <v>0</v>
      </c>
      <c r="L1215">
        <f>RTD("nest.scriprtd",,"bse_cm|1250IFL29","Volume Traded Today")</f>
        <v>0</v>
      </c>
      <c r="M1215">
        <f>RTD("nest.scriprtd",,"bse_cm|1250IFL29","Open")</f>
        <v>0</v>
      </c>
      <c r="N1215">
        <f>RTD("nest.scriprtd",,"bse_cm|1250IFL29","High")</f>
        <v>1000</v>
      </c>
      <c r="O1215">
        <f>RTD("nest.scriprtd",,"bse_cm|1250IFL29","Low ")</f>
        <v>1000</v>
      </c>
      <c r="P1215">
        <f>RTD("nest.scriprtd",,"bse_cm|1250IFL29","Prev Close")</f>
        <v>1000</v>
      </c>
      <c r="Q1215">
        <f>RTD("nest.scriprtd",,"bse_cm|1250IFL29","Face Value")</f>
        <v>1000</v>
      </c>
      <c r="R1215" t="str">
        <f>RTD("nest.scriprtd",,"bse_cm|1250IFL29","Isin code")</f>
        <v>INE01CY077P7</v>
      </c>
      <c r="S1215" s="9">
        <f>Table1[[#This Row],[Ask Rate]]*Table1[[#This Row],[Ask Qty]]</f>
        <v>0</v>
      </c>
      <c r="T1215">
        <f>VLOOKUP(Table1[[#This Row],[Isin code]],Table2[#All],7,FALSE)</f>
        <v>12.5</v>
      </c>
      <c r="U1215" s="17" t="str">
        <f>VLOOKUP(Table1[[#This Row],[Isin code]],Table2[#All],8,FALSE)</f>
        <v>18-Apr-2029</v>
      </c>
      <c r="V1215" s="10">
        <f ca="1">Table1[[#This Row],[Maturity]]-TODAY()</f>
        <v>1645</v>
      </c>
      <c r="W1215" t="str">
        <f>VLOOKUP(Table1[[#This Row],[Isin code]],Table2[#All],10,FALSE)</f>
        <v>Monthly</v>
      </c>
      <c r="X1215">
        <f ca="1">_xlfn.DAYS(Table1[[#This Row],[Maturity]],TODAY())-15</f>
        <v>1630</v>
      </c>
      <c r="Y12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55</v>
      </c>
      <c r="Z1215">
        <f>IF(Table1[[#This Row],[Ask Rate]]=0,0,Table1[[#This Row],[Face Value]]-Table1[[#This Row],[Ask Rate]])</f>
        <v>0</v>
      </c>
      <c r="AA1215">
        <f>IF(Table1[[#This Row],[Freq]]="Yearly",Table1[[#This Row],[Coupon_Rate]]/100,IF(Table1[[#This Row],[Freq]]="Monthly",Table1[[#This Row],[Coupon_Rate]]/1200,IF(Table1[[#This Row],[Freq]]="Quarterly",Table1[[#This Row],[Coupon_Rate]]/400,0)))</f>
        <v>1.0416666666666666E-2</v>
      </c>
      <c r="AB1215">
        <f ca="1">Table1[[#This Row],[Face Value]]*Table1[[#This Row],[Rate]]*Table1[[#This Row],[Time]]</f>
        <v>572.91666666666663</v>
      </c>
      <c r="AC1215">
        <f ca="1">Table1[[#This Row],[SI]]+Table1[[#This Row],[Disc/Prem]]</f>
        <v>572.91666666666663</v>
      </c>
      <c r="AD1215" s="3" t="e">
        <f ca="1">Table1[[#This Row],[Net Gain]]/Table1[[#This Row],[Ask Rate]]</f>
        <v>#DIV/0!</v>
      </c>
      <c r="AE1215" s="3">
        <f>IF(Table1[[#This Row],[Ask Qty]]=0,0,Table1[[#This Row],[Gross Yield]]*365/Table1[[#This Row],[Days Left]])</f>
        <v>0</v>
      </c>
      <c r="AF1215" s="9">
        <f ca="1">+Table1[[#This Row],[Net Gain]]*Table1[[#This Row],[Ask Qty]]</f>
        <v>0</v>
      </c>
      <c r="AG1215" t="str">
        <f>IF(Table1[[#This Row],[YTM]]&gt;0.12,IF(Table1[[#This Row],[Gross Profit]]&gt;10000,"Invest","Review"),"Low YTM")</f>
        <v>Low YTM</v>
      </c>
    </row>
    <row r="1216" spans="1:33" x14ac:dyDescent="0.3">
      <c r="A1216" t="str">
        <f>RTD("nest.scriprtd",,"bse_cm|1225IFL27","Symbol")</f>
        <v>1225IFL27</v>
      </c>
      <c r="B1216" t="str">
        <f>RTD("nest.scriprtd",,"bse_cm|1225IFL27","Trading Symbol")</f>
        <v>1225IFL27</v>
      </c>
      <c r="C1216" t="str">
        <f>RTD("nest.scriprtd",,"bse_cm|1225IFL27","Exchange")</f>
        <v>BSE</v>
      </c>
      <c r="D1216">
        <f>RTD("nest.scriprtd",,"bse_cm|1225IFL27","Bid Qty")</f>
        <v>11</v>
      </c>
      <c r="E1216">
        <f>RTD("nest.scriprtd",,"bse_cm|1225IFL27","Bid Rate")</f>
        <v>822.2</v>
      </c>
      <c r="F1216">
        <f>RTD("nest.scriprtd",,"bse_cm|1225IFL27","Ask Rate")</f>
        <v>0</v>
      </c>
      <c r="G1216">
        <f>RTD("nest.scriprtd",,"bse_cm|1225IFL27","Ask Qty")</f>
        <v>0</v>
      </c>
      <c r="H1216">
        <f>RTD("nest.scriprtd",,"bse_cm|1225IFL27","LTP")</f>
        <v>0</v>
      </c>
      <c r="I1216" t="str">
        <f>RTD("nest.scriprtd",,"bse_cm|1225IFL27","LTT")</f>
        <v>00:00:00</v>
      </c>
      <c r="J1216">
        <f>RTD("nest.scriprtd",,"bse_cm|1225IFL27","% Change")</f>
        <v>-100</v>
      </c>
      <c r="K1216">
        <f>RTD("nest.scriprtd",,"bse_cm|1225IFL27","ATP")</f>
        <v>0</v>
      </c>
      <c r="L1216">
        <f>RTD("nest.scriprtd",,"bse_cm|1225IFL27","Volume Traded Today")</f>
        <v>0</v>
      </c>
      <c r="M1216">
        <f>RTD("nest.scriprtd",,"bse_cm|1225IFL27","Open")</f>
        <v>0</v>
      </c>
      <c r="N1216">
        <f>RTD("nest.scriprtd",,"bse_cm|1225IFL27","High")</f>
        <v>1009</v>
      </c>
      <c r="O1216">
        <f>RTD("nest.scriprtd",,"bse_cm|1225IFL27","Low ")</f>
        <v>1009</v>
      </c>
      <c r="P1216">
        <f>RTD("nest.scriprtd",,"bse_cm|1225IFL27","Prev Close")</f>
        <v>1009</v>
      </c>
      <c r="Q1216">
        <f>RTD("nest.scriprtd",,"bse_cm|1225IFL27","Face Value")</f>
        <v>1000</v>
      </c>
      <c r="R1216" t="str">
        <f>RTD("nest.scriprtd",,"bse_cm|1225IFL27","Isin code")</f>
        <v>INE01CY077M4</v>
      </c>
      <c r="S1216" s="9">
        <f>Table1[[#This Row],[Ask Rate]]*Table1[[#This Row],[Ask Qty]]</f>
        <v>0</v>
      </c>
      <c r="T1216">
        <f>VLOOKUP(Table1[[#This Row],[Isin code]],Table2[#All],7,FALSE)</f>
        <v>12.25</v>
      </c>
      <c r="U1216" s="17" t="str">
        <f>VLOOKUP(Table1[[#This Row],[Isin code]],Table2[#All],8,FALSE)</f>
        <v>19-Apr-2027</v>
      </c>
      <c r="V1216" s="10">
        <f ca="1">Table1[[#This Row],[Maturity]]-TODAY()</f>
        <v>915</v>
      </c>
      <c r="W1216" t="str">
        <f>VLOOKUP(Table1[[#This Row],[Isin code]],Table2[#All],10,FALSE)</f>
        <v>Annual</v>
      </c>
      <c r="X1216">
        <f ca="1">_xlfn.DAYS(Table1[[#This Row],[Maturity]],TODAY())-15</f>
        <v>900</v>
      </c>
      <c r="Y121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16">
        <f>IF(Table1[[#This Row],[Ask Rate]]=0,0,Table1[[#This Row],[Face Value]]-Table1[[#This Row],[Ask Rate]])</f>
        <v>0</v>
      </c>
      <c r="AA121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16">
        <f>Table1[[#This Row],[Face Value]]*Table1[[#This Row],[Rate]]*Table1[[#This Row],[Time]]</f>
        <v>0</v>
      </c>
      <c r="AC1216">
        <f>Table1[[#This Row],[SI]]+Table1[[#This Row],[Disc/Prem]]</f>
        <v>0</v>
      </c>
      <c r="AD1216" s="3" t="e">
        <f>Table1[[#This Row],[Net Gain]]/Table1[[#This Row],[Ask Rate]]</f>
        <v>#DIV/0!</v>
      </c>
      <c r="AE1216" s="3">
        <f>IF(Table1[[#This Row],[Ask Qty]]=0,0,Table1[[#This Row],[Gross Yield]]*365/Table1[[#This Row],[Days Left]])</f>
        <v>0</v>
      </c>
      <c r="AF1216" s="9">
        <f>+Table1[[#This Row],[Net Gain]]*Table1[[#This Row],[Ask Qty]]</f>
        <v>0</v>
      </c>
      <c r="AG1216" t="str">
        <f>IF(Table1[[#This Row],[YTM]]&gt;0.12,IF(Table1[[#This Row],[Gross Profit]]&gt;10000,"Invest","Review"),"Low YTM")</f>
        <v>Low YTM</v>
      </c>
    </row>
    <row r="1217" spans="1:33" x14ac:dyDescent="0.3">
      <c r="A1217" t="str">
        <f>RTD("nest.scriprtd",,"bse_cm|1225ICLF26","Symbol")</f>
        <v>1225ICLF26</v>
      </c>
      <c r="B1217" t="str">
        <f>RTD("nest.scriprtd",,"bse_cm|1225ICLF26","Trading Symbol")</f>
        <v>1225ICLF26</v>
      </c>
      <c r="C1217" t="str">
        <f>RTD("nest.scriprtd",,"bse_cm|1225ICLF26","Exchange")</f>
        <v>BSE</v>
      </c>
      <c r="D1217">
        <f>RTD("nest.scriprtd",,"bse_cm|1225ICLF26","Bid Qty")</f>
        <v>1</v>
      </c>
      <c r="E1217">
        <f>RTD("nest.scriprtd",,"bse_cm|1225ICLF26","Bid Rate")</f>
        <v>864</v>
      </c>
      <c r="F1217">
        <f>RTD("nest.scriprtd",,"bse_cm|1225ICLF26","Ask Rate")</f>
        <v>0</v>
      </c>
      <c r="G1217">
        <f>RTD("nest.scriprtd",,"bse_cm|1225ICLF26","Ask Qty")</f>
        <v>0</v>
      </c>
      <c r="H1217">
        <f>RTD("nest.scriprtd",,"bse_cm|1225ICLF26","LTP")</f>
        <v>0</v>
      </c>
      <c r="I1217" t="str">
        <f>RTD("nest.scriprtd",,"bse_cm|1225ICLF26","LTT")</f>
        <v>00:00:00</v>
      </c>
      <c r="J1217">
        <f>RTD("nest.scriprtd",,"bse_cm|1225ICLF26","% Change")</f>
        <v>-100</v>
      </c>
      <c r="K1217">
        <f>RTD("nest.scriprtd",,"bse_cm|1225ICLF26","ATP")</f>
        <v>0</v>
      </c>
      <c r="L1217">
        <f>RTD("nest.scriprtd",,"bse_cm|1225ICLF26","Volume Traded Today")</f>
        <v>0</v>
      </c>
      <c r="M1217">
        <f>RTD("nest.scriprtd",,"bse_cm|1225ICLF26","Open")</f>
        <v>0</v>
      </c>
      <c r="N1217">
        <f>RTD("nest.scriprtd",,"bse_cm|1225ICLF26","High")</f>
        <v>1005.18</v>
      </c>
      <c r="O1217">
        <f>RTD("nest.scriprtd",,"bse_cm|1225ICLF26","Low ")</f>
        <v>1005.18</v>
      </c>
      <c r="P1217">
        <f>RTD("nest.scriprtd",,"bse_cm|1225ICLF26","Prev Close")</f>
        <v>1005.18</v>
      </c>
      <c r="Q1217">
        <f>RTD("nest.scriprtd",,"bse_cm|1225ICLF26","Face Value")</f>
        <v>1000</v>
      </c>
      <c r="R1217" t="str">
        <f>RTD("nest.scriprtd",,"bse_cm|1225ICLF26","Isin code")</f>
        <v>INE01CY077C5</v>
      </c>
      <c r="S1217" s="9">
        <f>Table1[[#This Row],[Ask Rate]]*Table1[[#This Row],[Ask Qty]]</f>
        <v>0</v>
      </c>
      <c r="T1217">
        <f>VLOOKUP(Table1[[#This Row],[Isin code]],Table2[#All],7,FALSE)</f>
        <v>12.25</v>
      </c>
      <c r="U1217" s="17" t="str">
        <f>VLOOKUP(Table1[[#This Row],[Isin code]],Table2[#All],8,FALSE)</f>
        <v>14-Dec-2026</v>
      </c>
      <c r="V1217" s="10">
        <f ca="1">Table1[[#This Row],[Maturity]]-TODAY()</f>
        <v>789</v>
      </c>
      <c r="W1217" t="str">
        <f>VLOOKUP(Table1[[#This Row],[Isin code]],Table2[#All],10,FALSE)</f>
        <v>Yearly</v>
      </c>
      <c r="X1217">
        <f ca="1">_xlfn.DAYS(Table1[[#This Row],[Maturity]],TODAY())-15</f>
        <v>774</v>
      </c>
      <c r="Y121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217">
        <f>IF(Table1[[#This Row],[Ask Rate]]=0,0,Table1[[#This Row],[Face Value]]-Table1[[#This Row],[Ask Rate]])</f>
        <v>0</v>
      </c>
      <c r="AA1217">
        <f>IF(Table1[[#This Row],[Freq]]="Yearly",Table1[[#This Row],[Coupon_Rate]]/100,IF(Table1[[#This Row],[Freq]]="Monthly",Table1[[#This Row],[Coupon_Rate]]/1200,IF(Table1[[#This Row],[Freq]]="Quarterly",Table1[[#This Row],[Coupon_Rate]]/400,0)))</f>
        <v>0.1225</v>
      </c>
      <c r="AB1217">
        <f ca="1">Table1[[#This Row],[Face Value]]*Table1[[#This Row],[Rate]]*Table1[[#This Row],[Time]]</f>
        <v>367.5</v>
      </c>
      <c r="AC1217">
        <f ca="1">Table1[[#This Row],[SI]]+Table1[[#This Row],[Disc/Prem]]</f>
        <v>367.5</v>
      </c>
      <c r="AD1217" s="3" t="e">
        <f ca="1">Table1[[#This Row],[Net Gain]]/Table1[[#This Row],[Ask Rate]]</f>
        <v>#DIV/0!</v>
      </c>
      <c r="AE1217" s="3">
        <f>IF(Table1[[#This Row],[Ask Qty]]=0,0,Table1[[#This Row],[Gross Yield]]*365/Table1[[#This Row],[Days Left]])</f>
        <v>0</v>
      </c>
      <c r="AF1217" s="9">
        <f ca="1">+Table1[[#This Row],[Net Gain]]*Table1[[#This Row],[Ask Qty]]</f>
        <v>0</v>
      </c>
      <c r="AG1217" t="str">
        <f>IF(Table1[[#This Row],[YTM]]&gt;0.12,IF(Table1[[#This Row],[Gross Profit]]&gt;10000,"Invest","Review"),"Low YTM")</f>
        <v>Low YTM</v>
      </c>
    </row>
    <row r="1218" spans="1:33" x14ac:dyDescent="0.3">
      <c r="A1218" t="str">
        <f>RTD("nest.scriprtd",,"bse_cm|1060MML26","Symbol")</f>
        <v>1060MML26</v>
      </c>
      <c r="B1218" t="str">
        <f>RTD("nest.scriprtd",,"bse_cm|1060MML26","Trading Symbol")</f>
        <v>1060MML26</v>
      </c>
      <c r="C1218" t="str">
        <f>RTD("nest.scriprtd",,"bse_cm|1060MML26","Exchange")</f>
        <v>BSE</v>
      </c>
      <c r="D1218">
        <f>RTD("nest.scriprtd",,"bse_cm|1060MML26","Bid Qty")</f>
        <v>20</v>
      </c>
      <c r="E1218">
        <f>RTD("nest.scriprtd",,"bse_cm|1060MML26","Bid Rate")</f>
        <v>901.7</v>
      </c>
      <c r="F1218">
        <f>RTD("nest.scriprtd",,"bse_cm|1060MML26","Ask Rate")</f>
        <v>0</v>
      </c>
      <c r="G1218">
        <f>RTD("nest.scriprtd",,"bse_cm|1060MML26","Ask Qty")</f>
        <v>0</v>
      </c>
      <c r="H1218">
        <f>RTD("nest.scriprtd",,"bse_cm|1060MML26","LTP")</f>
        <v>0</v>
      </c>
      <c r="I1218" t="str">
        <f>RTD("nest.scriprtd",,"bse_cm|1060MML26","LTT")</f>
        <v>00:00:00</v>
      </c>
      <c r="J1218">
        <f>RTD("nest.scriprtd",,"bse_cm|1060MML26","% Change")</f>
        <v>-100</v>
      </c>
      <c r="K1218">
        <f>RTD("nest.scriprtd",,"bse_cm|1060MML26","ATP")</f>
        <v>0</v>
      </c>
      <c r="L1218">
        <f>RTD("nest.scriprtd",,"bse_cm|1060MML26","Volume Traded Today")</f>
        <v>0</v>
      </c>
      <c r="M1218">
        <f>RTD("nest.scriprtd",,"bse_cm|1060MML26","Open")</f>
        <v>0</v>
      </c>
      <c r="N1218">
        <f>RTD("nest.scriprtd",,"bse_cm|1060MML26","High")</f>
        <v>991.2</v>
      </c>
      <c r="O1218">
        <f>RTD("nest.scriprtd",,"bse_cm|1060MML26","Low ")</f>
        <v>991.2</v>
      </c>
      <c r="P1218">
        <f>RTD("nest.scriprtd",,"bse_cm|1060MML26","Prev Close")</f>
        <v>991.2</v>
      </c>
      <c r="Q1218">
        <f>RTD("nest.scriprtd",,"bse_cm|1060MML26","Face Value")</f>
        <v>1000</v>
      </c>
      <c r="R1218" t="str">
        <f>RTD("nest.scriprtd",,"bse_cm|1060MML26","Isin code")</f>
        <v>INE05F407CI9</v>
      </c>
      <c r="S1218" s="9">
        <f>Table1[[#This Row],[Ask Rate]]*Table1[[#This Row],[Ask Qty]]</f>
        <v>0</v>
      </c>
      <c r="T1218">
        <f>VLOOKUP(Table1[[#This Row],[Isin code]],Table2[#All],7,FALSE)</f>
        <v>10.6</v>
      </c>
      <c r="U1218" s="17" t="str">
        <f>VLOOKUP(Table1[[#This Row],[Isin code]],Table2[#All],8,FALSE)</f>
        <v>27-May-2026</v>
      </c>
      <c r="V1218" s="10">
        <f ca="1">Table1[[#This Row],[Maturity]]-TODAY()</f>
        <v>588</v>
      </c>
      <c r="W1218" t="str">
        <f>VLOOKUP(Table1[[#This Row],[Isin code]],Table2[#All],10,FALSE)</f>
        <v>Monthly</v>
      </c>
      <c r="X1218">
        <f ca="1">_xlfn.DAYS(Table1[[#This Row],[Maturity]],TODAY())-15</f>
        <v>573</v>
      </c>
      <c r="Y12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1218">
        <f>IF(Table1[[#This Row],[Ask Rate]]=0,0,Table1[[#This Row],[Face Value]]-Table1[[#This Row],[Ask Rate]])</f>
        <v>0</v>
      </c>
      <c r="AA1218">
        <f>IF(Table1[[#This Row],[Freq]]="Yearly",Table1[[#This Row],[Coupon_Rate]]/100,IF(Table1[[#This Row],[Freq]]="Monthly",Table1[[#This Row],[Coupon_Rate]]/1200,IF(Table1[[#This Row],[Freq]]="Quarterly",Table1[[#This Row],[Coupon_Rate]]/400,0)))</f>
        <v>8.8333333333333337E-3</v>
      </c>
      <c r="AB1218">
        <f ca="1">Table1[[#This Row],[Face Value]]*Table1[[#This Row],[Rate]]*Table1[[#This Row],[Time]]</f>
        <v>176.66666666666669</v>
      </c>
      <c r="AC1218">
        <f ca="1">Table1[[#This Row],[SI]]+Table1[[#This Row],[Disc/Prem]]</f>
        <v>176.66666666666669</v>
      </c>
      <c r="AD1218" s="3" t="e">
        <f ca="1">Table1[[#This Row],[Net Gain]]/Table1[[#This Row],[Ask Rate]]</f>
        <v>#DIV/0!</v>
      </c>
      <c r="AE1218" s="3">
        <f>IF(Table1[[#This Row],[Ask Qty]]=0,0,Table1[[#This Row],[Gross Yield]]*365/Table1[[#This Row],[Days Left]])</f>
        <v>0</v>
      </c>
      <c r="AF1218" s="9">
        <f ca="1">+Table1[[#This Row],[Net Gain]]*Table1[[#This Row],[Ask Qty]]</f>
        <v>0</v>
      </c>
      <c r="AG1218" t="str">
        <f>IF(Table1[[#This Row],[YTM]]&gt;0.12,IF(Table1[[#This Row],[Gross Profit]]&gt;10000,"Invest","Review"),"Low YTM")</f>
        <v>Low YTM</v>
      </c>
    </row>
    <row r="1219" spans="1:33" x14ac:dyDescent="0.3">
      <c r="A1219" t="str">
        <f>RTD("nest.scriprtd",,"bse_cm|11CCL26","Symbol")</f>
        <v>11CCL26</v>
      </c>
      <c r="B1219" t="str">
        <f>RTD("nest.scriprtd",,"bse_cm|11CCL26","Trading Symbol")</f>
        <v>11CCL26</v>
      </c>
      <c r="C1219" t="str">
        <f>RTD("nest.scriprtd",,"bse_cm|11CCL26","Exchange")</f>
        <v>BSE</v>
      </c>
      <c r="D1219">
        <f>RTD("nest.scriprtd",,"bse_cm|11CCL26","Bid Qty")</f>
        <v>20</v>
      </c>
      <c r="E1219">
        <f>RTD("nest.scriprtd",,"bse_cm|11CCL26","Bid Rate")</f>
        <v>921</v>
      </c>
      <c r="F1219">
        <f>RTD("nest.scriprtd",,"bse_cm|11CCL26","Ask Rate")</f>
        <v>0</v>
      </c>
      <c r="G1219">
        <f>RTD("nest.scriprtd",,"bse_cm|11CCL26","Ask Qty")</f>
        <v>0</v>
      </c>
      <c r="H1219">
        <f>RTD("nest.scriprtd",,"bse_cm|11CCL26","LTP")</f>
        <v>0</v>
      </c>
      <c r="I1219" t="str">
        <f>RTD("nest.scriprtd",,"bse_cm|11CCL26","LTT")</f>
        <v>00:00:00</v>
      </c>
      <c r="J1219">
        <f>RTD("nest.scriprtd",,"bse_cm|11CCL26","% Change")</f>
        <v>-100</v>
      </c>
      <c r="K1219">
        <f>RTD("nest.scriprtd",,"bse_cm|11CCL26","ATP")</f>
        <v>0</v>
      </c>
      <c r="L1219">
        <f>RTD("nest.scriprtd",,"bse_cm|11CCL26","Volume Traded Today")</f>
        <v>0</v>
      </c>
      <c r="M1219">
        <f>RTD("nest.scriprtd",,"bse_cm|11CCL26","Open")</f>
        <v>0</v>
      </c>
      <c r="N1219">
        <f>RTD("nest.scriprtd",,"bse_cm|11CCL26","High")</f>
        <v>975</v>
      </c>
      <c r="O1219">
        <f>RTD("nest.scriprtd",,"bse_cm|11CCL26","Low ")</f>
        <v>975</v>
      </c>
      <c r="P1219">
        <f>RTD("nest.scriprtd",,"bse_cm|11CCL26","Prev Close")</f>
        <v>975</v>
      </c>
      <c r="Q1219">
        <f>RTD("nest.scriprtd",,"bse_cm|11CCL26","Face Value")</f>
        <v>1000</v>
      </c>
      <c r="R1219" t="str">
        <f>RTD("nest.scriprtd",,"bse_cm|11CCL26","Isin code")</f>
        <v>INE051307AJ1</v>
      </c>
      <c r="S1219" s="9">
        <f>Table1[[#This Row],[Ask Rate]]*Table1[[#This Row],[Ask Qty]]</f>
        <v>0</v>
      </c>
      <c r="T1219">
        <f>VLOOKUP(Table1[[#This Row],[Isin code]],Table2[#All],7,FALSE)</f>
        <v>11</v>
      </c>
      <c r="U1219" s="17" t="str">
        <f>VLOOKUP(Table1[[#This Row],[Isin code]],Table2[#All],8,FALSE)</f>
        <v>02-Nov-2026</v>
      </c>
      <c r="V1219" s="10">
        <f ca="1">Table1[[#This Row],[Maturity]]-TODAY()</f>
        <v>747</v>
      </c>
      <c r="W1219" t="str">
        <f>VLOOKUP(Table1[[#This Row],[Isin code]],Table2[#All],10,FALSE)</f>
        <v>Monthly</v>
      </c>
      <c r="X1219">
        <f ca="1">_xlfn.DAYS(Table1[[#This Row],[Maturity]],TODAY())-15</f>
        <v>732</v>
      </c>
      <c r="Y12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25</v>
      </c>
      <c r="Z1219">
        <f>IF(Table1[[#This Row],[Ask Rate]]=0,0,Table1[[#This Row],[Face Value]]-Table1[[#This Row],[Ask Rate]])</f>
        <v>0</v>
      </c>
      <c r="AA1219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1219">
        <f ca="1">Table1[[#This Row],[Face Value]]*Table1[[#This Row],[Rate]]*Table1[[#This Row],[Time]]</f>
        <v>229.16666666666666</v>
      </c>
      <c r="AC1219">
        <f ca="1">Table1[[#This Row],[SI]]+Table1[[#This Row],[Disc/Prem]]</f>
        <v>229.16666666666666</v>
      </c>
      <c r="AD1219" s="3" t="e">
        <f ca="1">Table1[[#This Row],[Net Gain]]/Table1[[#This Row],[Ask Rate]]</f>
        <v>#DIV/0!</v>
      </c>
      <c r="AE1219" s="3">
        <f>IF(Table1[[#This Row],[Ask Qty]]=0,0,Table1[[#This Row],[Gross Yield]]*365/Table1[[#This Row],[Days Left]])</f>
        <v>0</v>
      </c>
      <c r="AF1219" s="9">
        <f ca="1">+Table1[[#This Row],[Net Gain]]*Table1[[#This Row],[Ask Qty]]</f>
        <v>0</v>
      </c>
      <c r="AG1219" t="str">
        <f>IF(Table1[[#This Row],[YTM]]&gt;0.12,IF(Table1[[#This Row],[Gross Profit]]&gt;10000,"Invest","Review"),"Low YTM")</f>
        <v>Low YTM</v>
      </c>
    </row>
    <row r="1220" spans="1:33" x14ac:dyDescent="0.3">
      <c r="A1220" t="str">
        <f>RTD("nest.scriprtd",,"bse_cm|11CCI26","Symbol")</f>
        <v>11CCI26</v>
      </c>
      <c r="B1220" t="str">
        <f>RTD("nest.scriprtd",,"bse_cm|11CCI26","Trading Symbol")</f>
        <v>11CCI26</v>
      </c>
      <c r="C1220" t="str">
        <f>RTD("nest.scriprtd",,"bse_cm|11CCI26","Exchange")</f>
        <v>BSE</v>
      </c>
      <c r="D1220">
        <f>RTD("nest.scriprtd",,"bse_cm|11CCI26","Bid Qty")</f>
        <v>20</v>
      </c>
      <c r="E1220">
        <f>RTD("nest.scriprtd",,"bse_cm|11CCI26","Bid Rate")</f>
        <v>901.8</v>
      </c>
      <c r="F1220">
        <f>RTD("nest.scriprtd",,"bse_cm|11CCI26","Ask Rate")</f>
        <v>0</v>
      </c>
      <c r="G1220">
        <f>RTD("nest.scriprtd",,"bse_cm|11CCI26","Ask Qty")</f>
        <v>0</v>
      </c>
      <c r="H1220">
        <f>RTD("nest.scriprtd",,"bse_cm|11CCI26","LTP")</f>
        <v>0</v>
      </c>
      <c r="I1220" t="str">
        <f>RTD("nest.scriprtd",,"bse_cm|11CCI26","LTT")</f>
        <v>00:00:00</v>
      </c>
      <c r="J1220">
        <f>RTD("nest.scriprtd",,"bse_cm|11CCI26","% Change")</f>
        <v>-100</v>
      </c>
      <c r="K1220">
        <f>RTD("nest.scriprtd",,"bse_cm|11CCI26","ATP")</f>
        <v>0</v>
      </c>
      <c r="L1220">
        <f>RTD("nest.scriprtd",,"bse_cm|11CCI26","Volume Traded Today")</f>
        <v>0</v>
      </c>
      <c r="M1220">
        <f>RTD("nest.scriprtd",,"bse_cm|11CCI26","Open")</f>
        <v>0</v>
      </c>
      <c r="N1220">
        <f>RTD("nest.scriprtd",,"bse_cm|11CCI26","High")</f>
        <v>820</v>
      </c>
      <c r="O1220">
        <f>RTD("nest.scriprtd",,"bse_cm|11CCI26","Low ")</f>
        <v>820</v>
      </c>
      <c r="P1220">
        <f>RTD("nest.scriprtd",,"bse_cm|11CCI26","Prev Close")</f>
        <v>820</v>
      </c>
      <c r="Q1220">
        <f>RTD("nest.scriprtd",,"bse_cm|11CCI26","Face Value")</f>
        <v>1000</v>
      </c>
      <c r="R1220" t="str">
        <f>RTD("nest.scriprtd",,"bse_cm|11CCI26","Isin code")</f>
        <v>INE051307BA8</v>
      </c>
      <c r="S1220" s="9">
        <f>Table1[[#This Row],[Ask Rate]]*Table1[[#This Row],[Ask Qty]]</f>
        <v>0</v>
      </c>
      <c r="T1220">
        <f>VLOOKUP(Table1[[#This Row],[Isin code]],Table2[#All],7,FALSE)</f>
        <v>11</v>
      </c>
      <c r="U1220" s="17" t="str">
        <f>VLOOKUP(Table1[[#This Row],[Isin code]],Table2[#All],8,FALSE)</f>
        <v>13-Aug-2026</v>
      </c>
      <c r="V1220" s="10">
        <f ca="1">Table1[[#This Row],[Maturity]]-TODAY()</f>
        <v>666</v>
      </c>
      <c r="W1220" t="str">
        <f>VLOOKUP(Table1[[#This Row],[Isin code]],Table2[#All],10,FALSE)</f>
        <v>MONTHLY</v>
      </c>
      <c r="X1220">
        <f ca="1">_xlfn.DAYS(Table1[[#This Row],[Maturity]],TODAY())-15</f>
        <v>651</v>
      </c>
      <c r="Y12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1220">
        <f>IF(Table1[[#This Row],[Ask Rate]]=0,0,Table1[[#This Row],[Face Value]]-Table1[[#This Row],[Ask Rate]])</f>
        <v>0</v>
      </c>
      <c r="AA1220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1220">
        <f ca="1">Table1[[#This Row],[Face Value]]*Table1[[#This Row],[Rate]]*Table1[[#This Row],[Time]]</f>
        <v>201.66666666666666</v>
      </c>
      <c r="AC1220">
        <f ca="1">Table1[[#This Row],[SI]]+Table1[[#This Row],[Disc/Prem]]</f>
        <v>201.66666666666666</v>
      </c>
      <c r="AD1220" s="3" t="e">
        <f ca="1">Table1[[#This Row],[Net Gain]]/Table1[[#This Row],[Ask Rate]]</f>
        <v>#DIV/0!</v>
      </c>
      <c r="AE1220" s="3">
        <f>IF(Table1[[#This Row],[Ask Qty]]=0,0,Table1[[#This Row],[Gross Yield]]*365/Table1[[#This Row],[Days Left]])</f>
        <v>0</v>
      </c>
      <c r="AF1220" s="9">
        <f ca="1">+Table1[[#This Row],[Net Gain]]*Table1[[#This Row],[Ask Qty]]</f>
        <v>0</v>
      </c>
      <c r="AG1220" t="str">
        <f>IF(Table1[[#This Row],[YTM]]&gt;0.12,IF(Table1[[#This Row],[Gross Profit]]&gt;10000,"Invest","Review"),"Low YTM")</f>
        <v>Low YTM</v>
      </c>
    </row>
    <row r="1221" spans="1:33" x14ac:dyDescent="0.3">
      <c r="A1221" t="str">
        <f>RTD("nest.scriprtd",,"bse_cm|1175IFL26","Symbol")</f>
        <v>1175IFL26</v>
      </c>
      <c r="B1221" t="str">
        <f>RTD("nest.scriprtd",,"bse_cm|1175IFL26","Trading Symbol")</f>
        <v>1175IFL26</v>
      </c>
      <c r="C1221" t="str">
        <f>RTD("nest.scriprtd",,"bse_cm|1175IFL26","Exchange")</f>
        <v>BSE</v>
      </c>
      <c r="D1221">
        <f>RTD("nest.scriprtd",,"bse_cm|1175IFL26","Bid Qty")</f>
        <v>20</v>
      </c>
      <c r="E1221">
        <f>RTD("nest.scriprtd",,"bse_cm|1175IFL26","Bid Rate")</f>
        <v>830.2</v>
      </c>
      <c r="F1221">
        <f>RTD("nest.scriprtd",,"bse_cm|1175IFL26","Ask Rate")</f>
        <v>0</v>
      </c>
      <c r="G1221">
        <f>RTD("nest.scriprtd",,"bse_cm|1175IFL26","Ask Qty")</f>
        <v>0</v>
      </c>
      <c r="H1221">
        <f>RTD("nest.scriprtd",,"bse_cm|1175IFL26","LTP")</f>
        <v>0</v>
      </c>
      <c r="I1221" t="str">
        <f>RTD("nest.scriprtd",,"bse_cm|1175IFL26","LTT")</f>
        <v>00:00:00</v>
      </c>
      <c r="J1221">
        <f>RTD("nest.scriprtd",,"bse_cm|1175IFL26","% Change")</f>
        <v>-100</v>
      </c>
      <c r="K1221">
        <f>RTD("nest.scriprtd",,"bse_cm|1175IFL26","ATP")</f>
        <v>0</v>
      </c>
      <c r="L1221">
        <f>RTD("nest.scriprtd",,"bse_cm|1175IFL26","Volume Traded Today")</f>
        <v>0</v>
      </c>
      <c r="M1221">
        <f>RTD("nest.scriprtd",,"bse_cm|1175IFL26","Open")</f>
        <v>0</v>
      </c>
      <c r="N1221">
        <f>RTD("nest.scriprtd",,"bse_cm|1175IFL26","High")</f>
        <v>0</v>
      </c>
      <c r="O1221">
        <f>RTD("nest.scriprtd",,"bse_cm|1175IFL26","Low ")</f>
        <v>0</v>
      </c>
      <c r="P1221">
        <f>RTD("nest.scriprtd",,"bse_cm|1175IFL26","Prev Close")</f>
        <v>1000</v>
      </c>
      <c r="Q1221">
        <f>RTD("nest.scriprtd",,"bse_cm|1175IFL26","Face Value")</f>
        <v>1000</v>
      </c>
      <c r="R1221" t="str">
        <f>RTD("nest.scriprtd",,"bse_cm|1175IFL26","Isin code")</f>
        <v>INE01CY077S1</v>
      </c>
      <c r="S1221" s="9">
        <f>Table1[[#This Row],[Ask Rate]]*Table1[[#This Row],[Ask Qty]]</f>
        <v>0</v>
      </c>
      <c r="T1221">
        <f>VLOOKUP(Table1[[#This Row],[Isin code]],Table2[#All],7,FALSE)</f>
        <v>11.75</v>
      </c>
      <c r="U1221" s="17" t="str">
        <f>VLOOKUP(Table1[[#This Row],[Isin code]],Table2[#All],8,FALSE)</f>
        <v>19-Apr-2026</v>
      </c>
      <c r="V1221" s="10">
        <f ca="1">Table1[[#This Row],[Maturity]]-TODAY()</f>
        <v>550</v>
      </c>
      <c r="W1221" t="str">
        <f>VLOOKUP(Table1[[#This Row],[Isin code]],Table2[#All],10,FALSE)</f>
        <v>Annual</v>
      </c>
      <c r="X1221">
        <f ca="1">_xlfn.DAYS(Table1[[#This Row],[Maturity]],TODAY())-15</f>
        <v>535</v>
      </c>
      <c r="Y122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21">
        <f>IF(Table1[[#This Row],[Ask Rate]]=0,0,Table1[[#This Row],[Face Value]]-Table1[[#This Row],[Ask Rate]])</f>
        <v>0</v>
      </c>
      <c r="AA122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21">
        <f>Table1[[#This Row],[Face Value]]*Table1[[#This Row],[Rate]]*Table1[[#This Row],[Time]]</f>
        <v>0</v>
      </c>
      <c r="AC1221">
        <f>Table1[[#This Row],[SI]]+Table1[[#This Row],[Disc/Prem]]</f>
        <v>0</v>
      </c>
      <c r="AD1221" s="3" t="e">
        <f>Table1[[#This Row],[Net Gain]]/Table1[[#This Row],[Ask Rate]]</f>
        <v>#DIV/0!</v>
      </c>
      <c r="AE1221" s="3">
        <f>IF(Table1[[#This Row],[Ask Qty]]=0,0,Table1[[#This Row],[Gross Yield]]*365/Table1[[#This Row],[Days Left]])</f>
        <v>0</v>
      </c>
      <c r="AF1221" s="9">
        <f>+Table1[[#This Row],[Net Gain]]*Table1[[#This Row],[Ask Qty]]</f>
        <v>0</v>
      </c>
      <c r="AG1221" t="str">
        <f>IF(Table1[[#This Row],[YTM]]&gt;0.12,IF(Table1[[#This Row],[Gross Profit]]&gt;10000,"Invest","Review"),"Low YTM")</f>
        <v>Low YTM</v>
      </c>
    </row>
    <row r="1222" spans="1:33" x14ac:dyDescent="0.3">
      <c r="A1222" t="str">
        <f>RTD("nest.scriprtd",,"bse_cm|1175ICLF25","Symbol")</f>
        <v>1175ICLF25</v>
      </c>
      <c r="B1222" t="str">
        <f>RTD("nest.scriprtd",,"bse_cm|1175ICLF25","Trading Symbol")</f>
        <v>1175ICLF25</v>
      </c>
      <c r="C1222" t="str">
        <f>RTD("nest.scriprtd",,"bse_cm|1175ICLF25","Exchange")</f>
        <v>BSE</v>
      </c>
      <c r="D1222">
        <f>RTD("nest.scriprtd",,"bse_cm|1175ICLF25","Bid Qty")</f>
        <v>10</v>
      </c>
      <c r="E1222">
        <f>RTD("nest.scriprtd",,"bse_cm|1175ICLF25","Bid Rate")</f>
        <v>840.2</v>
      </c>
      <c r="F1222">
        <f>RTD("nest.scriprtd",,"bse_cm|1175ICLF25","Ask Rate")</f>
        <v>0</v>
      </c>
      <c r="G1222">
        <f>RTD("nest.scriprtd",,"bse_cm|1175ICLF25","Ask Qty")</f>
        <v>0</v>
      </c>
      <c r="H1222">
        <f>RTD("nest.scriprtd",,"bse_cm|1175ICLF25","LTP")</f>
        <v>0</v>
      </c>
      <c r="I1222" t="str">
        <f>RTD("nest.scriprtd",,"bse_cm|1175ICLF25","LTT")</f>
        <v>00:00:00</v>
      </c>
      <c r="J1222">
        <f>RTD("nest.scriprtd",,"bse_cm|1175ICLF25","% Change")</f>
        <v>-100</v>
      </c>
      <c r="K1222">
        <f>RTD("nest.scriprtd",,"bse_cm|1175ICLF25","ATP")</f>
        <v>0</v>
      </c>
      <c r="L1222">
        <f>RTD("nest.scriprtd",,"bse_cm|1175ICLF25","Volume Traded Today")</f>
        <v>0</v>
      </c>
      <c r="M1222">
        <f>RTD("nest.scriprtd",,"bse_cm|1175ICLF25","Open")</f>
        <v>0</v>
      </c>
      <c r="N1222">
        <f>RTD("nest.scriprtd",,"bse_cm|1175ICLF25","High")</f>
        <v>1021</v>
      </c>
      <c r="O1222">
        <f>RTD("nest.scriprtd",,"bse_cm|1175ICLF25","Low ")</f>
        <v>1021</v>
      </c>
      <c r="P1222">
        <f>RTD("nest.scriprtd",,"bse_cm|1175ICLF25","Prev Close")</f>
        <v>1021</v>
      </c>
      <c r="Q1222">
        <f>RTD("nest.scriprtd",,"bse_cm|1175ICLF25","Face Value")</f>
        <v>1000</v>
      </c>
      <c r="R1222" t="str">
        <f>RTD("nest.scriprtd",,"bse_cm|1175ICLF25","Isin code")</f>
        <v>INE01CY077I2</v>
      </c>
      <c r="S1222" s="9">
        <f>Table1[[#This Row],[Ask Rate]]*Table1[[#This Row],[Ask Qty]]</f>
        <v>0</v>
      </c>
      <c r="T1222">
        <f>VLOOKUP(Table1[[#This Row],[Isin code]],Table2[#All],7,FALSE)</f>
        <v>11.75</v>
      </c>
      <c r="U1222" s="17" t="str">
        <f>VLOOKUP(Table1[[#This Row],[Isin code]],Table2[#All],8,FALSE)</f>
        <v>12-Dec-2025</v>
      </c>
      <c r="V1222" s="10">
        <f ca="1">Table1[[#This Row],[Maturity]]-TODAY()</f>
        <v>422</v>
      </c>
      <c r="W1222" t="str">
        <f>VLOOKUP(Table1[[#This Row],[Isin code]],Table2[#All],10,FALSE)</f>
        <v>Yearly</v>
      </c>
      <c r="X1222">
        <f ca="1">_xlfn.DAYS(Table1[[#This Row],[Maturity]],TODAY())-15</f>
        <v>407</v>
      </c>
      <c r="Y12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22">
        <f>IF(Table1[[#This Row],[Ask Rate]]=0,0,Table1[[#This Row],[Face Value]]-Table1[[#This Row],[Ask Rate]])</f>
        <v>0</v>
      </c>
      <c r="AA1222">
        <f>IF(Table1[[#This Row],[Freq]]="Yearly",Table1[[#This Row],[Coupon_Rate]]/100,IF(Table1[[#This Row],[Freq]]="Monthly",Table1[[#This Row],[Coupon_Rate]]/1200,IF(Table1[[#This Row],[Freq]]="Quarterly",Table1[[#This Row],[Coupon_Rate]]/400,0)))</f>
        <v>0.11749999999999999</v>
      </c>
      <c r="AB1222">
        <f ca="1">Table1[[#This Row],[Face Value]]*Table1[[#This Row],[Rate]]*Table1[[#This Row],[Time]]</f>
        <v>235</v>
      </c>
      <c r="AC1222">
        <f ca="1">Table1[[#This Row],[SI]]+Table1[[#This Row],[Disc/Prem]]</f>
        <v>235</v>
      </c>
      <c r="AD1222" s="3" t="e">
        <f ca="1">Table1[[#This Row],[Net Gain]]/Table1[[#This Row],[Ask Rate]]</f>
        <v>#DIV/0!</v>
      </c>
      <c r="AE1222" s="3">
        <f>IF(Table1[[#This Row],[Ask Qty]]=0,0,Table1[[#This Row],[Gross Yield]]*365/Table1[[#This Row],[Days Left]])</f>
        <v>0</v>
      </c>
      <c r="AF1222" s="9">
        <f ca="1">+Table1[[#This Row],[Net Gain]]*Table1[[#This Row],[Ask Qty]]</f>
        <v>0</v>
      </c>
      <c r="AG1222" t="str">
        <f>IF(Table1[[#This Row],[YTM]]&gt;0.12,IF(Table1[[#This Row],[Gross Profit]]&gt;10000,"Invest","Review"),"Low YTM")</f>
        <v>Low YTM</v>
      </c>
    </row>
    <row r="1223" spans="1:33" x14ac:dyDescent="0.3">
      <c r="A1223" t="str">
        <f>RTD("nest.scriprtd",,"bse_cm|115ICLFL25","Symbol")</f>
        <v>115ICLFL25</v>
      </c>
      <c r="B1223" t="str">
        <f>RTD("nest.scriprtd",,"bse_cm|115ICLFL25","Trading Symbol")</f>
        <v>115ICLFL25</v>
      </c>
      <c r="C1223" t="str">
        <f>RTD("nest.scriprtd",,"bse_cm|115ICLFL25","Exchange")</f>
        <v>BSE</v>
      </c>
      <c r="D1223">
        <f>RTD("nest.scriprtd",,"bse_cm|115ICLFL25","Bid Qty")</f>
        <v>50</v>
      </c>
      <c r="E1223">
        <f>RTD("nest.scriprtd",,"bse_cm|115ICLFL25","Bid Rate")</f>
        <v>940</v>
      </c>
      <c r="F1223">
        <f>RTD("nest.scriprtd",,"bse_cm|115ICLFL25","Ask Rate")</f>
        <v>0</v>
      </c>
      <c r="G1223">
        <f>RTD("nest.scriprtd",,"bse_cm|115ICLFL25","Ask Qty")</f>
        <v>0</v>
      </c>
      <c r="H1223">
        <f>RTD("nest.scriprtd",,"bse_cm|115ICLFL25","LTP")</f>
        <v>0</v>
      </c>
      <c r="I1223" t="str">
        <f>RTD("nest.scriprtd",,"bse_cm|115ICLFL25","LTT")</f>
        <v>00:00:00</v>
      </c>
      <c r="J1223">
        <f>RTD("nest.scriprtd",,"bse_cm|115ICLFL25","% Change")</f>
        <v>-100</v>
      </c>
      <c r="K1223">
        <f>RTD("nest.scriprtd",,"bse_cm|115ICLFL25","ATP")</f>
        <v>0</v>
      </c>
      <c r="L1223">
        <f>RTD("nest.scriprtd",,"bse_cm|115ICLFL25","Volume Traded Today")</f>
        <v>0</v>
      </c>
      <c r="M1223">
        <f>RTD("nest.scriprtd",,"bse_cm|115ICLFL25","Open")</f>
        <v>0</v>
      </c>
      <c r="N1223">
        <f>RTD("nest.scriprtd",,"bse_cm|115ICLFL25","High")</f>
        <v>1000</v>
      </c>
      <c r="O1223">
        <f>RTD("nest.scriprtd",,"bse_cm|115ICLFL25","Low ")</f>
        <v>1000</v>
      </c>
      <c r="P1223">
        <f>RTD("nest.scriprtd",,"bse_cm|115ICLFL25","Prev Close")</f>
        <v>1000</v>
      </c>
      <c r="Q1223">
        <f>RTD("nest.scriprtd",,"bse_cm|115ICLFL25","Face Value")</f>
        <v>1000</v>
      </c>
      <c r="R1223" t="str">
        <f>RTD("nest.scriprtd",,"bse_cm|115ICLFL25","Isin code")</f>
        <v>INE01CY077G6</v>
      </c>
      <c r="S1223" s="9">
        <f>Table1[[#This Row],[Ask Rate]]*Table1[[#This Row],[Ask Qty]]</f>
        <v>0</v>
      </c>
      <c r="T1223">
        <f>VLOOKUP(Table1[[#This Row],[Isin code]],Table2[#All],7,FALSE)</f>
        <v>11.5</v>
      </c>
      <c r="U1223" s="17" t="str">
        <f>VLOOKUP(Table1[[#This Row],[Isin code]],Table2[#All],8,FALSE)</f>
        <v>12-Dec-2025</v>
      </c>
      <c r="V1223" s="10">
        <f ca="1">Table1[[#This Row],[Maturity]]-TODAY()</f>
        <v>422</v>
      </c>
      <c r="W1223" t="str">
        <f>VLOOKUP(Table1[[#This Row],[Isin code]],Table2[#All],10,FALSE)</f>
        <v>MONTHLY</v>
      </c>
      <c r="X1223">
        <f ca="1">_xlfn.DAYS(Table1[[#This Row],[Maturity]],TODAY())-15</f>
        <v>407</v>
      </c>
      <c r="Y12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14</v>
      </c>
      <c r="Z1223">
        <f>IF(Table1[[#This Row],[Ask Rate]]=0,0,Table1[[#This Row],[Face Value]]-Table1[[#This Row],[Ask Rate]])</f>
        <v>0</v>
      </c>
      <c r="AA1223">
        <f>IF(Table1[[#This Row],[Freq]]="Yearly",Table1[[#This Row],[Coupon_Rate]]/100,IF(Table1[[#This Row],[Freq]]="Monthly",Table1[[#This Row],[Coupon_Rate]]/1200,IF(Table1[[#This Row],[Freq]]="Quarterly",Table1[[#This Row],[Coupon_Rate]]/400,0)))</f>
        <v>9.5833333333333326E-3</v>
      </c>
      <c r="AB1223">
        <f ca="1">Table1[[#This Row],[Face Value]]*Table1[[#This Row],[Rate]]*Table1[[#This Row],[Time]]</f>
        <v>134.16666666666666</v>
      </c>
      <c r="AC1223">
        <f ca="1">Table1[[#This Row],[SI]]+Table1[[#This Row],[Disc/Prem]]</f>
        <v>134.16666666666666</v>
      </c>
      <c r="AD1223" s="3" t="e">
        <f ca="1">Table1[[#This Row],[Net Gain]]/Table1[[#This Row],[Ask Rate]]</f>
        <v>#DIV/0!</v>
      </c>
      <c r="AE1223" s="3">
        <f>IF(Table1[[#This Row],[Ask Qty]]=0,0,Table1[[#This Row],[Gross Yield]]*365/Table1[[#This Row],[Days Left]])</f>
        <v>0</v>
      </c>
      <c r="AF1223" s="9">
        <f ca="1">+Table1[[#This Row],[Net Gain]]*Table1[[#This Row],[Ask Qty]]</f>
        <v>0</v>
      </c>
      <c r="AG1223" t="str">
        <f>IF(Table1[[#This Row],[YTM]]&gt;0.12,IF(Table1[[#This Row],[Gross Profit]]&gt;10000,"Invest","Review"),"Low YTM")</f>
        <v>Low YTM</v>
      </c>
    </row>
    <row r="1224" spans="1:33" x14ac:dyDescent="0.3">
      <c r="A1224" t="str">
        <f>RTD("nest.scriprtd",,"bse_cm|1150KLM26","Symbol")</f>
        <v>1150KLM26</v>
      </c>
      <c r="B1224" t="str">
        <f>RTD("nest.scriprtd",,"bse_cm|1150KLM26","Trading Symbol")</f>
        <v>1150KLM26</v>
      </c>
      <c r="C1224" t="str">
        <f>RTD("nest.scriprtd",,"bse_cm|1150KLM26","Exchange")</f>
        <v>BSE</v>
      </c>
      <c r="D1224">
        <f>RTD("nest.scriprtd",,"bse_cm|1150KLM26","Bid Qty")</f>
        <v>40</v>
      </c>
      <c r="E1224">
        <f>RTD("nest.scriprtd",,"bse_cm|1150KLM26","Bid Rate")</f>
        <v>860.2</v>
      </c>
      <c r="F1224">
        <f>RTD("nest.scriprtd",,"bse_cm|1150KLM26","Ask Rate")</f>
        <v>0</v>
      </c>
      <c r="G1224">
        <f>RTD("nest.scriprtd",,"bse_cm|1150KLM26","Ask Qty")</f>
        <v>0</v>
      </c>
      <c r="H1224">
        <f>RTD("nest.scriprtd",,"bse_cm|1150KLM26","LTP")</f>
        <v>0</v>
      </c>
      <c r="I1224" t="str">
        <f>RTD("nest.scriprtd",,"bse_cm|1150KLM26","LTT")</f>
        <v>00:00:00</v>
      </c>
      <c r="J1224">
        <f>RTD("nest.scriprtd",,"bse_cm|1150KLM26","% Change")</f>
        <v>-100</v>
      </c>
      <c r="K1224">
        <f>RTD("nest.scriprtd",,"bse_cm|1150KLM26","ATP")</f>
        <v>0</v>
      </c>
      <c r="L1224">
        <f>RTD("nest.scriprtd",,"bse_cm|1150KLM26","Volume Traded Today")</f>
        <v>0</v>
      </c>
      <c r="M1224">
        <f>RTD("nest.scriprtd",,"bse_cm|1150KLM26","Open")</f>
        <v>0</v>
      </c>
      <c r="N1224">
        <f>RTD("nest.scriprtd",,"bse_cm|1150KLM26","High")</f>
        <v>0</v>
      </c>
      <c r="O1224">
        <f>RTD("nest.scriprtd",,"bse_cm|1150KLM26","Low ")</f>
        <v>0</v>
      </c>
      <c r="P1224">
        <f>RTD("nest.scriprtd",,"bse_cm|1150KLM26","Prev Close")</f>
        <v>977</v>
      </c>
      <c r="Q1224">
        <f>RTD("nest.scriprtd",,"bse_cm|1150KLM26","Face Value")</f>
        <v>1000</v>
      </c>
      <c r="R1224" t="str">
        <f>RTD("nest.scriprtd",,"bse_cm|1150KLM26","Isin code")</f>
        <v>INE01I507380</v>
      </c>
      <c r="S1224" s="9">
        <f>Table1[[#This Row],[Ask Rate]]*Table1[[#This Row],[Ask Qty]]</f>
        <v>0</v>
      </c>
      <c r="T1224">
        <f>VLOOKUP(Table1[[#This Row],[Isin code]],Table2[#All],7,FALSE)</f>
        <v>11.5</v>
      </c>
      <c r="U1224" s="17" t="str">
        <f>VLOOKUP(Table1[[#This Row],[Isin code]],Table2[#All],8,FALSE)</f>
        <v>29-Jul-2026</v>
      </c>
      <c r="V1224" s="10">
        <f ca="1">Table1[[#This Row],[Maturity]]-TODAY()</f>
        <v>651</v>
      </c>
      <c r="W1224" t="str">
        <f>VLOOKUP(Table1[[#This Row],[Isin code]],Table2[#All],10,FALSE)</f>
        <v>Yearly</v>
      </c>
      <c r="X1224">
        <f ca="1">_xlfn.DAYS(Table1[[#This Row],[Maturity]],TODAY())-15</f>
        <v>636</v>
      </c>
      <c r="Y12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24">
        <f>IF(Table1[[#This Row],[Ask Rate]]=0,0,Table1[[#This Row],[Face Value]]-Table1[[#This Row],[Ask Rate]])</f>
        <v>0</v>
      </c>
      <c r="AA1224">
        <f>IF(Table1[[#This Row],[Freq]]="Yearly",Table1[[#This Row],[Coupon_Rate]]/100,IF(Table1[[#This Row],[Freq]]="Monthly",Table1[[#This Row],[Coupon_Rate]]/1200,IF(Table1[[#This Row],[Freq]]="Quarterly",Table1[[#This Row],[Coupon_Rate]]/400,0)))</f>
        <v>0.115</v>
      </c>
      <c r="AB1224">
        <f ca="1">Table1[[#This Row],[Face Value]]*Table1[[#This Row],[Rate]]*Table1[[#This Row],[Time]]</f>
        <v>230</v>
      </c>
      <c r="AC1224">
        <f ca="1">Table1[[#This Row],[SI]]+Table1[[#This Row],[Disc/Prem]]</f>
        <v>230</v>
      </c>
      <c r="AD1224" s="3" t="e">
        <f ca="1">Table1[[#This Row],[Net Gain]]/Table1[[#This Row],[Ask Rate]]</f>
        <v>#DIV/0!</v>
      </c>
      <c r="AE1224" s="3">
        <f>IF(Table1[[#This Row],[Ask Qty]]=0,0,Table1[[#This Row],[Gross Yield]]*365/Table1[[#This Row],[Days Left]])</f>
        <v>0</v>
      </c>
      <c r="AF1224" s="9">
        <f ca="1">+Table1[[#This Row],[Net Gain]]*Table1[[#This Row],[Ask Qty]]</f>
        <v>0</v>
      </c>
      <c r="AG1224" t="str">
        <f>IF(Table1[[#This Row],[YTM]]&gt;0.12,IF(Table1[[#This Row],[Gross Profit]]&gt;10000,"Invest","Review"),"Low YTM")</f>
        <v>Low YTM</v>
      </c>
    </row>
    <row r="1225" spans="1:33" x14ac:dyDescent="0.3">
      <c r="A1225" t="str">
        <f>RTD("nest.scriprtd",,"bse_cm|1150IFL26","Symbol")</f>
        <v>1150IFL26</v>
      </c>
      <c r="B1225" t="str">
        <f>RTD("nest.scriprtd",,"bse_cm|1150IFL26","Trading Symbol")</f>
        <v>1150IFL26</v>
      </c>
      <c r="C1225" t="str">
        <f>RTD("nest.scriprtd",,"bse_cm|1150IFL26","Exchange")</f>
        <v>BSE</v>
      </c>
      <c r="D1225">
        <f>RTD("nest.scriprtd",,"bse_cm|1150IFL26","Bid Qty")</f>
        <v>15</v>
      </c>
      <c r="E1225">
        <f>RTD("nest.scriprtd",,"bse_cm|1150IFL26","Bid Rate")</f>
        <v>825.2</v>
      </c>
      <c r="F1225">
        <f>RTD("nest.scriprtd",,"bse_cm|1150IFL26","Ask Rate")</f>
        <v>0</v>
      </c>
      <c r="G1225">
        <f>RTD("nest.scriprtd",,"bse_cm|1150IFL26","Ask Qty")</f>
        <v>0</v>
      </c>
      <c r="H1225">
        <f>RTD("nest.scriprtd",,"bse_cm|1150IFL26","LTP")</f>
        <v>0</v>
      </c>
      <c r="I1225" t="str">
        <f>RTD("nest.scriprtd",,"bse_cm|1150IFL26","LTT")</f>
        <v>00:00:00</v>
      </c>
      <c r="J1225">
        <f>RTD("nest.scriprtd",,"bse_cm|1150IFL26","% Change")</f>
        <v>-100</v>
      </c>
      <c r="K1225">
        <f>RTD("nest.scriprtd",,"bse_cm|1150IFL26","ATP")</f>
        <v>0</v>
      </c>
      <c r="L1225">
        <f>RTD("nest.scriprtd",,"bse_cm|1150IFL26","Volume Traded Today")</f>
        <v>0</v>
      </c>
      <c r="M1225">
        <f>RTD("nest.scriprtd",,"bse_cm|1150IFL26","Open")</f>
        <v>0</v>
      </c>
      <c r="N1225">
        <f>RTD("nest.scriprtd",,"bse_cm|1150IFL26","High")</f>
        <v>0</v>
      </c>
      <c r="O1225">
        <f>RTD("nest.scriprtd",,"bse_cm|1150IFL26","Low ")</f>
        <v>0</v>
      </c>
      <c r="P1225">
        <f>RTD("nest.scriprtd",,"bse_cm|1150IFL26","Prev Close")</f>
        <v>1000</v>
      </c>
      <c r="Q1225">
        <f>RTD("nest.scriprtd",,"bse_cm|1150IFL26","Face Value")</f>
        <v>1000</v>
      </c>
      <c r="R1225" t="str">
        <f>RTD("nest.scriprtd",,"bse_cm|1150IFL26","Isin code")</f>
        <v>INE01CY077T9</v>
      </c>
      <c r="S1225" s="9">
        <f>Table1[[#This Row],[Ask Rate]]*Table1[[#This Row],[Ask Qty]]</f>
        <v>0</v>
      </c>
      <c r="T1225">
        <f>VLOOKUP(Table1[[#This Row],[Isin code]],Table2[#All],7,FALSE)</f>
        <v>11.5</v>
      </c>
      <c r="U1225" s="17" t="str">
        <f>VLOOKUP(Table1[[#This Row],[Isin code]],Table2[#All],8,FALSE)</f>
        <v>19-Apr-2026</v>
      </c>
      <c r="V1225" s="10">
        <f ca="1">Table1[[#This Row],[Maturity]]-TODAY()</f>
        <v>550</v>
      </c>
      <c r="W1225" t="str">
        <f>VLOOKUP(Table1[[#This Row],[Isin code]],Table2[#All],10,FALSE)</f>
        <v>Monthly</v>
      </c>
      <c r="X1225">
        <f ca="1">_xlfn.DAYS(Table1[[#This Row],[Maturity]],TODAY())-15</f>
        <v>535</v>
      </c>
      <c r="Y12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1225">
        <f>IF(Table1[[#This Row],[Ask Rate]]=0,0,Table1[[#This Row],[Face Value]]-Table1[[#This Row],[Ask Rate]])</f>
        <v>0</v>
      </c>
      <c r="AA1225">
        <f>IF(Table1[[#This Row],[Freq]]="Yearly",Table1[[#This Row],[Coupon_Rate]]/100,IF(Table1[[#This Row],[Freq]]="Monthly",Table1[[#This Row],[Coupon_Rate]]/1200,IF(Table1[[#This Row],[Freq]]="Quarterly",Table1[[#This Row],[Coupon_Rate]]/400,0)))</f>
        <v>9.5833333333333326E-3</v>
      </c>
      <c r="AB1225">
        <f ca="1">Table1[[#This Row],[Face Value]]*Table1[[#This Row],[Rate]]*Table1[[#This Row],[Time]]</f>
        <v>172.49999999999997</v>
      </c>
      <c r="AC1225">
        <f ca="1">Table1[[#This Row],[SI]]+Table1[[#This Row],[Disc/Prem]]</f>
        <v>172.49999999999997</v>
      </c>
      <c r="AD1225" s="3" t="e">
        <f ca="1">Table1[[#This Row],[Net Gain]]/Table1[[#This Row],[Ask Rate]]</f>
        <v>#DIV/0!</v>
      </c>
      <c r="AE1225" s="3">
        <f>IF(Table1[[#This Row],[Ask Qty]]=0,0,Table1[[#This Row],[Gross Yield]]*365/Table1[[#This Row],[Days Left]])</f>
        <v>0</v>
      </c>
      <c r="AF1225" s="9">
        <f ca="1">+Table1[[#This Row],[Net Gain]]*Table1[[#This Row],[Ask Qty]]</f>
        <v>0</v>
      </c>
      <c r="AG1225" t="str">
        <f>IF(Table1[[#This Row],[YTM]]&gt;0.12,IF(Table1[[#This Row],[Gross Profit]]&gt;10000,"Invest","Review"),"Low YTM")</f>
        <v>Low YTM</v>
      </c>
    </row>
    <row r="1226" spans="1:33" x14ac:dyDescent="0.3">
      <c r="A1226" t="str">
        <f>RTD("nest.scriprtd",,"bse_cm|1125KLM26A","Symbol")</f>
        <v>1125KLM26A</v>
      </c>
      <c r="B1226" t="str">
        <f>RTD("nest.scriprtd",,"bse_cm|1125KLM26A","Trading Symbol")</f>
        <v>1125KLM26A</v>
      </c>
      <c r="C1226" t="str">
        <f>RTD("nest.scriprtd",,"bse_cm|1125KLM26A","Exchange")</f>
        <v>BSE</v>
      </c>
      <c r="D1226">
        <f>RTD("nest.scriprtd",,"bse_cm|1125KLM26A","Bid Qty")</f>
        <v>20</v>
      </c>
      <c r="E1226">
        <f>RTD("nest.scriprtd",,"bse_cm|1125KLM26A","Bid Rate")</f>
        <v>832.4</v>
      </c>
      <c r="F1226">
        <f>RTD("nest.scriprtd",,"bse_cm|1125KLM26A","Ask Rate")</f>
        <v>0</v>
      </c>
      <c r="G1226">
        <f>RTD("nest.scriprtd",,"bse_cm|1125KLM26A","Ask Qty")</f>
        <v>0</v>
      </c>
      <c r="H1226">
        <f>RTD("nest.scriprtd",,"bse_cm|1125KLM26A","LTP")</f>
        <v>0</v>
      </c>
      <c r="I1226" t="str">
        <f>RTD("nest.scriprtd",,"bse_cm|1125KLM26A","LTT")</f>
        <v>00:00:00</v>
      </c>
      <c r="J1226">
        <f>RTD("nest.scriprtd",,"bse_cm|1125KLM26A","% Change")</f>
        <v>-100</v>
      </c>
      <c r="K1226">
        <f>RTD("nest.scriprtd",,"bse_cm|1125KLM26A","ATP")</f>
        <v>0</v>
      </c>
      <c r="L1226">
        <f>RTD("nest.scriprtd",,"bse_cm|1125KLM26A","Volume Traded Today")</f>
        <v>0</v>
      </c>
      <c r="M1226">
        <f>RTD("nest.scriprtd",,"bse_cm|1125KLM26A","Open")</f>
        <v>0</v>
      </c>
      <c r="N1226">
        <f>RTD("nest.scriprtd",,"bse_cm|1125KLM26A","High")</f>
        <v>0</v>
      </c>
      <c r="O1226">
        <f>RTD("nest.scriprtd",,"bse_cm|1125KLM26A","Low ")</f>
        <v>0</v>
      </c>
      <c r="P1226">
        <f>RTD("nest.scriprtd",,"bse_cm|1125KLM26A","Prev Close")</f>
        <v>1000</v>
      </c>
      <c r="Q1226">
        <f>RTD("nest.scriprtd",,"bse_cm|1125KLM26A","Face Value")</f>
        <v>1000</v>
      </c>
      <c r="R1226" t="str">
        <f>RTD("nest.scriprtd",,"bse_cm|1125KLM26A","Isin code")</f>
        <v>INE01I507489</v>
      </c>
      <c r="S1226" s="9">
        <f>Table1[[#This Row],[Ask Rate]]*Table1[[#This Row],[Ask Qty]]</f>
        <v>0</v>
      </c>
      <c r="T1226">
        <f>VLOOKUP(Table1[[#This Row],[Isin code]],Table2[#All],7,FALSE)</f>
        <v>11.25</v>
      </c>
      <c r="U1226" s="17" t="str">
        <f>VLOOKUP(Table1[[#This Row],[Isin code]],Table2[#All],8,FALSE)</f>
        <v>31-Oct-2026</v>
      </c>
      <c r="V1226" s="10">
        <f ca="1">Table1[[#This Row],[Maturity]]-TODAY()</f>
        <v>745</v>
      </c>
      <c r="W1226" t="str">
        <f>VLOOKUP(Table1[[#This Row],[Isin code]],Table2[#All],10,FALSE)</f>
        <v>Yearly</v>
      </c>
      <c r="X1226">
        <f ca="1">_xlfn.DAYS(Table1[[#This Row],[Maturity]],TODAY())-15</f>
        <v>730</v>
      </c>
      <c r="Y12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226">
        <f>IF(Table1[[#This Row],[Ask Rate]]=0,0,Table1[[#This Row],[Face Value]]-Table1[[#This Row],[Ask Rate]])</f>
        <v>0</v>
      </c>
      <c r="AA1226">
        <f>IF(Table1[[#This Row],[Freq]]="Yearly",Table1[[#This Row],[Coupon_Rate]]/100,IF(Table1[[#This Row],[Freq]]="Monthly",Table1[[#This Row],[Coupon_Rate]]/1200,IF(Table1[[#This Row],[Freq]]="Quarterly",Table1[[#This Row],[Coupon_Rate]]/400,0)))</f>
        <v>0.1125</v>
      </c>
      <c r="AB1226">
        <f ca="1">Table1[[#This Row],[Face Value]]*Table1[[#This Row],[Rate]]*Table1[[#This Row],[Time]]</f>
        <v>225</v>
      </c>
      <c r="AC1226">
        <f ca="1">Table1[[#This Row],[SI]]+Table1[[#This Row],[Disc/Prem]]</f>
        <v>225</v>
      </c>
      <c r="AD1226" s="3" t="e">
        <f ca="1">Table1[[#This Row],[Net Gain]]/Table1[[#This Row],[Ask Rate]]</f>
        <v>#DIV/0!</v>
      </c>
      <c r="AE1226" s="3">
        <f>IF(Table1[[#This Row],[Ask Qty]]=0,0,Table1[[#This Row],[Gross Yield]]*365/Table1[[#This Row],[Days Left]])</f>
        <v>0</v>
      </c>
      <c r="AF1226" s="9">
        <f ca="1">+Table1[[#This Row],[Net Gain]]*Table1[[#This Row],[Ask Qty]]</f>
        <v>0</v>
      </c>
      <c r="AG1226" t="str">
        <f>IF(Table1[[#This Row],[YTM]]&gt;0.12,IF(Table1[[#This Row],[Gross Profit]]&gt;10000,"Invest","Review"),"Low YTM")</f>
        <v>Low YTM</v>
      </c>
    </row>
    <row r="1227" spans="1:33" x14ac:dyDescent="0.3">
      <c r="A1227" t="str">
        <f>RTD("nest.scriprtd",,"bse_cm|1125KLM26","Symbol")</f>
        <v>1125KLM26</v>
      </c>
      <c r="B1227" t="str">
        <f>RTD("nest.scriprtd",,"bse_cm|1125KLM26","Trading Symbol")</f>
        <v>1125KLM26</v>
      </c>
      <c r="C1227" t="str">
        <f>RTD("nest.scriprtd",,"bse_cm|1125KLM26","Exchange")</f>
        <v>BSE</v>
      </c>
      <c r="D1227">
        <f>RTD("nest.scriprtd",,"bse_cm|1125KLM26","Bid Qty")</f>
        <v>3</v>
      </c>
      <c r="E1227">
        <f>RTD("nest.scriprtd",,"bse_cm|1125KLM26","Bid Rate")</f>
        <v>979</v>
      </c>
      <c r="F1227">
        <f>RTD("nest.scriprtd",,"bse_cm|1125KLM26","Ask Rate")</f>
        <v>0</v>
      </c>
      <c r="G1227">
        <f>RTD("nest.scriprtd",,"bse_cm|1125KLM26","Ask Qty")</f>
        <v>0</v>
      </c>
      <c r="H1227">
        <f>RTD("nest.scriprtd",,"bse_cm|1125KLM26","LTP")</f>
        <v>0</v>
      </c>
      <c r="I1227" t="str">
        <f>RTD("nest.scriprtd",,"bse_cm|1125KLM26","LTT")</f>
        <v>00:00:00</v>
      </c>
      <c r="J1227">
        <f>RTD("nest.scriprtd",,"bse_cm|1125KLM26","% Change")</f>
        <v>-100</v>
      </c>
      <c r="K1227">
        <f>RTD("nest.scriprtd",,"bse_cm|1125KLM26","ATP")</f>
        <v>0</v>
      </c>
      <c r="L1227">
        <f>RTD("nest.scriprtd",,"bse_cm|1125KLM26","Volume Traded Today")</f>
        <v>0</v>
      </c>
      <c r="M1227">
        <f>RTD("nest.scriprtd",,"bse_cm|1125KLM26","Open")</f>
        <v>0</v>
      </c>
      <c r="N1227">
        <f>RTD("nest.scriprtd",,"bse_cm|1125KLM26","High")</f>
        <v>1010</v>
      </c>
      <c r="O1227">
        <f>RTD("nest.scriprtd",,"bse_cm|1125KLM26","Low ")</f>
        <v>1000</v>
      </c>
      <c r="P1227">
        <f>RTD("nest.scriprtd",,"bse_cm|1125KLM26","Prev Close")</f>
        <v>1000</v>
      </c>
      <c r="Q1227">
        <f>RTD("nest.scriprtd",,"bse_cm|1125KLM26","Face Value")</f>
        <v>1000</v>
      </c>
      <c r="R1227" t="str">
        <f>RTD("nest.scriprtd",,"bse_cm|1125KLM26","Isin code")</f>
        <v>INE01I507372</v>
      </c>
      <c r="S1227" s="9">
        <f>Table1[[#This Row],[Ask Rate]]*Table1[[#This Row],[Ask Qty]]</f>
        <v>0</v>
      </c>
      <c r="T1227">
        <f>VLOOKUP(Table1[[#This Row],[Isin code]],Table2[#All],7,FALSE)</f>
        <v>11.25</v>
      </c>
      <c r="U1227" s="17" t="str">
        <f>VLOOKUP(Table1[[#This Row],[Isin code]],Table2[#All],8,FALSE)</f>
        <v>29-Jul-2026</v>
      </c>
      <c r="V1227" s="10">
        <f ca="1">Table1[[#This Row],[Maturity]]-TODAY()</f>
        <v>651</v>
      </c>
      <c r="W1227" t="str">
        <f>VLOOKUP(Table1[[#This Row],[Isin code]],Table2[#All],10,FALSE)</f>
        <v>Monthly</v>
      </c>
      <c r="X1227">
        <f ca="1">_xlfn.DAYS(Table1[[#This Row],[Maturity]],TODAY())-15</f>
        <v>636</v>
      </c>
      <c r="Y12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1227">
        <f>IF(Table1[[#This Row],[Ask Rate]]=0,0,Table1[[#This Row],[Face Value]]-Table1[[#This Row],[Ask Rate]])</f>
        <v>0</v>
      </c>
      <c r="AA1227">
        <f>IF(Table1[[#This Row],[Freq]]="Yearly",Table1[[#This Row],[Coupon_Rate]]/100,IF(Table1[[#This Row],[Freq]]="Monthly",Table1[[#This Row],[Coupon_Rate]]/1200,IF(Table1[[#This Row],[Freq]]="Quarterly",Table1[[#This Row],[Coupon_Rate]]/400,0)))</f>
        <v>9.3749999999999997E-3</v>
      </c>
      <c r="AB1227">
        <f ca="1">Table1[[#This Row],[Face Value]]*Table1[[#This Row],[Rate]]*Table1[[#This Row],[Time]]</f>
        <v>206.25</v>
      </c>
      <c r="AC1227">
        <f ca="1">Table1[[#This Row],[SI]]+Table1[[#This Row],[Disc/Prem]]</f>
        <v>206.25</v>
      </c>
      <c r="AD1227" s="3" t="e">
        <f ca="1">Table1[[#This Row],[Net Gain]]/Table1[[#This Row],[Ask Rate]]</f>
        <v>#DIV/0!</v>
      </c>
      <c r="AE1227" s="3">
        <f>IF(Table1[[#This Row],[Ask Qty]]=0,0,Table1[[#This Row],[Gross Yield]]*365/Table1[[#This Row],[Days Left]])</f>
        <v>0</v>
      </c>
      <c r="AF1227" s="9">
        <f ca="1">+Table1[[#This Row],[Net Gain]]*Table1[[#This Row],[Ask Qty]]</f>
        <v>0</v>
      </c>
      <c r="AG1227" t="str">
        <f>IF(Table1[[#This Row],[YTM]]&gt;0.12,IF(Table1[[#This Row],[Gross Profit]]&gt;10000,"Invest","Review"),"Low YTM")</f>
        <v>Low YTM</v>
      </c>
    </row>
    <row r="1228" spans="1:33" x14ac:dyDescent="0.3">
      <c r="A1228" t="str">
        <f>RTD("nest.scriprtd",,"bse_cm|1125KAFL27","Symbol")</f>
        <v>1125KAFL27</v>
      </c>
      <c r="B1228" t="str">
        <f>RTD("nest.scriprtd",,"bse_cm|1125KAFL27","Trading Symbol")</f>
        <v>1125KAFL27</v>
      </c>
      <c r="C1228" t="str">
        <f>RTD("nest.scriprtd",,"bse_cm|1125KAFL27","Exchange")</f>
        <v>BSE</v>
      </c>
      <c r="D1228">
        <f>RTD("nest.scriprtd",,"bse_cm|1125KAFL27","Bid Qty")</f>
        <v>25</v>
      </c>
      <c r="E1228">
        <f>RTD("nest.scriprtd",,"bse_cm|1125KAFL27","Bid Rate")</f>
        <v>870.21</v>
      </c>
      <c r="F1228">
        <f>RTD("nest.scriprtd",,"bse_cm|1125KAFL27","Ask Rate")</f>
        <v>0</v>
      </c>
      <c r="G1228">
        <f>RTD("nest.scriprtd",,"bse_cm|1125KAFL27","Ask Qty")</f>
        <v>0</v>
      </c>
      <c r="H1228">
        <f>RTD("nest.scriprtd",,"bse_cm|1125KAFL27","LTP")</f>
        <v>0</v>
      </c>
      <c r="I1228" t="str">
        <f>RTD("nest.scriprtd",,"bse_cm|1125KAFL27","LTT")</f>
        <v>00:00:00</v>
      </c>
      <c r="J1228">
        <f>RTD("nest.scriprtd",,"bse_cm|1125KAFL27","% Change")</f>
        <v>-100</v>
      </c>
      <c r="K1228">
        <f>RTD("nest.scriprtd",,"bse_cm|1125KAFL27","ATP")</f>
        <v>0</v>
      </c>
      <c r="L1228">
        <f>RTD("nest.scriprtd",,"bse_cm|1125KAFL27","Volume Traded Today")</f>
        <v>0</v>
      </c>
      <c r="M1228">
        <f>RTD("nest.scriprtd",,"bse_cm|1125KAFL27","Open")</f>
        <v>0</v>
      </c>
      <c r="N1228">
        <f>RTD("nest.scriprtd",,"bse_cm|1125KAFL27","High")</f>
        <v>0</v>
      </c>
      <c r="O1228">
        <f>RTD("nest.scriprtd",,"bse_cm|1125KAFL27","Low ")</f>
        <v>0</v>
      </c>
      <c r="P1228">
        <f>RTD("nest.scriprtd",,"bse_cm|1125KAFL27","Prev Close")</f>
        <v>1000</v>
      </c>
      <c r="Q1228">
        <f>RTD("nest.scriprtd",,"bse_cm|1125KAFL27","Face Value")</f>
        <v>1000</v>
      </c>
      <c r="R1228" t="str">
        <f>RTD("nest.scriprtd",,"bse_cm|1125KAFL27","Isin code")</f>
        <v>INE01I507588</v>
      </c>
      <c r="S1228" s="9">
        <f>Table1[[#This Row],[Ask Rate]]*Table1[[#This Row],[Ask Qty]]</f>
        <v>0</v>
      </c>
      <c r="T1228">
        <f>VLOOKUP(Table1[[#This Row],[Isin code]],Table2[#All],7,FALSE)</f>
        <v>11.25</v>
      </c>
      <c r="U1228" s="17" t="str">
        <f>VLOOKUP(Table1[[#This Row],[Isin code]],Table2[#All],8,FALSE)</f>
        <v>16-Mar-2027</v>
      </c>
      <c r="V1228" s="10">
        <f ca="1">Table1[[#This Row],[Maturity]]-TODAY()</f>
        <v>881</v>
      </c>
      <c r="W1228" t="str">
        <f>VLOOKUP(Table1[[#This Row],[Isin code]],Table2[#All],10,FALSE)</f>
        <v>Yearly</v>
      </c>
      <c r="X1228">
        <f ca="1">_xlfn.DAYS(Table1[[#This Row],[Maturity]],TODAY())-15</f>
        <v>866</v>
      </c>
      <c r="Y12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228">
        <f>IF(Table1[[#This Row],[Ask Rate]]=0,0,Table1[[#This Row],[Face Value]]-Table1[[#This Row],[Ask Rate]])</f>
        <v>0</v>
      </c>
      <c r="AA1228">
        <f>IF(Table1[[#This Row],[Freq]]="Yearly",Table1[[#This Row],[Coupon_Rate]]/100,IF(Table1[[#This Row],[Freq]]="Monthly",Table1[[#This Row],[Coupon_Rate]]/1200,IF(Table1[[#This Row],[Freq]]="Quarterly",Table1[[#This Row],[Coupon_Rate]]/400,0)))</f>
        <v>0.1125</v>
      </c>
      <c r="AB1228">
        <f ca="1">Table1[[#This Row],[Face Value]]*Table1[[#This Row],[Rate]]*Table1[[#This Row],[Time]]</f>
        <v>337.5</v>
      </c>
      <c r="AC1228">
        <f ca="1">Table1[[#This Row],[SI]]+Table1[[#This Row],[Disc/Prem]]</f>
        <v>337.5</v>
      </c>
      <c r="AD1228" s="3" t="e">
        <f ca="1">Table1[[#This Row],[Net Gain]]/Table1[[#This Row],[Ask Rate]]</f>
        <v>#DIV/0!</v>
      </c>
      <c r="AE1228" s="3">
        <f>IF(Table1[[#This Row],[Ask Qty]]=0,0,Table1[[#This Row],[Gross Yield]]*365/Table1[[#This Row],[Days Left]])</f>
        <v>0</v>
      </c>
      <c r="AF1228" s="9">
        <f ca="1">+Table1[[#This Row],[Net Gain]]*Table1[[#This Row],[Ask Qty]]</f>
        <v>0</v>
      </c>
      <c r="AG1228" t="str">
        <f>IF(Table1[[#This Row],[YTM]]&gt;0.12,IF(Table1[[#This Row],[Gross Profit]]&gt;10000,"Invest","Review"),"Low YTM")</f>
        <v>Low YTM</v>
      </c>
    </row>
    <row r="1229" spans="1:33" x14ac:dyDescent="0.3">
      <c r="A1229" t="str">
        <f>RTD("nest.scriprtd",,"bse_cm|1125CCI27","Symbol")</f>
        <v>1125CCI27</v>
      </c>
      <c r="B1229" t="str">
        <f>RTD("nest.scriprtd",,"bse_cm|1125CCI27","Trading Symbol")</f>
        <v>1125CCI27</v>
      </c>
      <c r="C1229" t="str">
        <f>RTD("nest.scriprtd",,"bse_cm|1125CCI27","Exchange")</f>
        <v>BSE</v>
      </c>
      <c r="D1229">
        <f>RTD("nest.scriprtd",,"bse_cm|1125CCI27","Bid Qty")</f>
        <v>10</v>
      </c>
      <c r="E1229">
        <f>RTD("nest.scriprtd",,"bse_cm|1125CCI27","Bid Rate")</f>
        <v>824.2</v>
      </c>
      <c r="F1229">
        <f>RTD("nest.scriprtd",,"bse_cm|1125CCI27","Ask Rate")</f>
        <v>0</v>
      </c>
      <c r="G1229">
        <f>RTD("nest.scriprtd",,"bse_cm|1125CCI27","Ask Qty")</f>
        <v>0</v>
      </c>
      <c r="H1229">
        <f>RTD("nest.scriprtd",,"bse_cm|1125CCI27","LTP")</f>
        <v>0</v>
      </c>
      <c r="I1229" t="str">
        <f>RTD("nest.scriprtd",,"bse_cm|1125CCI27","LTT")</f>
        <v>00:00:00</v>
      </c>
      <c r="J1229">
        <f>RTD("nest.scriprtd",,"bse_cm|1125CCI27","% Change")</f>
        <v>-100</v>
      </c>
      <c r="K1229">
        <f>RTD("nest.scriprtd",,"bse_cm|1125CCI27","ATP")</f>
        <v>0</v>
      </c>
      <c r="L1229">
        <f>RTD("nest.scriprtd",,"bse_cm|1125CCI27","Volume Traded Today")</f>
        <v>0</v>
      </c>
      <c r="M1229">
        <f>RTD("nest.scriprtd",,"bse_cm|1125CCI27","Open")</f>
        <v>0</v>
      </c>
      <c r="N1229">
        <f>RTD("nest.scriprtd",,"bse_cm|1125CCI27","High")</f>
        <v>0</v>
      </c>
      <c r="O1229">
        <f>RTD("nest.scriprtd",,"bse_cm|1125CCI27","Low ")</f>
        <v>0</v>
      </c>
      <c r="P1229">
        <f>RTD("nest.scriprtd",,"bse_cm|1125CCI27","Prev Close")</f>
        <v>1000</v>
      </c>
      <c r="Q1229">
        <f>RTD("nest.scriprtd",,"bse_cm|1125CCI27","Face Value")</f>
        <v>1000</v>
      </c>
      <c r="R1229" t="str">
        <f>RTD("nest.scriprtd",,"bse_cm|1125CCI27","Isin code")</f>
        <v>INE051307BB6</v>
      </c>
      <c r="S1229" s="9">
        <f>Table1[[#This Row],[Ask Rate]]*Table1[[#This Row],[Ask Qty]]</f>
        <v>0</v>
      </c>
      <c r="T1229">
        <f>VLOOKUP(Table1[[#This Row],[Isin code]],Table2[#All],7,FALSE)</f>
        <v>11.25</v>
      </c>
      <c r="U1229" s="17" t="str">
        <f>VLOOKUP(Table1[[#This Row],[Isin code]],Table2[#All],8,FALSE)</f>
        <v>13-Aug-2027</v>
      </c>
      <c r="V1229" s="10">
        <f ca="1">Table1[[#This Row],[Maturity]]-TODAY()</f>
        <v>1031</v>
      </c>
      <c r="W1229" t="str">
        <f>VLOOKUP(Table1[[#This Row],[Isin code]],Table2[#All],10,FALSE)</f>
        <v>MONTHLY</v>
      </c>
      <c r="X1229">
        <f ca="1">_xlfn.DAYS(Table1[[#This Row],[Maturity]],TODAY())-15</f>
        <v>1016</v>
      </c>
      <c r="Y122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34</v>
      </c>
      <c r="Z1229">
        <f>IF(Table1[[#This Row],[Ask Rate]]=0,0,Table1[[#This Row],[Face Value]]-Table1[[#This Row],[Ask Rate]])</f>
        <v>0</v>
      </c>
      <c r="AA1229">
        <f>IF(Table1[[#This Row],[Freq]]="Yearly",Table1[[#This Row],[Coupon_Rate]]/100,IF(Table1[[#This Row],[Freq]]="Monthly",Table1[[#This Row],[Coupon_Rate]]/1200,IF(Table1[[#This Row],[Freq]]="Quarterly",Table1[[#This Row],[Coupon_Rate]]/400,0)))</f>
        <v>9.3749999999999997E-3</v>
      </c>
      <c r="AB1229">
        <f ca="1">Table1[[#This Row],[Face Value]]*Table1[[#This Row],[Rate]]*Table1[[#This Row],[Time]]</f>
        <v>318.75</v>
      </c>
      <c r="AC1229">
        <f ca="1">Table1[[#This Row],[SI]]+Table1[[#This Row],[Disc/Prem]]</f>
        <v>318.75</v>
      </c>
      <c r="AD1229" s="3" t="e">
        <f ca="1">Table1[[#This Row],[Net Gain]]/Table1[[#This Row],[Ask Rate]]</f>
        <v>#DIV/0!</v>
      </c>
      <c r="AE1229" s="3">
        <f>IF(Table1[[#This Row],[Ask Qty]]=0,0,Table1[[#This Row],[Gross Yield]]*365/Table1[[#This Row],[Days Left]])</f>
        <v>0</v>
      </c>
      <c r="AF1229" s="9">
        <f ca="1">+Table1[[#This Row],[Net Gain]]*Table1[[#This Row],[Ask Qty]]</f>
        <v>0</v>
      </c>
      <c r="AG1229" t="str">
        <f>IF(Table1[[#This Row],[YTM]]&gt;0.12,IF(Table1[[#This Row],[Gross Profit]]&gt;10000,"Invest","Review"),"Low YTM")</f>
        <v>Low YTM</v>
      </c>
    </row>
    <row r="1230" spans="1:33" x14ac:dyDescent="0.3">
      <c r="A1230" t="str">
        <f>RTD("nest.scriprtd",,"bse_cm|875IHFL29","Symbol")</f>
        <v>875IHFL29</v>
      </c>
      <c r="B1230" t="str">
        <f>RTD("nest.scriprtd",,"bse_cm|875IHFL29","Trading Symbol")</f>
        <v>875IHFL29</v>
      </c>
      <c r="C1230" t="str">
        <f>RTD("nest.scriprtd",,"bse_cm|875IHFL29","Exchange")</f>
        <v>BSE</v>
      </c>
      <c r="D1230">
        <f>RTD("nest.scriprtd",,"bse_cm|875IHFL29","Bid Qty")</f>
        <v>170</v>
      </c>
      <c r="E1230">
        <f>RTD("nest.scriprtd",,"bse_cm|875IHFL29","Bid Rate")</f>
        <v>939.2</v>
      </c>
      <c r="F1230">
        <f>RTD("nest.scriprtd",,"bse_cm|875IHFL29","Ask Rate")</f>
        <v>0</v>
      </c>
      <c r="G1230">
        <f>RTD("nest.scriprtd",,"bse_cm|875IHFL29","Ask Qty")</f>
        <v>0</v>
      </c>
      <c r="H1230">
        <f>RTD("nest.scriprtd",,"bse_cm|875IHFL29","LTP")</f>
        <v>0</v>
      </c>
      <c r="I1230" t="str">
        <f>RTD("nest.scriprtd",,"bse_cm|875IHFL29","LTT")</f>
        <v>00:00:00</v>
      </c>
      <c r="J1230">
        <f>RTD("nest.scriprtd",,"bse_cm|875IHFL29","% Change")</f>
        <v>-100</v>
      </c>
      <c r="K1230">
        <f>RTD("nest.scriprtd",,"bse_cm|875IHFL29","ATP")</f>
        <v>0</v>
      </c>
      <c r="L1230">
        <f>RTD("nest.scriprtd",,"bse_cm|875IHFL29","Volume Traded Today")</f>
        <v>0</v>
      </c>
      <c r="M1230">
        <f>RTD("nest.scriprtd",,"bse_cm|875IHFL29","Open")</f>
        <v>0</v>
      </c>
      <c r="N1230">
        <f>RTD("nest.scriprtd",,"bse_cm|875IHFL29","High")</f>
        <v>943.8</v>
      </c>
      <c r="O1230">
        <f>RTD("nest.scriprtd",,"bse_cm|875IHFL29","Low ")</f>
        <v>939.8</v>
      </c>
      <c r="P1230">
        <f>RTD("nest.scriprtd",,"bse_cm|875IHFL29","Prev Close")</f>
        <v>943.8</v>
      </c>
      <c r="Q1230">
        <f>RTD("nest.scriprtd",,"bse_cm|875IHFL29","Face Value")</f>
        <v>1000</v>
      </c>
      <c r="R1230" t="str">
        <f>RTD("nest.scriprtd",,"bse_cm|875IHFL29","Isin code")</f>
        <v>INE477L07AR0</v>
      </c>
      <c r="S1230" s="9">
        <f>Table1[[#This Row],[Ask Rate]]*Table1[[#This Row],[Ask Qty]]</f>
        <v>0</v>
      </c>
      <c r="T1230">
        <f>VLOOKUP(Table1[[#This Row],[Isin code]],Table2[#All],7,FALSE)</f>
        <v>8.75</v>
      </c>
      <c r="U1230" s="17" t="str">
        <f>VLOOKUP(Table1[[#This Row],[Isin code]],Table2[#All],8,FALSE)</f>
        <v>03-Jan-2029</v>
      </c>
      <c r="V1230" s="10">
        <f ca="1">Table1[[#This Row],[Maturity]]-TODAY()</f>
        <v>1540</v>
      </c>
      <c r="W1230" t="str">
        <f>VLOOKUP(Table1[[#This Row],[Isin code]],Table2[#All],10,FALSE)</f>
        <v>Yearly</v>
      </c>
      <c r="X1230">
        <f ca="1">_xlfn.DAYS(Table1[[#This Row],[Maturity]],TODAY())-15</f>
        <v>1525</v>
      </c>
      <c r="Y12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230">
        <f>IF(Table1[[#This Row],[Ask Rate]]=0,0,Table1[[#This Row],[Face Value]]-Table1[[#This Row],[Ask Rate]])</f>
        <v>0</v>
      </c>
      <c r="AA1230">
        <f>IF(Table1[[#This Row],[Freq]]="Yearly",Table1[[#This Row],[Coupon_Rate]]/100,IF(Table1[[#This Row],[Freq]]="Monthly",Table1[[#This Row],[Coupon_Rate]]/1200,IF(Table1[[#This Row],[Freq]]="Quarterly",Table1[[#This Row],[Coupon_Rate]]/400,0)))</f>
        <v>8.7499999999999994E-2</v>
      </c>
      <c r="AB1230">
        <f ca="1">Table1[[#This Row],[Face Value]]*Table1[[#This Row],[Rate]]*Table1[[#This Row],[Time]]</f>
        <v>437.5</v>
      </c>
      <c r="AC1230">
        <f ca="1">Table1[[#This Row],[SI]]+Table1[[#This Row],[Disc/Prem]]</f>
        <v>437.5</v>
      </c>
      <c r="AD1230" s="3" t="e">
        <f ca="1">Table1[[#This Row],[Net Gain]]/Table1[[#This Row],[Ask Rate]]</f>
        <v>#DIV/0!</v>
      </c>
      <c r="AE1230" s="3">
        <f>IF(Table1[[#This Row],[Ask Qty]]=0,0,Table1[[#This Row],[Gross Yield]]*365/Table1[[#This Row],[Days Left]])</f>
        <v>0</v>
      </c>
      <c r="AF1230" s="9">
        <f ca="1">+Table1[[#This Row],[Net Gain]]*Table1[[#This Row],[Ask Qty]]</f>
        <v>0</v>
      </c>
      <c r="AG1230" t="str">
        <f>IF(Table1[[#This Row],[YTM]]&gt;0.12,IF(Table1[[#This Row],[Gross Profit]]&gt;10000,"Invest","Review"),"Low YTM")</f>
        <v>Low YTM</v>
      </c>
    </row>
    <row r="1231" spans="1:33" x14ac:dyDescent="0.3">
      <c r="A1231" t="str">
        <f>RTD("nest.scriprtd",,"bse_cm|SCLZC25C","Symbol")</f>
        <v>SCLZC25C</v>
      </c>
      <c r="B1231" t="str">
        <f>RTD("nest.scriprtd",,"bse_cm|SCLZC25C","Trading Symbol")</f>
        <v>SCLZC25C</v>
      </c>
      <c r="C1231" t="str">
        <f>RTD("nest.scriprtd",,"bse_cm|SCLZC25C","Exchange")</f>
        <v>BSE</v>
      </c>
      <c r="D1231">
        <f>RTD("nest.scriprtd",,"bse_cm|SCLZC25C","Bid Qty")</f>
        <v>10</v>
      </c>
      <c r="E1231">
        <f>RTD("nest.scriprtd",,"bse_cm|SCLZC25C","Bid Rate")</f>
        <v>865.2</v>
      </c>
      <c r="F1231">
        <f>RTD("nest.scriprtd",,"bse_cm|SCLZC25C","Ask Rate")</f>
        <v>0</v>
      </c>
      <c r="G1231">
        <f>RTD("nest.scriprtd",,"bse_cm|SCLZC25C","Ask Qty")</f>
        <v>0</v>
      </c>
      <c r="H1231">
        <f>RTD("nest.scriprtd",,"bse_cm|SCLZC25C","LTP")</f>
        <v>0</v>
      </c>
      <c r="I1231" t="str">
        <f>RTD("nest.scriprtd",,"bse_cm|SCLZC25C","LTT")</f>
        <v>00:00:00</v>
      </c>
      <c r="J1231">
        <f>RTD("nest.scriprtd",,"bse_cm|SCLZC25C","% Change")</f>
        <v>-100</v>
      </c>
      <c r="K1231">
        <f>RTD("nest.scriprtd",,"bse_cm|SCLZC25C","ATP")</f>
        <v>0</v>
      </c>
      <c r="L1231">
        <f>RTD("nest.scriprtd",,"bse_cm|SCLZC25C","Volume Traded Today")</f>
        <v>0</v>
      </c>
      <c r="M1231">
        <f>RTD("nest.scriprtd",,"bse_cm|SCLZC25C","Open")</f>
        <v>0</v>
      </c>
      <c r="N1231">
        <f>RTD("nest.scriprtd",,"bse_cm|SCLZC25C","High")</f>
        <v>0</v>
      </c>
      <c r="O1231">
        <f>RTD("nest.scriprtd",,"bse_cm|SCLZC25C","Low ")</f>
        <v>0</v>
      </c>
      <c r="P1231">
        <f>RTD("nest.scriprtd",,"bse_cm|SCLZC25C","Prev Close")</f>
        <v>1000</v>
      </c>
      <c r="Q1231">
        <f>RTD("nest.scriprtd",,"bse_cm|SCLZC25C","Face Value")</f>
        <v>1000</v>
      </c>
      <c r="R1231" t="str">
        <f>RTD("nest.scriprtd",,"bse_cm|SCLZC25C","Isin code")</f>
        <v>INE148I07QJ6</v>
      </c>
      <c r="S1231" s="9">
        <f>Table1[[#This Row],[Ask Rate]]*Table1[[#This Row],[Ask Qty]]</f>
        <v>0</v>
      </c>
      <c r="T1231">
        <f>VLOOKUP(Table1[[#This Row],[Isin code]],Table2[#All],7,FALSE)</f>
        <v>0</v>
      </c>
      <c r="U1231" s="17" t="str">
        <f>VLOOKUP(Table1[[#This Row],[Isin code]],Table2[#All],8,FALSE)</f>
        <v>09-Nov-2025</v>
      </c>
      <c r="V1231" s="10">
        <f ca="1">Table1[[#This Row],[Maturity]]-TODAY()</f>
        <v>389</v>
      </c>
      <c r="W1231" t="str">
        <f>VLOOKUP(Table1[[#This Row],[Isin code]],Table2[#All],10,FALSE)</f>
        <v>0</v>
      </c>
      <c r="X1231">
        <f ca="1">_xlfn.DAYS(Table1[[#This Row],[Maturity]],TODAY())-15</f>
        <v>374</v>
      </c>
      <c r="Y123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31">
        <f>IF(Table1[[#This Row],[Ask Rate]]=0,0,Table1[[#This Row],[Face Value]]-Table1[[#This Row],[Ask Rate]])</f>
        <v>0</v>
      </c>
      <c r="AA123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31">
        <f>Table1[[#This Row],[Face Value]]*Table1[[#This Row],[Rate]]*Table1[[#This Row],[Time]]</f>
        <v>0</v>
      </c>
      <c r="AC1231">
        <f>Table1[[#This Row],[SI]]+Table1[[#This Row],[Disc/Prem]]</f>
        <v>0</v>
      </c>
      <c r="AD1231" s="3" t="e">
        <f>Table1[[#This Row],[Net Gain]]/Table1[[#This Row],[Ask Rate]]</f>
        <v>#DIV/0!</v>
      </c>
      <c r="AE1231" s="3">
        <f>IF(Table1[[#This Row],[Ask Qty]]=0,0,Table1[[#This Row],[Gross Yield]]*365/Table1[[#This Row],[Days Left]])</f>
        <v>0</v>
      </c>
      <c r="AF1231" s="9">
        <f>+Table1[[#This Row],[Net Gain]]*Table1[[#This Row],[Ask Qty]]</f>
        <v>0</v>
      </c>
      <c r="AG1231" t="str">
        <f>IF(Table1[[#This Row],[YTM]]&gt;0.12,IF(Table1[[#This Row],[Gross Profit]]&gt;10000,"Invest","Review"),"Low YTM")</f>
        <v>Low YTM</v>
      </c>
    </row>
    <row r="1232" spans="1:33" x14ac:dyDescent="0.3">
      <c r="A1232" t="str">
        <f>RTD("nest.scriprtd",,"nse_cm|SCLZC25A-AS","Symbol")</f>
        <v>SCLZC25A</v>
      </c>
      <c r="B1232" t="str">
        <f>RTD("nest.scriprtd",,"nse_cm|SCLZC25A-AS","Trading Symbol")</f>
        <v>SCLZC25A-AS</v>
      </c>
      <c r="C1232" t="str">
        <f>RTD("nest.scriprtd",,"nse_cm|SCLZC25A-AS","Exchange")</f>
        <v>NSE</v>
      </c>
      <c r="D1232">
        <f>RTD("nest.scriprtd",,"nse_cm|SCLZC25A-AS","Bid Qty")</f>
        <v>0</v>
      </c>
      <c r="E1232">
        <f>RTD("nest.scriprtd",,"nse_cm|SCLZC25A-AS","Bid Rate")</f>
        <v>0</v>
      </c>
      <c r="F1232">
        <f>RTD("nest.scriprtd",,"nse_cm|SCLZC25A-AS","Ask Rate")</f>
        <v>0</v>
      </c>
      <c r="G1232">
        <f>RTD("nest.scriprtd",,"nse_cm|SCLZC25A-AS","Ask Qty")</f>
        <v>0</v>
      </c>
      <c r="H1232">
        <f>RTD("nest.scriprtd",,"nse_cm|SCLZC25A-AS","LTP")</f>
        <v>0</v>
      </c>
      <c r="I1232" t="str">
        <f>RTD("nest.scriprtd",,"nse_cm|SCLZC25A-AS","LTT")</f>
        <v/>
      </c>
      <c r="J1232">
        <f>RTD("nest.scriprtd",,"nse_cm|SCLZC25A-AS","% Change")</f>
        <v>0</v>
      </c>
      <c r="K1232">
        <f>RTD("nest.scriprtd",,"nse_cm|SCLZC25A-AS","ATP")</f>
        <v>0</v>
      </c>
      <c r="L1232">
        <f>RTD("nest.scriprtd",,"nse_cm|SCLZC25A-AS","Volume Traded Today")</f>
        <v>0</v>
      </c>
      <c r="M1232">
        <f>RTD("nest.scriprtd",,"nse_cm|SCLZC25A-AS","Open")</f>
        <v>0</v>
      </c>
      <c r="N1232">
        <f>RTD("nest.scriprtd",,"nse_cm|SCLZC25A-AS","High")</f>
        <v>0</v>
      </c>
      <c r="O1232">
        <f>RTD("nest.scriprtd",,"nse_cm|SCLZC25A-AS","Low ")</f>
        <v>0</v>
      </c>
      <c r="P1232">
        <f>RTD("nest.scriprtd",,"nse_cm|SCLZC25A-AS","Prev Close")</f>
        <v>0</v>
      </c>
      <c r="Q1232">
        <f>RTD("nest.scriprtd",,"nse_cm|SCLZC25A-AS","Face Value")</f>
        <v>1000</v>
      </c>
      <c r="R1232" t="str">
        <f>RTD("nest.scriprtd",,"nse_cm|SCLZC25A-AS","Isin code")</f>
        <v>INE148I07OK9</v>
      </c>
      <c r="S1232" s="9">
        <f>Table1[[#This Row],[Ask Rate]]*Table1[[#This Row],[Ask Qty]]</f>
        <v>0</v>
      </c>
      <c r="T1232" t="str">
        <f>VLOOKUP(Table1[[#This Row],[Isin code]],Table2[#All],7,FALSE)</f>
        <v>--</v>
      </c>
      <c r="U1232" s="17" t="str">
        <f>VLOOKUP(Table1[[#This Row],[Isin code]],Table2[#All],8,FALSE)</f>
        <v>27-Jul-2025</v>
      </c>
      <c r="V1232" s="10">
        <f ca="1">Table1[[#This Row],[Maturity]]-TODAY()</f>
        <v>284</v>
      </c>
      <c r="W1232" t="str">
        <f>VLOOKUP(Table1[[#This Row],[Isin code]],Table2[#All],10,FALSE)</f>
        <v>At the End</v>
      </c>
      <c r="X1232">
        <f ca="1">_xlfn.DAYS(Table1[[#This Row],[Maturity]],TODAY())-15</f>
        <v>269</v>
      </c>
      <c r="Y123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32">
        <f>IF(Table1[[#This Row],[Ask Rate]]=0,0,Table1[[#This Row],[Face Value]]-Table1[[#This Row],[Ask Rate]])</f>
        <v>0</v>
      </c>
      <c r="AA123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32">
        <f>Table1[[#This Row],[Face Value]]*Table1[[#This Row],[Rate]]*Table1[[#This Row],[Time]]</f>
        <v>0</v>
      </c>
      <c r="AC1232">
        <f>Table1[[#This Row],[SI]]+Table1[[#This Row],[Disc/Prem]]</f>
        <v>0</v>
      </c>
      <c r="AD1232" s="3" t="e">
        <f>Table1[[#This Row],[Net Gain]]/Table1[[#This Row],[Ask Rate]]</f>
        <v>#DIV/0!</v>
      </c>
      <c r="AE1232" s="3">
        <f>IF(Table1[[#This Row],[Ask Qty]]=0,0,Table1[[#This Row],[Gross Yield]]*365/Table1[[#This Row],[Days Left]])</f>
        <v>0</v>
      </c>
      <c r="AF1232" s="9">
        <f>+Table1[[#This Row],[Net Gain]]*Table1[[#This Row],[Ask Qty]]</f>
        <v>0</v>
      </c>
      <c r="AG1232" t="str">
        <f>IF(Table1[[#This Row],[YTM]]&gt;0.12,IF(Table1[[#This Row],[Gross Profit]]&gt;10000,"Invest","Review"),"Low YTM")</f>
        <v>Low YTM</v>
      </c>
    </row>
    <row r="1233" spans="1:33" x14ac:dyDescent="0.3">
      <c r="A1233" t="str">
        <f>RTD("nest.scriprtd",,"bse_cm|SCLZC25A","Symbol")</f>
        <v>SCLZC25A</v>
      </c>
      <c r="B1233" t="str">
        <f>RTD("nest.scriprtd",,"bse_cm|SCLZC25A","Trading Symbol")</f>
        <v>SCLZC25A</v>
      </c>
      <c r="C1233" t="str">
        <f>RTD("nest.scriprtd",,"bse_cm|SCLZC25A","Exchange")</f>
        <v>BSE</v>
      </c>
      <c r="D1233">
        <f>RTD("nest.scriprtd",,"bse_cm|SCLZC25A","Bid Qty")</f>
        <v>18</v>
      </c>
      <c r="E1233">
        <f>RTD("nest.scriprtd",,"bse_cm|SCLZC25A","Bid Rate")</f>
        <v>890.2</v>
      </c>
      <c r="F1233">
        <f>RTD("nest.scriprtd",,"bse_cm|SCLZC25A","Ask Rate")</f>
        <v>0</v>
      </c>
      <c r="G1233">
        <f>RTD("nest.scriprtd",,"bse_cm|SCLZC25A","Ask Qty")</f>
        <v>0</v>
      </c>
      <c r="H1233">
        <f>RTD("nest.scriprtd",,"bse_cm|SCLZC25A","LTP")</f>
        <v>0</v>
      </c>
      <c r="I1233" t="str">
        <f>RTD("nest.scriprtd",,"bse_cm|SCLZC25A","LTT")</f>
        <v>00:00:00</v>
      </c>
      <c r="J1233">
        <f>RTD("nest.scriprtd",,"bse_cm|SCLZC25A","% Change")</f>
        <v>-100</v>
      </c>
      <c r="K1233">
        <f>RTD("nest.scriprtd",,"bse_cm|SCLZC25A","ATP")</f>
        <v>0</v>
      </c>
      <c r="L1233">
        <f>RTD("nest.scriprtd",,"bse_cm|SCLZC25A","Volume Traded Today")</f>
        <v>0</v>
      </c>
      <c r="M1233">
        <f>RTD("nest.scriprtd",,"bse_cm|SCLZC25A","Open")</f>
        <v>0</v>
      </c>
      <c r="N1233">
        <f>RTD("nest.scriprtd",,"bse_cm|SCLZC25A","High")</f>
        <v>0</v>
      </c>
      <c r="O1233">
        <f>RTD("nest.scriprtd",,"bse_cm|SCLZC25A","Low ")</f>
        <v>0</v>
      </c>
      <c r="P1233">
        <f>RTD("nest.scriprtd",,"bse_cm|SCLZC25A","Prev Close")</f>
        <v>1000</v>
      </c>
      <c r="Q1233">
        <f>RTD("nest.scriprtd",,"bse_cm|SCLZC25A","Face Value")</f>
        <v>1000</v>
      </c>
      <c r="R1233" t="str">
        <f>RTD("nest.scriprtd",,"bse_cm|SCLZC25A","Isin code")</f>
        <v>INE148I07OK9</v>
      </c>
      <c r="S1233" s="9">
        <f>Table1[[#This Row],[Ask Rate]]*Table1[[#This Row],[Ask Qty]]</f>
        <v>0</v>
      </c>
      <c r="T1233" t="str">
        <f>VLOOKUP(Table1[[#This Row],[Isin code]],Table2[#All],7,FALSE)</f>
        <v>--</v>
      </c>
      <c r="U1233" s="17" t="str">
        <f>VLOOKUP(Table1[[#This Row],[Isin code]],Table2[#All],8,FALSE)</f>
        <v>27-Jul-2025</v>
      </c>
      <c r="V1233" s="10">
        <f ca="1">Table1[[#This Row],[Maturity]]-TODAY()</f>
        <v>284</v>
      </c>
      <c r="W1233" t="str">
        <f>VLOOKUP(Table1[[#This Row],[Isin code]],Table2[#All],10,FALSE)</f>
        <v>At the End</v>
      </c>
      <c r="X1233">
        <f ca="1">_xlfn.DAYS(Table1[[#This Row],[Maturity]],TODAY())-15</f>
        <v>269</v>
      </c>
      <c r="Y123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33">
        <f>IF(Table1[[#This Row],[Ask Rate]]=0,0,Table1[[#This Row],[Face Value]]-Table1[[#This Row],[Ask Rate]])</f>
        <v>0</v>
      </c>
      <c r="AA123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33">
        <f>Table1[[#This Row],[Face Value]]*Table1[[#This Row],[Rate]]*Table1[[#This Row],[Time]]</f>
        <v>0</v>
      </c>
      <c r="AC1233">
        <f>Table1[[#This Row],[SI]]+Table1[[#This Row],[Disc/Prem]]</f>
        <v>0</v>
      </c>
      <c r="AD1233" s="3" t="e">
        <f>Table1[[#This Row],[Net Gain]]/Table1[[#This Row],[Ask Rate]]</f>
        <v>#DIV/0!</v>
      </c>
      <c r="AE1233" s="3">
        <f>IF(Table1[[#This Row],[Ask Qty]]=0,0,Table1[[#This Row],[Gross Yield]]*365/Table1[[#This Row],[Days Left]])</f>
        <v>0</v>
      </c>
      <c r="AF1233" s="9">
        <f>+Table1[[#This Row],[Net Gain]]*Table1[[#This Row],[Ask Qty]]</f>
        <v>0</v>
      </c>
      <c r="AG1233" t="str">
        <f>IF(Table1[[#This Row],[YTM]]&gt;0.12,IF(Table1[[#This Row],[Gross Profit]]&gt;10000,"Invest","Review"),"Low YTM")</f>
        <v>Low YTM</v>
      </c>
    </row>
    <row r="1234" spans="1:33" hidden="1" x14ac:dyDescent="0.3">
      <c r="A1234" t="str">
        <f>RTD("nest.scriprtd",,"bse_cm|SCL25","Symbol")</f>
        <v>SCL25</v>
      </c>
      <c r="B1234" t="str">
        <f>RTD("nest.scriprtd",,"bse_cm|SCL25","Trading Symbol")</f>
        <v>SCL25</v>
      </c>
      <c r="C1234" t="str">
        <f>RTD("nest.scriprtd",,"bse_cm|SCL25","Exchange")</f>
        <v>BSE</v>
      </c>
      <c r="D1234">
        <f>RTD("nest.scriprtd",,"bse_cm|SCL25","Bid Qty")</f>
        <v>5</v>
      </c>
      <c r="E1234">
        <f>RTD("nest.scriprtd",,"bse_cm|SCL25","Bid Rate")</f>
        <v>1224.25</v>
      </c>
      <c r="F1234">
        <f>RTD("nest.scriprtd",,"bse_cm|SCL25","Ask Rate")</f>
        <v>0</v>
      </c>
      <c r="G1234">
        <f>RTD("nest.scriprtd",,"bse_cm|SCL25","Ask Qty")</f>
        <v>0</v>
      </c>
      <c r="H1234">
        <f>RTD("nest.scriprtd",,"bse_cm|SCL25","LTP")</f>
        <v>0</v>
      </c>
      <c r="I1234" t="str">
        <f>RTD("nest.scriprtd",,"bse_cm|SCL25","LTT")</f>
        <v>00:00:00</v>
      </c>
      <c r="J1234">
        <f>RTD("nest.scriprtd",,"bse_cm|SCL25","% Change")</f>
        <v>-100</v>
      </c>
      <c r="K1234">
        <f>RTD("nest.scriprtd",,"bse_cm|SCL25","ATP")</f>
        <v>0</v>
      </c>
      <c r="L1234">
        <f>RTD("nest.scriprtd",,"bse_cm|SCL25","Volume Traded Today")</f>
        <v>0</v>
      </c>
      <c r="M1234">
        <f>RTD("nest.scriprtd",,"bse_cm|SCL25","Open")</f>
        <v>0</v>
      </c>
      <c r="N1234">
        <f>RTD("nest.scriprtd",,"bse_cm|SCL25","High")</f>
        <v>1170.25</v>
      </c>
      <c r="O1234">
        <f>RTD("nest.scriprtd",,"bse_cm|SCL25","Low ")</f>
        <v>1170.25</v>
      </c>
      <c r="P1234">
        <f>RTD("nest.scriprtd",,"bse_cm|SCL25","Prev Close")</f>
        <v>1170.25</v>
      </c>
      <c r="Q1234">
        <f>RTD("nest.scriprtd",,"bse_cm|SCL25","Face Value")</f>
        <v>1000</v>
      </c>
      <c r="R1234" t="str">
        <f>RTD("nest.scriprtd",,"bse_cm|SCL25","Isin code")</f>
        <v>INE148I07KY8</v>
      </c>
      <c r="S1234" s="9">
        <f>Table1[[#This Row],[Ask Rate]]*Table1[[#This Row],[Ask Qty]]</f>
        <v>0</v>
      </c>
      <c r="T1234">
        <f>VLOOKUP(Table1[[#This Row],[Isin code]],Table2[#All],7,FALSE)</f>
        <v>0</v>
      </c>
      <c r="U1234" s="17" t="str">
        <f>VLOOKUP(Table1[[#This Row],[Isin code]],Table2[#All],8,FALSE)</f>
        <v>06-Jan-2025</v>
      </c>
      <c r="V1234" s="10">
        <f ca="1">Table1[[#This Row],[Maturity]]-TODAY()</f>
        <v>82</v>
      </c>
      <c r="W1234" t="str">
        <f>VLOOKUP(Table1[[#This Row],[Isin code]],Table2[#All],10,FALSE)</f>
        <v>Yearly</v>
      </c>
      <c r="X1234">
        <f ca="1">_xlfn.DAYS(Table1[[#This Row],[Maturity]],TODAY())-15</f>
        <v>67</v>
      </c>
      <c r="Y12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234">
        <f>IF(Table1[[#This Row],[Ask Rate]]=0,0,Table1[[#This Row],[Face Value]]-Table1[[#This Row],[Ask Rate]])</f>
        <v>0</v>
      </c>
      <c r="AA123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34">
        <f ca="1">Table1[[#This Row],[Face Value]]*Table1[[#This Row],[Rate]]*Table1[[#This Row],[Time]]</f>
        <v>0</v>
      </c>
      <c r="AC1234">
        <f ca="1">Table1[[#This Row],[SI]]+Table1[[#This Row],[Disc/Prem]]</f>
        <v>0</v>
      </c>
      <c r="AD1234" s="3" t="e">
        <f ca="1">Table1[[#This Row],[Net Gain]]/Table1[[#This Row],[Ask Rate]]</f>
        <v>#DIV/0!</v>
      </c>
      <c r="AE1234" s="3">
        <f>IF(Table1[[#This Row],[Ask Qty]]=0,0,Table1[[#This Row],[Gross Yield]]*365/Table1[[#This Row],[Days Left]])</f>
        <v>0</v>
      </c>
      <c r="AF1234" s="9">
        <f ca="1">+Table1[[#This Row],[Net Gain]]*Table1[[#This Row],[Ask Qty]]</f>
        <v>0</v>
      </c>
      <c r="AG1234" t="str">
        <f>IF(Table1[[#This Row],[YTM]]&gt;0.12,IF(Table1[[#This Row],[Gross Profit]]&gt;10000,"Invest","Review"),"Low YTM")</f>
        <v>Low YTM</v>
      </c>
    </row>
    <row r="1235" spans="1:33" x14ac:dyDescent="0.3">
      <c r="A1235" t="str">
        <f>RTD("nest.scriprtd",,"bse_cm|894SCL25A","Symbol")</f>
        <v>894SCL25A</v>
      </c>
      <c r="B1235" t="str">
        <f>RTD("nest.scriprtd",,"bse_cm|894SCL25A","Trading Symbol")</f>
        <v>894SCL25A</v>
      </c>
      <c r="C1235" t="str">
        <f>RTD("nest.scriprtd",,"bse_cm|894SCL25A","Exchange")</f>
        <v>BSE</v>
      </c>
      <c r="D1235">
        <f>RTD("nest.scriprtd",,"bse_cm|894SCL25A","Bid Qty")</f>
        <v>10</v>
      </c>
      <c r="E1235">
        <f>RTD("nest.scriprtd",,"bse_cm|894SCL25A","Bid Rate")</f>
        <v>910.2</v>
      </c>
      <c r="F1235">
        <f>RTD("nest.scriprtd",,"bse_cm|894SCL25A","Ask Rate")</f>
        <v>0</v>
      </c>
      <c r="G1235">
        <f>RTD("nest.scriprtd",,"bse_cm|894SCL25A","Ask Qty")</f>
        <v>0</v>
      </c>
      <c r="H1235">
        <f>RTD("nest.scriprtd",,"bse_cm|894SCL25A","LTP")</f>
        <v>0</v>
      </c>
      <c r="I1235" t="str">
        <f>RTD("nest.scriprtd",,"bse_cm|894SCL25A","LTT")</f>
        <v>00:00:00</v>
      </c>
      <c r="J1235">
        <f>RTD("nest.scriprtd",,"bse_cm|894SCL25A","% Change")</f>
        <v>-100</v>
      </c>
      <c r="K1235">
        <f>RTD("nest.scriprtd",,"bse_cm|894SCL25A","ATP")</f>
        <v>0</v>
      </c>
      <c r="L1235">
        <f>RTD("nest.scriprtd",,"bse_cm|894SCL25A","Volume Traded Today")</f>
        <v>0</v>
      </c>
      <c r="M1235">
        <f>RTD("nest.scriprtd",,"bse_cm|894SCL25A","Open")</f>
        <v>0</v>
      </c>
      <c r="N1235">
        <f>RTD("nest.scriprtd",,"bse_cm|894SCL25A","High")</f>
        <v>0</v>
      </c>
      <c r="O1235">
        <f>RTD("nest.scriprtd",,"bse_cm|894SCL25A","Low ")</f>
        <v>0</v>
      </c>
      <c r="P1235">
        <f>RTD("nest.scriprtd",,"bse_cm|894SCL25A","Prev Close")</f>
        <v>1000</v>
      </c>
      <c r="Q1235">
        <f>RTD("nest.scriprtd",,"bse_cm|894SCL25A","Face Value")</f>
        <v>1000</v>
      </c>
      <c r="R1235" t="str">
        <f>RTD("nest.scriprtd",,"bse_cm|894SCL25A","Isin code")</f>
        <v>INE148I07MT4</v>
      </c>
      <c r="S1235" s="9">
        <f>Table1[[#This Row],[Ask Rate]]*Table1[[#This Row],[Ask Qty]]</f>
        <v>0</v>
      </c>
      <c r="T1235" t="str">
        <f>VLOOKUP(Table1[[#This Row],[Isin code]],Table2[#All],7,FALSE)</f>
        <v>--</v>
      </c>
      <c r="U1235" s="17" t="str">
        <f>VLOOKUP(Table1[[#This Row],[Isin code]],Table2[#All],8,FALSE)</f>
        <v>03-Nov-2025</v>
      </c>
      <c r="V1235" s="10">
        <f ca="1">Table1[[#This Row],[Maturity]]-TODAY()</f>
        <v>383</v>
      </c>
      <c r="W1235" t="str">
        <f>VLOOKUP(Table1[[#This Row],[Isin code]],Table2[#All],10,FALSE)</f>
        <v>At the End</v>
      </c>
      <c r="X1235">
        <f ca="1">_xlfn.DAYS(Table1[[#This Row],[Maturity]],TODAY())-15</f>
        <v>368</v>
      </c>
      <c r="Y123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35">
        <f>IF(Table1[[#This Row],[Ask Rate]]=0,0,Table1[[#This Row],[Face Value]]-Table1[[#This Row],[Ask Rate]])</f>
        <v>0</v>
      </c>
      <c r="AA123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35">
        <f>Table1[[#This Row],[Face Value]]*Table1[[#This Row],[Rate]]*Table1[[#This Row],[Time]]</f>
        <v>0</v>
      </c>
      <c r="AC1235">
        <f>Table1[[#This Row],[SI]]+Table1[[#This Row],[Disc/Prem]]</f>
        <v>0</v>
      </c>
      <c r="AD1235" s="3" t="e">
        <f>Table1[[#This Row],[Net Gain]]/Table1[[#This Row],[Ask Rate]]</f>
        <v>#DIV/0!</v>
      </c>
      <c r="AE1235" s="3">
        <f>IF(Table1[[#This Row],[Ask Qty]]=0,0,Table1[[#This Row],[Gross Yield]]*365/Table1[[#This Row],[Days Left]])</f>
        <v>0</v>
      </c>
      <c r="AF1235" s="9">
        <f>+Table1[[#This Row],[Net Gain]]*Table1[[#This Row],[Ask Qty]]</f>
        <v>0</v>
      </c>
      <c r="AG1235" t="str">
        <f>IF(Table1[[#This Row],[YTM]]&gt;0.12,IF(Table1[[#This Row],[Gross Profit]]&gt;10000,"Invest","Review"),"Low YTM")</f>
        <v>Low YTM</v>
      </c>
    </row>
    <row r="1236" spans="1:33" x14ac:dyDescent="0.3">
      <c r="A1236" t="str">
        <f>RTD("nest.scriprtd",,"bse_cm|IIFLZC26","Symbol")</f>
        <v>IIFLZC26</v>
      </c>
      <c r="B1236" t="str">
        <f>RTD("nest.scriprtd",,"bse_cm|IIFLZC26","Trading Symbol")</f>
        <v>IIFLZC26</v>
      </c>
      <c r="C1236" t="str">
        <f>RTD("nest.scriprtd",,"bse_cm|IIFLZC26","Exchange")</f>
        <v>BSE</v>
      </c>
      <c r="D1236">
        <f>RTD("nest.scriprtd",,"bse_cm|IIFLZC26","Bid Qty")</f>
        <v>28</v>
      </c>
      <c r="E1236">
        <f>RTD("nest.scriprtd",,"bse_cm|IIFLZC26","Bid Rate")</f>
        <v>1116.8</v>
      </c>
      <c r="F1236">
        <f>RTD("nest.scriprtd",,"bse_cm|IIFLZC26","Ask Rate")</f>
        <v>0</v>
      </c>
      <c r="G1236">
        <f>RTD("nest.scriprtd",,"bse_cm|IIFLZC26","Ask Qty")</f>
        <v>0</v>
      </c>
      <c r="H1236">
        <f>RTD("nest.scriprtd",,"bse_cm|IIFLZC26","LTP")</f>
        <v>0</v>
      </c>
      <c r="I1236" t="str">
        <f>RTD("nest.scriprtd",,"bse_cm|IIFLZC26","LTT")</f>
        <v>00:00:00</v>
      </c>
      <c r="J1236">
        <f>RTD("nest.scriprtd",,"bse_cm|IIFLZC26","% Change")</f>
        <v>-100</v>
      </c>
      <c r="K1236">
        <f>RTD("nest.scriprtd",,"bse_cm|IIFLZC26","ATP")</f>
        <v>0</v>
      </c>
      <c r="L1236">
        <f>RTD("nest.scriprtd",,"bse_cm|IIFLZC26","Volume Traded Today")</f>
        <v>0</v>
      </c>
      <c r="M1236">
        <f>RTD("nest.scriprtd",,"bse_cm|IIFLZC26","Open")</f>
        <v>0</v>
      </c>
      <c r="N1236">
        <f>RTD("nest.scriprtd",,"bse_cm|IIFLZC26","High")</f>
        <v>1200</v>
      </c>
      <c r="O1236">
        <f>RTD("nest.scriprtd",,"bse_cm|IIFLZC26","Low ")</f>
        <v>1200</v>
      </c>
      <c r="P1236">
        <f>RTD("nest.scriprtd",,"bse_cm|IIFLZC26","Prev Close")</f>
        <v>1200</v>
      </c>
      <c r="Q1236">
        <f>RTD("nest.scriprtd",,"bse_cm|IIFLZC26","Face Value")</f>
        <v>1000</v>
      </c>
      <c r="R1236" t="str">
        <f>RTD("nest.scriprtd",,"bse_cm|IIFLZC26","Isin code")</f>
        <v>INE530B07187</v>
      </c>
      <c r="S1236" s="9">
        <f>Table1[[#This Row],[Ask Rate]]*Table1[[#This Row],[Ask Qty]]</f>
        <v>0</v>
      </c>
      <c r="T1236">
        <f>VLOOKUP(Table1[[#This Row],[Isin code]],Table2[#All],7,FALSE)</f>
        <v>0</v>
      </c>
      <c r="U1236" s="17" t="str">
        <f>VLOOKUP(Table1[[#This Row],[Isin code]],Table2[#All],8,FALSE)</f>
        <v>14-Oct-2026</v>
      </c>
      <c r="V1236" s="10">
        <f ca="1">Table1[[#This Row],[Maturity]]-TODAY()</f>
        <v>728</v>
      </c>
      <c r="W1236" t="str">
        <f>VLOOKUP(Table1[[#This Row],[Isin code]],Table2[#All],10,FALSE)</f>
        <v>Monthly</v>
      </c>
      <c r="X1236">
        <f ca="1">_xlfn.DAYS(Table1[[#This Row],[Maturity]],TODAY())-15</f>
        <v>713</v>
      </c>
      <c r="Y12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1236">
        <f>IF(Table1[[#This Row],[Ask Rate]]=0,0,Table1[[#This Row],[Face Value]]-Table1[[#This Row],[Ask Rate]])</f>
        <v>0</v>
      </c>
      <c r="AA123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36">
        <f ca="1">Table1[[#This Row],[Face Value]]*Table1[[#This Row],[Rate]]*Table1[[#This Row],[Time]]</f>
        <v>0</v>
      </c>
      <c r="AC1236">
        <f ca="1">Table1[[#This Row],[SI]]+Table1[[#This Row],[Disc/Prem]]</f>
        <v>0</v>
      </c>
      <c r="AD1236" s="3" t="e">
        <f ca="1">Table1[[#This Row],[Net Gain]]/Table1[[#This Row],[Ask Rate]]</f>
        <v>#DIV/0!</v>
      </c>
      <c r="AE1236" s="3">
        <f>IF(Table1[[#This Row],[Ask Qty]]=0,0,Table1[[#This Row],[Gross Yield]]*365/Table1[[#This Row],[Days Left]])</f>
        <v>0</v>
      </c>
      <c r="AF1236" s="9">
        <f ca="1">+Table1[[#This Row],[Net Gain]]*Table1[[#This Row],[Ask Qty]]</f>
        <v>0</v>
      </c>
      <c r="AG1236" t="str">
        <f>IF(Table1[[#This Row],[YTM]]&gt;0.12,IF(Table1[[#This Row],[Gross Profit]]&gt;10000,"Invest","Review"),"Low YTM")</f>
        <v>Low YTM</v>
      </c>
    </row>
    <row r="1237" spans="1:33" x14ac:dyDescent="0.3">
      <c r="A1237" t="str">
        <f>RTD("nest.scriprtd",,"nse_cm|SCL25A-BH","Symbol")</f>
        <v>SCL25A</v>
      </c>
      <c r="B1237" t="str">
        <f>RTD("nest.scriprtd",,"nse_cm|SCL25A-BH","Trading Symbol")</f>
        <v>SCL25A-BH</v>
      </c>
      <c r="C1237" t="str">
        <f>RTD("nest.scriprtd",,"nse_cm|SCL25A-BH","Exchange")</f>
        <v>NSE</v>
      </c>
      <c r="D1237">
        <f>RTD("nest.scriprtd",,"nse_cm|SCL25A-BH","Bid Qty")</f>
        <v>9</v>
      </c>
      <c r="E1237">
        <f>RTD("nest.scriprtd",,"nse_cm|SCL25A-BH","Bid Rate")</f>
        <v>820.3</v>
      </c>
      <c r="F1237">
        <f>RTD("nest.scriprtd",,"nse_cm|SCL25A-BH","Ask Rate")</f>
        <v>0</v>
      </c>
      <c r="G1237">
        <f>RTD("nest.scriprtd",,"nse_cm|SCL25A-BH","Ask Qty")</f>
        <v>0</v>
      </c>
      <c r="H1237">
        <f>RTD("nest.scriprtd",,"nse_cm|SCL25A-BH","LTP")</f>
        <v>0</v>
      </c>
      <c r="I1237" t="str">
        <f>RTD("nest.scriprtd",,"nse_cm|SCL25A-BH","LTT")</f>
        <v/>
      </c>
      <c r="J1237">
        <f>RTD("nest.scriprtd",,"nse_cm|SCL25A-BH","% Change")</f>
        <v>-100</v>
      </c>
      <c r="K1237">
        <f>RTD("nest.scriprtd",,"nse_cm|SCL25A-BH","ATP")</f>
        <v>0</v>
      </c>
      <c r="L1237">
        <f>RTD("nest.scriprtd",,"nse_cm|SCL25A-BH","Volume Traded Today")</f>
        <v>0</v>
      </c>
      <c r="M1237">
        <f>RTD("nest.scriprtd",,"nse_cm|SCL25A-BH","Open")</f>
        <v>0</v>
      </c>
      <c r="N1237">
        <f>RTD("nest.scriprtd",,"nse_cm|SCL25A-BH","High")</f>
        <v>0</v>
      </c>
      <c r="O1237">
        <f>RTD("nest.scriprtd",,"nse_cm|SCL25A-BH","Low ")</f>
        <v>0</v>
      </c>
      <c r="P1237">
        <f>RTD("nest.scriprtd",,"nse_cm|SCL25A-BH","Prev Close")</f>
        <v>1000</v>
      </c>
      <c r="Q1237">
        <f>RTD("nest.scriprtd",,"nse_cm|SCL25A-BH","Face Value")</f>
        <v>1000</v>
      </c>
      <c r="R1237" t="str">
        <f>RTD("nest.scriprtd",,"nse_cm|SCL25A-BH","Isin code")</f>
        <v>INE148I07PE9</v>
      </c>
      <c r="S1237" s="9">
        <f>Table1[[#This Row],[Ask Rate]]*Table1[[#This Row],[Ask Qty]]</f>
        <v>0</v>
      </c>
      <c r="T1237" t="str">
        <f>VLOOKUP(Table1[[#This Row],[Isin code]],Table2[#All],7,FALSE)</f>
        <v>--</v>
      </c>
      <c r="U1237" s="17" t="str">
        <f>VLOOKUP(Table1[[#This Row],[Isin code]],Table2[#All],8,FALSE)</f>
        <v>26-Sep-2025</v>
      </c>
      <c r="V1237" s="10">
        <f ca="1">Table1[[#This Row],[Maturity]]-TODAY()</f>
        <v>345</v>
      </c>
      <c r="W1237" t="str">
        <f>VLOOKUP(Table1[[#This Row],[Isin code]],Table2[#All],10,FALSE)</f>
        <v>At the End</v>
      </c>
      <c r="X1237">
        <f ca="1">_xlfn.DAYS(Table1[[#This Row],[Maturity]],TODAY())-15</f>
        <v>330</v>
      </c>
      <c r="Y123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37">
        <f>IF(Table1[[#This Row],[Ask Rate]]=0,0,Table1[[#This Row],[Face Value]]-Table1[[#This Row],[Ask Rate]])</f>
        <v>0</v>
      </c>
      <c r="AA123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37">
        <f>Table1[[#This Row],[Face Value]]*Table1[[#This Row],[Rate]]*Table1[[#This Row],[Time]]</f>
        <v>0</v>
      </c>
      <c r="AC1237">
        <f>Table1[[#This Row],[SI]]+Table1[[#This Row],[Disc/Prem]]</f>
        <v>0</v>
      </c>
      <c r="AD1237" s="3" t="e">
        <f>Table1[[#This Row],[Net Gain]]/Table1[[#This Row],[Ask Rate]]</f>
        <v>#DIV/0!</v>
      </c>
      <c r="AE1237" s="3">
        <f>IF(Table1[[#This Row],[Ask Qty]]=0,0,Table1[[#This Row],[Gross Yield]]*365/Table1[[#This Row],[Days Left]])</f>
        <v>0</v>
      </c>
      <c r="AF1237" s="9">
        <f>+Table1[[#This Row],[Net Gain]]*Table1[[#This Row],[Ask Qty]]</f>
        <v>0</v>
      </c>
      <c r="AG1237" t="str">
        <f>IF(Table1[[#This Row],[YTM]]&gt;0.12,IF(Table1[[#This Row],[Gross Profit]]&gt;10000,"Invest","Review"),"Low YTM")</f>
        <v>Low YTM</v>
      </c>
    </row>
    <row r="1238" spans="1:33" x14ac:dyDescent="0.3">
      <c r="A1238" t="str">
        <f>RTD("nest.scriprtd",,"bse_cm|SCL25A","Symbol")</f>
        <v>SCL25A</v>
      </c>
      <c r="B1238" t="str">
        <f>RTD("nest.scriprtd",,"bse_cm|SCL25A","Trading Symbol")</f>
        <v>SCL25A</v>
      </c>
      <c r="C1238" t="str">
        <f>RTD("nest.scriprtd",,"bse_cm|SCL25A","Exchange")</f>
        <v>BSE</v>
      </c>
      <c r="D1238">
        <f>RTD("nest.scriprtd",,"bse_cm|SCL25A","Bid Qty")</f>
        <v>22</v>
      </c>
      <c r="E1238">
        <f>RTD("nest.scriprtd",,"bse_cm|SCL25A","Bid Rate")</f>
        <v>885.2</v>
      </c>
      <c r="F1238">
        <f>RTD("nest.scriprtd",,"bse_cm|SCL25A","Ask Rate")</f>
        <v>0</v>
      </c>
      <c r="G1238">
        <f>RTD("nest.scriprtd",,"bse_cm|SCL25A","Ask Qty")</f>
        <v>0</v>
      </c>
      <c r="H1238">
        <f>RTD("nest.scriprtd",,"bse_cm|SCL25A","LTP")</f>
        <v>0</v>
      </c>
      <c r="I1238" t="str">
        <f>RTD("nest.scriprtd",,"bse_cm|SCL25A","LTT")</f>
        <v>00:00:00</v>
      </c>
      <c r="J1238">
        <f>RTD("nest.scriprtd",,"bse_cm|SCL25A","% Change")</f>
        <v>-100</v>
      </c>
      <c r="K1238">
        <f>RTD("nest.scriprtd",,"bse_cm|SCL25A","ATP")</f>
        <v>0</v>
      </c>
      <c r="L1238">
        <f>RTD("nest.scriprtd",,"bse_cm|SCL25A","Volume Traded Today")</f>
        <v>0</v>
      </c>
      <c r="M1238">
        <f>RTD("nest.scriprtd",,"bse_cm|SCL25A","Open")</f>
        <v>0</v>
      </c>
      <c r="N1238">
        <f>RTD("nest.scriprtd",,"bse_cm|SCL25A","High")</f>
        <v>0</v>
      </c>
      <c r="O1238">
        <f>RTD("nest.scriprtd",,"bse_cm|SCL25A","Low ")</f>
        <v>0</v>
      </c>
      <c r="P1238">
        <f>RTD("nest.scriprtd",,"bse_cm|SCL25A","Prev Close")</f>
        <v>1000</v>
      </c>
      <c r="Q1238">
        <f>RTD("nest.scriprtd",,"bse_cm|SCL25A","Face Value")</f>
        <v>1000</v>
      </c>
      <c r="R1238" t="str">
        <f>RTD("nest.scriprtd",,"bse_cm|SCL25A","Isin code")</f>
        <v>INE148I07PE9</v>
      </c>
      <c r="S1238" s="9">
        <f>Table1[[#This Row],[Ask Rate]]*Table1[[#This Row],[Ask Qty]]</f>
        <v>0</v>
      </c>
      <c r="T1238" t="str">
        <f>VLOOKUP(Table1[[#This Row],[Isin code]],Table2[#All],7,FALSE)</f>
        <v>--</v>
      </c>
      <c r="U1238" s="17" t="str">
        <f>VLOOKUP(Table1[[#This Row],[Isin code]],Table2[#All],8,FALSE)</f>
        <v>26-Sep-2025</v>
      </c>
      <c r="V1238" s="10">
        <f ca="1">Table1[[#This Row],[Maturity]]-TODAY()</f>
        <v>345</v>
      </c>
      <c r="W1238" t="str">
        <f>VLOOKUP(Table1[[#This Row],[Isin code]],Table2[#All],10,FALSE)</f>
        <v>At the End</v>
      </c>
      <c r="X1238">
        <f ca="1">_xlfn.DAYS(Table1[[#This Row],[Maturity]],TODAY())-15</f>
        <v>330</v>
      </c>
      <c r="Y123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38">
        <f>IF(Table1[[#This Row],[Ask Rate]]=0,0,Table1[[#This Row],[Face Value]]-Table1[[#This Row],[Ask Rate]])</f>
        <v>0</v>
      </c>
      <c r="AA123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38">
        <f>Table1[[#This Row],[Face Value]]*Table1[[#This Row],[Rate]]*Table1[[#This Row],[Time]]</f>
        <v>0</v>
      </c>
      <c r="AC1238">
        <f>Table1[[#This Row],[SI]]+Table1[[#This Row],[Disc/Prem]]</f>
        <v>0</v>
      </c>
      <c r="AD1238" s="3" t="e">
        <f>Table1[[#This Row],[Net Gain]]/Table1[[#This Row],[Ask Rate]]</f>
        <v>#DIV/0!</v>
      </c>
      <c r="AE1238" s="3">
        <f>IF(Table1[[#This Row],[Ask Qty]]=0,0,Table1[[#This Row],[Gross Yield]]*365/Table1[[#This Row],[Days Left]])</f>
        <v>0</v>
      </c>
      <c r="AF1238" s="9">
        <f>+Table1[[#This Row],[Net Gain]]*Table1[[#This Row],[Ask Qty]]</f>
        <v>0</v>
      </c>
      <c r="AG1238" t="str">
        <f>IF(Table1[[#This Row],[YTM]]&gt;0.12,IF(Table1[[#This Row],[Gross Profit]]&gt;10000,"Invest","Review"),"Low YTM")</f>
        <v>Low YTM</v>
      </c>
    </row>
    <row r="1239" spans="1:33" hidden="1" x14ac:dyDescent="0.3">
      <c r="A1239" t="str">
        <f>RTD("nest.scriprtd",,"bse_cm|SCL22","Symbol")</f>
        <v>SCL22</v>
      </c>
      <c r="B1239" t="str">
        <f>RTD("nest.scriprtd",,"bse_cm|SCL22","Trading Symbol")</f>
        <v>SCL22</v>
      </c>
      <c r="C1239" t="str">
        <f>RTD("nest.scriprtd",,"bse_cm|SCL22","Exchange")</f>
        <v>BSE</v>
      </c>
      <c r="D1239">
        <f>RTD("nest.scriprtd",,"bse_cm|SCL22","Bid Qty")</f>
        <v>25</v>
      </c>
      <c r="E1239">
        <f>RTD("nest.scriprtd",,"bse_cm|SCL22","Bid Rate")</f>
        <v>960.2</v>
      </c>
      <c r="F1239">
        <f>RTD("nest.scriprtd",,"bse_cm|SCL22","Ask Rate")</f>
        <v>0</v>
      </c>
      <c r="G1239">
        <f>RTD("nest.scriprtd",,"bse_cm|SCL22","Ask Qty")</f>
        <v>0</v>
      </c>
      <c r="H1239">
        <f>RTD("nest.scriprtd",,"bse_cm|SCL22","LTP")</f>
        <v>0</v>
      </c>
      <c r="I1239" t="str">
        <f>RTD("nest.scriprtd",,"bse_cm|SCL22","LTT")</f>
        <v>00:00:00</v>
      </c>
      <c r="J1239">
        <f>RTD("nest.scriprtd",,"bse_cm|SCL22","% Change")</f>
        <v>-100</v>
      </c>
      <c r="K1239">
        <f>RTD("nest.scriprtd",,"bse_cm|SCL22","ATP")</f>
        <v>0</v>
      </c>
      <c r="L1239">
        <f>RTD("nest.scriprtd",,"bse_cm|SCL22","Volume Traded Today")</f>
        <v>0</v>
      </c>
      <c r="M1239">
        <f>RTD("nest.scriprtd",,"bse_cm|SCL22","Open")</f>
        <v>0</v>
      </c>
      <c r="N1239">
        <f>RTD("nest.scriprtd",,"bse_cm|SCL22","High")</f>
        <v>0</v>
      </c>
      <c r="O1239">
        <f>RTD("nest.scriprtd",,"bse_cm|SCL22","Low ")</f>
        <v>0</v>
      </c>
      <c r="P1239">
        <f>RTD("nest.scriprtd",,"bse_cm|SCL22","Prev Close")</f>
        <v>1000</v>
      </c>
      <c r="Q1239">
        <f>RTD("nest.scriprtd",,"bse_cm|SCL22","Face Value")</f>
        <v>1000</v>
      </c>
      <c r="R1239" t="str">
        <f>RTD("nest.scriprtd",,"bse_cm|SCL22","Isin code")</f>
        <v>INE148I07MP2</v>
      </c>
      <c r="S1239" s="9">
        <f>Table1[[#This Row],[Ask Rate]]*Table1[[#This Row],[Ask Qty]]</f>
        <v>0</v>
      </c>
      <c r="T1239" t="str">
        <f>VLOOKUP(Table1[[#This Row],[Isin code]],Table2[#All],7,FALSE)</f>
        <v>--</v>
      </c>
      <c r="U1239" s="17" t="str">
        <f>VLOOKUP(Table1[[#This Row],[Isin code]],Table2[#All],8,FALSE)</f>
        <v>03-Nov-2024</v>
      </c>
      <c r="V1239" s="10">
        <f ca="1">Table1[[#This Row],[Maturity]]-TODAY()</f>
        <v>18</v>
      </c>
      <c r="W1239" t="str">
        <f>VLOOKUP(Table1[[#This Row],[Isin code]],Table2[#All],10,FALSE)</f>
        <v>At the End</v>
      </c>
      <c r="X1239">
        <f ca="1">_xlfn.DAYS(Table1[[#This Row],[Maturity]],TODAY())-15</f>
        <v>3</v>
      </c>
      <c r="Y123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39">
        <f>IF(Table1[[#This Row],[Ask Rate]]=0,0,Table1[[#This Row],[Face Value]]-Table1[[#This Row],[Ask Rate]])</f>
        <v>0</v>
      </c>
      <c r="AA123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39">
        <f>Table1[[#This Row],[Face Value]]*Table1[[#This Row],[Rate]]*Table1[[#This Row],[Time]]</f>
        <v>0</v>
      </c>
      <c r="AC1239">
        <f>Table1[[#This Row],[SI]]+Table1[[#This Row],[Disc/Prem]]</f>
        <v>0</v>
      </c>
      <c r="AD1239" s="3" t="e">
        <f>Table1[[#This Row],[Net Gain]]/Table1[[#This Row],[Ask Rate]]</f>
        <v>#DIV/0!</v>
      </c>
      <c r="AE1239" s="3">
        <f>IF(Table1[[#This Row],[Ask Qty]]=0,0,Table1[[#This Row],[Gross Yield]]*365/Table1[[#This Row],[Days Left]])</f>
        <v>0</v>
      </c>
      <c r="AF1239" s="9">
        <f>+Table1[[#This Row],[Net Gain]]*Table1[[#This Row],[Ask Qty]]</f>
        <v>0</v>
      </c>
      <c r="AG1239" t="str">
        <f>IF(Table1[[#This Row],[YTM]]&gt;0.12,IF(Table1[[#This Row],[Gross Profit]]&gt;10000,"Invest","Review"),"Low YTM")</f>
        <v>Low YTM</v>
      </c>
    </row>
    <row r="1240" spans="1:33" x14ac:dyDescent="0.3">
      <c r="A1240" t="str">
        <f>RTD("nest.scriprtd",,"nse_cm|SCFL310524-ZE","Symbol")</f>
        <v>SCFL310524</v>
      </c>
      <c r="B1240" t="str">
        <f>RTD("nest.scriprtd",,"nse_cm|SCFL310524-ZE","Trading Symbol")</f>
        <v>SCFL310524-ZE</v>
      </c>
      <c r="C1240" t="str">
        <f>RTD("nest.scriprtd",,"nse_cm|SCFL310524-ZE","Exchange")</f>
        <v>NSE</v>
      </c>
      <c r="D1240">
        <f>RTD("nest.scriprtd",,"nse_cm|SCFL310524-ZE","Bid Qty")</f>
        <v>40</v>
      </c>
      <c r="E1240">
        <f>RTD("nest.scriprtd",,"nse_cm|SCFL310524-ZE","Bid Rate")</f>
        <v>827.2</v>
      </c>
      <c r="F1240">
        <f>RTD("nest.scriprtd",,"nse_cm|SCFL310524-ZE","Ask Rate")</f>
        <v>0</v>
      </c>
      <c r="G1240">
        <f>RTD("nest.scriprtd",,"nse_cm|SCFL310524-ZE","Ask Qty")</f>
        <v>0</v>
      </c>
      <c r="H1240">
        <f>RTD("nest.scriprtd",,"nse_cm|SCFL310524-ZE","LTP")</f>
        <v>0</v>
      </c>
      <c r="I1240" t="str">
        <f>RTD("nest.scriprtd",,"nse_cm|SCFL310524-ZE","LTT")</f>
        <v/>
      </c>
      <c r="J1240">
        <f>RTD("nest.scriprtd",,"nse_cm|SCFL310524-ZE","% Change")</f>
        <v>-100</v>
      </c>
      <c r="K1240">
        <f>RTD("nest.scriprtd",,"nse_cm|SCFL310524-ZE","ATP")</f>
        <v>0</v>
      </c>
      <c r="L1240">
        <f>RTD("nest.scriprtd",,"nse_cm|SCFL310524-ZE","Volume Traded Today")</f>
        <v>0</v>
      </c>
      <c r="M1240">
        <f>RTD("nest.scriprtd",,"nse_cm|SCFL310524-ZE","Open")</f>
        <v>0</v>
      </c>
      <c r="N1240">
        <f>RTD("nest.scriprtd",,"nse_cm|SCFL310524-ZE","High")</f>
        <v>0</v>
      </c>
      <c r="O1240">
        <f>RTD("nest.scriprtd",,"nse_cm|SCFL310524-ZE","Low ")</f>
        <v>0</v>
      </c>
      <c r="P1240">
        <f>RTD("nest.scriprtd",,"nse_cm|SCFL310524-ZE","Prev Close")</f>
        <v>1000</v>
      </c>
      <c r="Q1240">
        <f>RTD("nest.scriprtd",,"nse_cm|SCFL310524-ZE","Face Value")</f>
        <v>1000</v>
      </c>
      <c r="R1240" t="str">
        <f>RTD("nest.scriprtd",,"nse_cm|SCFL310524-ZE","Isin code")</f>
        <v>INE148I07TB7</v>
      </c>
      <c r="S1240" s="9">
        <f>Table1[[#This Row],[Ask Rate]]*Table1[[#This Row],[Ask Qty]]</f>
        <v>0</v>
      </c>
      <c r="T1240" t="str">
        <f>VLOOKUP(Table1[[#This Row],[Isin code]],Table2[#All],7,FALSE)</f>
        <v>--</v>
      </c>
      <c r="U1240" s="17" t="str">
        <f>VLOOKUP(Table1[[#This Row],[Isin code]],Table2[#All],8,FALSE)</f>
        <v>31-May-2026</v>
      </c>
      <c r="V1240" s="10">
        <f ca="1">Table1[[#This Row],[Maturity]]-TODAY()</f>
        <v>592</v>
      </c>
      <c r="W1240" t="str">
        <f>VLOOKUP(Table1[[#This Row],[Isin code]],Table2[#All],10,FALSE)</f>
        <v>At the End</v>
      </c>
      <c r="X1240">
        <f ca="1">_xlfn.DAYS(Table1[[#This Row],[Maturity]],TODAY())-15</f>
        <v>577</v>
      </c>
      <c r="Y124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0">
        <f>IF(Table1[[#This Row],[Ask Rate]]=0,0,Table1[[#This Row],[Face Value]]-Table1[[#This Row],[Ask Rate]])</f>
        <v>0</v>
      </c>
      <c r="AA124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0">
        <f>Table1[[#This Row],[Face Value]]*Table1[[#This Row],[Rate]]*Table1[[#This Row],[Time]]</f>
        <v>0</v>
      </c>
      <c r="AC1240">
        <f>Table1[[#This Row],[SI]]+Table1[[#This Row],[Disc/Prem]]</f>
        <v>0</v>
      </c>
      <c r="AD1240" s="3" t="e">
        <f>Table1[[#This Row],[Net Gain]]/Table1[[#This Row],[Ask Rate]]</f>
        <v>#DIV/0!</v>
      </c>
      <c r="AE1240" s="3">
        <f>IF(Table1[[#This Row],[Ask Qty]]=0,0,Table1[[#This Row],[Gross Yield]]*365/Table1[[#This Row],[Days Left]])</f>
        <v>0</v>
      </c>
      <c r="AF1240" s="9">
        <f>+Table1[[#This Row],[Net Gain]]*Table1[[#This Row],[Ask Qty]]</f>
        <v>0</v>
      </c>
      <c r="AG1240" t="str">
        <f>IF(Table1[[#This Row],[YTM]]&gt;0.12,IF(Table1[[#This Row],[Gross Profit]]&gt;10000,"Invest","Review"),"Low YTM")</f>
        <v>Low YTM</v>
      </c>
    </row>
    <row r="1241" spans="1:33" x14ac:dyDescent="0.3">
      <c r="A1241" t="str">
        <f>RTD("nest.scriprtd",,"bse_cm|SCFL310524","Symbol")</f>
        <v>SCFL310524</v>
      </c>
      <c r="B1241" t="str">
        <f>RTD("nest.scriprtd",,"bse_cm|SCFL310524","Trading Symbol")</f>
        <v>SCFL310524</v>
      </c>
      <c r="C1241" t="str">
        <f>RTD("nest.scriprtd",,"bse_cm|SCFL310524","Exchange")</f>
        <v>BSE</v>
      </c>
      <c r="D1241">
        <f>RTD("nest.scriprtd",,"bse_cm|SCFL310524","Bid Qty")</f>
        <v>10</v>
      </c>
      <c r="E1241">
        <f>RTD("nest.scriprtd",,"bse_cm|SCFL310524","Bid Rate")</f>
        <v>854.2</v>
      </c>
      <c r="F1241">
        <f>RTD("nest.scriprtd",,"bse_cm|SCFL310524","Ask Rate")</f>
        <v>0</v>
      </c>
      <c r="G1241">
        <f>RTD("nest.scriprtd",,"bse_cm|SCFL310524","Ask Qty")</f>
        <v>0</v>
      </c>
      <c r="H1241">
        <f>RTD("nest.scriprtd",,"bse_cm|SCFL310524","LTP")</f>
        <v>0</v>
      </c>
      <c r="I1241" t="str">
        <f>RTD("nest.scriprtd",,"bse_cm|SCFL310524","LTT")</f>
        <v>00:00:00</v>
      </c>
      <c r="J1241">
        <f>RTD("nest.scriprtd",,"bse_cm|SCFL310524","% Change")</f>
        <v>-100</v>
      </c>
      <c r="K1241">
        <f>RTD("nest.scriprtd",,"bse_cm|SCFL310524","ATP")</f>
        <v>0</v>
      </c>
      <c r="L1241">
        <f>RTD("nest.scriprtd",,"bse_cm|SCFL310524","Volume Traded Today")</f>
        <v>0</v>
      </c>
      <c r="M1241">
        <f>RTD("nest.scriprtd",,"bse_cm|SCFL310524","Open")</f>
        <v>0</v>
      </c>
      <c r="N1241">
        <f>RTD("nest.scriprtd",,"bse_cm|SCFL310524","High")</f>
        <v>0</v>
      </c>
      <c r="O1241">
        <f>RTD("nest.scriprtd",,"bse_cm|SCFL310524","Low ")</f>
        <v>0</v>
      </c>
      <c r="P1241">
        <f>RTD("nest.scriprtd",,"bse_cm|SCFL310524","Prev Close")</f>
        <v>1000</v>
      </c>
      <c r="Q1241">
        <f>RTD("nest.scriprtd",,"bse_cm|SCFL310524","Face Value")</f>
        <v>1000</v>
      </c>
      <c r="R1241" t="str">
        <f>RTD("nest.scriprtd",,"bse_cm|SCFL310524","Isin code")</f>
        <v>INE148I07TB7</v>
      </c>
      <c r="S1241" s="9">
        <f>Table1[[#This Row],[Ask Rate]]*Table1[[#This Row],[Ask Qty]]</f>
        <v>0</v>
      </c>
      <c r="T1241" t="str">
        <f>VLOOKUP(Table1[[#This Row],[Isin code]],Table2[#All],7,FALSE)</f>
        <v>--</v>
      </c>
      <c r="U1241" s="17" t="str">
        <f>VLOOKUP(Table1[[#This Row],[Isin code]],Table2[#All],8,FALSE)</f>
        <v>31-May-2026</v>
      </c>
      <c r="V1241" s="10">
        <f ca="1">Table1[[#This Row],[Maturity]]-TODAY()</f>
        <v>592</v>
      </c>
      <c r="W1241" t="str">
        <f>VLOOKUP(Table1[[#This Row],[Isin code]],Table2[#All],10,FALSE)</f>
        <v>At the End</v>
      </c>
      <c r="X1241">
        <f ca="1">_xlfn.DAYS(Table1[[#This Row],[Maturity]],TODAY())-15</f>
        <v>577</v>
      </c>
      <c r="Y124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1">
        <f>IF(Table1[[#This Row],[Ask Rate]]=0,0,Table1[[#This Row],[Face Value]]-Table1[[#This Row],[Ask Rate]])</f>
        <v>0</v>
      </c>
      <c r="AA124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1">
        <f>Table1[[#This Row],[Face Value]]*Table1[[#This Row],[Rate]]*Table1[[#This Row],[Time]]</f>
        <v>0</v>
      </c>
      <c r="AC1241">
        <f>Table1[[#This Row],[SI]]+Table1[[#This Row],[Disc/Prem]]</f>
        <v>0</v>
      </c>
      <c r="AD1241" s="3" t="e">
        <f>Table1[[#This Row],[Net Gain]]/Table1[[#This Row],[Ask Rate]]</f>
        <v>#DIV/0!</v>
      </c>
      <c r="AE1241" s="3">
        <f>IF(Table1[[#This Row],[Ask Qty]]=0,0,Table1[[#This Row],[Gross Yield]]*365/Table1[[#This Row],[Days Left]])</f>
        <v>0</v>
      </c>
      <c r="AF1241" s="9">
        <f>+Table1[[#This Row],[Net Gain]]*Table1[[#This Row],[Ask Qty]]</f>
        <v>0</v>
      </c>
      <c r="AG1241" t="str">
        <f>IF(Table1[[#This Row],[YTM]]&gt;0.12,IF(Table1[[#This Row],[Gross Profit]]&gt;10000,"Invest","Review"),"Low YTM")</f>
        <v>Low YTM</v>
      </c>
    </row>
    <row r="1242" spans="1:33" hidden="1" x14ac:dyDescent="0.3">
      <c r="A1242" t="str">
        <f>RTD("nest.scriprtd",,"bse_cm|RFLNIFT25","Symbol")</f>
        <v>RFLNIFT25</v>
      </c>
      <c r="B1242" t="str">
        <f>RTD("nest.scriprtd",,"bse_cm|RFLNIFT25","Trading Symbol")</f>
        <v>RFLNIFT25</v>
      </c>
      <c r="C1242" t="str">
        <f>RTD("nest.scriprtd",,"bse_cm|RFLNIFT25","Exchange")</f>
        <v>BSE</v>
      </c>
      <c r="D1242">
        <f>RTD("nest.scriprtd",,"bse_cm|RFLNIFT25","Bid Qty")</f>
        <v>0</v>
      </c>
      <c r="E1242">
        <f>RTD("nest.scriprtd",,"bse_cm|RFLNIFT25","Bid Rate")</f>
        <v>0</v>
      </c>
      <c r="F1242">
        <f>RTD("nest.scriprtd",,"bse_cm|RFLNIFT25","Ask Rate")</f>
        <v>0</v>
      </c>
      <c r="G1242">
        <f>RTD("nest.scriprtd",,"bse_cm|RFLNIFT25","Ask Qty")</f>
        <v>0</v>
      </c>
      <c r="H1242">
        <f>RTD("nest.scriprtd",,"bse_cm|RFLNIFT25","LTP")</f>
        <v>0</v>
      </c>
      <c r="I1242" t="str">
        <f>RTD("nest.scriprtd",,"bse_cm|RFLNIFT25","LTT")</f>
        <v>00:00:00</v>
      </c>
      <c r="J1242">
        <f>RTD("nest.scriprtd",,"bse_cm|RFLNIFT25","% Change")</f>
        <v>-100</v>
      </c>
      <c r="K1242">
        <f>RTD("nest.scriprtd",,"bse_cm|RFLNIFT25","ATP")</f>
        <v>0</v>
      </c>
      <c r="L1242">
        <f>RTD("nest.scriprtd",,"bse_cm|RFLNIFT25","Volume Traded Today")</f>
        <v>0</v>
      </c>
      <c r="M1242">
        <f>RTD("nest.scriprtd",,"bse_cm|RFLNIFT25","Open")</f>
        <v>0</v>
      </c>
      <c r="N1242">
        <f>RTD("nest.scriprtd",,"bse_cm|RFLNIFT25","High")</f>
        <v>0</v>
      </c>
      <c r="O1242">
        <f>RTD("nest.scriprtd",,"bse_cm|RFLNIFT25","Low ")</f>
        <v>0</v>
      </c>
      <c r="P1242">
        <f>RTD("nest.scriprtd",,"bse_cm|RFLNIFT25","Prev Close")</f>
        <v>100000</v>
      </c>
      <c r="Q1242">
        <f>RTD("nest.scriprtd",,"bse_cm|RFLNIFT25","Face Value")</f>
        <v>100000</v>
      </c>
      <c r="R1242" t="str">
        <f>RTD("nest.scriprtd",,"bse_cm|RFLNIFT25","Isin code")</f>
        <v>INE504L07CE5</v>
      </c>
      <c r="S1242" s="9">
        <f>Table1[[#This Row],[Ask Rate]]*Table1[[#This Row],[Ask Qty]]</f>
        <v>0</v>
      </c>
      <c r="T1242" t="str">
        <f>VLOOKUP(Table1[[#This Row],[Isin code]],Table2[#All],7,FALSE)</f>
        <v>--</v>
      </c>
      <c r="U1242" s="17" t="str">
        <f>VLOOKUP(Table1[[#This Row],[Isin code]],Table2[#All],8,FALSE)</f>
        <v>07-Jan-2025</v>
      </c>
      <c r="V1242" s="10">
        <f ca="1">Table1[[#This Row],[Maturity]]-TODAY()</f>
        <v>83</v>
      </c>
      <c r="W1242" t="str">
        <f>VLOOKUP(Table1[[#This Row],[Isin code]],Table2[#All],10,FALSE)</f>
        <v>CUMULATIVE</v>
      </c>
      <c r="X1242">
        <f ca="1">_xlfn.DAYS(Table1[[#This Row],[Maturity]],TODAY())-15</f>
        <v>68</v>
      </c>
      <c r="Y124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2">
        <f>IF(Table1[[#This Row],[Ask Rate]]=0,0,Table1[[#This Row],[Face Value]]-Table1[[#This Row],[Ask Rate]])</f>
        <v>0</v>
      </c>
      <c r="AA124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2">
        <f>Table1[[#This Row],[Face Value]]*Table1[[#This Row],[Rate]]*Table1[[#This Row],[Time]]</f>
        <v>0</v>
      </c>
      <c r="AC1242">
        <f>Table1[[#This Row],[SI]]+Table1[[#This Row],[Disc/Prem]]</f>
        <v>0</v>
      </c>
      <c r="AD1242" s="3" t="e">
        <f>Table1[[#This Row],[Net Gain]]/Table1[[#This Row],[Ask Rate]]</f>
        <v>#DIV/0!</v>
      </c>
      <c r="AE1242" s="3">
        <f>IF(Table1[[#This Row],[Ask Qty]]=0,0,Table1[[#This Row],[Gross Yield]]*365/Table1[[#This Row],[Days Left]])</f>
        <v>0</v>
      </c>
      <c r="AF1242" s="9">
        <f>+Table1[[#This Row],[Net Gain]]*Table1[[#This Row],[Ask Qty]]</f>
        <v>0</v>
      </c>
      <c r="AG1242" t="str">
        <f>IF(Table1[[#This Row],[YTM]]&gt;0.12,IF(Table1[[#This Row],[Gross Profit]]&gt;10000,"Invest","Review"),"Low YTM")</f>
        <v>Low YTM</v>
      </c>
    </row>
    <row r="1243" spans="1:33" x14ac:dyDescent="0.3">
      <c r="A1243" t="str">
        <f>RTD("nest.scriprtd",,"bse_cm|NIDO28","Symbol")</f>
        <v>NIDO28</v>
      </c>
      <c r="B1243" t="str">
        <f>RTD("nest.scriprtd",,"bse_cm|NIDO28","Trading Symbol")</f>
        <v>NIDO28</v>
      </c>
      <c r="C1243" t="str">
        <f>RTD("nest.scriprtd",,"bse_cm|NIDO28","Exchange")</f>
        <v>BSE</v>
      </c>
      <c r="D1243">
        <f>RTD("nest.scriprtd",,"bse_cm|NIDO28","Bid Qty")</f>
        <v>100</v>
      </c>
      <c r="E1243">
        <f>RTD("nest.scriprtd",,"bse_cm|NIDO28","Bid Rate")</f>
        <v>905.8</v>
      </c>
      <c r="F1243">
        <f>RTD("nest.scriprtd",,"bse_cm|NIDO28","Ask Rate")</f>
        <v>0</v>
      </c>
      <c r="G1243">
        <f>RTD("nest.scriprtd",,"bse_cm|NIDO28","Ask Qty")</f>
        <v>0</v>
      </c>
      <c r="H1243">
        <f>RTD("nest.scriprtd",,"bse_cm|NIDO28","LTP")</f>
        <v>0</v>
      </c>
      <c r="I1243" t="str">
        <f>RTD("nest.scriprtd",,"bse_cm|NIDO28","LTT")</f>
        <v>00:00:00</v>
      </c>
      <c r="J1243">
        <f>RTD("nest.scriprtd",,"bse_cm|NIDO28","% Change")</f>
        <v>-100</v>
      </c>
      <c r="K1243">
        <f>RTD("nest.scriprtd",,"bse_cm|NIDO28","ATP")</f>
        <v>0</v>
      </c>
      <c r="L1243">
        <f>RTD("nest.scriprtd",,"bse_cm|NIDO28","Volume Traded Today")</f>
        <v>0</v>
      </c>
      <c r="M1243">
        <f>RTD("nest.scriprtd",,"bse_cm|NIDO28","Open")</f>
        <v>0</v>
      </c>
      <c r="N1243">
        <f>RTD("nest.scriprtd",,"bse_cm|NIDO28","High")</f>
        <v>0</v>
      </c>
      <c r="O1243">
        <f>RTD("nest.scriprtd",,"bse_cm|NIDO28","Low ")</f>
        <v>0</v>
      </c>
      <c r="P1243">
        <f>RTD("nest.scriprtd",,"bse_cm|NIDO28","Prev Close")</f>
        <v>1000</v>
      </c>
      <c r="Q1243">
        <f>RTD("nest.scriprtd",,"bse_cm|NIDO28","Face Value")</f>
        <v>1000</v>
      </c>
      <c r="R1243" t="str">
        <f>RTD("nest.scriprtd",,"bse_cm|NIDO28","Isin code")</f>
        <v>INE530L07533</v>
      </c>
      <c r="S1243" s="9">
        <f>Table1[[#This Row],[Ask Rate]]*Table1[[#This Row],[Ask Qty]]</f>
        <v>0</v>
      </c>
      <c r="T1243" t="str">
        <f>VLOOKUP(Table1[[#This Row],[Isin code]],Table2[#All],7,FALSE)</f>
        <v>--</v>
      </c>
      <c r="U1243" s="17" t="str">
        <f>VLOOKUP(Table1[[#This Row],[Isin code]],Table2[#All],8,FALSE)</f>
        <v>15-Sep-2028</v>
      </c>
      <c r="V1243" s="10">
        <f ca="1">Table1[[#This Row],[Maturity]]-TODAY()</f>
        <v>1430</v>
      </c>
      <c r="W1243" t="str">
        <f>VLOOKUP(Table1[[#This Row],[Isin code]],Table2[#All],10,FALSE)</f>
        <v>At the End</v>
      </c>
      <c r="X1243">
        <f ca="1">_xlfn.DAYS(Table1[[#This Row],[Maturity]],TODAY())-15</f>
        <v>1415</v>
      </c>
      <c r="Y124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3">
        <f>IF(Table1[[#This Row],[Ask Rate]]=0,0,Table1[[#This Row],[Face Value]]-Table1[[#This Row],[Ask Rate]])</f>
        <v>0</v>
      </c>
      <c r="AA124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3">
        <f>Table1[[#This Row],[Face Value]]*Table1[[#This Row],[Rate]]*Table1[[#This Row],[Time]]</f>
        <v>0</v>
      </c>
      <c r="AC1243">
        <f>Table1[[#This Row],[SI]]+Table1[[#This Row],[Disc/Prem]]</f>
        <v>0</v>
      </c>
      <c r="AD1243" s="3" t="e">
        <f>Table1[[#This Row],[Net Gain]]/Table1[[#This Row],[Ask Rate]]</f>
        <v>#DIV/0!</v>
      </c>
      <c r="AE1243" s="3">
        <f>IF(Table1[[#This Row],[Ask Qty]]=0,0,Table1[[#This Row],[Gross Yield]]*365/Table1[[#This Row],[Days Left]])</f>
        <v>0</v>
      </c>
      <c r="AF1243" s="9">
        <f>+Table1[[#This Row],[Net Gain]]*Table1[[#This Row],[Ask Qty]]</f>
        <v>0</v>
      </c>
      <c r="AG1243" t="str">
        <f>IF(Table1[[#This Row],[YTM]]&gt;0.12,IF(Table1[[#This Row],[Gross Profit]]&gt;10000,"Invest","Review"),"Low YTM")</f>
        <v>Low YTM</v>
      </c>
    </row>
    <row r="1244" spans="1:33" x14ac:dyDescent="0.3">
      <c r="A1244" t="str">
        <f>RTD("nest.scriprtd",,"bse_cm|NIDO26","Symbol")</f>
        <v>NIDO26</v>
      </c>
      <c r="B1244" t="str">
        <f>RTD("nest.scriprtd",,"bse_cm|NIDO26","Trading Symbol")</f>
        <v>NIDO26</v>
      </c>
      <c r="C1244" t="str">
        <f>RTD("nest.scriprtd",,"bse_cm|NIDO26","Exchange")</f>
        <v>BSE</v>
      </c>
      <c r="D1244">
        <f>RTD("nest.scriprtd",,"bse_cm|NIDO26","Bid Qty")</f>
        <v>10</v>
      </c>
      <c r="E1244">
        <f>RTD("nest.scriprtd",,"bse_cm|NIDO26","Bid Rate")</f>
        <v>920.2</v>
      </c>
      <c r="F1244">
        <f>RTD("nest.scriprtd",,"bse_cm|NIDO26","Ask Rate")</f>
        <v>0</v>
      </c>
      <c r="G1244">
        <f>RTD("nest.scriprtd",,"bse_cm|NIDO26","Ask Qty")</f>
        <v>0</v>
      </c>
      <c r="H1244">
        <f>RTD("nest.scriprtd",,"bse_cm|NIDO26","LTP")</f>
        <v>0</v>
      </c>
      <c r="I1244" t="str">
        <f>RTD("nest.scriprtd",,"bse_cm|NIDO26","LTT")</f>
        <v>00:00:00</v>
      </c>
      <c r="J1244">
        <f>RTD("nest.scriprtd",,"bse_cm|NIDO26","% Change")</f>
        <v>-100</v>
      </c>
      <c r="K1244">
        <f>RTD("nest.scriprtd",,"bse_cm|NIDO26","ATP")</f>
        <v>0</v>
      </c>
      <c r="L1244">
        <f>RTD("nest.scriprtd",,"bse_cm|NIDO26","Volume Traded Today")</f>
        <v>0</v>
      </c>
      <c r="M1244">
        <f>RTD("nest.scriprtd",,"bse_cm|NIDO26","Open")</f>
        <v>0</v>
      </c>
      <c r="N1244">
        <f>RTD("nest.scriprtd",,"bse_cm|NIDO26","High")</f>
        <v>1032.8</v>
      </c>
      <c r="O1244">
        <f>RTD("nest.scriprtd",,"bse_cm|NIDO26","Low ")</f>
        <v>1032.8</v>
      </c>
      <c r="P1244">
        <f>RTD("nest.scriprtd",,"bse_cm|NIDO26","Prev Close")</f>
        <v>1032.8</v>
      </c>
      <c r="Q1244">
        <f>RTD("nest.scriprtd",,"bse_cm|NIDO26","Face Value")</f>
        <v>1000</v>
      </c>
      <c r="R1244" t="str">
        <f>RTD("nest.scriprtd",,"bse_cm|NIDO26","Isin code")</f>
        <v>INE530L07558</v>
      </c>
      <c r="S1244" s="9">
        <f>Table1[[#This Row],[Ask Rate]]*Table1[[#This Row],[Ask Qty]]</f>
        <v>0</v>
      </c>
      <c r="T1244" t="str">
        <f>VLOOKUP(Table1[[#This Row],[Isin code]],Table2[#All],7,FALSE)</f>
        <v>--</v>
      </c>
      <c r="U1244" s="17" t="str">
        <f>VLOOKUP(Table1[[#This Row],[Isin code]],Table2[#All],8,FALSE)</f>
        <v>15-Sep-2026</v>
      </c>
      <c r="V1244" s="10">
        <f ca="1">Table1[[#This Row],[Maturity]]-TODAY()</f>
        <v>699</v>
      </c>
      <c r="W1244" t="str">
        <f>VLOOKUP(Table1[[#This Row],[Isin code]],Table2[#All],10,FALSE)</f>
        <v>At the End</v>
      </c>
      <c r="X1244">
        <f ca="1">_xlfn.DAYS(Table1[[#This Row],[Maturity]],TODAY())-15</f>
        <v>684</v>
      </c>
      <c r="Y124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4">
        <f>IF(Table1[[#This Row],[Ask Rate]]=0,0,Table1[[#This Row],[Face Value]]-Table1[[#This Row],[Ask Rate]])</f>
        <v>0</v>
      </c>
      <c r="AA124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4">
        <f>Table1[[#This Row],[Face Value]]*Table1[[#This Row],[Rate]]*Table1[[#This Row],[Time]]</f>
        <v>0</v>
      </c>
      <c r="AC1244">
        <f>Table1[[#This Row],[SI]]+Table1[[#This Row],[Disc/Prem]]</f>
        <v>0</v>
      </c>
      <c r="AD1244" s="3" t="e">
        <f>Table1[[#This Row],[Net Gain]]/Table1[[#This Row],[Ask Rate]]</f>
        <v>#DIV/0!</v>
      </c>
      <c r="AE1244" s="3">
        <f>IF(Table1[[#This Row],[Ask Qty]]=0,0,Table1[[#This Row],[Gross Yield]]*365/Table1[[#This Row],[Days Left]])</f>
        <v>0</v>
      </c>
      <c r="AF1244" s="9">
        <f>+Table1[[#This Row],[Net Gain]]*Table1[[#This Row],[Ask Qty]]</f>
        <v>0</v>
      </c>
      <c r="AG1244" t="str">
        <f>IF(Table1[[#This Row],[YTM]]&gt;0.12,IF(Table1[[#This Row],[Gross Profit]]&gt;10000,"Invest","Review"),"Low YTM")</f>
        <v>Low YTM</v>
      </c>
    </row>
    <row r="1245" spans="1:33" x14ac:dyDescent="0.3">
      <c r="A1245" t="str">
        <f>RTD("nest.scriprtd",,"bse_cm|NIDO25A","Symbol")</f>
        <v>NIDO25A</v>
      </c>
      <c r="B1245" t="str">
        <f>RTD("nest.scriprtd",,"bse_cm|NIDO25A","Trading Symbol")</f>
        <v>NIDO25A</v>
      </c>
      <c r="C1245" t="str">
        <f>RTD("nest.scriprtd",,"bse_cm|NIDO25A","Exchange")</f>
        <v>BSE</v>
      </c>
      <c r="D1245">
        <f>RTD("nest.scriprtd",,"bse_cm|NIDO25A","Bid Qty")</f>
        <v>1</v>
      </c>
      <c r="E1245">
        <f>RTD("nest.scriprtd",,"bse_cm|NIDO25A","Bid Rate")</f>
        <v>1040</v>
      </c>
      <c r="F1245">
        <f>RTD("nest.scriprtd",,"bse_cm|NIDO25A","Ask Rate")</f>
        <v>0</v>
      </c>
      <c r="G1245">
        <f>RTD("nest.scriprtd",,"bse_cm|NIDO25A","Ask Qty")</f>
        <v>0</v>
      </c>
      <c r="H1245">
        <f>RTD("nest.scriprtd",,"bse_cm|NIDO25A","LTP")</f>
        <v>0</v>
      </c>
      <c r="I1245" t="str">
        <f>RTD("nest.scriprtd",,"bse_cm|NIDO25A","LTT")</f>
        <v>00:00:00</v>
      </c>
      <c r="J1245">
        <f>RTD("nest.scriprtd",,"bse_cm|NIDO25A","% Change")</f>
        <v>-100</v>
      </c>
      <c r="K1245">
        <f>RTD("nest.scriprtd",,"bse_cm|NIDO25A","ATP")</f>
        <v>0</v>
      </c>
      <c r="L1245">
        <f>RTD("nest.scriprtd",,"bse_cm|NIDO25A","Volume Traded Today")</f>
        <v>0</v>
      </c>
      <c r="M1245">
        <f>RTD("nest.scriprtd",,"bse_cm|NIDO25A","Open")</f>
        <v>0</v>
      </c>
      <c r="N1245">
        <f>RTD("nest.scriprtd",,"bse_cm|NIDO25A","High")</f>
        <v>991</v>
      </c>
      <c r="O1245">
        <f>RTD("nest.scriprtd",,"bse_cm|NIDO25A","Low ")</f>
        <v>991</v>
      </c>
      <c r="P1245">
        <f>RTD("nest.scriprtd",,"bse_cm|NIDO25A","Prev Close")</f>
        <v>991</v>
      </c>
      <c r="Q1245">
        <f>RTD("nest.scriprtd",,"bse_cm|NIDO25A","Face Value")</f>
        <v>1000</v>
      </c>
      <c r="R1245" t="str">
        <f>RTD("nest.scriprtd",,"bse_cm|NIDO25A","Isin code")</f>
        <v>INE530L07574</v>
      </c>
      <c r="S1245" s="9">
        <f>Table1[[#This Row],[Ask Rate]]*Table1[[#This Row],[Ask Qty]]</f>
        <v>0</v>
      </c>
      <c r="T1245" t="str">
        <f>VLOOKUP(Table1[[#This Row],[Isin code]],Table2[#All],7,FALSE)</f>
        <v>--</v>
      </c>
      <c r="U1245" s="17" t="str">
        <f>VLOOKUP(Table1[[#This Row],[Isin code]],Table2[#All],8,FALSE)</f>
        <v>15-Sep-2025</v>
      </c>
      <c r="V1245" s="10">
        <f ca="1">Table1[[#This Row],[Maturity]]-TODAY()</f>
        <v>334</v>
      </c>
      <c r="W1245" t="str">
        <f>VLOOKUP(Table1[[#This Row],[Isin code]],Table2[#All],10,FALSE)</f>
        <v>At the End</v>
      </c>
      <c r="X1245">
        <f ca="1">_xlfn.DAYS(Table1[[#This Row],[Maturity]],TODAY())-15</f>
        <v>319</v>
      </c>
      <c r="Y124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5">
        <f>IF(Table1[[#This Row],[Ask Rate]]=0,0,Table1[[#This Row],[Face Value]]-Table1[[#This Row],[Ask Rate]])</f>
        <v>0</v>
      </c>
      <c r="AA124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5">
        <f>Table1[[#This Row],[Face Value]]*Table1[[#This Row],[Rate]]*Table1[[#This Row],[Time]]</f>
        <v>0</v>
      </c>
      <c r="AC1245">
        <f>Table1[[#This Row],[SI]]+Table1[[#This Row],[Disc/Prem]]</f>
        <v>0</v>
      </c>
      <c r="AD1245" s="3" t="e">
        <f>Table1[[#This Row],[Net Gain]]/Table1[[#This Row],[Ask Rate]]</f>
        <v>#DIV/0!</v>
      </c>
      <c r="AE1245" s="3">
        <f>IF(Table1[[#This Row],[Ask Qty]]=0,0,Table1[[#This Row],[Gross Yield]]*365/Table1[[#This Row],[Days Left]])</f>
        <v>0</v>
      </c>
      <c r="AF1245" s="9">
        <f>+Table1[[#This Row],[Net Gain]]*Table1[[#This Row],[Ask Qty]]</f>
        <v>0</v>
      </c>
      <c r="AG1245" t="str">
        <f>IF(Table1[[#This Row],[YTM]]&gt;0.12,IF(Table1[[#This Row],[Gross Profit]]&gt;10000,"Invest","Review"),"Low YTM")</f>
        <v>Low YTM</v>
      </c>
    </row>
    <row r="1246" spans="1:33" x14ac:dyDescent="0.3">
      <c r="A1246" t="str">
        <f>RTD("nest.scriprtd",,"bse_cm|NIDO010329","Symbol")</f>
        <v>NIDO010329</v>
      </c>
      <c r="B1246" t="str">
        <f>RTD("nest.scriprtd",,"bse_cm|NIDO010329","Trading Symbol")</f>
        <v>NIDO010329</v>
      </c>
      <c r="C1246" t="str">
        <f>RTD("nest.scriprtd",,"bse_cm|NIDO010329","Exchange")</f>
        <v>BSE</v>
      </c>
      <c r="D1246">
        <f>RTD("nest.scriprtd",,"bse_cm|NIDO010329","Bid Qty")</f>
        <v>15</v>
      </c>
      <c r="E1246">
        <f>RTD("nest.scriprtd",,"bse_cm|NIDO010329","Bid Rate")</f>
        <v>845.2</v>
      </c>
      <c r="F1246">
        <f>RTD("nest.scriprtd",,"bse_cm|NIDO010329","Ask Rate")</f>
        <v>0</v>
      </c>
      <c r="G1246">
        <f>RTD("nest.scriprtd",,"bse_cm|NIDO010329","Ask Qty")</f>
        <v>0</v>
      </c>
      <c r="H1246">
        <f>RTD("nest.scriprtd",,"bse_cm|NIDO010329","LTP")</f>
        <v>0</v>
      </c>
      <c r="I1246" t="str">
        <f>RTD("nest.scriprtd",,"bse_cm|NIDO010329","LTT")</f>
        <v>00:00:00</v>
      </c>
      <c r="J1246">
        <f>RTD("nest.scriprtd",,"bse_cm|NIDO010329","% Change")</f>
        <v>-100</v>
      </c>
      <c r="K1246">
        <f>RTD("nest.scriprtd",,"bse_cm|NIDO010329","ATP")</f>
        <v>0</v>
      </c>
      <c r="L1246">
        <f>RTD("nest.scriprtd",,"bse_cm|NIDO010329","Volume Traded Today")</f>
        <v>0</v>
      </c>
      <c r="M1246">
        <f>RTD("nest.scriprtd",,"bse_cm|NIDO010329","Open")</f>
        <v>0</v>
      </c>
      <c r="N1246">
        <f>RTD("nest.scriprtd",,"bse_cm|NIDO010329","High")</f>
        <v>0</v>
      </c>
      <c r="O1246">
        <f>RTD("nest.scriprtd",,"bse_cm|NIDO010329","Low ")</f>
        <v>0</v>
      </c>
      <c r="P1246">
        <f>RTD("nest.scriprtd",,"bse_cm|NIDO010329","Prev Close")</f>
        <v>1000</v>
      </c>
      <c r="Q1246">
        <f>RTD("nest.scriprtd",,"bse_cm|NIDO010329","Face Value")</f>
        <v>1000</v>
      </c>
      <c r="R1246" t="str">
        <f>RTD("nest.scriprtd",,"bse_cm|NIDO010329","Isin code")</f>
        <v>INE530L07723</v>
      </c>
      <c r="S1246" s="9">
        <f>Table1[[#This Row],[Ask Rate]]*Table1[[#This Row],[Ask Qty]]</f>
        <v>0</v>
      </c>
      <c r="T1246" t="str">
        <f>VLOOKUP(Table1[[#This Row],[Isin code]],Table2[#All],7,FALSE)</f>
        <v>--</v>
      </c>
      <c r="U1246" s="17" t="str">
        <f>VLOOKUP(Table1[[#This Row],[Isin code]],Table2[#All],8,FALSE)</f>
        <v>01-Mar-2029</v>
      </c>
      <c r="V1246" s="10">
        <f ca="1">Table1[[#This Row],[Maturity]]-TODAY()</f>
        <v>1597</v>
      </c>
      <c r="W1246" t="str">
        <f>VLOOKUP(Table1[[#This Row],[Isin code]],Table2[#All],10,FALSE)</f>
        <v>At the End</v>
      </c>
      <c r="X1246">
        <f ca="1">_xlfn.DAYS(Table1[[#This Row],[Maturity]],TODAY())-15</f>
        <v>1582</v>
      </c>
      <c r="Y124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6">
        <f>IF(Table1[[#This Row],[Ask Rate]]=0,0,Table1[[#This Row],[Face Value]]-Table1[[#This Row],[Ask Rate]])</f>
        <v>0</v>
      </c>
      <c r="AA124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6">
        <f>Table1[[#This Row],[Face Value]]*Table1[[#This Row],[Rate]]*Table1[[#This Row],[Time]]</f>
        <v>0</v>
      </c>
      <c r="AC1246">
        <f>Table1[[#This Row],[SI]]+Table1[[#This Row],[Disc/Prem]]</f>
        <v>0</v>
      </c>
      <c r="AD1246" s="3" t="e">
        <f>Table1[[#This Row],[Net Gain]]/Table1[[#This Row],[Ask Rate]]</f>
        <v>#DIV/0!</v>
      </c>
      <c r="AE1246" s="3">
        <f>IF(Table1[[#This Row],[Ask Qty]]=0,0,Table1[[#This Row],[Gross Yield]]*365/Table1[[#This Row],[Days Left]])</f>
        <v>0</v>
      </c>
      <c r="AF1246" s="9">
        <f>+Table1[[#This Row],[Net Gain]]*Table1[[#This Row],[Ask Qty]]</f>
        <v>0</v>
      </c>
      <c r="AG1246" t="str">
        <f>IF(Table1[[#This Row],[YTM]]&gt;0.12,IF(Table1[[#This Row],[Gross Profit]]&gt;10000,"Invest","Review"),"Low YTM")</f>
        <v>Low YTM</v>
      </c>
    </row>
    <row r="1247" spans="1:33" x14ac:dyDescent="0.3">
      <c r="A1247" t="str">
        <f>RTD("nest.scriprtd",,"bse_cm|NIDO010327","Symbol")</f>
        <v>NIDO010327</v>
      </c>
      <c r="B1247" t="str">
        <f>RTD("nest.scriprtd",,"bse_cm|NIDO010327","Trading Symbol")</f>
        <v>NIDO010327</v>
      </c>
      <c r="C1247" t="str">
        <f>RTD("nest.scriprtd",,"bse_cm|NIDO010327","Exchange")</f>
        <v>BSE</v>
      </c>
      <c r="D1247">
        <f>RTD("nest.scriprtd",,"bse_cm|NIDO010327","Bid Qty")</f>
        <v>12</v>
      </c>
      <c r="E1247">
        <f>RTD("nest.scriprtd",,"bse_cm|NIDO010327","Bid Rate")</f>
        <v>847.2</v>
      </c>
      <c r="F1247">
        <f>RTD("nest.scriprtd",,"bse_cm|NIDO010327","Ask Rate")</f>
        <v>0</v>
      </c>
      <c r="G1247">
        <f>RTD("nest.scriprtd",,"bse_cm|NIDO010327","Ask Qty")</f>
        <v>0</v>
      </c>
      <c r="H1247">
        <f>RTD("nest.scriprtd",,"bse_cm|NIDO010327","LTP")</f>
        <v>0</v>
      </c>
      <c r="I1247" t="str">
        <f>RTD("nest.scriprtd",,"bse_cm|NIDO010327","LTT")</f>
        <v>00:00:00</v>
      </c>
      <c r="J1247">
        <f>RTD("nest.scriprtd",,"bse_cm|NIDO010327","% Change")</f>
        <v>-100</v>
      </c>
      <c r="K1247">
        <f>RTD("nest.scriprtd",,"bse_cm|NIDO010327","ATP")</f>
        <v>0</v>
      </c>
      <c r="L1247">
        <f>RTD("nest.scriprtd",,"bse_cm|NIDO010327","Volume Traded Today")</f>
        <v>0</v>
      </c>
      <c r="M1247">
        <f>RTD("nest.scriprtd",,"bse_cm|NIDO010327","Open")</f>
        <v>0</v>
      </c>
      <c r="N1247">
        <f>RTD("nest.scriprtd",,"bse_cm|NIDO010327","High")</f>
        <v>0</v>
      </c>
      <c r="O1247">
        <f>RTD("nest.scriprtd",,"bse_cm|NIDO010327","Low ")</f>
        <v>0</v>
      </c>
      <c r="P1247">
        <f>RTD("nest.scriprtd",,"bse_cm|NIDO010327","Prev Close")</f>
        <v>1000</v>
      </c>
      <c r="Q1247">
        <f>RTD("nest.scriprtd",,"bse_cm|NIDO010327","Face Value")</f>
        <v>1000</v>
      </c>
      <c r="R1247" t="str">
        <f>RTD("nest.scriprtd",,"bse_cm|NIDO010327","Isin code")</f>
        <v>INE530L07699</v>
      </c>
      <c r="S1247" s="9">
        <f>Table1[[#This Row],[Ask Rate]]*Table1[[#This Row],[Ask Qty]]</f>
        <v>0</v>
      </c>
      <c r="T1247" t="str">
        <f>VLOOKUP(Table1[[#This Row],[Isin code]],Table2[#All],7,FALSE)</f>
        <v>--</v>
      </c>
      <c r="U1247" s="17" t="str">
        <f>VLOOKUP(Table1[[#This Row],[Isin code]],Table2[#All],8,FALSE)</f>
        <v>01-Mar-2027</v>
      </c>
      <c r="V1247" s="10">
        <f ca="1">Table1[[#This Row],[Maturity]]-TODAY()</f>
        <v>866</v>
      </c>
      <c r="W1247" t="str">
        <f>VLOOKUP(Table1[[#This Row],[Isin code]],Table2[#All],10,FALSE)</f>
        <v>At the End</v>
      </c>
      <c r="X1247">
        <f ca="1">_xlfn.DAYS(Table1[[#This Row],[Maturity]],TODAY())-15</f>
        <v>851</v>
      </c>
      <c r="Y124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7">
        <f>IF(Table1[[#This Row],[Ask Rate]]=0,0,Table1[[#This Row],[Face Value]]-Table1[[#This Row],[Ask Rate]])</f>
        <v>0</v>
      </c>
      <c r="AA124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7">
        <f>Table1[[#This Row],[Face Value]]*Table1[[#This Row],[Rate]]*Table1[[#This Row],[Time]]</f>
        <v>0</v>
      </c>
      <c r="AC1247">
        <f>Table1[[#This Row],[SI]]+Table1[[#This Row],[Disc/Prem]]</f>
        <v>0</v>
      </c>
      <c r="AD1247" s="3" t="e">
        <f>Table1[[#This Row],[Net Gain]]/Table1[[#This Row],[Ask Rate]]</f>
        <v>#DIV/0!</v>
      </c>
      <c r="AE1247" s="3">
        <f>IF(Table1[[#This Row],[Ask Qty]]=0,0,Table1[[#This Row],[Gross Yield]]*365/Table1[[#This Row],[Days Left]])</f>
        <v>0</v>
      </c>
      <c r="AF1247" s="9">
        <f>+Table1[[#This Row],[Net Gain]]*Table1[[#This Row],[Ask Qty]]</f>
        <v>0</v>
      </c>
      <c r="AG1247" t="str">
        <f>IF(Table1[[#This Row],[YTM]]&gt;0.12,IF(Table1[[#This Row],[Gross Profit]]&gt;10000,"Invest","Review"),"Low YTM")</f>
        <v>Low YTM</v>
      </c>
    </row>
    <row r="1248" spans="1:33" x14ac:dyDescent="0.3">
      <c r="A1248" t="str">
        <f>RTD("nest.scriprtd",,"bse_cm|NIDO010326","Symbol")</f>
        <v>NIDO010326</v>
      </c>
      <c r="B1248" t="str">
        <f>RTD("nest.scriprtd",,"bse_cm|NIDO010326","Trading Symbol")</f>
        <v>NIDO010326</v>
      </c>
      <c r="C1248" t="str">
        <f>RTD("nest.scriprtd",,"bse_cm|NIDO010326","Exchange")</f>
        <v>BSE</v>
      </c>
      <c r="D1248">
        <f>RTD("nest.scriprtd",,"bse_cm|NIDO010326","Bid Qty")</f>
        <v>25</v>
      </c>
      <c r="E1248">
        <f>RTD("nest.scriprtd",,"bse_cm|NIDO010326","Bid Rate")</f>
        <v>846</v>
      </c>
      <c r="F1248">
        <f>RTD("nest.scriprtd",,"bse_cm|NIDO010326","Ask Rate")</f>
        <v>0</v>
      </c>
      <c r="G1248">
        <f>RTD("nest.scriprtd",,"bse_cm|NIDO010326","Ask Qty")</f>
        <v>0</v>
      </c>
      <c r="H1248">
        <f>RTD("nest.scriprtd",,"bse_cm|NIDO010326","LTP")</f>
        <v>0</v>
      </c>
      <c r="I1248" t="str">
        <f>RTD("nest.scriprtd",,"bse_cm|NIDO010326","LTT")</f>
        <v>00:00:00</v>
      </c>
      <c r="J1248">
        <f>RTD("nest.scriprtd",,"bse_cm|NIDO010326","% Change")</f>
        <v>-100</v>
      </c>
      <c r="K1248">
        <f>RTD("nest.scriprtd",,"bse_cm|NIDO010326","ATP")</f>
        <v>0</v>
      </c>
      <c r="L1248">
        <f>RTD("nest.scriprtd",,"bse_cm|NIDO010326","Volume Traded Today")</f>
        <v>0</v>
      </c>
      <c r="M1248">
        <f>RTD("nest.scriprtd",,"bse_cm|NIDO010326","Open")</f>
        <v>0</v>
      </c>
      <c r="N1248">
        <f>RTD("nest.scriprtd",,"bse_cm|NIDO010326","High")</f>
        <v>999</v>
      </c>
      <c r="O1248">
        <f>RTD("nest.scriprtd",,"bse_cm|NIDO010326","Low ")</f>
        <v>999</v>
      </c>
      <c r="P1248">
        <f>RTD("nest.scriprtd",,"bse_cm|NIDO010326","Prev Close")</f>
        <v>999</v>
      </c>
      <c r="Q1248">
        <f>RTD("nest.scriprtd",,"bse_cm|NIDO010326","Face Value")</f>
        <v>1000</v>
      </c>
      <c r="R1248" t="str">
        <f>RTD("nest.scriprtd",,"bse_cm|NIDO010326","Isin code")</f>
        <v>INE530L07657</v>
      </c>
      <c r="S1248" s="9">
        <f>Table1[[#This Row],[Ask Rate]]*Table1[[#This Row],[Ask Qty]]</f>
        <v>0</v>
      </c>
      <c r="T1248" t="str">
        <f>VLOOKUP(Table1[[#This Row],[Isin code]],Table2[#All],7,FALSE)</f>
        <v>--</v>
      </c>
      <c r="U1248" s="17" t="str">
        <f>VLOOKUP(Table1[[#This Row],[Isin code]],Table2[#All],8,FALSE)</f>
        <v>01-Mar-2026</v>
      </c>
      <c r="V1248" s="10">
        <f ca="1">Table1[[#This Row],[Maturity]]-TODAY()</f>
        <v>501</v>
      </c>
      <c r="W1248" t="str">
        <f>VLOOKUP(Table1[[#This Row],[Isin code]],Table2[#All],10,FALSE)</f>
        <v>At the End</v>
      </c>
      <c r="X1248">
        <f ca="1">_xlfn.DAYS(Table1[[#This Row],[Maturity]],TODAY())-15</f>
        <v>486</v>
      </c>
      <c r="Y124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8">
        <f>IF(Table1[[#This Row],[Ask Rate]]=0,0,Table1[[#This Row],[Face Value]]-Table1[[#This Row],[Ask Rate]])</f>
        <v>0</v>
      </c>
      <c r="AA124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8">
        <f>Table1[[#This Row],[Face Value]]*Table1[[#This Row],[Rate]]*Table1[[#This Row],[Time]]</f>
        <v>0</v>
      </c>
      <c r="AC1248">
        <f>Table1[[#This Row],[SI]]+Table1[[#This Row],[Disc/Prem]]</f>
        <v>0</v>
      </c>
      <c r="AD1248" s="3" t="e">
        <f>Table1[[#This Row],[Net Gain]]/Table1[[#This Row],[Ask Rate]]</f>
        <v>#DIV/0!</v>
      </c>
      <c r="AE1248" s="3">
        <f>IF(Table1[[#This Row],[Ask Qty]]=0,0,Table1[[#This Row],[Gross Yield]]*365/Table1[[#This Row],[Days Left]])</f>
        <v>0</v>
      </c>
      <c r="AF1248" s="9">
        <f>+Table1[[#This Row],[Net Gain]]*Table1[[#This Row],[Ask Qty]]</f>
        <v>0</v>
      </c>
      <c r="AG1248" t="str">
        <f>IF(Table1[[#This Row],[YTM]]&gt;0.12,IF(Table1[[#This Row],[Gross Profit]]&gt;10000,"Invest","Review"),"Low YTM")</f>
        <v>Low YTM</v>
      </c>
    </row>
    <row r="1249" spans="1:33" x14ac:dyDescent="0.3">
      <c r="A1249" t="str">
        <f>RTD("nest.scriprtd",,"bse_cm|MML28A","Symbol")</f>
        <v>MML28A</v>
      </c>
      <c r="B1249" t="str">
        <f>RTD("nest.scriprtd",,"bse_cm|MML28A","Trading Symbol")</f>
        <v>MML28A</v>
      </c>
      <c r="C1249" t="str">
        <f>RTD("nest.scriprtd",,"bse_cm|MML28A","Exchange")</f>
        <v>BSE</v>
      </c>
      <c r="D1249">
        <f>RTD("nest.scriprtd",,"bse_cm|MML28A","Bid Qty")</f>
        <v>20</v>
      </c>
      <c r="E1249">
        <f>RTD("nest.scriprtd",,"bse_cm|MML28A","Bid Rate")</f>
        <v>850.2</v>
      </c>
      <c r="F1249">
        <f>RTD("nest.scriprtd",,"bse_cm|MML28A","Ask Rate")</f>
        <v>0</v>
      </c>
      <c r="G1249">
        <f>RTD("nest.scriprtd",,"bse_cm|MML28A","Ask Qty")</f>
        <v>0</v>
      </c>
      <c r="H1249">
        <f>RTD("nest.scriprtd",,"bse_cm|MML28A","LTP")</f>
        <v>0</v>
      </c>
      <c r="I1249" t="str">
        <f>RTD("nest.scriprtd",,"bse_cm|MML28A","LTT")</f>
        <v>00:00:00</v>
      </c>
      <c r="J1249">
        <f>RTD("nest.scriprtd",,"bse_cm|MML28A","% Change")</f>
        <v>-100</v>
      </c>
      <c r="K1249">
        <f>RTD("nest.scriprtd",,"bse_cm|MML28A","ATP")</f>
        <v>0</v>
      </c>
      <c r="L1249">
        <f>RTD("nest.scriprtd",,"bse_cm|MML28A","Volume Traded Today")</f>
        <v>0</v>
      </c>
      <c r="M1249">
        <f>RTD("nest.scriprtd",,"bse_cm|MML28A","Open")</f>
        <v>0</v>
      </c>
      <c r="N1249">
        <f>RTD("nest.scriprtd",,"bse_cm|MML28A","High")</f>
        <v>1197.4000000000001</v>
      </c>
      <c r="O1249">
        <f>RTD("nest.scriprtd",,"bse_cm|MML28A","Low ")</f>
        <v>847.85</v>
      </c>
      <c r="P1249">
        <f>RTD("nest.scriprtd",,"bse_cm|MML28A","Prev Close")</f>
        <v>847.85</v>
      </c>
      <c r="Q1249">
        <f>RTD("nest.scriprtd",,"bse_cm|MML28A","Face Value")</f>
        <v>1000</v>
      </c>
      <c r="R1249" t="str">
        <f>RTD("nest.scriprtd",,"bse_cm|MML28A","Isin code")</f>
        <v>INE05F407BQ4</v>
      </c>
      <c r="S1249" s="9">
        <f>Table1[[#This Row],[Ask Rate]]*Table1[[#This Row],[Ask Qty]]</f>
        <v>0</v>
      </c>
      <c r="T1249" t="str">
        <f>VLOOKUP(Table1[[#This Row],[Isin code]],Table2[#All],7,FALSE)</f>
        <v>--</v>
      </c>
      <c r="U1249" s="17" t="str">
        <f>VLOOKUP(Table1[[#This Row],[Isin code]],Table2[#All],8,FALSE)</f>
        <v>21-Dec-2028</v>
      </c>
      <c r="V1249" s="10">
        <f ca="1">Table1[[#This Row],[Maturity]]-TODAY()</f>
        <v>1527</v>
      </c>
      <c r="W1249" t="str">
        <f>VLOOKUP(Table1[[#This Row],[Isin code]],Table2[#All],10,FALSE)</f>
        <v>At the End</v>
      </c>
      <c r="X1249">
        <f ca="1">_xlfn.DAYS(Table1[[#This Row],[Maturity]],TODAY())-15</f>
        <v>1512</v>
      </c>
      <c r="Y124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49">
        <f>IF(Table1[[#This Row],[Ask Rate]]=0,0,Table1[[#This Row],[Face Value]]-Table1[[#This Row],[Ask Rate]])</f>
        <v>0</v>
      </c>
      <c r="AA124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49">
        <f>Table1[[#This Row],[Face Value]]*Table1[[#This Row],[Rate]]*Table1[[#This Row],[Time]]</f>
        <v>0</v>
      </c>
      <c r="AC1249">
        <f>Table1[[#This Row],[SI]]+Table1[[#This Row],[Disc/Prem]]</f>
        <v>0</v>
      </c>
      <c r="AD1249" s="3" t="e">
        <f>Table1[[#This Row],[Net Gain]]/Table1[[#This Row],[Ask Rate]]</f>
        <v>#DIV/0!</v>
      </c>
      <c r="AE1249" s="3">
        <f>IF(Table1[[#This Row],[Ask Qty]]=0,0,Table1[[#This Row],[Gross Yield]]*365/Table1[[#This Row],[Days Left]])</f>
        <v>0</v>
      </c>
      <c r="AF1249" s="9">
        <f>+Table1[[#This Row],[Net Gain]]*Table1[[#This Row],[Ask Qty]]</f>
        <v>0</v>
      </c>
      <c r="AG1249" t="str">
        <f>IF(Table1[[#This Row],[YTM]]&gt;0.12,IF(Table1[[#This Row],[Gross Profit]]&gt;10000,"Invest","Review"),"Low YTM")</f>
        <v>Low YTM</v>
      </c>
    </row>
    <row r="1250" spans="1:33" x14ac:dyDescent="0.3">
      <c r="A1250" t="str">
        <f>RTD("nest.scriprtd",,"bse_cm|MML27524A","Symbol")</f>
        <v>MML27524A</v>
      </c>
      <c r="B1250" t="str">
        <f>RTD("nest.scriprtd",,"bse_cm|MML27524A","Trading Symbol")</f>
        <v>MML27524A</v>
      </c>
      <c r="C1250" t="str">
        <f>RTD("nest.scriprtd",,"bse_cm|MML27524A","Exchange")</f>
        <v>BSE</v>
      </c>
      <c r="D1250">
        <f>RTD("nest.scriprtd",,"bse_cm|MML27524A","Bid Qty")</f>
        <v>22</v>
      </c>
      <c r="E1250">
        <f>RTD("nest.scriprtd",,"bse_cm|MML27524A","Bid Rate")</f>
        <v>860.2</v>
      </c>
      <c r="F1250">
        <f>RTD("nest.scriprtd",,"bse_cm|MML27524A","Ask Rate")</f>
        <v>0</v>
      </c>
      <c r="G1250">
        <f>RTD("nest.scriprtd",,"bse_cm|MML27524A","Ask Qty")</f>
        <v>0</v>
      </c>
      <c r="H1250">
        <f>RTD("nest.scriprtd",,"bse_cm|MML27524A","LTP")</f>
        <v>0</v>
      </c>
      <c r="I1250" t="str">
        <f>RTD("nest.scriprtd",,"bse_cm|MML27524A","LTT")</f>
        <v>00:00:00</v>
      </c>
      <c r="J1250">
        <f>RTD("nest.scriprtd",,"bse_cm|MML27524A","% Change")</f>
        <v>-100</v>
      </c>
      <c r="K1250">
        <f>RTD("nest.scriprtd",,"bse_cm|MML27524A","ATP")</f>
        <v>0</v>
      </c>
      <c r="L1250">
        <f>RTD("nest.scriprtd",,"bse_cm|MML27524A","Volume Traded Today")</f>
        <v>0</v>
      </c>
      <c r="M1250">
        <f>RTD("nest.scriprtd",,"bse_cm|MML27524A","Open")</f>
        <v>0</v>
      </c>
      <c r="N1250">
        <f>RTD("nest.scriprtd",,"bse_cm|MML27524A","High")</f>
        <v>0</v>
      </c>
      <c r="O1250">
        <f>RTD("nest.scriprtd",,"bse_cm|MML27524A","Low ")</f>
        <v>0</v>
      </c>
      <c r="P1250">
        <f>RTD("nest.scriprtd",,"bse_cm|MML27524A","Prev Close")</f>
        <v>1000</v>
      </c>
      <c r="Q1250">
        <f>RTD("nest.scriprtd",,"bse_cm|MML27524A","Face Value")</f>
        <v>1000</v>
      </c>
      <c r="R1250" t="str">
        <f>RTD("nest.scriprtd",,"bse_cm|MML27524A","Isin code")</f>
        <v>INE05F407CF5</v>
      </c>
      <c r="S1250" s="9">
        <f>Table1[[#This Row],[Ask Rate]]*Table1[[#This Row],[Ask Qty]]</f>
        <v>0</v>
      </c>
      <c r="T1250" t="str">
        <f>VLOOKUP(Table1[[#This Row],[Isin code]],Table2[#All],7,FALSE)</f>
        <v>--</v>
      </c>
      <c r="U1250" s="17" t="str">
        <f>VLOOKUP(Table1[[#This Row],[Isin code]],Table2[#All],8,FALSE)</f>
        <v>26-Nov-2025</v>
      </c>
      <c r="V1250" s="10">
        <f ca="1">Table1[[#This Row],[Maturity]]-TODAY()</f>
        <v>406</v>
      </c>
      <c r="W1250" t="str">
        <f>VLOOKUP(Table1[[#This Row],[Isin code]],Table2[#All],10,FALSE)</f>
        <v>At the End</v>
      </c>
      <c r="X1250">
        <f ca="1">_xlfn.DAYS(Table1[[#This Row],[Maturity]],TODAY())-15</f>
        <v>391</v>
      </c>
      <c r="Y125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0">
        <f>IF(Table1[[#This Row],[Ask Rate]]=0,0,Table1[[#This Row],[Face Value]]-Table1[[#This Row],[Ask Rate]])</f>
        <v>0</v>
      </c>
      <c r="AA125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0">
        <f>Table1[[#This Row],[Face Value]]*Table1[[#This Row],[Rate]]*Table1[[#This Row],[Time]]</f>
        <v>0</v>
      </c>
      <c r="AC1250">
        <f>Table1[[#This Row],[SI]]+Table1[[#This Row],[Disc/Prem]]</f>
        <v>0</v>
      </c>
      <c r="AD1250" s="3" t="e">
        <f>Table1[[#This Row],[Net Gain]]/Table1[[#This Row],[Ask Rate]]</f>
        <v>#DIV/0!</v>
      </c>
      <c r="AE1250" s="3">
        <f>IF(Table1[[#This Row],[Ask Qty]]=0,0,Table1[[#This Row],[Gross Yield]]*365/Table1[[#This Row],[Days Left]])</f>
        <v>0</v>
      </c>
      <c r="AF1250" s="9">
        <f>+Table1[[#This Row],[Net Gain]]*Table1[[#This Row],[Ask Qty]]</f>
        <v>0</v>
      </c>
      <c r="AG1250" t="str">
        <f>IF(Table1[[#This Row],[YTM]]&gt;0.12,IF(Table1[[#This Row],[Gross Profit]]&gt;10000,"Invest","Review"),"Low YTM")</f>
        <v>Low YTM</v>
      </c>
    </row>
    <row r="1251" spans="1:33" x14ac:dyDescent="0.3">
      <c r="A1251" t="str">
        <f>RTD("nest.scriprtd",,"bse_cm|MML25C","Symbol")</f>
        <v>MML25C</v>
      </c>
      <c r="B1251" t="str">
        <f>RTD("nest.scriprtd",,"bse_cm|MML25C","Trading Symbol")</f>
        <v>MML25C</v>
      </c>
      <c r="C1251" t="str">
        <f>RTD("nest.scriprtd",,"bse_cm|MML25C","Exchange")</f>
        <v>BSE</v>
      </c>
      <c r="D1251">
        <f>RTD("nest.scriprtd",,"bse_cm|MML25C","Bid Qty")</f>
        <v>45</v>
      </c>
      <c r="E1251">
        <f>RTD("nest.scriprtd",,"bse_cm|MML25C","Bid Rate")</f>
        <v>878.85</v>
      </c>
      <c r="F1251">
        <f>RTD("nest.scriprtd",,"bse_cm|MML25C","Ask Rate")</f>
        <v>0</v>
      </c>
      <c r="G1251">
        <f>RTD("nest.scriprtd",,"bse_cm|MML25C","Ask Qty")</f>
        <v>0</v>
      </c>
      <c r="H1251">
        <f>RTD("nest.scriprtd",,"bse_cm|MML25C","LTP")</f>
        <v>0</v>
      </c>
      <c r="I1251" t="str">
        <f>RTD("nest.scriprtd",,"bse_cm|MML25C","LTT")</f>
        <v>00:00:00</v>
      </c>
      <c r="J1251">
        <f>RTD("nest.scriprtd",,"bse_cm|MML25C","% Change")</f>
        <v>-100</v>
      </c>
      <c r="K1251">
        <f>RTD("nest.scriprtd",,"bse_cm|MML25C","ATP")</f>
        <v>0</v>
      </c>
      <c r="L1251">
        <f>RTD("nest.scriprtd",,"bse_cm|MML25C","Volume Traded Today")</f>
        <v>0</v>
      </c>
      <c r="M1251">
        <f>RTD("nest.scriprtd",,"bse_cm|MML25C","Open")</f>
        <v>0</v>
      </c>
      <c r="N1251">
        <f>RTD("nest.scriprtd",,"bse_cm|MML25C","High")</f>
        <v>0</v>
      </c>
      <c r="O1251">
        <f>RTD("nest.scriprtd",,"bse_cm|MML25C","Low ")</f>
        <v>0</v>
      </c>
      <c r="P1251">
        <f>RTD("nest.scriprtd",,"bse_cm|MML25C","Prev Close")</f>
        <v>1000</v>
      </c>
      <c r="Q1251">
        <f>RTD("nest.scriprtd",,"bse_cm|MML25C","Face Value")</f>
        <v>1000</v>
      </c>
      <c r="R1251" t="str">
        <f>RTD("nest.scriprtd",,"bse_cm|MML25C","Isin code")</f>
        <v>INE05F407BP6</v>
      </c>
      <c r="S1251" s="9">
        <f>Table1[[#This Row],[Ask Rate]]*Table1[[#This Row],[Ask Qty]]</f>
        <v>0</v>
      </c>
      <c r="T1251" t="str">
        <f>VLOOKUP(Table1[[#This Row],[Isin code]],Table2[#All],7,FALSE)</f>
        <v>--</v>
      </c>
      <c r="U1251" s="17" t="str">
        <f>VLOOKUP(Table1[[#This Row],[Isin code]],Table2[#All],8,FALSE)</f>
        <v>21-Dec-2025</v>
      </c>
      <c r="V1251" s="10">
        <f ca="1">Table1[[#This Row],[Maturity]]-TODAY()</f>
        <v>431</v>
      </c>
      <c r="W1251" t="str">
        <f>VLOOKUP(Table1[[#This Row],[Isin code]],Table2[#All],10,FALSE)</f>
        <v>At the End</v>
      </c>
      <c r="X1251">
        <f ca="1">_xlfn.DAYS(Table1[[#This Row],[Maturity]],TODAY())-15</f>
        <v>416</v>
      </c>
      <c r="Y125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1">
        <f>IF(Table1[[#This Row],[Ask Rate]]=0,0,Table1[[#This Row],[Face Value]]-Table1[[#This Row],[Ask Rate]])</f>
        <v>0</v>
      </c>
      <c r="AA125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1">
        <f>Table1[[#This Row],[Face Value]]*Table1[[#This Row],[Rate]]*Table1[[#This Row],[Time]]</f>
        <v>0</v>
      </c>
      <c r="AC1251">
        <f>Table1[[#This Row],[SI]]+Table1[[#This Row],[Disc/Prem]]</f>
        <v>0</v>
      </c>
      <c r="AD1251" s="3" t="e">
        <f>Table1[[#This Row],[Net Gain]]/Table1[[#This Row],[Ask Rate]]</f>
        <v>#DIV/0!</v>
      </c>
      <c r="AE1251" s="3">
        <f>IF(Table1[[#This Row],[Ask Qty]]=0,0,Table1[[#This Row],[Gross Yield]]*365/Table1[[#This Row],[Days Left]])</f>
        <v>0</v>
      </c>
      <c r="AF1251" s="9">
        <f>+Table1[[#This Row],[Net Gain]]*Table1[[#This Row],[Ask Qty]]</f>
        <v>0</v>
      </c>
      <c r="AG1251" t="str">
        <f>IF(Table1[[#This Row],[YTM]]&gt;0.12,IF(Table1[[#This Row],[Gross Profit]]&gt;10000,"Invest","Review"),"Low YTM")</f>
        <v>Low YTM</v>
      </c>
    </row>
    <row r="1252" spans="1:33" x14ac:dyDescent="0.3">
      <c r="A1252" t="str">
        <f>RTD("nest.scriprtd",,"bse_cm|MML25A","Symbol")</f>
        <v>MML25A</v>
      </c>
      <c r="B1252" t="str">
        <f>RTD("nest.scriprtd",,"bse_cm|MML25A","Trading Symbol")</f>
        <v>MML25A</v>
      </c>
      <c r="C1252" t="str">
        <f>RTD("nest.scriprtd",,"bse_cm|MML25A","Exchange")</f>
        <v>BSE</v>
      </c>
      <c r="D1252">
        <f>RTD("nest.scriprtd",,"bse_cm|MML25A","Bid Qty")</f>
        <v>20</v>
      </c>
      <c r="E1252">
        <f>RTD("nest.scriprtd",,"bse_cm|MML25A","Bid Rate")</f>
        <v>880.2</v>
      </c>
      <c r="F1252">
        <f>RTD("nest.scriprtd",,"bse_cm|MML25A","Ask Rate")</f>
        <v>0</v>
      </c>
      <c r="G1252">
        <f>RTD("nest.scriprtd",,"bse_cm|MML25A","Ask Qty")</f>
        <v>0</v>
      </c>
      <c r="H1252">
        <f>RTD("nest.scriprtd",,"bse_cm|MML25A","LTP")</f>
        <v>0</v>
      </c>
      <c r="I1252" t="str">
        <f>RTD("nest.scriprtd",,"bse_cm|MML25A","LTT")</f>
        <v>00:00:00</v>
      </c>
      <c r="J1252">
        <f>RTD("nest.scriprtd",,"bse_cm|MML25A","% Change")</f>
        <v>-100</v>
      </c>
      <c r="K1252">
        <f>RTD("nest.scriprtd",,"bse_cm|MML25A","ATP")</f>
        <v>0</v>
      </c>
      <c r="L1252">
        <f>RTD("nest.scriprtd",,"bse_cm|MML25A","Volume Traded Today")</f>
        <v>0</v>
      </c>
      <c r="M1252">
        <f>RTD("nest.scriprtd",,"bse_cm|MML25A","Open")</f>
        <v>0</v>
      </c>
      <c r="N1252">
        <f>RTD("nest.scriprtd",,"bse_cm|MML25A","High")</f>
        <v>0</v>
      </c>
      <c r="O1252">
        <f>RTD("nest.scriprtd",,"bse_cm|MML25A","Low ")</f>
        <v>0</v>
      </c>
      <c r="P1252">
        <f>RTD("nest.scriprtd",,"bse_cm|MML25A","Prev Close")</f>
        <v>1000</v>
      </c>
      <c r="Q1252">
        <f>RTD("nest.scriprtd",,"bse_cm|MML25A","Face Value")</f>
        <v>1000</v>
      </c>
      <c r="R1252" t="str">
        <f>RTD("nest.scriprtd",,"bse_cm|MML25A","Isin code")</f>
        <v>INE05F407BT8</v>
      </c>
      <c r="S1252" s="9">
        <f>Table1[[#This Row],[Ask Rate]]*Table1[[#This Row],[Ask Qty]]</f>
        <v>0</v>
      </c>
      <c r="T1252" t="str">
        <f>VLOOKUP(Table1[[#This Row],[Isin code]],Table2[#All],7,FALSE)</f>
        <v>--</v>
      </c>
      <c r="U1252" s="17" t="str">
        <f>VLOOKUP(Table1[[#This Row],[Isin code]],Table2[#All],8,FALSE)</f>
        <v>21-Jun-2025</v>
      </c>
      <c r="V1252" s="10">
        <f ca="1">Table1[[#This Row],[Maturity]]-TODAY()</f>
        <v>248</v>
      </c>
      <c r="W1252" t="str">
        <f>VLOOKUP(Table1[[#This Row],[Isin code]],Table2[#All],10,FALSE)</f>
        <v>At the End</v>
      </c>
      <c r="X1252">
        <f ca="1">_xlfn.DAYS(Table1[[#This Row],[Maturity]],TODAY())-15</f>
        <v>233</v>
      </c>
      <c r="Y125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2">
        <f>IF(Table1[[#This Row],[Ask Rate]]=0,0,Table1[[#This Row],[Face Value]]-Table1[[#This Row],[Ask Rate]])</f>
        <v>0</v>
      </c>
      <c r="AA125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2">
        <f>Table1[[#This Row],[Face Value]]*Table1[[#This Row],[Rate]]*Table1[[#This Row],[Time]]</f>
        <v>0</v>
      </c>
      <c r="AC1252">
        <f>Table1[[#This Row],[SI]]+Table1[[#This Row],[Disc/Prem]]</f>
        <v>0</v>
      </c>
      <c r="AD1252" s="3" t="e">
        <f>Table1[[#This Row],[Net Gain]]/Table1[[#This Row],[Ask Rate]]</f>
        <v>#DIV/0!</v>
      </c>
      <c r="AE1252" s="3">
        <f>IF(Table1[[#This Row],[Ask Qty]]=0,0,Table1[[#This Row],[Gross Yield]]*365/Table1[[#This Row],[Days Left]])</f>
        <v>0</v>
      </c>
      <c r="AF1252" s="9">
        <f>+Table1[[#This Row],[Net Gain]]*Table1[[#This Row],[Ask Qty]]</f>
        <v>0</v>
      </c>
      <c r="AG1252" t="str">
        <f>IF(Table1[[#This Row],[YTM]]&gt;0.12,IF(Table1[[#This Row],[Gross Profit]]&gt;10000,"Invest","Review"),"Low YTM")</f>
        <v>Low YTM</v>
      </c>
    </row>
    <row r="1253" spans="1:33" x14ac:dyDescent="0.3">
      <c r="A1253" t="str">
        <f>RTD("nest.scriprtd",,"bse_cm|MML25","Symbol")</f>
        <v>MML25</v>
      </c>
      <c r="B1253" t="str">
        <f>RTD("nest.scriprtd",,"bse_cm|MML25","Trading Symbol")</f>
        <v>MML25</v>
      </c>
      <c r="C1253" t="str">
        <f>RTD("nest.scriprtd",,"bse_cm|MML25","Exchange")</f>
        <v>BSE</v>
      </c>
      <c r="D1253">
        <f>RTD("nest.scriprtd",,"bse_cm|MML25","Bid Qty")</f>
        <v>20</v>
      </c>
      <c r="E1253">
        <f>RTD("nest.scriprtd",,"bse_cm|MML25","Bid Rate")</f>
        <v>885.2</v>
      </c>
      <c r="F1253">
        <f>RTD("nest.scriprtd",,"bse_cm|MML25","Ask Rate")</f>
        <v>0</v>
      </c>
      <c r="G1253">
        <f>RTD("nest.scriprtd",,"bse_cm|MML25","Ask Qty")</f>
        <v>0</v>
      </c>
      <c r="H1253">
        <f>RTD("nest.scriprtd",,"bse_cm|MML25","LTP")</f>
        <v>0</v>
      </c>
      <c r="I1253" t="str">
        <f>RTD("nest.scriprtd",,"bse_cm|MML25","LTT")</f>
        <v>00:00:00</v>
      </c>
      <c r="J1253">
        <f>RTD("nest.scriprtd",,"bse_cm|MML25","% Change")</f>
        <v>-100</v>
      </c>
      <c r="K1253">
        <f>RTD("nest.scriprtd",,"bse_cm|MML25","ATP")</f>
        <v>0</v>
      </c>
      <c r="L1253">
        <f>RTD("nest.scriprtd",,"bse_cm|MML25","Volume Traded Today")</f>
        <v>0</v>
      </c>
      <c r="M1253">
        <f>RTD("nest.scriprtd",,"bse_cm|MML25","Open")</f>
        <v>0</v>
      </c>
      <c r="N1253">
        <f>RTD("nest.scriprtd",,"bse_cm|MML25","High")</f>
        <v>0</v>
      </c>
      <c r="O1253">
        <f>RTD("nest.scriprtd",,"bse_cm|MML25","Low ")</f>
        <v>0</v>
      </c>
      <c r="P1253">
        <f>RTD("nest.scriprtd",,"bse_cm|MML25","Prev Close")</f>
        <v>1000</v>
      </c>
      <c r="Q1253">
        <f>RTD("nest.scriprtd",,"bse_cm|MML25","Face Value")</f>
        <v>1000</v>
      </c>
      <c r="R1253" t="str">
        <f>RTD("nest.scriprtd",,"bse_cm|MML25","Isin code")</f>
        <v>INE05F407BC4</v>
      </c>
      <c r="S1253" s="9">
        <f>Table1[[#This Row],[Ask Rate]]*Table1[[#This Row],[Ask Qty]]</f>
        <v>0</v>
      </c>
      <c r="T1253" t="str">
        <f>VLOOKUP(Table1[[#This Row],[Isin code]],Table2[#All],7,FALSE)</f>
        <v>--</v>
      </c>
      <c r="U1253" s="17" t="str">
        <f>VLOOKUP(Table1[[#This Row],[Isin code]],Table2[#All],8,FALSE)</f>
        <v>21-Jun-2025</v>
      </c>
      <c r="V1253" s="10">
        <f ca="1">Table1[[#This Row],[Maturity]]-TODAY()</f>
        <v>248</v>
      </c>
      <c r="W1253" t="str">
        <f>VLOOKUP(Table1[[#This Row],[Isin code]],Table2[#All],10,FALSE)</f>
        <v>At the End</v>
      </c>
      <c r="X1253">
        <f ca="1">_xlfn.DAYS(Table1[[#This Row],[Maturity]],TODAY())-15</f>
        <v>233</v>
      </c>
      <c r="Y125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3">
        <f>IF(Table1[[#This Row],[Ask Rate]]=0,0,Table1[[#This Row],[Face Value]]-Table1[[#This Row],[Ask Rate]])</f>
        <v>0</v>
      </c>
      <c r="AA125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3">
        <f>Table1[[#This Row],[Face Value]]*Table1[[#This Row],[Rate]]*Table1[[#This Row],[Time]]</f>
        <v>0</v>
      </c>
      <c r="AC1253">
        <f>Table1[[#This Row],[SI]]+Table1[[#This Row],[Disc/Prem]]</f>
        <v>0</v>
      </c>
      <c r="AD1253" s="3" t="e">
        <f>Table1[[#This Row],[Net Gain]]/Table1[[#This Row],[Ask Rate]]</f>
        <v>#DIV/0!</v>
      </c>
      <c r="AE1253" s="3">
        <f>IF(Table1[[#This Row],[Ask Qty]]=0,0,Table1[[#This Row],[Gross Yield]]*365/Table1[[#This Row],[Days Left]])</f>
        <v>0</v>
      </c>
      <c r="AF1253" s="9">
        <f>+Table1[[#This Row],[Net Gain]]*Table1[[#This Row],[Ask Qty]]</f>
        <v>0</v>
      </c>
      <c r="AG1253" t="str">
        <f>IF(Table1[[#This Row],[YTM]]&gt;0.12,IF(Table1[[#This Row],[Gross Profit]]&gt;10000,"Invest","Review"),"Low YTM")</f>
        <v>Low YTM</v>
      </c>
    </row>
    <row r="1254" spans="1:33" hidden="1" x14ac:dyDescent="0.3">
      <c r="A1254" t="str">
        <f>RTD("nest.scriprtd",,"bse_cm|MML24A","Symbol")</f>
        <v>MML24A</v>
      </c>
      <c r="B1254" t="str">
        <f>RTD("nest.scriprtd",,"bse_cm|MML24A","Trading Symbol")</f>
        <v>MML24A</v>
      </c>
      <c r="C1254" t="str">
        <f>RTD("nest.scriprtd",,"bse_cm|MML24A","Exchange")</f>
        <v>BSE</v>
      </c>
      <c r="D1254">
        <f>RTD("nest.scriprtd",,"bse_cm|MML24A","Bid Qty")</f>
        <v>19</v>
      </c>
      <c r="E1254">
        <f>RTD("nest.scriprtd",,"bse_cm|MML24A","Bid Rate")</f>
        <v>1010.1</v>
      </c>
      <c r="F1254">
        <f>RTD("nest.scriprtd",,"bse_cm|MML24A","Ask Rate")</f>
        <v>0</v>
      </c>
      <c r="G1254">
        <f>RTD("nest.scriprtd",,"bse_cm|MML24A","Ask Qty")</f>
        <v>0</v>
      </c>
      <c r="H1254">
        <f>RTD("nest.scriprtd",,"bse_cm|MML24A","LTP")</f>
        <v>0</v>
      </c>
      <c r="I1254" t="str">
        <f>RTD("nest.scriprtd",,"bse_cm|MML24A","LTT")</f>
        <v>00:00:00</v>
      </c>
      <c r="J1254">
        <f>RTD("nest.scriprtd",,"bse_cm|MML24A","% Change")</f>
        <v>-100</v>
      </c>
      <c r="K1254">
        <f>RTD("nest.scriprtd",,"bse_cm|MML24A","ATP")</f>
        <v>0</v>
      </c>
      <c r="L1254">
        <f>RTD("nest.scriprtd",,"bse_cm|MML24A","Volume Traded Today")</f>
        <v>0</v>
      </c>
      <c r="M1254">
        <f>RTD("nest.scriprtd",,"bse_cm|MML24A","Open")</f>
        <v>0</v>
      </c>
      <c r="N1254">
        <f>RTD("nest.scriprtd",,"bse_cm|MML24A","High")</f>
        <v>0</v>
      </c>
      <c r="O1254">
        <f>RTD("nest.scriprtd",,"bse_cm|MML24A","Low ")</f>
        <v>0</v>
      </c>
      <c r="P1254">
        <f>RTD("nest.scriprtd",,"bse_cm|MML24A","Prev Close")</f>
        <v>1000</v>
      </c>
      <c r="Q1254">
        <f>RTD("nest.scriprtd",,"bse_cm|MML24A","Face Value")</f>
        <v>1000</v>
      </c>
      <c r="R1254" t="str">
        <f>RTD("nest.scriprtd",,"bse_cm|MML24A","Isin code")</f>
        <v>INE05F407BR2</v>
      </c>
      <c r="S1254" s="9">
        <f>Table1[[#This Row],[Ask Rate]]*Table1[[#This Row],[Ask Qty]]</f>
        <v>0</v>
      </c>
      <c r="T1254" t="str">
        <f>VLOOKUP(Table1[[#This Row],[Isin code]],Table2[#All],7,FALSE)</f>
        <v>--</v>
      </c>
      <c r="U1254" s="17" t="str">
        <f>VLOOKUP(Table1[[#This Row],[Isin code]],Table2[#All],8,FALSE)</f>
        <v>20-Dec-2024</v>
      </c>
      <c r="V1254" s="10">
        <f ca="1">Table1[[#This Row],[Maturity]]-TODAY()</f>
        <v>65</v>
      </c>
      <c r="W1254" t="str">
        <f>VLOOKUP(Table1[[#This Row],[Isin code]],Table2[#All],10,FALSE)</f>
        <v>At the End</v>
      </c>
      <c r="X1254">
        <f ca="1">_xlfn.DAYS(Table1[[#This Row],[Maturity]],TODAY())-15</f>
        <v>50</v>
      </c>
      <c r="Y125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4">
        <f>IF(Table1[[#This Row],[Ask Rate]]=0,0,Table1[[#This Row],[Face Value]]-Table1[[#This Row],[Ask Rate]])</f>
        <v>0</v>
      </c>
      <c r="AA125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4">
        <f>Table1[[#This Row],[Face Value]]*Table1[[#This Row],[Rate]]*Table1[[#This Row],[Time]]</f>
        <v>0</v>
      </c>
      <c r="AC1254">
        <f>Table1[[#This Row],[SI]]+Table1[[#This Row],[Disc/Prem]]</f>
        <v>0</v>
      </c>
      <c r="AD1254" s="3" t="e">
        <f>Table1[[#This Row],[Net Gain]]/Table1[[#This Row],[Ask Rate]]</f>
        <v>#DIV/0!</v>
      </c>
      <c r="AE1254" s="3">
        <f>IF(Table1[[#This Row],[Ask Qty]]=0,0,Table1[[#This Row],[Gross Yield]]*365/Table1[[#This Row],[Days Left]])</f>
        <v>0</v>
      </c>
      <c r="AF1254" s="9">
        <f>+Table1[[#This Row],[Net Gain]]*Table1[[#This Row],[Ask Qty]]</f>
        <v>0</v>
      </c>
      <c r="AG1254" t="str">
        <f>IF(Table1[[#This Row],[YTM]]&gt;0.12,IF(Table1[[#This Row],[Gross Profit]]&gt;10000,"Invest","Review"),"Low YTM")</f>
        <v>Low YTM</v>
      </c>
    </row>
    <row r="1255" spans="1:33" x14ac:dyDescent="0.3">
      <c r="A1255" t="str">
        <f>RTD("nest.scriprtd",,"bse_cm|MML11924B","Symbol")</f>
        <v>MML11924B</v>
      </c>
      <c r="B1255" t="str">
        <f>RTD("nest.scriprtd",,"bse_cm|MML11924B","Trading Symbol")</f>
        <v>MML11924B</v>
      </c>
      <c r="C1255" t="str">
        <f>RTD("nest.scriprtd",,"bse_cm|MML11924B","Exchange")</f>
        <v>BSE</v>
      </c>
      <c r="D1255">
        <f>RTD("nest.scriprtd",,"bse_cm|MML11924B","Bid Qty")</f>
        <v>22</v>
      </c>
      <c r="E1255">
        <f>RTD("nest.scriprtd",,"bse_cm|MML11924B","Bid Rate")</f>
        <v>835.8</v>
      </c>
      <c r="F1255">
        <f>RTD("nest.scriprtd",,"bse_cm|MML11924B","Ask Rate")</f>
        <v>0</v>
      </c>
      <c r="G1255">
        <f>RTD("nest.scriprtd",,"bse_cm|MML11924B","Ask Qty")</f>
        <v>0</v>
      </c>
      <c r="H1255">
        <f>RTD("nest.scriprtd",,"bse_cm|MML11924B","LTP")</f>
        <v>0</v>
      </c>
      <c r="I1255" t="str">
        <f>RTD("nest.scriprtd",,"bse_cm|MML11924B","LTT")</f>
        <v>00:00:00</v>
      </c>
      <c r="J1255">
        <f>RTD("nest.scriprtd",,"bse_cm|MML11924B","% Change")</f>
        <v>-100</v>
      </c>
      <c r="K1255">
        <f>RTD("nest.scriprtd",,"bse_cm|MML11924B","ATP")</f>
        <v>0</v>
      </c>
      <c r="L1255">
        <f>RTD("nest.scriprtd",,"bse_cm|MML11924B","Volume Traded Today")</f>
        <v>0</v>
      </c>
      <c r="M1255">
        <f>RTD("nest.scriprtd",,"bse_cm|MML11924B","Open")</f>
        <v>0</v>
      </c>
      <c r="N1255">
        <f>RTD("nest.scriprtd",,"bse_cm|MML11924B","High")</f>
        <v>0</v>
      </c>
      <c r="O1255">
        <f>RTD("nest.scriprtd",,"bse_cm|MML11924B","Low ")</f>
        <v>0</v>
      </c>
      <c r="P1255">
        <f>RTD("nest.scriprtd",,"bse_cm|MML11924B","Prev Close")</f>
        <v>1000</v>
      </c>
      <c r="Q1255">
        <f>RTD("nest.scriprtd",,"bse_cm|MML11924B","Face Value")</f>
        <v>1000</v>
      </c>
      <c r="R1255" t="str">
        <f>RTD("nest.scriprtd",,"bse_cm|MML11924B","Isin code")</f>
        <v>INE05F407CL3</v>
      </c>
      <c r="S1255" s="9">
        <f>Table1[[#This Row],[Ask Rate]]*Table1[[#This Row],[Ask Qty]]</f>
        <v>0</v>
      </c>
      <c r="T1255" t="str">
        <f>VLOOKUP(Table1[[#This Row],[Isin code]],Table2[#All],7,FALSE)</f>
        <v>--</v>
      </c>
      <c r="U1255" s="17" t="str">
        <f>VLOOKUP(Table1[[#This Row],[Isin code]],Table2[#All],8,FALSE)</f>
        <v>11-Sep-2029</v>
      </c>
      <c r="V1255" s="10">
        <f ca="1">Table1[[#This Row],[Maturity]]-TODAY()</f>
        <v>1791</v>
      </c>
      <c r="W1255" t="str">
        <f>VLOOKUP(Table1[[#This Row],[Isin code]],Table2[#All],10,FALSE)</f>
        <v>At the End</v>
      </c>
      <c r="X1255">
        <f ca="1">_xlfn.DAYS(Table1[[#This Row],[Maturity]],TODAY())-15</f>
        <v>1776</v>
      </c>
      <c r="Y125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5">
        <f>IF(Table1[[#This Row],[Ask Rate]]=0,0,Table1[[#This Row],[Face Value]]-Table1[[#This Row],[Ask Rate]])</f>
        <v>0</v>
      </c>
      <c r="AA125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5">
        <f>Table1[[#This Row],[Face Value]]*Table1[[#This Row],[Rate]]*Table1[[#This Row],[Time]]</f>
        <v>0</v>
      </c>
      <c r="AC1255">
        <f>Table1[[#This Row],[SI]]+Table1[[#This Row],[Disc/Prem]]</f>
        <v>0</v>
      </c>
      <c r="AD1255" s="3" t="e">
        <f>Table1[[#This Row],[Net Gain]]/Table1[[#This Row],[Ask Rate]]</f>
        <v>#DIV/0!</v>
      </c>
      <c r="AE1255" s="3">
        <f>IF(Table1[[#This Row],[Ask Qty]]=0,0,Table1[[#This Row],[Gross Yield]]*365/Table1[[#This Row],[Days Left]])</f>
        <v>0</v>
      </c>
      <c r="AF1255" s="9">
        <f>+Table1[[#This Row],[Net Gain]]*Table1[[#This Row],[Ask Qty]]</f>
        <v>0</v>
      </c>
      <c r="AG1255" t="str">
        <f>IF(Table1[[#This Row],[YTM]]&gt;0.12,IF(Table1[[#This Row],[Gross Profit]]&gt;10000,"Invest","Review"),"Low YTM")</f>
        <v>Low YTM</v>
      </c>
    </row>
    <row r="1256" spans="1:33" x14ac:dyDescent="0.3">
      <c r="A1256" t="str">
        <f>RTD("nest.scriprtd",,"bse_cm|MML11924A","Symbol")</f>
        <v>MML11924A</v>
      </c>
      <c r="B1256" t="str">
        <f>RTD("nest.scriprtd",,"bse_cm|MML11924A","Trading Symbol")</f>
        <v>MML11924A</v>
      </c>
      <c r="C1256" t="str">
        <f>RTD("nest.scriprtd",,"bse_cm|MML11924A","Exchange")</f>
        <v>BSE</v>
      </c>
      <c r="D1256">
        <f>RTD("nest.scriprtd",,"bse_cm|MML11924A","Bid Qty")</f>
        <v>22</v>
      </c>
      <c r="E1256">
        <f>RTD("nest.scriprtd",,"bse_cm|MML11924A","Bid Rate")</f>
        <v>836.2</v>
      </c>
      <c r="F1256">
        <f>RTD("nest.scriprtd",,"bse_cm|MML11924A","Ask Rate")</f>
        <v>0</v>
      </c>
      <c r="G1256">
        <f>RTD("nest.scriprtd",,"bse_cm|MML11924A","Ask Qty")</f>
        <v>0</v>
      </c>
      <c r="H1256">
        <f>RTD("nest.scriprtd",,"bse_cm|MML11924A","LTP")</f>
        <v>0</v>
      </c>
      <c r="I1256" t="str">
        <f>RTD("nest.scriprtd",,"bse_cm|MML11924A","LTT")</f>
        <v>00:00:00</v>
      </c>
      <c r="J1256">
        <f>RTD("nest.scriprtd",,"bse_cm|MML11924A","% Change")</f>
        <v>-100</v>
      </c>
      <c r="K1256">
        <f>RTD("nest.scriprtd",,"bse_cm|MML11924A","ATP")</f>
        <v>0</v>
      </c>
      <c r="L1256">
        <f>RTD("nest.scriprtd",,"bse_cm|MML11924A","Volume Traded Today")</f>
        <v>0</v>
      </c>
      <c r="M1256">
        <f>RTD("nest.scriprtd",,"bse_cm|MML11924A","Open")</f>
        <v>0</v>
      </c>
      <c r="N1256">
        <f>RTD("nest.scriprtd",,"bse_cm|MML11924A","High")</f>
        <v>0</v>
      </c>
      <c r="O1256">
        <f>RTD("nest.scriprtd",,"bse_cm|MML11924A","Low ")</f>
        <v>0</v>
      </c>
      <c r="P1256">
        <f>RTD("nest.scriprtd",,"bse_cm|MML11924A","Prev Close")</f>
        <v>1000</v>
      </c>
      <c r="Q1256">
        <f>RTD("nest.scriprtd",,"bse_cm|MML11924A","Face Value")</f>
        <v>1000</v>
      </c>
      <c r="R1256" t="str">
        <f>RTD("nest.scriprtd",,"bse_cm|MML11924A","Isin code")</f>
        <v>INE05F407CQ2</v>
      </c>
      <c r="S1256" s="9">
        <f>Table1[[#This Row],[Ask Rate]]*Table1[[#This Row],[Ask Qty]]</f>
        <v>0</v>
      </c>
      <c r="T1256" t="str">
        <f>VLOOKUP(Table1[[#This Row],[Isin code]],Table2[#All],7,FALSE)</f>
        <v>--</v>
      </c>
      <c r="U1256" s="17" t="str">
        <f>VLOOKUP(Table1[[#This Row],[Isin code]],Table2[#All],8,FALSE)</f>
        <v>11-Sep-2027</v>
      </c>
      <c r="V1256" s="10">
        <f ca="1">Table1[[#This Row],[Maturity]]-TODAY()</f>
        <v>1060</v>
      </c>
      <c r="W1256" t="str">
        <f>VLOOKUP(Table1[[#This Row],[Isin code]],Table2[#All],10,FALSE)</f>
        <v>At the End</v>
      </c>
      <c r="X1256">
        <f ca="1">_xlfn.DAYS(Table1[[#This Row],[Maturity]],TODAY())-15</f>
        <v>1045</v>
      </c>
      <c r="Y125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6">
        <f>IF(Table1[[#This Row],[Ask Rate]]=0,0,Table1[[#This Row],[Face Value]]-Table1[[#This Row],[Ask Rate]])</f>
        <v>0</v>
      </c>
      <c r="AA125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6">
        <f>Table1[[#This Row],[Face Value]]*Table1[[#This Row],[Rate]]*Table1[[#This Row],[Time]]</f>
        <v>0</v>
      </c>
      <c r="AC1256">
        <f>Table1[[#This Row],[SI]]+Table1[[#This Row],[Disc/Prem]]</f>
        <v>0</v>
      </c>
      <c r="AD1256" s="3" t="e">
        <f>Table1[[#This Row],[Net Gain]]/Table1[[#This Row],[Ask Rate]]</f>
        <v>#DIV/0!</v>
      </c>
      <c r="AE1256" s="3">
        <f>IF(Table1[[#This Row],[Ask Qty]]=0,0,Table1[[#This Row],[Gross Yield]]*365/Table1[[#This Row],[Days Left]])</f>
        <v>0</v>
      </c>
      <c r="AF1256" s="9">
        <f>+Table1[[#This Row],[Net Gain]]*Table1[[#This Row],[Ask Qty]]</f>
        <v>0</v>
      </c>
      <c r="AG1256" t="str">
        <f>IF(Table1[[#This Row],[YTM]]&gt;0.12,IF(Table1[[#This Row],[Gross Profit]]&gt;10000,"Invest","Review"),"Low YTM")</f>
        <v>Low YTM</v>
      </c>
    </row>
    <row r="1257" spans="1:33" x14ac:dyDescent="0.3">
      <c r="A1257" t="str">
        <f>RTD("nest.scriprtd",,"bse_cm|MML110924","Symbol")</f>
        <v>MML110924</v>
      </c>
      <c r="B1257" t="str">
        <f>RTD("nest.scriprtd",,"bse_cm|MML110924","Trading Symbol")</f>
        <v>MML110924</v>
      </c>
      <c r="C1257" t="str">
        <f>RTD("nest.scriprtd",,"bse_cm|MML110924","Exchange")</f>
        <v>BSE</v>
      </c>
      <c r="D1257">
        <f>RTD("nest.scriprtd",,"bse_cm|MML110924","Bid Qty")</f>
        <v>11</v>
      </c>
      <c r="E1257">
        <f>RTD("nest.scriprtd",,"bse_cm|MML110924","Bid Rate")</f>
        <v>837.8</v>
      </c>
      <c r="F1257">
        <f>RTD("nest.scriprtd",,"bse_cm|MML110924","Ask Rate")</f>
        <v>0</v>
      </c>
      <c r="G1257">
        <f>RTD("nest.scriprtd",,"bse_cm|MML110924","Ask Qty")</f>
        <v>0</v>
      </c>
      <c r="H1257">
        <f>RTD("nest.scriprtd",,"bse_cm|MML110924","LTP")</f>
        <v>0</v>
      </c>
      <c r="I1257" t="str">
        <f>RTD("nest.scriprtd",,"bse_cm|MML110924","LTT")</f>
        <v>00:00:00</v>
      </c>
      <c r="J1257">
        <f>RTD("nest.scriprtd",,"bse_cm|MML110924","% Change")</f>
        <v>-100</v>
      </c>
      <c r="K1257">
        <f>RTD("nest.scriprtd",,"bse_cm|MML110924","ATP")</f>
        <v>0</v>
      </c>
      <c r="L1257">
        <f>RTD("nest.scriprtd",,"bse_cm|MML110924","Volume Traded Today")</f>
        <v>0</v>
      </c>
      <c r="M1257">
        <f>RTD("nest.scriprtd",,"bse_cm|MML110924","Open")</f>
        <v>0</v>
      </c>
      <c r="N1257">
        <f>RTD("nest.scriprtd",,"bse_cm|MML110924","High")</f>
        <v>0</v>
      </c>
      <c r="O1257">
        <f>RTD("nest.scriprtd",,"bse_cm|MML110924","Low ")</f>
        <v>0</v>
      </c>
      <c r="P1257">
        <f>RTD("nest.scriprtd",,"bse_cm|MML110924","Prev Close")</f>
        <v>1000</v>
      </c>
      <c r="Q1257">
        <f>RTD("nest.scriprtd",,"bse_cm|MML110924","Face Value")</f>
        <v>1000</v>
      </c>
      <c r="R1257" t="str">
        <f>RTD("nest.scriprtd",,"bse_cm|MML110924","Isin code")</f>
        <v>INE05F407CN9</v>
      </c>
      <c r="S1257" s="9">
        <f>Table1[[#This Row],[Ask Rate]]*Table1[[#This Row],[Ask Qty]]</f>
        <v>0</v>
      </c>
      <c r="T1257" t="str">
        <f>VLOOKUP(Table1[[#This Row],[Isin code]],Table2[#All],7,FALSE)</f>
        <v>--</v>
      </c>
      <c r="U1257" s="17" t="str">
        <f>VLOOKUP(Table1[[#This Row],[Isin code]],Table2[#All],8,FALSE)</f>
        <v>11-May-2026</v>
      </c>
      <c r="V1257" s="10">
        <f ca="1">Table1[[#This Row],[Maturity]]-TODAY()</f>
        <v>572</v>
      </c>
      <c r="W1257" t="str">
        <f>VLOOKUP(Table1[[#This Row],[Isin code]],Table2[#All],10,FALSE)</f>
        <v>At the End</v>
      </c>
      <c r="X1257">
        <f ca="1">_xlfn.DAYS(Table1[[#This Row],[Maturity]],TODAY())-15</f>
        <v>557</v>
      </c>
      <c r="Y125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7">
        <f>IF(Table1[[#This Row],[Ask Rate]]=0,0,Table1[[#This Row],[Face Value]]-Table1[[#This Row],[Ask Rate]])</f>
        <v>0</v>
      </c>
      <c r="AA125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7">
        <f>Table1[[#This Row],[Face Value]]*Table1[[#This Row],[Rate]]*Table1[[#This Row],[Time]]</f>
        <v>0</v>
      </c>
      <c r="AC1257">
        <f>Table1[[#This Row],[SI]]+Table1[[#This Row],[Disc/Prem]]</f>
        <v>0</v>
      </c>
      <c r="AD1257" s="3" t="e">
        <f>Table1[[#This Row],[Net Gain]]/Table1[[#This Row],[Ask Rate]]</f>
        <v>#DIV/0!</v>
      </c>
      <c r="AE1257" s="3">
        <f>IF(Table1[[#This Row],[Ask Qty]]=0,0,Table1[[#This Row],[Gross Yield]]*365/Table1[[#This Row],[Days Left]])</f>
        <v>0</v>
      </c>
      <c r="AF1257" s="9">
        <f>+Table1[[#This Row],[Net Gain]]*Table1[[#This Row],[Ask Qty]]</f>
        <v>0</v>
      </c>
      <c r="AG1257" t="str">
        <f>IF(Table1[[#This Row],[YTM]]&gt;0.12,IF(Table1[[#This Row],[Gross Profit]]&gt;10000,"Invest","Review"),"Low YTM")</f>
        <v>Low YTM</v>
      </c>
    </row>
    <row r="1258" spans="1:33" x14ac:dyDescent="0.3">
      <c r="A1258" t="str">
        <f>RTD("nest.scriprtd",,"bse_cm|MMFSL26","Symbol")</f>
        <v>MMFSL26</v>
      </c>
      <c r="B1258" t="str">
        <f>RTD("nest.scriprtd",,"bse_cm|MMFSL26","Trading Symbol")</f>
        <v>MMFSL26</v>
      </c>
      <c r="C1258" t="str">
        <f>RTD("nest.scriprtd",,"bse_cm|MMFSL26","Exchange")</f>
        <v>BSE</v>
      </c>
      <c r="D1258">
        <f>RTD("nest.scriprtd",,"bse_cm|MMFSL26","Bid Qty")</f>
        <v>200</v>
      </c>
      <c r="E1258">
        <f>RTD("nest.scriprtd",,"bse_cm|MMFSL26","Bid Rate")</f>
        <v>1497.6</v>
      </c>
      <c r="F1258">
        <f>RTD("nest.scriprtd",,"bse_cm|MMFSL26","Ask Rate")</f>
        <v>0</v>
      </c>
      <c r="G1258">
        <f>RTD("nest.scriprtd",,"bse_cm|MMFSL26","Ask Qty")</f>
        <v>0</v>
      </c>
      <c r="H1258">
        <f>RTD("nest.scriprtd",,"bse_cm|MMFSL26","LTP")</f>
        <v>0</v>
      </c>
      <c r="I1258" t="str">
        <f>RTD("nest.scriprtd",,"bse_cm|MMFSL26","LTT")</f>
        <v>00:00:00</v>
      </c>
      <c r="J1258">
        <f>RTD("nest.scriprtd",,"bse_cm|MMFSL26","% Change")</f>
        <v>-100</v>
      </c>
      <c r="K1258">
        <f>RTD("nest.scriprtd",,"bse_cm|MMFSL26","ATP")</f>
        <v>0</v>
      </c>
      <c r="L1258">
        <f>RTD("nest.scriprtd",,"bse_cm|MMFSL26","Volume Traded Today")</f>
        <v>0</v>
      </c>
      <c r="M1258">
        <f>RTD("nest.scriprtd",,"bse_cm|MMFSL26","Open")</f>
        <v>0</v>
      </c>
      <c r="N1258">
        <f>RTD("nest.scriprtd",,"bse_cm|MMFSL26","High")</f>
        <v>0</v>
      </c>
      <c r="O1258">
        <f>RTD("nest.scriprtd",,"bse_cm|MMFSL26","Low ")</f>
        <v>0</v>
      </c>
      <c r="P1258">
        <f>RTD("nest.scriprtd",,"bse_cm|MMFSL26","Prev Close")</f>
        <v>1248</v>
      </c>
      <c r="Q1258">
        <f>RTD("nest.scriprtd",,"bse_cm|MMFSL26","Face Value")</f>
        <v>1000</v>
      </c>
      <c r="R1258" t="str">
        <f>RTD("nest.scriprtd",,"bse_cm|MMFSL26","Isin code")</f>
        <v>INE774D08MF5</v>
      </c>
      <c r="S1258" s="9">
        <f>Table1[[#This Row],[Ask Rate]]*Table1[[#This Row],[Ask Qty]]</f>
        <v>0</v>
      </c>
      <c r="T1258" t="str">
        <f>VLOOKUP(Table1[[#This Row],[Isin code]],Table2[#All],7,FALSE)</f>
        <v>--</v>
      </c>
      <c r="U1258" s="17" t="str">
        <f>VLOOKUP(Table1[[#This Row],[Isin code]],Table2[#All],8,FALSE)</f>
        <v>06-Jun-2026</v>
      </c>
      <c r="V1258" s="10">
        <f ca="1">Table1[[#This Row],[Maturity]]-TODAY()</f>
        <v>598</v>
      </c>
      <c r="W1258" t="str">
        <f>VLOOKUP(Table1[[#This Row],[Isin code]],Table2[#All],10,FALSE)</f>
        <v>At the End</v>
      </c>
      <c r="X1258">
        <f ca="1">_xlfn.DAYS(Table1[[#This Row],[Maturity]],TODAY())-15</f>
        <v>583</v>
      </c>
      <c r="Y125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8">
        <f>IF(Table1[[#This Row],[Ask Rate]]=0,0,Table1[[#This Row],[Face Value]]-Table1[[#This Row],[Ask Rate]])</f>
        <v>0</v>
      </c>
      <c r="AA125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8">
        <f>Table1[[#This Row],[Face Value]]*Table1[[#This Row],[Rate]]*Table1[[#This Row],[Time]]</f>
        <v>0</v>
      </c>
      <c r="AC1258">
        <f>Table1[[#This Row],[SI]]+Table1[[#This Row],[Disc/Prem]]</f>
        <v>0</v>
      </c>
      <c r="AD1258" s="3" t="e">
        <f>Table1[[#This Row],[Net Gain]]/Table1[[#This Row],[Ask Rate]]</f>
        <v>#DIV/0!</v>
      </c>
      <c r="AE1258" s="3">
        <f>IF(Table1[[#This Row],[Ask Qty]]=0,0,Table1[[#This Row],[Gross Yield]]*365/Table1[[#This Row],[Days Left]])</f>
        <v>0</v>
      </c>
      <c r="AF1258" s="9">
        <f>+Table1[[#This Row],[Net Gain]]*Table1[[#This Row],[Ask Qty]]</f>
        <v>0</v>
      </c>
      <c r="AG1258" t="str">
        <f>IF(Table1[[#This Row],[YTM]]&gt;0.12,IF(Table1[[#This Row],[Gross Profit]]&gt;10000,"Invest","Review"),"Low YTM")</f>
        <v>Low YTM</v>
      </c>
    </row>
    <row r="1259" spans="1:33" x14ac:dyDescent="0.3">
      <c r="A1259" t="str">
        <f>RTD("nest.scriprtd",,"bse_cm|MMFLZC28","Symbol")</f>
        <v>MMFLZC28</v>
      </c>
      <c r="B1259" t="str">
        <f>RTD("nest.scriprtd",,"bse_cm|MMFLZC28","Trading Symbol")</f>
        <v>MMFLZC28</v>
      </c>
      <c r="C1259" t="str">
        <f>RTD("nest.scriprtd",,"bse_cm|MMFLZC28","Exchange")</f>
        <v>BSE</v>
      </c>
      <c r="D1259">
        <f>RTD("nest.scriprtd",,"bse_cm|MMFLZC28","Bid Qty")</f>
        <v>90</v>
      </c>
      <c r="E1259">
        <f>RTD("nest.scriprtd",,"bse_cm|MMFLZC28","Bid Rate")</f>
        <v>1135.2</v>
      </c>
      <c r="F1259">
        <f>RTD("nest.scriprtd",,"bse_cm|MMFLZC28","Ask Rate")</f>
        <v>0</v>
      </c>
      <c r="G1259">
        <f>RTD("nest.scriprtd",,"bse_cm|MMFLZC28","Ask Qty")</f>
        <v>0</v>
      </c>
      <c r="H1259">
        <f>RTD("nest.scriprtd",,"bse_cm|MMFLZC28","LTP")</f>
        <v>0</v>
      </c>
      <c r="I1259" t="str">
        <f>RTD("nest.scriprtd",,"bse_cm|MMFLZC28","LTT")</f>
        <v>00:00:00</v>
      </c>
      <c r="J1259">
        <f>RTD("nest.scriprtd",,"bse_cm|MMFLZC28","% Change")</f>
        <v>-100</v>
      </c>
      <c r="K1259">
        <f>RTD("nest.scriprtd",,"bse_cm|MMFLZC28","ATP")</f>
        <v>0</v>
      </c>
      <c r="L1259">
        <f>RTD("nest.scriprtd",,"bse_cm|MMFLZC28","Volume Traded Today")</f>
        <v>0</v>
      </c>
      <c r="M1259">
        <f>RTD("nest.scriprtd",,"bse_cm|MMFLZC28","Open")</f>
        <v>0</v>
      </c>
      <c r="N1259">
        <f>RTD("nest.scriprtd",,"bse_cm|MMFLZC28","High")</f>
        <v>1280</v>
      </c>
      <c r="O1259">
        <f>RTD("nest.scriprtd",,"bse_cm|MMFLZC28","Low ")</f>
        <v>1280</v>
      </c>
      <c r="P1259">
        <f>RTD("nest.scriprtd",,"bse_cm|MMFLZC28","Prev Close")</f>
        <v>1280</v>
      </c>
      <c r="Q1259">
        <f>RTD("nest.scriprtd",,"bse_cm|MMFLZC28","Face Value")</f>
        <v>1000</v>
      </c>
      <c r="R1259" t="str">
        <f>RTD("nest.scriprtd",,"bse_cm|MMFLZC28","Isin code")</f>
        <v>INE101Q08126</v>
      </c>
      <c r="S1259" s="9">
        <f>Table1[[#This Row],[Ask Rate]]*Table1[[#This Row],[Ask Qty]]</f>
        <v>0</v>
      </c>
      <c r="T1259" t="str">
        <f>VLOOKUP(Table1[[#This Row],[Isin code]],Table2[#All],7,FALSE)</f>
        <v>--</v>
      </c>
      <c r="U1259" s="17" t="str">
        <f>VLOOKUP(Table1[[#This Row],[Isin code]],Table2[#All],8,FALSE)</f>
        <v>14-Feb-2028</v>
      </c>
      <c r="V1259" s="10">
        <f ca="1">Table1[[#This Row],[Maturity]]-TODAY()</f>
        <v>1216</v>
      </c>
      <c r="W1259" t="str">
        <f>VLOOKUP(Table1[[#This Row],[Isin code]],Table2[#All],10,FALSE)</f>
        <v>At the End</v>
      </c>
      <c r="X1259">
        <f ca="1">_xlfn.DAYS(Table1[[#This Row],[Maturity]],TODAY())-15</f>
        <v>1201</v>
      </c>
      <c r="Y125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59">
        <f>IF(Table1[[#This Row],[Ask Rate]]=0,0,Table1[[#This Row],[Face Value]]-Table1[[#This Row],[Ask Rate]])</f>
        <v>0</v>
      </c>
      <c r="AA125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59">
        <f>Table1[[#This Row],[Face Value]]*Table1[[#This Row],[Rate]]*Table1[[#This Row],[Time]]</f>
        <v>0</v>
      </c>
      <c r="AC1259">
        <f>Table1[[#This Row],[SI]]+Table1[[#This Row],[Disc/Prem]]</f>
        <v>0</v>
      </c>
      <c r="AD1259" s="3" t="e">
        <f>Table1[[#This Row],[Net Gain]]/Table1[[#This Row],[Ask Rate]]</f>
        <v>#DIV/0!</v>
      </c>
      <c r="AE1259" s="3">
        <f>IF(Table1[[#This Row],[Ask Qty]]=0,0,Table1[[#This Row],[Gross Yield]]*365/Table1[[#This Row],[Days Left]])</f>
        <v>0</v>
      </c>
      <c r="AF1259" s="9">
        <f>+Table1[[#This Row],[Net Gain]]*Table1[[#This Row],[Ask Qty]]</f>
        <v>0</v>
      </c>
      <c r="AG1259" t="str">
        <f>IF(Table1[[#This Row],[YTM]]&gt;0.12,IF(Table1[[#This Row],[Gross Profit]]&gt;10000,"Invest","Review"),"Low YTM")</f>
        <v>Low YTM</v>
      </c>
    </row>
    <row r="1260" spans="1:33" x14ac:dyDescent="0.3">
      <c r="A1260" t="str">
        <f>RTD("nest.scriprtd",,"bse_cm|MMFLZC27A","Symbol")</f>
        <v>MMFLZC27A</v>
      </c>
      <c r="B1260" t="str">
        <f>RTD("nest.scriprtd",,"bse_cm|MMFLZC27A","Trading Symbol")</f>
        <v>MMFLZC27A</v>
      </c>
      <c r="C1260" t="str">
        <f>RTD("nest.scriprtd",,"bse_cm|MMFLZC27A","Exchange")</f>
        <v>BSE</v>
      </c>
      <c r="D1260">
        <f>RTD("nest.scriprtd",,"bse_cm|MMFLZC27A","Bid Qty")</f>
        <v>50</v>
      </c>
      <c r="E1260">
        <f>RTD("nest.scriprtd",,"bse_cm|MMFLZC27A","Bid Rate")</f>
        <v>1220.4000000000001</v>
      </c>
      <c r="F1260">
        <f>RTD("nest.scriprtd",,"bse_cm|MMFLZC27A","Ask Rate")</f>
        <v>0</v>
      </c>
      <c r="G1260">
        <f>RTD("nest.scriprtd",,"bse_cm|MMFLZC27A","Ask Qty")</f>
        <v>0</v>
      </c>
      <c r="H1260">
        <f>RTD("nest.scriprtd",,"bse_cm|MMFLZC27A","LTP")</f>
        <v>0</v>
      </c>
      <c r="I1260" t="str">
        <f>RTD("nest.scriprtd",,"bse_cm|MMFLZC27A","LTT")</f>
        <v>00:00:00</v>
      </c>
      <c r="J1260">
        <f>RTD("nest.scriprtd",,"bse_cm|MMFLZC27A","% Change")</f>
        <v>-100</v>
      </c>
      <c r="K1260">
        <f>RTD("nest.scriprtd",,"bse_cm|MMFLZC27A","ATP")</f>
        <v>0</v>
      </c>
      <c r="L1260">
        <f>RTD("nest.scriprtd",,"bse_cm|MMFLZC27A","Volume Traded Today")</f>
        <v>0</v>
      </c>
      <c r="M1260">
        <f>RTD("nest.scriprtd",,"bse_cm|MMFLZC27A","Open")</f>
        <v>0</v>
      </c>
      <c r="N1260">
        <f>RTD("nest.scriprtd",,"bse_cm|MMFLZC27A","High")</f>
        <v>1379</v>
      </c>
      <c r="O1260">
        <f>RTD("nest.scriprtd",,"bse_cm|MMFLZC27A","Low ")</f>
        <v>1379</v>
      </c>
      <c r="P1260">
        <f>RTD("nest.scriprtd",,"bse_cm|MMFLZC27A","Prev Close")</f>
        <v>1379</v>
      </c>
      <c r="Q1260">
        <f>RTD("nest.scriprtd",,"bse_cm|MMFLZC27A","Face Value")</f>
        <v>1000</v>
      </c>
      <c r="R1260" t="str">
        <f>RTD("nest.scriprtd",,"bse_cm|MMFLZC27A","Isin code")</f>
        <v>INE101Q07714</v>
      </c>
      <c r="S1260" s="9">
        <f>Table1[[#This Row],[Ask Rate]]*Table1[[#This Row],[Ask Qty]]</f>
        <v>0</v>
      </c>
      <c r="T1260" t="str">
        <f>VLOOKUP(Table1[[#This Row],[Isin code]],Table2[#All],7,FALSE)</f>
        <v>--</v>
      </c>
      <c r="U1260" s="17" t="str">
        <f>VLOOKUP(Table1[[#This Row],[Isin code]],Table2[#All],8,FALSE)</f>
        <v>01-Jul-2027</v>
      </c>
      <c r="V1260" s="10">
        <f ca="1">Table1[[#This Row],[Maturity]]-TODAY()</f>
        <v>988</v>
      </c>
      <c r="W1260" t="str">
        <f>VLOOKUP(Table1[[#This Row],[Isin code]],Table2[#All],10,FALSE)</f>
        <v>At the End</v>
      </c>
      <c r="X1260">
        <f ca="1">_xlfn.DAYS(Table1[[#This Row],[Maturity]],TODAY())-15</f>
        <v>973</v>
      </c>
      <c r="Y126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0">
        <f>IF(Table1[[#This Row],[Ask Rate]]=0,0,Table1[[#This Row],[Face Value]]-Table1[[#This Row],[Ask Rate]])</f>
        <v>0</v>
      </c>
      <c r="AA126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0">
        <f>Table1[[#This Row],[Face Value]]*Table1[[#This Row],[Rate]]*Table1[[#This Row],[Time]]</f>
        <v>0</v>
      </c>
      <c r="AC1260">
        <f>Table1[[#This Row],[SI]]+Table1[[#This Row],[Disc/Prem]]</f>
        <v>0</v>
      </c>
      <c r="AD1260" s="3" t="e">
        <f>Table1[[#This Row],[Net Gain]]/Table1[[#This Row],[Ask Rate]]</f>
        <v>#DIV/0!</v>
      </c>
      <c r="AE1260" s="3">
        <f>IF(Table1[[#This Row],[Ask Qty]]=0,0,Table1[[#This Row],[Gross Yield]]*365/Table1[[#This Row],[Days Left]])</f>
        <v>0</v>
      </c>
      <c r="AF1260" s="9">
        <f>+Table1[[#This Row],[Net Gain]]*Table1[[#This Row],[Ask Qty]]</f>
        <v>0</v>
      </c>
      <c r="AG1260" t="str">
        <f>IF(Table1[[#This Row],[YTM]]&gt;0.12,IF(Table1[[#This Row],[Gross Profit]]&gt;10000,"Invest","Review"),"Low YTM")</f>
        <v>Low YTM</v>
      </c>
    </row>
    <row r="1261" spans="1:33" x14ac:dyDescent="0.3">
      <c r="A1261" t="str">
        <f>RTD("nest.scriprtd",,"bse_cm|MMFLZC26","Symbol")</f>
        <v>MMFLZC26</v>
      </c>
      <c r="B1261" t="str">
        <f>RTD("nest.scriprtd",,"bse_cm|MMFLZC26","Trading Symbol")</f>
        <v>MMFLZC26</v>
      </c>
      <c r="C1261" t="str">
        <f>RTD("nest.scriprtd",,"bse_cm|MMFLZC26","Exchange")</f>
        <v>BSE</v>
      </c>
      <c r="D1261">
        <f>RTD("nest.scriprtd",,"bse_cm|MMFLZC26","Bid Qty")</f>
        <v>0</v>
      </c>
      <c r="E1261">
        <f>RTD("nest.scriprtd",,"bse_cm|MMFLZC26","Bid Rate")</f>
        <v>0</v>
      </c>
      <c r="F1261">
        <f>RTD("nest.scriprtd",,"bse_cm|MMFLZC26","Ask Rate")</f>
        <v>0</v>
      </c>
      <c r="G1261">
        <f>RTD("nest.scriprtd",,"bse_cm|MMFLZC26","Ask Qty")</f>
        <v>0</v>
      </c>
      <c r="H1261">
        <f>RTD("nest.scriprtd",,"bse_cm|MMFLZC26","LTP")</f>
        <v>0</v>
      </c>
      <c r="I1261" t="str">
        <f>RTD("nest.scriprtd",,"bse_cm|MMFLZC26","LTT")</f>
        <v>00:00:00</v>
      </c>
      <c r="J1261">
        <f>RTD("nest.scriprtd",,"bse_cm|MMFLZC26","% Change")</f>
        <v>-100</v>
      </c>
      <c r="K1261">
        <f>RTD("nest.scriprtd",,"bse_cm|MMFLZC26","ATP")</f>
        <v>0</v>
      </c>
      <c r="L1261">
        <f>RTD("nest.scriprtd",,"bse_cm|MMFLZC26","Volume Traded Today")</f>
        <v>0</v>
      </c>
      <c r="M1261">
        <f>RTD("nest.scriprtd",,"bse_cm|MMFLZC26","Open")</f>
        <v>0</v>
      </c>
      <c r="N1261">
        <f>RTD("nest.scriprtd",,"bse_cm|MMFLZC26","High")</f>
        <v>1495</v>
      </c>
      <c r="O1261">
        <f>RTD("nest.scriprtd",,"bse_cm|MMFLZC26","Low ")</f>
        <v>1495</v>
      </c>
      <c r="P1261">
        <f>RTD("nest.scriprtd",,"bse_cm|MMFLZC26","Prev Close")</f>
        <v>1495</v>
      </c>
      <c r="Q1261">
        <f>RTD("nest.scriprtd",,"bse_cm|MMFLZC26","Face Value")</f>
        <v>1000</v>
      </c>
      <c r="R1261" t="str">
        <f>RTD("nest.scriprtd",,"bse_cm|MMFLZC26","Isin code")</f>
        <v>INE101Q07904</v>
      </c>
      <c r="S1261" s="9">
        <f>Table1[[#This Row],[Ask Rate]]*Table1[[#This Row],[Ask Qty]]</f>
        <v>0</v>
      </c>
      <c r="T1261" t="str">
        <f>VLOOKUP(Table1[[#This Row],[Isin code]],Table2[#All],7,FALSE)</f>
        <v>--</v>
      </c>
      <c r="U1261" s="17" t="str">
        <f>VLOOKUP(Table1[[#This Row],[Isin code]],Table2[#All],8,FALSE)</f>
        <v>14-Aug-2026</v>
      </c>
      <c r="V1261" s="10">
        <f ca="1">Table1[[#This Row],[Maturity]]-TODAY()</f>
        <v>667</v>
      </c>
      <c r="W1261" t="str">
        <f>VLOOKUP(Table1[[#This Row],[Isin code]],Table2[#All],10,FALSE)</f>
        <v>At the End</v>
      </c>
      <c r="X1261">
        <f ca="1">_xlfn.DAYS(Table1[[#This Row],[Maturity]],TODAY())-15</f>
        <v>652</v>
      </c>
      <c r="Y126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1">
        <f>IF(Table1[[#This Row],[Ask Rate]]=0,0,Table1[[#This Row],[Face Value]]-Table1[[#This Row],[Ask Rate]])</f>
        <v>0</v>
      </c>
      <c r="AA126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1">
        <f>Table1[[#This Row],[Face Value]]*Table1[[#This Row],[Rate]]*Table1[[#This Row],[Time]]</f>
        <v>0</v>
      </c>
      <c r="AC1261">
        <f>Table1[[#This Row],[SI]]+Table1[[#This Row],[Disc/Prem]]</f>
        <v>0</v>
      </c>
      <c r="AD1261" s="3" t="e">
        <f>Table1[[#This Row],[Net Gain]]/Table1[[#This Row],[Ask Rate]]</f>
        <v>#DIV/0!</v>
      </c>
      <c r="AE1261" s="3">
        <f>IF(Table1[[#This Row],[Ask Qty]]=0,0,Table1[[#This Row],[Gross Yield]]*365/Table1[[#This Row],[Days Left]])</f>
        <v>0</v>
      </c>
      <c r="AF1261" s="9">
        <f>+Table1[[#This Row],[Net Gain]]*Table1[[#This Row],[Ask Qty]]</f>
        <v>0</v>
      </c>
      <c r="AG1261" t="str">
        <f>IF(Table1[[#This Row],[YTM]]&gt;0.12,IF(Table1[[#This Row],[Gross Profit]]&gt;10000,"Invest","Review"),"Low YTM")</f>
        <v>Low YTM</v>
      </c>
    </row>
    <row r="1262" spans="1:33" hidden="1" x14ac:dyDescent="0.3">
      <c r="A1262" t="str">
        <f>RTD("nest.scriprtd",,"bse_cm|MMFLZC25D","Symbol")</f>
        <v>MMFLZC25D</v>
      </c>
      <c r="B1262" t="str">
        <f>RTD("nest.scriprtd",,"bse_cm|MMFLZC25D","Trading Symbol")</f>
        <v>MMFLZC25D</v>
      </c>
      <c r="C1262" t="str">
        <f>RTD("nest.scriprtd",,"bse_cm|MMFLZC25D","Exchange")</f>
        <v>BSE</v>
      </c>
      <c r="D1262">
        <f>RTD("nest.scriprtd",,"bse_cm|MMFLZC25D","Bid Qty")</f>
        <v>50</v>
      </c>
      <c r="E1262">
        <f>RTD("nest.scriprtd",,"bse_cm|MMFLZC25D","Bid Rate")</f>
        <v>1180.2</v>
      </c>
      <c r="F1262">
        <f>RTD("nest.scriprtd",,"bse_cm|MMFLZC25D","Ask Rate")</f>
        <v>0</v>
      </c>
      <c r="G1262">
        <f>RTD("nest.scriprtd",,"bse_cm|MMFLZC25D","Ask Qty")</f>
        <v>0</v>
      </c>
      <c r="H1262">
        <f>RTD("nest.scriprtd",,"bse_cm|MMFLZC25D","LTP")</f>
        <v>0</v>
      </c>
      <c r="I1262" t="str">
        <f>RTD("nest.scriprtd",,"bse_cm|MMFLZC25D","LTT")</f>
        <v>00:00:00</v>
      </c>
      <c r="J1262">
        <f>RTD("nest.scriprtd",,"bse_cm|MMFLZC25D","% Change")</f>
        <v>-100</v>
      </c>
      <c r="K1262">
        <f>RTD("nest.scriprtd",,"bse_cm|MMFLZC25D","ATP")</f>
        <v>0</v>
      </c>
      <c r="L1262">
        <f>RTD("nest.scriprtd",,"bse_cm|MMFLZC25D","Volume Traded Today")</f>
        <v>0</v>
      </c>
      <c r="M1262">
        <f>RTD("nest.scriprtd",,"bse_cm|MMFLZC25D","Open")</f>
        <v>0</v>
      </c>
      <c r="N1262">
        <f>RTD("nest.scriprtd",,"bse_cm|MMFLZC25D","High")</f>
        <v>1425.18</v>
      </c>
      <c r="O1262">
        <f>RTD("nest.scriprtd",,"bse_cm|MMFLZC25D","Low ")</f>
        <v>1425.18</v>
      </c>
      <c r="P1262">
        <f>RTD("nest.scriprtd",,"bse_cm|MMFLZC25D","Prev Close")</f>
        <v>1425.18</v>
      </c>
      <c r="Q1262">
        <f>RTD("nest.scriprtd",,"bse_cm|MMFLZC25D","Face Value")</f>
        <v>1000</v>
      </c>
      <c r="R1262" t="str">
        <f>RTD("nest.scriprtd",,"bse_cm|MMFLZC25D","Isin code")</f>
        <v>INE101Q07839</v>
      </c>
      <c r="S1262" s="9">
        <f>Table1[[#This Row],[Ask Rate]]*Table1[[#This Row],[Ask Qty]]</f>
        <v>0</v>
      </c>
      <c r="T1262" t="str">
        <f>VLOOKUP(Table1[[#This Row],[Isin code]],Table2[#All],7,FALSE)</f>
        <v>--</v>
      </c>
      <c r="U1262" s="17" t="str">
        <f>VLOOKUP(Table1[[#This Row],[Isin code]],Table2[#All],8,FALSE)</f>
        <v>23-Jan-2025</v>
      </c>
      <c r="V1262" s="10">
        <f ca="1">Table1[[#This Row],[Maturity]]-TODAY()</f>
        <v>99</v>
      </c>
      <c r="W1262" t="str">
        <f>VLOOKUP(Table1[[#This Row],[Isin code]],Table2[#All],10,FALSE)</f>
        <v>At the End</v>
      </c>
      <c r="X1262">
        <f ca="1">_xlfn.DAYS(Table1[[#This Row],[Maturity]],TODAY())-15</f>
        <v>84</v>
      </c>
      <c r="Y126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2">
        <f>IF(Table1[[#This Row],[Ask Rate]]=0,0,Table1[[#This Row],[Face Value]]-Table1[[#This Row],[Ask Rate]])</f>
        <v>0</v>
      </c>
      <c r="AA126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2">
        <f>Table1[[#This Row],[Face Value]]*Table1[[#This Row],[Rate]]*Table1[[#This Row],[Time]]</f>
        <v>0</v>
      </c>
      <c r="AC1262">
        <f>Table1[[#This Row],[SI]]+Table1[[#This Row],[Disc/Prem]]</f>
        <v>0</v>
      </c>
      <c r="AD1262" s="3" t="e">
        <f>Table1[[#This Row],[Net Gain]]/Table1[[#This Row],[Ask Rate]]</f>
        <v>#DIV/0!</v>
      </c>
      <c r="AE1262" s="3">
        <f>IF(Table1[[#This Row],[Ask Qty]]=0,0,Table1[[#This Row],[Gross Yield]]*365/Table1[[#This Row],[Days Left]])</f>
        <v>0</v>
      </c>
      <c r="AF1262" s="9">
        <f>+Table1[[#This Row],[Net Gain]]*Table1[[#This Row],[Ask Qty]]</f>
        <v>0</v>
      </c>
      <c r="AG1262" t="str">
        <f>IF(Table1[[#This Row],[YTM]]&gt;0.12,IF(Table1[[#This Row],[Gross Profit]]&gt;10000,"Invest","Review"),"Low YTM")</f>
        <v>Low YTM</v>
      </c>
    </row>
    <row r="1263" spans="1:33" x14ac:dyDescent="0.3">
      <c r="A1263" t="str">
        <f>RTD("nest.scriprtd",,"bse_cm|MMFLZC25C","Symbol")</f>
        <v>MMFLZC25C</v>
      </c>
      <c r="B1263" t="str">
        <f>RTD("nest.scriprtd",,"bse_cm|MMFLZC25C","Trading Symbol")</f>
        <v>MMFLZC25C</v>
      </c>
      <c r="C1263" t="str">
        <f>RTD("nest.scriprtd",,"bse_cm|MMFLZC25C","Exchange")</f>
        <v>BSE</v>
      </c>
      <c r="D1263">
        <f>RTD("nest.scriprtd",,"bse_cm|MMFLZC25C","Bid Qty")</f>
        <v>27</v>
      </c>
      <c r="E1263">
        <f>RTD("nest.scriprtd",,"bse_cm|MMFLZC25C","Bid Rate")</f>
        <v>1050.2</v>
      </c>
      <c r="F1263">
        <f>RTD("nest.scriprtd",,"bse_cm|MMFLZC25C","Ask Rate")</f>
        <v>0</v>
      </c>
      <c r="G1263">
        <f>RTD("nest.scriprtd",,"bse_cm|MMFLZC25C","Ask Qty")</f>
        <v>0</v>
      </c>
      <c r="H1263">
        <f>RTD("nest.scriprtd",,"bse_cm|MMFLZC25C","LTP")</f>
        <v>0</v>
      </c>
      <c r="I1263" t="str">
        <f>RTD("nest.scriprtd",,"bse_cm|MMFLZC25C","LTT")</f>
        <v>00:00:00</v>
      </c>
      <c r="J1263">
        <f>RTD("nest.scriprtd",,"bse_cm|MMFLZC25C","% Change")</f>
        <v>-100</v>
      </c>
      <c r="K1263">
        <f>RTD("nest.scriprtd",,"bse_cm|MMFLZC25C","ATP")</f>
        <v>0</v>
      </c>
      <c r="L1263">
        <f>RTD("nest.scriprtd",,"bse_cm|MMFLZC25C","Volume Traded Today")</f>
        <v>0</v>
      </c>
      <c r="M1263">
        <f>RTD("nest.scriprtd",,"bse_cm|MMFLZC25C","Open")</f>
        <v>0</v>
      </c>
      <c r="N1263">
        <f>RTD("nest.scriprtd",,"bse_cm|MMFLZC25C","High")</f>
        <v>0</v>
      </c>
      <c r="O1263">
        <f>RTD("nest.scriprtd",,"bse_cm|MMFLZC25C","Low ")</f>
        <v>0</v>
      </c>
      <c r="P1263">
        <f>RTD("nest.scriprtd",,"bse_cm|MMFLZC25C","Prev Close")</f>
        <v>1019.8</v>
      </c>
      <c r="Q1263">
        <f>RTD("nest.scriprtd",,"bse_cm|MMFLZC25C","Face Value")</f>
        <v>1000</v>
      </c>
      <c r="R1263" t="str">
        <f>RTD("nest.scriprtd",,"bse_cm|MMFLZC25C","Isin code")</f>
        <v>INE101Q07607</v>
      </c>
      <c r="S1263" s="9">
        <f>Table1[[#This Row],[Ask Rate]]*Table1[[#This Row],[Ask Qty]]</f>
        <v>0</v>
      </c>
      <c r="T1263" t="str">
        <f>VLOOKUP(Table1[[#This Row],[Isin code]],Table2[#All],7,FALSE)</f>
        <v>--</v>
      </c>
      <c r="U1263" s="17" t="str">
        <f>VLOOKUP(Table1[[#This Row],[Isin code]],Table2[#All],8,FALSE)</f>
        <v>17-Dec-2025</v>
      </c>
      <c r="V1263" s="10">
        <f ca="1">Table1[[#This Row],[Maturity]]-TODAY()</f>
        <v>427</v>
      </c>
      <c r="W1263" t="str">
        <f>VLOOKUP(Table1[[#This Row],[Isin code]],Table2[#All],10,FALSE)</f>
        <v>At the End</v>
      </c>
      <c r="X1263">
        <f ca="1">_xlfn.DAYS(Table1[[#This Row],[Maturity]],TODAY())-15</f>
        <v>412</v>
      </c>
      <c r="Y126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3">
        <f>IF(Table1[[#This Row],[Ask Rate]]=0,0,Table1[[#This Row],[Face Value]]-Table1[[#This Row],[Ask Rate]])</f>
        <v>0</v>
      </c>
      <c r="AA126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3">
        <f>Table1[[#This Row],[Face Value]]*Table1[[#This Row],[Rate]]*Table1[[#This Row],[Time]]</f>
        <v>0</v>
      </c>
      <c r="AC1263">
        <f>Table1[[#This Row],[SI]]+Table1[[#This Row],[Disc/Prem]]</f>
        <v>0</v>
      </c>
      <c r="AD1263" s="3" t="e">
        <f>Table1[[#This Row],[Net Gain]]/Table1[[#This Row],[Ask Rate]]</f>
        <v>#DIV/0!</v>
      </c>
      <c r="AE1263" s="3">
        <f>IF(Table1[[#This Row],[Ask Qty]]=0,0,Table1[[#This Row],[Gross Yield]]*365/Table1[[#This Row],[Days Left]])</f>
        <v>0</v>
      </c>
      <c r="AF1263" s="9">
        <f>+Table1[[#This Row],[Net Gain]]*Table1[[#This Row],[Ask Qty]]</f>
        <v>0</v>
      </c>
      <c r="AG1263" t="str">
        <f>IF(Table1[[#This Row],[YTM]]&gt;0.12,IF(Table1[[#This Row],[Gross Profit]]&gt;10000,"Invest","Review"),"Low YTM")</f>
        <v>Low YTM</v>
      </c>
    </row>
    <row r="1264" spans="1:33" x14ac:dyDescent="0.3">
      <c r="A1264" t="str">
        <f>RTD("nest.scriprtd",,"bse_cm|MMFLZC25A","Symbol")</f>
        <v>MMFLZC25A</v>
      </c>
      <c r="B1264" t="str">
        <f>RTD("nest.scriprtd",,"bse_cm|MMFLZC25A","Trading Symbol")</f>
        <v>MMFLZC25A</v>
      </c>
      <c r="C1264" t="str">
        <f>RTD("nest.scriprtd",,"bse_cm|MMFLZC25A","Exchange")</f>
        <v>BSE</v>
      </c>
      <c r="D1264">
        <f>RTD("nest.scriprtd",,"bse_cm|MMFLZC25A","Bid Qty")</f>
        <v>25</v>
      </c>
      <c r="E1264">
        <f>RTD("nest.scriprtd",,"bse_cm|MMFLZC25A","Bid Rate")</f>
        <v>1119.8</v>
      </c>
      <c r="F1264">
        <f>RTD("nest.scriprtd",,"bse_cm|MMFLZC25A","Ask Rate")</f>
        <v>0</v>
      </c>
      <c r="G1264">
        <f>RTD("nest.scriprtd",,"bse_cm|MMFLZC25A","Ask Qty")</f>
        <v>0</v>
      </c>
      <c r="H1264">
        <f>RTD("nest.scriprtd",,"bse_cm|MMFLZC25A","LTP")</f>
        <v>0</v>
      </c>
      <c r="I1264" t="str">
        <f>RTD("nest.scriprtd",,"bse_cm|MMFLZC25A","LTT")</f>
        <v>00:00:00</v>
      </c>
      <c r="J1264">
        <f>RTD("nest.scriprtd",,"bse_cm|MMFLZC25A","% Change")</f>
        <v>-100</v>
      </c>
      <c r="K1264">
        <f>RTD("nest.scriprtd",,"bse_cm|MMFLZC25A","ATP")</f>
        <v>0</v>
      </c>
      <c r="L1264">
        <f>RTD("nest.scriprtd",,"bse_cm|MMFLZC25A","Volume Traded Today")</f>
        <v>0</v>
      </c>
      <c r="M1264">
        <f>RTD("nest.scriprtd",,"bse_cm|MMFLZC25A","Open")</f>
        <v>0</v>
      </c>
      <c r="N1264">
        <f>RTD("nest.scriprtd",,"bse_cm|MMFLZC25A","High")</f>
        <v>1250</v>
      </c>
      <c r="O1264">
        <f>RTD("nest.scriprtd",,"bse_cm|MMFLZC25A","Low ")</f>
        <v>1250</v>
      </c>
      <c r="P1264">
        <f>RTD("nest.scriprtd",,"bse_cm|MMFLZC25A","Prev Close")</f>
        <v>1250</v>
      </c>
      <c r="Q1264">
        <f>RTD("nest.scriprtd",,"bse_cm|MMFLZC25A","Face Value")</f>
        <v>1000</v>
      </c>
      <c r="R1264" t="str">
        <f>RTD("nest.scriprtd",,"bse_cm|MMFLZC25A","Isin code")</f>
        <v>INE101Q07AA1</v>
      </c>
      <c r="S1264" s="9">
        <f>Table1[[#This Row],[Ask Rate]]*Table1[[#This Row],[Ask Qty]]</f>
        <v>0</v>
      </c>
      <c r="T1264" t="str">
        <f>VLOOKUP(Table1[[#This Row],[Isin code]],Table2[#All],7,FALSE)</f>
        <v>--</v>
      </c>
      <c r="U1264" s="17" t="str">
        <f>VLOOKUP(Table1[[#This Row],[Isin code]],Table2[#All],8,FALSE)</f>
        <v>15-Nov-2025</v>
      </c>
      <c r="V1264" s="10">
        <f ca="1">Table1[[#This Row],[Maturity]]-TODAY()</f>
        <v>395</v>
      </c>
      <c r="W1264" t="str">
        <f>VLOOKUP(Table1[[#This Row],[Isin code]],Table2[#All],10,FALSE)</f>
        <v>At the End</v>
      </c>
      <c r="X1264">
        <f ca="1">_xlfn.DAYS(Table1[[#This Row],[Maturity]],TODAY())-15</f>
        <v>380</v>
      </c>
      <c r="Y126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4">
        <f>IF(Table1[[#This Row],[Ask Rate]]=0,0,Table1[[#This Row],[Face Value]]-Table1[[#This Row],[Ask Rate]])</f>
        <v>0</v>
      </c>
      <c r="AA126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4">
        <f>Table1[[#This Row],[Face Value]]*Table1[[#This Row],[Rate]]*Table1[[#This Row],[Time]]</f>
        <v>0</v>
      </c>
      <c r="AC1264">
        <f>Table1[[#This Row],[SI]]+Table1[[#This Row],[Disc/Prem]]</f>
        <v>0</v>
      </c>
      <c r="AD1264" s="3" t="e">
        <f>Table1[[#This Row],[Net Gain]]/Table1[[#This Row],[Ask Rate]]</f>
        <v>#DIV/0!</v>
      </c>
      <c r="AE1264" s="3">
        <f>IF(Table1[[#This Row],[Ask Qty]]=0,0,Table1[[#This Row],[Gross Yield]]*365/Table1[[#This Row],[Days Left]])</f>
        <v>0</v>
      </c>
      <c r="AF1264" s="9">
        <f>+Table1[[#This Row],[Net Gain]]*Table1[[#This Row],[Ask Qty]]</f>
        <v>0</v>
      </c>
      <c r="AG1264" t="str">
        <f>IF(Table1[[#This Row],[YTM]]&gt;0.12,IF(Table1[[#This Row],[Gross Profit]]&gt;10000,"Invest","Review"),"Low YTM")</f>
        <v>Low YTM</v>
      </c>
    </row>
    <row r="1265" spans="1:33" hidden="1" x14ac:dyDescent="0.3">
      <c r="A1265" t="str">
        <f>RTD("nest.scriprtd",,"bse_cm|MMFLZC24D","Symbol")</f>
        <v>MMFLZC24D</v>
      </c>
      <c r="B1265" t="str">
        <f>RTD("nest.scriprtd",,"bse_cm|MMFLZC24D","Trading Symbol")</f>
        <v>MMFLZC24D</v>
      </c>
      <c r="C1265" t="str">
        <f>RTD("nest.scriprtd",,"bse_cm|MMFLZC24D","Exchange")</f>
        <v>BSE</v>
      </c>
      <c r="D1265">
        <f>RTD("nest.scriprtd",,"bse_cm|MMFLZC24D","Bid Qty")</f>
        <v>41</v>
      </c>
      <c r="E1265">
        <f>RTD("nest.scriprtd",,"bse_cm|MMFLZC24D","Bid Rate")</f>
        <v>1340.21</v>
      </c>
      <c r="F1265">
        <f>RTD("nest.scriprtd",,"bse_cm|MMFLZC24D","Ask Rate")</f>
        <v>0</v>
      </c>
      <c r="G1265">
        <f>RTD("nest.scriprtd",,"bse_cm|MMFLZC24D","Ask Qty")</f>
        <v>0</v>
      </c>
      <c r="H1265">
        <f>RTD("nest.scriprtd",,"bse_cm|MMFLZC24D","LTP")</f>
        <v>0</v>
      </c>
      <c r="I1265" t="str">
        <f>RTD("nest.scriprtd",,"bse_cm|MMFLZC24D","LTT")</f>
        <v>00:00:00</v>
      </c>
      <c r="J1265">
        <f>RTD("nest.scriprtd",,"bse_cm|MMFLZC24D","% Change")</f>
        <v>-100</v>
      </c>
      <c r="K1265">
        <f>RTD("nest.scriprtd",,"bse_cm|MMFLZC24D","ATP")</f>
        <v>0</v>
      </c>
      <c r="L1265">
        <f>RTD("nest.scriprtd",,"bse_cm|MMFLZC24D","Volume Traded Today")</f>
        <v>0</v>
      </c>
      <c r="M1265">
        <f>RTD("nest.scriprtd",,"bse_cm|MMFLZC24D","Open")</f>
        <v>0</v>
      </c>
      <c r="N1265">
        <f>RTD("nest.scriprtd",,"bse_cm|MMFLZC24D","High")</f>
        <v>1369.5</v>
      </c>
      <c r="O1265">
        <f>RTD("nest.scriprtd",,"bse_cm|MMFLZC24D","Low ")</f>
        <v>1369.5</v>
      </c>
      <c r="P1265">
        <f>RTD("nest.scriprtd",,"bse_cm|MMFLZC24D","Prev Close")</f>
        <v>1369.5</v>
      </c>
      <c r="Q1265">
        <f>RTD("nest.scriprtd",,"bse_cm|MMFLZC24D","Face Value")</f>
        <v>1000</v>
      </c>
      <c r="R1265" t="str">
        <f>RTD("nest.scriprtd",,"bse_cm|MMFLZC24D","Isin code")</f>
        <v>INE101Q07763</v>
      </c>
      <c r="S1265" s="9">
        <f>Table1[[#This Row],[Ask Rate]]*Table1[[#This Row],[Ask Qty]]</f>
        <v>0</v>
      </c>
      <c r="T1265" t="str">
        <f>VLOOKUP(Table1[[#This Row],[Isin code]],Table2[#All],7,FALSE)</f>
        <v>--</v>
      </c>
      <c r="U1265" s="17" t="str">
        <f>VLOOKUP(Table1[[#This Row],[Isin code]],Table2[#All],8,FALSE)</f>
        <v>29-Nov-2024</v>
      </c>
      <c r="V1265" s="10">
        <f ca="1">Table1[[#This Row],[Maturity]]-TODAY()</f>
        <v>44</v>
      </c>
      <c r="W1265" t="str">
        <f>VLOOKUP(Table1[[#This Row],[Isin code]],Table2[#All],10,FALSE)</f>
        <v>At the End</v>
      </c>
      <c r="X1265">
        <f ca="1">_xlfn.DAYS(Table1[[#This Row],[Maturity]],TODAY())-15</f>
        <v>29</v>
      </c>
      <c r="Y126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5">
        <f>IF(Table1[[#This Row],[Ask Rate]]=0,0,Table1[[#This Row],[Face Value]]-Table1[[#This Row],[Ask Rate]])</f>
        <v>0</v>
      </c>
      <c r="AA126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5">
        <f>Table1[[#This Row],[Face Value]]*Table1[[#This Row],[Rate]]*Table1[[#This Row],[Time]]</f>
        <v>0</v>
      </c>
      <c r="AC1265">
        <f>Table1[[#This Row],[SI]]+Table1[[#This Row],[Disc/Prem]]</f>
        <v>0</v>
      </c>
      <c r="AD1265" s="3" t="e">
        <f>Table1[[#This Row],[Net Gain]]/Table1[[#This Row],[Ask Rate]]</f>
        <v>#DIV/0!</v>
      </c>
      <c r="AE1265" s="3">
        <f>IF(Table1[[#This Row],[Ask Qty]]=0,0,Table1[[#This Row],[Gross Yield]]*365/Table1[[#This Row],[Days Left]])</f>
        <v>0</v>
      </c>
      <c r="AF1265" s="9">
        <f>+Table1[[#This Row],[Net Gain]]*Table1[[#This Row],[Ask Qty]]</f>
        <v>0</v>
      </c>
      <c r="AG1265" t="str">
        <f>IF(Table1[[#This Row],[YTM]]&gt;0.12,IF(Table1[[#This Row],[Gross Profit]]&gt;10000,"Invest","Review"),"Low YTM")</f>
        <v>Low YTM</v>
      </c>
    </row>
    <row r="1266" spans="1:33" x14ac:dyDescent="0.3">
      <c r="A1266" t="str">
        <f>RTD("nest.scriprtd",,"bse_cm|MFLZC32","Symbol")</f>
        <v>MFLZC32</v>
      </c>
      <c r="B1266" t="str">
        <f>RTD("nest.scriprtd",,"bse_cm|MFLZC32","Trading Symbol")</f>
        <v>MFLZC32</v>
      </c>
      <c r="C1266" t="str">
        <f>RTD("nest.scriprtd",,"bse_cm|MFLZC32","Exchange")</f>
        <v>BSE</v>
      </c>
      <c r="D1266">
        <f>RTD("nest.scriprtd",,"bse_cm|MFLZC32","Bid Qty")</f>
        <v>50</v>
      </c>
      <c r="E1266">
        <f>RTD("nest.scriprtd",,"bse_cm|MFLZC32","Bid Rate")</f>
        <v>975.02</v>
      </c>
      <c r="F1266">
        <f>RTD("nest.scriprtd",,"bse_cm|MFLZC32","Ask Rate")</f>
        <v>0</v>
      </c>
      <c r="G1266">
        <f>RTD("nest.scriprtd",,"bse_cm|MFLZC32","Ask Qty")</f>
        <v>0</v>
      </c>
      <c r="H1266">
        <f>RTD("nest.scriprtd",,"bse_cm|MFLZC32","LTP")</f>
        <v>0</v>
      </c>
      <c r="I1266" t="str">
        <f>RTD("nest.scriprtd",,"bse_cm|MFLZC32","LTT")</f>
        <v>00:00:00</v>
      </c>
      <c r="J1266">
        <f>RTD("nest.scriprtd",,"bse_cm|MFLZC32","% Change")</f>
        <v>-100</v>
      </c>
      <c r="K1266">
        <f>RTD("nest.scriprtd",,"bse_cm|MFLZC32","ATP")</f>
        <v>0</v>
      </c>
      <c r="L1266">
        <f>RTD("nest.scriprtd",,"bse_cm|MFLZC32","Volume Traded Today")</f>
        <v>0</v>
      </c>
      <c r="M1266">
        <f>RTD("nest.scriprtd",,"bse_cm|MFLZC32","Open")</f>
        <v>0</v>
      </c>
      <c r="N1266">
        <f>RTD("nest.scriprtd",,"bse_cm|MFLZC32","High")</f>
        <v>1029</v>
      </c>
      <c r="O1266">
        <f>RTD("nest.scriprtd",,"bse_cm|MFLZC32","Low ")</f>
        <v>1029</v>
      </c>
      <c r="P1266">
        <f>RTD("nest.scriprtd",,"bse_cm|MFLZC32","Prev Close")</f>
        <v>1029</v>
      </c>
      <c r="Q1266">
        <f>RTD("nest.scriprtd",,"bse_cm|MFLZC32","Face Value")</f>
        <v>1000</v>
      </c>
      <c r="R1266" t="str">
        <f>RTD("nest.scriprtd",,"bse_cm|MFLZC32","Isin code")</f>
        <v>INE549K07DC4</v>
      </c>
      <c r="S1266" s="9">
        <f>Table1[[#This Row],[Ask Rate]]*Table1[[#This Row],[Ask Qty]]</f>
        <v>0</v>
      </c>
      <c r="T1266" t="str">
        <f>VLOOKUP(Table1[[#This Row],[Isin code]],Table2[#All],7,FALSE)</f>
        <v>--</v>
      </c>
      <c r="U1266" s="17" t="str">
        <f>VLOOKUP(Table1[[#This Row],[Isin code]],Table2[#All],8,FALSE)</f>
        <v>31-Jan-2032</v>
      </c>
      <c r="V1266" s="10">
        <f ca="1">Table1[[#This Row],[Maturity]]-TODAY()</f>
        <v>2663</v>
      </c>
      <c r="W1266" t="str">
        <f>VLOOKUP(Table1[[#This Row],[Isin code]],Table2[#All],10,FALSE)</f>
        <v>At the End</v>
      </c>
      <c r="X1266">
        <f ca="1">_xlfn.DAYS(Table1[[#This Row],[Maturity]],TODAY())-15</f>
        <v>2648</v>
      </c>
      <c r="Y126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6">
        <f>IF(Table1[[#This Row],[Ask Rate]]=0,0,Table1[[#This Row],[Face Value]]-Table1[[#This Row],[Ask Rate]])</f>
        <v>0</v>
      </c>
      <c r="AA126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6">
        <f>Table1[[#This Row],[Face Value]]*Table1[[#This Row],[Rate]]*Table1[[#This Row],[Time]]</f>
        <v>0</v>
      </c>
      <c r="AC1266">
        <f>Table1[[#This Row],[SI]]+Table1[[#This Row],[Disc/Prem]]</f>
        <v>0</v>
      </c>
      <c r="AD1266" s="3" t="e">
        <f>Table1[[#This Row],[Net Gain]]/Table1[[#This Row],[Ask Rate]]</f>
        <v>#DIV/0!</v>
      </c>
      <c r="AE1266" s="3">
        <f>IF(Table1[[#This Row],[Ask Qty]]=0,0,Table1[[#This Row],[Gross Yield]]*365/Table1[[#This Row],[Days Left]])</f>
        <v>0</v>
      </c>
      <c r="AF1266" s="9">
        <f>+Table1[[#This Row],[Net Gain]]*Table1[[#This Row],[Ask Qty]]</f>
        <v>0</v>
      </c>
      <c r="AG1266" t="str">
        <f>IF(Table1[[#This Row],[YTM]]&gt;0.12,IF(Table1[[#This Row],[Gross Profit]]&gt;10000,"Invest","Review"),"Low YTM")</f>
        <v>Low YTM</v>
      </c>
    </row>
    <row r="1267" spans="1:33" x14ac:dyDescent="0.3">
      <c r="A1267" t="str">
        <f>RTD("nest.scriprtd",,"bse_cm|MFLZC30","Symbol")</f>
        <v>MFLZC30</v>
      </c>
      <c r="B1267" t="str">
        <f>RTD("nest.scriprtd",,"bse_cm|MFLZC30","Trading Symbol")</f>
        <v>MFLZC30</v>
      </c>
      <c r="C1267" t="str">
        <f>RTD("nest.scriprtd",,"bse_cm|MFLZC30","Exchange")</f>
        <v>BSE</v>
      </c>
      <c r="D1267">
        <f>RTD("nest.scriprtd",,"bse_cm|MFLZC30","Bid Qty")</f>
        <v>100</v>
      </c>
      <c r="E1267">
        <f>RTD("nest.scriprtd",,"bse_cm|MFLZC30","Bid Rate")</f>
        <v>1101.42</v>
      </c>
      <c r="F1267">
        <f>RTD("nest.scriprtd",,"bse_cm|MFLZC30","Ask Rate")</f>
        <v>0</v>
      </c>
      <c r="G1267">
        <f>RTD("nest.scriprtd",,"bse_cm|MFLZC30","Ask Qty")</f>
        <v>0</v>
      </c>
      <c r="H1267">
        <f>RTD("nest.scriprtd",,"bse_cm|MFLZC30","LTP")</f>
        <v>0</v>
      </c>
      <c r="I1267" t="str">
        <f>RTD("nest.scriprtd",,"bse_cm|MFLZC30","LTT")</f>
        <v>00:00:00</v>
      </c>
      <c r="J1267">
        <f>RTD("nest.scriprtd",,"bse_cm|MFLZC30","% Change")</f>
        <v>-100</v>
      </c>
      <c r="K1267">
        <f>RTD("nest.scriprtd",,"bse_cm|MFLZC30","ATP")</f>
        <v>0</v>
      </c>
      <c r="L1267">
        <f>RTD("nest.scriprtd",,"bse_cm|MFLZC30","Volume Traded Today")</f>
        <v>0</v>
      </c>
      <c r="M1267">
        <f>RTD("nest.scriprtd",,"bse_cm|MFLZC30","Open")</f>
        <v>0</v>
      </c>
      <c r="N1267">
        <f>RTD("nest.scriprtd",,"bse_cm|MFLZC30","High")</f>
        <v>1180</v>
      </c>
      <c r="O1267">
        <f>RTD("nest.scriprtd",,"bse_cm|MFLZC30","Low ")</f>
        <v>1180</v>
      </c>
      <c r="P1267">
        <f>RTD("nest.scriprtd",,"bse_cm|MFLZC30","Prev Close")</f>
        <v>1180</v>
      </c>
      <c r="Q1267">
        <f>RTD("nest.scriprtd",,"bse_cm|MFLZC30","Face Value")</f>
        <v>1000</v>
      </c>
      <c r="R1267" t="str">
        <f>RTD("nest.scriprtd",,"bse_cm|MFLZC30","Isin code")</f>
        <v>INE549K07BI5</v>
      </c>
      <c r="S1267" s="9">
        <f>Table1[[#This Row],[Ask Rate]]*Table1[[#This Row],[Ask Qty]]</f>
        <v>0</v>
      </c>
      <c r="T1267" t="str">
        <f>VLOOKUP(Table1[[#This Row],[Isin code]],Table2[#All],7,FALSE)</f>
        <v>--</v>
      </c>
      <c r="U1267" s="17" t="str">
        <f>VLOOKUP(Table1[[#This Row],[Isin code]],Table2[#All],8,FALSE)</f>
        <v>02-Feb-2030</v>
      </c>
      <c r="V1267" s="10">
        <f ca="1">Table1[[#This Row],[Maturity]]-TODAY()</f>
        <v>1935</v>
      </c>
      <c r="W1267" t="str">
        <f>VLOOKUP(Table1[[#This Row],[Isin code]],Table2[#All],10,FALSE)</f>
        <v>At the End</v>
      </c>
      <c r="X1267">
        <f ca="1">_xlfn.DAYS(Table1[[#This Row],[Maturity]],TODAY())-15</f>
        <v>1920</v>
      </c>
      <c r="Y126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7">
        <f>IF(Table1[[#This Row],[Ask Rate]]=0,0,Table1[[#This Row],[Face Value]]-Table1[[#This Row],[Ask Rate]])</f>
        <v>0</v>
      </c>
      <c r="AA126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7">
        <f>Table1[[#This Row],[Face Value]]*Table1[[#This Row],[Rate]]*Table1[[#This Row],[Time]]</f>
        <v>0</v>
      </c>
      <c r="AC1267">
        <f>Table1[[#This Row],[SI]]+Table1[[#This Row],[Disc/Prem]]</f>
        <v>0</v>
      </c>
      <c r="AD1267" s="3" t="e">
        <f>Table1[[#This Row],[Net Gain]]/Table1[[#This Row],[Ask Rate]]</f>
        <v>#DIV/0!</v>
      </c>
      <c r="AE1267" s="3">
        <f>IF(Table1[[#This Row],[Ask Qty]]=0,0,Table1[[#This Row],[Gross Yield]]*365/Table1[[#This Row],[Days Left]])</f>
        <v>0</v>
      </c>
      <c r="AF1267" s="9">
        <f>+Table1[[#This Row],[Net Gain]]*Table1[[#This Row],[Ask Qty]]</f>
        <v>0</v>
      </c>
      <c r="AG1267" t="str">
        <f>IF(Table1[[#This Row],[YTM]]&gt;0.12,IF(Table1[[#This Row],[Gross Profit]]&gt;10000,"Invest","Review"),"Low YTM")</f>
        <v>Low YTM</v>
      </c>
    </row>
    <row r="1268" spans="1:33" x14ac:dyDescent="0.3">
      <c r="A1268" t="str">
        <f>RTD("nest.scriprtd",,"bse_cm|MFLZC28F","Symbol")</f>
        <v>MFLZC28F</v>
      </c>
      <c r="B1268" t="str">
        <f>RTD("nest.scriprtd",,"bse_cm|MFLZC28F","Trading Symbol")</f>
        <v>MFLZC28F</v>
      </c>
      <c r="C1268" t="str">
        <f>RTD("nest.scriprtd",,"bse_cm|MFLZC28F","Exchange")</f>
        <v>BSE</v>
      </c>
      <c r="D1268">
        <f>RTD("nest.scriprtd",,"bse_cm|MFLZC28F","Bid Qty")</f>
        <v>50</v>
      </c>
      <c r="E1268">
        <f>RTD("nest.scriprtd",,"bse_cm|MFLZC28F","Bid Rate")</f>
        <v>1110.02</v>
      </c>
      <c r="F1268">
        <f>RTD("nest.scriprtd",,"bse_cm|MFLZC28F","Ask Rate")</f>
        <v>0</v>
      </c>
      <c r="G1268">
        <f>RTD("nest.scriprtd",,"bse_cm|MFLZC28F","Ask Qty")</f>
        <v>0</v>
      </c>
      <c r="H1268">
        <f>RTD("nest.scriprtd",,"bse_cm|MFLZC28F","LTP")</f>
        <v>0</v>
      </c>
      <c r="I1268" t="str">
        <f>RTD("nest.scriprtd",,"bse_cm|MFLZC28F","LTT")</f>
        <v>00:00:00</v>
      </c>
      <c r="J1268">
        <f>RTD("nest.scriprtd",,"bse_cm|MFLZC28F","% Change")</f>
        <v>-100</v>
      </c>
      <c r="K1268">
        <f>RTD("nest.scriprtd",,"bse_cm|MFLZC28F","ATP")</f>
        <v>0</v>
      </c>
      <c r="L1268">
        <f>RTD("nest.scriprtd",,"bse_cm|MFLZC28F","Volume Traded Today")</f>
        <v>0</v>
      </c>
      <c r="M1268">
        <f>RTD("nest.scriprtd",,"bse_cm|MFLZC28F","Open")</f>
        <v>0</v>
      </c>
      <c r="N1268">
        <f>RTD("nest.scriprtd",,"bse_cm|MFLZC28F","High")</f>
        <v>1199</v>
      </c>
      <c r="O1268">
        <f>RTD("nest.scriprtd",,"bse_cm|MFLZC28F","Low ")</f>
        <v>1199</v>
      </c>
      <c r="P1268">
        <f>RTD("nest.scriprtd",,"bse_cm|MFLZC28F","Prev Close")</f>
        <v>1199</v>
      </c>
      <c r="Q1268">
        <f>RTD("nest.scriprtd",,"bse_cm|MFLZC28F","Face Value")</f>
        <v>1000</v>
      </c>
      <c r="R1268" t="str">
        <f>RTD("nest.scriprtd",,"bse_cm|MFLZC28F","Isin code")</f>
        <v>INE549K07BH7</v>
      </c>
      <c r="S1268" s="9">
        <f>Table1[[#This Row],[Ask Rate]]*Table1[[#This Row],[Ask Qty]]</f>
        <v>0</v>
      </c>
      <c r="T1268" t="str">
        <f>VLOOKUP(Table1[[#This Row],[Isin code]],Table2[#All],7,FALSE)</f>
        <v>--</v>
      </c>
      <c r="U1268" s="17" t="str">
        <f>VLOOKUP(Table1[[#This Row],[Isin code]],Table2[#All],8,FALSE)</f>
        <v>02-Feb-2028</v>
      </c>
      <c r="V1268" s="10">
        <f ca="1">Table1[[#This Row],[Maturity]]-TODAY()</f>
        <v>1204</v>
      </c>
      <c r="W1268" t="str">
        <f>VLOOKUP(Table1[[#This Row],[Isin code]],Table2[#All],10,FALSE)</f>
        <v>At the End</v>
      </c>
      <c r="X1268">
        <f ca="1">_xlfn.DAYS(Table1[[#This Row],[Maturity]],TODAY())-15</f>
        <v>1189</v>
      </c>
      <c r="Y126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8">
        <f>IF(Table1[[#This Row],[Ask Rate]]=0,0,Table1[[#This Row],[Face Value]]-Table1[[#This Row],[Ask Rate]])</f>
        <v>0</v>
      </c>
      <c r="AA126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8">
        <f>Table1[[#This Row],[Face Value]]*Table1[[#This Row],[Rate]]*Table1[[#This Row],[Time]]</f>
        <v>0</v>
      </c>
      <c r="AC1268">
        <f>Table1[[#This Row],[SI]]+Table1[[#This Row],[Disc/Prem]]</f>
        <v>0</v>
      </c>
      <c r="AD1268" s="3" t="e">
        <f>Table1[[#This Row],[Net Gain]]/Table1[[#This Row],[Ask Rate]]</f>
        <v>#DIV/0!</v>
      </c>
      <c r="AE1268" s="3">
        <f>IF(Table1[[#This Row],[Ask Qty]]=0,0,Table1[[#This Row],[Gross Yield]]*365/Table1[[#This Row],[Days Left]])</f>
        <v>0</v>
      </c>
      <c r="AF1268" s="9">
        <f>+Table1[[#This Row],[Net Gain]]*Table1[[#This Row],[Ask Qty]]</f>
        <v>0</v>
      </c>
      <c r="AG1268" t="str">
        <f>IF(Table1[[#This Row],[YTM]]&gt;0.12,IF(Table1[[#This Row],[Gross Profit]]&gt;10000,"Invest","Review"),"Low YTM")</f>
        <v>Low YTM</v>
      </c>
    </row>
    <row r="1269" spans="1:33" x14ac:dyDescent="0.3">
      <c r="A1269" t="str">
        <f>RTD("nest.scriprtd",,"bse_cm|MFLZC28E","Symbol")</f>
        <v>MFLZC28E</v>
      </c>
      <c r="B1269" t="str">
        <f>RTD("nest.scriprtd",,"bse_cm|MFLZC28E","Trading Symbol")</f>
        <v>MFLZC28E</v>
      </c>
      <c r="C1269" t="str">
        <f>RTD("nest.scriprtd",,"bse_cm|MFLZC28E","Exchange")</f>
        <v>BSE</v>
      </c>
      <c r="D1269">
        <f>RTD("nest.scriprtd",,"bse_cm|MFLZC28E","Bid Qty")</f>
        <v>50</v>
      </c>
      <c r="E1269">
        <f>RTD("nest.scriprtd",,"bse_cm|MFLZC28E","Bid Rate")</f>
        <v>1269.6199999999999</v>
      </c>
      <c r="F1269">
        <f>RTD("nest.scriprtd",,"bse_cm|MFLZC28E","Ask Rate")</f>
        <v>0</v>
      </c>
      <c r="G1269">
        <f>RTD("nest.scriprtd",,"bse_cm|MFLZC28E","Ask Qty")</f>
        <v>0</v>
      </c>
      <c r="H1269">
        <f>RTD("nest.scriprtd",,"bse_cm|MFLZC28E","LTP")</f>
        <v>0</v>
      </c>
      <c r="I1269" t="str">
        <f>RTD("nest.scriprtd",,"bse_cm|MFLZC28E","LTT")</f>
        <v>00:00:00</v>
      </c>
      <c r="J1269">
        <f>RTD("nest.scriprtd",,"bse_cm|MFLZC28E","% Change")</f>
        <v>-100</v>
      </c>
      <c r="K1269">
        <f>RTD("nest.scriprtd",,"bse_cm|MFLZC28E","ATP")</f>
        <v>0</v>
      </c>
      <c r="L1269">
        <f>RTD("nest.scriprtd",,"bse_cm|MFLZC28E","Volume Traded Today")</f>
        <v>0</v>
      </c>
      <c r="M1269">
        <f>RTD("nest.scriprtd",,"bse_cm|MFLZC28E","Open")</f>
        <v>0</v>
      </c>
      <c r="N1269">
        <f>RTD("nest.scriprtd",,"bse_cm|MFLZC28E","High")</f>
        <v>1402</v>
      </c>
      <c r="O1269">
        <f>RTD("nest.scriprtd",,"bse_cm|MFLZC28E","Low ")</f>
        <v>1402</v>
      </c>
      <c r="P1269">
        <f>RTD("nest.scriprtd",,"bse_cm|MFLZC28E","Prev Close")</f>
        <v>1402</v>
      </c>
      <c r="Q1269">
        <f>RTD("nest.scriprtd",,"bse_cm|MFLZC28E","Face Value")</f>
        <v>1000</v>
      </c>
      <c r="R1269" t="str">
        <f>RTD("nest.scriprtd",,"bse_cm|MFLZC28E","Isin code")</f>
        <v>INE549K08251</v>
      </c>
      <c r="S1269" s="9">
        <f>Table1[[#This Row],[Ask Rate]]*Table1[[#This Row],[Ask Qty]]</f>
        <v>0</v>
      </c>
      <c r="T1269" t="str">
        <f>VLOOKUP(Table1[[#This Row],[Isin code]],Table2[#All],7,FALSE)</f>
        <v>--</v>
      </c>
      <c r="U1269" s="17" t="str">
        <f>VLOOKUP(Table1[[#This Row],[Isin code]],Table2[#All],8,FALSE)</f>
        <v>07-Aug-2028</v>
      </c>
      <c r="V1269" s="10">
        <f ca="1">Table1[[#This Row],[Maturity]]-TODAY()</f>
        <v>1391</v>
      </c>
      <c r="W1269" t="str">
        <f>VLOOKUP(Table1[[#This Row],[Isin code]],Table2[#All],10,FALSE)</f>
        <v>At the End</v>
      </c>
      <c r="X1269">
        <f ca="1">_xlfn.DAYS(Table1[[#This Row],[Maturity]],TODAY())-15</f>
        <v>1376</v>
      </c>
      <c r="Y126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69">
        <f>IF(Table1[[#This Row],[Ask Rate]]=0,0,Table1[[#This Row],[Face Value]]-Table1[[#This Row],[Ask Rate]])</f>
        <v>0</v>
      </c>
      <c r="AA126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69">
        <f>Table1[[#This Row],[Face Value]]*Table1[[#This Row],[Rate]]*Table1[[#This Row],[Time]]</f>
        <v>0</v>
      </c>
      <c r="AC1269">
        <f>Table1[[#This Row],[SI]]+Table1[[#This Row],[Disc/Prem]]</f>
        <v>0</v>
      </c>
      <c r="AD1269" s="3" t="e">
        <f>Table1[[#This Row],[Net Gain]]/Table1[[#This Row],[Ask Rate]]</f>
        <v>#DIV/0!</v>
      </c>
      <c r="AE1269" s="3">
        <f>IF(Table1[[#This Row],[Ask Qty]]=0,0,Table1[[#This Row],[Gross Yield]]*365/Table1[[#This Row],[Days Left]])</f>
        <v>0</v>
      </c>
      <c r="AF1269" s="9">
        <f>+Table1[[#This Row],[Net Gain]]*Table1[[#This Row],[Ask Qty]]</f>
        <v>0</v>
      </c>
      <c r="AG1269" t="str">
        <f>IF(Table1[[#This Row],[YTM]]&gt;0.12,IF(Table1[[#This Row],[Gross Profit]]&gt;10000,"Invest","Review"),"Low YTM")</f>
        <v>Low YTM</v>
      </c>
    </row>
    <row r="1270" spans="1:33" x14ac:dyDescent="0.3">
      <c r="A1270" t="str">
        <f>RTD("nest.scriprtd",,"bse_cm|MFLZC27A","Symbol")</f>
        <v>MFLZC27A</v>
      </c>
      <c r="B1270" t="str">
        <f>RTD("nest.scriprtd",,"bse_cm|MFLZC27A","Trading Symbol")</f>
        <v>MFLZC27A</v>
      </c>
      <c r="C1270" t="str">
        <f>RTD("nest.scriprtd",,"bse_cm|MFLZC27A","Exchange")</f>
        <v>BSE</v>
      </c>
      <c r="D1270">
        <f>RTD("nest.scriprtd",,"bse_cm|MFLZC27A","Bid Qty")</f>
        <v>50</v>
      </c>
      <c r="E1270">
        <f>RTD("nest.scriprtd",,"bse_cm|MFLZC27A","Bid Rate")</f>
        <v>1125.22</v>
      </c>
      <c r="F1270">
        <f>RTD("nest.scriprtd",,"bse_cm|MFLZC27A","Ask Rate")</f>
        <v>0</v>
      </c>
      <c r="G1270">
        <f>RTD("nest.scriprtd",,"bse_cm|MFLZC27A","Ask Qty")</f>
        <v>0</v>
      </c>
      <c r="H1270">
        <f>RTD("nest.scriprtd",,"bse_cm|MFLZC27A","LTP")</f>
        <v>0</v>
      </c>
      <c r="I1270" t="str">
        <f>RTD("nest.scriprtd",,"bse_cm|MFLZC27A","LTT")</f>
        <v>00:00:00</v>
      </c>
      <c r="J1270">
        <f>RTD("nest.scriprtd",,"bse_cm|MFLZC27A","% Change")</f>
        <v>-100</v>
      </c>
      <c r="K1270">
        <f>RTD("nest.scriprtd",,"bse_cm|MFLZC27A","ATP")</f>
        <v>0</v>
      </c>
      <c r="L1270">
        <f>RTD("nest.scriprtd",,"bse_cm|MFLZC27A","Volume Traded Today")</f>
        <v>0</v>
      </c>
      <c r="M1270">
        <f>RTD("nest.scriprtd",,"bse_cm|MFLZC27A","Open")</f>
        <v>0</v>
      </c>
      <c r="N1270">
        <f>RTD("nest.scriprtd",,"bse_cm|MFLZC27A","High")</f>
        <v>1170</v>
      </c>
      <c r="O1270">
        <f>RTD("nest.scriprtd",,"bse_cm|MFLZC27A","Low ")</f>
        <v>1133</v>
      </c>
      <c r="P1270">
        <f>RTD("nest.scriprtd",,"bse_cm|MFLZC27A","Prev Close")</f>
        <v>1153.56</v>
      </c>
      <c r="Q1270">
        <f>RTD("nest.scriprtd",,"bse_cm|MFLZC27A","Face Value")</f>
        <v>1000</v>
      </c>
      <c r="R1270" t="str">
        <f>RTD("nest.scriprtd",,"bse_cm|MFLZC27A","Isin code")</f>
        <v>INE549K07BG9</v>
      </c>
      <c r="S1270" s="9">
        <f>Table1[[#This Row],[Ask Rate]]*Table1[[#This Row],[Ask Qty]]</f>
        <v>0</v>
      </c>
      <c r="T1270" t="str">
        <f>VLOOKUP(Table1[[#This Row],[Isin code]],Table2[#All],7,FALSE)</f>
        <v>--</v>
      </c>
      <c r="U1270" s="17" t="str">
        <f>VLOOKUP(Table1[[#This Row],[Isin code]],Table2[#All],8,FALSE)</f>
        <v>02-Feb-2027</v>
      </c>
      <c r="V1270" s="10">
        <f ca="1">Table1[[#This Row],[Maturity]]-TODAY()</f>
        <v>839</v>
      </c>
      <c r="W1270" t="str">
        <f>VLOOKUP(Table1[[#This Row],[Isin code]],Table2[#All],10,FALSE)</f>
        <v>At the End</v>
      </c>
      <c r="X1270">
        <f ca="1">_xlfn.DAYS(Table1[[#This Row],[Maturity]],TODAY())-15</f>
        <v>824</v>
      </c>
      <c r="Y127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0">
        <f>IF(Table1[[#This Row],[Ask Rate]]=0,0,Table1[[#This Row],[Face Value]]-Table1[[#This Row],[Ask Rate]])</f>
        <v>0</v>
      </c>
      <c r="AA127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0">
        <f>Table1[[#This Row],[Face Value]]*Table1[[#This Row],[Rate]]*Table1[[#This Row],[Time]]</f>
        <v>0</v>
      </c>
      <c r="AC1270">
        <f>Table1[[#This Row],[SI]]+Table1[[#This Row],[Disc/Prem]]</f>
        <v>0</v>
      </c>
      <c r="AD1270" s="3" t="e">
        <f>Table1[[#This Row],[Net Gain]]/Table1[[#This Row],[Ask Rate]]</f>
        <v>#DIV/0!</v>
      </c>
      <c r="AE1270" s="3">
        <f>IF(Table1[[#This Row],[Ask Qty]]=0,0,Table1[[#This Row],[Gross Yield]]*365/Table1[[#This Row],[Days Left]])</f>
        <v>0</v>
      </c>
      <c r="AF1270" s="9">
        <f>+Table1[[#This Row],[Net Gain]]*Table1[[#This Row],[Ask Qty]]</f>
        <v>0</v>
      </c>
      <c r="AG1270" t="str">
        <f>IF(Table1[[#This Row],[YTM]]&gt;0.12,IF(Table1[[#This Row],[Gross Profit]]&gt;10000,"Invest","Review"),"Low YTM")</f>
        <v>Low YTM</v>
      </c>
    </row>
    <row r="1271" spans="1:33" x14ac:dyDescent="0.3">
      <c r="A1271" t="str">
        <f>RTD("nest.scriprtd",,"bse_cm|MFLZC27","Symbol")</f>
        <v>MFLZC27</v>
      </c>
      <c r="B1271" t="str">
        <f>RTD("nest.scriprtd",,"bse_cm|MFLZC27","Trading Symbol")</f>
        <v>MFLZC27</v>
      </c>
      <c r="C1271" t="str">
        <f>RTD("nest.scriprtd",,"bse_cm|MFLZC27","Exchange")</f>
        <v>BSE</v>
      </c>
      <c r="D1271">
        <f>RTD("nest.scriprtd",,"bse_cm|MFLZC27","Bid Qty")</f>
        <v>50</v>
      </c>
      <c r="E1271">
        <f>RTD("nest.scriprtd",,"bse_cm|MFLZC27","Bid Rate")</f>
        <v>1074.02</v>
      </c>
      <c r="F1271">
        <f>RTD("nest.scriprtd",,"bse_cm|MFLZC27","Ask Rate")</f>
        <v>0</v>
      </c>
      <c r="G1271">
        <f>RTD("nest.scriprtd",,"bse_cm|MFLZC27","Ask Qty")</f>
        <v>0</v>
      </c>
      <c r="H1271">
        <f>RTD("nest.scriprtd",,"bse_cm|MFLZC27","LTP")</f>
        <v>0</v>
      </c>
      <c r="I1271" t="str">
        <f>RTD("nest.scriprtd",,"bse_cm|MFLZC27","LTT")</f>
        <v>00:00:00</v>
      </c>
      <c r="J1271">
        <f>RTD("nest.scriprtd",,"bse_cm|MFLZC27","% Change")</f>
        <v>-100</v>
      </c>
      <c r="K1271">
        <f>RTD("nest.scriprtd",,"bse_cm|MFLZC27","ATP")</f>
        <v>0</v>
      </c>
      <c r="L1271">
        <f>RTD("nest.scriprtd",,"bse_cm|MFLZC27","Volume Traded Today")</f>
        <v>0</v>
      </c>
      <c r="M1271">
        <f>RTD("nest.scriprtd",,"bse_cm|MFLZC27","Open")</f>
        <v>0</v>
      </c>
      <c r="N1271">
        <f>RTD("nest.scriprtd",,"bse_cm|MFLZC27","High")</f>
        <v>1077.8</v>
      </c>
      <c r="O1271">
        <f>RTD("nest.scriprtd",,"bse_cm|MFLZC27","Low ")</f>
        <v>1060</v>
      </c>
      <c r="P1271">
        <f>RTD("nest.scriprtd",,"bse_cm|MFLZC27","Prev Close")</f>
        <v>1077.8</v>
      </c>
      <c r="Q1271">
        <f>RTD("nest.scriprtd",,"bse_cm|MFLZC27","Face Value")</f>
        <v>1000</v>
      </c>
      <c r="R1271" t="str">
        <f>RTD("nest.scriprtd",,"bse_cm|MFLZC27","Isin code")</f>
        <v>INE414G07HG1</v>
      </c>
      <c r="S1271" s="9">
        <f>Table1[[#This Row],[Ask Rate]]*Table1[[#This Row],[Ask Qty]]</f>
        <v>0</v>
      </c>
      <c r="T1271" t="str">
        <f>VLOOKUP(Table1[[#This Row],[Isin code]],Table2[#All],7,FALSE)</f>
        <v>--</v>
      </c>
      <c r="U1271" s="17" t="str">
        <f>VLOOKUP(Table1[[#This Row],[Isin code]],Table2[#All],8,FALSE)</f>
        <v>23-Dec-2027</v>
      </c>
      <c r="V1271" s="10">
        <f ca="1">Table1[[#This Row],[Maturity]]-TODAY()</f>
        <v>1163</v>
      </c>
      <c r="W1271" t="str">
        <f>VLOOKUP(Table1[[#This Row],[Isin code]],Table2[#All],10,FALSE)</f>
        <v>At the End</v>
      </c>
      <c r="X1271">
        <f ca="1">_xlfn.DAYS(Table1[[#This Row],[Maturity]],TODAY())-15</f>
        <v>1148</v>
      </c>
      <c r="Y127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1">
        <f>IF(Table1[[#This Row],[Ask Rate]]=0,0,Table1[[#This Row],[Face Value]]-Table1[[#This Row],[Ask Rate]])</f>
        <v>0</v>
      </c>
      <c r="AA127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1">
        <f>Table1[[#This Row],[Face Value]]*Table1[[#This Row],[Rate]]*Table1[[#This Row],[Time]]</f>
        <v>0</v>
      </c>
      <c r="AC1271">
        <f>Table1[[#This Row],[SI]]+Table1[[#This Row],[Disc/Prem]]</f>
        <v>0</v>
      </c>
      <c r="AD1271" s="3" t="e">
        <f>Table1[[#This Row],[Net Gain]]/Table1[[#This Row],[Ask Rate]]</f>
        <v>#DIV/0!</v>
      </c>
      <c r="AE1271" s="3">
        <f>IF(Table1[[#This Row],[Ask Qty]]=0,0,Table1[[#This Row],[Gross Yield]]*365/Table1[[#This Row],[Days Left]])</f>
        <v>0</v>
      </c>
      <c r="AF1271" s="9">
        <f>+Table1[[#This Row],[Net Gain]]*Table1[[#This Row],[Ask Qty]]</f>
        <v>0</v>
      </c>
      <c r="AG1271" t="str">
        <f>IF(Table1[[#This Row],[YTM]]&gt;0.12,IF(Table1[[#This Row],[Gross Profit]]&gt;10000,"Invest","Review"),"Low YTM")</f>
        <v>Low YTM</v>
      </c>
    </row>
    <row r="1272" spans="1:33" x14ac:dyDescent="0.3">
      <c r="A1272" t="str">
        <f>RTD("nest.scriprtd",,"bse_cm|MFLZC26B","Symbol")</f>
        <v>MFLZC26B</v>
      </c>
      <c r="B1272" t="str">
        <f>RTD("nest.scriprtd",,"bse_cm|MFLZC26B","Trading Symbol")</f>
        <v>MFLZC26B</v>
      </c>
      <c r="C1272" t="str">
        <f>RTD("nest.scriprtd",,"bse_cm|MFLZC26B","Exchange")</f>
        <v>BSE</v>
      </c>
      <c r="D1272">
        <f>RTD("nest.scriprtd",,"bse_cm|MFLZC26B","Bid Qty")</f>
        <v>50</v>
      </c>
      <c r="E1272">
        <f>RTD("nest.scriprtd",,"bse_cm|MFLZC26B","Bid Rate")</f>
        <v>1287.22</v>
      </c>
      <c r="F1272">
        <f>RTD("nest.scriprtd",,"bse_cm|MFLZC26B","Ask Rate")</f>
        <v>0</v>
      </c>
      <c r="G1272">
        <f>RTD("nest.scriprtd",,"bse_cm|MFLZC26B","Ask Qty")</f>
        <v>0</v>
      </c>
      <c r="H1272">
        <f>RTD("nest.scriprtd",,"bse_cm|MFLZC26B","LTP")</f>
        <v>0</v>
      </c>
      <c r="I1272" t="str">
        <f>RTD("nest.scriprtd",,"bse_cm|MFLZC26B","LTT")</f>
        <v>00:00:00</v>
      </c>
      <c r="J1272">
        <f>RTD("nest.scriprtd",,"bse_cm|MFLZC26B","% Change")</f>
        <v>-100</v>
      </c>
      <c r="K1272">
        <f>RTD("nest.scriprtd",,"bse_cm|MFLZC26B","ATP")</f>
        <v>0</v>
      </c>
      <c r="L1272">
        <f>RTD("nest.scriprtd",,"bse_cm|MFLZC26B","Volume Traded Today")</f>
        <v>0</v>
      </c>
      <c r="M1272">
        <f>RTD("nest.scriprtd",,"bse_cm|MFLZC26B","Open")</f>
        <v>0</v>
      </c>
      <c r="N1272">
        <f>RTD("nest.scriprtd",,"bse_cm|MFLZC26B","High")</f>
        <v>1321</v>
      </c>
      <c r="O1272">
        <f>RTD("nest.scriprtd",,"bse_cm|MFLZC26B","Low ")</f>
        <v>1321</v>
      </c>
      <c r="P1272">
        <f>RTD("nest.scriprtd",,"bse_cm|MFLZC26B","Prev Close")</f>
        <v>1321</v>
      </c>
      <c r="Q1272">
        <f>RTD("nest.scriprtd",,"bse_cm|MFLZC26B","Face Value")</f>
        <v>1000</v>
      </c>
      <c r="R1272" t="str">
        <f>RTD("nest.scriprtd",,"bse_cm|MFLZC26B","Isin code")</f>
        <v>INE549K07972</v>
      </c>
      <c r="S1272" s="9">
        <f>Table1[[#This Row],[Ask Rate]]*Table1[[#This Row],[Ask Qty]]</f>
        <v>0</v>
      </c>
      <c r="T1272" t="str">
        <f>VLOOKUP(Table1[[#This Row],[Isin code]],Table2[#All],7,FALSE)</f>
        <v>--</v>
      </c>
      <c r="U1272" s="17" t="str">
        <f>VLOOKUP(Table1[[#This Row],[Isin code]],Table2[#All],8,FALSE)</f>
        <v>29-Jan-2026</v>
      </c>
      <c r="V1272" s="10">
        <f ca="1">Table1[[#This Row],[Maturity]]-TODAY()</f>
        <v>470</v>
      </c>
      <c r="W1272" t="str">
        <f>VLOOKUP(Table1[[#This Row],[Isin code]],Table2[#All],10,FALSE)</f>
        <v>At the End</v>
      </c>
      <c r="X1272">
        <f ca="1">_xlfn.DAYS(Table1[[#This Row],[Maturity]],TODAY())-15</f>
        <v>455</v>
      </c>
      <c r="Y127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2">
        <f>IF(Table1[[#This Row],[Ask Rate]]=0,0,Table1[[#This Row],[Face Value]]-Table1[[#This Row],[Ask Rate]])</f>
        <v>0</v>
      </c>
      <c r="AA127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2">
        <f>Table1[[#This Row],[Face Value]]*Table1[[#This Row],[Rate]]*Table1[[#This Row],[Time]]</f>
        <v>0</v>
      </c>
      <c r="AC1272">
        <f>Table1[[#This Row],[SI]]+Table1[[#This Row],[Disc/Prem]]</f>
        <v>0</v>
      </c>
      <c r="AD1272" s="3" t="e">
        <f>Table1[[#This Row],[Net Gain]]/Table1[[#This Row],[Ask Rate]]</f>
        <v>#DIV/0!</v>
      </c>
      <c r="AE1272" s="3">
        <f>IF(Table1[[#This Row],[Ask Qty]]=0,0,Table1[[#This Row],[Gross Yield]]*365/Table1[[#This Row],[Days Left]])</f>
        <v>0</v>
      </c>
      <c r="AF1272" s="9">
        <f>+Table1[[#This Row],[Net Gain]]*Table1[[#This Row],[Ask Qty]]</f>
        <v>0</v>
      </c>
      <c r="AG1272" t="str">
        <f>IF(Table1[[#This Row],[YTM]]&gt;0.12,IF(Table1[[#This Row],[Gross Profit]]&gt;10000,"Invest","Review"),"Low YTM")</f>
        <v>Low YTM</v>
      </c>
    </row>
    <row r="1273" spans="1:33" x14ac:dyDescent="0.3">
      <c r="A1273" t="str">
        <f>RTD("nest.scriprtd",,"bse_cm|MFLZC25B","Symbol")</f>
        <v>MFLZC25B</v>
      </c>
      <c r="B1273" t="str">
        <f>RTD("nest.scriprtd",,"bse_cm|MFLZC25B","Trading Symbol")</f>
        <v>MFLZC25B</v>
      </c>
      <c r="C1273" t="str">
        <f>RTD("nest.scriprtd",,"bse_cm|MFLZC25B","Exchange")</f>
        <v>BSE</v>
      </c>
      <c r="D1273">
        <f>RTD("nest.scriprtd",,"bse_cm|MFLZC25B","Bid Qty")</f>
        <v>170</v>
      </c>
      <c r="E1273">
        <f>RTD("nest.scriprtd",,"bse_cm|MFLZC25B","Bid Rate")</f>
        <v>1440.2</v>
      </c>
      <c r="F1273">
        <f>RTD("nest.scriprtd",,"bse_cm|MFLZC25B","Ask Rate")</f>
        <v>0</v>
      </c>
      <c r="G1273">
        <f>RTD("nest.scriprtd",,"bse_cm|MFLZC25B","Ask Qty")</f>
        <v>0</v>
      </c>
      <c r="H1273">
        <f>RTD("nest.scriprtd",,"bse_cm|MFLZC25B","LTP")</f>
        <v>0</v>
      </c>
      <c r="I1273" t="str">
        <f>RTD("nest.scriprtd",,"bse_cm|MFLZC25B","LTT")</f>
        <v>00:00:00</v>
      </c>
      <c r="J1273">
        <f>RTD("nest.scriprtd",,"bse_cm|MFLZC25B","% Change")</f>
        <v>-100</v>
      </c>
      <c r="K1273">
        <f>RTD("nest.scriprtd",,"bse_cm|MFLZC25B","ATP")</f>
        <v>0</v>
      </c>
      <c r="L1273">
        <f>RTD("nest.scriprtd",,"bse_cm|MFLZC25B","Volume Traded Today")</f>
        <v>0</v>
      </c>
      <c r="M1273">
        <f>RTD("nest.scriprtd",,"bse_cm|MFLZC25B","Open")</f>
        <v>0</v>
      </c>
      <c r="N1273">
        <f>RTD("nest.scriprtd",,"bse_cm|MFLZC25B","High")</f>
        <v>1503.54</v>
      </c>
      <c r="O1273">
        <f>RTD("nest.scriprtd",,"bse_cm|MFLZC25B","Low ")</f>
        <v>1503.54</v>
      </c>
      <c r="P1273">
        <f>RTD("nest.scriprtd",,"bse_cm|MFLZC25B","Prev Close")</f>
        <v>1503.54</v>
      </c>
      <c r="Q1273">
        <f>RTD("nest.scriprtd",,"bse_cm|MFLZC25B","Face Value")</f>
        <v>1000</v>
      </c>
      <c r="R1273" t="str">
        <f>RTD("nest.scriprtd",,"bse_cm|MFLZC25B","Isin code")</f>
        <v>INE549K07741</v>
      </c>
      <c r="S1273" s="9">
        <f>Table1[[#This Row],[Ask Rate]]*Table1[[#This Row],[Ask Qty]]</f>
        <v>0</v>
      </c>
      <c r="T1273" t="str">
        <f>VLOOKUP(Table1[[#This Row],[Isin code]],Table2[#All],7,FALSE)</f>
        <v>--</v>
      </c>
      <c r="U1273" s="17" t="str">
        <f>VLOOKUP(Table1[[#This Row],[Isin code]],Table2[#All],8,FALSE)</f>
        <v>17-Jul-2025</v>
      </c>
      <c r="V1273" s="10">
        <f ca="1">Table1[[#This Row],[Maturity]]-TODAY()</f>
        <v>274</v>
      </c>
      <c r="W1273" t="str">
        <f>VLOOKUP(Table1[[#This Row],[Isin code]],Table2[#All],10,FALSE)</f>
        <v>At the End</v>
      </c>
      <c r="X1273">
        <f ca="1">_xlfn.DAYS(Table1[[#This Row],[Maturity]],TODAY())-15</f>
        <v>259</v>
      </c>
      <c r="Y127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3">
        <f>IF(Table1[[#This Row],[Ask Rate]]=0,0,Table1[[#This Row],[Face Value]]-Table1[[#This Row],[Ask Rate]])</f>
        <v>0</v>
      </c>
      <c r="AA127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3">
        <f>Table1[[#This Row],[Face Value]]*Table1[[#This Row],[Rate]]*Table1[[#This Row],[Time]]</f>
        <v>0</v>
      </c>
      <c r="AC1273">
        <f>Table1[[#This Row],[SI]]+Table1[[#This Row],[Disc/Prem]]</f>
        <v>0</v>
      </c>
      <c r="AD1273" s="3" t="e">
        <f>Table1[[#This Row],[Net Gain]]/Table1[[#This Row],[Ask Rate]]</f>
        <v>#DIV/0!</v>
      </c>
      <c r="AE1273" s="3">
        <f>IF(Table1[[#This Row],[Ask Qty]]=0,0,Table1[[#This Row],[Gross Yield]]*365/Table1[[#This Row],[Days Left]])</f>
        <v>0</v>
      </c>
      <c r="AF1273" s="9">
        <f>+Table1[[#This Row],[Net Gain]]*Table1[[#This Row],[Ask Qty]]</f>
        <v>0</v>
      </c>
      <c r="AG1273" t="str">
        <f>IF(Table1[[#This Row],[YTM]]&gt;0.12,IF(Table1[[#This Row],[Gross Profit]]&gt;10000,"Invest","Review"),"Low YTM")</f>
        <v>Low YTM</v>
      </c>
    </row>
    <row r="1274" spans="1:33" x14ac:dyDescent="0.3">
      <c r="A1274" t="str">
        <f>RTD("nest.scriprtd",,"bse_cm|MFLVIII27H","Symbol")</f>
        <v>MFLVIII27H</v>
      </c>
      <c r="B1274" t="str">
        <f>RTD("nest.scriprtd",,"bse_cm|MFLVIII27H","Trading Symbol")</f>
        <v>MFLVIII27H</v>
      </c>
      <c r="C1274" t="str">
        <f>RTD("nest.scriprtd",,"bse_cm|MFLVIII27H","Exchange")</f>
        <v>BSE</v>
      </c>
      <c r="D1274">
        <f>RTD("nest.scriprtd",,"bse_cm|MFLVIII27H","Bid Qty")</f>
        <v>50</v>
      </c>
      <c r="E1274">
        <f>RTD("nest.scriprtd",,"bse_cm|MFLVIII27H","Bid Rate")</f>
        <v>1080.1199999999999</v>
      </c>
      <c r="F1274">
        <f>RTD("nest.scriprtd",,"bse_cm|MFLVIII27H","Ask Rate")</f>
        <v>0</v>
      </c>
      <c r="G1274">
        <f>RTD("nest.scriprtd",,"bse_cm|MFLVIII27H","Ask Qty")</f>
        <v>0</v>
      </c>
      <c r="H1274">
        <f>RTD("nest.scriprtd",,"bse_cm|MFLVIII27H","LTP")</f>
        <v>0</v>
      </c>
      <c r="I1274" t="str">
        <f>RTD("nest.scriprtd",,"bse_cm|MFLVIII27H","LTT")</f>
        <v>00:00:00</v>
      </c>
      <c r="J1274">
        <f>RTD("nest.scriprtd",,"bse_cm|MFLVIII27H","% Change")</f>
        <v>-100</v>
      </c>
      <c r="K1274">
        <f>RTD("nest.scriprtd",,"bse_cm|MFLVIII27H","ATP")</f>
        <v>0</v>
      </c>
      <c r="L1274">
        <f>RTD("nest.scriprtd",,"bse_cm|MFLVIII27H","Volume Traded Today")</f>
        <v>0</v>
      </c>
      <c r="M1274">
        <f>RTD("nest.scriprtd",,"bse_cm|MFLVIII27H","Open")</f>
        <v>0</v>
      </c>
      <c r="N1274">
        <f>RTD("nest.scriprtd",,"bse_cm|MFLVIII27H","High")</f>
        <v>1105</v>
      </c>
      <c r="O1274">
        <f>RTD("nest.scriprtd",,"bse_cm|MFLVIII27H","Low ")</f>
        <v>1100</v>
      </c>
      <c r="P1274">
        <f>RTD("nest.scriprtd",,"bse_cm|MFLVIII27H","Prev Close")</f>
        <v>1105</v>
      </c>
      <c r="Q1274">
        <f>RTD("nest.scriprtd",,"bse_cm|MFLVIII27H","Face Value")</f>
        <v>1000</v>
      </c>
      <c r="R1274" t="str">
        <f>RTD("nest.scriprtd",,"bse_cm|MFLVIII27H","Isin code")</f>
        <v>INE414G07GK5</v>
      </c>
      <c r="S1274" s="9">
        <f>Table1[[#This Row],[Ask Rate]]*Table1[[#This Row],[Ask Qty]]</f>
        <v>0</v>
      </c>
      <c r="T1274" t="str">
        <f>VLOOKUP(Table1[[#This Row],[Isin code]],Table2[#All],7,FALSE)</f>
        <v>--</v>
      </c>
      <c r="U1274" s="17" t="str">
        <f>VLOOKUP(Table1[[#This Row],[Isin code]],Table2[#All],8,FALSE)</f>
        <v>05-May-2027</v>
      </c>
      <c r="V1274" s="10">
        <f ca="1">Table1[[#This Row],[Maturity]]-TODAY()</f>
        <v>931</v>
      </c>
      <c r="W1274" t="str">
        <f>VLOOKUP(Table1[[#This Row],[Isin code]],Table2[#All],10,FALSE)</f>
        <v>At the End</v>
      </c>
      <c r="X1274">
        <f ca="1">_xlfn.DAYS(Table1[[#This Row],[Maturity]],TODAY())-15</f>
        <v>916</v>
      </c>
      <c r="Y127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4">
        <f>IF(Table1[[#This Row],[Ask Rate]]=0,0,Table1[[#This Row],[Face Value]]-Table1[[#This Row],[Ask Rate]])</f>
        <v>0</v>
      </c>
      <c r="AA127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4">
        <f>Table1[[#This Row],[Face Value]]*Table1[[#This Row],[Rate]]*Table1[[#This Row],[Time]]</f>
        <v>0</v>
      </c>
      <c r="AC1274">
        <f>Table1[[#This Row],[SI]]+Table1[[#This Row],[Disc/Prem]]</f>
        <v>0</v>
      </c>
      <c r="AD1274" s="3" t="e">
        <f>Table1[[#This Row],[Net Gain]]/Table1[[#This Row],[Ask Rate]]</f>
        <v>#DIV/0!</v>
      </c>
      <c r="AE1274" s="3">
        <f>IF(Table1[[#This Row],[Ask Qty]]=0,0,Table1[[#This Row],[Gross Yield]]*365/Table1[[#This Row],[Days Left]])</f>
        <v>0</v>
      </c>
      <c r="AF1274" s="9">
        <f>+Table1[[#This Row],[Net Gain]]*Table1[[#This Row],[Ask Qty]]</f>
        <v>0</v>
      </c>
      <c r="AG1274" t="str">
        <f>IF(Table1[[#This Row],[YTM]]&gt;0.12,IF(Table1[[#This Row],[Gross Profit]]&gt;10000,"Invest","Review"),"Low YTM")</f>
        <v>Low YTM</v>
      </c>
    </row>
    <row r="1275" spans="1:33" x14ac:dyDescent="0.3">
      <c r="A1275" t="str">
        <f>RTD("nest.scriprtd",,"bse_cm|MFL31A","Symbol")</f>
        <v>MFL31A</v>
      </c>
      <c r="B1275" t="str">
        <f>RTD("nest.scriprtd",,"bse_cm|MFL31A","Trading Symbol")</f>
        <v>MFL31A</v>
      </c>
      <c r="C1275" t="str">
        <f>RTD("nest.scriprtd",,"bse_cm|MFL31A","Exchange")</f>
        <v>BSE</v>
      </c>
      <c r="D1275">
        <f>RTD("nest.scriprtd",,"bse_cm|MFL31A","Bid Qty")</f>
        <v>22</v>
      </c>
      <c r="E1275">
        <f>RTD("nest.scriprtd",,"bse_cm|MFL31A","Bid Rate")</f>
        <v>882.8</v>
      </c>
      <c r="F1275">
        <f>RTD("nest.scriprtd",,"bse_cm|MFL31A","Ask Rate")</f>
        <v>0</v>
      </c>
      <c r="G1275">
        <f>RTD("nest.scriprtd",,"bse_cm|MFL31A","Ask Qty")</f>
        <v>0</v>
      </c>
      <c r="H1275">
        <f>RTD("nest.scriprtd",,"bse_cm|MFL31A","LTP")</f>
        <v>0</v>
      </c>
      <c r="I1275" t="str">
        <f>RTD("nest.scriprtd",,"bse_cm|MFL31A","LTT")</f>
        <v>00:00:00</v>
      </c>
      <c r="J1275">
        <f>RTD("nest.scriprtd",,"bse_cm|MFL31A","% Change")</f>
        <v>-100</v>
      </c>
      <c r="K1275">
        <f>RTD("nest.scriprtd",,"bse_cm|MFL31A","ATP")</f>
        <v>0</v>
      </c>
      <c r="L1275">
        <f>RTD("nest.scriprtd",,"bse_cm|MFL31A","Volume Traded Today")</f>
        <v>0</v>
      </c>
      <c r="M1275">
        <f>RTD("nest.scriprtd",,"bse_cm|MFL31A","Open")</f>
        <v>0</v>
      </c>
      <c r="N1275">
        <f>RTD("nest.scriprtd",,"bse_cm|MFL31A","High")</f>
        <v>1081</v>
      </c>
      <c r="O1275">
        <f>RTD("nest.scriprtd",,"bse_cm|MFL31A","Low ")</f>
        <v>1081</v>
      </c>
      <c r="P1275">
        <f>RTD("nest.scriprtd",,"bse_cm|MFL31A","Prev Close")</f>
        <v>1081</v>
      </c>
      <c r="Q1275">
        <f>RTD("nest.scriprtd",,"bse_cm|MFL31A","Face Value")</f>
        <v>1000</v>
      </c>
      <c r="R1275" t="str">
        <f>RTD("nest.scriprtd",,"bse_cm|MFL31A","Isin code")</f>
        <v>INE549K07DA8</v>
      </c>
      <c r="S1275" s="9">
        <f>Table1[[#This Row],[Ask Rate]]*Table1[[#This Row],[Ask Qty]]</f>
        <v>0</v>
      </c>
      <c r="T1275" t="str">
        <f>VLOOKUP(Table1[[#This Row],[Isin code]],Table2[#All],7,FALSE)</f>
        <v>--</v>
      </c>
      <c r="U1275" s="17" t="str">
        <f>VLOOKUP(Table1[[#This Row],[Isin code]],Table2[#All],8,FALSE)</f>
        <v>01-Nov-2031</v>
      </c>
      <c r="V1275" s="10">
        <f ca="1">Table1[[#This Row],[Maturity]]-TODAY()</f>
        <v>2572</v>
      </c>
      <c r="W1275" t="str">
        <f>VLOOKUP(Table1[[#This Row],[Isin code]],Table2[#All],10,FALSE)</f>
        <v>At the End</v>
      </c>
      <c r="X1275">
        <f ca="1">_xlfn.DAYS(Table1[[#This Row],[Maturity]],TODAY())-15</f>
        <v>2557</v>
      </c>
      <c r="Y127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5">
        <f>IF(Table1[[#This Row],[Ask Rate]]=0,0,Table1[[#This Row],[Face Value]]-Table1[[#This Row],[Ask Rate]])</f>
        <v>0</v>
      </c>
      <c r="AA127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5">
        <f>Table1[[#This Row],[Face Value]]*Table1[[#This Row],[Rate]]*Table1[[#This Row],[Time]]</f>
        <v>0</v>
      </c>
      <c r="AC1275">
        <f>Table1[[#This Row],[SI]]+Table1[[#This Row],[Disc/Prem]]</f>
        <v>0</v>
      </c>
      <c r="AD1275" s="3" t="e">
        <f>Table1[[#This Row],[Net Gain]]/Table1[[#This Row],[Ask Rate]]</f>
        <v>#DIV/0!</v>
      </c>
      <c r="AE1275" s="3">
        <f>IF(Table1[[#This Row],[Ask Qty]]=0,0,Table1[[#This Row],[Gross Yield]]*365/Table1[[#This Row],[Days Left]])</f>
        <v>0</v>
      </c>
      <c r="AF1275" s="9">
        <f>+Table1[[#This Row],[Net Gain]]*Table1[[#This Row],[Ask Qty]]</f>
        <v>0</v>
      </c>
      <c r="AG1275" t="str">
        <f>IF(Table1[[#This Row],[YTM]]&gt;0.12,IF(Table1[[#This Row],[Gross Profit]]&gt;10000,"Invest","Review"),"Low YTM")</f>
        <v>Low YTM</v>
      </c>
    </row>
    <row r="1276" spans="1:33" x14ac:dyDescent="0.3">
      <c r="A1276" t="str">
        <f>RTD("nest.scriprtd",,"bse_cm|MFL28D","Symbol")</f>
        <v>MFL28D</v>
      </c>
      <c r="B1276" t="str">
        <f>RTD("nest.scriprtd",,"bse_cm|MFL28D","Trading Symbol")</f>
        <v>MFL28D</v>
      </c>
      <c r="C1276" t="str">
        <f>RTD("nest.scriprtd",,"bse_cm|MFL28D","Exchange")</f>
        <v>BSE</v>
      </c>
      <c r="D1276">
        <f>RTD("nest.scriprtd",,"bse_cm|MFL28D","Bid Qty")</f>
        <v>50</v>
      </c>
      <c r="E1276">
        <f>RTD("nest.scriprtd",,"bse_cm|MFL28D","Bid Rate")</f>
        <v>1020.02</v>
      </c>
      <c r="F1276">
        <f>RTD("nest.scriprtd",,"bse_cm|MFL28D","Ask Rate")</f>
        <v>0</v>
      </c>
      <c r="G1276">
        <f>RTD("nest.scriprtd",,"bse_cm|MFL28D","Ask Qty")</f>
        <v>0</v>
      </c>
      <c r="H1276">
        <f>RTD("nest.scriprtd",,"bse_cm|MFL28D","LTP")</f>
        <v>0</v>
      </c>
      <c r="I1276" t="str">
        <f>RTD("nest.scriprtd",,"bse_cm|MFL28D","LTT")</f>
        <v>00:00:00</v>
      </c>
      <c r="J1276">
        <f>RTD("nest.scriprtd",,"bse_cm|MFL28D","% Change")</f>
        <v>-100</v>
      </c>
      <c r="K1276">
        <f>RTD("nest.scriprtd",,"bse_cm|MFL28D","ATP")</f>
        <v>0</v>
      </c>
      <c r="L1276">
        <f>RTD("nest.scriprtd",,"bse_cm|MFL28D","Volume Traded Today")</f>
        <v>0</v>
      </c>
      <c r="M1276">
        <f>RTD("nest.scriprtd",,"bse_cm|MFL28D","Open")</f>
        <v>0</v>
      </c>
      <c r="N1276">
        <f>RTD("nest.scriprtd",,"bse_cm|MFL28D","High")</f>
        <v>1059</v>
      </c>
      <c r="O1276">
        <f>RTD("nest.scriprtd",,"bse_cm|MFL28D","Low ")</f>
        <v>1059</v>
      </c>
      <c r="P1276">
        <f>RTD("nest.scriprtd",,"bse_cm|MFL28D","Prev Close")</f>
        <v>1059</v>
      </c>
      <c r="Q1276">
        <f>RTD("nest.scriprtd",,"bse_cm|MFL28D","Face Value")</f>
        <v>1000</v>
      </c>
      <c r="R1276" t="str">
        <f>RTD("nest.scriprtd",,"bse_cm|MFL28D","Isin code")</f>
        <v>INE549K07CZ7</v>
      </c>
      <c r="S1276" s="9">
        <f>Table1[[#This Row],[Ask Rate]]*Table1[[#This Row],[Ask Qty]]</f>
        <v>0</v>
      </c>
      <c r="T1276" t="str">
        <f>VLOOKUP(Table1[[#This Row],[Isin code]],Table2[#All],7,FALSE)</f>
        <v>--</v>
      </c>
      <c r="U1276" s="17" t="str">
        <f>VLOOKUP(Table1[[#This Row],[Isin code]],Table2[#All],8,FALSE)</f>
        <v>01-Nov-2028</v>
      </c>
      <c r="V1276" s="10">
        <f ca="1">Table1[[#This Row],[Maturity]]-TODAY()</f>
        <v>1477</v>
      </c>
      <c r="W1276" t="str">
        <f>VLOOKUP(Table1[[#This Row],[Isin code]],Table2[#All],10,FALSE)</f>
        <v>At the End</v>
      </c>
      <c r="X1276">
        <f ca="1">_xlfn.DAYS(Table1[[#This Row],[Maturity]],TODAY())-15</f>
        <v>1462</v>
      </c>
      <c r="Y127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6">
        <f>IF(Table1[[#This Row],[Ask Rate]]=0,0,Table1[[#This Row],[Face Value]]-Table1[[#This Row],[Ask Rate]])</f>
        <v>0</v>
      </c>
      <c r="AA127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6">
        <f>Table1[[#This Row],[Face Value]]*Table1[[#This Row],[Rate]]*Table1[[#This Row],[Time]]</f>
        <v>0</v>
      </c>
      <c r="AC1276">
        <f>Table1[[#This Row],[SI]]+Table1[[#This Row],[Disc/Prem]]</f>
        <v>0</v>
      </c>
      <c r="AD1276" s="3" t="e">
        <f>Table1[[#This Row],[Net Gain]]/Table1[[#This Row],[Ask Rate]]</f>
        <v>#DIV/0!</v>
      </c>
      <c r="AE1276" s="3">
        <f>IF(Table1[[#This Row],[Ask Qty]]=0,0,Table1[[#This Row],[Gross Yield]]*365/Table1[[#This Row],[Days Left]])</f>
        <v>0</v>
      </c>
      <c r="AF1276" s="9">
        <f>+Table1[[#This Row],[Net Gain]]*Table1[[#This Row],[Ask Qty]]</f>
        <v>0</v>
      </c>
      <c r="AG1276" t="str">
        <f>IF(Table1[[#This Row],[YTM]]&gt;0.12,IF(Table1[[#This Row],[Gross Profit]]&gt;10000,"Invest","Review"),"Low YTM")</f>
        <v>Low YTM</v>
      </c>
    </row>
    <row r="1277" spans="1:33" x14ac:dyDescent="0.3">
      <c r="A1277" t="str">
        <f>RTD("nest.scriprtd",,"bse_cm|MFL28B","Symbol")</f>
        <v>MFL28B</v>
      </c>
      <c r="B1277" t="str">
        <f>RTD("nest.scriprtd",,"bse_cm|MFL28B","Trading Symbol")</f>
        <v>MFL28B</v>
      </c>
      <c r="C1277" t="str">
        <f>RTD("nest.scriprtd",,"bse_cm|MFL28B","Exchange")</f>
        <v>BSE</v>
      </c>
      <c r="D1277">
        <f>RTD("nest.scriprtd",,"bse_cm|MFL28B","Bid Qty")</f>
        <v>75</v>
      </c>
      <c r="E1277">
        <f>RTD("nest.scriprtd",,"bse_cm|MFL28B","Bid Rate")</f>
        <v>1036</v>
      </c>
      <c r="F1277">
        <f>RTD("nest.scriprtd",,"bse_cm|MFL28B","Ask Rate")</f>
        <v>0</v>
      </c>
      <c r="G1277">
        <f>RTD("nest.scriprtd",,"bse_cm|MFL28B","Ask Qty")</f>
        <v>0</v>
      </c>
      <c r="H1277">
        <f>RTD("nest.scriprtd",,"bse_cm|MFL28B","LTP")</f>
        <v>0</v>
      </c>
      <c r="I1277" t="str">
        <f>RTD("nest.scriprtd",,"bse_cm|MFL28B","LTT")</f>
        <v>00:00:00</v>
      </c>
      <c r="J1277">
        <f>RTD("nest.scriprtd",,"bse_cm|MFL28B","% Change")</f>
        <v>-100</v>
      </c>
      <c r="K1277">
        <f>RTD("nest.scriprtd",,"bse_cm|MFL28B","ATP")</f>
        <v>0</v>
      </c>
      <c r="L1277">
        <f>RTD("nest.scriprtd",,"bse_cm|MFL28B","Volume Traded Today")</f>
        <v>0</v>
      </c>
      <c r="M1277">
        <f>RTD("nest.scriprtd",,"bse_cm|MFL28B","Open")</f>
        <v>0</v>
      </c>
      <c r="N1277">
        <f>RTD("nest.scriprtd",,"bse_cm|MFL28B","High")</f>
        <v>1077</v>
      </c>
      <c r="O1277">
        <f>RTD("nest.scriprtd",,"bse_cm|MFL28B","Low ")</f>
        <v>1071</v>
      </c>
      <c r="P1277">
        <f>RTD("nest.scriprtd",,"bse_cm|MFL28B","Prev Close")</f>
        <v>1076.29</v>
      </c>
      <c r="Q1277">
        <f>RTD("nest.scriprtd",,"bse_cm|MFL28B","Face Value")</f>
        <v>1000</v>
      </c>
      <c r="R1277" t="str">
        <f>RTD("nest.scriprtd",,"bse_cm|MFL28B","Isin code")</f>
        <v>INE549K07CM5</v>
      </c>
      <c r="S1277" s="9">
        <f>Table1[[#This Row],[Ask Rate]]*Table1[[#This Row],[Ask Qty]]</f>
        <v>0</v>
      </c>
      <c r="T1277" t="str">
        <f>VLOOKUP(Table1[[#This Row],[Isin code]],Table2[#All],7,FALSE)</f>
        <v>--</v>
      </c>
      <c r="U1277" s="17" t="str">
        <f>VLOOKUP(Table1[[#This Row],[Isin code]],Table2[#All],8,FALSE)</f>
        <v>20-Sep-2028</v>
      </c>
      <c r="V1277" s="10">
        <f ca="1">Table1[[#This Row],[Maturity]]-TODAY()</f>
        <v>1435</v>
      </c>
      <c r="W1277" t="str">
        <f>VLOOKUP(Table1[[#This Row],[Isin code]],Table2[#All],10,FALSE)</f>
        <v>At the End</v>
      </c>
      <c r="X1277">
        <f ca="1">_xlfn.DAYS(Table1[[#This Row],[Maturity]],TODAY())-15</f>
        <v>1420</v>
      </c>
      <c r="Y127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7">
        <f>IF(Table1[[#This Row],[Ask Rate]]=0,0,Table1[[#This Row],[Face Value]]-Table1[[#This Row],[Ask Rate]])</f>
        <v>0</v>
      </c>
      <c r="AA127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7">
        <f>Table1[[#This Row],[Face Value]]*Table1[[#This Row],[Rate]]*Table1[[#This Row],[Time]]</f>
        <v>0</v>
      </c>
      <c r="AC1277">
        <f>Table1[[#This Row],[SI]]+Table1[[#This Row],[Disc/Prem]]</f>
        <v>0</v>
      </c>
      <c r="AD1277" s="3" t="e">
        <f>Table1[[#This Row],[Net Gain]]/Table1[[#This Row],[Ask Rate]]</f>
        <v>#DIV/0!</v>
      </c>
      <c r="AE1277" s="3">
        <f>IF(Table1[[#This Row],[Ask Qty]]=0,0,Table1[[#This Row],[Gross Yield]]*365/Table1[[#This Row],[Days Left]])</f>
        <v>0</v>
      </c>
      <c r="AF1277" s="9">
        <f>+Table1[[#This Row],[Net Gain]]*Table1[[#This Row],[Ask Qty]]</f>
        <v>0</v>
      </c>
      <c r="AG1277" t="str">
        <f>IF(Table1[[#This Row],[YTM]]&gt;0.12,IF(Table1[[#This Row],[Gross Profit]]&gt;10000,"Invest","Review"),"Low YTM")</f>
        <v>Low YTM</v>
      </c>
    </row>
    <row r="1278" spans="1:33" x14ac:dyDescent="0.3">
      <c r="A1278" t="str">
        <f>RTD("nest.scriprtd",,"bse_cm|MFL26F","Symbol")</f>
        <v>MFL26F</v>
      </c>
      <c r="B1278" t="str">
        <f>RTD("nest.scriprtd",,"bse_cm|MFL26F","Trading Symbol")</f>
        <v>MFL26F</v>
      </c>
      <c r="C1278" t="str">
        <f>RTD("nest.scriprtd",,"bse_cm|MFL26F","Exchange")</f>
        <v>BSE</v>
      </c>
      <c r="D1278">
        <f>RTD("nest.scriprtd",,"bse_cm|MFL26F","Bid Qty")</f>
        <v>20</v>
      </c>
      <c r="E1278">
        <f>RTD("nest.scriprtd",,"bse_cm|MFL26F","Bid Rate")</f>
        <v>1031</v>
      </c>
      <c r="F1278">
        <f>RTD("nest.scriprtd",,"bse_cm|MFL26F","Ask Rate")</f>
        <v>0</v>
      </c>
      <c r="G1278">
        <f>RTD("nest.scriprtd",,"bse_cm|MFL26F","Ask Qty")</f>
        <v>0</v>
      </c>
      <c r="H1278">
        <f>RTD("nest.scriprtd",,"bse_cm|MFL26F","LTP")</f>
        <v>0</v>
      </c>
      <c r="I1278" t="str">
        <f>RTD("nest.scriprtd",,"bse_cm|MFL26F","LTT")</f>
        <v>00:00:00</v>
      </c>
      <c r="J1278">
        <f>RTD("nest.scriprtd",,"bse_cm|MFL26F","% Change")</f>
        <v>-100</v>
      </c>
      <c r="K1278">
        <f>RTD("nest.scriprtd",,"bse_cm|MFL26F","ATP")</f>
        <v>0</v>
      </c>
      <c r="L1278">
        <f>RTD("nest.scriprtd",,"bse_cm|MFL26F","Volume Traded Today")</f>
        <v>0</v>
      </c>
      <c r="M1278">
        <f>RTD("nest.scriprtd",,"bse_cm|MFL26F","Open")</f>
        <v>0</v>
      </c>
      <c r="N1278">
        <f>RTD("nest.scriprtd",,"bse_cm|MFL26F","High")</f>
        <v>1031</v>
      </c>
      <c r="O1278">
        <f>RTD("nest.scriprtd",,"bse_cm|MFL26F","Low ")</f>
        <v>1031</v>
      </c>
      <c r="P1278">
        <f>RTD("nest.scriprtd",,"bse_cm|MFL26F","Prev Close")</f>
        <v>1031</v>
      </c>
      <c r="Q1278">
        <f>RTD("nest.scriprtd",,"bse_cm|MFL26F","Face Value")</f>
        <v>1000</v>
      </c>
      <c r="R1278" t="str">
        <f>RTD("nest.scriprtd",,"bse_cm|MFL26F","Isin code")</f>
        <v>INE549K07CJ1</v>
      </c>
      <c r="S1278" s="9">
        <f>Table1[[#This Row],[Ask Rate]]*Table1[[#This Row],[Ask Qty]]</f>
        <v>0</v>
      </c>
      <c r="T1278" t="str">
        <f>VLOOKUP(Table1[[#This Row],[Isin code]],Table2[#All],7,FALSE)</f>
        <v>--</v>
      </c>
      <c r="U1278" s="17" t="str">
        <f>VLOOKUP(Table1[[#This Row],[Isin code]],Table2[#All],8,FALSE)</f>
        <v>20-Sep-2026</v>
      </c>
      <c r="V1278" s="10">
        <f ca="1">Table1[[#This Row],[Maturity]]-TODAY()</f>
        <v>704</v>
      </c>
      <c r="W1278" t="str">
        <f>VLOOKUP(Table1[[#This Row],[Isin code]],Table2[#All],10,FALSE)</f>
        <v>At the End</v>
      </c>
      <c r="X1278">
        <f ca="1">_xlfn.DAYS(Table1[[#This Row],[Maturity]],TODAY())-15</f>
        <v>689</v>
      </c>
      <c r="Y127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8">
        <f>IF(Table1[[#This Row],[Ask Rate]]=0,0,Table1[[#This Row],[Face Value]]-Table1[[#This Row],[Ask Rate]])</f>
        <v>0</v>
      </c>
      <c r="AA127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8">
        <f>Table1[[#This Row],[Face Value]]*Table1[[#This Row],[Rate]]*Table1[[#This Row],[Time]]</f>
        <v>0</v>
      </c>
      <c r="AC1278">
        <f>Table1[[#This Row],[SI]]+Table1[[#This Row],[Disc/Prem]]</f>
        <v>0</v>
      </c>
      <c r="AD1278" s="3" t="e">
        <f>Table1[[#This Row],[Net Gain]]/Table1[[#This Row],[Ask Rate]]</f>
        <v>#DIV/0!</v>
      </c>
      <c r="AE1278" s="3">
        <f>IF(Table1[[#This Row],[Ask Qty]]=0,0,Table1[[#This Row],[Gross Yield]]*365/Table1[[#This Row],[Days Left]])</f>
        <v>0</v>
      </c>
      <c r="AF1278" s="9">
        <f>+Table1[[#This Row],[Net Gain]]*Table1[[#This Row],[Ask Qty]]</f>
        <v>0</v>
      </c>
      <c r="AG1278" t="str">
        <f>IF(Table1[[#This Row],[YTM]]&gt;0.12,IF(Table1[[#This Row],[Gross Profit]]&gt;10000,"Invest","Review"),"Low YTM")</f>
        <v>Low YTM</v>
      </c>
    </row>
    <row r="1279" spans="1:33" x14ac:dyDescent="0.3">
      <c r="A1279" t="str">
        <f>RTD("nest.scriprtd",,"bse_cm|MFL26D","Symbol")</f>
        <v>MFL26D</v>
      </c>
      <c r="B1279" t="str">
        <f>RTD("nest.scriprtd",,"bse_cm|MFL26D","Trading Symbol")</f>
        <v>MFL26D</v>
      </c>
      <c r="C1279" t="str">
        <f>RTD("nest.scriprtd",,"bse_cm|MFL26D","Exchange")</f>
        <v>BSE</v>
      </c>
      <c r="D1279">
        <f>RTD("nest.scriprtd",,"bse_cm|MFL26D","Bid Qty")</f>
        <v>5</v>
      </c>
      <c r="E1279">
        <f>RTD("nest.scriprtd",,"bse_cm|MFL26D","Bid Rate")</f>
        <v>1012.1</v>
      </c>
      <c r="F1279">
        <f>RTD("nest.scriprtd",,"bse_cm|MFL26D","Ask Rate")</f>
        <v>0</v>
      </c>
      <c r="G1279">
        <f>RTD("nest.scriprtd",,"bse_cm|MFL26D","Ask Qty")</f>
        <v>0</v>
      </c>
      <c r="H1279">
        <f>RTD("nest.scriprtd",,"bse_cm|MFL26D","LTP")</f>
        <v>0</v>
      </c>
      <c r="I1279" t="str">
        <f>RTD("nest.scriprtd",,"bse_cm|MFL26D","LTT")</f>
        <v>00:00:00</v>
      </c>
      <c r="J1279">
        <f>RTD("nest.scriprtd",,"bse_cm|MFL26D","% Change")</f>
        <v>-100</v>
      </c>
      <c r="K1279">
        <f>RTD("nest.scriprtd",,"bse_cm|MFL26D","ATP")</f>
        <v>0</v>
      </c>
      <c r="L1279">
        <f>RTD("nest.scriprtd",,"bse_cm|MFL26D","Volume Traded Today")</f>
        <v>0</v>
      </c>
      <c r="M1279">
        <f>RTD("nest.scriprtd",,"bse_cm|MFL26D","Open")</f>
        <v>0</v>
      </c>
      <c r="N1279">
        <f>RTD("nest.scriprtd",,"bse_cm|MFL26D","High")</f>
        <v>1012</v>
      </c>
      <c r="O1279">
        <f>RTD("nest.scriprtd",,"bse_cm|MFL26D","Low ")</f>
        <v>1012</v>
      </c>
      <c r="P1279">
        <f>RTD("nest.scriprtd",,"bse_cm|MFL26D","Prev Close")</f>
        <v>1012</v>
      </c>
      <c r="Q1279">
        <f>RTD("nest.scriprtd",,"bse_cm|MFL26D","Face Value")</f>
        <v>1000</v>
      </c>
      <c r="R1279" t="str">
        <f>RTD("nest.scriprtd",,"bse_cm|MFL26D","Isin code")</f>
        <v>INE549K07CY0</v>
      </c>
      <c r="S1279" s="9">
        <f>Table1[[#This Row],[Ask Rate]]*Table1[[#This Row],[Ask Qty]]</f>
        <v>0</v>
      </c>
      <c r="T1279" t="str">
        <f>VLOOKUP(Table1[[#This Row],[Isin code]],Table2[#All],7,FALSE)</f>
        <v>--</v>
      </c>
      <c r="U1279" s="17" t="str">
        <f>VLOOKUP(Table1[[#This Row],[Isin code]],Table2[#All],8,FALSE)</f>
        <v>01-Nov-2026</v>
      </c>
      <c r="V1279" s="10">
        <f ca="1">Table1[[#This Row],[Maturity]]-TODAY()</f>
        <v>746</v>
      </c>
      <c r="W1279" t="str">
        <f>VLOOKUP(Table1[[#This Row],[Isin code]],Table2[#All],10,FALSE)</f>
        <v>At the End</v>
      </c>
      <c r="X1279">
        <f ca="1">_xlfn.DAYS(Table1[[#This Row],[Maturity]],TODAY())-15</f>
        <v>731</v>
      </c>
      <c r="Y127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79">
        <f>IF(Table1[[#This Row],[Ask Rate]]=0,0,Table1[[#This Row],[Face Value]]-Table1[[#This Row],[Ask Rate]])</f>
        <v>0</v>
      </c>
      <c r="AA127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79">
        <f>Table1[[#This Row],[Face Value]]*Table1[[#This Row],[Rate]]*Table1[[#This Row],[Time]]</f>
        <v>0</v>
      </c>
      <c r="AC1279">
        <f>Table1[[#This Row],[SI]]+Table1[[#This Row],[Disc/Prem]]</f>
        <v>0</v>
      </c>
      <c r="AD1279" s="3" t="e">
        <f>Table1[[#This Row],[Net Gain]]/Table1[[#This Row],[Ask Rate]]</f>
        <v>#DIV/0!</v>
      </c>
      <c r="AE1279" s="3">
        <f>IF(Table1[[#This Row],[Ask Qty]]=0,0,Table1[[#This Row],[Gross Yield]]*365/Table1[[#This Row],[Days Left]])</f>
        <v>0</v>
      </c>
      <c r="AF1279" s="9">
        <f>+Table1[[#This Row],[Net Gain]]*Table1[[#This Row],[Ask Qty]]</f>
        <v>0</v>
      </c>
      <c r="AG1279" t="str">
        <f>IF(Table1[[#This Row],[YTM]]&gt;0.12,IF(Table1[[#This Row],[Gross Profit]]&gt;10000,"Invest","Review"),"Low YTM")</f>
        <v>Low YTM</v>
      </c>
    </row>
    <row r="1280" spans="1:33" x14ac:dyDescent="0.3">
      <c r="A1280" t="str">
        <f>RTD("nest.scriprtd",,"bse_cm|MFL26B","Symbol")</f>
        <v>MFL26B</v>
      </c>
      <c r="B1280" t="str">
        <f>RTD("nest.scriprtd",,"bse_cm|MFL26B","Trading Symbol")</f>
        <v>MFL26B</v>
      </c>
      <c r="C1280" t="str">
        <f>RTD("nest.scriprtd",,"bse_cm|MFL26B","Exchange")</f>
        <v>BSE</v>
      </c>
      <c r="D1280">
        <f>RTD("nest.scriprtd",,"bse_cm|MFL26B","Bid Qty")</f>
        <v>100</v>
      </c>
      <c r="E1280">
        <f>RTD("nest.scriprtd",,"bse_cm|MFL26B","Bid Rate")</f>
        <v>1211.82</v>
      </c>
      <c r="F1280">
        <f>RTD("nest.scriprtd",,"bse_cm|MFL26B","Ask Rate")</f>
        <v>0</v>
      </c>
      <c r="G1280">
        <f>RTD("nest.scriprtd",,"bse_cm|MFL26B","Ask Qty")</f>
        <v>0</v>
      </c>
      <c r="H1280">
        <f>RTD("nest.scriprtd",,"bse_cm|MFL26B","LTP")</f>
        <v>0</v>
      </c>
      <c r="I1280" t="str">
        <f>RTD("nest.scriprtd",,"bse_cm|MFL26B","LTT")</f>
        <v>00:00:00</v>
      </c>
      <c r="J1280">
        <f>RTD("nest.scriprtd",,"bse_cm|MFL26B","% Change")</f>
        <v>-100</v>
      </c>
      <c r="K1280">
        <f>RTD("nest.scriprtd",,"bse_cm|MFL26B","ATP")</f>
        <v>0</v>
      </c>
      <c r="L1280">
        <f>RTD("nest.scriprtd",,"bse_cm|MFL26B","Volume Traded Today")</f>
        <v>0</v>
      </c>
      <c r="M1280">
        <f>RTD("nest.scriprtd",,"bse_cm|MFL26B","Open")</f>
        <v>0</v>
      </c>
      <c r="N1280">
        <f>RTD("nest.scriprtd",,"bse_cm|MFL26B","High")</f>
        <v>1200</v>
      </c>
      <c r="O1280">
        <f>RTD("nest.scriprtd",,"bse_cm|MFL26B","Low ")</f>
        <v>1200</v>
      </c>
      <c r="P1280">
        <f>RTD("nest.scriprtd",,"bse_cm|MFL26B","Prev Close")</f>
        <v>1200</v>
      </c>
      <c r="Q1280">
        <f>RTD("nest.scriprtd",,"bse_cm|MFL26B","Face Value")</f>
        <v>1000</v>
      </c>
      <c r="R1280" t="str">
        <f>RTD("nest.scriprtd",,"bse_cm|MFL26B","Isin code")</f>
        <v>INE549K07AX6</v>
      </c>
      <c r="S1280" s="9">
        <f>Table1[[#This Row],[Ask Rate]]*Table1[[#This Row],[Ask Qty]]</f>
        <v>0</v>
      </c>
      <c r="T1280" t="str">
        <f>VLOOKUP(Table1[[#This Row],[Isin code]],Table2[#All],7,FALSE)</f>
        <v>--</v>
      </c>
      <c r="U1280" s="17" t="str">
        <f>VLOOKUP(Table1[[#This Row],[Isin code]],Table2[#All],8,FALSE)</f>
        <v>29-Oct-2026</v>
      </c>
      <c r="V1280" s="10">
        <f ca="1">Table1[[#This Row],[Maturity]]-TODAY()</f>
        <v>743</v>
      </c>
      <c r="W1280" t="str">
        <f>VLOOKUP(Table1[[#This Row],[Isin code]],Table2[#All],10,FALSE)</f>
        <v>At the End</v>
      </c>
      <c r="X1280">
        <f ca="1">_xlfn.DAYS(Table1[[#This Row],[Maturity]],TODAY())-15</f>
        <v>728</v>
      </c>
      <c r="Y128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0">
        <f>IF(Table1[[#This Row],[Ask Rate]]=0,0,Table1[[#This Row],[Face Value]]-Table1[[#This Row],[Ask Rate]])</f>
        <v>0</v>
      </c>
      <c r="AA128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0">
        <f>Table1[[#This Row],[Face Value]]*Table1[[#This Row],[Rate]]*Table1[[#This Row],[Time]]</f>
        <v>0</v>
      </c>
      <c r="AC1280">
        <f>Table1[[#This Row],[SI]]+Table1[[#This Row],[Disc/Prem]]</f>
        <v>0</v>
      </c>
      <c r="AD1280" s="3" t="e">
        <f>Table1[[#This Row],[Net Gain]]/Table1[[#This Row],[Ask Rate]]</f>
        <v>#DIV/0!</v>
      </c>
      <c r="AE1280" s="3">
        <f>IF(Table1[[#This Row],[Ask Qty]]=0,0,Table1[[#This Row],[Gross Yield]]*365/Table1[[#This Row],[Days Left]])</f>
        <v>0</v>
      </c>
      <c r="AF1280" s="9">
        <f>+Table1[[#This Row],[Net Gain]]*Table1[[#This Row],[Ask Qty]]</f>
        <v>0</v>
      </c>
      <c r="AG1280" t="str">
        <f>IF(Table1[[#This Row],[YTM]]&gt;0.12,IF(Table1[[#This Row],[Gross Profit]]&gt;10000,"Invest","Review"),"Low YTM")</f>
        <v>Low YTM</v>
      </c>
    </row>
    <row r="1281" spans="1:33" x14ac:dyDescent="0.3">
      <c r="A1281" t="str">
        <f>RTD("nest.scriprtd",,"bse_cm|MFCL30424D","Symbol")</f>
        <v>MFCL30424D</v>
      </c>
      <c r="B1281" t="str">
        <f>RTD("nest.scriprtd",,"bse_cm|MFCL30424D","Trading Symbol")</f>
        <v>MFCL30424D</v>
      </c>
      <c r="C1281" t="str">
        <f>RTD("nest.scriprtd",,"bse_cm|MFCL30424D","Exchange")</f>
        <v>BSE</v>
      </c>
      <c r="D1281">
        <f>RTD("nest.scriprtd",,"bse_cm|MFCL30424D","Bid Qty")</f>
        <v>22</v>
      </c>
      <c r="E1281">
        <f>RTD("nest.scriprtd",,"bse_cm|MFCL30424D","Bid Rate")</f>
        <v>848.8</v>
      </c>
      <c r="F1281">
        <f>RTD("nest.scriprtd",,"bse_cm|MFCL30424D","Ask Rate")</f>
        <v>0</v>
      </c>
      <c r="G1281">
        <f>RTD("nest.scriprtd",,"bse_cm|MFCL30424D","Ask Qty")</f>
        <v>0</v>
      </c>
      <c r="H1281">
        <f>RTD("nest.scriprtd",,"bse_cm|MFCL30424D","LTP")</f>
        <v>0</v>
      </c>
      <c r="I1281" t="str">
        <f>RTD("nest.scriprtd",,"bse_cm|MFCL30424D","LTT")</f>
        <v>00:00:00</v>
      </c>
      <c r="J1281">
        <f>RTD("nest.scriprtd",,"bse_cm|MFCL30424D","% Change")</f>
        <v>-100</v>
      </c>
      <c r="K1281">
        <f>RTD("nest.scriprtd",,"bse_cm|MFCL30424D","ATP")</f>
        <v>0</v>
      </c>
      <c r="L1281">
        <f>RTD("nest.scriprtd",,"bse_cm|MFCL30424D","Volume Traded Today")</f>
        <v>0</v>
      </c>
      <c r="M1281">
        <f>RTD("nest.scriprtd",,"bse_cm|MFCL30424D","Open")</f>
        <v>0</v>
      </c>
      <c r="N1281">
        <f>RTD("nest.scriprtd",,"bse_cm|MFCL30424D","High")</f>
        <v>1027.5</v>
      </c>
      <c r="O1281">
        <f>RTD("nest.scriprtd",,"bse_cm|MFCL30424D","Low ")</f>
        <v>1027.5</v>
      </c>
      <c r="P1281">
        <f>RTD("nest.scriprtd",,"bse_cm|MFCL30424D","Prev Close")</f>
        <v>1027.5</v>
      </c>
      <c r="Q1281">
        <f>RTD("nest.scriprtd",,"bse_cm|MFCL30424D","Face Value")</f>
        <v>1000</v>
      </c>
      <c r="R1281" t="str">
        <f>RTD("nest.scriprtd",,"bse_cm|MFCL30424D","Isin code")</f>
        <v>INE549K07DX0</v>
      </c>
      <c r="S1281" s="9">
        <f>Table1[[#This Row],[Ask Rate]]*Table1[[#This Row],[Ask Qty]]</f>
        <v>0</v>
      </c>
      <c r="T1281" t="str">
        <f>VLOOKUP(Table1[[#This Row],[Isin code]],Table2[#All],7,FALSE)</f>
        <v>--</v>
      </c>
      <c r="U1281" s="17" t="str">
        <f>VLOOKUP(Table1[[#This Row],[Isin code]],Table2[#All],8,FALSE)</f>
        <v>29-Feb-2032</v>
      </c>
      <c r="V1281" s="10">
        <f ca="1">Table1[[#This Row],[Maturity]]-TODAY()</f>
        <v>2692</v>
      </c>
      <c r="W1281" t="str">
        <f>VLOOKUP(Table1[[#This Row],[Isin code]],Table2[#All],10,FALSE)</f>
        <v>At the End</v>
      </c>
      <c r="X1281">
        <f ca="1">_xlfn.DAYS(Table1[[#This Row],[Maturity]],TODAY())-15</f>
        <v>2677</v>
      </c>
      <c r="Y128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1">
        <f>IF(Table1[[#This Row],[Ask Rate]]=0,0,Table1[[#This Row],[Face Value]]-Table1[[#This Row],[Ask Rate]])</f>
        <v>0</v>
      </c>
      <c r="AA128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1">
        <f>Table1[[#This Row],[Face Value]]*Table1[[#This Row],[Rate]]*Table1[[#This Row],[Time]]</f>
        <v>0</v>
      </c>
      <c r="AC1281">
        <f>Table1[[#This Row],[SI]]+Table1[[#This Row],[Disc/Prem]]</f>
        <v>0</v>
      </c>
      <c r="AD1281" s="3" t="e">
        <f>Table1[[#This Row],[Net Gain]]/Table1[[#This Row],[Ask Rate]]</f>
        <v>#DIV/0!</v>
      </c>
      <c r="AE1281" s="3">
        <f>IF(Table1[[#This Row],[Ask Qty]]=0,0,Table1[[#This Row],[Gross Yield]]*365/Table1[[#This Row],[Days Left]])</f>
        <v>0</v>
      </c>
      <c r="AF1281" s="9">
        <f>+Table1[[#This Row],[Net Gain]]*Table1[[#This Row],[Ask Qty]]</f>
        <v>0</v>
      </c>
      <c r="AG1281" t="str">
        <f>IF(Table1[[#This Row],[YTM]]&gt;0.12,IF(Table1[[#This Row],[Gross Profit]]&gt;10000,"Invest","Review"),"Low YTM")</f>
        <v>Low YTM</v>
      </c>
    </row>
    <row r="1282" spans="1:33" x14ac:dyDescent="0.3">
      <c r="A1282" t="str">
        <f>RTD("nest.scriprtd",,"bse_cm|MFCL30424B","Symbol")</f>
        <v>MFCL30424B</v>
      </c>
      <c r="B1282" t="str">
        <f>RTD("nest.scriprtd",,"bse_cm|MFCL30424B","Trading Symbol")</f>
        <v>MFCL30424B</v>
      </c>
      <c r="C1282" t="str">
        <f>RTD("nest.scriprtd",,"bse_cm|MFCL30424B","Exchange")</f>
        <v>BSE</v>
      </c>
      <c r="D1282">
        <f>RTD("nest.scriprtd",,"bse_cm|MFCL30424B","Bid Qty")</f>
        <v>50</v>
      </c>
      <c r="E1282">
        <f>RTD("nest.scriprtd",,"bse_cm|MFCL30424B","Bid Rate")</f>
        <v>1005</v>
      </c>
      <c r="F1282">
        <f>RTD("nest.scriprtd",,"bse_cm|MFCL30424B","Ask Rate")</f>
        <v>0</v>
      </c>
      <c r="G1282">
        <f>RTD("nest.scriprtd",,"bse_cm|MFCL30424B","Ask Qty")</f>
        <v>0</v>
      </c>
      <c r="H1282">
        <f>RTD("nest.scriprtd",,"bse_cm|MFCL30424B","LTP")</f>
        <v>0</v>
      </c>
      <c r="I1282" t="str">
        <f>RTD("nest.scriprtd",,"bse_cm|MFCL30424B","LTT")</f>
        <v>00:00:00</v>
      </c>
      <c r="J1282">
        <f>RTD("nest.scriprtd",,"bse_cm|MFCL30424B","% Change")</f>
        <v>-100</v>
      </c>
      <c r="K1282">
        <f>RTD("nest.scriprtd",,"bse_cm|MFCL30424B","ATP")</f>
        <v>0</v>
      </c>
      <c r="L1282">
        <f>RTD("nest.scriprtd",,"bse_cm|MFCL30424B","Volume Traded Today")</f>
        <v>0</v>
      </c>
      <c r="M1282">
        <f>RTD("nest.scriprtd",,"bse_cm|MFCL30424B","Open")</f>
        <v>0</v>
      </c>
      <c r="N1282">
        <f>RTD("nest.scriprtd",,"bse_cm|MFCL30424B","High")</f>
        <v>1036</v>
      </c>
      <c r="O1282">
        <f>RTD("nest.scriprtd",,"bse_cm|MFCL30424B","Low ")</f>
        <v>1035</v>
      </c>
      <c r="P1282">
        <f>RTD("nest.scriprtd",,"bse_cm|MFCL30424B","Prev Close")</f>
        <v>1036</v>
      </c>
      <c r="Q1282">
        <f>RTD("nest.scriprtd",,"bse_cm|MFCL30424B","Face Value")</f>
        <v>1000</v>
      </c>
      <c r="R1282" t="str">
        <f>RTD("nest.scriprtd",,"bse_cm|MFCL30424B","Isin code")</f>
        <v>INE549K07DT8</v>
      </c>
      <c r="S1282" s="9">
        <f>Table1[[#This Row],[Ask Rate]]*Table1[[#This Row],[Ask Qty]]</f>
        <v>0</v>
      </c>
      <c r="T1282" t="str">
        <f>VLOOKUP(Table1[[#This Row],[Isin code]],Table2[#All],7,FALSE)</f>
        <v>--</v>
      </c>
      <c r="U1282" s="17" t="str">
        <f>VLOOKUP(Table1[[#This Row],[Isin code]],Table2[#All],8,FALSE)</f>
        <v>30-Apr-2029</v>
      </c>
      <c r="V1282" s="10">
        <f ca="1">Table1[[#This Row],[Maturity]]-TODAY()</f>
        <v>1657</v>
      </c>
      <c r="W1282" t="str">
        <f>VLOOKUP(Table1[[#This Row],[Isin code]],Table2[#All],10,FALSE)</f>
        <v>At the End</v>
      </c>
      <c r="X1282">
        <f ca="1">_xlfn.DAYS(Table1[[#This Row],[Maturity]],TODAY())-15</f>
        <v>1642</v>
      </c>
      <c r="Y128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2">
        <f>IF(Table1[[#This Row],[Ask Rate]]=0,0,Table1[[#This Row],[Face Value]]-Table1[[#This Row],[Ask Rate]])</f>
        <v>0</v>
      </c>
      <c r="AA128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2">
        <f>Table1[[#This Row],[Face Value]]*Table1[[#This Row],[Rate]]*Table1[[#This Row],[Time]]</f>
        <v>0</v>
      </c>
      <c r="AC1282">
        <f>Table1[[#This Row],[SI]]+Table1[[#This Row],[Disc/Prem]]</f>
        <v>0</v>
      </c>
      <c r="AD1282" s="3" t="e">
        <f>Table1[[#This Row],[Net Gain]]/Table1[[#This Row],[Ask Rate]]</f>
        <v>#DIV/0!</v>
      </c>
      <c r="AE1282" s="3">
        <f>IF(Table1[[#This Row],[Ask Qty]]=0,0,Table1[[#This Row],[Gross Yield]]*365/Table1[[#This Row],[Days Left]])</f>
        <v>0</v>
      </c>
      <c r="AF1282" s="9">
        <f>+Table1[[#This Row],[Net Gain]]*Table1[[#This Row],[Ask Qty]]</f>
        <v>0</v>
      </c>
      <c r="AG1282" t="str">
        <f>IF(Table1[[#This Row],[YTM]]&gt;0.12,IF(Table1[[#This Row],[Gross Profit]]&gt;10000,"Invest","Review"),"Low YTM")</f>
        <v>Low YTM</v>
      </c>
    </row>
    <row r="1283" spans="1:33" x14ac:dyDescent="0.3">
      <c r="A1283" t="str">
        <f>RTD("nest.scriprtd",,"bse_cm|MFCL30424A","Symbol")</f>
        <v>MFCL30424A</v>
      </c>
      <c r="B1283" t="str">
        <f>RTD("nest.scriprtd",,"bse_cm|MFCL30424A","Trading Symbol")</f>
        <v>MFCL30424A</v>
      </c>
      <c r="C1283" t="str">
        <f>RTD("nest.scriprtd",,"bse_cm|MFCL30424A","Exchange")</f>
        <v>BSE</v>
      </c>
      <c r="D1283">
        <f>RTD("nest.scriprtd",,"bse_cm|MFCL30424A","Bid Qty")</f>
        <v>12</v>
      </c>
      <c r="E1283">
        <f>RTD("nest.scriprtd",,"bse_cm|MFCL30424A","Bid Rate")</f>
        <v>847.2</v>
      </c>
      <c r="F1283">
        <f>RTD("nest.scriprtd",,"bse_cm|MFCL30424A","Ask Rate")</f>
        <v>0</v>
      </c>
      <c r="G1283">
        <f>RTD("nest.scriprtd",,"bse_cm|MFCL30424A","Ask Qty")</f>
        <v>0</v>
      </c>
      <c r="H1283">
        <f>RTD("nest.scriprtd",,"bse_cm|MFCL30424A","LTP")</f>
        <v>0</v>
      </c>
      <c r="I1283" t="str">
        <f>RTD("nest.scriprtd",,"bse_cm|MFCL30424A","LTT")</f>
        <v>00:00:00</v>
      </c>
      <c r="J1283">
        <f>RTD("nest.scriprtd",,"bse_cm|MFCL30424A","% Change")</f>
        <v>-100</v>
      </c>
      <c r="K1283">
        <f>RTD("nest.scriprtd",,"bse_cm|MFCL30424A","ATP")</f>
        <v>0</v>
      </c>
      <c r="L1283">
        <f>RTD("nest.scriprtd",,"bse_cm|MFCL30424A","Volume Traded Today")</f>
        <v>0</v>
      </c>
      <c r="M1283">
        <f>RTD("nest.scriprtd",,"bse_cm|MFCL30424A","Open")</f>
        <v>0</v>
      </c>
      <c r="N1283">
        <f>RTD("nest.scriprtd",,"bse_cm|MFCL30424A","High")</f>
        <v>1008</v>
      </c>
      <c r="O1283">
        <f>RTD("nest.scriprtd",,"bse_cm|MFCL30424A","Low ")</f>
        <v>1008</v>
      </c>
      <c r="P1283">
        <f>RTD("nest.scriprtd",,"bse_cm|MFCL30424A","Prev Close")</f>
        <v>1008</v>
      </c>
      <c r="Q1283">
        <f>RTD("nest.scriprtd",,"bse_cm|MFCL30424A","Face Value")</f>
        <v>1000</v>
      </c>
      <c r="R1283" t="str">
        <f>RTD("nest.scriprtd",,"bse_cm|MFCL30424A","Isin code")</f>
        <v>INE549K07DS0</v>
      </c>
      <c r="S1283" s="9">
        <f>Table1[[#This Row],[Ask Rate]]*Table1[[#This Row],[Ask Qty]]</f>
        <v>0</v>
      </c>
      <c r="T1283" t="str">
        <f>VLOOKUP(Table1[[#This Row],[Isin code]],Table2[#All],7,FALSE)</f>
        <v>--</v>
      </c>
      <c r="U1283" s="17" t="str">
        <f>VLOOKUP(Table1[[#This Row],[Isin code]],Table2[#All],8,FALSE)</f>
        <v>30-Jun-2027</v>
      </c>
      <c r="V1283" s="10">
        <f ca="1">Table1[[#This Row],[Maturity]]-TODAY()</f>
        <v>987</v>
      </c>
      <c r="W1283" t="str">
        <f>VLOOKUP(Table1[[#This Row],[Isin code]],Table2[#All],10,FALSE)</f>
        <v>At the End</v>
      </c>
      <c r="X1283">
        <f ca="1">_xlfn.DAYS(Table1[[#This Row],[Maturity]],TODAY())-15</f>
        <v>972</v>
      </c>
      <c r="Y128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3">
        <f>IF(Table1[[#This Row],[Ask Rate]]=0,0,Table1[[#This Row],[Face Value]]-Table1[[#This Row],[Ask Rate]])</f>
        <v>0</v>
      </c>
      <c r="AA128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3">
        <f>Table1[[#This Row],[Face Value]]*Table1[[#This Row],[Rate]]*Table1[[#This Row],[Time]]</f>
        <v>0</v>
      </c>
      <c r="AC1283">
        <f>Table1[[#This Row],[SI]]+Table1[[#This Row],[Disc/Prem]]</f>
        <v>0</v>
      </c>
      <c r="AD1283" s="3" t="e">
        <f>Table1[[#This Row],[Net Gain]]/Table1[[#This Row],[Ask Rate]]</f>
        <v>#DIV/0!</v>
      </c>
      <c r="AE1283" s="3">
        <f>IF(Table1[[#This Row],[Ask Qty]]=0,0,Table1[[#This Row],[Gross Yield]]*365/Table1[[#This Row],[Days Left]])</f>
        <v>0</v>
      </c>
      <c r="AF1283" s="9">
        <f>+Table1[[#This Row],[Net Gain]]*Table1[[#This Row],[Ask Qty]]</f>
        <v>0</v>
      </c>
      <c r="AG1283" t="str">
        <f>IF(Table1[[#This Row],[YTM]]&gt;0.12,IF(Table1[[#This Row],[Gross Profit]]&gt;10000,"Invest","Review"),"Low YTM")</f>
        <v>Low YTM</v>
      </c>
    </row>
    <row r="1284" spans="1:33" x14ac:dyDescent="0.3">
      <c r="A1284" t="str">
        <f>RTD("nest.scriprtd",,"bse_cm|MFCL16924B","Symbol")</f>
        <v>MFCL16924B</v>
      </c>
      <c r="B1284" t="str">
        <f>RTD("nest.scriprtd",,"bse_cm|MFCL16924B","Trading Symbol")</f>
        <v>MFCL16924B</v>
      </c>
      <c r="C1284" t="str">
        <f>RTD("nest.scriprtd",,"bse_cm|MFCL16924B","Exchange")</f>
        <v>BSE</v>
      </c>
      <c r="D1284">
        <f>RTD("nest.scriprtd",,"bse_cm|MFCL16924B","Bid Qty")</f>
        <v>30</v>
      </c>
      <c r="E1284">
        <f>RTD("nest.scriprtd",,"bse_cm|MFCL16924B","Bid Rate")</f>
        <v>976</v>
      </c>
      <c r="F1284">
        <f>RTD("nest.scriprtd",,"bse_cm|MFCL16924B","Ask Rate")</f>
        <v>0</v>
      </c>
      <c r="G1284">
        <f>RTD("nest.scriprtd",,"bse_cm|MFCL16924B","Ask Qty")</f>
        <v>0</v>
      </c>
      <c r="H1284">
        <f>RTD("nest.scriprtd",,"bse_cm|MFCL16924B","LTP")</f>
        <v>0</v>
      </c>
      <c r="I1284" t="str">
        <f>RTD("nest.scriprtd",,"bse_cm|MFCL16924B","LTT")</f>
        <v>00:00:00</v>
      </c>
      <c r="J1284">
        <f>RTD("nest.scriprtd",,"bse_cm|MFCL16924B","% Change")</f>
        <v>-100</v>
      </c>
      <c r="K1284">
        <f>RTD("nest.scriprtd",,"bse_cm|MFCL16924B","ATP")</f>
        <v>0</v>
      </c>
      <c r="L1284">
        <f>RTD("nest.scriprtd",,"bse_cm|MFCL16924B","Volume Traded Today")</f>
        <v>0</v>
      </c>
      <c r="M1284">
        <f>RTD("nest.scriprtd",,"bse_cm|MFCL16924B","Open")</f>
        <v>0</v>
      </c>
      <c r="N1284">
        <f>RTD("nest.scriprtd",,"bse_cm|MFCL16924B","High")</f>
        <v>998.6</v>
      </c>
      <c r="O1284">
        <f>RTD("nest.scriprtd",,"bse_cm|MFCL16924B","Low ")</f>
        <v>998.6</v>
      </c>
      <c r="P1284">
        <f>RTD("nest.scriprtd",,"bse_cm|MFCL16924B","Prev Close")</f>
        <v>998.6</v>
      </c>
      <c r="Q1284">
        <f>RTD("nest.scriprtd",,"bse_cm|MFCL16924B","Face Value")</f>
        <v>1000</v>
      </c>
      <c r="R1284" t="str">
        <f>RTD("nest.scriprtd",,"bse_cm|MFCL16924B","Isin code")</f>
        <v>INE549K07EF5</v>
      </c>
      <c r="S1284" s="9">
        <f>Table1[[#This Row],[Ask Rate]]*Table1[[#This Row],[Ask Qty]]</f>
        <v>0</v>
      </c>
      <c r="T1284" t="str">
        <f>VLOOKUP(Table1[[#This Row],[Isin code]],Table2[#All],7,FALSE)</f>
        <v>--</v>
      </c>
      <c r="U1284" s="17" t="str">
        <f>VLOOKUP(Table1[[#This Row],[Isin code]],Table2[#All],8,FALSE)</f>
        <v>16-Sep-2030</v>
      </c>
      <c r="V1284" s="10">
        <f ca="1">Table1[[#This Row],[Maturity]]-TODAY()</f>
        <v>2161</v>
      </c>
      <c r="W1284" t="str">
        <f>VLOOKUP(Table1[[#This Row],[Isin code]],Table2[#All],10,FALSE)</f>
        <v>At the End</v>
      </c>
      <c r="X1284">
        <f ca="1">_xlfn.DAYS(Table1[[#This Row],[Maturity]],TODAY())-15</f>
        <v>2146</v>
      </c>
      <c r="Y128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4">
        <f>IF(Table1[[#This Row],[Ask Rate]]=0,0,Table1[[#This Row],[Face Value]]-Table1[[#This Row],[Ask Rate]])</f>
        <v>0</v>
      </c>
      <c r="AA128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4">
        <f>Table1[[#This Row],[Face Value]]*Table1[[#This Row],[Rate]]*Table1[[#This Row],[Time]]</f>
        <v>0</v>
      </c>
      <c r="AC1284">
        <f>Table1[[#This Row],[SI]]+Table1[[#This Row],[Disc/Prem]]</f>
        <v>0</v>
      </c>
      <c r="AD1284" s="3" t="e">
        <f>Table1[[#This Row],[Net Gain]]/Table1[[#This Row],[Ask Rate]]</f>
        <v>#DIV/0!</v>
      </c>
      <c r="AE1284" s="3">
        <f>IF(Table1[[#This Row],[Ask Qty]]=0,0,Table1[[#This Row],[Gross Yield]]*365/Table1[[#This Row],[Days Left]])</f>
        <v>0</v>
      </c>
      <c r="AF1284" s="9">
        <f>+Table1[[#This Row],[Net Gain]]*Table1[[#This Row],[Ask Qty]]</f>
        <v>0</v>
      </c>
      <c r="AG1284" t="str">
        <f>IF(Table1[[#This Row],[YTM]]&gt;0.12,IF(Table1[[#This Row],[Gross Profit]]&gt;10000,"Invest","Review"),"Low YTM")</f>
        <v>Low YTM</v>
      </c>
    </row>
    <row r="1285" spans="1:33" x14ac:dyDescent="0.3">
      <c r="A1285" t="str">
        <f>RTD("nest.scriprtd",,"bse_cm|MFCL16924A","Symbol")</f>
        <v>MFCL16924A</v>
      </c>
      <c r="B1285" t="str">
        <f>RTD("nest.scriprtd",,"bse_cm|MFCL16924A","Trading Symbol")</f>
        <v>MFCL16924A</v>
      </c>
      <c r="C1285" t="str">
        <f>RTD("nest.scriprtd",,"bse_cm|MFCL16924A","Exchange")</f>
        <v>BSE</v>
      </c>
      <c r="D1285">
        <f>RTD("nest.scriprtd",,"bse_cm|MFCL16924A","Bid Qty")</f>
        <v>30</v>
      </c>
      <c r="E1285">
        <f>RTD("nest.scriprtd",,"bse_cm|MFCL16924A","Bid Rate")</f>
        <v>977.5</v>
      </c>
      <c r="F1285">
        <f>RTD("nest.scriprtd",,"bse_cm|MFCL16924A","Ask Rate")</f>
        <v>0</v>
      </c>
      <c r="G1285">
        <f>RTD("nest.scriprtd",,"bse_cm|MFCL16924A","Ask Qty")</f>
        <v>0</v>
      </c>
      <c r="H1285">
        <f>RTD("nest.scriprtd",,"bse_cm|MFCL16924A","LTP")</f>
        <v>0</v>
      </c>
      <c r="I1285" t="str">
        <f>RTD("nest.scriprtd",,"bse_cm|MFCL16924A","LTT")</f>
        <v>00:00:00</v>
      </c>
      <c r="J1285">
        <f>RTD("nest.scriprtd",,"bse_cm|MFCL16924A","% Change")</f>
        <v>-100</v>
      </c>
      <c r="K1285">
        <f>RTD("nest.scriprtd",,"bse_cm|MFCL16924A","ATP")</f>
        <v>0</v>
      </c>
      <c r="L1285">
        <f>RTD("nest.scriprtd",,"bse_cm|MFCL16924A","Volume Traded Today")</f>
        <v>0</v>
      </c>
      <c r="M1285">
        <f>RTD("nest.scriprtd",,"bse_cm|MFCL16924A","Open")</f>
        <v>0</v>
      </c>
      <c r="N1285">
        <f>RTD("nest.scriprtd",,"bse_cm|MFCL16924A","High")</f>
        <v>1000</v>
      </c>
      <c r="O1285">
        <f>RTD("nest.scriprtd",,"bse_cm|MFCL16924A","Low ")</f>
        <v>1000</v>
      </c>
      <c r="P1285">
        <f>RTD("nest.scriprtd",,"bse_cm|MFCL16924A","Prev Close")</f>
        <v>1000</v>
      </c>
      <c r="Q1285">
        <f>RTD("nest.scriprtd",,"bse_cm|MFCL16924A","Face Value")</f>
        <v>1000</v>
      </c>
      <c r="R1285" t="str">
        <f>RTD("nest.scriprtd",,"bse_cm|MFCL16924A","Isin code")</f>
        <v>INE549K07ED0</v>
      </c>
      <c r="S1285" s="9">
        <f>Table1[[#This Row],[Ask Rate]]*Table1[[#This Row],[Ask Qty]]</f>
        <v>0</v>
      </c>
      <c r="T1285" t="str">
        <f>VLOOKUP(Table1[[#This Row],[Isin code]],Table2[#All],7,FALSE)</f>
        <v>--</v>
      </c>
      <c r="U1285" s="17" t="str">
        <f>VLOOKUP(Table1[[#This Row],[Isin code]],Table2[#All],8,FALSE)</f>
        <v>16-Sep-2029</v>
      </c>
      <c r="V1285" s="10">
        <f ca="1">Table1[[#This Row],[Maturity]]-TODAY()</f>
        <v>1796</v>
      </c>
      <c r="W1285" t="str">
        <f>VLOOKUP(Table1[[#This Row],[Isin code]],Table2[#All],10,FALSE)</f>
        <v>At the End</v>
      </c>
      <c r="X1285">
        <f ca="1">_xlfn.DAYS(Table1[[#This Row],[Maturity]],TODAY())-15</f>
        <v>1781</v>
      </c>
      <c r="Y128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5">
        <f>IF(Table1[[#This Row],[Ask Rate]]=0,0,Table1[[#This Row],[Face Value]]-Table1[[#This Row],[Ask Rate]])</f>
        <v>0</v>
      </c>
      <c r="AA128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5">
        <f>Table1[[#This Row],[Face Value]]*Table1[[#This Row],[Rate]]*Table1[[#This Row],[Time]]</f>
        <v>0</v>
      </c>
      <c r="AC1285">
        <f>Table1[[#This Row],[SI]]+Table1[[#This Row],[Disc/Prem]]</f>
        <v>0</v>
      </c>
      <c r="AD1285" s="3" t="e">
        <f>Table1[[#This Row],[Net Gain]]/Table1[[#This Row],[Ask Rate]]</f>
        <v>#DIV/0!</v>
      </c>
      <c r="AE1285" s="3">
        <f>IF(Table1[[#This Row],[Ask Qty]]=0,0,Table1[[#This Row],[Gross Yield]]*365/Table1[[#This Row],[Days Left]])</f>
        <v>0</v>
      </c>
      <c r="AF1285" s="9">
        <f>+Table1[[#This Row],[Net Gain]]*Table1[[#This Row],[Ask Qty]]</f>
        <v>0</v>
      </c>
      <c r="AG1285" t="str">
        <f>IF(Table1[[#This Row],[YTM]]&gt;0.12,IF(Table1[[#This Row],[Gross Profit]]&gt;10000,"Invest","Review"),"Low YTM")</f>
        <v>Low YTM</v>
      </c>
    </row>
    <row r="1286" spans="1:33" x14ac:dyDescent="0.3">
      <c r="A1286" t="str">
        <f>RTD("nest.scriprtd",,"bse_cm|KFLZC31","Symbol")</f>
        <v>KFLZC31</v>
      </c>
      <c r="B1286" t="str">
        <f>RTD("nest.scriprtd",,"bse_cm|KFLZC31","Trading Symbol")</f>
        <v>KFLZC31</v>
      </c>
      <c r="C1286" t="str">
        <f>RTD("nest.scriprtd",,"bse_cm|KFLZC31","Exchange")</f>
        <v>BSE</v>
      </c>
      <c r="D1286">
        <f>RTD("nest.scriprtd",,"bse_cm|KFLZC31","Bid Qty")</f>
        <v>25</v>
      </c>
      <c r="E1286">
        <f>RTD("nest.scriprtd",,"bse_cm|KFLZC31","Bid Rate")</f>
        <v>828.1</v>
      </c>
      <c r="F1286">
        <f>RTD("nest.scriprtd",,"bse_cm|KFLZC31","Ask Rate")</f>
        <v>0</v>
      </c>
      <c r="G1286">
        <f>RTD("nest.scriprtd",,"bse_cm|KFLZC31","Ask Qty")</f>
        <v>0</v>
      </c>
      <c r="H1286">
        <f>RTD("nest.scriprtd",,"bse_cm|KFLZC31","LTP")</f>
        <v>0</v>
      </c>
      <c r="I1286" t="str">
        <f>RTD("nest.scriprtd",,"bse_cm|KFLZC31","LTT")</f>
        <v>00:00:00</v>
      </c>
      <c r="J1286">
        <f>RTD("nest.scriprtd",,"bse_cm|KFLZC31","% Change")</f>
        <v>-100</v>
      </c>
      <c r="K1286">
        <f>RTD("nest.scriprtd",,"bse_cm|KFLZC31","ATP")</f>
        <v>0</v>
      </c>
      <c r="L1286">
        <f>RTD("nest.scriprtd",,"bse_cm|KFLZC31","Volume Traded Today")</f>
        <v>0</v>
      </c>
      <c r="M1286">
        <f>RTD("nest.scriprtd",,"bse_cm|KFLZC31","Open")</f>
        <v>0</v>
      </c>
      <c r="N1286">
        <f>RTD("nest.scriprtd",,"bse_cm|KFLZC31","High")</f>
        <v>0</v>
      </c>
      <c r="O1286">
        <f>RTD("nest.scriprtd",,"bse_cm|KFLZC31","Low ")</f>
        <v>0</v>
      </c>
      <c r="P1286">
        <f>RTD("nest.scriprtd",,"bse_cm|KFLZC31","Prev Close")</f>
        <v>1000</v>
      </c>
      <c r="Q1286">
        <f>RTD("nest.scriprtd",,"bse_cm|KFLZC31","Face Value")</f>
        <v>1000</v>
      </c>
      <c r="R1286" t="str">
        <f>RTD("nest.scriprtd",,"bse_cm|KFLZC31","Isin code")</f>
        <v>INE403Q07EA3</v>
      </c>
      <c r="S1286" s="9">
        <f>Table1[[#This Row],[Ask Rate]]*Table1[[#This Row],[Ask Qty]]</f>
        <v>0</v>
      </c>
      <c r="T1286" t="str">
        <f>VLOOKUP(Table1[[#This Row],[Isin code]],Table2[#All],7,FALSE)</f>
        <v>--</v>
      </c>
      <c r="U1286" s="17" t="str">
        <f>VLOOKUP(Table1[[#This Row],[Isin code]],Table2[#All],8,FALSE)</f>
        <v>17-May-2031</v>
      </c>
      <c r="V1286" s="10">
        <f ca="1">Table1[[#This Row],[Maturity]]-TODAY()</f>
        <v>2404</v>
      </c>
      <c r="W1286" t="str">
        <f>VLOOKUP(Table1[[#This Row],[Isin code]],Table2[#All],10,FALSE)</f>
        <v>At the End</v>
      </c>
      <c r="X1286">
        <f ca="1">_xlfn.DAYS(Table1[[#This Row],[Maturity]],TODAY())-15</f>
        <v>2389</v>
      </c>
      <c r="Y128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6">
        <f>IF(Table1[[#This Row],[Ask Rate]]=0,0,Table1[[#This Row],[Face Value]]-Table1[[#This Row],[Ask Rate]])</f>
        <v>0</v>
      </c>
      <c r="AA128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6">
        <f>Table1[[#This Row],[Face Value]]*Table1[[#This Row],[Rate]]*Table1[[#This Row],[Time]]</f>
        <v>0</v>
      </c>
      <c r="AC1286">
        <f>Table1[[#This Row],[SI]]+Table1[[#This Row],[Disc/Prem]]</f>
        <v>0</v>
      </c>
      <c r="AD1286" s="3" t="e">
        <f>Table1[[#This Row],[Net Gain]]/Table1[[#This Row],[Ask Rate]]</f>
        <v>#DIV/0!</v>
      </c>
      <c r="AE1286" s="3">
        <f>IF(Table1[[#This Row],[Ask Qty]]=0,0,Table1[[#This Row],[Gross Yield]]*365/Table1[[#This Row],[Days Left]])</f>
        <v>0</v>
      </c>
      <c r="AF1286" s="9">
        <f>+Table1[[#This Row],[Net Gain]]*Table1[[#This Row],[Ask Qty]]</f>
        <v>0</v>
      </c>
      <c r="AG1286" t="str">
        <f>IF(Table1[[#This Row],[YTM]]&gt;0.12,IF(Table1[[#This Row],[Gross Profit]]&gt;10000,"Invest","Review"),"Low YTM")</f>
        <v>Low YTM</v>
      </c>
    </row>
    <row r="1287" spans="1:33" x14ac:dyDescent="0.3">
      <c r="A1287" t="str">
        <f>RTD("nest.scriprtd",,"bse_cm|KFLZC28C","Symbol")</f>
        <v>KFLZC28C</v>
      </c>
      <c r="B1287" t="str">
        <f>RTD("nest.scriprtd",,"bse_cm|KFLZC28C","Trading Symbol")</f>
        <v>KFLZC28C</v>
      </c>
      <c r="C1287" t="str">
        <f>RTD("nest.scriprtd",,"bse_cm|KFLZC28C","Exchange")</f>
        <v>BSE</v>
      </c>
      <c r="D1287">
        <f>RTD("nest.scriprtd",,"bse_cm|KFLZC28C","Bid Qty")</f>
        <v>28</v>
      </c>
      <c r="E1287">
        <f>RTD("nest.scriprtd",,"bse_cm|KFLZC28C","Bid Rate")</f>
        <v>826.2</v>
      </c>
      <c r="F1287">
        <f>RTD("nest.scriprtd",,"bse_cm|KFLZC28C","Ask Rate")</f>
        <v>0</v>
      </c>
      <c r="G1287">
        <f>RTD("nest.scriprtd",,"bse_cm|KFLZC28C","Ask Qty")</f>
        <v>0</v>
      </c>
      <c r="H1287">
        <f>RTD("nest.scriprtd",,"bse_cm|KFLZC28C","LTP")</f>
        <v>0</v>
      </c>
      <c r="I1287" t="str">
        <f>RTD("nest.scriprtd",,"bse_cm|KFLZC28C","LTT")</f>
        <v>00:00:00</v>
      </c>
      <c r="J1287">
        <f>RTD("nest.scriprtd",,"bse_cm|KFLZC28C","% Change")</f>
        <v>-100</v>
      </c>
      <c r="K1287">
        <f>RTD("nest.scriprtd",,"bse_cm|KFLZC28C","ATP")</f>
        <v>0</v>
      </c>
      <c r="L1287">
        <f>RTD("nest.scriprtd",,"bse_cm|KFLZC28C","Volume Traded Today")</f>
        <v>0</v>
      </c>
      <c r="M1287">
        <f>RTD("nest.scriprtd",,"bse_cm|KFLZC28C","Open")</f>
        <v>0</v>
      </c>
      <c r="N1287">
        <f>RTD("nest.scriprtd",,"bse_cm|KFLZC28C","High")</f>
        <v>985</v>
      </c>
      <c r="O1287">
        <f>RTD("nest.scriprtd",,"bse_cm|KFLZC28C","Low ")</f>
        <v>985</v>
      </c>
      <c r="P1287">
        <f>RTD("nest.scriprtd",,"bse_cm|KFLZC28C","Prev Close")</f>
        <v>985</v>
      </c>
      <c r="Q1287">
        <f>RTD("nest.scriprtd",,"bse_cm|KFLZC28C","Face Value")</f>
        <v>1000</v>
      </c>
      <c r="R1287" t="str">
        <f>RTD("nest.scriprtd",,"bse_cm|KFLZC28C","Isin code")</f>
        <v>INE403Q07EC9</v>
      </c>
      <c r="S1287" s="9">
        <f>Table1[[#This Row],[Ask Rate]]*Table1[[#This Row],[Ask Qty]]</f>
        <v>0</v>
      </c>
      <c r="T1287" t="str">
        <f>VLOOKUP(Table1[[#This Row],[Isin code]],Table2[#All],7,FALSE)</f>
        <v>--</v>
      </c>
      <c r="U1287" s="17" t="str">
        <f>VLOOKUP(Table1[[#This Row],[Isin code]],Table2[#All],8,FALSE)</f>
        <v>17-Jul-2028</v>
      </c>
      <c r="V1287" s="10">
        <f ca="1">Table1[[#This Row],[Maturity]]-TODAY()</f>
        <v>1370</v>
      </c>
      <c r="W1287" t="str">
        <f>VLOOKUP(Table1[[#This Row],[Isin code]],Table2[#All],10,FALSE)</f>
        <v>At the End</v>
      </c>
      <c r="X1287">
        <f ca="1">_xlfn.DAYS(Table1[[#This Row],[Maturity]],TODAY())-15</f>
        <v>1355</v>
      </c>
      <c r="Y128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7">
        <f>IF(Table1[[#This Row],[Ask Rate]]=0,0,Table1[[#This Row],[Face Value]]-Table1[[#This Row],[Ask Rate]])</f>
        <v>0</v>
      </c>
      <c r="AA128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7">
        <f>Table1[[#This Row],[Face Value]]*Table1[[#This Row],[Rate]]*Table1[[#This Row],[Time]]</f>
        <v>0</v>
      </c>
      <c r="AC1287">
        <f>Table1[[#This Row],[SI]]+Table1[[#This Row],[Disc/Prem]]</f>
        <v>0</v>
      </c>
      <c r="AD1287" s="3" t="e">
        <f>Table1[[#This Row],[Net Gain]]/Table1[[#This Row],[Ask Rate]]</f>
        <v>#DIV/0!</v>
      </c>
      <c r="AE1287" s="3">
        <f>IF(Table1[[#This Row],[Ask Qty]]=0,0,Table1[[#This Row],[Gross Yield]]*365/Table1[[#This Row],[Days Left]])</f>
        <v>0</v>
      </c>
      <c r="AF1287" s="9">
        <f>+Table1[[#This Row],[Net Gain]]*Table1[[#This Row],[Ask Qty]]</f>
        <v>0</v>
      </c>
      <c r="AG1287" t="str">
        <f>IF(Table1[[#This Row],[YTM]]&gt;0.12,IF(Table1[[#This Row],[Gross Profit]]&gt;10000,"Invest","Review"),"Low YTM")</f>
        <v>Low YTM</v>
      </c>
    </row>
    <row r="1288" spans="1:33" x14ac:dyDescent="0.3">
      <c r="A1288" t="str">
        <f>RTD("nest.scriprtd",,"bse_cm|KFLZC28B","Symbol")</f>
        <v>KFLZC28B</v>
      </c>
      <c r="B1288" t="str">
        <f>RTD("nest.scriprtd",,"bse_cm|KFLZC28B","Trading Symbol")</f>
        <v>KFLZC28B</v>
      </c>
      <c r="C1288" t="str">
        <f>RTD("nest.scriprtd",,"bse_cm|KFLZC28B","Exchange")</f>
        <v>BSE</v>
      </c>
      <c r="D1288">
        <f>RTD("nest.scriprtd",,"bse_cm|KFLZC28B","Bid Qty")</f>
        <v>20</v>
      </c>
      <c r="E1288">
        <f>RTD("nest.scriprtd",,"bse_cm|KFLZC28B","Bid Rate")</f>
        <v>1072.8</v>
      </c>
      <c r="F1288">
        <f>RTD("nest.scriprtd",,"bse_cm|KFLZC28B","Ask Rate")</f>
        <v>0</v>
      </c>
      <c r="G1288">
        <f>RTD("nest.scriprtd",,"bse_cm|KFLZC28B","Ask Qty")</f>
        <v>0</v>
      </c>
      <c r="H1288">
        <f>RTD("nest.scriprtd",,"bse_cm|KFLZC28B","LTP")</f>
        <v>0</v>
      </c>
      <c r="I1288" t="str">
        <f>RTD("nest.scriprtd",,"bse_cm|KFLZC28B","LTT")</f>
        <v>00:00:00</v>
      </c>
      <c r="J1288">
        <f>RTD("nest.scriprtd",,"bse_cm|KFLZC28B","% Change")</f>
        <v>-100</v>
      </c>
      <c r="K1288">
        <f>RTD("nest.scriprtd",,"bse_cm|KFLZC28B","ATP")</f>
        <v>0</v>
      </c>
      <c r="L1288">
        <f>RTD("nest.scriprtd",,"bse_cm|KFLZC28B","Volume Traded Today")</f>
        <v>0</v>
      </c>
      <c r="M1288">
        <f>RTD("nest.scriprtd",,"bse_cm|KFLZC28B","Open")</f>
        <v>0</v>
      </c>
      <c r="N1288">
        <f>RTD("nest.scriprtd",,"bse_cm|KFLZC28B","High")</f>
        <v>1185</v>
      </c>
      <c r="O1288">
        <f>RTD("nest.scriprtd",,"bse_cm|KFLZC28B","Low ")</f>
        <v>1185</v>
      </c>
      <c r="P1288">
        <f>RTD("nest.scriprtd",,"bse_cm|KFLZC28B","Prev Close")</f>
        <v>1185</v>
      </c>
      <c r="Q1288">
        <f>RTD("nest.scriprtd",,"bse_cm|KFLZC28B","Face Value")</f>
        <v>1000</v>
      </c>
      <c r="R1288" t="str">
        <f>RTD("nest.scriprtd",,"bse_cm|KFLZC28B","Isin code")</f>
        <v>INE403Q07CD1</v>
      </c>
      <c r="S1288" s="9">
        <f>Table1[[#This Row],[Ask Rate]]*Table1[[#This Row],[Ask Qty]]</f>
        <v>0</v>
      </c>
      <c r="T1288" t="str">
        <f>VLOOKUP(Table1[[#This Row],[Isin code]],Table2[#All],7,FALSE)</f>
        <v>--</v>
      </c>
      <c r="U1288" s="17" t="str">
        <f>VLOOKUP(Table1[[#This Row],[Isin code]],Table2[#All],8,FALSE)</f>
        <v>29-Sep-2028</v>
      </c>
      <c r="V1288" s="10">
        <f ca="1">Table1[[#This Row],[Maturity]]-TODAY()</f>
        <v>1444</v>
      </c>
      <c r="W1288" t="str">
        <f>VLOOKUP(Table1[[#This Row],[Isin code]],Table2[#All],10,FALSE)</f>
        <v>At the End</v>
      </c>
      <c r="X1288">
        <f ca="1">_xlfn.DAYS(Table1[[#This Row],[Maturity]],TODAY())-15</f>
        <v>1429</v>
      </c>
      <c r="Y128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8">
        <f>IF(Table1[[#This Row],[Ask Rate]]=0,0,Table1[[#This Row],[Face Value]]-Table1[[#This Row],[Ask Rate]])</f>
        <v>0</v>
      </c>
      <c r="AA128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8">
        <f>Table1[[#This Row],[Face Value]]*Table1[[#This Row],[Rate]]*Table1[[#This Row],[Time]]</f>
        <v>0</v>
      </c>
      <c r="AC1288">
        <f>Table1[[#This Row],[SI]]+Table1[[#This Row],[Disc/Prem]]</f>
        <v>0</v>
      </c>
      <c r="AD1288" s="3" t="e">
        <f>Table1[[#This Row],[Net Gain]]/Table1[[#This Row],[Ask Rate]]</f>
        <v>#DIV/0!</v>
      </c>
      <c r="AE1288" s="3">
        <f>IF(Table1[[#This Row],[Ask Qty]]=0,0,Table1[[#This Row],[Gross Yield]]*365/Table1[[#This Row],[Days Left]])</f>
        <v>0</v>
      </c>
      <c r="AF1288" s="9">
        <f>+Table1[[#This Row],[Net Gain]]*Table1[[#This Row],[Ask Qty]]</f>
        <v>0</v>
      </c>
      <c r="AG1288" t="str">
        <f>IF(Table1[[#This Row],[YTM]]&gt;0.12,IF(Table1[[#This Row],[Gross Profit]]&gt;10000,"Invest","Review"),"Low YTM")</f>
        <v>Low YTM</v>
      </c>
    </row>
    <row r="1289" spans="1:33" x14ac:dyDescent="0.3">
      <c r="A1289" t="str">
        <f>RTD("nest.scriprtd",,"bse_cm|KFLZC28A","Symbol")</f>
        <v>KFLZC28A</v>
      </c>
      <c r="B1289" t="str">
        <f>RTD("nest.scriprtd",,"bse_cm|KFLZC28A","Trading Symbol")</f>
        <v>KFLZC28A</v>
      </c>
      <c r="C1289" t="str">
        <f>RTD("nest.scriprtd",,"bse_cm|KFLZC28A","Exchange")</f>
        <v>BSE</v>
      </c>
      <c r="D1289">
        <f>RTD("nest.scriprtd",,"bse_cm|KFLZC28A","Bid Qty")</f>
        <v>23</v>
      </c>
      <c r="E1289">
        <f>RTD("nest.scriprtd",,"bse_cm|KFLZC28A","Bid Rate")</f>
        <v>1112.8</v>
      </c>
      <c r="F1289">
        <f>RTD("nest.scriprtd",,"bse_cm|KFLZC28A","Ask Rate")</f>
        <v>0</v>
      </c>
      <c r="G1289">
        <f>RTD("nest.scriprtd",,"bse_cm|KFLZC28A","Ask Qty")</f>
        <v>0</v>
      </c>
      <c r="H1289">
        <f>RTD("nest.scriprtd",,"bse_cm|KFLZC28A","LTP")</f>
        <v>0</v>
      </c>
      <c r="I1289" t="str">
        <f>RTD("nest.scriprtd",,"bse_cm|KFLZC28A","LTT")</f>
        <v>00:00:00</v>
      </c>
      <c r="J1289">
        <f>RTD("nest.scriprtd",,"bse_cm|KFLZC28A","% Change")</f>
        <v>-100</v>
      </c>
      <c r="K1289">
        <f>RTD("nest.scriprtd",,"bse_cm|KFLZC28A","ATP")</f>
        <v>0</v>
      </c>
      <c r="L1289">
        <f>RTD("nest.scriprtd",,"bse_cm|KFLZC28A","Volume Traded Today")</f>
        <v>0</v>
      </c>
      <c r="M1289">
        <f>RTD("nest.scriprtd",,"bse_cm|KFLZC28A","Open")</f>
        <v>0</v>
      </c>
      <c r="N1289">
        <f>RTD("nest.scriprtd",,"bse_cm|KFLZC28A","High")</f>
        <v>1253.27</v>
      </c>
      <c r="O1289">
        <f>RTD("nest.scriprtd",,"bse_cm|KFLZC28A","Low ")</f>
        <v>1218.75</v>
      </c>
      <c r="P1289">
        <f>RTD("nest.scriprtd",,"bse_cm|KFLZC28A","Prev Close")</f>
        <v>1253.27</v>
      </c>
      <c r="Q1289">
        <f>RTD("nest.scriprtd",,"bse_cm|KFLZC28A","Face Value")</f>
        <v>1000</v>
      </c>
      <c r="R1289" t="str">
        <f>RTD("nest.scriprtd",,"bse_cm|KFLZC28A","Isin code")</f>
        <v>INE403Q08241</v>
      </c>
      <c r="S1289" s="9">
        <f>Table1[[#This Row],[Ask Rate]]*Table1[[#This Row],[Ask Qty]]</f>
        <v>0</v>
      </c>
      <c r="T1289" t="str">
        <f>VLOOKUP(Table1[[#This Row],[Isin code]],Table2[#All],7,FALSE)</f>
        <v>--</v>
      </c>
      <c r="U1289" s="17" t="str">
        <f>VLOOKUP(Table1[[#This Row],[Isin code]],Table2[#All],8,FALSE)</f>
        <v>28-Apr-2028</v>
      </c>
      <c r="V1289" s="10">
        <f ca="1">Table1[[#This Row],[Maturity]]-TODAY()</f>
        <v>1290</v>
      </c>
      <c r="W1289" t="str">
        <f>VLOOKUP(Table1[[#This Row],[Isin code]],Table2[#All],10,FALSE)</f>
        <v>At the End</v>
      </c>
      <c r="X1289">
        <f ca="1">_xlfn.DAYS(Table1[[#This Row],[Maturity]],TODAY())-15</f>
        <v>1275</v>
      </c>
      <c r="Y128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89">
        <f>IF(Table1[[#This Row],[Ask Rate]]=0,0,Table1[[#This Row],[Face Value]]-Table1[[#This Row],[Ask Rate]])</f>
        <v>0</v>
      </c>
      <c r="AA128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89">
        <f>Table1[[#This Row],[Face Value]]*Table1[[#This Row],[Rate]]*Table1[[#This Row],[Time]]</f>
        <v>0</v>
      </c>
      <c r="AC1289">
        <f>Table1[[#This Row],[SI]]+Table1[[#This Row],[Disc/Prem]]</f>
        <v>0</v>
      </c>
      <c r="AD1289" s="3" t="e">
        <f>Table1[[#This Row],[Net Gain]]/Table1[[#This Row],[Ask Rate]]</f>
        <v>#DIV/0!</v>
      </c>
      <c r="AE1289" s="3">
        <f>IF(Table1[[#This Row],[Ask Qty]]=0,0,Table1[[#This Row],[Gross Yield]]*365/Table1[[#This Row],[Days Left]])</f>
        <v>0</v>
      </c>
      <c r="AF1289" s="9">
        <f>+Table1[[#This Row],[Net Gain]]*Table1[[#This Row],[Ask Qty]]</f>
        <v>0</v>
      </c>
      <c r="AG1289" t="str">
        <f>IF(Table1[[#This Row],[YTM]]&gt;0.12,IF(Table1[[#This Row],[Gross Profit]]&gt;10000,"Invest","Review"),"Low YTM")</f>
        <v>Low YTM</v>
      </c>
    </row>
    <row r="1290" spans="1:33" x14ac:dyDescent="0.3">
      <c r="A1290" t="str">
        <f>RTD("nest.scriprtd",,"bse_cm|KFLZC28","Symbol")</f>
        <v>KFLZC28</v>
      </c>
      <c r="B1290" t="str">
        <f>RTD("nest.scriprtd",,"bse_cm|KFLZC28","Trading Symbol")</f>
        <v>KFLZC28</v>
      </c>
      <c r="C1290" t="str">
        <f>RTD("nest.scriprtd",,"bse_cm|KFLZC28","Exchange")</f>
        <v>BSE</v>
      </c>
      <c r="D1290">
        <f>RTD("nest.scriprtd",,"bse_cm|KFLZC28","Bid Qty")</f>
        <v>28</v>
      </c>
      <c r="E1290">
        <f>RTD("nest.scriprtd",,"bse_cm|KFLZC28","Bid Rate")</f>
        <v>1115.2</v>
      </c>
      <c r="F1290">
        <f>RTD("nest.scriprtd",,"bse_cm|KFLZC28","Ask Rate")</f>
        <v>0</v>
      </c>
      <c r="G1290">
        <f>RTD("nest.scriprtd",,"bse_cm|KFLZC28","Ask Qty")</f>
        <v>0</v>
      </c>
      <c r="H1290">
        <f>RTD("nest.scriprtd",,"bse_cm|KFLZC28","LTP")</f>
        <v>0</v>
      </c>
      <c r="I1290" t="str">
        <f>RTD("nest.scriprtd",,"bse_cm|KFLZC28","LTT")</f>
        <v>00:00:00</v>
      </c>
      <c r="J1290">
        <f>RTD("nest.scriprtd",,"bse_cm|KFLZC28","% Change")</f>
        <v>-100</v>
      </c>
      <c r="K1290">
        <f>RTD("nest.scriprtd",,"bse_cm|KFLZC28","ATP")</f>
        <v>0</v>
      </c>
      <c r="L1290">
        <f>RTD("nest.scriprtd",,"bse_cm|KFLZC28","Volume Traded Today")</f>
        <v>0</v>
      </c>
      <c r="M1290">
        <f>RTD("nest.scriprtd",,"bse_cm|KFLZC28","Open")</f>
        <v>0</v>
      </c>
      <c r="N1290">
        <f>RTD("nest.scriprtd",,"bse_cm|KFLZC28","High")</f>
        <v>1250</v>
      </c>
      <c r="O1290">
        <f>RTD("nest.scriprtd",,"bse_cm|KFLZC28","Low ")</f>
        <v>1250</v>
      </c>
      <c r="P1290">
        <f>RTD("nest.scriprtd",,"bse_cm|KFLZC28","Prev Close")</f>
        <v>1250</v>
      </c>
      <c r="Q1290">
        <f>RTD("nest.scriprtd",,"bse_cm|KFLZC28","Face Value")</f>
        <v>1000</v>
      </c>
      <c r="R1290" t="str">
        <f>RTD("nest.scriprtd",,"bse_cm|KFLZC28","Isin code")</f>
        <v>INE403Q08225</v>
      </c>
      <c r="S1290" s="9">
        <f>Table1[[#This Row],[Ask Rate]]*Table1[[#This Row],[Ask Qty]]</f>
        <v>0</v>
      </c>
      <c r="T1290" t="str">
        <f>VLOOKUP(Table1[[#This Row],[Isin code]],Table2[#All],7,FALSE)</f>
        <v>--</v>
      </c>
      <c r="U1290" s="17" t="str">
        <f>VLOOKUP(Table1[[#This Row],[Isin code]],Table2[#All],8,FALSE)</f>
        <v>22-Jan-2028</v>
      </c>
      <c r="V1290" s="10">
        <f ca="1">Table1[[#This Row],[Maturity]]-TODAY()</f>
        <v>1193</v>
      </c>
      <c r="W1290" t="str">
        <f>VLOOKUP(Table1[[#This Row],[Isin code]],Table2[#All],10,FALSE)</f>
        <v>At the End</v>
      </c>
      <c r="X1290">
        <f ca="1">_xlfn.DAYS(Table1[[#This Row],[Maturity]],TODAY())-15</f>
        <v>1178</v>
      </c>
      <c r="Y129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0">
        <f>IF(Table1[[#This Row],[Ask Rate]]=0,0,Table1[[#This Row],[Face Value]]-Table1[[#This Row],[Ask Rate]])</f>
        <v>0</v>
      </c>
      <c r="AA129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0">
        <f>Table1[[#This Row],[Face Value]]*Table1[[#This Row],[Rate]]*Table1[[#This Row],[Time]]</f>
        <v>0</v>
      </c>
      <c r="AC1290">
        <f>Table1[[#This Row],[SI]]+Table1[[#This Row],[Disc/Prem]]</f>
        <v>0</v>
      </c>
      <c r="AD1290" s="3" t="e">
        <f>Table1[[#This Row],[Net Gain]]/Table1[[#This Row],[Ask Rate]]</f>
        <v>#DIV/0!</v>
      </c>
      <c r="AE1290" s="3">
        <f>IF(Table1[[#This Row],[Ask Qty]]=0,0,Table1[[#This Row],[Gross Yield]]*365/Table1[[#This Row],[Days Left]])</f>
        <v>0</v>
      </c>
      <c r="AF1290" s="9">
        <f>+Table1[[#This Row],[Net Gain]]*Table1[[#This Row],[Ask Qty]]</f>
        <v>0</v>
      </c>
      <c r="AG1290" t="str">
        <f>IF(Table1[[#This Row],[YTM]]&gt;0.12,IF(Table1[[#This Row],[Gross Profit]]&gt;10000,"Invest","Review"),"Low YTM")</f>
        <v>Low YTM</v>
      </c>
    </row>
    <row r="1291" spans="1:33" x14ac:dyDescent="0.3">
      <c r="A1291" t="str">
        <f>RTD("nest.scriprtd",,"bse_cm|KFLZC27A","Symbol")</f>
        <v>KFLZC27A</v>
      </c>
      <c r="B1291" t="str">
        <f>RTD("nest.scriprtd",,"bse_cm|KFLZC27A","Trading Symbol")</f>
        <v>KFLZC27A</v>
      </c>
      <c r="C1291" t="str">
        <f>RTD("nest.scriprtd",,"bse_cm|KFLZC27A","Exchange")</f>
        <v>BSE</v>
      </c>
      <c r="D1291">
        <f>RTD("nest.scriprtd",,"bse_cm|KFLZC27A","Bid Qty")</f>
        <v>24</v>
      </c>
      <c r="E1291">
        <f>RTD("nest.scriprtd",,"bse_cm|KFLZC27A","Bid Rate")</f>
        <v>825.1</v>
      </c>
      <c r="F1291">
        <f>RTD("nest.scriprtd",,"bse_cm|KFLZC27A","Ask Rate")</f>
        <v>0</v>
      </c>
      <c r="G1291">
        <f>RTD("nest.scriprtd",,"bse_cm|KFLZC27A","Ask Qty")</f>
        <v>0</v>
      </c>
      <c r="H1291">
        <f>RTD("nest.scriprtd",,"bse_cm|KFLZC27A","LTP")</f>
        <v>0</v>
      </c>
      <c r="I1291" t="str">
        <f>RTD("nest.scriprtd",,"bse_cm|KFLZC27A","LTT")</f>
        <v>00:00:00</v>
      </c>
      <c r="J1291">
        <f>RTD("nest.scriprtd",,"bse_cm|KFLZC27A","% Change")</f>
        <v>-100</v>
      </c>
      <c r="K1291">
        <f>RTD("nest.scriprtd",,"bse_cm|KFLZC27A","ATP")</f>
        <v>0</v>
      </c>
      <c r="L1291">
        <f>RTD("nest.scriprtd",,"bse_cm|KFLZC27A","Volume Traded Today")</f>
        <v>0</v>
      </c>
      <c r="M1291">
        <f>RTD("nest.scriprtd",,"bse_cm|KFLZC27A","Open")</f>
        <v>0</v>
      </c>
      <c r="N1291">
        <f>RTD("nest.scriprtd",,"bse_cm|KFLZC27A","High")</f>
        <v>1005</v>
      </c>
      <c r="O1291">
        <f>RTD("nest.scriprtd",,"bse_cm|KFLZC27A","Low ")</f>
        <v>1005</v>
      </c>
      <c r="P1291">
        <f>RTD("nest.scriprtd",,"bse_cm|KFLZC27A","Prev Close")</f>
        <v>1005</v>
      </c>
      <c r="Q1291">
        <f>RTD("nest.scriprtd",,"bse_cm|KFLZC27A","Face Value")</f>
        <v>1000</v>
      </c>
      <c r="R1291" t="str">
        <f>RTD("nest.scriprtd",,"bse_cm|KFLZC27A","Isin code")</f>
        <v>INE403Q07EB1</v>
      </c>
      <c r="S1291" s="9">
        <f>Table1[[#This Row],[Ask Rate]]*Table1[[#This Row],[Ask Qty]]</f>
        <v>0</v>
      </c>
      <c r="T1291" t="str">
        <f>VLOOKUP(Table1[[#This Row],[Isin code]],Table2[#All],7,FALSE)</f>
        <v>--</v>
      </c>
      <c r="U1291" s="17" t="str">
        <f>VLOOKUP(Table1[[#This Row],[Isin code]],Table2[#All],8,FALSE)</f>
        <v>17-Apr-2027</v>
      </c>
      <c r="V1291" s="10">
        <f ca="1">Table1[[#This Row],[Maturity]]-TODAY()</f>
        <v>913</v>
      </c>
      <c r="W1291" t="str">
        <f>VLOOKUP(Table1[[#This Row],[Isin code]],Table2[#All],10,FALSE)</f>
        <v>At the End</v>
      </c>
      <c r="X1291">
        <f ca="1">_xlfn.DAYS(Table1[[#This Row],[Maturity]],TODAY())-15</f>
        <v>898</v>
      </c>
      <c r="Y129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1">
        <f>IF(Table1[[#This Row],[Ask Rate]]=0,0,Table1[[#This Row],[Face Value]]-Table1[[#This Row],[Ask Rate]])</f>
        <v>0</v>
      </c>
      <c r="AA129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1">
        <f>Table1[[#This Row],[Face Value]]*Table1[[#This Row],[Rate]]*Table1[[#This Row],[Time]]</f>
        <v>0</v>
      </c>
      <c r="AC1291">
        <f>Table1[[#This Row],[SI]]+Table1[[#This Row],[Disc/Prem]]</f>
        <v>0</v>
      </c>
      <c r="AD1291" s="3" t="e">
        <f>Table1[[#This Row],[Net Gain]]/Table1[[#This Row],[Ask Rate]]</f>
        <v>#DIV/0!</v>
      </c>
      <c r="AE1291" s="3">
        <f>IF(Table1[[#This Row],[Ask Qty]]=0,0,Table1[[#This Row],[Gross Yield]]*365/Table1[[#This Row],[Days Left]])</f>
        <v>0</v>
      </c>
      <c r="AF1291" s="9">
        <f>+Table1[[#This Row],[Net Gain]]*Table1[[#This Row],[Ask Qty]]</f>
        <v>0</v>
      </c>
      <c r="AG1291" t="str">
        <f>IF(Table1[[#This Row],[YTM]]&gt;0.12,IF(Table1[[#This Row],[Gross Profit]]&gt;10000,"Invest","Review"),"Low YTM")</f>
        <v>Low YTM</v>
      </c>
    </row>
    <row r="1292" spans="1:33" x14ac:dyDescent="0.3">
      <c r="A1292" t="str">
        <f>RTD("nest.scriprtd",,"bse_cm|KFLZC27","Symbol")</f>
        <v>KFLZC27</v>
      </c>
      <c r="B1292" t="str">
        <f>RTD("nest.scriprtd",,"bse_cm|KFLZC27","Trading Symbol")</f>
        <v>KFLZC27</v>
      </c>
      <c r="C1292" t="str">
        <f>RTD("nest.scriprtd",,"bse_cm|KFLZC27","Exchange")</f>
        <v>BSE</v>
      </c>
      <c r="D1292">
        <f>RTD("nest.scriprtd",,"bse_cm|KFLZC27","Bid Qty")</f>
        <v>27</v>
      </c>
      <c r="E1292">
        <f>RTD("nest.scriprtd",,"bse_cm|KFLZC27","Bid Rate")</f>
        <v>975.2</v>
      </c>
      <c r="F1292">
        <f>RTD("nest.scriprtd",,"bse_cm|KFLZC27","Ask Rate")</f>
        <v>0</v>
      </c>
      <c r="G1292">
        <f>RTD("nest.scriprtd",,"bse_cm|KFLZC27","Ask Qty")</f>
        <v>0</v>
      </c>
      <c r="H1292">
        <f>RTD("nest.scriprtd",,"bse_cm|KFLZC27","LTP")</f>
        <v>0</v>
      </c>
      <c r="I1292" t="str">
        <f>RTD("nest.scriprtd",,"bse_cm|KFLZC27","LTT")</f>
        <v>00:00:00</v>
      </c>
      <c r="J1292">
        <f>RTD("nest.scriprtd",,"bse_cm|KFLZC27","% Change")</f>
        <v>-100</v>
      </c>
      <c r="K1292">
        <f>RTD("nest.scriprtd",,"bse_cm|KFLZC27","ATP")</f>
        <v>0</v>
      </c>
      <c r="L1292">
        <f>RTD("nest.scriprtd",,"bse_cm|KFLZC27","Volume Traded Today")</f>
        <v>0</v>
      </c>
      <c r="M1292">
        <f>RTD("nest.scriprtd",,"bse_cm|KFLZC27","Open")</f>
        <v>0</v>
      </c>
      <c r="N1292">
        <f>RTD("nest.scriprtd",,"bse_cm|KFLZC27","High")</f>
        <v>0</v>
      </c>
      <c r="O1292">
        <f>RTD("nest.scriprtd",,"bse_cm|KFLZC27","Low ")</f>
        <v>0</v>
      </c>
      <c r="P1292">
        <f>RTD("nest.scriprtd",,"bse_cm|KFLZC27","Prev Close")</f>
        <v>890</v>
      </c>
      <c r="Q1292">
        <f>RTD("nest.scriprtd",,"bse_cm|KFLZC27","Face Value")</f>
        <v>1000</v>
      </c>
      <c r="R1292" t="str">
        <f>RTD("nest.scriprtd",,"bse_cm|KFLZC27","Isin code")</f>
        <v>INE403Q07BL6</v>
      </c>
      <c r="S1292" s="9">
        <f>Table1[[#This Row],[Ask Rate]]*Table1[[#This Row],[Ask Qty]]</f>
        <v>0</v>
      </c>
      <c r="T1292" t="str">
        <f>VLOOKUP(Table1[[#This Row],[Isin code]],Table2[#All],7,FALSE)</f>
        <v>--</v>
      </c>
      <c r="U1292" s="17" t="str">
        <f>VLOOKUP(Table1[[#This Row],[Isin code]],Table2[#All],8,FALSE)</f>
        <v>13-Oct-2027</v>
      </c>
      <c r="V1292" s="10">
        <f ca="1">Table1[[#This Row],[Maturity]]-TODAY()</f>
        <v>1092</v>
      </c>
      <c r="W1292" t="str">
        <f>VLOOKUP(Table1[[#This Row],[Isin code]],Table2[#All],10,FALSE)</f>
        <v>At the End</v>
      </c>
      <c r="X1292">
        <f ca="1">_xlfn.DAYS(Table1[[#This Row],[Maturity]],TODAY())-15</f>
        <v>1077</v>
      </c>
      <c r="Y129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2">
        <f>IF(Table1[[#This Row],[Ask Rate]]=0,0,Table1[[#This Row],[Face Value]]-Table1[[#This Row],[Ask Rate]])</f>
        <v>0</v>
      </c>
      <c r="AA129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2">
        <f>Table1[[#This Row],[Face Value]]*Table1[[#This Row],[Rate]]*Table1[[#This Row],[Time]]</f>
        <v>0</v>
      </c>
      <c r="AC1292">
        <f>Table1[[#This Row],[SI]]+Table1[[#This Row],[Disc/Prem]]</f>
        <v>0</v>
      </c>
      <c r="AD1292" s="3" t="e">
        <f>Table1[[#This Row],[Net Gain]]/Table1[[#This Row],[Ask Rate]]</f>
        <v>#DIV/0!</v>
      </c>
      <c r="AE1292" s="3">
        <f>IF(Table1[[#This Row],[Ask Qty]]=0,0,Table1[[#This Row],[Gross Yield]]*365/Table1[[#This Row],[Days Left]])</f>
        <v>0</v>
      </c>
      <c r="AF1292" s="9">
        <f>+Table1[[#This Row],[Net Gain]]*Table1[[#This Row],[Ask Qty]]</f>
        <v>0</v>
      </c>
      <c r="AG1292" t="str">
        <f>IF(Table1[[#This Row],[YTM]]&gt;0.12,IF(Table1[[#This Row],[Gross Profit]]&gt;10000,"Invest","Review"),"Low YTM")</f>
        <v>Low YTM</v>
      </c>
    </row>
    <row r="1293" spans="1:33" x14ac:dyDescent="0.3">
      <c r="A1293" t="str">
        <f>RTD("nest.scriprtd",,"bse_cm|KFLZC26E","Symbol")</f>
        <v>KFLZC26E</v>
      </c>
      <c r="B1293" t="str">
        <f>RTD("nest.scriprtd",,"bse_cm|KFLZC26E","Trading Symbol")</f>
        <v>KFLZC26E</v>
      </c>
      <c r="C1293" t="str">
        <f>RTD("nest.scriprtd",,"bse_cm|KFLZC26E","Exchange")</f>
        <v>BSE</v>
      </c>
      <c r="D1293">
        <f>RTD("nest.scriprtd",,"bse_cm|KFLZC26E","Bid Qty")</f>
        <v>27</v>
      </c>
      <c r="E1293">
        <f>RTD("nest.scriprtd",,"bse_cm|KFLZC26E","Bid Rate")</f>
        <v>825.3</v>
      </c>
      <c r="F1293">
        <f>RTD("nest.scriprtd",,"bse_cm|KFLZC26E","Ask Rate")</f>
        <v>0</v>
      </c>
      <c r="G1293">
        <f>RTD("nest.scriprtd",,"bse_cm|KFLZC26E","Ask Qty")</f>
        <v>0</v>
      </c>
      <c r="H1293">
        <f>RTD("nest.scriprtd",,"bse_cm|KFLZC26E","LTP")</f>
        <v>0</v>
      </c>
      <c r="I1293" t="str">
        <f>RTD("nest.scriprtd",,"bse_cm|KFLZC26E","LTT")</f>
        <v>00:00:00</v>
      </c>
      <c r="J1293">
        <f>RTD("nest.scriprtd",,"bse_cm|KFLZC26E","% Change")</f>
        <v>-100</v>
      </c>
      <c r="K1293">
        <f>RTD("nest.scriprtd",,"bse_cm|KFLZC26E","ATP")</f>
        <v>0</v>
      </c>
      <c r="L1293">
        <f>RTD("nest.scriprtd",,"bse_cm|KFLZC26E","Volume Traded Today")</f>
        <v>0</v>
      </c>
      <c r="M1293">
        <f>RTD("nest.scriprtd",,"bse_cm|KFLZC26E","Open")</f>
        <v>0</v>
      </c>
      <c r="N1293">
        <f>RTD("nest.scriprtd",,"bse_cm|KFLZC26E","High")</f>
        <v>0</v>
      </c>
      <c r="O1293">
        <f>RTD("nest.scriprtd",,"bse_cm|KFLZC26E","Low ")</f>
        <v>0</v>
      </c>
      <c r="P1293">
        <f>RTD("nest.scriprtd",,"bse_cm|KFLZC26E","Prev Close")</f>
        <v>1000</v>
      </c>
      <c r="Q1293">
        <f>RTD("nest.scriprtd",,"bse_cm|KFLZC26E","Face Value")</f>
        <v>1000</v>
      </c>
      <c r="R1293" t="str">
        <f>RTD("nest.scriprtd",,"bse_cm|KFLZC26E","Isin code")</f>
        <v>INE403Q07DZ2</v>
      </c>
      <c r="S1293" s="9">
        <f>Table1[[#This Row],[Ask Rate]]*Table1[[#This Row],[Ask Qty]]</f>
        <v>0</v>
      </c>
      <c r="T1293" t="str">
        <f>VLOOKUP(Table1[[#This Row],[Isin code]],Table2[#All],7,FALSE)</f>
        <v>--</v>
      </c>
      <c r="U1293" s="17" t="str">
        <f>VLOOKUP(Table1[[#This Row],[Isin code]],Table2[#All],8,FALSE)</f>
        <v>17-Jul-2026</v>
      </c>
      <c r="V1293" s="10">
        <f ca="1">Table1[[#This Row],[Maturity]]-TODAY()</f>
        <v>639</v>
      </c>
      <c r="W1293" t="str">
        <f>VLOOKUP(Table1[[#This Row],[Isin code]],Table2[#All],10,FALSE)</f>
        <v>At the End</v>
      </c>
      <c r="X1293">
        <f ca="1">_xlfn.DAYS(Table1[[#This Row],[Maturity]],TODAY())-15</f>
        <v>624</v>
      </c>
      <c r="Y129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3">
        <f>IF(Table1[[#This Row],[Ask Rate]]=0,0,Table1[[#This Row],[Face Value]]-Table1[[#This Row],[Ask Rate]])</f>
        <v>0</v>
      </c>
      <c r="AA129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3">
        <f>Table1[[#This Row],[Face Value]]*Table1[[#This Row],[Rate]]*Table1[[#This Row],[Time]]</f>
        <v>0</v>
      </c>
      <c r="AC1293">
        <f>Table1[[#This Row],[SI]]+Table1[[#This Row],[Disc/Prem]]</f>
        <v>0</v>
      </c>
      <c r="AD1293" s="3" t="e">
        <f>Table1[[#This Row],[Net Gain]]/Table1[[#This Row],[Ask Rate]]</f>
        <v>#DIV/0!</v>
      </c>
      <c r="AE1293" s="3">
        <f>IF(Table1[[#This Row],[Ask Qty]]=0,0,Table1[[#This Row],[Gross Yield]]*365/Table1[[#This Row],[Days Left]])</f>
        <v>0</v>
      </c>
      <c r="AF1293" s="9">
        <f>+Table1[[#This Row],[Net Gain]]*Table1[[#This Row],[Ask Qty]]</f>
        <v>0</v>
      </c>
      <c r="AG1293" t="str">
        <f>IF(Table1[[#This Row],[YTM]]&gt;0.12,IF(Table1[[#This Row],[Gross Profit]]&gt;10000,"Invest","Review"),"Low YTM")</f>
        <v>Low YTM</v>
      </c>
    </row>
    <row r="1294" spans="1:33" x14ac:dyDescent="0.3">
      <c r="A1294" t="str">
        <f>RTD("nest.scriprtd",,"bse_cm|KFLZC26D","Symbol")</f>
        <v>KFLZC26D</v>
      </c>
      <c r="B1294" t="str">
        <f>RTD("nest.scriprtd",,"bse_cm|KFLZC26D","Trading Symbol")</f>
        <v>KFLZC26D</v>
      </c>
      <c r="C1294" t="str">
        <f>RTD("nest.scriprtd",,"bse_cm|KFLZC26D","Exchange")</f>
        <v>BSE</v>
      </c>
      <c r="D1294">
        <f>RTD("nest.scriprtd",,"bse_cm|KFLZC26D","Bid Qty")</f>
        <v>200</v>
      </c>
      <c r="E1294">
        <f>RTD("nest.scriprtd",,"bse_cm|KFLZC26D","Bid Rate")</f>
        <v>937.2</v>
      </c>
      <c r="F1294">
        <f>RTD("nest.scriprtd",,"bse_cm|KFLZC26D","Ask Rate")</f>
        <v>0</v>
      </c>
      <c r="G1294">
        <f>RTD("nest.scriprtd",,"bse_cm|KFLZC26D","Ask Qty")</f>
        <v>0</v>
      </c>
      <c r="H1294">
        <f>RTD("nest.scriprtd",,"bse_cm|KFLZC26D","LTP")</f>
        <v>0</v>
      </c>
      <c r="I1294" t="str">
        <f>RTD("nest.scriprtd",,"bse_cm|KFLZC26D","LTT")</f>
        <v>00:00:00</v>
      </c>
      <c r="J1294">
        <f>RTD("nest.scriprtd",,"bse_cm|KFLZC26D","% Change")</f>
        <v>-100</v>
      </c>
      <c r="K1294">
        <f>RTD("nest.scriprtd",,"bse_cm|KFLZC26D","ATP")</f>
        <v>0</v>
      </c>
      <c r="L1294">
        <f>RTD("nest.scriprtd",,"bse_cm|KFLZC26D","Volume Traded Today")</f>
        <v>0</v>
      </c>
      <c r="M1294">
        <f>RTD("nest.scriprtd",,"bse_cm|KFLZC26D","Open")</f>
        <v>0</v>
      </c>
      <c r="N1294">
        <f>RTD("nest.scriprtd",,"bse_cm|KFLZC26D","High")</f>
        <v>781</v>
      </c>
      <c r="O1294">
        <f>RTD("nest.scriprtd",,"bse_cm|KFLZC26D","Low ")</f>
        <v>760</v>
      </c>
      <c r="P1294">
        <f>RTD("nest.scriprtd",,"bse_cm|KFLZC26D","Prev Close")</f>
        <v>781</v>
      </c>
      <c r="Q1294">
        <f>RTD("nest.scriprtd",,"bse_cm|KFLZC26D","Face Value")</f>
        <v>1000</v>
      </c>
      <c r="R1294" t="str">
        <f>RTD("nest.scriprtd",,"bse_cm|KFLZC26D","Isin code")</f>
        <v>INE403Q07CN0</v>
      </c>
      <c r="S1294" s="9">
        <f>Table1[[#This Row],[Ask Rate]]*Table1[[#This Row],[Ask Qty]]</f>
        <v>0</v>
      </c>
      <c r="T1294" t="str">
        <f>VLOOKUP(Table1[[#This Row],[Isin code]],Table2[#All],7,FALSE)</f>
        <v>--</v>
      </c>
      <c r="U1294" s="17" t="str">
        <f>VLOOKUP(Table1[[#This Row],[Isin code]],Table2[#All],8,FALSE)</f>
        <v>17-Oct-2026</v>
      </c>
      <c r="V1294" s="10">
        <f ca="1">Table1[[#This Row],[Maturity]]-TODAY()</f>
        <v>731</v>
      </c>
      <c r="W1294" t="str">
        <f>VLOOKUP(Table1[[#This Row],[Isin code]],Table2[#All],10,FALSE)</f>
        <v>At the End</v>
      </c>
      <c r="X1294">
        <f ca="1">_xlfn.DAYS(Table1[[#This Row],[Maturity]],TODAY())-15</f>
        <v>716</v>
      </c>
      <c r="Y129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4">
        <f>IF(Table1[[#This Row],[Ask Rate]]=0,0,Table1[[#This Row],[Face Value]]-Table1[[#This Row],[Ask Rate]])</f>
        <v>0</v>
      </c>
      <c r="AA129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4">
        <f>Table1[[#This Row],[Face Value]]*Table1[[#This Row],[Rate]]*Table1[[#This Row],[Time]]</f>
        <v>0</v>
      </c>
      <c r="AC1294">
        <f>Table1[[#This Row],[SI]]+Table1[[#This Row],[Disc/Prem]]</f>
        <v>0</v>
      </c>
      <c r="AD1294" s="3" t="e">
        <f>Table1[[#This Row],[Net Gain]]/Table1[[#This Row],[Ask Rate]]</f>
        <v>#DIV/0!</v>
      </c>
      <c r="AE1294" s="3">
        <f>IF(Table1[[#This Row],[Ask Qty]]=0,0,Table1[[#This Row],[Gross Yield]]*365/Table1[[#This Row],[Days Left]])</f>
        <v>0</v>
      </c>
      <c r="AF1294" s="9">
        <f>+Table1[[#This Row],[Net Gain]]*Table1[[#This Row],[Ask Qty]]</f>
        <v>0</v>
      </c>
      <c r="AG1294" t="str">
        <f>IF(Table1[[#This Row],[YTM]]&gt;0.12,IF(Table1[[#This Row],[Gross Profit]]&gt;10000,"Invest","Review"),"Low YTM")</f>
        <v>Low YTM</v>
      </c>
    </row>
    <row r="1295" spans="1:33" x14ac:dyDescent="0.3">
      <c r="A1295" t="str">
        <f>RTD("nest.scriprtd",,"bse_cm|KFLZC25C","Symbol")</f>
        <v>KFLZC25C</v>
      </c>
      <c r="B1295" t="str">
        <f>RTD("nest.scriprtd",,"bse_cm|KFLZC25C","Trading Symbol")</f>
        <v>KFLZC25C</v>
      </c>
      <c r="C1295" t="str">
        <f>RTD("nest.scriprtd",,"bse_cm|KFLZC25C","Exchange")</f>
        <v>BSE</v>
      </c>
      <c r="D1295">
        <f>RTD("nest.scriprtd",,"bse_cm|KFLZC25C","Bid Qty")</f>
        <v>22</v>
      </c>
      <c r="E1295">
        <f>RTD("nest.scriprtd",,"bse_cm|KFLZC25C","Bid Rate")</f>
        <v>1170.8</v>
      </c>
      <c r="F1295">
        <f>RTD("nest.scriprtd",,"bse_cm|KFLZC25C","Ask Rate")</f>
        <v>0</v>
      </c>
      <c r="G1295">
        <f>RTD("nest.scriprtd",,"bse_cm|KFLZC25C","Ask Qty")</f>
        <v>0</v>
      </c>
      <c r="H1295">
        <f>RTD("nest.scriprtd",,"bse_cm|KFLZC25C","LTP")</f>
        <v>0</v>
      </c>
      <c r="I1295" t="str">
        <f>RTD("nest.scriprtd",,"bse_cm|KFLZC25C","LTT")</f>
        <v>00:00:00</v>
      </c>
      <c r="J1295">
        <f>RTD("nest.scriprtd",,"bse_cm|KFLZC25C","% Change")</f>
        <v>-100</v>
      </c>
      <c r="K1295">
        <f>RTD("nest.scriprtd",,"bse_cm|KFLZC25C","ATP")</f>
        <v>0</v>
      </c>
      <c r="L1295">
        <f>RTD("nest.scriprtd",,"bse_cm|KFLZC25C","Volume Traded Today")</f>
        <v>0</v>
      </c>
      <c r="M1295">
        <f>RTD("nest.scriprtd",,"bse_cm|KFLZC25C","Open")</f>
        <v>0</v>
      </c>
      <c r="N1295">
        <f>RTD("nest.scriprtd",,"bse_cm|KFLZC25C","High")</f>
        <v>1290</v>
      </c>
      <c r="O1295">
        <f>RTD("nest.scriprtd",,"bse_cm|KFLZC25C","Low ")</f>
        <v>1284</v>
      </c>
      <c r="P1295">
        <f>RTD("nest.scriprtd",,"bse_cm|KFLZC25C","Prev Close")</f>
        <v>1290</v>
      </c>
      <c r="Q1295">
        <f>RTD("nest.scriprtd",,"bse_cm|KFLZC25C","Face Value")</f>
        <v>1000</v>
      </c>
      <c r="R1295" t="str">
        <f>RTD("nest.scriprtd",,"bse_cm|KFLZC25C","Isin code")</f>
        <v>INE403Q07CC3</v>
      </c>
      <c r="S1295" s="9">
        <f>Table1[[#This Row],[Ask Rate]]*Table1[[#This Row],[Ask Qty]]</f>
        <v>0</v>
      </c>
      <c r="T1295" t="str">
        <f>VLOOKUP(Table1[[#This Row],[Isin code]],Table2[#All],7,FALSE)</f>
        <v>--</v>
      </c>
      <c r="U1295" s="17" t="str">
        <f>VLOOKUP(Table1[[#This Row],[Isin code]],Table2[#All],8,FALSE)</f>
        <v>29-Nov-2025</v>
      </c>
      <c r="V1295" s="10">
        <f ca="1">Table1[[#This Row],[Maturity]]-TODAY()</f>
        <v>409</v>
      </c>
      <c r="W1295" t="str">
        <f>VLOOKUP(Table1[[#This Row],[Isin code]],Table2[#All],10,FALSE)</f>
        <v>At the End</v>
      </c>
      <c r="X1295">
        <f ca="1">_xlfn.DAYS(Table1[[#This Row],[Maturity]],TODAY())-15</f>
        <v>394</v>
      </c>
      <c r="Y129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5">
        <f>IF(Table1[[#This Row],[Ask Rate]]=0,0,Table1[[#This Row],[Face Value]]-Table1[[#This Row],[Ask Rate]])</f>
        <v>0</v>
      </c>
      <c r="AA129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5">
        <f>Table1[[#This Row],[Face Value]]*Table1[[#This Row],[Rate]]*Table1[[#This Row],[Time]]</f>
        <v>0</v>
      </c>
      <c r="AC1295">
        <f>Table1[[#This Row],[SI]]+Table1[[#This Row],[Disc/Prem]]</f>
        <v>0</v>
      </c>
      <c r="AD1295" s="3" t="e">
        <f>Table1[[#This Row],[Net Gain]]/Table1[[#This Row],[Ask Rate]]</f>
        <v>#DIV/0!</v>
      </c>
      <c r="AE1295" s="3">
        <f>IF(Table1[[#This Row],[Ask Qty]]=0,0,Table1[[#This Row],[Gross Yield]]*365/Table1[[#This Row],[Days Left]])</f>
        <v>0</v>
      </c>
      <c r="AF1295" s="9">
        <f>+Table1[[#This Row],[Net Gain]]*Table1[[#This Row],[Ask Qty]]</f>
        <v>0</v>
      </c>
      <c r="AG1295" t="str">
        <f>IF(Table1[[#This Row],[YTM]]&gt;0.12,IF(Table1[[#This Row],[Gross Profit]]&gt;10000,"Invest","Review"),"Low YTM")</f>
        <v>Low YTM</v>
      </c>
    </row>
    <row r="1296" spans="1:33" hidden="1" x14ac:dyDescent="0.3">
      <c r="A1296" t="str">
        <f>RTD("nest.scriprtd",,"bse_cm|KFLZC24D","Symbol")</f>
        <v>KFLZC24D</v>
      </c>
      <c r="B1296" t="str">
        <f>RTD("nest.scriprtd",,"bse_cm|KFLZC24D","Trading Symbol")</f>
        <v>KFLZC24D</v>
      </c>
      <c r="C1296" t="str">
        <f>RTD("nest.scriprtd",,"bse_cm|KFLZC24D","Exchange")</f>
        <v>BSE</v>
      </c>
      <c r="D1296">
        <f>RTD("nest.scriprtd",,"bse_cm|KFLZC24D","Bid Qty")</f>
        <v>50</v>
      </c>
      <c r="E1296">
        <f>RTD("nest.scriprtd",,"bse_cm|KFLZC24D","Bid Rate")</f>
        <v>1317.81</v>
      </c>
      <c r="F1296">
        <f>RTD("nest.scriprtd",,"bse_cm|KFLZC24D","Ask Rate")</f>
        <v>0</v>
      </c>
      <c r="G1296">
        <f>RTD("nest.scriprtd",,"bse_cm|KFLZC24D","Ask Qty")</f>
        <v>0</v>
      </c>
      <c r="H1296">
        <f>RTD("nest.scriprtd",,"bse_cm|KFLZC24D","LTP")</f>
        <v>0</v>
      </c>
      <c r="I1296" t="str">
        <f>RTD("nest.scriprtd",,"bse_cm|KFLZC24D","LTT")</f>
        <v>00:00:00</v>
      </c>
      <c r="J1296">
        <f>RTD("nest.scriprtd",,"bse_cm|KFLZC24D","% Change")</f>
        <v>-100</v>
      </c>
      <c r="K1296">
        <f>RTD("nest.scriprtd",,"bse_cm|KFLZC24D","ATP")</f>
        <v>0</v>
      </c>
      <c r="L1296">
        <f>RTD("nest.scriprtd",,"bse_cm|KFLZC24D","Volume Traded Today")</f>
        <v>0</v>
      </c>
      <c r="M1296">
        <f>RTD("nest.scriprtd",,"bse_cm|KFLZC24D","Open")</f>
        <v>0</v>
      </c>
      <c r="N1296">
        <f>RTD("nest.scriprtd",,"bse_cm|KFLZC24D","High")</f>
        <v>1353</v>
      </c>
      <c r="O1296">
        <f>RTD("nest.scriprtd",,"bse_cm|KFLZC24D","Low ")</f>
        <v>1353</v>
      </c>
      <c r="P1296">
        <f>RTD("nest.scriprtd",,"bse_cm|KFLZC24D","Prev Close")</f>
        <v>1353</v>
      </c>
      <c r="Q1296">
        <f>RTD("nest.scriprtd",,"bse_cm|KFLZC24D","Face Value")</f>
        <v>1000</v>
      </c>
      <c r="R1296" t="str">
        <f>RTD("nest.scriprtd",,"bse_cm|KFLZC24D","Isin code")</f>
        <v>INE403Q07BJ0</v>
      </c>
      <c r="S1296" s="9">
        <f>Table1[[#This Row],[Ask Rate]]*Table1[[#This Row],[Ask Qty]]</f>
        <v>0</v>
      </c>
      <c r="T1296" t="str">
        <f>VLOOKUP(Table1[[#This Row],[Isin code]],Table2[#All],7,FALSE)</f>
        <v>--</v>
      </c>
      <c r="U1296" s="17" t="str">
        <f>VLOOKUP(Table1[[#This Row],[Isin code]],Table2[#All],8,FALSE)</f>
        <v>13-Dec-2024</v>
      </c>
      <c r="V1296" s="10">
        <f ca="1">Table1[[#This Row],[Maturity]]-TODAY()</f>
        <v>58</v>
      </c>
      <c r="W1296" t="str">
        <f>VLOOKUP(Table1[[#This Row],[Isin code]],Table2[#All],10,FALSE)</f>
        <v>At the End</v>
      </c>
      <c r="X1296">
        <f ca="1">_xlfn.DAYS(Table1[[#This Row],[Maturity]],TODAY())-15</f>
        <v>43</v>
      </c>
      <c r="Y129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6">
        <f>IF(Table1[[#This Row],[Ask Rate]]=0,0,Table1[[#This Row],[Face Value]]-Table1[[#This Row],[Ask Rate]])</f>
        <v>0</v>
      </c>
      <c r="AA129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6">
        <f>Table1[[#This Row],[Face Value]]*Table1[[#This Row],[Rate]]*Table1[[#This Row],[Time]]</f>
        <v>0</v>
      </c>
      <c r="AC1296">
        <f>Table1[[#This Row],[SI]]+Table1[[#This Row],[Disc/Prem]]</f>
        <v>0</v>
      </c>
      <c r="AD1296" s="3" t="e">
        <f>Table1[[#This Row],[Net Gain]]/Table1[[#This Row],[Ask Rate]]</f>
        <v>#DIV/0!</v>
      </c>
      <c r="AE1296" s="3">
        <f>IF(Table1[[#This Row],[Ask Qty]]=0,0,Table1[[#This Row],[Gross Yield]]*365/Table1[[#This Row],[Days Left]])</f>
        <v>0</v>
      </c>
      <c r="AF1296" s="9">
        <f>+Table1[[#This Row],[Net Gain]]*Table1[[#This Row],[Ask Qty]]</f>
        <v>0</v>
      </c>
      <c r="AG1296" t="str">
        <f>IF(Table1[[#This Row],[YTM]]&gt;0.12,IF(Table1[[#This Row],[Gross Profit]]&gt;10000,"Invest","Review"),"Low YTM")</f>
        <v>Low YTM</v>
      </c>
    </row>
    <row r="1297" spans="1:33" x14ac:dyDescent="0.3">
      <c r="A1297" t="str">
        <f>RTD("nest.scriprtd",,"bse_cm|KFL31","Symbol")</f>
        <v>KFL31</v>
      </c>
      <c r="B1297" t="str">
        <f>RTD("nest.scriprtd",,"bse_cm|KFL31","Trading Symbol")</f>
        <v>KFL31</v>
      </c>
      <c r="C1297" t="str">
        <f>RTD("nest.scriprtd",,"bse_cm|KFL31","Exchange")</f>
        <v>BSE</v>
      </c>
      <c r="D1297">
        <f>RTD("nest.scriprtd",,"bse_cm|KFL31","Bid Qty")</f>
        <v>20</v>
      </c>
      <c r="E1297">
        <f>RTD("nest.scriprtd",,"bse_cm|KFL31","Bid Rate")</f>
        <v>860.2</v>
      </c>
      <c r="F1297">
        <f>RTD("nest.scriprtd",,"bse_cm|KFL31","Ask Rate")</f>
        <v>0</v>
      </c>
      <c r="G1297">
        <f>RTD("nest.scriprtd",,"bse_cm|KFL31","Ask Qty")</f>
        <v>0</v>
      </c>
      <c r="H1297">
        <f>RTD("nest.scriprtd",,"bse_cm|KFL31","LTP")</f>
        <v>0</v>
      </c>
      <c r="I1297" t="str">
        <f>RTD("nest.scriprtd",,"bse_cm|KFL31","LTT")</f>
        <v>00:00:00</v>
      </c>
      <c r="J1297">
        <f>RTD("nest.scriprtd",,"bse_cm|KFL31","% Change")</f>
        <v>-100</v>
      </c>
      <c r="K1297">
        <f>RTD("nest.scriprtd",,"bse_cm|KFL31","ATP")</f>
        <v>0</v>
      </c>
      <c r="L1297">
        <f>RTD("nest.scriprtd",,"bse_cm|KFL31","Volume Traded Today")</f>
        <v>0</v>
      </c>
      <c r="M1297">
        <f>RTD("nest.scriprtd",,"bse_cm|KFL31","Open")</f>
        <v>0</v>
      </c>
      <c r="N1297">
        <f>RTD("nest.scriprtd",,"bse_cm|KFL31","High")</f>
        <v>0</v>
      </c>
      <c r="O1297">
        <f>RTD("nest.scriprtd",,"bse_cm|KFL31","Low ")</f>
        <v>0</v>
      </c>
      <c r="P1297">
        <f>RTD("nest.scriprtd",,"bse_cm|KFL31","Prev Close")</f>
        <v>1000</v>
      </c>
      <c r="Q1297">
        <f>RTD("nest.scriprtd",,"bse_cm|KFL31","Face Value")</f>
        <v>1000</v>
      </c>
      <c r="R1297" t="str">
        <f>RTD("nest.scriprtd",,"bse_cm|KFL31","Isin code")</f>
        <v>INE403Q07DR9</v>
      </c>
      <c r="S1297" s="9">
        <f>Table1[[#This Row],[Ask Rate]]*Table1[[#This Row],[Ask Qty]]</f>
        <v>0</v>
      </c>
      <c r="T1297" t="str">
        <f>VLOOKUP(Table1[[#This Row],[Isin code]],Table2[#All],7,FALSE)</f>
        <v>--</v>
      </c>
      <c r="U1297" s="17" t="str">
        <f>VLOOKUP(Table1[[#This Row],[Isin code]],Table2[#All],8,FALSE)</f>
        <v>27-Jan-2031</v>
      </c>
      <c r="V1297" s="10">
        <f ca="1">Table1[[#This Row],[Maturity]]-TODAY()</f>
        <v>2294</v>
      </c>
      <c r="W1297" t="str">
        <f>VLOOKUP(Table1[[#This Row],[Isin code]],Table2[#All],10,FALSE)</f>
        <v>At the End</v>
      </c>
      <c r="X1297">
        <f ca="1">_xlfn.DAYS(Table1[[#This Row],[Maturity]],TODAY())-15</f>
        <v>2279</v>
      </c>
      <c r="Y129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7">
        <f>IF(Table1[[#This Row],[Ask Rate]]=0,0,Table1[[#This Row],[Face Value]]-Table1[[#This Row],[Ask Rate]])</f>
        <v>0</v>
      </c>
      <c r="AA129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7">
        <f>Table1[[#This Row],[Face Value]]*Table1[[#This Row],[Rate]]*Table1[[#This Row],[Time]]</f>
        <v>0</v>
      </c>
      <c r="AC1297">
        <f>Table1[[#This Row],[SI]]+Table1[[#This Row],[Disc/Prem]]</f>
        <v>0</v>
      </c>
      <c r="AD1297" s="3" t="e">
        <f>Table1[[#This Row],[Net Gain]]/Table1[[#This Row],[Ask Rate]]</f>
        <v>#DIV/0!</v>
      </c>
      <c r="AE1297" s="3">
        <f>IF(Table1[[#This Row],[Ask Qty]]=0,0,Table1[[#This Row],[Gross Yield]]*365/Table1[[#This Row],[Days Left]])</f>
        <v>0</v>
      </c>
      <c r="AF1297" s="9">
        <f>+Table1[[#This Row],[Net Gain]]*Table1[[#This Row],[Ask Qty]]</f>
        <v>0</v>
      </c>
      <c r="AG1297" t="str">
        <f>IF(Table1[[#This Row],[YTM]]&gt;0.12,IF(Table1[[#This Row],[Gross Profit]]&gt;10000,"Invest","Review"),"Low YTM")</f>
        <v>Low YTM</v>
      </c>
    </row>
    <row r="1298" spans="1:33" x14ac:dyDescent="0.3">
      <c r="A1298" t="str">
        <f>RTD("nest.scriprtd",,"bse_cm|KFL30","Symbol")</f>
        <v>KFL30</v>
      </c>
      <c r="B1298" t="str">
        <f>RTD("nest.scriprtd",,"bse_cm|KFL30","Trading Symbol")</f>
        <v>KFL30</v>
      </c>
      <c r="C1298" t="str">
        <f>RTD("nest.scriprtd",,"bse_cm|KFL30","Exchange")</f>
        <v>BSE</v>
      </c>
      <c r="D1298">
        <f>RTD("nest.scriprtd",,"bse_cm|KFL30","Bid Qty")</f>
        <v>25</v>
      </c>
      <c r="E1298">
        <f>RTD("nest.scriprtd",,"bse_cm|KFL30","Bid Rate")</f>
        <v>910.2</v>
      </c>
      <c r="F1298">
        <f>RTD("nest.scriprtd",,"bse_cm|KFL30","Ask Rate")</f>
        <v>0</v>
      </c>
      <c r="G1298">
        <f>RTD("nest.scriprtd",,"bse_cm|KFL30","Ask Qty")</f>
        <v>0</v>
      </c>
      <c r="H1298">
        <f>RTD("nest.scriprtd",,"bse_cm|KFL30","LTP")</f>
        <v>0</v>
      </c>
      <c r="I1298" t="str">
        <f>RTD("nest.scriprtd",,"bse_cm|KFL30","LTT")</f>
        <v>00:00:00</v>
      </c>
      <c r="J1298">
        <f>RTD("nest.scriprtd",,"bse_cm|KFL30","% Change")</f>
        <v>-100</v>
      </c>
      <c r="K1298">
        <f>RTD("nest.scriprtd",,"bse_cm|KFL30","ATP")</f>
        <v>0</v>
      </c>
      <c r="L1298">
        <f>RTD("nest.scriprtd",,"bse_cm|KFL30","Volume Traded Today")</f>
        <v>0</v>
      </c>
      <c r="M1298">
        <f>RTD("nest.scriprtd",,"bse_cm|KFL30","Open")</f>
        <v>0</v>
      </c>
      <c r="N1298">
        <f>RTD("nest.scriprtd",,"bse_cm|KFL30","High")</f>
        <v>1000</v>
      </c>
      <c r="O1298">
        <f>RTD("nest.scriprtd",,"bse_cm|KFL30","Low ")</f>
        <v>960</v>
      </c>
      <c r="P1298">
        <f>RTD("nest.scriprtd",,"bse_cm|KFL30","Prev Close")</f>
        <v>1000</v>
      </c>
      <c r="Q1298">
        <f>RTD("nest.scriprtd",,"bse_cm|KFL30","Face Value")</f>
        <v>1000</v>
      </c>
      <c r="R1298" t="str">
        <f>RTD("nest.scriprtd",,"bse_cm|KFL30","Isin code")</f>
        <v>INE403Q07DD9</v>
      </c>
      <c r="S1298" s="9">
        <f>Table1[[#This Row],[Ask Rate]]*Table1[[#This Row],[Ask Qty]]</f>
        <v>0</v>
      </c>
      <c r="T1298" t="str">
        <f>VLOOKUP(Table1[[#This Row],[Isin code]],Table2[#All],7,FALSE)</f>
        <v>--</v>
      </c>
      <c r="U1298" s="17" t="str">
        <f>VLOOKUP(Table1[[#This Row],[Isin code]],Table2[#All],8,FALSE)</f>
        <v>15-May-2030</v>
      </c>
      <c r="V1298" s="10">
        <f ca="1">Table1[[#This Row],[Maturity]]-TODAY()</f>
        <v>2037</v>
      </c>
      <c r="W1298" t="str">
        <f>VLOOKUP(Table1[[#This Row],[Isin code]],Table2[#All],10,FALSE)</f>
        <v>At the End</v>
      </c>
      <c r="X1298">
        <f ca="1">_xlfn.DAYS(Table1[[#This Row],[Maturity]],TODAY())-15</f>
        <v>2022</v>
      </c>
      <c r="Y129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8">
        <f>IF(Table1[[#This Row],[Ask Rate]]=0,0,Table1[[#This Row],[Face Value]]-Table1[[#This Row],[Ask Rate]])</f>
        <v>0</v>
      </c>
      <c r="AA129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8">
        <f>Table1[[#This Row],[Face Value]]*Table1[[#This Row],[Rate]]*Table1[[#This Row],[Time]]</f>
        <v>0</v>
      </c>
      <c r="AC1298">
        <f>Table1[[#This Row],[SI]]+Table1[[#This Row],[Disc/Prem]]</f>
        <v>0</v>
      </c>
      <c r="AD1298" s="3" t="e">
        <f>Table1[[#This Row],[Net Gain]]/Table1[[#This Row],[Ask Rate]]</f>
        <v>#DIV/0!</v>
      </c>
      <c r="AE1298" s="3">
        <f>IF(Table1[[#This Row],[Ask Qty]]=0,0,Table1[[#This Row],[Gross Yield]]*365/Table1[[#This Row],[Days Left]])</f>
        <v>0</v>
      </c>
      <c r="AF1298" s="9">
        <f>+Table1[[#This Row],[Net Gain]]*Table1[[#This Row],[Ask Qty]]</f>
        <v>0</v>
      </c>
      <c r="AG1298" t="str">
        <f>IF(Table1[[#This Row],[YTM]]&gt;0.12,IF(Table1[[#This Row],[Gross Profit]]&gt;10000,"Invest","Review"),"Low YTM")</f>
        <v>Low YTM</v>
      </c>
    </row>
    <row r="1299" spans="1:33" x14ac:dyDescent="0.3">
      <c r="A1299" t="str">
        <f>RTD("nest.scriprtd",,"bse_cm|KFL28D","Symbol")</f>
        <v>KFL28D</v>
      </c>
      <c r="B1299" t="str">
        <f>RTD("nest.scriprtd",,"bse_cm|KFL28D","Trading Symbol")</f>
        <v>KFL28D</v>
      </c>
      <c r="C1299" t="str">
        <f>RTD("nest.scriprtd",,"bse_cm|KFL28D","Exchange")</f>
        <v>BSE</v>
      </c>
      <c r="D1299">
        <f>RTD("nest.scriprtd",,"bse_cm|KFL28D","Bid Qty")</f>
        <v>41</v>
      </c>
      <c r="E1299">
        <f>RTD("nest.scriprtd",,"bse_cm|KFL28D","Bid Rate")</f>
        <v>867.8</v>
      </c>
      <c r="F1299">
        <f>RTD("nest.scriprtd",,"bse_cm|KFL28D","Ask Rate")</f>
        <v>0</v>
      </c>
      <c r="G1299">
        <f>RTD("nest.scriprtd",,"bse_cm|KFL28D","Ask Qty")</f>
        <v>0</v>
      </c>
      <c r="H1299">
        <f>RTD("nest.scriprtd",,"bse_cm|KFL28D","LTP")</f>
        <v>0</v>
      </c>
      <c r="I1299" t="str">
        <f>RTD("nest.scriprtd",,"bse_cm|KFL28D","LTT")</f>
        <v>00:00:00</v>
      </c>
      <c r="J1299">
        <f>RTD("nest.scriprtd",,"bse_cm|KFL28D","% Change")</f>
        <v>-100</v>
      </c>
      <c r="K1299">
        <f>RTD("nest.scriprtd",,"bse_cm|KFL28D","ATP")</f>
        <v>0</v>
      </c>
      <c r="L1299">
        <f>RTD("nest.scriprtd",,"bse_cm|KFL28D","Volume Traded Today")</f>
        <v>0</v>
      </c>
      <c r="M1299">
        <f>RTD("nest.scriprtd",,"bse_cm|KFL28D","Open")</f>
        <v>0</v>
      </c>
      <c r="N1299">
        <f>RTD("nest.scriprtd",,"bse_cm|KFL28D","High")</f>
        <v>0</v>
      </c>
      <c r="O1299">
        <f>RTD("nest.scriprtd",,"bse_cm|KFL28D","Low ")</f>
        <v>0</v>
      </c>
      <c r="P1299">
        <f>RTD("nest.scriprtd",,"bse_cm|KFL28D","Prev Close")</f>
        <v>1000</v>
      </c>
      <c r="Q1299">
        <f>RTD("nest.scriprtd",,"bse_cm|KFL28D","Face Value")</f>
        <v>1000</v>
      </c>
      <c r="R1299" t="str">
        <f>RTD("nest.scriprtd",,"bse_cm|KFL28D","Isin code")</f>
        <v>INE403Q07DS7</v>
      </c>
      <c r="S1299" s="9">
        <f>Table1[[#This Row],[Ask Rate]]*Table1[[#This Row],[Ask Qty]]</f>
        <v>0</v>
      </c>
      <c r="T1299" t="str">
        <f>VLOOKUP(Table1[[#This Row],[Isin code]],Table2[#All],7,FALSE)</f>
        <v>--</v>
      </c>
      <c r="U1299" s="17" t="str">
        <f>VLOOKUP(Table1[[#This Row],[Isin code]],Table2[#All],8,FALSE)</f>
        <v>27-Mar-2028</v>
      </c>
      <c r="V1299" s="10">
        <f ca="1">Table1[[#This Row],[Maturity]]-TODAY()</f>
        <v>1258</v>
      </c>
      <c r="W1299" t="str">
        <f>VLOOKUP(Table1[[#This Row],[Isin code]],Table2[#All],10,FALSE)</f>
        <v>At the End</v>
      </c>
      <c r="X1299">
        <f ca="1">_xlfn.DAYS(Table1[[#This Row],[Maturity]],TODAY())-15</f>
        <v>1243</v>
      </c>
      <c r="Y129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299">
        <f>IF(Table1[[#This Row],[Ask Rate]]=0,0,Table1[[#This Row],[Face Value]]-Table1[[#This Row],[Ask Rate]])</f>
        <v>0</v>
      </c>
      <c r="AA129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299">
        <f>Table1[[#This Row],[Face Value]]*Table1[[#This Row],[Rate]]*Table1[[#This Row],[Time]]</f>
        <v>0</v>
      </c>
      <c r="AC1299">
        <f>Table1[[#This Row],[SI]]+Table1[[#This Row],[Disc/Prem]]</f>
        <v>0</v>
      </c>
      <c r="AD1299" s="3" t="e">
        <f>Table1[[#This Row],[Net Gain]]/Table1[[#This Row],[Ask Rate]]</f>
        <v>#DIV/0!</v>
      </c>
      <c r="AE1299" s="3">
        <f>IF(Table1[[#This Row],[Ask Qty]]=0,0,Table1[[#This Row],[Gross Yield]]*365/Table1[[#This Row],[Days Left]])</f>
        <v>0</v>
      </c>
      <c r="AF1299" s="9">
        <f>+Table1[[#This Row],[Net Gain]]*Table1[[#This Row],[Ask Qty]]</f>
        <v>0</v>
      </c>
      <c r="AG1299" t="str">
        <f>IF(Table1[[#This Row],[YTM]]&gt;0.12,IF(Table1[[#This Row],[Gross Profit]]&gt;10000,"Invest","Review"),"Low YTM")</f>
        <v>Low YTM</v>
      </c>
    </row>
    <row r="1300" spans="1:33" x14ac:dyDescent="0.3">
      <c r="A1300" t="str">
        <f>RTD("nest.scriprtd",,"bse_cm|KFL27C","Symbol")</f>
        <v>KFL27C</v>
      </c>
      <c r="B1300" t="str">
        <f>RTD("nest.scriprtd",,"bse_cm|KFL27C","Trading Symbol")</f>
        <v>KFL27C</v>
      </c>
      <c r="C1300" t="str">
        <f>RTD("nest.scriprtd",,"bse_cm|KFL27C","Exchange")</f>
        <v>BSE</v>
      </c>
      <c r="D1300">
        <f>RTD("nest.scriprtd",,"bse_cm|KFL27C","Bid Qty")</f>
        <v>10</v>
      </c>
      <c r="E1300">
        <f>RTD("nest.scriprtd",,"bse_cm|KFL27C","Bid Rate")</f>
        <v>911</v>
      </c>
      <c r="F1300">
        <f>RTD("nest.scriprtd",,"bse_cm|KFL27C","Ask Rate")</f>
        <v>0</v>
      </c>
      <c r="G1300">
        <f>RTD("nest.scriprtd",,"bse_cm|KFL27C","Ask Qty")</f>
        <v>0</v>
      </c>
      <c r="H1300">
        <f>RTD("nest.scriprtd",,"bse_cm|KFL27C","LTP")</f>
        <v>0</v>
      </c>
      <c r="I1300" t="str">
        <f>RTD("nest.scriprtd",,"bse_cm|KFL27C","LTT")</f>
        <v>00:00:00</v>
      </c>
      <c r="J1300">
        <f>RTD("nest.scriprtd",,"bse_cm|KFL27C","% Change")</f>
        <v>-100</v>
      </c>
      <c r="K1300">
        <f>RTD("nest.scriprtd",,"bse_cm|KFL27C","ATP")</f>
        <v>0</v>
      </c>
      <c r="L1300">
        <f>RTD("nest.scriprtd",,"bse_cm|KFL27C","Volume Traded Today")</f>
        <v>0</v>
      </c>
      <c r="M1300">
        <f>RTD("nest.scriprtd",,"bse_cm|KFL27C","Open")</f>
        <v>0</v>
      </c>
      <c r="N1300">
        <f>RTD("nest.scriprtd",,"bse_cm|KFL27C","High")</f>
        <v>875.3</v>
      </c>
      <c r="O1300">
        <f>RTD("nest.scriprtd",,"bse_cm|KFL27C","Low ")</f>
        <v>875.3</v>
      </c>
      <c r="P1300">
        <f>RTD("nest.scriprtd",,"bse_cm|KFL27C","Prev Close")</f>
        <v>875.3</v>
      </c>
      <c r="Q1300">
        <f>RTD("nest.scriprtd",,"bse_cm|KFL27C","Face Value")</f>
        <v>1000</v>
      </c>
      <c r="R1300" t="str">
        <f>RTD("nest.scriprtd",,"bse_cm|KFL27C","Isin code")</f>
        <v>INE403Q07DI8</v>
      </c>
      <c r="S1300" s="9">
        <f>Table1[[#This Row],[Ask Rate]]*Table1[[#This Row],[Ask Qty]]</f>
        <v>0</v>
      </c>
      <c r="T1300" t="str">
        <f>VLOOKUP(Table1[[#This Row],[Isin code]],Table2[#All],7,FALSE)</f>
        <v>--</v>
      </c>
      <c r="U1300" s="17" t="str">
        <f>VLOOKUP(Table1[[#This Row],[Isin code]],Table2[#All],8,FALSE)</f>
        <v>28-Oct-2027</v>
      </c>
      <c r="V1300" s="10">
        <f ca="1">Table1[[#This Row],[Maturity]]-TODAY()</f>
        <v>1107</v>
      </c>
      <c r="W1300" t="str">
        <f>VLOOKUP(Table1[[#This Row],[Isin code]],Table2[#All],10,FALSE)</f>
        <v>At the End</v>
      </c>
      <c r="X1300">
        <f ca="1">_xlfn.DAYS(Table1[[#This Row],[Maturity]],TODAY())-15</f>
        <v>1092</v>
      </c>
      <c r="Y130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0">
        <f>IF(Table1[[#This Row],[Ask Rate]]=0,0,Table1[[#This Row],[Face Value]]-Table1[[#This Row],[Ask Rate]])</f>
        <v>0</v>
      </c>
      <c r="AA130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0">
        <f>Table1[[#This Row],[Face Value]]*Table1[[#This Row],[Rate]]*Table1[[#This Row],[Time]]</f>
        <v>0</v>
      </c>
      <c r="AC1300">
        <f>Table1[[#This Row],[SI]]+Table1[[#This Row],[Disc/Prem]]</f>
        <v>0</v>
      </c>
      <c r="AD1300" s="3" t="e">
        <f>Table1[[#This Row],[Net Gain]]/Table1[[#This Row],[Ask Rate]]</f>
        <v>#DIV/0!</v>
      </c>
      <c r="AE1300" s="3">
        <f>IF(Table1[[#This Row],[Ask Qty]]=0,0,Table1[[#This Row],[Gross Yield]]*365/Table1[[#This Row],[Days Left]])</f>
        <v>0</v>
      </c>
      <c r="AF1300" s="9">
        <f>+Table1[[#This Row],[Net Gain]]*Table1[[#This Row],[Ask Qty]]</f>
        <v>0</v>
      </c>
      <c r="AG1300" t="str">
        <f>IF(Table1[[#This Row],[YTM]]&gt;0.12,IF(Table1[[#This Row],[Gross Profit]]&gt;10000,"Invest","Review"),"Low YTM")</f>
        <v>Low YTM</v>
      </c>
    </row>
    <row r="1301" spans="1:33" x14ac:dyDescent="0.3">
      <c r="A1301" t="str">
        <f>RTD("nest.scriprtd",,"bse_cm|KFL27B","Symbol")</f>
        <v>KFL27B</v>
      </c>
      <c r="B1301" t="str">
        <f>RTD("nest.scriprtd",,"bse_cm|KFL27B","Trading Symbol")</f>
        <v>KFL27B</v>
      </c>
      <c r="C1301" t="str">
        <f>RTD("nest.scriprtd",,"bse_cm|KFL27B","Exchange")</f>
        <v>BSE</v>
      </c>
      <c r="D1301">
        <f>RTD("nest.scriprtd",,"bse_cm|KFL27B","Bid Qty")</f>
        <v>25</v>
      </c>
      <c r="E1301">
        <f>RTD("nest.scriprtd",,"bse_cm|KFL27B","Bid Rate")</f>
        <v>932.8</v>
      </c>
      <c r="F1301">
        <f>RTD("nest.scriprtd",,"bse_cm|KFL27B","Ask Rate")</f>
        <v>0</v>
      </c>
      <c r="G1301">
        <f>RTD("nest.scriprtd",,"bse_cm|KFL27B","Ask Qty")</f>
        <v>0</v>
      </c>
      <c r="H1301">
        <f>RTD("nest.scriprtd",,"bse_cm|KFL27B","LTP")</f>
        <v>0</v>
      </c>
      <c r="I1301" t="str">
        <f>RTD("nest.scriprtd",,"bse_cm|KFL27B","LTT")</f>
        <v>00:00:00</v>
      </c>
      <c r="J1301">
        <f>RTD("nest.scriprtd",,"bse_cm|KFL27B","% Change")</f>
        <v>-100</v>
      </c>
      <c r="K1301">
        <f>RTD("nest.scriprtd",,"bse_cm|KFL27B","ATP")</f>
        <v>0</v>
      </c>
      <c r="L1301">
        <f>RTD("nest.scriprtd",,"bse_cm|KFL27B","Volume Traded Today")</f>
        <v>0</v>
      </c>
      <c r="M1301">
        <f>RTD("nest.scriprtd",,"bse_cm|KFL27B","Open")</f>
        <v>0</v>
      </c>
      <c r="N1301">
        <f>RTD("nest.scriprtd",,"bse_cm|KFL27B","High")</f>
        <v>0</v>
      </c>
      <c r="O1301">
        <f>RTD("nest.scriprtd",,"bse_cm|KFL27B","Low ")</f>
        <v>0</v>
      </c>
      <c r="P1301">
        <f>RTD("nest.scriprtd",,"bse_cm|KFL27B","Prev Close")</f>
        <v>1000</v>
      </c>
      <c r="Q1301">
        <f>RTD("nest.scriprtd",,"bse_cm|KFL27B","Face Value")</f>
        <v>1000</v>
      </c>
      <c r="R1301" t="str">
        <f>RTD("nest.scriprtd",,"bse_cm|KFL27B","Isin code")</f>
        <v>INE403Q07DC1</v>
      </c>
      <c r="S1301" s="9">
        <f>Table1[[#This Row],[Ask Rate]]*Table1[[#This Row],[Ask Qty]]</f>
        <v>0</v>
      </c>
      <c r="T1301" t="str">
        <f>VLOOKUP(Table1[[#This Row],[Isin code]],Table2[#All],7,FALSE)</f>
        <v>--</v>
      </c>
      <c r="U1301" s="17" t="str">
        <f>VLOOKUP(Table1[[#This Row],[Isin code]],Table2[#All],8,FALSE)</f>
        <v>15-Jul-2027</v>
      </c>
      <c r="V1301" s="10">
        <f ca="1">Table1[[#This Row],[Maturity]]-TODAY()</f>
        <v>1002</v>
      </c>
      <c r="W1301" t="str">
        <f>VLOOKUP(Table1[[#This Row],[Isin code]],Table2[#All],10,FALSE)</f>
        <v>At the End</v>
      </c>
      <c r="X1301">
        <f ca="1">_xlfn.DAYS(Table1[[#This Row],[Maturity]],TODAY())-15</f>
        <v>987</v>
      </c>
      <c r="Y130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1">
        <f>IF(Table1[[#This Row],[Ask Rate]]=0,0,Table1[[#This Row],[Face Value]]-Table1[[#This Row],[Ask Rate]])</f>
        <v>0</v>
      </c>
      <c r="AA130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1">
        <f>Table1[[#This Row],[Face Value]]*Table1[[#This Row],[Rate]]*Table1[[#This Row],[Time]]</f>
        <v>0</v>
      </c>
      <c r="AC1301">
        <f>Table1[[#This Row],[SI]]+Table1[[#This Row],[Disc/Prem]]</f>
        <v>0</v>
      </c>
      <c r="AD1301" s="3" t="e">
        <f>Table1[[#This Row],[Net Gain]]/Table1[[#This Row],[Ask Rate]]</f>
        <v>#DIV/0!</v>
      </c>
      <c r="AE1301" s="3">
        <f>IF(Table1[[#This Row],[Ask Qty]]=0,0,Table1[[#This Row],[Gross Yield]]*365/Table1[[#This Row],[Days Left]])</f>
        <v>0</v>
      </c>
      <c r="AF1301" s="9">
        <f>+Table1[[#This Row],[Net Gain]]*Table1[[#This Row],[Ask Qty]]</f>
        <v>0</v>
      </c>
      <c r="AG1301" t="str">
        <f>IF(Table1[[#This Row],[YTM]]&gt;0.12,IF(Table1[[#This Row],[Gross Profit]]&gt;10000,"Invest","Review"),"Low YTM")</f>
        <v>Low YTM</v>
      </c>
    </row>
    <row r="1302" spans="1:33" x14ac:dyDescent="0.3">
      <c r="A1302" t="str">
        <f>RTD("nest.scriprtd",,"bse_cm|KFL27A","Symbol")</f>
        <v>KFL27A</v>
      </c>
      <c r="B1302" t="str">
        <f>RTD("nest.scriprtd",,"bse_cm|KFL27A","Trading Symbol")</f>
        <v>KFL27A</v>
      </c>
      <c r="C1302" t="str">
        <f>RTD("nest.scriprtd",,"bse_cm|KFL27A","Exchange")</f>
        <v>BSE</v>
      </c>
      <c r="D1302">
        <f>RTD("nest.scriprtd",,"bse_cm|KFL27A","Bid Qty")</f>
        <v>50</v>
      </c>
      <c r="E1302">
        <f>RTD("nest.scriprtd",,"bse_cm|KFL27A","Bid Rate")</f>
        <v>977.8</v>
      </c>
      <c r="F1302">
        <f>RTD("nest.scriprtd",,"bse_cm|KFL27A","Ask Rate")</f>
        <v>0</v>
      </c>
      <c r="G1302">
        <f>RTD("nest.scriprtd",,"bse_cm|KFL27A","Ask Qty")</f>
        <v>0</v>
      </c>
      <c r="H1302">
        <f>RTD("nest.scriprtd",,"bse_cm|KFL27A","LTP")</f>
        <v>0</v>
      </c>
      <c r="I1302" t="str">
        <f>RTD("nest.scriprtd",,"bse_cm|KFL27A","LTT")</f>
        <v>00:00:00</v>
      </c>
      <c r="J1302">
        <f>RTD("nest.scriprtd",,"bse_cm|KFL27A","% Change")</f>
        <v>-100</v>
      </c>
      <c r="K1302">
        <f>RTD("nest.scriprtd",,"bse_cm|KFL27A","ATP")</f>
        <v>0</v>
      </c>
      <c r="L1302">
        <f>RTD("nest.scriprtd",,"bse_cm|KFL27A","Volume Traded Today")</f>
        <v>0</v>
      </c>
      <c r="M1302">
        <f>RTD("nest.scriprtd",,"bse_cm|KFL27A","Open")</f>
        <v>0</v>
      </c>
      <c r="N1302">
        <f>RTD("nest.scriprtd",,"bse_cm|KFL27A","High")</f>
        <v>1124</v>
      </c>
      <c r="O1302">
        <f>RTD("nest.scriprtd",,"bse_cm|KFL27A","Low ")</f>
        <v>1124</v>
      </c>
      <c r="P1302">
        <f>RTD("nest.scriprtd",,"bse_cm|KFL27A","Prev Close")</f>
        <v>1124</v>
      </c>
      <c r="Q1302">
        <f>RTD("nest.scriprtd",,"bse_cm|KFL27A","Face Value")</f>
        <v>1000</v>
      </c>
      <c r="R1302" t="str">
        <f>RTD("nest.scriprtd",,"bse_cm|KFL27A","Isin code")</f>
        <v>INE403Q07CV3</v>
      </c>
      <c r="S1302" s="9">
        <f>Table1[[#This Row],[Ask Rate]]*Table1[[#This Row],[Ask Qty]]</f>
        <v>0</v>
      </c>
      <c r="T1302" t="str">
        <f>VLOOKUP(Table1[[#This Row],[Isin code]],Table2[#All],7,FALSE)</f>
        <v>--</v>
      </c>
      <c r="U1302" s="17" t="str">
        <f>VLOOKUP(Table1[[#This Row],[Isin code]],Table2[#All],8,FALSE)</f>
        <v>10-Feb-2027</v>
      </c>
      <c r="V1302" s="10">
        <f ca="1">Table1[[#This Row],[Maturity]]-TODAY()</f>
        <v>847</v>
      </c>
      <c r="W1302" t="str">
        <f>VLOOKUP(Table1[[#This Row],[Isin code]],Table2[#All],10,FALSE)</f>
        <v>At the End</v>
      </c>
      <c r="X1302">
        <f ca="1">_xlfn.DAYS(Table1[[#This Row],[Maturity]],TODAY())-15</f>
        <v>832</v>
      </c>
      <c r="Y130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2">
        <f>IF(Table1[[#This Row],[Ask Rate]]=0,0,Table1[[#This Row],[Face Value]]-Table1[[#This Row],[Ask Rate]])</f>
        <v>0</v>
      </c>
      <c r="AA130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2">
        <f>Table1[[#This Row],[Face Value]]*Table1[[#This Row],[Rate]]*Table1[[#This Row],[Time]]</f>
        <v>0</v>
      </c>
      <c r="AC1302">
        <f>Table1[[#This Row],[SI]]+Table1[[#This Row],[Disc/Prem]]</f>
        <v>0</v>
      </c>
      <c r="AD1302" s="3" t="e">
        <f>Table1[[#This Row],[Net Gain]]/Table1[[#This Row],[Ask Rate]]</f>
        <v>#DIV/0!</v>
      </c>
      <c r="AE1302" s="3">
        <f>IF(Table1[[#This Row],[Ask Qty]]=0,0,Table1[[#This Row],[Gross Yield]]*365/Table1[[#This Row],[Days Left]])</f>
        <v>0</v>
      </c>
      <c r="AF1302" s="9">
        <f>+Table1[[#This Row],[Net Gain]]*Table1[[#This Row],[Ask Qty]]</f>
        <v>0</v>
      </c>
      <c r="AG1302" t="str">
        <f>IF(Table1[[#This Row],[YTM]]&gt;0.12,IF(Table1[[#This Row],[Gross Profit]]&gt;10000,"Invest","Review"),"Low YTM")</f>
        <v>Low YTM</v>
      </c>
    </row>
    <row r="1303" spans="1:33" x14ac:dyDescent="0.3">
      <c r="A1303" t="str">
        <f>RTD("nest.scriprtd",,"bse_cm|KFL27","Symbol")</f>
        <v>KFL27</v>
      </c>
      <c r="B1303" t="str">
        <f>RTD("nest.scriprtd",,"bse_cm|KFL27","Trading Symbol")</f>
        <v>KFL27</v>
      </c>
      <c r="C1303" t="str">
        <f>RTD("nest.scriprtd",,"bse_cm|KFL27","Exchange")</f>
        <v>BSE</v>
      </c>
      <c r="D1303">
        <f>RTD("nest.scriprtd",,"bse_cm|KFL27","Bid Qty")</f>
        <v>48</v>
      </c>
      <c r="E1303">
        <f>RTD("nest.scriprtd",,"bse_cm|KFL27","Bid Rate")</f>
        <v>1182.8</v>
      </c>
      <c r="F1303">
        <f>RTD("nest.scriprtd",,"bse_cm|KFL27","Ask Rate")</f>
        <v>0</v>
      </c>
      <c r="G1303">
        <f>RTD("nest.scriprtd",,"bse_cm|KFL27","Ask Qty")</f>
        <v>0</v>
      </c>
      <c r="H1303">
        <f>RTD("nest.scriprtd",,"bse_cm|KFL27","LTP")</f>
        <v>0</v>
      </c>
      <c r="I1303" t="str">
        <f>RTD("nest.scriprtd",,"bse_cm|KFL27","LTT")</f>
        <v>00:00:00</v>
      </c>
      <c r="J1303">
        <f>RTD("nest.scriprtd",,"bse_cm|KFL27","% Change")</f>
        <v>-100</v>
      </c>
      <c r="K1303">
        <f>RTD("nest.scriprtd",,"bse_cm|KFL27","ATP")</f>
        <v>0</v>
      </c>
      <c r="L1303">
        <f>RTD("nest.scriprtd",,"bse_cm|KFL27","Volume Traded Today")</f>
        <v>0</v>
      </c>
      <c r="M1303">
        <f>RTD("nest.scriprtd",,"bse_cm|KFL27","Open")</f>
        <v>0</v>
      </c>
      <c r="N1303">
        <f>RTD("nest.scriprtd",,"bse_cm|KFL27","High")</f>
        <v>1225</v>
      </c>
      <c r="O1303">
        <f>RTD("nest.scriprtd",,"bse_cm|KFL27","Low ")</f>
        <v>1225</v>
      </c>
      <c r="P1303">
        <f>RTD("nest.scriprtd",,"bse_cm|KFL27","Prev Close")</f>
        <v>1225</v>
      </c>
      <c r="Q1303">
        <f>RTD("nest.scriprtd",,"bse_cm|KFL27","Face Value")</f>
        <v>1000</v>
      </c>
      <c r="R1303" t="str">
        <f>RTD("nest.scriprtd",,"bse_cm|KFL27","Isin code")</f>
        <v>INE403Q08209</v>
      </c>
      <c r="S1303" s="9">
        <f>Table1[[#This Row],[Ask Rate]]*Table1[[#This Row],[Ask Qty]]</f>
        <v>0</v>
      </c>
      <c r="T1303" t="str">
        <f>VLOOKUP(Table1[[#This Row],[Isin code]],Table2[#All],7,FALSE)</f>
        <v>--</v>
      </c>
      <c r="U1303" s="17" t="str">
        <f>VLOOKUP(Table1[[#This Row],[Isin code]],Table2[#All],8,FALSE)</f>
        <v>28-May-2027</v>
      </c>
      <c r="V1303" s="10">
        <f ca="1">Table1[[#This Row],[Maturity]]-TODAY()</f>
        <v>954</v>
      </c>
      <c r="W1303" t="str">
        <f>VLOOKUP(Table1[[#This Row],[Isin code]],Table2[#All],10,FALSE)</f>
        <v>At the End</v>
      </c>
      <c r="X1303">
        <f ca="1">_xlfn.DAYS(Table1[[#This Row],[Maturity]],TODAY())-15</f>
        <v>939</v>
      </c>
      <c r="Y130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3">
        <f>IF(Table1[[#This Row],[Ask Rate]]=0,0,Table1[[#This Row],[Face Value]]-Table1[[#This Row],[Ask Rate]])</f>
        <v>0</v>
      </c>
      <c r="AA130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3">
        <f>Table1[[#This Row],[Face Value]]*Table1[[#This Row],[Rate]]*Table1[[#This Row],[Time]]</f>
        <v>0</v>
      </c>
      <c r="AC1303">
        <f>Table1[[#This Row],[SI]]+Table1[[#This Row],[Disc/Prem]]</f>
        <v>0</v>
      </c>
      <c r="AD1303" s="3" t="e">
        <f>Table1[[#This Row],[Net Gain]]/Table1[[#This Row],[Ask Rate]]</f>
        <v>#DIV/0!</v>
      </c>
      <c r="AE1303" s="3">
        <f>IF(Table1[[#This Row],[Ask Qty]]=0,0,Table1[[#This Row],[Gross Yield]]*365/Table1[[#This Row],[Days Left]])</f>
        <v>0</v>
      </c>
      <c r="AF1303" s="9">
        <f>+Table1[[#This Row],[Net Gain]]*Table1[[#This Row],[Ask Qty]]</f>
        <v>0</v>
      </c>
      <c r="AG1303" t="str">
        <f>IF(Table1[[#This Row],[YTM]]&gt;0.12,IF(Table1[[#This Row],[Gross Profit]]&gt;10000,"Invest","Review"),"Low YTM")</f>
        <v>Low YTM</v>
      </c>
    </row>
    <row r="1304" spans="1:33" x14ac:dyDescent="0.3">
      <c r="A1304" t="str">
        <f>RTD("nest.scriprtd",,"bse_cm|KFL26C","Symbol")</f>
        <v>KFL26C</v>
      </c>
      <c r="B1304" t="str">
        <f>RTD("nest.scriprtd",,"bse_cm|KFL26C","Trading Symbol")</f>
        <v>KFL26C</v>
      </c>
      <c r="C1304" t="str">
        <f>RTD("nest.scriprtd",,"bse_cm|KFL26C","Exchange")</f>
        <v>BSE</v>
      </c>
      <c r="D1304">
        <f>RTD("nest.scriprtd",,"bse_cm|KFL26C","Bid Qty")</f>
        <v>48</v>
      </c>
      <c r="E1304">
        <f>RTD("nest.scriprtd",,"bse_cm|KFL26C","Bid Rate")</f>
        <v>870.2</v>
      </c>
      <c r="F1304">
        <f>RTD("nest.scriprtd",,"bse_cm|KFL26C","Ask Rate")</f>
        <v>0</v>
      </c>
      <c r="G1304">
        <f>RTD("nest.scriprtd",,"bse_cm|KFL26C","Ask Qty")</f>
        <v>0</v>
      </c>
      <c r="H1304">
        <f>RTD("nest.scriprtd",,"bse_cm|KFL26C","LTP")</f>
        <v>0</v>
      </c>
      <c r="I1304" t="str">
        <f>RTD("nest.scriprtd",,"bse_cm|KFL26C","LTT")</f>
        <v>00:00:00</v>
      </c>
      <c r="J1304">
        <f>RTD("nest.scriprtd",,"bse_cm|KFL26C","% Change")</f>
        <v>-100</v>
      </c>
      <c r="K1304">
        <f>RTD("nest.scriprtd",,"bse_cm|KFL26C","ATP")</f>
        <v>0</v>
      </c>
      <c r="L1304">
        <f>RTD("nest.scriprtd",,"bse_cm|KFL26C","Volume Traded Today")</f>
        <v>0</v>
      </c>
      <c r="M1304">
        <f>RTD("nest.scriprtd",,"bse_cm|KFL26C","Open")</f>
        <v>0</v>
      </c>
      <c r="N1304">
        <f>RTD("nest.scriprtd",,"bse_cm|KFL26C","High")</f>
        <v>0</v>
      </c>
      <c r="O1304">
        <f>RTD("nest.scriprtd",,"bse_cm|KFL26C","Low ")</f>
        <v>0</v>
      </c>
      <c r="P1304">
        <f>RTD("nest.scriprtd",,"bse_cm|KFL26C","Prev Close")</f>
        <v>1000</v>
      </c>
      <c r="Q1304">
        <f>RTD("nest.scriprtd",,"bse_cm|KFL26C","Face Value")</f>
        <v>1000</v>
      </c>
      <c r="R1304" t="str">
        <f>RTD("nest.scriprtd",,"bse_cm|KFL26C","Isin code")</f>
        <v>INE403Q07DQ1</v>
      </c>
      <c r="S1304" s="9">
        <f>Table1[[#This Row],[Ask Rate]]*Table1[[#This Row],[Ask Qty]]</f>
        <v>0</v>
      </c>
      <c r="T1304" t="str">
        <f>VLOOKUP(Table1[[#This Row],[Isin code]],Table2[#All],7,FALSE)</f>
        <v>--</v>
      </c>
      <c r="U1304" s="17" t="str">
        <f>VLOOKUP(Table1[[#This Row],[Isin code]],Table2[#All],8,FALSE)</f>
        <v>27-Dec-2026</v>
      </c>
      <c r="V1304" s="10">
        <f ca="1">Table1[[#This Row],[Maturity]]-TODAY()</f>
        <v>802</v>
      </c>
      <c r="W1304" t="str">
        <f>VLOOKUP(Table1[[#This Row],[Isin code]],Table2[#All],10,FALSE)</f>
        <v>At the End</v>
      </c>
      <c r="X1304">
        <f ca="1">_xlfn.DAYS(Table1[[#This Row],[Maturity]],TODAY())-15</f>
        <v>787</v>
      </c>
      <c r="Y130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4">
        <f>IF(Table1[[#This Row],[Ask Rate]]=0,0,Table1[[#This Row],[Face Value]]-Table1[[#This Row],[Ask Rate]])</f>
        <v>0</v>
      </c>
      <c r="AA130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4">
        <f>Table1[[#This Row],[Face Value]]*Table1[[#This Row],[Rate]]*Table1[[#This Row],[Time]]</f>
        <v>0</v>
      </c>
      <c r="AC1304">
        <f>Table1[[#This Row],[SI]]+Table1[[#This Row],[Disc/Prem]]</f>
        <v>0</v>
      </c>
      <c r="AD1304" s="3" t="e">
        <f>Table1[[#This Row],[Net Gain]]/Table1[[#This Row],[Ask Rate]]</f>
        <v>#DIV/0!</v>
      </c>
      <c r="AE1304" s="3">
        <f>IF(Table1[[#This Row],[Ask Qty]]=0,0,Table1[[#This Row],[Gross Yield]]*365/Table1[[#This Row],[Days Left]])</f>
        <v>0</v>
      </c>
      <c r="AF1304" s="9">
        <f>+Table1[[#This Row],[Net Gain]]*Table1[[#This Row],[Ask Qty]]</f>
        <v>0</v>
      </c>
      <c r="AG1304" t="str">
        <f>IF(Table1[[#This Row],[YTM]]&gt;0.12,IF(Table1[[#This Row],[Gross Profit]]&gt;10000,"Invest","Review"),"Low YTM")</f>
        <v>Low YTM</v>
      </c>
    </row>
    <row r="1305" spans="1:33" x14ac:dyDescent="0.3">
      <c r="A1305" t="str">
        <f>RTD("nest.scriprtd",,"bse_cm|KFL26B","Symbol")</f>
        <v>KFL26B</v>
      </c>
      <c r="B1305" t="str">
        <f>RTD("nest.scriprtd",,"bse_cm|KFL26B","Trading Symbol")</f>
        <v>KFL26B</v>
      </c>
      <c r="C1305" t="str">
        <f>RTD("nest.scriprtd",,"bse_cm|KFL26B","Exchange")</f>
        <v>BSE</v>
      </c>
      <c r="D1305">
        <f>RTD("nest.scriprtd",,"bse_cm|KFL26B","Bid Qty")</f>
        <v>51</v>
      </c>
      <c r="E1305">
        <f>RTD("nest.scriprtd",,"bse_cm|KFL26B","Bid Rate")</f>
        <v>888.8</v>
      </c>
      <c r="F1305">
        <f>RTD("nest.scriprtd",,"bse_cm|KFL26B","Ask Rate")</f>
        <v>0</v>
      </c>
      <c r="G1305">
        <f>RTD("nest.scriprtd",,"bse_cm|KFL26B","Ask Qty")</f>
        <v>0</v>
      </c>
      <c r="H1305">
        <f>RTD("nest.scriprtd",,"bse_cm|KFL26B","LTP")</f>
        <v>0</v>
      </c>
      <c r="I1305" t="str">
        <f>RTD("nest.scriprtd",,"bse_cm|KFL26B","LTT")</f>
        <v>00:00:00</v>
      </c>
      <c r="J1305">
        <f>RTD("nest.scriprtd",,"bse_cm|KFL26B","% Change")</f>
        <v>-100</v>
      </c>
      <c r="K1305">
        <f>RTD("nest.scriprtd",,"bse_cm|KFL26B","ATP")</f>
        <v>0</v>
      </c>
      <c r="L1305">
        <f>RTD("nest.scriprtd",,"bse_cm|KFL26B","Volume Traded Today")</f>
        <v>0</v>
      </c>
      <c r="M1305">
        <f>RTD("nest.scriprtd",,"bse_cm|KFL26B","Open")</f>
        <v>0</v>
      </c>
      <c r="N1305">
        <f>RTD("nest.scriprtd",,"bse_cm|KFL26B","High")</f>
        <v>1038</v>
      </c>
      <c r="O1305">
        <f>RTD("nest.scriprtd",,"bse_cm|KFL26B","Low ")</f>
        <v>1038</v>
      </c>
      <c r="P1305">
        <f>RTD("nest.scriprtd",,"bse_cm|KFL26B","Prev Close")</f>
        <v>1038</v>
      </c>
      <c r="Q1305">
        <f>RTD("nest.scriprtd",,"bse_cm|KFL26B","Face Value")</f>
        <v>1000</v>
      </c>
      <c r="R1305" t="str">
        <f>RTD("nest.scriprtd",,"bse_cm|KFL26B","Isin code")</f>
        <v>INE403Q07DP3</v>
      </c>
      <c r="S1305" s="9">
        <f>Table1[[#This Row],[Ask Rate]]*Table1[[#This Row],[Ask Qty]]</f>
        <v>0</v>
      </c>
      <c r="T1305" t="str">
        <f>VLOOKUP(Table1[[#This Row],[Isin code]],Table2[#All],7,FALSE)</f>
        <v>--</v>
      </c>
      <c r="U1305" s="17" t="str">
        <f>VLOOKUP(Table1[[#This Row],[Isin code]],Table2[#All],8,FALSE)</f>
        <v>27-Mar-2026</v>
      </c>
      <c r="V1305" s="10">
        <f ca="1">Table1[[#This Row],[Maturity]]-TODAY()</f>
        <v>527</v>
      </c>
      <c r="W1305" t="str">
        <f>VLOOKUP(Table1[[#This Row],[Isin code]],Table2[#All],10,FALSE)</f>
        <v>At the End</v>
      </c>
      <c r="X1305">
        <f ca="1">_xlfn.DAYS(Table1[[#This Row],[Maturity]],TODAY())-15</f>
        <v>512</v>
      </c>
      <c r="Y130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5">
        <f>IF(Table1[[#This Row],[Ask Rate]]=0,0,Table1[[#This Row],[Face Value]]-Table1[[#This Row],[Ask Rate]])</f>
        <v>0</v>
      </c>
      <c r="AA130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5">
        <f>Table1[[#This Row],[Face Value]]*Table1[[#This Row],[Rate]]*Table1[[#This Row],[Time]]</f>
        <v>0</v>
      </c>
      <c r="AC1305">
        <f>Table1[[#This Row],[SI]]+Table1[[#This Row],[Disc/Prem]]</f>
        <v>0</v>
      </c>
      <c r="AD1305" s="3" t="e">
        <f>Table1[[#This Row],[Net Gain]]/Table1[[#This Row],[Ask Rate]]</f>
        <v>#DIV/0!</v>
      </c>
      <c r="AE1305" s="3">
        <f>IF(Table1[[#This Row],[Ask Qty]]=0,0,Table1[[#This Row],[Gross Yield]]*365/Table1[[#This Row],[Days Left]])</f>
        <v>0</v>
      </c>
      <c r="AF1305" s="9">
        <f>+Table1[[#This Row],[Net Gain]]*Table1[[#This Row],[Ask Qty]]</f>
        <v>0</v>
      </c>
      <c r="AG1305" t="str">
        <f>IF(Table1[[#This Row],[YTM]]&gt;0.12,IF(Table1[[#This Row],[Gross Profit]]&gt;10000,"Invest","Review"),"Low YTM")</f>
        <v>Low YTM</v>
      </c>
    </row>
    <row r="1306" spans="1:33" x14ac:dyDescent="0.3">
      <c r="A1306" t="str">
        <f>RTD("nest.scriprtd",,"bse_cm|KFL26","Symbol")</f>
        <v>KFL26</v>
      </c>
      <c r="B1306" t="str">
        <f>RTD("nest.scriprtd",,"bse_cm|KFL26","Trading Symbol")</f>
        <v>KFL26</v>
      </c>
      <c r="C1306" t="str">
        <f>RTD("nest.scriprtd",,"bse_cm|KFL26","Exchange")</f>
        <v>BSE</v>
      </c>
      <c r="D1306">
        <f>RTD("nest.scriprtd",,"bse_cm|KFL26","Bid Qty")</f>
        <v>25</v>
      </c>
      <c r="E1306">
        <f>RTD("nest.scriprtd",,"bse_cm|KFL26","Bid Rate")</f>
        <v>970.2</v>
      </c>
      <c r="F1306">
        <f>RTD("nest.scriprtd",,"bse_cm|KFL26","Ask Rate")</f>
        <v>0</v>
      </c>
      <c r="G1306">
        <f>RTD("nest.scriprtd",,"bse_cm|KFL26","Ask Qty")</f>
        <v>0</v>
      </c>
      <c r="H1306">
        <f>RTD("nest.scriprtd",,"bse_cm|KFL26","LTP")</f>
        <v>0</v>
      </c>
      <c r="I1306" t="str">
        <f>RTD("nest.scriprtd",,"bse_cm|KFL26","LTT")</f>
        <v>00:00:00</v>
      </c>
      <c r="J1306">
        <f>RTD("nest.scriprtd",,"bse_cm|KFL26","% Change")</f>
        <v>-100</v>
      </c>
      <c r="K1306">
        <f>RTD("nest.scriprtd",,"bse_cm|KFL26","ATP")</f>
        <v>0</v>
      </c>
      <c r="L1306">
        <f>RTD("nest.scriprtd",,"bse_cm|KFL26","Volume Traded Today")</f>
        <v>0</v>
      </c>
      <c r="M1306">
        <f>RTD("nest.scriprtd",,"bse_cm|KFL26","Open")</f>
        <v>0</v>
      </c>
      <c r="N1306">
        <f>RTD("nest.scriprtd",,"bse_cm|KFL26","High")</f>
        <v>1115</v>
      </c>
      <c r="O1306">
        <f>RTD("nest.scriprtd",,"bse_cm|KFL26","Low ")</f>
        <v>1115</v>
      </c>
      <c r="P1306">
        <f>RTD("nest.scriprtd",,"bse_cm|KFL26","Prev Close")</f>
        <v>1115</v>
      </c>
      <c r="Q1306">
        <f>RTD("nest.scriprtd",,"bse_cm|KFL26","Face Value")</f>
        <v>1000</v>
      </c>
      <c r="R1306" t="str">
        <f>RTD("nest.scriprtd",,"bse_cm|KFL26","Isin code")</f>
        <v>INE403Q07DE7</v>
      </c>
      <c r="S1306" s="9">
        <f>Table1[[#This Row],[Ask Rate]]*Table1[[#This Row],[Ask Qty]]</f>
        <v>0</v>
      </c>
      <c r="T1306" t="str">
        <f>VLOOKUP(Table1[[#This Row],[Isin code]],Table2[#All],7,FALSE)</f>
        <v>--</v>
      </c>
      <c r="U1306" s="17" t="str">
        <f>VLOOKUP(Table1[[#This Row],[Isin code]],Table2[#All],8,FALSE)</f>
        <v>15-Apr-2026</v>
      </c>
      <c r="V1306" s="10">
        <f ca="1">Table1[[#This Row],[Maturity]]-TODAY()</f>
        <v>546</v>
      </c>
      <c r="W1306" t="str">
        <f>VLOOKUP(Table1[[#This Row],[Isin code]],Table2[#All],10,FALSE)</f>
        <v>At the End</v>
      </c>
      <c r="X1306">
        <f ca="1">_xlfn.DAYS(Table1[[#This Row],[Maturity]],TODAY())-15</f>
        <v>531</v>
      </c>
      <c r="Y130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6">
        <f>IF(Table1[[#This Row],[Ask Rate]]=0,0,Table1[[#This Row],[Face Value]]-Table1[[#This Row],[Ask Rate]])</f>
        <v>0</v>
      </c>
      <c r="AA130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6">
        <f>Table1[[#This Row],[Face Value]]*Table1[[#This Row],[Rate]]*Table1[[#This Row],[Time]]</f>
        <v>0</v>
      </c>
      <c r="AC1306">
        <f>Table1[[#This Row],[SI]]+Table1[[#This Row],[Disc/Prem]]</f>
        <v>0</v>
      </c>
      <c r="AD1306" s="3" t="e">
        <f>Table1[[#This Row],[Net Gain]]/Table1[[#This Row],[Ask Rate]]</f>
        <v>#DIV/0!</v>
      </c>
      <c r="AE1306" s="3">
        <f>IF(Table1[[#This Row],[Ask Qty]]=0,0,Table1[[#This Row],[Gross Yield]]*365/Table1[[#This Row],[Days Left]])</f>
        <v>0</v>
      </c>
      <c r="AF1306" s="9">
        <f>+Table1[[#This Row],[Net Gain]]*Table1[[#This Row],[Ask Qty]]</f>
        <v>0</v>
      </c>
      <c r="AG1306" t="str">
        <f>IF(Table1[[#This Row],[YTM]]&gt;0.12,IF(Table1[[#This Row],[Gross Profit]]&gt;10000,"Invest","Review"),"Low YTM")</f>
        <v>Low YTM</v>
      </c>
    </row>
    <row r="1307" spans="1:33" x14ac:dyDescent="0.3">
      <c r="A1307" t="str">
        <f>RTD("nest.scriprtd",,"bse_cm|KFL25C","Symbol")</f>
        <v>KFL25C</v>
      </c>
      <c r="B1307" t="str">
        <f>RTD("nest.scriprtd",,"bse_cm|KFL25C","Trading Symbol")</f>
        <v>KFL25C</v>
      </c>
      <c r="C1307" t="str">
        <f>RTD("nest.scriprtd",,"bse_cm|KFL25C","Exchange")</f>
        <v>BSE</v>
      </c>
      <c r="D1307">
        <f>RTD("nest.scriprtd",,"bse_cm|KFL25C","Bid Qty")</f>
        <v>24</v>
      </c>
      <c r="E1307">
        <f>RTD("nest.scriprtd",,"bse_cm|KFL25C","Bid Rate")</f>
        <v>952.85</v>
      </c>
      <c r="F1307">
        <f>RTD("nest.scriprtd",,"bse_cm|KFL25C","Ask Rate")</f>
        <v>0</v>
      </c>
      <c r="G1307">
        <f>RTD("nest.scriprtd",,"bse_cm|KFL25C","Ask Qty")</f>
        <v>0</v>
      </c>
      <c r="H1307">
        <f>RTD("nest.scriprtd",,"bse_cm|KFL25C","LTP")</f>
        <v>0</v>
      </c>
      <c r="I1307" t="str">
        <f>RTD("nest.scriprtd",,"bse_cm|KFL25C","LTT")</f>
        <v>00:00:00</v>
      </c>
      <c r="J1307">
        <f>RTD("nest.scriprtd",,"bse_cm|KFL25C","% Change")</f>
        <v>-100</v>
      </c>
      <c r="K1307">
        <f>RTD("nest.scriprtd",,"bse_cm|KFL25C","ATP")</f>
        <v>0</v>
      </c>
      <c r="L1307">
        <f>RTD("nest.scriprtd",,"bse_cm|KFL25C","Volume Traded Today")</f>
        <v>0</v>
      </c>
      <c r="M1307">
        <f>RTD("nest.scriprtd",,"bse_cm|KFL25C","Open")</f>
        <v>0</v>
      </c>
      <c r="N1307">
        <f>RTD("nest.scriprtd",,"bse_cm|KFL25C","High")</f>
        <v>1103</v>
      </c>
      <c r="O1307">
        <f>RTD("nest.scriprtd",,"bse_cm|KFL25C","Low ")</f>
        <v>1103</v>
      </c>
      <c r="P1307">
        <f>RTD("nest.scriprtd",,"bse_cm|KFL25C","Prev Close")</f>
        <v>1103</v>
      </c>
      <c r="Q1307">
        <f>RTD("nest.scriprtd",,"bse_cm|KFL25C","Face Value")</f>
        <v>1000</v>
      </c>
      <c r="R1307" t="str">
        <f>RTD("nest.scriprtd",,"bse_cm|KFL25C","Isin code")</f>
        <v>INE403Q07DH0</v>
      </c>
      <c r="S1307" s="9">
        <f>Table1[[#This Row],[Ask Rate]]*Table1[[#This Row],[Ask Qty]]</f>
        <v>0</v>
      </c>
      <c r="T1307" t="str">
        <f>VLOOKUP(Table1[[#This Row],[Isin code]],Table2[#All],7,FALSE)</f>
        <v>--</v>
      </c>
      <c r="U1307" s="17" t="str">
        <f>VLOOKUP(Table1[[#This Row],[Isin code]],Table2[#All],8,FALSE)</f>
        <v>28-Oct-2025</v>
      </c>
      <c r="V1307" s="10">
        <f ca="1">Table1[[#This Row],[Maturity]]-TODAY()</f>
        <v>377</v>
      </c>
      <c r="W1307" t="str">
        <f>VLOOKUP(Table1[[#This Row],[Isin code]],Table2[#All],10,FALSE)</f>
        <v>At the End</v>
      </c>
      <c r="X1307">
        <f ca="1">_xlfn.DAYS(Table1[[#This Row],[Maturity]],TODAY())-15</f>
        <v>362</v>
      </c>
      <c r="Y130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7">
        <f>IF(Table1[[#This Row],[Ask Rate]]=0,0,Table1[[#This Row],[Face Value]]-Table1[[#This Row],[Ask Rate]])</f>
        <v>0</v>
      </c>
      <c r="AA130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7">
        <f>Table1[[#This Row],[Face Value]]*Table1[[#This Row],[Rate]]*Table1[[#This Row],[Time]]</f>
        <v>0</v>
      </c>
      <c r="AC1307">
        <f>Table1[[#This Row],[SI]]+Table1[[#This Row],[Disc/Prem]]</f>
        <v>0</v>
      </c>
      <c r="AD1307" s="3" t="e">
        <f>Table1[[#This Row],[Net Gain]]/Table1[[#This Row],[Ask Rate]]</f>
        <v>#DIV/0!</v>
      </c>
      <c r="AE1307" s="3">
        <f>IF(Table1[[#This Row],[Ask Qty]]=0,0,Table1[[#This Row],[Gross Yield]]*365/Table1[[#This Row],[Days Left]])</f>
        <v>0</v>
      </c>
      <c r="AF1307" s="9">
        <f>+Table1[[#This Row],[Net Gain]]*Table1[[#This Row],[Ask Qty]]</f>
        <v>0</v>
      </c>
      <c r="AG1307" t="str">
        <f>IF(Table1[[#This Row],[YTM]]&gt;0.12,IF(Table1[[#This Row],[Gross Profit]]&gt;10000,"Invest","Review"),"Low YTM")</f>
        <v>Low YTM</v>
      </c>
    </row>
    <row r="1308" spans="1:33" x14ac:dyDescent="0.3">
      <c r="A1308" t="str">
        <f>RTD("nest.scriprtd",,"bse_cm|KFL25B","Symbol")</f>
        <v>KFL25B</v>
      </c>
      <c r="B1308" t="str">
        <f>RTD("nest.scriprtd",,"bse_cm|KFL25B","Trading Symbol")</f>
        <v>KFL25B</v>
      </c>
      <c r="C1308" t="str">
        <f>RTD("nest.scriprtd",,"bse_cm|KFL25B","Exchange")</f>
        <v>BSE</v>
      </c>
      <c r="D1308">
        <f>RTD("nest.scriprtd",,"bse_cm|KFL25B","Bid Qty")</f>
        <v>25</v>
      </c>
      <c r="E1308">
        <f>RTD("nest.scriprtd",,"bse_cm|KFL25B","Bid Rate")</f>
        <v>1018.8</v>
      </c>
      <c r="F1308">
        <f>RTD("nest.scriprtd",,"bse_cm|KFL25B","Ask Rate")</f>
        <v>0</v>
      </c>
      <c r="G1308">
        <f>RTD("nest.scriprtd",,"bse_cm|KFL25B","Ask Qty")</f>
        <v>0</v>
      </c>
      <c r="H1308">
        <f>RTD("nest.scriprtd",,"bse_cm|KFL25B","LTP")</f>
        <v>0</v>
      </c>
      <c r="I1308" t="str">
        <f>RTD("nest.scriprtd",,"bse_cm|KFL25B","LTT")</f>
        <v>00:00:00</v>
      </c>
      <c r="J1308">
        <f>RTD("nest.scriprtd",,"bse_cm|KFL25B","% Change")</f>
        <v>-100</v>
      </c>
      <c r="K1308">
        <f>RTD("nest.scriprtd",,"bse_cm|KFL25B","ATP")</f>
        <v>0</v>
      </c>
      <c r="L1308">
        <f>RTD("nest.scriprtd",,"bse_cm|KFL25B","Volume Traded Today")</f>
        <v>0</v>
      </c>
      <c r="M1308">
        <f>RTD("nest.scriprtd",,"bse_cm|KFL25B","Open")</f>
        <v>0</v>
      </c>
      <c r="N1308">
        <f>RTD("nest.scriprtd",,"bse_cm|KFL25B","High")</f>
        <v>1127</v>
      </c>
      <c r="O1308">
        <f>RTD("nest.scriprtd",,"bse_cm|KFL25B","Low ")</f>
        <v>1127</v>
      </c>
      <c r="P1308">
        <f>RTD("nest.scriprtd",,"bse_cm|KFL25B","Prev Close")</f>
        <v>1127</v>
      </c>
      <c r="Q1308">
        <f>RTD("nest.scriprtd",,"bse_cm|KFL25B","Face Value")</f>
        <v>1000</v>
      </c>
      <c r="R1308" t="str">
        <f>RTD("nest.scriprtd",,"bse_cm|KFL25B","Isin code")</f>
        <v>INE403Q07DA5</v>
      </c>
      <c r="S1308" s="9">
        <f>Table1[[#This Row],[Ask Rate]]*Table1[[#This Row],[Ask Qty]]</f>
        <v>0</v>
      </c>
      <c r="T1308" t="str">
        <f>VLOOKUP(Table1[[#This Row],[Isin code]],Table2[#All],7,FALSE)</f>
        <v>--</v>
      </c>
      <c r="U1308" s="17" t="str">
        <f>VLOOKUP(Table1[[#This Row],[Isin code]],Table2[#All],8,FALSE)</f>
        <v>15-Jul-2025</v>
      </c>
      <c r="V1308" s="10">
        <f ca="1">Table1[[#This Row],[Maturity]]-TODAY()</f>
        <v>272</v>
      </c>
      <c r="W1308" t="str">
        <f>VLOOKUP(Table1[[#This Row],[Isin code]],Table2[#All],10,FALSE)</f>
        <v>At the End</v>
      </c>
      <c r="X1308">
        <f ca="1">_xlfn.DAYS(Table1[[#This Row],[Maturity]],TODAY())-15</f>
        <v>257</v>
      </c>
      <c r="Y130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8">
        <f>IF(Table1[[#This Row],[Ask Rate]]=0,0,Table1[[#This Row],[Face Value]]-Table1[[#This Row],[Ask Rate]])</f>
        <v>0</v>
      </c>
      <c r="AA130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8">
        <f>Table1[[#This Row],[Face Value]]*Table1[[#This Row],[Rate]]*Table1[[#This Row],[Time]]</f>
        <v>0</v>
      </c>
      <c r="AC1308">
        <f>Table1[[#This Row],[SI]]+Table1[[#This Row],[Disc/Prem]]</f>
        <v>0</v>
      </c>
      <c r="AD1308" s="3" t="e">
        <f>Table1[[#This Row],[Net Gain]]/Table1[[#This Row],[Ask Rate]]</f>
        <v>#DIV/0!</v>
      </c>
      <c r="AE1308" s="3">
        <f>IF(Table1[[#This Row],[Ask Qty]]=0,0,Table1[[#This Row],[Gross Yield]]*365/Table1[[#This Row],[Days Left]])</f>
        <v>0</v>
      </c>
      <c r="AF1308" s="9">
        <f>+Table1[[#This Row],[Net Gain]]*Table1[[#This Row],[Ask Qty]]</f>
        <v>0</v>
      </c>
      <c r="AG1308" t="str">
        <f>IF(Table1[[#This Row],[YTM]]&gt;0.12,IF(Table1[[#This Row],[Gross Profit]]&gt;10000,"Invest","Review"),"Low YTM")</f>
        <v>Low YTM</v>
      </c>
    </row>
    <row r="1309" spans="1:33" x14ac:dyDescent="0.3">
      <c r="A1309" t="str">
        <f>RTD("nest.scriprtd",,"bse_cm|KFL25","Symbol")</f>
        <v>KFL25</v>
      </c>
      <c r="B1309" t="str">
        <f>RTD("nest.scriprtd",,"bse_cm|KFL25","Trading Symbol")</f>
        <v>KFL25</v>
      </c>
      <c r="C1309" t="str">
        <f>RTD("nest.scriprtd",,"bse_cm|KFL25","Exchange")</f>
        <v>BSE</v>
      </c>
      <c r="D1309">
        <f>RTD("nest.scriprtd",,"bse_cm|KFL25","Bid Qty")</f>
        <v>46</v>
      </c>
      <c r="E1309">
        <f>RTD("nest.scriprtd",,"bse_cm|KFL25","Bid Rate")</f>
        <v>1365.01</v>
      </c>
      <c r="F1309">
        <f>RTD("nest.scriprtd",,"bse_cm|KFL25","Ask Rate")</f>
        <v>0</v>
      </c>
      <c r="G1309">
        <f>RTD("nest.scriprtd",,"bse_cm|KFL25","Ask Qty")</f>
        <v>0</v>
      </c>
      <c r="H1309">
        <f>RTD("nest.scriprtd",,"bse_cm|KFL25","LTP")</f>
        <v>0</v>
      </c>
      <c r="I1309" t="str">
        <f>RTD("nest.scriprtd",,"bse_cm|KFL25","LTT")</f>
        <v>00:00:00</v>
      </c>
      <c r="J1309">
        <f>RTD("nest.scriprtd",,"bse_cm|KFL25","% Change")</f>
        <v>-100</v>
      </c>
      <c r="K1309">
        <f>RTD("nest.scriprtd",,"bse_cm|KFL25","ATP")</f>
        <v>0</v>
      </c>
      <c r="L1309">
        <f>RTD("nest.scriprtd",,"bse_cm|KFL25","Volume Traded Today")</f>
        <v>0</v>
      </c>
      <c r="M1309">
        <f>RTD("nest.scriprtd",,"bse_cm|KFL25","Open")</f>
        <v>0</v>
      </c>
      <c r="N1309">
        <f>RTD("nest.scriprtd",,"bse_cm|KFL25","High")</f>
        <v>1424</v>
      </c>
      <c r="O1309">
        <f>RTD("nest.scriprtd",,"bse_cm|KFL25","Low ")</f>
        <v>1202.21</v>
      </c>
      <c r="P1309">
        <f>RTD("nest.scriprtd",,"bse_cm|KFL25","Prev Close")</f>
        <v>1202.21</v>
      </c>
      <c r="Q1309">
        <f>RTD("nest.scriprtd",,"bse_cm|KFL25","Face Value")</f>
        <v>1000</v>
      </c>
      <c r="R1309" t="str">
        <f>RTD("nest.scriprtd",,"bse_cm|KFL25","Isin code")</f>
        <v>INE403Q07BD3</v>
      </c>
      <c r="S1309" s="9">
        <f>Table1[[#This Row],[Ask Rate]]*Table1[[#This Row],[Ask Qty]]</f>
        <v>0</v>
      </c>
      <c r="T1309" t="str">
        <f>VLOOKUP(Table1[[#This Row],[Isin code]],Table2[#All],7,FALSE)</f>
        <v>--</v>
      </c>
      <c r="U1309" s="17" t="str">
        <f>VLOOKUP(Table1[[#This Row],[Isin code]],Table2[#All],8,FALSE)</f>
        <v>28-Nov-2025</v>
      </c>
      <c r="V1309" s="10">
        <f ca="1">Table1[[#This Row],[Maturity]]-TODAY()</f>
        <v>408</v>
      </c>
      <c r="W1309" t="str">
        <f>VLOOKUP(Table1[[#This Row],[Isin code]],Table2[#All],10,FALSE)</f>
        <v>At the End</v>
      </c>
      <c r="X1309">
        <f ca="1">_xlfn.DAYS(Table1[[#This Row],[Maturity]],TODAY())-15</f>
        <v>393</v>
      </c>
      <c r="Y130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09">
        <f>IF(Table1[[#This Row],[Ask Rate]]=0,0,Table1[[#This Row],[Face Value]]-Table1[[#This Row],[Ask Rate]])</f>
        <v>0</v>
      </c>
      <c r="AA130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09">
        <f>Table1[[#This Row],[Face Value]]*Table1[[#This Row],[Rate]]*Table1[[#This Row],[Time]]</f>
        <v>0</v>
      </c>
      <c r="AC1309">
        <f>Table1[[#This Row],[SI]]+Table1[[#This Row],[Disc/Prem]]</f>
        <v>0</v>
      </c>
      <c r="AD1309" s="3" t="e">
        <f>Table1[[#This Row],[Net Gain]]/Table1[[#This Row],[Ask Rate]]</f>
        <v>#DIV/0!</v>
      </c>
      <c r="AE1309" s="3">
        <f>IF(Table1[[#This Row],[Ask Qty]]=0,0,Table1[[#This Row],[Gross Yield]]*365/Table1[[#This Row],[Days Left]])</f>
        <v>0</v>
      </c>
      <c r="AF1309" s="9">
        <f>+Table1[[#This Row],[Net Gain]]*Table1[[#This Row],[Ask Qty]]</f>
        <v>0</v>
      </c>
      <c r="AG1309" t="str">
        <f>IF(Table1[[#This Row],[YTM]]&gt;0.12,IF(Table1[[#This Row],[Gross Profit]]&gt;10000,"Invest","Review"),"Low YTM")</f>
        <v>Low YTM</v>
      </c>
    </row>
    <row r="1310" spans="1:33" x14ac:dyDescent="0.3">
      <c r="A1310" t="str">
        <f>RTD("nest.scriprtd",,"bse_cm|KFL070824D","Symbol")</f>
        <v>KFL070824D</v>
      </c>
      <c r="B1310" t="str">
        <f>RTD("nest.scriprtd",,"bse_cm|KFL070824D","Trading Symbol")</f>
        <v>KFL070824D</v>
      </c>
      <c r="C1310" t="str">
        <f>RTD("nest.scriprtd",,"bse_cm|KFL070824D","Exchange")</f>
        <v>BSE</v>
      </c>
      <c r="D1310">
        <f>RTD("nest.scriprtd",,"bse_cm|KFL070824D","Bid Qty")</f>
        <v>54</v>
      </c>
      <c r="E1310">
        <f>RTD("nest.scriprtd",,"bse_cm|KFL070824D","Bid Rate")</f>
        <v>840.65</v>
      </c>
      <c r="F1310">
        <f>RTD("nest.scriprtd",,"bse_cm|KFL070824D","Ask Rate")</f>
        <v>0</v>
      </c>
      <c r="G1310">
        <f>RTD("nest.scriprtd",,"bse_cm|KFL070824D","Ask Qty")</f>
        <v>0</v>
      </c>
      <c r="H1310">
        <f>RTD("nest.scriprtd",,"bse_cm|KFL070824D","LTP")</f>
        <v>0</v>
      </c>
      <c r="I1310" t="str">
        <f>RTD("nest.scriprtd",,"bse_cm|KFL070824D","LTT")</f>
        <v>00:00:00</v>
      </c>
      <c r="J1310">
        <f>RTD("nest.scriprtd",,"bse_cm|KFL070824D","% Change")</f>
        <v>-100</v>
      </c>
      <c r="K1310">
        <f>RTD("nest.scriprtd",,"bse_cm|KFL070824D","ATP")</f>
        <v>0</v>
      </c>
      <c r="L1310">
        <f>RTD("nest.scriprtd",,"bse_cm|KFL070824D","Volume Traded Today")</f>
        <v>0</v>
      </c>
      <c r="M1310">
        <f>RTD("nest.scriprtd",,"bse_cm|KFL070824D","Open")</f>
        <v>0</v>
      </c>
      <c r="N1310">
        <f>RTD("nest.scriprtd",,"bse_cm|KFL070824D","High")</f>
        <v>0</v>
      </c>
      <c r="O1310">
        <f>RTD("nest.scriprtd",,"bse_cm|KFL070824D","Low ")</f>
        <v>0</v>
      </c>
      <c r="P1310">
        <f>RTD("nest.scriprtd",,"bse_cm|KFL070824D","Prev Close")</f>
        <v>1000</v>
      </c>
      <c r="Q1310">
        <f>RTD("nest.scriprtd",,"bse_cm|KFL070824D","Face Value")</f>
        <v>1000</v>
      </c>
      <c r="R1310" t="str">
        <f>RTD("nest.scriprtd",,"bse_cm|KFL070824D","Isin code")</f>
        <v>INE403Q07EO4</v>
      </c>
      <c r="S1310" s="9">
        <f>Table1[[#This Row],[Ask Rate]]*Table1[[#This Row],[Ask Qty]]</f>
        <v>0</v>
      </c>
      <c r="T1310" t="str">
        <f>VLOOKUP(Table1[[#This Row],[Isin code]],Table2[#All],7,FALSE)</f>
        <v>--</v>
      </c>
      <c r="U1310" s="17" t="str">
        <f>VLOOKUP(Table1[[#This Row],[Isin code]],Table2[#All],8,FALSE)</f>
        <v>06-Aug-2031</v>
      </c>
      <c r="V1310" s="10">
        <f ca="1">Table1[[#This Row],[Maturity]]-TODAY()</f>
        <v>2485</v>
      </c>
      <c r="W1310" t="str">
        <f>VLOOKUP(Table1[[#This Row],[Isin code]],Table2[#All],10,FALSE)</f>
        <v>CUMULATIVE</v>
      </c>
      <c r="X1310">
        <f ca="1">_xlfn.DAYS(Table1[[#This Row],[Maturity]],TODAY())-15</f>
        <v>2470</v>
      </c>
      <c r="Y131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0">
        <f>IF(Table1[[#This Row],[Ask Rate]]=0,0,Table1[[#This Row],[Face Value]]-Table1[[#This Row],[Ask Rate]])</f>
        <v>0</v>
      </c>
      <c r="AA131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0">
        <f>Table1[[#This Row],[Face Value]]*Table1[[#This Row],[Rate]]*Table1[[#This Row],[Time]]</f>
        <v>0</v>
      </c>
      <c r="AC1310">
        <f>Table1[[#This Row],[SI]]+Table1[[#This Row],[Disc/Prem]]</f>
        <v>0</v>
      </c>
      <c r="AD1310" s="3" t="e">
        <f>Table1[[#This Row],[Net Gain]]/Table1[[#This Row],[Ask Rate]]</f>
        <v>#DIV/0!</v>
      </c>
      <c r="AE1310" s="3">
        <f>IF(Table1[[#This Row],[Ask Qty]]=0,0,Table1[[#This Row],[Gross Yield]]*365/Table1[[#This Row],[Days Left]])</f>
        <v>0</v>
      </c>
      <c r="AF1310" s="9">
        <f>+Table1[[#This Row],[Net Gain]]*Table1[[#This Row],[Ask Qty]]</f>
        <v>0</v>
      </c>
      <c r="AG1310" t="str">
        <f>IF(Table1[[#This Row],[YTM]]&gt;0.12,IF(Table1[[#This Row],[Gross Profit]]&gt;10000,"Invest","Review"),"Low YTM")</f>
        <v>Low YTM</v>
      </c>
    </row>
    <row r="1311" spans="1:33" x14ac:dyDescent="0.3">
      <c r="A1311" t="str">
        <f>RTD("nest.scriprtd",,"bse_cm|KFL070824C","Symbol")</f>
        <v>KFL070824C</v>
      </c>
      <c r="B1311" t="str">
        <f>RTD("nest.scriprtd",,"bse_cm|KFL070824C","Trading Symbol")</f>
        <v>KFL070824C</v>
      </c>
      <c r="C1311" t="str">
        <f>RTD("nest.scriprtd",,"bse_cm|KFL070824C","Exchange")</f>
        <v>BSE</v>
      </c>
      <c r="D1311">
        <f>RTD("nest.scriprtd",,"bse_cm|KFL070824C","Bid Qty")</f>
        <v>27</v>
      </c>
      <c r="E1311">
        <f>RTD("nest.scriprtd",,"bse_cm|KFL070824C","Bid Rate")</f>
        <v>846.8</v>
      </c>
      <c r="F1311">
        <f>RTD("nest.scriprtd",,"bse_cm|KFL070824C","Ask Rate")</f>
        <v>0</v>
      </c>
      <c r="G1311">
        <f>RTD("nest.scriprtd",,"bse_cm|KFL070824C","Ask Qty")</f>
        <v>0</v>
      </c>
      <c r="H1311">
        <f>RTD("nest.scriprtd",,"bse_cm|KFL070824C","LTP")</f>
        <v>0</v>
      </c>
      <c r="I1311" t="str">
        <f>RTD("nest.scriprtd",,"bse_cm|KFL070824C","LTT")</f>
        <v>00:00:00</v>
      </c>
      <c r="J1311">
        <f>RTD("nest.scriprtd",,"bse_cm|KFL070824C","% Change")</f>
        <v>-100</v>
      </c>
      <c r="K1311">
        <f>RTD("nest.scriprtd",,"bse_cm|KFL070824C","ATP")</f>
        <v>0</v>
      </c>
      <c r="L1311">
        <f>RTD("nest.scriprtd",,"bse_cm|KFL070824C","Volume Traded Today")</f>
        <v>0</v>
      </c>
      <c r="M1311">
        <f>RTD("nest.scriprtd",,"bse_cm|KFL070824C","Open")</f>
        <v>0</v>
      </c>
      <c r="N1311">
        <f>RTD("nest.scriprtd",,"bse_cm|KFL070824C","High")</f>
        <v>0</v>
      </c>
      <c r="O1311">
        <f>RTD("nest.scriprtd",,"bse_cm|KFL070824C","Low ")</f>
        <v>0</v>
      </c>
      <c r="P1311">
        <f>RTD("nest.scriprtd",,"bse_cm|KFL070824C","Prev Close")</f>
        <v>1000</v>
      </c>
      <c r="Q1311">
        <f>RTD("nest.scriprtd",,"bse_cm|KFL070824C","Face Value")</f>
        <v>1000</v>
      </c>
      <c r="R1311" t="str">
        <f>RTD("nest.scriprtd",,"bse_cm|KFL070824C","Isin code")</f>
        <v>INE403Q07EP1</v>
      </c>
      <c r="S1311" s="9">
        <f>Table1[[#This Row],[Ask Rate]]*Table1[[#This Row],[Ask Qty]]</f>
        <v>0</v>
      </c>
      <c r="T1311" t="str">
        <f>VLOOKUP(Table1[[#This Row],[Isin code]],Table2[#All],7,FALSE)</f>
        <v>--</v>
      </c>
      <c r="U1311" s="17" t="str">
        <f>VLOOKUP(Table1[[#This Row],[Isin code]],Table2[#All],8,FALSE)</f>
        <v>06-Aug-2028</v>
      </c>
      <c r="V1311" s="10">
        <f ca="1">Table1[[#This Row],[Maturity]]-TODAY()</f>
        <v>1390</v>
      </c>
      <c r="W1311" t="str">
        <f>VLOOKUP(Table1[[#This Row],[Isin code]],Table2[#All],10,FALSE)</f>
        <v>CUMULATIVE</v>
      </c>
      <c r="X1311">
        <f ca="1">_xlfn.DAYS(Table1[[#This Row],[Maturity]],TODAY())-15</f>
        <v>1375</v>
      </c>
      <c r="Y131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1">
        <f>IF(Table1[[#This Row],[Ask Rate]]=0,0,Table1[[#This Row],[Face Value]]-Table1[[#This Row],[Ask Rate]])</f>
        <v>0</v>
      </c>
      <c r="AA131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1">
        <f>Table1[[#This Row],[Face Value]]*Table1[[#This Row],[Rate]]*Table1[[#This Row],[Time]]</f>
        <v>0</v>
      </c>
      <c r="AC1311">
        <f>Table1[[#This Row],[SI]]+Table1[[#This Row],[Disc/Prem]]</f>
        <v>0</v>
      </c>
      <c r="AD1311" s="3" t="e">
        <f>Table1[[#This Row],[Net Gain]]/Table1[[#This Row],[Ask Rate]]</f>
        <v>#DIV/0!</v>
      </c>
      <c r="AE1311" s="3">
        <f>IF(Table1[[#This Row],[Ask Qty]]=0,0,Table1[[#This Row],[Gross Yield]]*365/Table1[[#This Row],[Days Left]])</f>
        <v>0</v>
      </c>
      <c r="AF1311" s="9">
        <f>+Table1[[#This Row],[Net Gain]]*Table1[[#This Row],[Ask Qty]]</f>
        <v>0</v>
      </c>
      <c r="AG1311" t="str">
        <f>IF(Table1[[#This Row],[YTM]]&gt;0.12,IF(Table1[[#This Row],[Gross Profit]]&gt;10000,"Invest","Review"),"Low YTM")</f>
        <v>Low YTM</v>
      </c>
    </row>
    <row r="1312" spans="1:33" x14ac:dyDescent="0.3">
      <c r="A1312" t="str">
        <f>RTD("nest.scriprtd",,"bse_cm|KFL070824B","Symbol")</f>
        <v>KFL070824B</v>
      </c>
      <c r="B1312" t="str">
        <f>RTD("nest.scriprtd",,"bse_cm|KFL070824B","Trading Symbol")</f>
        <v>KFL070824B</v>
      </c>
      <c r="C1312" t="str">
        <f>RTD("nest.scriprtd",,"bse_cm|KFL070824B","Exchange")</f>
        <v>BSE</v>
      </c>
      <c r="D1312">
        <f>RTD("nest.scriprtd",,"bse_cm|KFL070824B","Bid Qty")</f>
        <v>25</v>
      </c>
      <c r="E1312">
        <f>RTD("nest.scriprtd",,"bse_cm|KFL070824B","Bid Rate")</f>
        <v>847.2</v>
      </c>
      <c r="F1312">
        <f>RTD("nest.scriprtd",,"bse_cm|KFL070824B","Ask Rate")</f>
        <v>0</v>
      </c>
      <c r="G1312">
        <f>RTD("nest.scriprtd",,"bse_cm|KFL070824B","Ask Qty")</f>
        <v>0</v>
      </c>
      <c r="H1312">
        <f>RTD("nest.scriprtd",,"bse_cm|KFL070824B","LTP")</f>
        <v>0</v>
      </c>
      <c r="I1312" t="str">
        <f>RTD("nest.scriprtd",,"bse_cm|KFL070824B","LTT")</f>
        <v>00:00:00</v>
      </c>
      <c r="J1312">
        <f>RTD("nest.scriprtd",,"bse_cm|KFL070824B","% Change")</f>
        <v>-100</v>
      </c>
      <c r="K1312">
        <f>RTD("nest.scriprtd",,"bse_cm|KFL070824B","ATP")</f>
        <v>0</v>
      </c>
      <c r="L1312">
        <f>RTD("nest.scriprtd",,"bse_cm|KFL070824B","Volume Traded Today")</f>
        <v>0</v>
      </c>
      <c r="M1312">
        <f>RTD("nest.scriprtd",,"bse_cm|KFL070824B","Open")</f>
        <v>0</v>
      </c>
      <c r="N1312">
        <f>RTD("nest.scriprtd",,"bse_cm|KFL070824B","High")</f>
        <v>0</v>
      </c>
      <c r="O1312">
        <f>RTD("nest.scriprtd",,"bse_cm|KFL070824B","Low ")</f>
        <v>0</v>
      </c>
      <c r="P1312">
        <f>RTD("nest.scriprtd",,"bse_cm|KFL070824B","Prev Close")</f>
        <v>1000</v>
      </c>
      <c r="Q1312">
        <f>RTD("nest.scriprtd",,"bse_cm|KFL070824B","Face Value")</f>
        <v>1000</v>
      </c>
      <c r="R1312" t="str">
        <f>RTD("nest.scriprtd",,"bse_cm|KFL070824B","Isin code")</f>
        <v>INE403Q07ER7</v>
      </c>
      <c r="S1312" s="9">
        <f>Table1[[#This Row],[Ask Rate]]*Table1[[#This Row],[Ask Qty]]</f>
        <v>0</v>
      </c>
      <c r="T1312" t="str">
        <f>VLOOKUP(Table1[[#This Row],[Isin code]],Table2[#All],7,FALSE)</f>
        <v>--</v>
      </c>
      <c r="U1312" s="17" t="str">
        <f>VLOOKUP(Table1[[#This Row],[Isin code]],Table2[#All],8,FALSE)</f>
        <v>06-Nov-2027</v>
      </c>
      <c r="V1312" s="10">
        <f ca="1">Table1[[#This Row],[Maturity]]-TODAY()</f>
        <v>1116</v>
      </c>
      <c r="W1312" t="str">
        <f>VLOOKUP(Table1[[#This Row],[Isin code]],Table2[#All],10,FALSE)</f>
        <v>CUMULATIVE</v>
      </c>
      <c r="X1312">
        <f ca="1">_xlfn.DAYS(Table1[[#This Row],[Maturity]],TODAY())-15</f>
        <v>1101</v>
      </c>
      <c r="Y131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2">
        <f>IF(Table1[[#This Row],[Ask Rate]]=0,0,Table1[[#This Row],[Face Value]]-Table1[[#This Row],[Ask Rate]])</f>
        <v>0</v>
      </c>
      <c r="AA131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2">
        <f>Table1[[#This Row],[Face Value]]*Table1[[#This Row],[Rate]]*Table1[[#This Row],[Time]]</f>
        <v>0</v>
      </c>
      <c r="AC1312">
        <f>Table1[[#This Row],[SI]]+Table1[[#This Row],[Disc/Prem]]</f>
        <v>0</v>
      </c>
      <c r="AD1312" s="3" t="e">
        <f>Table1[[#This Row],[Net Gain]]/Table1[[#This Row],[Ask Rate]]</f>
        <v>#DIV/0!</v>
      </c>
      <c r="AE1312" s="3">
        <f>IF(Table1[[#This Row],[Ask Qty]]=0,0,Table1[[#This Row],[Gross Yield]]*365/Table1[[#This Row],[Days Left]])</f>
        <v>0</v>
      </c>
      <c r="AF1312" s="9">
        <f>+Table1[[#This Row],[Net Gain]]*Table1[[#This Row],[Ask Qty]]</f>
        <v>0</v>
      </c>
      <c r="AG1312" t="str">
        <f>IF(Table1[[#This Row],[YTM]]&gt;0.12,IF(Table1[[#This Row],[Gross Profit]]&gt;10000,"Invest","Review"),"Low YTM")</f>
        <v>Low YTM</v>
      </c>
    </row>
    <row r="1313" spans="1:33" x14ac:dyDescent="0.3">
      <c r="A1313" t="str">
        <f>RTD("nest.scriprtd",,"bse_cm|KFL070824A","Symbol")</f>
        <v>KFL070824A</v>
      </c>
      <c r="B1313" t="str">
        <f>RTD("nest.scriprtd",,"bse_cm|KFL070824A","Trading Symbol")</f>
        <v>KFL070824A</v>
      </c>
      <c r="C1313" t="str">
        <f>RTD("nest.scriprtd",,"bse_cm|KFL070824A","Exchange")</f>
        <v>BSE</v>
      </c>
      <c r="D1313">
        <f>RTD("nest.scriprtd",,"bse_cm|KFL070824A","Bid Qty")</f>
        <v>23</v>
      </c>
      <c r="E1313">
        <f>RTD("nest.scriprtd",,"bse_cm|KFL070824A","Bid Rate")</f>
        <v>850.25</v>
      </c>
      <c r="F1313">
        <f>RTD("nest.scriprtd",,"bse_cm|KFL070824A","Ask Rate")</f>
        <v>0</v>
      </c>
      <c r="G1313">
        <f>RTD("nest.scriprtd",,"bse_cm|KFL070824A","Ask Qty")</f>
        <v>0</v>
      </c>
      <c r="H1313">
        <f>RTD("nest.scriprtd",,"bse_cm|KFL070824A","LTP")</f>
        <v>0</v>
      </c>
      <c r="I1313" t="str">
        <f>RTD("nest.scriprtd",,"bse_cm|KFL070824A","LTT")</f>
        <v>00:00:00</v>
      </c>
      <c r="J1313">
        <f>RTD("nest.scriprtd",,"bse_cm|KFL070824A","% Change")</f>
        <v>-100</v>
      </c>
      <c r="K1313">
        <f>RTD("nest.scriprtd",,"bse_cm|KFL070824A","ATP")</f>
        <v>0</v>
      </c>
      <c r="L1313">
        <f>RTD("nest.scriprtd",,"bse_cm|KFL070824A","Volume Traded Today")</f>
        <v>0</v>
      </c>
      <c r="M1313">
        <f>RTD("nest.scriprtd",,"bse_cm|KFL070824A","Open")</f>
        <v>0</v>
      </c>
      <c r="N1313">
        <f>RTD("nest.scriprtd",,"bse_cm|KFL070824A","High")</f>
        <v>0</v>
      </c>
      <c r="O1313">
        <f>RTD("nest.scriprtd",,"bse_cm|KFL070824A","Low ")</f>
        <v>0</v>
      </c>
      <c r="P1313">
        <f>RTD("nest.scriprtd",,"bse_cm|KFL070824A","Prev Close")</f>
        <v>1000</v>
      </c>
      <c r="Q1313">
        <f>RTD("nest.scriprtd",,"bse_cm|KFL070824A","Face Value")</f>
        <v>1000</v>
      </c>
      <c r="R1313" t="str">
        <f>RTD("nest.scriprtd",,"bse_cm|KFL070824A","Isin code")</f>
        <v>INE403Q07EQ9</v>
      </c>
      <c r="S1313" s="9">
        <f>Table1[[#This Row],[Ask Rate]]*Table1[[#This Row],[Ask Qty]]</f>
        <v>0</v>
      </c>
      <c r="T1313" t="str">
        <f>VLOOKUP(Table1[[#This Row],[Isin code]],Table2[#All],7,FALSE)</f>
        <v>--</v>
      </c>
      <c r="U1313" s="17" t="str">
        <f>VLOOKUP(Table1[[#This Row],[Isin code]],Table2[#All],8,FALSE)</f>
        <v>06-Feb-2027</v>
      </c>
      <c r="V1313" s="10">
        <f ca="1">Table1[[#This Row],[Maturity]]-TODAY()</f>
        <v>843</v>
      </c>
      <c r="W1313" t="str">
        <f>VLOOKUP(Table1[[#This Row],[Isin code]],Table2[#All],10,FALSE)</f>
        <v>CUMULATIVE</v>
      </c>
      <c r="X1313">
        <f ca="1">_xlfn.DAYS(Table1[[#This Row],[Maturity]],TODAY())-15</f>
        <v>828</v>
      </c>
      <c r="Y131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3">
        <f>IF(Table1[[#This Row],[Ask Rate]]=0,0,Table1[[#This Row],[Face Value]]-Table1[[#This Row],[Ask Rate]])</f>
        <v>0</v>
      </c>
      <c r="AA131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3">
        <f>Table1[[#This Row],[Face Value]]*Table1[[#This Row],[Rate]]*Table1[[#This Row],[Time]]</f>
        <v>0</v>
      </c>
      <c r="AC1313">
        <f>Table1[[#This Row],[SI]]+Table1[[#This Row],[Disc/Prem]]</f>
        <v>0</v>
      </c>
      <c r="AD1313" s="3" t="e">
        <f>Table1[[#This Row],[Net Gain]]/Table1[[#This Row],[Ask Rate]]</f>
        <v>#DIV/0!</v>
      </c>
      <c r="AE1313" s="3">
        <f>IF(Table1[[#This Row],[Ask Qty]]=0,0,Table1[[#This Row],[Gross Yield]]*365/Table1[[#This Row],[Days Left]])</f>
        <v>0</v>
      </c>
      <c r="AF1313" s="9">
        <f>+Table1[[#This Row],[Net Gain]]*Table1[[#This Row],[Ask Qty]]</f>
        <v>0</v>
      </c>
      <c r="AG1313" t="str">
        <f>IF(Table1[[#This Row],[YTM]]&gt;0.12,IF(Table1[[#This Row],[Gross Profit]]&gt;10000,"Invest","Review"),"Low YTM")</f>
        <v>Low YTM</v>
      </c>
    </row>
    <row r="1314" spans="1:33" x14ac:dyDescent="0.3">
      <c r="A1314" t="str">
        <f>RTD("nest.scriprtd",,"bse_cm|KAFLZC30","Symbol")</f>
        <v>KAFLZC30</v>
      </c>
      <c r="B1314" t="str">
        <f>RTD("nest.scriprtd",,"bse_cm|KAFLZC30","Trading Symbol")</f>
        <v>KAFLZC30</v>
      </c>
      <c r="C1314" t="str">
        <f>RTD("nest.scriprtd",,"bse_cm|KAFLZC30","Exchange")</f>
        <v>BSE</v>
      </c>
      <c r="D1314">
        <f>RTD("nest.scriprtd",,"bse_cm|KAFLZC30","Bid Qty")</f>
        <v>20</v>
      </c>
      <c r="E1314">
        <f>RTD("nest.scriprtd",,"bse_cm|KAFLZC30","Bid Rate")</f>
        <v>863.95</v>
      </c>
      <c r="F1314">
        <f>RTD("nest.scriprtd",,"bse_cm|KAFLZC30","Ask Rate")</f>
        <v>0</v>
      </c>
      <c r="G1314">
        <f>RTD("nest.scriprtd",,"bse_cm|KAFLZC30","Ask Qty")</f>
        <v>0</v>
      </c>
      <c r="H1314">
        <f>RTD("nest.scriprtd",,"bse_cm|KAFLZC30","LTP")</f>
        <v>0</v>
      </c>
      <c r="I1314" t="str">
        <f>RTD("nest.scriprtd",,"bse_cm|KAFLZC30","LTT")</f>
        <v>00:00:00</v>
      </c>
      <c r="J1314">
        <f>RTD("nest.scriprtd",,"bse_cm|KAFLZC30","% Change")</f>
        <v>-100</v>
      </c>
      <c r="K1314">
        <f>RTD("nest.scriprtd",,"bse_cm|KAFLZC30","ATP")</f>
        <v>0</v>
      </c>
      <c r="L1314">
        <f>RTD("nest.scriprtd",,"bse_cm|KAFLZC30","Volume Traded Today")</f>
        <v>0</v>
      </c>
      <c r="M1314">
        <f>RTD("nest.scriprtd",,"bse_cm|KAFLZC30","Open")</f>
        <v>0</v>
      </c>
      <c r="N1314">
        <f>RTD("nest.scriprtd",,"bse_cm|KAFLZC30","High")</f>
        <v>1000</v>
      </c>
      <c r="O1314">
        <f>RTD("nest.scriprtd",,"bse_cm|KAFLZC30","Low ")</f>
        <v>1000</v>
      </c>
      <c r="P1314">
        <f>RTD("nest.scriprtd",,"bse_cm|KAFLZC30","Prev Close")</f>
        <v>1000</v>
      </c>
      <c r="Q1314">
        <f>RTD("nest.scriprtd",,"bse_cm|KAFLZC30","Face Value")</f>
        <v>1000</v>
      </c>
      <c r="R1314" t="str">
        <f>RTD("nest.scriprtd",,"bse_cm|KAFLZC30","Isin code")</f>
        <v>INE01I507752</v>
      </c>
      <c r="S1314" s="9">
        <f>Table1[[#This Row],[Ask Rate]]*Table1[[#This Row],[Ask Qty]]</f>
        <v>0</v>
      </c>
      <c r="T1314" t="str">
        <f>VLOOKUP(Table1[[#This Row],[Isin code]],Table2[#All],7,FALSE)</f>
        <v>--</v>
      </c>
      <c r="U1314" s="17" t="str">
        <f>VLOOKUP(Table1[[#This Row],[Isin code]],Table2[#All],8,FALSE)</f>
        <v>09-Jan-2030</v>
      </c>
      <c r="V1314" s="10">
        <f ca="1">Table1[[#This Row],[Maturity]]-TODAY()</f>
        <v>1911</v>
      </c>
      <c r="W1314" t="str">
        <f>VLOOKUP(Table1[[#This Row],[Isin code]],Table2[#All],10,FALSE)</f>
        <v>At the End</v>
      </c>
      <c r="X1314">
        <f ca="1">_xlfn.DAYS(Table1[[#This Row],[Maturity]],TODAY())-15</f>
        <v>1896</v>
      </c>
      <c r="Y131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4">
        <f>IF(Table1[[#This Row],[Ask Rate]]=0,0,Table1[[#This Row],[Face Value]]-Table1[[#This Row],[Ask Rate]])</f>
        <v>0</v>
      </c>
      <c r="AA131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4">
        <f>Table1[[#This Row],[Face Value]]*Table1[[#This Row],[Rate]]*Table1[[#This Row],[Time]]</f>
        <v>0</v>
      </c>
      <c r="AC1314">
        <f>Table1[[#This Row],[SI]]+Table1[[#This Row],[Disc/Prem]]</f>
        <v>0</v>
      </c>
      <c r="AD1314" s="3" t="e">
        <f>Table1[[#This Row],[Net Gain]]/Table1[[#This Row],[Ask Rate]]</f>
        <v>#DIV/0!</v>
      </c>
      <c r="AE1314" s="3">
        <f>IF(Table1[[#This Row],[Ask Qty]]=0,0,Table1[[#This Row],[Gross Yield]]*365/Table1[[#This Row],[Days Left]])</f>
        <v>0</v>
      </c>
      <c r="AF1314" s="9">
        <f>+Table1[[#This Row],[Net Gain]]*Table1[[#This Row],[Ask Qty]]</f>
        <v>0</v>
      </c>
      <c r="AG1314" t="str">
        <f>IF(Table1[[#This Row],[YTM]]&gt;0.12,IF(Table1[[#This Row],[Gross Profit]]&gt;10000,"Invest","Review"),"Low YTM")</f>
        <v>Low YTM</v>
      </c>
    </row>
    <row r="1315" spans="1:33" x14ac:dyDescent="0.3">
      <c r="A1315" t="str">
        <f>RTD("nest.scriprtd",,"bse_cm|KAFLZC28","Symbol")</f>
        <v>KAFLZC28</v>
      </c>
      <c r="B1315" t="str">
        <f>RTD("nest.scriprtd",,"bse_cm|KAFLZC28","Trading Symbol")</f>
        <v>KAFLZC28</v>
      </c>
      <c r="C1315" t="str">
        <f>RTD("nest.scriprtd",,"bse_cm|KAFLZC28","Exchange")</f>
        <v>BSE</v>
      </c>
      <c r="D1315">
        <f>RTD("nest.scriprtd",,"bse_cm|KAFLZC28","Bid Qty")</f>
        <v>20</v>
      </c>
      <c r="E1315">
        <f>RTD("nest.scriprtd",,"bse_cm|KAFLZC28","Bid Rate")</f>
        <v>975.8</v>
      </c>
      <c r="F1315">
        <f>RTD("nest.scriprtd",,"bse_cm|KAFLZC28","Ask Rate")</f>
        <v>0</v>
      </c>
      <c r="G1315">
        <f>RTD("nest.scriprtd",,"bse_cm|KAFLZC28","Ask Qty")</f>
        <v>0</v>
      </c>
      <c r="H1315">
        <f>RTD("nest.scriprtd",,"bse_cm|KAFLZC28","LTP")</f>
        <v>0</v>
      </c>
      <c r="I1315" t="str">
        <f>RTD("nest.scriprtd",,"bse_cm|KAFLZC28","LTT")</f>
        <v>00:00:00</v>
      </c>
      <c r="J1315">
        <f>RTD("nest.scriprtd",,"bse_cm|KAFLZC28","% Change")</f>
        <v>-100</v>
      </c>
      <c r="K1315">
        <f>RTD("nest.scriprtd",,"bse_cm|KAFLZC28","ATP")</f>
        <v>0</v>
      </c>
      <c r="L1315">
        <f>RTD("nest.scriprtd",,"bse_cm|KAFLZC28","Volume Traded Today")</f>
        <v>0</v>
      </c>
      <c r="M1315">
        <f>RTD("nest.scriprtd",,"bse_cm|KAFLZC28","Open")</f>
        <v>0</v>
      </c>
      <c r="N1315">
        <f>RTD("nest.scriprtd",,"bse_cm|KAFLZC28","High")</f>
        <v>1105</v>
      </c>
      <c r="O1315">
        <f>RTD("nest.scriprtd",,"bse_cm|KAFLZC28","Low ")</f>
        <v>1105</v>
      </c>
      <c r="P1315">
        <f>RTD("nest.scriprtd",,"bse_cm|KAFLZC28","Prev Close")</f>
        <v>1105</v>
      </c>
      <c r="Q1315">
        <f>RTD("nest.scriprtd",,"bse_cm|KAFLZC28","Face Value")</f>
        <v>1000</v>
      </c>
      <c r="R1315" t="str">
        <f>RTD("nest.scriprtd",,"bse_cm|KAFLZC28","Isin code")</f>
        <v>INE01I507596</v>
      </c>
      <c r="S1315" s="9">
        <f>Table1[[#This Row],[Ask Rate]]*Table1[[#This Row],[Ask Qty]]</f>
        <v>0</v>
      </c>
      <c r="T1315" t="str">
        <f>VLOOKUP(Table1[[#This Row],[Isin code]],Table2[#All],7,FALSE)</f>
        <v>--</v>
      </c>
      <c r="U1315" s="17" t="str">
        <f>VLOOKUP(Table1[[#This Row],[Isin code]],Table2[#All],8,FALSE)</f>
        <v>16-Nov-2028</v>
      </c>
      <c r="V1315" s="10">
        <f ca="1">Table1[[#This Row],[Maturity]]-TODAY()</f>
        <v>1492</v>
      </c>
      <c r="W1315" t="str">
        <f>VLOOKUP(Table1[[#This Row],[Isin code]],Table2[#All],10,FALSE)</f>
        <v>At the End</v>
      </c>
      <c r="X1315">
        <f ca="1">_xlfn.DAYS(Table1[[#This Row],[Maturity]],TODAY())-15</f>
        <v>1477</v>
      </c>
      <c r="Y131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5">
        <f>IF(Table1[[#This Row],[Ask Rate]]=0,0,Table1[[#This Row],[Face Value]]-Table1[[#This Row],[Ask Rate]])</f>
        <v>0</v>
      </c>
      <c r="AA131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5">
        <f>Table1[[#This Row],[Face Value]]*Table1[[#This Row],[Rate]]*Table1[[#This Row],[Time]]</f>
        <v>0</v>
      </c>
      <c r="AC1315">
        <f>Table1[[#This Row],[SI]]+Table1[[#This Row],[Disc/Prem]]</f>
        <v>0</v>
      </c>
      <c r="AD1315" s="3" t="e">
        <f>Table1[[#This Row],[Net Gain]]/Table1[[#This Row],[Ask Rate]]</f>
        <v>#DIV/0!</v>
      </c>
      <c r="AE1315" s="3">
        <f>IF(Table1[[#This Row],[Ask Qty]]=0,0,Table1[[#This Row],[Gross Yield]]*365/Table1[[#This Row],[Days Left]])</f>
        <v>0</v>
      </c>
      <c r="AF1315" s="9">
        <f>+Table1[[#This Row],[Net Gain]]*Table1[[#This Row],[Ask Qty]]</f>
        <v>0</v>
      </c>
      <c r="AG1315" t="str">
        <f>IF(Table1[[#This Row],[YTM]]&gt;0.12,IF(Table1[[#This Row],[Gross Profit]]&gt;10000,"Invest","Review"),"Low YTM")</f>
        <v>Low YTM</v>
      </c>
    </row>
    <row r="1316" spans="1:33" x14ac:dyDescent="0.3">
      <c r="A1316" t="str">
        <f>RTD("nest.scriprtd",,"bse_cm|KAFLZC26","Symbol")</f>
        <v>KAFLZC26</v>
      </c>
      <c r="B1316" t="str">
        <f>RTD("nest.scriprtd",,"bse_cm|KAFLZC26","Trading Symbol")</f>
        <v>KAFLZC26</v>
      </c>
      <c r="C1316" t="str">
        <f>RTD("nest.scriprtd",,"bse_cm|KAFLZC26","Exchange")</f>
        <v>BSE</v>
      </c>
      <c r="D1316">
        <f>RTD("nest.scriprtd",,"bse_cm|KAFLZC26","Bid Qty")</f>
        <v>24</v>
      </c>
      <c r="E1316">
        <f>RTD("nest.scriprtd",,"bse_cm|KAFLZC26","Bid Rate")</f>
        <v>1457.41</v>
      </c>
      <c r="F1316">
        <f>RTD("nest.scriprtd",,"bse_cm|KAFLZC26","Ask Rate")</f>
        <v>0</v>
      </c>
      <c r="G1316">
        <f>RTD("nest.scriprtd",,"bse_cm|KAFLZC26","Ask Qty")</f>
        <v>0</v>
      </c>
      <c r="H1316">
        <f>RTD("nest.scriprtd",,"bse_cm|KAFLZC26","LTP")</f>
        <v>0</v>
      </c>
      <c r="I1316" t="str">
        <f>RTD("nest.scriprtd",,"bse_cm|KAFLZC26","LTT")</f>
        <v>00:00:00</v>
      </c>
      <c r="J1316">
        <f>RTD("nest.scriprtd",,"bse_cm|KAFLZC26","% Change")</f>
        <v>-100</v>
      </c>
      <c r="K1316">
        <f>RTD("nest.scriprtd",,"bse_cm|KAFLZC26","ATP")</f>
        <v>0</v>
      </c>
      <c r="L1316">
        <f>RTD("nest.scriprtd",,"bse_cm|KAFLZC26","Volume Traded Today")</f>
        <v>0</v>
      </c>
      <c r="M1316">
        <f>RTD("nest.scriprtd",,"bse_cm|KAFLZC26","Open")</f>
        <v>0</v>
      </c>
      <c r="N1316">
        <f>RTD("nest.scriprtd",,"bse_cm|KAFLZC26","High")</f>
        <v>1657</v>
      </c>
      <c r="O1316">
        <f>RTD("nest.scriprtd",,"bse_cm|KAFLZC26","Low ")</f>
        <v>1612.18</v>
      </c>
      <c r="P1316">
        <f>RTD("nest.scriprtd",,"bse_cm|KAFLZC26","Prev Close")</f>
        <v>1657</v>
      </c>
      <c r="Q1316">
        <f>RTD("nest.scriprtd",,"bse_cm|KAFLZC26","Face Value")</f>
        <v>1000</v>
      </c>
      <c r="R1316" t="str">
        <f>RTD("nest.scriprtd",,"bse_cm|KAFLZC26","Isin code")</f>
        <v>INE01I507190</v>
      </c>
      <c r="S1316" s="9">
        <f>Table1[[#This Row],[Ask Rate]]*Table1[[#This Row],[Ask Qty]]</f>
        <v>0</v>
      </c>
      <c r="T1316" t="str">
        <f>VLOOKUP(Table1[[#This Row],[Isin code]],Table2[#All],7,FALSE)</f>
        <v>--</v>
      </c>
      <c r="U1316" s="17" t="str">
        <f>VLOOKUP(Table1[[#This Row],[Isin code]],Table2[#All],8,FALSE)</f>
        <v>02-Jan-2026</v>
      </c>
      <c r="V1316" s="10">
        <f ca="1">Table1[[#This Row],[Maturity]]-TODAY()</f>
        <v>443</v>
      </c>
      <c r="W1316" t="str">
        <f>VLOOKUP(Table1[[#This Row],[Isin code]],Table2[#All],10,FALSE)</f>
        <v>At the End</v>
      </c>
      <c r="X1316">
        <f ca="1">_xlfn.DAYS(Table1[[#This Row],[Maturity]],TODAY())-15</f>
        <v>428</v>
      </c>
      <c r="Y131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6">
        <f>IF(Table1[[#This Row],[Ask Rate]]=0,0,Table1[[#This Row],[Face Value]]-Table1[[#This Row],[Ask Rate]])</f>
        <v>0</v>
      </c>
      <c r="AA131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6">
        <f>Table1[[#This Row],[Face Value]]*Table1[[#This Row],[Rate]]*Table1[[#This Row],[Time]]</f>
        <v>0</v>
      </c>
      <c r="AC1316">
        <f>Table1[[#This Row],[SI]]+Table1[[#This Row],[Disc/Prem]]</f>
        <v>0</v>
      </c>
      <c r="AD1316" s="3" t="e">
        <f>Table1[[#This Row],[Net Gain]]/Table1[[#This Row],[Ask Rate]]</f>
        <v>#DIV/0!</v>
      </c>
      <c r="AE1316" s="3">
        <f>IF(Table1[[#This Row],[Ask Qty]]=0,0,Table1[[#This Row],[Gross Yield]]*365/Table1[[#This Row],[Days Left]])</f>
        <v>0</v>
      </c>
      <c r="AF1316" s="9">
        <f>+Table1[[#This Row],[Net Gain]]*Table1[[#This Row],[Ask Qty]]</f>
        <v>0</v>
      </c>
      <c r="AG1316" t="str">
        <f>IF(Table1[[#This Row],[YTM]]&gt;0.12,IF(Table1[[#This Row],[Gross Profit]]&gt;10000,"Invest","Review"),"Low YTM")</f>
        <v>Low YTM</v>
      </c>
    </row>
    <row r="1317" spans="1:33" x14ac:dyDescent="0.3">
      <c r="A1317" t="str">
        <f>RTD("nest.scriprtd",,"bse_cm|KAFL30","Symbol")</f>
        <v>KAFL30</v>
      </c>
      <c r="B1317" t="str">
        <f>RTD("nest.scriprtd",,"bse_cm|KAFL30","Trading Symbol")</f>
        <v>KAFL30</v>
      </c>
      <c r="C1317" t="str">
        <f>RTD("nest.scriprtd",,"bse_cm|KAFL30","Exchange")</f>
        <v>BSE</v>
      </c>
      <c r="D1317">
        <f>RTD("nest.scriprtd",,"bse_cm|KAFL30","Bid Qty")</f>
        <v>20</v>
      </c>
      <c r="E1317">
        <f>RTD("nest.scriprtd",,"bse_cm|KAFL30","Bid Rate")</f>
        <v>875.2</v>
      </c>
      <c r="F1317">
        <f>RTD("nest.scriprtd",,"bse_cm|KAFL30","Ask Rate")</f>
        <v>0</v>
      </c>
      <c r="G1317">
        <f>RTD("nest.scriprtd",,"bse_cm|KAFL30","Ask Qty")</f>
        <v>0</v>
      </c>
      <c r="H1317">
        <f>RTD("nest.scriprtd",,"bse_cm|KAFL30","LTP")</f>
        <v>0</v>
      </c>
      <c r="I1317" t="str">
        <f>RTD("nest.scriprtd",,"bse_cm|KAFL30","LTT")</f>
        <v>00:00:00</v>
      </c>
      <c r="J1317">
        <f>RTD("nest.scriprtd",,"bse_cm|KAFL30","% Change")</f>
        <v>-100</v>
      </c>
      <c r="K1317">
        <f>RTD("nest.scriprtd",,"bse_cm|KAFL30","ATP")</f>
        <v>0</v>
      </c>
      <c r="L1317">
        <f>RTD("nest.scriprtd",,"bse_cm|KAFL30","Volume Traded Today")</f>
        <v>0</v>
      </c>
      <c r="M1317">
        <f>RTD("nest.scriprtd",,"bse_cm|KAFL30","Open")</f>
        <v>0</v>
      </c>
      <c r="N1317">
        <f>RTD("nest.scriprtd",,"bse_cm|KAFL30","High")</f>
        <v>0</v>
      </c>
      <c r="O1317">
        <f>RTD("nest.scriprtd",,"bse_cm|KAFL30","Low ")</f>
        <v>0</v>
      </c>
      <c r="P1317">
        <f>RTD("nest.scriprtd",,"bse_cm|KAFL30","Prev Close")</f>
        <v>1000</v>
      </c>
      <c r="Q1317">
        <f>RTD("nest.scriprtd",,"bse_cm|KAFL30","Face Value")</f>
        <v>1000</v>
      </c>
      <c r="R1317" t="str">
        <f>RTD("nest.scriprtd",,"bse_cm|KAFL30","Isin code")</f>
        <v>INE01I507810</v>
      </c>
      <c r="S1317" s="9">
        <f>Table1[[#This Row],[Ask Rate]]*Table1[[#This Row],[Ask Qty]]</f>
        <v>0</v>
      </c>
      <c r="T1317" t="str">
        <f>VLOOKUP(Table1[[#This Row],[Isin code]],Table2[#All],7,FALSE)</f>
        <v>--</v>
      </c>
      <c r="U1317" s="17" t="str">
        <f>VLOOKUP(Table1[[#This Row],[Isin code]],Table2[#All],8,FALSE)</f>
        <v>15-Jul-2030</v>
      </c>
      <c r="V1317" s="10">
        <f ca="1">Table1[[#This Row],[Maturity]]-TODAY()</f>
        <v>2098</v>
      </c>
      <c r="W1317" t="str">
        <f>VLOOKUP(Table1[[#This Row],[Isin code]],Table2[#All],10,FALSE)</f>
        <v>At the End</v>
      </c>
      <c r="X1317">
        <f ca="1">_xlfn.DAYS(Table1[[#This Row],[Maturity]],TODAY())-15</f>
        <v>2083</v>
      </c>
      <c r="Y131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7">
        <f>IF(Table1[[#This Row],[Ask Rate]]=0,0,Table1[[#This Row],[Face Value]]-Table1[[#This Row],[Ask Rate]])</f>
        <v>0</v>
      </c>
      <c r="AA131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7">
        <f>Table1[[#This Row],[Face Value]]*Table1[[#This Row],[Rate]]*Table1[[#This Row],[Time]]</f>
        <v>0</v>
      </c>
      <c r="AC1317">
        <f>Table1[[#This Row],[SI]]+Table1[[#This Row],[Disc/Prem]]</f>
        <v>0</v>
      </c>
      <c r="AD1317" s="3" t="e">
        <f>Table1[[#This Row],[Net Gain]]/Table1[[#This Row],[Ask Rate]]</f>
        <v>#DIV/0!</v>
      </c>
      <c r="AE1317" s="3">
        <f>IF(Table1[[#This Row],[Ask Qty]]=0,0,Table1[[#This Row],[Gross Yield]]*365/Table1[[#This Row],[Days Left]])</f>
        <v>0</v>
      </c>
      <c r="AF1317" s="9">
        <f>+Table1[[#This Row],[Net Gain]]*Table1[[#This Row],[Ask Qty]]</f>
        <v>0</v>
      </c>
      <c r="AG1317" t="str">
        <f>IF(Table1[[#This Row],[YTM]]&gt;0.12,IF(Table1[[#This Row],[Gross Profit]]&gt;10000,"Invest","Review"),"Low YTM")</f>
        <v>Low YTM</v>
      </c>
    </row>
    <row r="1318" spans="1:33" x14ac:dyDescent="0.3">
      <c r="A1318" t="str">
        <f>RTD("nest.scriprtd",,"bse_cm|KAFL29","Symbol")</f>
        <v>KAFL29</v>
      </c>
      <c r="B1318" t="str">
        <f>RTD("nest.scriprtd",,"bse_cm|KAFL29","Trading Symbol")</f>
        <v>KAFL29</v>
      </c>
      <c r="C1318" t="str">
        <f>RTD("nest.scriprtd",,"bse_cm|KAFL29","Exchange")</f>
        <v>BSE</v>
      </c>
      <c r="D1318">
        <f>RTD("nest.scriprtd",,"bse_cm|KAFL29","Bid Qty")</f>
        <v>25</v>
      </c>
      <c r="E1318">
        <f>RTD("nest.scriprtd",,"bse_cm|KAFL29","Bid Rate")</f>
        <v>905.2</v>
      </c>
      <c r="F1318">
        <f>RTD("nest.scriprtd",,"bse_cm|KAFL29","Ask Rate")</f>
        <v>0</v>
      </c>
      <c r="G1318">
        <f>RTD("nest.scriprtd",,"bse_cm|KAFL29","Ask Qty")</f>
        <v>0</v>
      </c>
      <c r="H1318">
        <f>RTD("nest.scriprtd",,"bse_cm|KAFL29","LTP")</f>
        <v>0</v>
      </c>
      <c r="I1318" t="str">
        <f>RTD("nest.scriprtd",,"bse_cm|KAFL29","LTT")</f>
        <v>00:00:00</v>
      </c>
      <c r="J1318">
        <f>RTD("nest.scriprtd",,"bse_cm|KAFL29","% Change")</f>
        <v>-100</v>
      </c>
      <c r="K1318">
        <f>RTD("nest.scriprtd",,"bse_cm|KAFL29","ATP")</f>
        <v>0</v>
      </c>
      <c r="L1318">
        <f>RTD("nest.scriprtd",,"bse_cm|KAFL29","Volume Traded Today")</f>
        <v>0</v>
      </c>
      <c r="M1318">
        <f>RTD("nest.scriprtd",,"bse_cm|KAFL29","Open")</f>
        <v>0</v>
      </c>
      <c r="N1318">
        <f>RTD("nest.scriprtd",,"bse_cm|KAFL29","High")</f>
        <v>990</v>
      </c>
      <c r="O1318">
        <f>RTD("nest.scriprtd",,"bse_cm|KAFL29","Low ")</f>
        <v>990</v>
      </c>
      <c r="P1318">
        <f>RTD("nest.scriprtd",,"bse_cm|KAFL29","Prev Close")</f>
        <v>990</v>
      </c>
      <c r="Q1318">
        <f>RTD("nest.scriprtd",,"bse_cm|KAFL29","Face Value")</f>
        <v>1000</v>
      </c>
      <c r="R1318" t="str">
        <f>RTD("nest.scriprtd",,"bse_cm|KAFL29","Isin code")</f>
        <v>INE01I507679</v>
      </c>
      <c r="S1318" s="9">
        <f>Table1[[#This Row],[Ask Rate]]*Table1[[#This Row],[Ask Qty]]</f>
        <v>0</v>
      </c>
      <c r="T1318" t="str">
        <f>VLOOKUP(Table1[[#This Row],[Isin code]],Table2[#All],7,FALSE)</f>
        <v>--</v>
      </c>
      <c r="U1318" s="17" t="str">
        <f>VLOOKUP(Table1[[#This Row],[Isin code]],Table2[#All],8,FALSE)</f>
        <v>17-Aug-2029</v>
      </c>
      <c r="V1318" s="10">
        <f ca="1">Table1[[#This Row],[Maturity]]-TODAY()</f>
        <v>1766</v>
      </c>
      <c r="W1318" t="str">
        <f>VLOOKUP(Table1[[#This Row],[Isin code]],Table2[#All],10,FALSE)</f>
        <v>At the End</v>
      </c>
      <c r="X1318">
        <f ca="1">_xlfn.DAYS(Table1[[#This Row],[Maturity]],TODAY())-15</f>
        <v>1751</v>
      </c>
      <c r="Y131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8">
        <f>IF(Table1[[#This Row],[Ask Rate]]=0,0,Table1[[#This Row],[Face Value]]-Table1[[#This Row],[Ask Rate]])</f>
        <v>0</v>
      </c>
      <c r="AA131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8">
        <f>Table1[[#This Row],[Face Value]]*Table1[[#This Row],[Rate]]*Table1[[#This Row],[Time]]</f>
        <v>0</v>
      </c>
      <c r="AC1318">
        <f>Table1[[#This Row],[SI]]+Table1[[#This Row],[Disc/Prem]]</f>
        <v>0</v>
      </c>
      <c r="AD1318" s="3" t="e">
        <f>Table1[[#This Row],[Net Gain]]/Table1[[#This Row],[Ask Rate]]</f>
        <v>#DIV/0!</v>
      </c>
      <c r="AE1318" s="3">
        <f>IF(Table1[[#This Row],[Ask Qty]]=0,0,Table1[[#This Row],[Gross Yield]]*365/Table1[[#This Row],[Days Left]])</f>
        <v>0</v>
      </c>
      <c r="AF1318" s="9">
        <f>+Table1[[#This Row],[Net Gain]]*Table1[[#This Row],[Ask Qty]]</f>
        <v>0</v>
      </c>
      <c r="AG1318" t="str">
        <f>IF(Table1[[#This Row],[YTM]]&gt;0.12,IF(Table1[[#This Row],[Gross Profit]]&gt;10000,"Invest","Review"),"Low YTM")</f>
        <v>Low YTM</v>
      </c>
    </row>
    <row r="1319" spans="1:33" x14ac:dyDescent="0.3">
      <c r="A1319" t="str">
        <f>RTD("nest.scriprtd",,"bse_cm|KAFL28A","Symbol")</f>
        <v>KAFL28A</v>
      </c>
      <c r="B1319" t="str">
        <f>RTD("nest.scriprtd",,"bse_cm|KAFL28A","Trading Symbol")</f>
        <v>KAFL28A</v>
      </c>
      <c r="C1319" t="str">
        <f>RTD("nest.scriprtd",,"bse_cm|KAFL28A","Exchange")</f>
        <v>BSE</v>
      </c>
      <c r="D1319">
        <f>RTD("nest.scriprtd",,"bse_cm|KAFL28A","Bid Qty")</f>
        <v>50</v>
      </c>
      <c r="E1319">
        <f>RTD("nest.scriprtd",,"bse_cm|KAFL28A","Bid Rate")</f>
        <v>925.8</v>
      </c>
      <c r="F1319">
        <f>RTD("nest.scriprtd",,"bse_cm|KAFL28A","Ask Rate")</f>
        <v>0</v>
      </c>
      <c r="G1319">
        <f>RTD("nest.scriprtd",,"bse_cm|KAFL28A","Ask Qty")</f>
        <v>0</v>
      </c>
      <c r="H1319">
        <f>RTD("nest.scriprtd",,"bse_cm|KAFL28A","LTP")</f>
        <v>0</v>
      </c>
      <c r="I1319" t="str">
        <f>RTD("nest.scriprtd",,"bse_cm|KAFL28A","LTT")</f>
        <v>00:00:00</v>
      </c>
      <c r="J1319">
        <f>RTD("nest.scriprtd",,"bse_cm|KAFL28A","% Change")</f>
        <v>-100</v>
      </c>
      <c r="K1319">
        <f>RTD("nest.scriprtd",,"bse_cm|KAFL28A","ATP")</f>
        <v>0</v>
      </c>
      <c r="L1319">
        <f>RTD("nest.scriprtd",,"bse_cm|KAFL28A","Volume Traded Today")</f>
        <v>0</v>
      </c>
      <c r="M1319">
        <f>RTD("nest.scriprtd",,"bse_cm|KAFL28A","Open")</f>
        <v>0</v>
      </c>
      <c r="N1319">
        <f>RTD("nest.scriprtd",,"bse_cm|KAFL28A","High")</f>
        <v>0</v>
      </c>
      <c r="O1319">
        <f>RTD("nest.scriprtd",,"bse_cm|KAFL28A","Low ")</f>
        <v>0</v>
      </c>
      <c r="P1319">
        <f>RTD("nest.scriprtd",,"bse_cm|KAFL28A","Prev Close")</f>
        <v>1000</v>
      </c>
      <c r="Q1319">
        <f>RTD("nest.scriprtd",,"bse_cm|KAFL28A","Face Value")</f>
        <v>1000</v>
      </c>
      <c r="R1319" t="str">
        <f>RTD("nest.scriprtd",,"bse_cm|KAFL28A","Isin code")</f>
        <v>INE01I507497</v>
      </c>
      <c r="S1319" s="9">
        <f>Table1[[#This Row],[Ask Rate]]*Table1[[#This Row],[Ask Qty]]</f>
        <v>0</v>
      </c>
      <c r="T1319" t="str">
        <f>VLOOKUP(Table1[[#This Row],[Isin code]],Table2[#All],7,FALSE)</f>
        <v>--</v>
      </c>
      <c r="U1319" s="17" t="str">
        <f>VLOOKUP(Table1[[#This Row],[Isin code]],Table2[#All],8,FALSE)</f>
        <v>30-Jun-2028</v>
      </c>
      <c r="V1319" s="10">
        <f ca="1">Table1[[#This Row],[Maturity]]-TODAY()</f>
        <v>1353</v>
      </c>
      <c r="W1319" t="str">
        <f>VLOOKUP(Table1[[#This Row],[Isin code]],Table2[#All],10,FALSE)</f>
        <v>At the End</v>
      </c>
      <c r="X1319">
        <f ca="1">_xlfn.DAYS(Table1[[#This Row],[Maturity]],TODAY())-15</f>
        <v>1338</v>
      </c>
      <c r="Y131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19">
        <f>IF(Table1[[#This Row],[Ask Rate]]=0,0,Table1[[#This Row],[Face Value]]-Table1[[#This Row],[Ask Rate]])</f>
        <v>0</v>
      </c>
      <c r="AA131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19">
        <f>Table1[[#This Row],[Face Value]]*Table1[[#This Row],[Rate]]*Table1[[#This Row],[Time]]</f>
        <v>0</v>
      </c>
      <c r="AC1319">
        <f>Table1[[#This Row],[SI]]+Table1[[#This Row],[Disc/Prem]]</f>
        <v>0</v>
      </c>
      <c r="AD1319" s="3" t="e">
        <f>Table1[[#This Row],[Net Gain]]/Table1[[#This Row],[Ask Rate]]</f>
        <v>#DIV/0!</v>
      </c>
      <c r="AE1319" s="3">
        <f>IF(Table1[[#This Row],[Ask Qty]]=0,0,Table1[[#This Row],[Gross Yield]]*365/Table1[[#This Row],[Days Left]])</f>
        <v>0</v>
      </c>
      <c r="AF1319" s="9">
        <f>+Table1[[#This Row],[Net Gain]]*Table1[[#This Row],[Ask Qty]]</f>
        <v>0</v>
      </c>
      <c r="AG1319" t="str">
        <f>IF(Table1[[#This Row],[YTM]]&gt;0.12,IF(Table1[[#This Row],[Gross Profit]]&gt;10000,"Invest","Review"),"Low YTM")</f>
        <v>Low YTM</v>
      </c>
    </row>
    <row r="1320" spans="1:33" x14ac:dyDescent="0.3">
      <c r="A1320" t="str">
        <f>RTD("nest.scriprtd",,"bse_cm|KAFL28","Symbol")</f>
        <v>KAFL28</v>
      </c>
      <c r="B1320" t="str">
        <f>RTD("nest.scriprtd",,"bse_cm|KAFL28","Trading Symbol")</f>
        <v>KAFL28</v>
      </c>
      <c r="C1320" t="str">
        <f>RTD("nest.scriprtd",,"bse_cm|KAFL28","Exchange")</f>
        <v>BSE</v>
      </c>
      <c r="D1320">
        <f>RTD("nest.scriprtd",,"bse_cm|KAFL28","Bid Qty")</f>
        <v>25</v>
      </c>
      <c r="E1320">
        <f>RTD("nest.scriprtd",,"bse_cm|KAFL28","Bid Rate")</f>
        <v>950.2</v>
      </c>
      <c r="F1320">
        <f>RTD("nest.scriprtd",,"bse_cm|KAFL28","Ask Rate")</f>
        <v>0</v>
      </c>
      <c r="G1320">
        <f>RTD("nest.scriprtd",,"bse_cm|KAFL28","Ask Qty")</f>
        <v>0</v>
      </c>
      <c r="H1320">
        <f>RTD("nest.scriprtd",,"bse_cm|KAFL28","LTP")</f>
        <v>0</v>
      </c>
      <c r="I1320" t="str">
        <f>RTD("nest.scriprtd",,"bse_cm|KAFL28","LTT")</f>
        <v>00:00:00</v>
      </c>
      <c r="J1320">
        <f>RTD("nest.scriprtd",,"bse_cm|KAFL28","% Change")</f>
        <v>-100</v>
      </c>
      <c r="K1320">
        <f>RTD("nest.scriprtd",,"bse_cm|KAFL28","ATP")</f>
        <v>0</v>
      </c>
      <c r="L1320">
        <f>RTD("nest.scriprtd",,"bse_cm|KAFL28","Volume Traded Today")</f>
        <v>0</v>
      </c>
      <c r="M1320">
        <f>RTD("nest.scriprtd",,"bse_cm|KAFL28","Open")</f>
        <v>0</v>
      </c>
      <c r="N1320">
        <f>RTD("nest.scriprtd",,"bse_cm|KAFL28","High")</f>
        <v>0</v>
      </c>
      <c r="O1320">
        <f>RTD("nest.scriprtd",,"bse_cm|KAFL28","Low ")</f>
        <v>0</v>
      </c>
      <c r="P1320">
        <f>RTD("nest.scriprtd",,"bse_cm|KAFL28","Prev Close")</f>
        <v>1000</v>
      </c>
      <c r="Q1320">
        <f>RTD("nest.scriprtd",,"bse_cm|KAFL28","Face Value")</f>
        <v>1000</v>
      </c>
      <c r="R1320" t="str">
        <f>RTD("nest.scriprtd",,"bse_cm|KAFL28","Isin code")</f>
        <v>INE01I507398</v>
      </c>
      <c r="S1320" s="9">
        <f>Table1[[#This Row],[Ask Rate]]*Table1[[#This Row],[Ask Qty]]</f>
        <v>0</v>
      </c>
      <c r="T1320" t="str">
        <f>VLOOKUP(Table1[[#This Row],[Isin code]],Table2[#All],7,FALSE)</f>
        <v>--</v>
      </c>
      <c r="U1320" s="17" t="str">
        <f>VLOOKUP(Table1[[#This Row],[Isin code]],Table2[#All],8,FALSE)</f>
        <v>29-Feb-2028</v>
      </c>
      <c r="V1320" s="10">
        <f ca="1">Table1[[#This Row],[Maturity]]-TODAY()</f>
        <v>1231</v>
      </c>
      <c r="W1320" t="str">
        <f>VLOOKUP(Table1[[#This Row],[Isin code]],Table2[#All],10,FALSE)</f>
        <v>At the End</v>
      </c>
      <c r="X1320">
        <f ca="1">_xlfn.DAYS(Table1[[#This Row],[Maturity]],TODAY())-15</f>
        <v>1216</v>
      </c>
      <c r="Y132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0">
        <f>IF(Table1[[#This Row],[Ask Rate]]=0,0,Table1[[#This Row],[Face Value]]-Table1[[#This Row],[Ask Rate]])</f>
        <v>0</v>
      </c>
      <c r="AA132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0">
        <f>Table1[[#This Row],[Face Value]]*Table1[[#This Row],[Rate]]*Table1[[#This Row],[Time]]</f>
        <v>0</v>
      </c>
      <c r="AC1320">
        <f>Table1[[#This Row],[SI]]+Table1[[#This Row],[Disc/Prem]]</f>
        <v>0</v>
      </c>
      <c r="AD1320" s="3" t="e">
        <f>Table1[[#This Row],[Net Gain]]/Table1[[#This Row],[Ask Rate]]</f>
        <v>#DIV/0!</v>
      </c>
      <c r="AE1320" s="3">
        <f>IF(Table1[[#This Row],[Ask Qty]]=0,0,Table1[[#This Row],[Gross Yield]]*365/Table1[[#This Row],[Days Left]])</f>
        <v>0</v>
      </c>
      <c r="AF1320" s="9">
        <f>+Table1[[#This Row],[Net Gain]]*Table1[[#This Row],[Ask Qty]]</f>
        <v>0</v>
      </c>
      <c r="AG1320" t="str">
        <f>IF(Table1[[#This Row],[YTM]]&gt;0.12,IF(Table1[[#This Row],[Gross Profit]]&gt;10000,"Invest","Review"),"Low YTM")</f>
        <v>Low YTM</v>
      </c>
    </row>
    <row r="1321" spans="1:33" hidden="1" x14ac:dyDescent="0.3">
      <c r="A1321" t="str">
        <f>RTD("nest.scriprtd",,"bse_cm|KAFL25","Symbol")</f>
        <v>KAFL25</v>
      </c>
      <c r="B1321" t="str">
        <f>RTD("nest.scriprtd",,"bse_cm|KAFL25","Trading Symbol")</f>
        <v>KAFL25</v>
      </c>
      <c r="C1321" t="str">
        <f>RTD("nest.scriprtd",,"bse_cm|KAFL25","Exchange")</f>
        <v>BSE</v>
      </c>
      <c r="D1321">
        <f>RTD("nest.scriprtd",,"bse_cm|KAFL25","Bid Qty")</f>
        <v>25</v>
      </c>
      <c r="E1321">
        <f>RTD("nest.scriprtd",,"bse_cm|KAFL25","Bid Rate")</f>
        <v>905.8</v>
      </c>
      <c r="F1321">
        <f>RTD("nest.scriprtd",,"bse_cm|KAFL25","Ask Rate")</f>
        <v>0</v>
      </c>
      <c r="G1321">
        <f>RTD("nest.scriprtd",,"bse_cm|KAFL25","Ask Qty")</f>
        <v>0</v>
      </c>
      <c r="H1321">
        <f>RTD("nest.scriprtd",,"bse_cm|KAFL25","LTP")</f>
        <v>0</v>
      </c>
      <c r="I1321" t="str">
        <f>RTD("nest.scriprtd",,"bse_cm|KAFL25","LTT")</f>
        <v>00:00:00</v>
      </c>
      <c r="J1321">
        <f>RTD("nest.scriprtd",,"bse_cm|KAFL25","% Change")</f>
        <v>-100</v>
      </c>
      <c r="K1321">
        <f>RTD("nest.scriprtd",,"bse_cm|KAFL25","ATP")</f>
        <v>0</v>
      </c>
      <c r="L1321">
        <f>RTD("nest.scriprtd",,"bse_cm|KAFL25","Volume Traded Today")</f>
        <v>0</v>
      </c>
      <c r="M1321">
        <f>RTD("nest.scriprtd",,"bse_cm|KAFL25","Open")</f>
        <v>0</v>
      </c>
      <c r="N1321">
        <f>RTD("nest.scriprtd",,"bse_cm|KAFL25","High")</f>
        <v>1025</v>
      </c>
      <c r="O1321">
        <f>RTD("nest.scriprtd",,"bse_cm|KAFL25","Low ")</f>
        <v>1025</v>
      </c>
      <c r="P1321">
        <f>RTD("nest.scriprtd",,"bse_cm|KAFL25","Prev Close")</f>
        <v>1025</v>
      </c>
      <c r="Q1321">
        <f>RTD("nest.scriprtd",,"bse_cm|KAFL25","Face Value")</f>
        <v>1000</v>
      </c>
      <c r="R1321" t="str">
        <f>RTD("nest.scriprtd",,"bse_cm|KAFL25","Isin code")</f>
        <v>INE01I507828</v>
      </c>
      <c r="S1321" s="9">
        <f>Table1[[#This Row],[Ask Rate]]*Table1[[#This Row],[Ask Qty]]</f>
        <v>0</v>
      </c>
      <c r="T1321" t="str">
        <f>VLOOKUP(Table1[[#This Row],[Isin code]],Table2[#All],7,FALSE)</f>
        <v>--</v>
      </c>
      <c r="U1321" s="17" t="str">
        <f>VLOOKUP(Table1[[#This Row],[Isin code]],Table2[#All],8,FALSE)</f>
        <v>10-Jan-2025</v>
      </c>
      <c r="V1321" s="10">
        <f ca="1">Table1[[#This Row],[Maturity]]-TODAY()</f>
        <v>86</v>
      </c>
      <c r="W1321" t="str">
        <f>VLOOKUP(Table1[[#This Row],[Isin code]],Table2[#All],10,FALSE)</f>
        <v>At the End</v>
      </c>
      <c r="X1321">
        <f ca="1">_xlfn.DAYS(Table1[[#This Row],[Maturity]],TODAY())-15</f>
        <v>71</v>
      </c>
      <c r="Y132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1">
        <f>IF(Table1[[#This Row],[Ask Rate]]=0,0,Table1[[#This Row],[Face Value]]-Table1[[#This Row],[Ask Rate]])</f>
        <v>0</v>
      </c>
      <c r="AA132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1">
        <f>Table1[[#This Row],[Face Value]]*Table1[[#This Row],[Rate]]*Table1[[#This Row],[Time]]</f>
        <v>0</v>
      </c>
      <c r="AC1321">
        <f>Table1[[#This Row],[SI]]+Table1[[#This Row],[Disc/Prem]]</f>
        <v>0</v>
      </c>
      <c r="AD1321" s="3" t="e">
        <f>Table1[[#This Row],[Net Gain]]/Table1[[#This Row],[Ask Rate]]</f>
        <v>#DIV/0!</v>
      </c>
      <c r="AE1321" s="3">
        <f>IF(Table1[[#This Row],[Ask Qty]]=0,0,Table1[[#This Row],[Gross Yield]]*365/Table1[[#This Row],[Days Left]])</f>
        <v>0</v>
      </c>
      <c r="AF1321" s="9">
        <f>+Table1[[#This Row],[Net Gain]]*Table1[[#This Row],[Ask Qty]]</f>
        <v>0</v>
      </c>
      <c r="AG1321" t="str">
        <f>IF(Table1[[#This Row],[YTM]]&gt;0.12,IF(Table1[[#This Row],[Gross Profit]]&gt;10000,"Invest","Review"),"Low YTM")</f>
        <v>Low YTM</v>
      </c>
    </row>
    <row r="1322" spans="1:33" x14ac:dyDescent="0.3">
      <c r="A1322" t="str">
        <f>RTD("nest.scriprtd",,"bse_cm|KAF080824","Symbol")</f>
        <v>KAF080824</v>
      </c>
      <c r="B1322" t="str">
        <f>RTD("nest.scriprtd",,"bse_cm|KAF080824","Trading Symbol")</f>
        <v>KAF080824</v>
      </c>
      <c r="C1322" t="str">
        <f>RTD("nest.scriprtd",,"bse_cm|KAF080824","Exchange")</f>
        <v>BSE</v>
      </c>
      <c r="D1322">
        <f>RTD("nest.scriprtd",,"bse_cm|KAF080824","Bid Qty")</f>
        <v>24</v>
      </c>
      <c r="E1322">
        <f>RTD("nest.scriprtd",,"bse_cm|KAF080824","Bid Rate")</f>
        <v>838.8</v>
      </c>
      <c r="F1322">
        <f>RTD("nest.scriprtd",,"bse_cm|KAF080824","Ask Rate")</f>
        <v>0</v>
      </c>
      <c r="G1322">
        <f>RTD("nest.scriprtd",,"bse_cm|KAF080824","Ask Qty")</f>
        <v>0</v>
      </c>
      <c r="H1322">
        <f>RTD("nest.scriprtd",,"bse_cm|KAF080824","LTP")</f>
        <v>0</v>
      </c>
      <c r="I1322" t="str">
        <f>RTD("nest.scriprtd",,"bse_cm|KAF080824","LTT")</f>
        <v>00:00:00</v>
      </c>
      <c r="J1322">
        <f>RTD("nest.scriprtd",,"bse_cm|KAF080824","% Change")</f>
        <v>-100</v>
      </c>
      <c r="K1322">
        <f>RTD("nest.scriprtd",,"bse_cm|KAF080824","ATP")</f>
        <v>0</v>
      </c>
      <c r="L1322">
        <f>RTD("nest.scriprtd",,"bse_cm|KAF080824","Volume Traded Today")</f>
        <v>0</v>
      </c>
      <c r="M1322">
        <f>RTD("nest.scriprtd",,"bse_cm|KAF080824","Open")</f>
        <v>0</v>
      </c>
      <c r="N1322">
        <f>RTD("nest.scriprtd",,"bse_cm|KAF080824","High")</f>
        <v>0</v>
      </c>
      <c r="O1322">
        <f>RTD("nest.scriprtd",,"bse_cm|KAF080824","Low ")</f>
        <v>0</v>
      </c>
      <c r="P1322">
        <f>RTD("nest.scriprtd",,"bse_cm|KAF080824","Prev Close")</f>
        <v>1000</v>
      </c>
      <c r="Q1322">
        <f>RTD("nest.scriprtd",,"bse_cm|KAF080824","Face Value")</f>
        <v>1000</v>
      </c>
      <c r="R1322" t="str">
        <f>RTD("nest.scriprtd",,"bse_cm|KAF080824","Isin code")</f>
        <v>INE01I507AA8</v>
      </c>
      <c r="S1322" s="9">
        <f>Table1[[#This Row],[Ask Rate]]*Table1[[#This Row],[Ask Qty]]</f>
        <v>0</v>
      </c>
      <c r="T1322" t="str">
        <f>VLOOKUP(Table1[[#This Row],[Isin code]],Table2[#All],7,FALSE)</f>
        <v>--</v>
      </c>
      <c r="U1322" s="17" t="str">
        <f>VLOOKUP(Table1[[#This Row],[Isin code]],Table2[#All],8,FALSE)</f>
        <v>07-Mar-2031</v>
      </c>
      <c r="V1322" s="10">
        <f ca="1">Table1[[#This Row],[Maturity]]-TODAY()</f>
        <v>2333</v>
      </c>
      <c r="W1322" t="str">
        <f>VLOOKUP(Table1[[#This Row],[Isin code]],Table2[#All],10,FALSE)</f>
        <v>CUMULATIVE</v>
      </c>
      <c r="X1322">
        <f ca="1">_xlfn.DAYS(Table1[[#This Row],[Maturity]],TODAY())-15</f>
        <v>2318</v>
      </c>
      <c r="Y132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2">
        <f>IF(Table1[[#This Row],[Ask Rate]]=0,0,Table1[[#This Row],[Face Value]]-Table1[[#This Row],[Ask Rate]])</f>
        <v>0</v>
      </c>
      <c r="AA132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2">
        <f>Table1[[#This Row],[Face Value]]*Table1[[#This Row],[Rate]]*Table1[[#This Row],[Time]]</f>
        <v>0</v>
      </c>
      <c r="AC1322">
        <f>Table1[[#This Row],[SI]]+Table1[[#This Row],[Disc/Prem]]</f>
        <v>0</v>
      </c>
      <c r="AD1322" s="3" t="e">
        <f>Table1[[#This Row],[Net Gain]]/Table1[[#This Row],[Ask Rate]]</f>
        <v>#DIV/0!</v>
      </c>
      <c r="AE1322" s="3">
        <f>IF(Table1[[#This Row],[Ask Qty]]=0,0,Table1[[#This Row],[Gross Yield]]*365/Table1[[#This Row],[Days Left]])</f>
        <v>0</v>
      </c>
      <c r="AF1322" s="9">
        <f>+Table1[[#This Row],[Net Gain]]*Table1[[#This Row],[Ask Qty]]</f>
        <v>0</v>
      </c>
      <c r="AG1322" t="str">
        <f>IF(Table1[[#This Row],[YTM]]&gt;0.12,IF(Table1[[#This Row],[Gross Profit]]&gt;10000,"Invest","Review"),"Low YTM")</f>
        <v>Low YTM</v>
      </c>
    </row>
    <row r="1323" spans="1:33" x14ac:dyDescent="0.3">
      <c r="A1323" t="str">
        <f>RTD("nest.scriprtd",,"bse_cm|JMFPZC26","Symbol")</f>
        <v>JMFPZC26</v>
      </c>
      <c r="B1323" t="str">
        <f>RTD("nest.scriprtd",,"bse_cm|JMFPZC26","Trading Symbol")</f>
        <v>JMFPZC26</v>
      </c>
      <c r="C1323" t="str">
        <f>RTD("nest.scriprtd",,"bse_cm|JMFPZC26","Exchange")</f>
        <v>BSE</v>
      </c>
      <c r="D1323">
        <f>RTD("nest.scriprtd",,"bse_cm|JMFPZC26","Bid Qty")</f>
        <v>36</v>
      </c>
      <c r="E1323">
        <f>RTD("nest.scriprtd",,"bse_cm|JMFPZC26","Bid Rate")</f>
        <v>1347.8</v>
      </c>
      <c r="F1323">
        <f>RTD("nest.scriprtd",,"bse_cm|JMFPZC26","Ask Rate")</f>
        <v>0</v>
      </c>
      <c r="G1323">
        <f>RTD("nest.scriprtd",,"bse_cm|JMFPZC26","Ask Qty")</f>
        <v>0</v>
      </c>
      <c r="H1323">
        <f>RTD("nest.scriprtd",,"bse_cm|JMFPZC26","LTP")</f>
        <v>0</v>
      </c>
      <c r="I1323" t="str">
        <f>RTD("nest.scriprtd",,"bse_cm|JMFPZC26","LTT")</f>
        <v>00:00:00</v>
      </c>
      <c r="J1323">
        <f>RTD("nest.scriprtd",,"bse_cm|JMFPZC26","% Change")</f>
        <v>-100</v>
      </c>
      <c r="K1323">
        <f>RTD("nest.scriprtd",,"bse_cm|JMFPZC26","ATP")</f>
        <v>0</v>
      </c>
      <c r="L1323">
        <f>RTD("nest.scriprtd",,"bse_cm|JMFPZC26","Volume Traded Today")</f>
        <v>0</v>
      </c>
      <c r="M1323">
        <f>RTD("nest.scriprtd",,"bse_cm|JMFPZC26","Open")</f>
        <v>0</v>
      </c>
      <c r="N1323">
        <f>RTD("nest.scriprtd",,"bse_cm|JMFPZC26","High")</f>
        <v>1610</v>
      </c>
      <c r="O1323">
        <f>RTD("nest.scriprtd",,"bse_cm|JMFPZC26","Low ")</f>
        <v>1610</v>
      </c>
      <c r="P1323">
        <f>RTD("nest.scriprtd",,"bse_cm|JMFPZC26","Prev Close")</f>
        <v>1610</v>
      </c>
      <c r="Q1323">
        <f>RTD("nest.scriprtd",,"bse_cm|JMFPZC26","Face Value")</f>
        <v>1000</v>
      </c>
      <c r="R1323" t="str">
        <f>RTD("nest.scriprtd",,"bse_cm|JMFPZC26","Isin code")</f>
        <v>INE523H07AQ1</v>
      </c>
      <c r="S1323" s="9">
        <f>Table1[[#This Row],[Ask Rate]]*Table1[[#This Row],[Ask Qty]]</f>
        <v>0</v>
      </c>
      <c r="T1323" t="str">
        <f>VLOOKUP(Table1[[#This Row],[Isin code]],Table2[#All],7,FALSE)</f>
        <v>--</v>
      </c>
      <c r="U1323" s="17" t="str">
        <f>VLOOKUP(Table1[[#This Row],[Isin code]],Table2[#All],8,FALSE)</f>
        <v>11-Sep-2026</v>
      </c>
      <c r="V1323" s="10">
        <f ca="1">Table1[[#This Row],[Maturity]]-TODAY()</f>
        <v>695</v>
      </c>
      <c r="W1323" t="str">
        <f>VLOOKUP(Table1[[#This Row],[Isin code]],Table2[#All],10,FALSE)</f>
        <v>At the End</v>
      </c>
      <c r="X1323">
        <f ca="1">_xlfn.DAYS(Table1[[#This Row],[Maturity]],TODAY())-15</f>
        <v>680</v>
      </c>
      <c r="Y132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3">
        <f>IF(Table1[[#This Row],[Ask Rate]]=0,0,Table1[[#This Row],[Face Value]]-Table1[[#This Row],[Ask Rate]])</f>
        <v>0</v>
      </c>
      <c r="AA132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3">
        <f>Table1[[#This Row],[Face Value]]*Table1[[#This Row],[Rate]]*Table1[[#This Row],[Time]]</f>
        <v>0</v>
      </c>
      <c r="AC1323">
        <f>Table1[[#This Row],[SI]]+Table1[[#This Row],[Disc/Prem]]</f>
        <v>0</v>
      </c>
      <c r="AD1323" s="3" t="e">
        <f>Table1[[#This Row],[Net Gain]]/Table1[[#This Row],[Ask Rate]]</f>
        <v>#DIV/0!</v>
      </c>
      <c r="AE1323" s="3">
        <f>IF(Table1[[#This Row],[Ask Qty]]=0,0,Table1[[#This Row],[Gross Yield]]*365/Table1[[#This Row],[Days Left]])</f>
        <v>0</v>
      </c>
      <c r="AF1323" s="9">
        <f>+Table1[[#This Row],[Net Gain]]*Table1[[#This Row],[Ask Qty]]</f>
        <v>0</v>
      </c>
      <c r="AG1323" t="str">
        <f>IF(Table1[[#This Row],[YTM]]&gt;0.12,IF(Table1[[#This Row],[Gross Profit]]&gt;10000,"Invest","Review"),"Low YTM")</f>
        <v>Low YTM</v>
      </c>
    </row>
    <row r="1324" spans="1:33" x14ac:dyDescent="0.3">
      <c r="A1324" t="str">
        <f>RTD("nest.scriprtd",,"bse_cm|JMFPZC25","Symbol")</f>
        <v>JMFPZC25</v>
      </c>
      <c r="B1324" t="str">
        <f>RTD("nest.scriprtd",,"bse_cm|JMFPZC25","Trading Symbol")</f>
        <v>JMFPZC25</v>
      </c>
      <c r="C1324" t="str">
        <f>RTD("nest.scriprtd",,"bse_cm|JMFPZC25","Exchange")</f>
        <v>BSE</v>
      </c>
      <c r="D1324">
        <f>RTD("nest.scriprtd",,"bse_cm|JMFPZC25","Bid Qty")</f>
        <v>54</v>
      </c>
      <c r="E1324">
        <f>RTD("nest.scriprtd",,"bse_cm|JMFPZC25","Bid Rate")</f>
        <v>1351.4</v>
      </c>
      <c r="F1324">
        <f>RTD("nest.scriprtd",,"bse_cm|JMFPZC25","Ask Rate")</f>
        <v>0</v>
      </c>
      <c r="G1324">
        <f>RTD("nest.scriprtd",,"bse_cm|JMFPZC25","Ask Qty")</f>
        <v>0</v>
      </c>
      <c r="H1324">
        <f>RTD("nest.scriprtd",,"bse_cm|JMFPZC25","LTP")</f>
        <v>0</v>
      </c>
      <c r="I1324" t="str">
        <f>RTD("nest.scriprtd",,"bse_cm|JMFPZC25","LTT")</f>
        <v>00:00:00</v>
      </c>
      <c r="J1324">
        <f>RTD("nest.scriprtd",,"bse_cm|JMFPZC25","% Change")</f>
        <v>-100</v>
      </c>
      <c r="K1324">
        <f>RTD("nest.scriprtd",,"bse_cm|JMFPZC25","ATP")</f>
        <v>0</v>
      </c>
      <c r="L1324">
        <f>RTD("nest.scriprtd",,"bse_cm|JMFPZC25","Volume Traded Today")</f>
        <v>0</v>
      </c>
      <c r="M1324">
        <f>RTD("nest.scriprtd",,"bse_cm|JMFPZC25","Open")</f>
        <v>0</v>
      </c>
      <c r="N1324">
        <f>RTD("nest.scriprtd",,"bse_cm|JMFPZC25","High")</f>
        <v>1490</v>
      </c>
      <c r="O1324">
        <f>RTD("nest.scriprtd",,"bse_cm|JMFPZC25","Low ")</f>
        <v>1490</v>
      </c>
      <c r="P1324">
        <f>RTD("nest.scriprtd",,"bse_cm|JMFPZC25","Prev Close")</f>
        <v>1490</v>
      </c>
      <c r="Q1324">
        <f>RTD("nest.scriprtd",,"bse_cm|JMFPZC25","Face Value")</f>
        <v>1000</v>
      </c>
      <c r="R1324" t="str">
        <f>RTD("nest.scriprtd",,"bse_cm|JMFPZC25","Isin code")</f>
        <v>INE523H07AV1</v>
      </c>
      <c r="S1324" s="9">
        <f>Table1[[#This Row],[Ask Rate]]*Table1[[#This Row],[Ask Qty]]</f>
        <v>0</v>
      </c>
      <c r="T1324" t="str">
        <f>VLOOKUP(Table1[[#This Row],[Isin code]],Table2[#All],7,FALSE)</f>
        <v>--</v>
      </c>
      <c r="U1324" s="17" t="str">
        <f>VLOOKUP(Table1[[#This Row],[Isin code]],Table2[#All],8,FALSE)</f>
        <v>16-Mar-2025</v>
      </c>
      <c r="V1324" s="10">
        <f ca="1">Table1[[#This Row],[Maturity]]-TODAY()</f>
        <v>151</v>
      </c>
      <c r="W1324" t="str">
        <f>VLOOKUP(Table1[[#This Row],[Isin code]],Table2[#All],10,FALSE)</f>
        <v>At the End</v>
      </c>
      <c r="X1324">
        <f ca="1">_xlfn.DAYS(Table1[[#This Row],[Maturity]],TODAY())-15</f>
        <v>136</v>
      </c>
      <c r="Y132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4">
        <f>IF(Table1[[#This Row],[Ask Rate]]=0,0,Table1[[#This Row],[Face Value]]-Table1[[#This Row],[Ask Rate]])</f>
        <v>0</v>
      </c>
      <c r="AA132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4">
        <f>Table1[[#This Row],[Face Value]]*Table1[[#This Row],[Rate]]*Table1[[#This Row],[Time]]</f>
        <v>0</v>
      </c>
      <c r="AC1324">
        <f>Table1[[#This Row],[SI]]+Table1[[#This Row],[Disc/Prem]]</f>
        <v>0</v>
      </c>
      <c r="AD1324" s="3" t="e">
        <f>Table1[[#This Row],[Net Gain]]/Table1[[#This Row],[Ask Rate]]</f>
        <v>#DIV/0!</v>
      </c>
      <c r="AE1324" s="3">
        <f>IF(Table1[[#This Row],[Ask Qty]]=0,0,Table1[[#This Row],[Gross Yield]]*365/Table1[[#This Row],[Days Left]])</f>
        <v>0</v>
      </c>
      <c r="AF1324" s="9">
        <f>+Table1[[#This Row],[Net Gain]]*Table1[[#This Row],[Ask Qty]]</f>
        <v>0</v>
      </c>
      <c r="AG1324" t="str">
        <f>IF(Table1[[#This Row],[YTM]]&gt;0.12,IF(Table1[[#This Row],[Gross Profit]]&gt;10000,"Invest","Review"),"Low YTM")</f>
        <v>Low YTM</v>
      </c>
    </row>
    <row r="1325" spans="1:33" x14ac:dyDescent="0.3">
      <c r="A1325" t="str">
        <f>RTD("nest.scriprtd",,"bse_cm|IML27","Symbol")</f>
        <v>IML27</v>
      </c>
      <c r="B1325" t="str">
        <f>RTD("nest.scriprtd",,"bse_cm|IML27","Trading Symbol")</f>
        <v>IML27</v>
      </c>
      <c r="C1325" t="str">
        <f>RTD("nest.scriprtd",,"bse_cm|IML27","Exchange")</f>
        <v>BSE</v>
      </c>
      <c r="D1325">
        <f>RTD("nest.scriprtd",,"bse_cm|IML27","Bid Qty")</f>
        <v>62</v>
      </c>
      <c r="E1325">
        <f>RTD("nest.scriprtd",,"bse_cm|IML27","Bid Rate")</f>
        <v>1137.8</v>
      </c>
      <c r="F1325">
        <f>RTD("nest.scriprtd",,"bse_cm|IML27","Ask Rate")</f>
        <v>0</v>
      </c>
      <c r="G1325">
        <f>RTD("nest.scriprtd",,"bse_cm|IML27","Ask Qty")</f>
        <v>0</v>
      </c>
      <c r="H1325">
        <f>RTD("nest.scriprtd",,"bse_cm|IML27","LTP")</f>
        <v>0</v>
      </c>
      <c r="I1325" t="str">
        <f>RTD("nest.scriprtd",,"bse_cm|IML27","LTT")</f>
        <v>00:00:00</v>
      </c>
      <c r="J1325">
        <f>RTD("nest.scriprtd",,"bse_cm|IML27","% Change")</f>
        <v>-100</v>
      </c>
      <c r="K1325">
        <f>RTD("nest.scriprtd",,"bse_cm|IML27","ATP")</f>
        <v>0</v>
      </c>
      <c r="L1325">
        <f>RTD("nest.scriprtd",,"bse_cm|IML27","Volume Traded Today")</f>
        <v>0</v>
      </c>
      <c r="M1325">
        <f>RTD("nest.scriprtd",,"bse_cm|IML27","Open")</f>
        <v>0</v>
      </c>
      <c r="N1325">
        <f>RTD("nest.scriprtd",,"bse_cm|IML27","High")</f>
        <v>1347.54</v>
      </c>
      <c r="O1325">
        <f>RTD("nest.scriprtd",,"bse_cm|IML27","Low ")</f>
        <v>1341</v>
      </c>
      <c r="P1325">
        <f>RTD("nest.scriprtd",,"bse_cm|IML27","Prev Close")</f>
        <v>1347.54</v>
      </c>
      <c r="Q1325">
        <f>RTD("nest.scriprtd",,"bse_cm|IML27","Face Value")</f>
        <v>1000</v>
      </c>
      <c r="R1325" t="str">
        <f>RTD("nest.scriprtd",,"bse_cm|IML27","Isin code")</f>
        <v>INE0BUS08039</v>
      </c>
      <c r="S1325" s="9">
        <f>Table1[[#This Row],[Ask Rate]]*Table1[[#This Row],[Ask Qty]]</f>
        <v>0</v>
      </c>
      <c r="T1325" t="str">
        <f>VLOOKUP(Table1[[#This Row],[Isin code]],Table2[#All],7,FALSE)</f>
        <v>--</v>
      </c>
      <c r="U1325" s="17" t="str">
        <f>VLOOKUP(Table1[[#This Row],[Isin code]],Table2[#All],8,FALSE)</f>
        <v>24-Sep-2027</v>
      </c>
      <c r="V1325" s="10">
        <f ca="1">Table1[[#This Row],[Maturity]]-TODAY()</f>
        <v>1073</v>
      </c>
      <c r="W1325" t="str">
        <f>VLOOKUP(Table1[[#This Row],[Isin code]],Table2[#All],10,FALSE)</f>
        <v>At the End</v>
      </c>
      <c r="X1325">
        <f ca="1">_xlfn.DAYS(Table1[[#This Row],[Maturity]],TODAY())-15</f>
        <v>1058</v>
      </c>
      <c r="Y132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5">
        <f>IF(Table1[[#This Row],[Ask Rate]]=0,0,Table1[[#This Row],[Face Value]]-Table1[[#This Row],[Ask Rate]])</f>
        <v>0</v>
      </c>
      <c r="AA132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5">
        <f>Table1[[#This Row],[Face Value]]*Table1[[#This Row],[Rate]]*Table1[[#This Row],[Time]]</f>
        <v>0</v>
      </c>
      <c r="AC1325">
        <f>Table1[[#This Row],[SI]]+Table1[[#This Row],[Disc/Prem]]</f>
        <v>0</v>
      </c>
      <c r="AD1325" s="3" t="e">
        <f>Table1[[#This Row],[Net Gain]]/Table1[[#This Row],[Ask Rate]]</f>
        <v>#DIV/0!</v>
      </c>
      <c r="AE1325" s="3">
        <f>IF(Table1[[#This Row],[Ask Qty]]=0,0,Table1[[#This Row],[Gross Yield]]*365/Table1[[#This Row],[Days Left]])</f>
        <v>0</v>
      </c>
      <c r="AF1325" s="9">
        <f>+Table1[[#This Row],[Net Gain]]*Table1[[#This Row],[Ask Qty]]</f>
        <v>0</v>
      </c>
      <c r="AG1325" t="str">
        <f>IF(Table1[[#This Row],[YTM]]&gt;0.12,IF(Table1[[#This Row],[Gross Profit]]&gt;10000,"Invest","Review"),"Low YTM")</f>
        <v>Low YTM</v>
      </c>
    </row>
    <row r="1326" spans="1:33" hidden="1" x14ac:dyDescent="0.3">
      <c r="A1326" t="str">
        <f>RTD("nest.scriprtd",,"bse_cm|IML25","Symbol")</f>
        <v>IML25</v>
      </c>
      <c r="B1326" t="str">
        <f>RTD("nest.scriprtd",,"bse_cm|IML25","Trading Symbol")</f>
        <v>IML25</v>
      </c>
      <c r="C1326" t="str">
        <f>RTD("nest.scriprtd",,"bse_cm|IML25","Exchange")</f>
        <v>BSE</v>
      </c>
      <c r="D1326">
        <f>RTD("nest.scriprtd",,"bse_cm|IML25","Bid Qty")</f>
        <v>36</v>
      </c>
      <c r="E1326">
        <f>RTD("nest.scriprtd",,"bse_cm|IML25","Bid Rate")</f>
        <v>888.85</v>
      </c>
      <c r="F1326">
        <f>RTD("nest.scriprtd",,"bse_cm|IML25","Ask Rate")</f>
        <v>0</v>
      </c>
      <c r="G1326">
        <f>RTD("nest.scriprtd",,"bse_cm|IML25","Ask Qty")</f>
        <v>0</v>
      </c>
      <c r="H1326">
        <f>RTD("nest.scriprtd",,"bse_cm|IML25","LTP")</f>
        <v>0</v>
      </c>
      <c r="I1326" t="str">
        <f>RTD("nest.scriprtd",,"bse_cm|IML25","LTT")</f>
        <v>00:00:00</v>
      </c>
      <c r="J1326">
        <f>RTD("nest.scriprtd",,"bse_cm|IML25","% Change")</f>
        <v>-100</v>
      </c>
      <c r="K1326">
        <f>RTD("nest.scriprtd",,"bse_cm|IML25","ATP")</f>
        <v>0</v>
      </c>
      <c r="L1326">
        <f>RTD("nest.scriprtd",,"bse_cm|IML25","Volume Traded Today")</f>
        <v>0</v>
      </c>
      <c r="M1326">
        <f>RTD("nest.scriprtd",,"bse_cm|IML25","Open")</f>
        <v>0</v>
      </c>
      <c r="N1326">
        <f>RTD("nest.scriprtd",,"bse_cm|IML25","High")</f>
        <v>1000</v>
      </c>
      <c r="O1326">
        <f>RTD("nest.scriprtd",,"bse_cm|IML25","Low ")</f>
        <v>1000</v>
      </c>
      <c r="P1326">
        <f>RTD("nest.scriprtd",,"bse_cm|IML25","Prev Close")</f>
        <v>1000</v>
      </c>
      <c r="Q1326">
        <f>RTD("nest.scriprtd",,"bse_cm|IML25","Face Value")</f>
        <v>1000</v>
      </c>
      <c r="R1326" t="str">
        <f>RTD("nest.scriprtd",,"bse_cm|IML25","Isin code")</f>
        <v>INE0BUS07AZ2</v>
      </c>
      <c r="S1326" s="9">
        <f>Table1[[#This Row],[Ask Rate]]*Table1[[#This Row],[Ask Qty]]</f>
        <v>0</v>
      </c>
      <c r="T1326" t="str">
        <f>VLOOKUP(Table1[[#This Row],[Isin code]],Table2[#All],7,FALSE)</f>
        <v>--</v>
      </c>
      <c r="U1326" s="17" t="str">
        <f>VLOOKUP(Table1[[#This Row],[Isin code]],Table2[#All],8,FALSE)</f>
        <v>16-Feb-2025</v>
      </c>
      <c r="V1326" s="10">
        <f ca="1">Table1[[#This Row],[Maturity]]-TODAY()</f>
        <v>123</v>
      </c>
      <c r="W1326" t="str">
        <f>VLOOKUP(Table1[[#This Row],[Isin code]],Table2[#All],10,FALSE)</f>
        <v>At the End</v>
      </c>
      <c r="X1326">
        <f ca="1">_xlfn.DAYS(Table1[[#This Row],[Maturity]],TODAY())-15</f>
        <v>108</v>
      </c>
      <c r="Y132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6">
        <f>IF(Table1[[#This Row],[Ask Rate]]=0,0,Table1[[#This Row],[Face Value]]-Table1[[#This Row],[Ask Rate]])</f>
        <v>0</v>
      </c>
      <c r="AA132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6">
        <f>Table1[[#This Row],[Face Value]]*Table1[[#This Row],[Rate]]*Table1[[#This Row],[Time]]</f>
        <v>0</v>
      </c>
      <c r="AC1326">
        <f>Table1[[#This Row],[SI]]+Table1[[#This Row],[Disc/Prem]]</f>
        <v>0</v>
      </c>
      <c r="AD1326" s="3" t="e">
        <f>Table1[[#This Row],[Net Gain]]/Table1[[#This Row],[Ask Rate]]</f>
        <v>#DIV/0!</v>
      </c>
      <c r="AE1326" s="3">
        <f>IF(Table1[[#This Row],[Ask Qty]]=0,0,Table1[[#This Row],[Gross Yield]]*365/Table1[[#This Row],[Days Left]])</f>
        <v>0</v>
      </c>
      <c r="AF1326" s="9">
        <f>+Table1[[#This Row],[Net Gain]]*Table1[[#This Row],[Ask Qty]]</f>
        <v>0</v>
      </c>
      <c r="AG1326" t="str">
        <f>IF(Table1[[#This Row],[YTM]]&gt;0.12,IF(Table1[[#This Row],[Gross Profit]]&gt;10000,"Invest","Review"),"Low YTM")</f>
        <v>Low YTM</v>
      </c>
    </row>
    <row r="1327" spans="1:33" x14ac:dyDescent="0.3">
      <c r="A1327" t="str">
        <f>RTD("nest.scriprtd",,"bse_cm|IML23623","Symbol")</f>
        <v>IML23623</v>
      </c>
      <c r="B1327" t="str">
        <f>RTD("nest.scriprtd",,"bse_cm|IML23623","Trading Symbol")</f>
        <v>IML23623</v>
      </c>
      <c r="C1327" t="str">
        <f>RTD("nest.scriprtd",,"bse_cm|IML23623","Exchange")</f>
        <v>BSE</v>
      </c>
      <c r="D1327">
        <f>RTD("nest.scriprtd",,"bse_cm|IML23623","Bid Qty")</f>
        <v>54</v>
      </c>
      <c r="E1327">
        <f>RTD("nest.scriprtd",,"bse_cm|IML23623","Bid Rate")</f>
        <v>985.8</v>
      </c>
      <c r="F1327">
        <f>RTD("nest.scriprtd",,"bse_cm|IML23623","Ask Rate")</f>
        <v>0</v>
      </c>
      <c r="G1327">
        <f>RTD("nest.scriprtd",,"bse_cm|IML23623","Ask Qty")</f>
        <v>0</v>
      </c>
      <c r="H1327">
        <f>RTD("nest.scriprtd",,"bse_cm|IML23623","LTP")</f>
        <v>0</v>
      </c>
      <c r="I1327" t="str">
        <f>RTD("nest.scriprtd",,"bse_cm|IML23623","LTT")</f>
        <v>00:00:00</v>
      </c>
      <c r="J1327">
        <f>RTD("nest.scriprtd",,"bse_cm|IML23623","% Change")</f>
        <v>-100</v>
      </c>
      <c r="K1327">
        <f>RTD("nest.scriprtd",,"bse_cm|IML23623","ATP")</f>
        <v>0</v>
      </c>
      <c r="L1327">
        <f>RTD("nest.scriprtd",,"bse_cm|IML23623","Volume Traded Today")</f>
        <v>0</v>
      </c>
      <c r="M1327">
        <f>RTD("nest.scriprtd",,"bse_cm|IML23623","Open")</f>
        <v>0</v>
      </c>
      <c r="N1327">
        <f>RTD("nest.scriprtd",,"bse_cm|IML23623","High")</f>
        <v>1185</v>
      </c>
      <c r="O1327">
        <f>RTD("nest.scriprtd",,"bse_cm|IML23623","Low ")</f>
        <v>1185</v>
      </c>
      <c r="P1327">
        <f>RTD("nest.scriprtd",,"bse_cm|IML23623","Prev Close")</f>
        <v>1185</v>
      </c>
      <c r="Q1327">
        <f>RTD("nest.scriprtd",,"bse_cm|IML23623","Face Value")</f>
        <v>1000</v>
      </c>
      <c r="R1327" t="str">
        <f>RTD("nest.scriprtd",,"bse_cm|IML23623","Isin code")</f>
        <v>INE0BUS07973</v>
      </c>
      <c r="S1327" s="9">
        <f>Table1[[#This Row],[Ask Rate]]*Table1[[#This Row],[Ask Qty]]</f>
        <v>0</v>
      </c>
      <c r="T1327" t="str">
        <f>VLOOKUP(Table1[[#This Row],[Isin code]],Table2[#All],7,FALSE)</f>
        <v>--</v>
      </c>
      <c r="U1327" s="17" t="str">
        <f>VLOOKUP(Table1[[#This Row],[Isin code]],Table2[#All],8,FALSE)</f>
        <v>23-Jun-2025</v>
      </c>
      <c r="V1327" s="10">
        <f ca="1">Table1[[#This Row],[Maturity]]-TODAY()</f>
        <v>250</v>
      </c>
      <c r="W1327" t="str">
        <f>VLOOKUP(Table1[[#This Row],[Isin code]],Table2[#All],10,FALSE)</f>
        <v>At the End</v>
      </c>
      <c r="X1327">
        <f ca="1">_xlfn.DAYS(Table1[[#This Row],[Maturity]],TODAY())-15</f>
        <v>235</v>
      </c>
      <c r="Y132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7">
        <f>IF(Table1[[#This Row],[Ask Rate]]=0,0,Table1[[#This Row],[Face Value]]-Table1[[#This Row],[Ask Rate]])</f>
        <v>0</v>
      </c>
      <c r="AA132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7">
        <f>Table1[[#This Row],[Face Value]]*Table1[[#This Row],[Rate]]*Table1[[#This Row],[Time]]</f>
        <v>0</v>
      </c>
      <c r="AC1327">
        <f>Table1[[#This Row],[SI]]+Table1[[#This Row],[Disc/Prem]]</f>
        <v>0</v>
      </c>
      <c r="AD1327" s="3" t="e">
        <f>Table1[[#This Row],[Net Gain]]/Table1[[#This Row],[Ask Rate]]</f>
        <v>#DIV/0!</v>
      </c>
      <c r="AE1327" s="3">
        <f>IF(Table1[[#This Row],[Ask Qty]]=0,0,Table1[[#This Row],[Gross Yield]]*365/Table1[[#This Row],[Days Left]])</f>
        <v>0</v>
      </c>
      <c r="AF1327" s="9">
        <f>+Table1[[#This Row],[Net Gain]]*Table1[[#This Row],[Ask Qty]]</f>
        <v>0</v>
      </c>
      <c r="AG1327" t="str">
        <f>IF(Table1[[#This Row],[YTM]]&gt;0.12,IF(Table1[[#This Row],[Gross Profit]]&gt;10000,"Invest","Review"),"Low YTM")</f>
        <v>Low YTM</v>
      </c>
    </row>
    <row r="1328" spans="1:33" x14ac:dyDescent="0.3">
      <c r="A1328" t="str">
        <f>RTD("nest.scriprtd",,"bse_cm|IML1622024","Symbol")</f>
        <v>IML1622024</v>
      </c>
      <c r="B1328" t="str">
        <f>RTD("nest.scriprtd",,"bse_cm|IML1622024","Trading Symbol")</f>
        <v>IML1622024</v>
      </c>
      <c r="C1328" t="str">
        <f>RTD("nest.scriprtd",,"bse_cm|IML1622024","Exchange")</f>
        <v>BSE</v>
      </c>
      <c r="D1328">
        <f>RTD("nest.scriprtd",,"bse_cm|IML1622024","Bid Qty")</f>
        <v>18</v>
      </c>
      <c r="E1328">
        <f>RTD("nest.scriprtd",,"bse_cm|IML1622024","Bid Rate")</f>
        <v>870.2</v>
      </c>
      <c r="F1328">
        <f>RTD("nest.scriprtd",,"bse_cm|IML1622024","Ask Rate")</f>
        <v>0</v>
      </c>
      <c r="G1328">
        <f>RTD("nest.scriprtd",,"bse_cm|IML1622024","Ask Qty")</f>
        <v>0</v>
      </c>
      <c r="H1328">
        <f>RTD("nest.scriprtd",,"bse_cm|IML1622024","LTP")</f>
        <v>0</v>
      </c>
      <c r="I1328" t="str">
        <f>RTD("nest.scriprtd",,"bse_cm|IML1622024","LTT")</f>
        <v>00:00:00</v>
      </c>
      <c r="J1328">
        <f>RTD("nest.scriprtd",,"bse_cm|IML1622024","% Change")</f>
        <v>-100</v>
      </c>
      <c r="K1328">
        <f>RTD("nest.scriprtd",,"bse_cm|IML1622024","ATP")</f>
        <v>0</v>
      </c>
      <c r="L1328">
        <f>RTD("nest.scriprtd",,"bse_cm|IML1622024","Volume Traded Today")</f>
        <v>0</v>
      </c>
      <c r="M1328">
        <f>RTD("nest.scriprtd",,"bse_cm|IML1622024","Open")</f>
        <v>0</v>
      </c>
      <c r="N1328">
        <f>RTD("nest.scriprtd",,"bse_cm|IML1622024","High")</f>
        <v>1015</v>
      </c>
      <c r="O1328">
        <f>RTD("nest.scriprtd",,"bse_cm|IML1622024","Low ")</f>
        <v>1010</v>
      </c>
      <c r="P1328">
        <f>RTD("nest.scriprtd",,"bse_cm|IML1622024","Prev Close")</f>
        <v>1010</v>
      </c>
      <c r="Q1328">
        <f>RTD("nest.scriprtd",,"bse_cm|IML1622024","Face Value")</f>
        <v>1000</v>
      </c>
      <c r="R1328" t="str">
        <f>RTD("nest.scriprtd",,"bse_cm|IML1622024","Isin code")</f>
        <v>INE0BUS07AV1</v>
      </c>
      <c r="S1328" s="9">
        <f>Table1[[#This Row],[Ask Rate]]*Table1[[#This Row],[Ask Qty]]</f>
        <v>0</v>
      </c>
      <c r="T1328" t="str">
        <f>VLOOKUP(Table1[[#This Row],[Isin code]],Table2[#All],7,FALSE)</f>
        <v>--</v>
      </c>
      <c r="U1328" s="17" t="str">
        <f>VLOOKUP(Table1[[#This Row],[Isin code]],Table2[#All],8,FALSE)</f>
        <v>15-Feb-2030</v>
      </c>
      <c r="V1328" s="10">
        <f ca="1">Table1[[#This Row],[Maturity]]-TODAY()</f>
        <v>1948</v>
      </c>
      <c r="W1328" t="str">
        <f>VLOOKUP(Table1[[#This Row],[Isin code]],Table2[#All],10,FALSE)</f>
        <v>At the End</v>
      </c>
      <c r="X1328">
        <f ca="1">_xlfn.DAYS(Table1[[#This Row],[Maturity]],TODAY())-15</f>
        <v>1933</v>
      </c>
      <c r="Y132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8">
        <f>IF(Table1[[#This Row],[Ask Rate]]=0,0,Table1[[#This Row],[Face Value]]-Table1[[#This Row],[Ask Rate]])</f>
        <v>0</v>
      </c>
      <c r="AA132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8">
        <f>Table1[[#This Row],[Face Value]]*Table1[[#This Row],[Rate]]*Table1[[#This Row],[Time]]</f>
        <v>0</v>
      </c>
      <c r="AC1328">
        <f>Table1[[#This Row],[SI]]+Table1[[#This Row],[Disc/Prem]]</f>
        <v>0</v>
      </c>
      <c r="AD1328" s="3" t="e">
        <f>Table1[[#This Row],[Net Gain]]/Table1[[#This Row],[Ask Rate]]</f>
        <v>#DIV/0!</v>
      </c>
      <c r="AE1328" s="3">
        <f>IF(Table1[[#This Row],[Ask Qty]]=0,0,Table1[[#This Row],[Gross Yield]]*365/Table1[[#This Row],[Days Left]])</f>
        <v>0</v>
      </c>
      <c r="AF1328" s="9">
        <f>+Table1[[#This Row],[Net Gain]]*Table1[[#This Row],[Ask Qty]]</f>
        <v>0</v>
      </c>
      <c r="AG1328" t="str">
        <f>IF(Table1[[#This Row],[YTM]]&gt;0.12,IF(Table1[[#This Row],[Gross Profit]]&gt;10000,"Invest","Review"),"Low YTM")</f>
        <v>Low YTM</v>
      </c>
    </row>
    <row r="1329" spans="1:33" x14ac:dyDescent="0.3">
      <c r="A1329" t="str">
        <f>RTD("nest.scriprtd",,"bse_cm|IML160224","Symbol")</f>
        <v>IML160224</v>
      </c>
      <c r="B1329" t="str">
        <f>RTD("nest.scriprtd",,"bse_cm|IML160224","Trading Symbol")</f>
        <v>IML160224</v>
      </c>
      <c r="C1329" t="str">
        <f>RTD("nest.scriprtd",,"bse_cm|IML160224","Exchange")</f>
        <v>BSE</v>
      </c>
      <c r="D1329">
        <f>RTD("nest.scriprtd",,"bse_cm|IML160224","Bid Qty")</f>
        <v>17</v>
      </c>
      <c r="E1329">
        <f>RTD("nest.scriprtd",,"bse_cm|IML160224","Bid Rate")</f>
        <v>855.1</v>
      </c>
      <c r="F1329">
        <f>RTD("nest.scriprtd",,"bse_cm|IML160224","Ask Rate")</f>
        <v>0</v>
      </c>
      <c r="G1329">
        <f>RTD("nest.scriprtd",,"bse_cm|IML160224","Ask Qty")</f>
        <v>0</v>
      </c>
      <c r="H1329">
        <f>RTD("nest.scriprtd",,"bse_cm|IML160224","LTP")</f>
        <v>0</v>
      </c>
      <c r="I1329" t="str">
        <f>RTD("nest.scriprtd",,"bse_cm|IML160224","LTT")</f>
        <v>00:00:00</v>
      </c>
      <c r="J1329">
        <f>RTD("nest.scriprtd",,"bse_cm|IML160224","% Change")</f>
        <v>-100</v>
      </c>
      <c r="K1329">
        <f>RTD("nest.scriprtd",,"bse_cm|IML160224","ATP")</f>
        <v>0</v>
      </c>
      <c r="L1329">
        <f>RTD("nest.scriprtd",,"bse_cm|IML160224","Volume Traded Today")</f>
        <v>0</v>
      </c>
      <c r="M1329">
        <f>RTD("nest.scriprtd",,"bse_cm|IML160224","Open")</f>
        <v>0</v>
      </c>
      <c r="N1329">
        <f>RTD("nest.scriprtd",,"bse_cm|IML160224","High")</f>
        <v>958.39</v>
      </c>
      <c r="O1329">
        <f>RTD("nest.scriprtd",,"bse_cm|IML160224","Low ")</f>
        <v>933.33</v>
      </c>
      <c r="P1329">
        <f>RTD("nest.scriprtd",,"bse_cm|IML160224","Prev Close")</f>
        <v>958.39</v>
      </c>
      <c r="Q1329">
        <f>RTD("nest.scriprtd",,"bse_cm|IML160224","Face Value")</f>
        <v>1000</v>
      </c>
      <c r="R1329" t="str">
        <f>RTD("nest.scriprtd",,"bse_cm|IML160224","Isin code")</f>
        <v>INE0BUS07AU3</v>
      </c>
      <c r="S1329" s="9">
        <f>Table1[[#This Row],[Ask Rate]]*Table1[[#This Row],[Ask Qty]]</f>
        <v>0</v>
      </c>
      <c r="T1329" t="str">
        <f>VLOOKUP(Table1[[#This Row],[Isin code]],Table2[#All],7,FALSE)</f>
        <v>--</v>
      </c>
      <c r="U1329" s="17" t="str">
        <f>VLOOKUP(Table1[[#This Row],[Isin code]],Table2[#All],8,FALSE)</f>
        <v>15-Feb-2027</v>
      </c>
      <c r="V1329" s="10">
        <f ca="1">Table1[[#This Row],[Maturity]]-TODAY()</f>
        <v>852</v>
      </c>
      <c r="W1329" t="str">
        <f>VLOOKUP(Table1[[#This Row],[Isin code]],Table2[#All],10,FALSE)</f>
        <v>At the End</v>
      </c>
      <c r="X1329">
        <f ca="1">_xlfn.DAYS(Table1[[#This Row],[Maturity]],TODAY())-15</f>
        <v>837</v>
      </c>
      <c r="Y132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29">
        <f>IF(Table1[[#This Row],[Ask Rate]]=0,0,Table1[[#This Row],[Face Value]]-Table1[[#This Row],[Ask Rate]])</f>
        <v>0</v>
      </c>
      <c r="AA132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29">
        <f>Table1[[#This Row],[Face Value]]*Table1[[#This Row],[Rate]]*Table1[[#This Row],[Time]]</f>
        <v>0</v>
      </c>
      <c r="AC1329">
        <f>Table1[[#This Row],[SI]]+Table1[[#This Row],[Disc/Prem]]</f>
        <v>0</v>
      </c>
      <c r="AD1329" s="3" t="e">
        <f>Table1[[#This Row],[Net Gain]]/Table1[[#This Row],[Ask Rate]]</f>
        <v>#DIV/0!</v>
      </c>
      <c r="AE1329" s="3">
        <f>IF(Table1[[#This Row],[Ask Qty]]=0,0,Table1[[#This Row],[Gross Yield]]*365/Table1[[#This Row],[Days Left]])</f>
        <v>0</v>
      </c>
      <c r="AF1329" s="9">
        <f>+Table1[[#This Row],[Net Gain]]*Table1[[#This Row],[Ask Qty]]</f>
        <v>0</v>
      </c>
      <c r="AG1329" t="str">
        <f>IF(Table1[[#This Row],[YTM]]&gt;0.12,IF(Table1[[#This Row],[Gross Profit]]&gt;10000,"Invest","Review"),"Low YTM")</f>
        <v>Low YTM</v>
      </c>
    </row>
    <row r="1330" spans="1:33" x14ac:dyDescent="0.3">
      <c r="A1330" t="str">
        <f>RTD("nest.scriprtd",,"bse_cm|ICCL25","Symbol")</f>
        <v>ICCL25</v>
      </c>
      <c r="B1330" t="str">
        <f>RTD("nest.scriprtd",,"bse_cm|ICCL25","Trading Symbol")</f>
        <v>ICCL25</v>
      </c>
      <c r="C1330" t="str">
        <f>RTD("nest.scriprtd",,"bse_cm|ICCL25","Exchange")</f>
        <v>BSE</v>
      </c>
      <c r="D1330">
        <f>RTD("nest.scriprtd",,"bse_cm|ICCL25","Bid Qty")</f>
        <v>170</v>
      </c>
      <c r="E1330">
        <f>RTD("nest.scriprtd",,"bse_cm|ICCL25","Bid Rate")</f>
        <v>1100.2</v>
      </c>
      <c r="F1330">
        <f>RTD("nest.scriprtd",,"bse_cm|ICCL25","Ask Rate")</f>
        <v>0</v>
      </c>
      <c r="G1330">
        <f>RTD("nest.scriprtd",,"bse_cm|ICCL25","Ask Qty")</f>
        <v>0</v>
      </c>
      <c r="H1330">
        <f>RTD("nest.scriprtd",,"bse_cm|ICCL25","LTP")</f>
        <v>0</v>
      </c>
      <c r="I1330" t="str">
        <f>RTD("nest.scriprtd",,"bse_cm|ICCL25","LTT")</f>
        <v>00:00:00</v>
      </c>
      <c r="J1330">
        <f>RTD("nest.scriprtd",,"bse_cm|ICCL25","% Change")</f>
        <v>-100</v>
      </c>
      <c r="K1330">
        <f>RTD("nest.scriprtd",,"bse_cm|ICCL25","ATP")</f>
        <v>0</v>
      </c>
      <c r="L1330">
        <f>RTD("nest.scriprtd",,"bse_cm|ICCL25","Volume Traded Today")</f>
        <v>0</v>
      </c>
      <c r="M1330">
        <f>RTD("nest.scriprtd",,"bse_cm|ICCL25","Open")</f>
        <v>0</v>
      </c>
      <c r="N1330">
        <f>RTD("nest.scriprtd",,"bse_cm|ICCL25","High")</f>
        <v>1141.8399999999999</v>
      </c>
      <c r="O1330">
        <f>RTD("nest.scriprtd",,"bse_cm|ICCL25","Low ")</f>
        <v>1141.8399999999999</v>
      </c>
      <c r="P1330">
        <f>RTD("nest.scriprtd",,"bse_cm|ICCL25","Prev Close")</f>
        <v>1141.8399999999999</v>
      </c>
      <c r="Q1330">
        <f>RTD("nest.scriprtd",,"bse_cm|ICCL25","Face Value")</f>
        <v>1000</v>
      </c>
      <c r="R1330" t="str">
        <f>RTD("nest.scriprtd",,"bse_cm|ICCL25","Isin code")</f>
        <v>INE244L07473</v>
      </c>
      <c r="S1330" s="9">
        <f>Table1[[#This Row],[Ask Rate]]*Table1[[#This Row],[Ask Qty]]</f>
        <v>0</v>
      </c>
      <c r="T1330">
        <f>VLOOKUP(Table1[[#This Row],[Isin code]],Table2[#All],7,FALSE)</f>
        <v>0</v>
      </c>
      <c r="U1330" s="17" t="str">
        <f>VLOOKUP(Table1[[#This Row],[Isin code]],Table2[#All],8,FALSE)</f>
        <v>25-Apr-2025</v>
      </c>
      <c r="V1330" s="10">
        <f ca="1">Table1[[#This Row],[Maturity]]-TODAY()</f>
        <v>191</v>
      </c>
      <c r="W1330" t="str">
        <f>VLOOKUP(Table1[[#This Row],[Isin code]],Table2[#All],10,FALSE)</f>
        <v>At the End</v>
      </c>
      <c r="X1330">
        <f ca="1">_xlfn.DAYS(Table1[[#This Row],[Maturity]],TODAY())-15</f>
        <v>176</v>
      </c>
      <c r="Y133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30">
        <f>IF(Table1[[#This Row],[Ask Rate]]=0,0,Table1[[#This Row],[Face Value]]-Table1[[#This Row],[Ask Rate]])</f>
        <v>0</v>
      </c>
      <c r="AA133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30">
        <f>Table1[[#This Row],[Face Value]]*Table1[[#This Row],[Rate]]*Table1[[#This Row],[Time]]</f>
        <v>0</v>
      </c>
      <c r="AC1330">
        <f>Table1[[#This Row],[SI]]+Table1[[#This Row],[Disc/Prem]]</f>
        <v>0</v>
      </c>
      <c r="AD1330" s="3" t="e">
        <f>Table1[[#This Row],[Net Gain]]/Table1[[#This Row],[Ask Rate]]</f>
        <v>#DIV/0!</v>
      </c>
      <c r="AE1330" s="3">
        <f>IF(Table1[[#This Row],[Ask Qty]]=0,0,Table1[[#This Row],[Gross Yield]]*365/Table1[[#This Row],[Days Left]])</f>
        <v>0</v>
      </c>
      <c r="AF1330" s="9">
        <f>+Table1[[#This Row],[Net Gain]]*Table1[[#This Row],[Ask Qty]]</f>
        <v>0</v>
      </c>
      <c r="AG1330" t="str">
        <f>IF(Table1[[#This Row],[YTM]]&gt;0.12,IF(Table1[[#This Row],[Gross Profit]]&gt;10000,"Invest","Review"),"Low YTM")</f>
        <v>Low YTM</v>
      </c>
    </row>
    <row r="1331" spans="1:33" x14ac:dyDescent="0.3">
      <c r="A1331" t="str">
        <f>RTD("nest.scriprtd",,"bse_cm|EFSLZC28C","Symbol")</f>
        <v>EFSLZC28C</v>
      </c>
      <c r="B1331" t="str">
        <f>RTD("nest.scriprtd",,"bse_cm|EFSLZC28C","Trading Symbol")</f>
        <v>EFSLZC28C</v>
      </c>
      <c r="C1331" t="str">
        <f>RTD("nest.scriprtd",,"bse_cm|EFSLZC28C","Exchange")</f>
        <v>BSE</v>
      </c>
      <c r="D1331">
        <f>RTD("nest.scriprtd",,"bse_cm|EFSLZC28C","Bid Qty")</f>
        <v>14</v>
      </c>
      <c r="E1331">
        <f>RTD("nest.scriprtd",,"bse_cm|EFSLZC28C","Bid Rate")</f>
        <v>893.8</v>
      </c>
      <c r="F1331">
        <f>RTD("nest.scriprtd",,"bse_cm|EFSLZC28C","Ask Rate")</f>
        <v>0</v>
      </c>
      <c r="G1331">
        <f>RTD("nest.scriprtd",,"bse_cm|EFSLZC28C","Ask Qty")</f>
        <v>0</v>
      </c>
      <c r="H1331">
        <f>RTD("nest.scriprtd",,"bse_cm|EFSLZC28C","LTP")</f>
        <v>0</v>
      </c>
      <c r="I1331" t="str">
        <f>RTD("nest.scriprtd",,"bse_cm|EFSLZC28C","LTT")</f>
        <v>00:00:00</v>
      </c>
      <c r="J1331">
        <f>RTD("nest.scriprtd",,"bse_cm|EFSLZC28C","% Change")</f>
        <v>-100</v>
      </c>
      <c r="K1331">
        <f>RTD("nest.scriprtd",,"bse_cm|EFSLZC28C","ATP")</f>
        <v>0</v>
      </c>
      <c r="L1331">
        <f>RTD("nest.scriprtd",,"bse_cm|EFSLZC28C","Volume Traded Today")</f>
        <v>0</v>
      </c>
      <c r="M1331">
        <f>RTD("nest.scriprtd",,"bse_cm|EFSLZC28C","Open")</f>
        <v>0</v>
      </c>
      <c r="N1331">
        <f>RTD("nest.scriprtd",,"bse_cm|EFSLZC28C","High")</f>
        <v>965</v>
      </c>
      <c r="O1331">
        <f>RTD("nest.scriprtd",,"bse_cm|EFSLZC28C","Low ")</f>
        <v>894</v>
      </c>
      <c r="P1331">
        <f>RTD("nest.scriprtd",,"bse_cm|EFSLZC28C","Prev Close")</f>
        <v>965</v>
      </c>
      <c r="Q1331">
        <f>RTD("nest.scriprtd",,"bse_cm|EFSLZC28C","Face Value")</f>
        <v>1000</v>
      </c>
      <c r="R1331" t="str">
        <f>RTD("nest.scriprtd",,"bse_cm|EFSLZC28C","Isin code")</f>
        <v>INE532F07EN5</v>
      </c>
      <c r="S1331" s="9">
        <f>Table1[[#This Row],[Ask Rate]]*Table1[[#This Row],[Ask Qty]]</f>
        <v>0</v>
      </c>
      <c r="T1331" t="str">
        <f>VLOOKUP(Table1[[#This Row],[Isin code]],Table2[#All],7,FALSE)</f>
        <v>--</v>
      </c>
      <c r="U1331" s="17" t="str">
        <f>VLOOKUP(Table1[[#This Row],[Isin code]],Table2[#All],8,FALSE)</f>
        <v>26-Oct-2028</v>
      </c>
      <c r="V1331" s="10">
        <f ca="1">Table1[[#This Row],[Maturity]]-TODAY()</f>
        <v>1471</v>
      </c>
      <c r="W1331" t="str">
        <f>VLOOKUP(Table1[[#This Row],[Isin code]],Table2[#All],10,FALSE)</f>
        <v>At the End</v>
      </c>
      <c r="X1331">
        <f ca="1">_xlfn.DAYS(Table1[[#This Row],[Maturity]],TODAY())-15</f>
        <v>1456</v>
      </c>
      <c r="Y133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31">
        <f>IF(Table1[[#This Row],[Ask Rate]]=0,0,Table1[[#This Row],[Face Value]]-Table1[[#This Row],[Ask Rate]])</f>
        <v>0</v>
      </c>
      <c r="AA133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31">
        <f>Table1[[#This Row],[Face Value]]*Table1[[#This Row],[Rate]]*Table1[[#This Row],[Time]]</f>
        <v>0</v>
      </c>
      <c r="AC1331">
        <f>Table1[[#This Row],[SI]]+Table1[[#This Row],[Disc/Prem]]</f>
        <v>0</v>
      </c>
      <c r="AD1331" s="3" t="e">
        <f>Table1[[#This Row],[Net Gain]]/Table1[[#This Row],[Ask Rate]]</f>
        <v>#DIV/0!</v>
      </c>
      <c r="AE1331" s="3">
        <f>IF(Table1[[#This Row],[Ask Qty]]=0,0,Table1[[#This Row],[Gross Yield]]*365/Table1[[#This Row],[Days Left]])</f>
        <v>0</v>
      </c>
      <c r="AF1331" s="9">
        <f>+Table1[[#This Row],[Net Gain]]*Table1[[#This Row],[Ask Qty]]</f>
        <v>0</v>
      </c>
      <c r="AG1331" t="str">
        <f>IF(Table1[[#This Row],[YTM]]&gt;0.12,IF(Table1[[#This Row],[Gross Profit]]&gt;10000,"Invest","Review"),"Low YTM")</f>
        <v>Low YTM</v>
      </c>
    </row>
    <row r="1332" spans="1:33" x14ac:dyDescent="0.3">
      <c r="A1332" t="str">
        <f>RTD("nest.scriprtd",,"bse_cm|EFSLZC26C","Symbol")</f>
        <v>EFSLZC26C</v>
      </c>
      <c r="B1332" t="str">
        <f>RTD("nest.scriprtd",,"bse_cm|EFSLZC26C","Trading Symbol")</f>
        <v>EFSLZC26C</v>
      </c>
      <c r="C1332" t="str">
        <f>RTD("nest.scriprtd",,"bse_cm|EFSLZC26C","Exchange")</f>
        <v>BSE</v>
      </c>
      <c r="D1332">
        <f>RTD("nest.scriprtd",,"bse_cm|EFSLZC26C","Bid Qty")</f>
        <v>170</v>
      </c>
      <c r="E1332">
        <f>RTD("nest.scriprtd",,"bse_cm|EFSLZC26C","Bid Rate")</f>
        <v>985.2</v>
      </c>
      <c r="F1332">
        <f>RTD("nest.scriprtd",,"bse_cm|EFSLZC26C","Ask Rate")</f>
        <v>0</v>
      </c>
      <c r="G1332">
        <f>RTD("nest.scriprtd",,"bse_cm|EFSLZC26C","Ask Qty")</f>
        <v>0</v>
      </c>
      <c r="H1332">
        <f>RTD("nest.scriprtd",,"bse_cm|EFSLZC26C","LTP")</f>
        <v>0</v>
      </c>
      <c r="I1332" t="str">
        <f>RTD("nest.scriprtd",,"bse_cm|EFSLZC26C","LTT")</f>
        <v>00:00:00</v>
      </c>
      <c r="J1332">
        <f>RTD("nest.scriprtd",,"bse_cm|EFSLZC26C","% Change")</f>
        <v>-100</v>
      </c>
      <c r="K1332">
        <f>RTD("nest.scriprtd",,"bse_cm|EFSLZC26C","ATP")</f>
        <v>0</v>
      </c>
      <c r="L1332">
        <f>RTD("nest.scriprtd",,"bse_cm|EFSLZC26C","Volume Traded Today")</f>
        <v>0</v>
      </c>
      <c r="M1332">
        <f>RTD("nest.scriprtd",,"bse_cm|EFSLZC26C","Open")</f>
        <v>0</v>
      </c>
      <c r="N1332">
        <f>RTD("nest.scriprtd",,"bse_cm|EFSLZC26C","High")</f>
        <v>1009.9</v>
      </c>
      <c r="O1332">
        <f>RTD("nest.scriprtd",,"bse_cm|EFSLZC26C","Low ")</f>
        <v>1009.9</v>
      </c>
      <c r="P1332">
        <f>RTD("nest.scriprtd",,"bse_cm|EFSLZC26C","Prev Close")</f>
        <v>1009.9</v>
      </c>
      <c r="Q1332">
        <f>RTD("nest.scriprtd",,"bse_cm|EFSLZC26C","Face Value")</f>
        <v>1000</v>
      </c>
      <c r="R1332" t="str">
        <f>RTD("nest.scriprtd",,"bse_cm|EFSLZC26C","Isin code")</f>
        <v>INE532F07ES4</v>
      </c>
      <c r="S1332" s="9">
        <f>Table1[[#This Row],[Ask Rate]]*Table1[[#This Row],[Ask Qty]]</f>
        <v>0</v>
      </c>
      <c r="T1332" t="str">
        <f>VLOOKUP(Table1[[#This Row],[Isin code]],Table2[#All],7,FALSE)</f>
        <v>--</v>
      </c>
      <c r="U1332" s="17" t="str">
        <f>VLOOKUP(Table1[[#This Row],[Isin code]],Table2[#All],8,FALSE)</f>
        <v>26-Oct-2026</v>
      </c>
      <c r="V1332" s="10">
        <f ca="1">Table1[[#This Row],[Maturity]]-TODAY()</f>
        <v>740</v>
      </c>
      <c r="W1332" t="str">
        <f>VLOOKUP(Table1[[#This Row],[Isin code]],Table2[#All],10,FALSE)</f>
        <v>At the End</v>
      </c>
      <c r="X1332">
        <f ca="1">_xlfn.DAYS(Table1[[#This Row],[Maturity]],TODAY())-15</f>
        <v>725</v>
      </c>
      <c r="Y133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32">
        <f>IF(Table1[[#This Row],[Ask Rate]]=0,0,Table1[[#This Row],[Face Value]]-Table1[[#This Row],[Ask Rate]])</f>
        <v>0</v>
      </c>
      <c r="AA133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32">
        <f>Table1[[#This Row],[Face Value]]*Table1[[#This Row],[Rate]]*Table1[[#This Row],[Time]]</f>
        <v>0</v>
      </c>
      <c r="AC1332">
        <f>Table1[[#This Row],[SI]]+Table1[[#This Row],[Disc/Prem]]</f>
        <v>0</v>
      </c>
      <c r="AD1332" s="3" t="e">
        <f>Table1[[#This Row],[Net Gain]]/Table1[[#This Row],[Ask Rate]]</f>
        <v>#DIV/0!</v>
      </c>
      <c r="AE1332" s="3">
        <f>IF(Table1[[#This Row],[Ask Qty]]=0,0,Table1[[#This Row],[Gross Yield]]*365/Table1[[#This Row],[Days Left]])</f>
        <v>0</v>
      </c>
      <c r="AF1332" s="9">
        <f>+Table1[[#This Row],[Net Gain]]*Table1[[#This Row],[Ask Qty]]</f>
        <v>0</v>
      </c>
      <c r="AG1332" t="str">
        <f>IF(Table1[[#This Row],[YTM]]&gt;0.12,IF(Table1[[#This Row],[Gross Profit]]&gt;10000,"Invest","Review"),"Low YTM")</f>
        <v>Low YTM</v>
      </c>
    </row>
    <row r="1333" spans="1:33" x14ac:dyDescent="0.3">
      <c r="A1333" t="str">
        <f>RTD("nest.scriprtd",,"bse_cm|EFSLZC25A","Symbol")</f>
        <v>EFSLZC25A</v>
      </c>
      <c r="B1333" t="str">
        <f>RTD("nest.scriprtd",,"bse_cm|EFSLZC25A","Trading Symbol")</f>
        <v>EFSLZC25A</v>
      </c>
      <c r="C1333" t="str">
        <f>RTD("nest.scriprtd",,"bse_cm|EFSLZC25A","Exchange")</f>
        <v>BSE</v>
      </c>
      <c r="D1333">
        <f>RTD("nest.scriprtd",,"bse_cm|EFSLZC25A","Bid Qty")</f>
        <v>9</v>
      </c>
      <c r="E1333">
        <f>RTD("nest.scriprtd",,"bse_cm|EFSLZC25A","Bid Rate")</f>
        <v>1017</v>
      </c>
      <c r="F1333">
        <f>RTD("nest.scriprtd",,"bse_cm|EFSLZC25A","Ask Rate")</f>
        <v>0</v>
      </c>
      <c r="G1333">
        <f>RTD("nest.scriprtd",,"bse_cm|EFSLZC25A","Ask Qty")</f>
        <v>0</v>
      </c>
      <c r="H1333">
        <f>RTD("nest.scriprtd",,"bse_cm|EFSLZC25A","LTP")</f>
        <v>0</v>
      </c>
      <c r="I1333" t="str">
        <f>RTD("nest.scriprtd",,"bse_cm|EFSLZC25A","LTT")</f>
        <v>00:00:00</v>
      </c>
      <c r="J1333">
        <f>RTD("nest.scriprtd",,"bse_cm|EFSLZC25A","% Change")</f>
        <v>-100</v>
      </c>
      <c r="K1333">
        <f>RTD("nest.scriprtd",,"bse_cm|EFSLZC25A","ATP")</f>
        <v>0</v>
      </c>
      <c r="L1333">
        <f>RTD("nest.scriprtd",,"bse_cm|EFSLZC25A","Volume Traded Today")</f>
        <v>0</v>
      </c>
      <c r="M1333">
        <f>RTD("nest.scriprtd",,"bse_cm|EFSLZC25A","Open")</f>
        <v>0</v>
      </c>
      <c r="N1333">
        <f>RTD("nest.scriprtd",,"bse_cm|EFSLZC25A","High")</f>
        <v>1026</v>
      </c>
      <c r="O1333">
        <f>RTD("nest.scriprtd",,"bse_cm|EFSLZC25A","Low ")</f>
        <v>1026</v>
      </c>
      <c r="P1333">
        <f>RTD("nest.scriprtd",,"bse_cm|EFSLZC25A","Prev Close")</f>
        <v>1026</v>
      </c>
      <c r="Q1333">
        <f>RTD("nest.scriprtd",,"bse_cm|EFSLZC25A","Face Value")</f>
        <v>1000</v>
      </c>
      <c r="R1333" t="str">
        <f>RTD("nest.scriprtd",,"bse_cm|EFSLZC25A","Isin code")</f>
        <v>INE532F07ER6</v>
      </c>
      <c r="S1333" s="9">
        <f>Table1[[#This Row],[Ask Rate]]*Table1[[#This Row],[Ask Qty]]</f>
        <v>0</v>
      </c>
      <c r="T1333" t="str">
        <f>VLOOKUP(Table1[[#This Row],[Isin code]],Table2[#All],7,FALSE)</f>
        <v>--</v>
      </c>
      <c r="U1333" s="17" t="str">
        <f>VLOOKUP(Table1[[#This Row],[Isin code]],Table2[#All],8,FALSE)</f>
        <v>26-Oct-2025</v>
      </c>
      <c r="V1333" s="10">
        <f ca="1">Table1[[#This Row],[Maturity]]-TODAY()</f>
        <v>375</v>
      </c>
      <c r="W1333" t="str">
        <f>VLOOKUP(Table1[[#This Row],[Isin code]],Table2[#All],10,FALSE)</f>
        <v>At the End</v>
      </c>
      <c r="X1333">
        <f ca="1">_xlfn.DAYS(Table1[[#This Row],[Maturity]],TODAY())-15</f>
        <v>360</v>
      </c>
      <c r="Y133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33">
        <f>IF(Table1[[#This Row],[Ask Rate]]=0,0,Table1[[#This Row],[Face Value]]-Table1[[#This Row],[Ask Rate]])</f>
        <v>0</v>
      </c>
      <c r="AA133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33">
        <f>Table1[[#This Row],[Face Value]]*Table1[[#This Row],[Rate]]*Table1[[#This Row],[Time]]</f>
        <v>0</v>
      </c>
      <c r="AC1333">
        <f>Table1[[#This Row],[SI]]+Table1[[#This Row],[Disc/Prem]]</f>
        <v>0</v>
      </c>
      <c r="AD1333" s="3" t="e">
        <f>Table1[[#This Row],[Net Gain]]/Table1[[#This Row],[Ask Rate]]</f>
        <v>#DIV/0!</v>
      </c>
      <c r="AE1333" s="3">
        <f>IF(Table1[[#This Row],[Ask Qty]]=0,0,Table1[[#This Row],[Gross Yield]]*365/Table1[[#This Row],[Days Left]])</f>
        <v>0</v>
      </c>
      <c r="AF1333" s="9">
        <f>+Table1[[#This Row],[Net Gain]]*Table1[[#This Row],[Ask Qty]]</f>
        <v>0</v>
      </c>
      <c r="AG1333" t="str">
        <f>IF(Table1[[#This Row],[YTM]]&gt;0.12,IF(Table1[[#This Row],[Gross Profit]]&gt;10000,"Invest","Review"),"Low YTM")</f>
        <v>Low YTM</v>
      </c>
    </row>
    <row r="1334" spans="1:33" x14ac:dyDescent="0.3">
      <c r="A1334" t="str">
        <f>RTD("nest.scriprtd",,"bse_cm|EFSL290424","Symbol")</f>
        <v>EFSL290424</v>
      </c>
      <c r="B1334" t="str">
        <f>RTD("nest.scriprtd",,"bse_cm|EFSL290424","Trading Symbol")</f>
        <v>EFSL290424</v>
      </c>
      <c r="C1334" t="str">
        <f>RTD("nest.scriprtd",,"bse_cm|EFSL290424","Exchange")</f>
        <v>BSE</v>
      </c>
      <c r="D1334">
        <f>RTD("nest.scriprtd",,"bse_cm|EFSL290424","Bid Qty")</f>
        <v>10</v>
      </c>
      <c r="E1334">
        <f>RTD("nest.scriprtd",,"bse_cm|EFSL290424","Bid Rate")</f>
        <v>822</v>
      </c>
      <c r="F1334">
        <f>RTD("nest.scriprtd",,"bse_cm|EFSL290424","Ask Rate")</f>
        <v>0</v>
      </c>
      <c r="G1334">
        <f>RTD("nest.scriprtd",,"bse_cm|EFSL290424","Ask Qty")</f>
        <v>0</v>
      </c>
      <c r="H1334">
        <f>RTD("nest.scriprtd",,"bse_cm|EFSL290424","LTP")</f>
        <v>0</v>
      </c>
      <c r="I1334" t="str">
        <f>RTD("nest.scriprtd",,"bse_cm|EFSL290424","LTT")</f>
        <v>00:00:00</v>
      </c>
      <c r="J1334">
        <f>RTD("nest.scriprtd",,"bse_cm|EFSL290424","% Change")</f>
        <v>-100</v>
      </c>
      <c r="K1334">
        <f>RTD("nest.scriprtd",,"bse_cm|EFSL290424","ATP")</f>
        <v>0</v>
      </c>
      <c r="L1334">
        <f>RTD("nest.scriprtd",,"bse_cm|EFSL290424","Volume Traded Today")</f>
        <v>0</v>
      </c>
      <c r="M1334">
        <f>RTD("nest.scriprtd",,"bse_cm|EFSL290424","Open")</f>
        <v>0</v>
      </c>
      <c r="N1334">
        <f>RTD("nest.scriprtd",,"bse_cm|EFSL290424","High")</f>
        <v>921</v>
      </c>
      <c r="O1334">
        <f>RTD("nest.scriprtd",,"bse_cm|EFSL290424","Low ")</f>
        <v>822</v>
      </c>
      <c r="P1334">
        <f>RTD("nest.scriprtd",,"bse_cm|EFSL290424","Prev Close")</f>
        <v>822</v>
      </c>
      <c r="Q1334">
        <f>RTD("nest.scriprtd",,"bse_cm|EFSL290424","Face Value")</f>
        <v>1000</v>
      </c>
      <c r="R1334" t="str">
        <f>RTD("nest.scriprtd",,"bse_cm|EFSL290424","Isin code")</f>
        <v>INE532F07FE1</v>
      </c>
      <c r="S1334" s="9">
        <f>Table1[[#This Row],[Ask Rate]]*Table1[[#This Row],[Ask Qty]]</f>
        <v>0</v>
      </c>
      <c r="T1334" t="str">
        <f>VLOOKUP(Table1[[#This Row],[Isin code]],Table2[#All],7,FALSE)</f>
        <v>--</v>
      </c>
      <c r="U1334" s="17" t="str">
        <f>VLOOKUP(Table1[[#This Row],[Isin code]],Table2[#All],8,FALSE)</f>
        <v>29-Apr-2026</v>
      </c>
      <c r="V1334" s="10">
        <f ca="1">Table1[[#This Row],[Maturity]]-TODAY()</f>
        <v>560</v>
      </c>
      <c r="W1334" t="str">
        <f>VLOOKUP(Table1[[#This Row],[Isin code]],Table2[#All],10,FALSE)</f>
        <v>At the End</v>
      </c>
      <c r="X1334">
        <f ca="1">_xlfn.DAYS(Table1[[#This Row],[Maturity]],TODAY())-15</f>
        <v>545</v>
      </c>
      <c r="Y133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34">
        <f>IF(Table1[[#This Row],[Ask Rate]]=0,0,Table1[[#This Row],[Face Value]]-Table1[[#This Row],[Ask Rate]])</f>
        <v>0</v>
      </c>
      <c r="AA133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34">
        <f>Table1[[#This Row],[Face Value]]*Table1[[#This Row],[Rate]]*Table1[[#This Row],[Time]]</f>
        <v>0</v>
      </c>
      <c r="AC1334">
        <f>Table1[[#This Row],[SI]]+Table1[[#This Row],[Disc/Prem]]</f>
        <v>0</v>
      </c>
      <c r="AD1334" s="3" t="e">
        <f>Table1[[#This Row],[Net Gain]]/Table1[[#This Row],[Ask Rate]]</f>
        <v>#DIV/0!</v>
      </c>
      <c r="AE1334" s="3">
        <f>IF(Table1[[#This Row],[Ask Qty]]=0,0,Table1[[#This Row],[Gross Yield]]*365/Table1[[#This Row],[Days Left]])</f>
        <v>0</v>
      </c>
      <c r="AF1334" s="9">
        <f>+Table1[[#This Row],[Net Gain]]*Table1[[#This Row],[Ask Qty]]</f>
        <v>0</v>
      </c>
      <c r="AG1334" t="str">
        <f>IF(Table1[[#This Row],[YTM]]&gt;0.12,IF(Table1[[#This Row],[Gross Profit]]&gt;10000,"Invest","Review"),"Low YTM")</f>
        <v>Low YTM</v>
      </c>
    </row>
    <row r="1335" spans="1:33" x14ac:dyDescent="0.3">
      <c r="A1335" t="str">
        <f>RTD("nest.scriprtd",,"bse_cm|EFSL28A","Symbol")</f>
        <v>EFSL28A</v>
      </c>
      <c r="B1335" t="str">
        <f>RTD("nest.scriprtd",,"bse_cm|EFSL28A","Trading Symbol")</f>
        <v>EFSL28A</v>
      </c>
      <c r="C1335" t="str">
        <f>RTD("nest.scriprtd",,"bse_cm|EFSL28A","Exchange")</f>
        <v>BSE</v>
      </c>
      <c r="D1335">
        <f>RTD("nest.scriprtd",,"bse_cm|EFSL28A","Bid Qty")</f>
        <v>20</v>
      </c>
      <c r="E1335">
        <f>RTD("nest.scriprtd",,"bse_cm|EFSL28A","Bid Rate")</f>
        <v>870.3</v>
      </c>
      <c r="F1335">
        <f>RTD("nest.scriprtd",,"bse_cm|EFSL28A","Ask Rate")</f>
        <v>0</v>
      </c>
      <c r="G1335">
        <f>RTD("nest.scriprtd",,"bse_cm|EFSL28A","Ask Qty")</f>
        <v>0</v>
      </c>
      <c r="H1335">
        <f>RTD("nest.scriprtd",,"bse_cm|EFSL28A","LTP")</f>
        <v>0</v>
      </c>
      <c r="I1335" t="str">
        <f>RTD("nest.scriprtd",,"bse_cm|EFSL28A","LTT")</f>
        <v>00:00:00</v>
      </c>
      <c r="J1335">
        <f>RTD("nest.scriprtd",,"bse_cm|EFSL28A","% Change")</f>
        <v>-100</v>
      </c>
      <c r="K1335">
        <f>RTD("nest.scriprtd",,"bse_cm|EFSL28A","ATP")</f>
        <v>0</v>
      </c>
      <c r="L1335">
        <f>RTD("nest.scriprtd",,"bse_cm|EFSL28A","Volume Traded Today")</f>
        <v>0</v>
      </c>
      <c r="M1335">
        <f>RTD("nest.scriprtd",,"bse_cm|EFSL28A","Open")</f>
        <v>0</v>
      </c>
      <c r="N1335">
        <f>RTD("nest.scriprtd",,"bse_cm|EFSL28A","High")</f>
        <v>990</v>
      </c>
      <c r="O1335">
        <f>RTD("nest.scriprtd",,"bse_cm|EFSL28A","Low ")</f>
        <v>960.4</v>
      </c>
      <c r="P1335">
        <f>RTD("nest.scriprtd",,"bse_cm|EFSL28A","Prev Close")</f>
        <v>990</v>
      </c>
      <c r="Q1335">
        <f>RTD("nest.scriprtd",,"bse_cm|EFSL28A","Face Value")</f>
        <v>1000</v>
      </c>
      <c r="R1335" t="str">
        <f>RTD("nest.scriprtd",,"bse_cm|EFSL28A","Isin code")</f>
        <v>INE532F07EF1</v>
      </c>
      <c r="S1335" s="9">
        <f>Table1[[#This Row],[Ask Rate]]*Table1[[#This Row],[Ask Qty]]</f>
        <v>0</v>
      </c>
      <c r="T1335" t="str">
        <f>VLOOKUP(Table1[[#This Row],[Isin code]],Table2[#All],7,FALSE)</f>
        <v>--</v>
      </c>
      <c r="U1335" s="17" t="str">
        <f>VLOOKUP(Table1[[#This Row],[Isin code]],Table2[#All],8,FALSE)</f>
        <v>21-Jul-2028</v>
      </c>
      <c r="V1335" s="10">
        <f ca="1">Table1[[#This Row],[Maturity]]-TODAY()</f>
        <v>1374</v>
      </c>
      <c r="W1335" t="str">
        <f>VLOOKUP(Table1[[#This Row],[Isin code]],Table2[#All],10,FALSE)</f>
        <v>At the End</v>
      </c>
      <c r="X1335">
        <f ca="1">_xlfn.DAYS(Table1[[#This Row],[Maturity]],TODAY())-15</f>
        <v>1359</v>
      </c>
      <c r="Y133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35">
        <f>IF(Table1[[#This Row],[Ask Rate]]=0,0,Table1[[#This Row],[Face Value]]-Table1[[#This Row],[Ask Rate]])</f>
        <v>0</v>
      </c>
      <c r="AA133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35">
        <f>Table1[[#This Row],[Face Value]]*Table1[[#This Row],[Rate]]*Table1[[#This Row],[Time]]</f>
        <v>0</v>
      </c>
      <c r="AC1335">
        <f>Table1[[#This Row],[SI]]+Table1[[#This Row],[Disc/Prem]]</f>
        <v>0</v>
      </c>
      <c r="AD1335" s="3" t="e">
        <f>Table1[[#This Row],[Net Gain]]/Table1[[#This Row],[Ask Rate]]</f>
        <v>#DIV/0!</v>
      </c>
      <c r="AE1335" s="3">
        <f>IF(Table1[[#This Row],[Ask Qty]]=0,0,Table1[[#This Row],[Gross Yield]]*365/Table1[[#This Row],[Days Left]])</f>
        <v>0</v>
      </c>
      <c r="AF1335" s="9">
        <f>+Table1[[#This Row],[Net Gain]]*Table1[[#This Row],[Ask Qty]]</f>
        <v>0</v>
      </c>
      <c r="AG1335" t="str">
        <f>IF(Table1[[#This Row],[YTM]]&gt;0.12,IF(Table1[[#This Row],[Gross Profit]]&gt;10000,"Invest","Review"),"Low YTM")</f>
        <v>Low YTM</v>
      </c>
    </row>
    <row r="1336" spans="1:33" x14ac:dyDescent="0.3">
      <c r="A1336" t="str">
        <f>RTD("nest.scriprtd",,"bse_cm|EFSL26724","Symbol")</f>
        <v>EFSL26724</v>
      </c>
      <c r="B1336" t="str">
        <f>RTD("nest.scriprtd",,"bse_cm|EFSL26724","Trading Symbol")</f>
        <v>EFSL26724</v>
      </c>
      <c r="C1336" t="str">
        <f>RTD("nest.scriprtd",,"bse_cm|EFSL26724","Exchange")</f>
        <v>BSE</v>
      </c>
      <c r="D1336">
        <f>RTD("nest.scriprtd",,"bse_cm|EFSL26724","Bid Qty")</f>
        <v>5</v>
      </c>
      <c r="E1336">
        <f>RTD("nest.scriprtd",,"bse_cm|EFSL26724","Bid Rate")</f>
        <v>855.2</v>
      </c>
      <c r="F1336">
        <f>RTD("nest.scriprtd",,"bse_cm|EFSL26724","Ask Rate")</f>
        <v>0</v>
      </c>
      <c r="G1336">
        <f>RTD("nest.scriprtd",,"bse_cm|EFSL26724","Ask Qty")</f>
        <v>0</v>
      </c>
      <c r="H1336">
        <f>RTD("nest.scriprtd",,"bse_cm|EFSL26724","LTP")</f>
        <v>0</v>
      </c>
      <c r="I1336" t="str">
        <f>RTD("nest.scriprtd",,"bse_cm|EFSL26724","LTT")</f>
        <v>00:00:00</v>
      </c>
      <c r="J1336">
        <f>RTD("nest.scriprtd",,"bse_cm|EFSL26724","% Change")</f>
        <v>-100</v>
      </c>
      <c r="K1336">
        <f>RTD("nest.scriprtd",,"bse_cm|EFSL26724","ATP")</f>
        <v>0</v>
      </c>
      <c r="L1336">
        <f>RTD("nest.scriprtd",,"bse_cm|EFSL26724","Volume Traded Today")</f>
        <v>0</v>
      </c>
      <c r="M1336">
        <f>RTD("nest.scriprtd",,"bse_cm|EFSL26724","Open")</f>
        <v>0</v>
      </c>
      <c r="N1336">
        <f>RTD("nest.scriprtd",,"bse_cm|EFSL26724","High")</f>
        <v>920</v>
      </c>
      <c r="O1336">
        <f>RTD("nest.scriprtd",,"bse_cm|EFSL26724","Low ")</f>
        <v>920</v>
      </c>
      <c r="P1336">
        <f>RTD("nest.scriprtd",,"bse_cm|EFSL26724","Prev Close")</f>
        <v>920</v>
      </c>
      <c r="Q1336">
        <f>RTD("nest.scriprtd",,"bse_cm|EFSL26724","Face Value")</f>
        <v>1000</v>
      </c>
      <c r="R1336" t="str">
        <f>RTD("nest.scriprtd",,"bse_cm|EFSL26724","Isin code")</f>
        <v>INE532F07FQ5</v>
      </c>
      <c r="S1336" s="9">
        <f>Table1[[#This Row],[Ask Rate]]*Table1[[#This Row],[Ask Qty]]</f>
        <v>0</v>
      </c>
      <c r="T1336" t="str">
        <f>VLOOKUP(Table1[[#This Row],[Isin code]],Table2[#All],7,FALSE)</f>
        <v>--</v>
      </c>
      <c r="U1336" s="17" t="str">
        <f>VLOOKUP(Table1[[#This Row],[Isin code]],Table2[#All],8,FALSE)</f>
        <v>26-Jul-2026</v>
      </c>
      <c r="V1336" s="10">
        <f ca="1">Table1[[#This Row],[Maturity]]-TODAY()</f>
        <v>648</v>
      </c>
      <c r="W1336" t="str">
        <f>VLOOKUP(Table1[[#This Row],[Isin code]],Table2[#All],10,FALSE)</f>
        <v>--</v>
      </c>
      <c r="X1336">
        <f ca="1">_xlfn.DAYS(Table1[[#This Row],[Maturity]],TODAY())-15</f>
        <v>633</v>
      </c>
      <c r="Y133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36">
        <f>IF(Table1[[#This Row],[Ask Rate]]=0,0,Table1[[#This Row],[Face Value]]-Table1[[#This Row],[Ask Rate]])</f>
        <v>0</v>
      </c>
      <c r="AA133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36">
        <f>Table1[[#This Row],[Face Value]]*Table1[[#This Row],[Rate]]*Table1[[#This Row],[Time]]</f>
        <v>0</v>
      </c>
      <c r="AC1336">
        <f>Table1[[#This Row],[SI]]+Table1[[#This Row],[Disc/Prem]]</f>
        <v>0</v>
      </c>
      <c r="AD1336" s="3" t="e">
        <f>Table1[[#This Row],[Net Gain]]/Table1[[#This Row],[Ask Rate]]</f>
        <v>#DIV/0!</v>
      </c>
      <c r="AE1336" s="3">
        <f>IF(Table1[[#This Row],[Ask Qty]]=0,0,Table1[[#This Row],[Gross Yield]]*365/Table1[[#This Row],[Days Left]])</f>
        <v>0</v>
      </c>
      <c r="AF1336" s="9">
        <f>+Table1[[#This Row],[Net Gain]]*Table1[[#This Row],[Ask Qty]]</f>
        <v>0</v>
      </c>
      <c r="AG1336" t="str">
        <f>IF(Table1[[#This Row],[YTM]]&gt;0.12,IF(Table1[[#This Row],[Gross Profit]]&gt;10000,"Invest","Review"),"Low YTM")</f>
        <v>Low YTM</v>
      </c>
    </row>
    <row r="1337" spans="1:33" x14ac:dyDescent="0.3">
      <c r="A1337" t="str">
        <f>RTD("nest.scriprtd",,"bse_cm|884LTF29","Symbol")</f>
        <v>884LTF29</v>
      </c>
      <c r="B1337" t="str">
        <f>RTD("nest.scriprtd",,"bse_cm|884LTF29","Trading Symbol")</f>
        <v>884LTF29</v>
      </c>
      <c r="C1337" t="str">
        <f>RTD("nest.scriprtd",,"bse_cm|884LTF29","Exchange")</f>
        <v>BSE</v>
      </c>
      <c r="D1337">
        <f>RTD("nest.scriprtd",,"bse_cm|884LTF29","Bid Qty")</f>
        <v>20</v>
      </c>
      <c r="E1337">
        <f>RTD("nest.scriprtd",,"bse_cm|884LTF29","Bid Rate")</f>
        <v>905.2</v>
      </c>
      <c r="F1337">
        <f>RTD("nest.scriprtd",,"bse_cm|884LTF29","Ask Rate")</f>
        <v>0</v>
      </c>
      <c r="G1337">
        <f>RTD("nest.scriprtd",,"bse_cm|884LTF29","Ask Qty")</f>
        <v>0</v>
      </c>
      <c r="H1337">
        <f>RTD("nest.scriprtd",,"bse_cm|884LTF29","LTP")</f>
        <v>0</v>
      </c>
      <c r="I1337" t="str">
        <f>RTD("nest.scriprtd",,"bse_cm|884LTF29","LTT")</f>
        <v>00:00:00</v>
      </c>
      <c r="J1337">
        <f>RTD("nest.scriprtd",,"bse_cm|884LTF29","% Change")</f>
        <v>-100</v>
      </c>
      <c r="K1337">
        <f>RTD("nest.scriprtd",,"bse_cm|884LTF29","ATP")</f>
        <v>0</v>
      </c>
      <c r="L1337">
        <f>RTD("nest.scriprtd",,"bse_cm|884LTF29","Volume Traded Today")</f>
        <v>0</v>
      </c>
      <c r="M1337">
        <f>RTD("nest.scriprtd",,"bse_cm|884LTF29","Open")</f>
        <v>0</v>
      </c>
      <c r="N1337">
        <f>RTD("nest.scriprtd",,"bse_cm|884LTF29","High")</f>
        <v>0</v>
      </c>
      <c r="O1337">
        <f>RTD("nest.scriprtd",,"bse_cm|884LTF29","Low ")</f>
        <v>0</v>
      </c>
      <c r="P1337">
        <f>RTD("nest.scriprtd",,"bse_cm|884LTF29","Prev Close")</f>
        <v>1070</v>
      </c>
      <c r="Q1337">
        <f>RTD("nest.scriprtd",,"bse_cm|884LTF29","Face Value")</f>
        <v>1000</v>
      </c>
      <c r="R1337" t="str">
        <f>RTD("nest.scriprtd",,"bse_cm|884LTF29","Isin code")</f>
        <v>INE027E07980</v>
      </c>
      <c r="S1337" s="9">
        <f>Table1[[#This Row],[Ask Rate]]*Table1[[#This Row],[Ask Qty]]</f>
        <v>0</v>
      </c>
      <c r="T1337">
        <f>VLOOKUP(Table1[[#This Row],[Isin code]],Table2[#All],7,FALSE)</f>
        <v>8.84</v>
      </c>
      <c r="U1337" s="17" t="str">
        <f>VLOOKUP(Table1[[#This Row],[Isin code]],Table2[#All],8,FALSE)</f>
        <v>13-Mar-2029</v>
      </c>
      <c r="V1337" s="10">
        <f ca="1">Table1[[#This Row],[Maturity]]-TODAY()</f>
        <v>1609</v>
      </c>
      <c r="W1337" t="str">
        <f>VLOOKUP(Table1[[#This Row],[Isin code]],Table2[#All],10,FALSE)</f>
        <v>Monthly</v>
      </c>
      <c r="X1337">
        <f ca="1">_xlfn.DAYS(Table1[[#This Row],[Maturity]],TODAY())-15</f>
        <v>1594</v>
      </c>
      <c r="Y13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54</v>
      </c>
      <c r="Z1337">
        <f>IF(Table1[[#This Row],[Ask Rate]]=0,0,Table1[[#This Row],[Face Value]]-Table1[[#This Row],[Ask Rate]])</f>
        <v>0</v>
      </c>
      <c r="AA1337">
        <f>IF(Table1[[#This Row],[Freq]]="Yearly",Table1[[#This Row],[Coupon_Rate]]/100,IF(Table1[[#This Row],[Freq]]="Monthly",Table1[[#This Row],[Coupon_Rate]]/1200,IF(Table1[[#This Row],[Freq]]="Quarterly",Table1[[#This Row],[Coupon_Rate]]/400,0)))</f>
        <v>7.3666666666666663E-3</v>
      </c>
      <c r="AB1337">
        <f ca="1">Table1[[#This Row],[Face Value]]*Table1[[#This Row],[Rate]]*Table1[[#This Row],[Time]]</f>
        <v>397.79999999999995</v>
      </c>
      <c r="AC1337">
        <f ca="1">Table1[[#This Row],[SI]]+Table1[[#This Row],[Disc/Prem]]</f>
        <v>397.79999999999995</v>
      </c>
      <c r="AD1337" s="3" t="e">
        <f ca="1">Table1[[#This Row],[Net Gain]]/Table1[[#This Row],[Ask Rate]]</f>
        <v>#DIV/0!</v>
      </c>
      <c r="AE1337" s="3">
        <f>IF(Table1[[#This Row],[Ask Qty]]=0,0,Table1[[#This Row],[Gross Yield]]*365/Table1[[#This Row],[Days Left]])</f>
        <v>0</v>
      </c>
      <c r="AF1337" s="9">
        <f ca="1">+Table1[[#This Row],[Net Gain]]*Table1[[#This Row],[Ask Qty]]</f>
        <v>0</v>
      </c>
      <c r="AG1337" t="str">
        <f>IF(Table1[[#This Row],[YTM]]&gt;0.12,IF(Table1[[#This Row],[Gross Profit]]&gt;10000,"Invest","Review"),"Low YTM")</f>
        <v>Low YTM</v>
      </c>
    </row>
    <row r="1338" spans="1:33" x14ac:dyDescent="0.3">
      <c r="A1338" t="str">
        <f>RTD("nest.scriprtd",,"bse_cm|880MFL28","Symbol")</f>
        <v>880MFL28</v>
      </c>
      <c r="B1338" t="str">
        <f>RTD("nest.scriprtd",,"bse_cm|880MFL28","Trading Symbol")</f>
        <v>880MFL28</v>
      </c>
      <c r="C1338" t="str">
        <f>RTD("nest.scriprtd",,"bse_cm|880MFL28","Exchange")</f>
        <v>BSE</v>
      </c>
      <c r="D1338">
        <f>RTD("nest.scriprtd",,"bse_cm|880MFL28","Bid Qty")</f>
        <v>170</v>
      </c>
      <c r="E1338">
        <f>RTD("nest.scriprtd",,"bse_cm|880MFL28","Bid Rate")</f>
        <v>940.2</v>
      </c>
      <c r="F1338">
        <f>RTD("nest.scriprtd",,"bse_cm|880MFL28","Ask Rate")</f>
        <v>0</v>
      </c>
      <c r="G1338">
        <f>RTD("nest.scriprtd",,"bse_cm|880MFL28","Ask Qty")</f>
        <v>0</v>
      </c>
      <c r="H1338">
        <f>RTD("nest.scriprtd",,"bse_cm|880MFL28","LTP")</f>
        <v>0</v>
      </c>
      <c r="I1338" t="str">
        <f>RTD("nest.scriprtd",,"bse_cm|880MFL28","LTT")</f>
        <v>00:00:00</v>
      </c>
      <c r="J1338">
        <f>RTD("nest.scriprtd",,"bse_cm|880MFL28","% Change")</f>
        <v>-100</v>
      </c>
      <c r="K1338">
        <f>RTD("nest.scriprtd",,"bse_cm|880MFL28","ATP")</f>
        <v>0</v>
      </c>
      <c r="L1338">
        <f>RTD("nest.scriprtd",,"bse_cm|880MFL28","Volume Traded Today")</f>
        <v>0</v>
      </c>
      <c r="M1338">
        <f>RTD("nest.scriprtd",,"bse_cm|880MFL28","Open")</f>
        <v>0</v>
      </c>
      <c r="N1338">
        <f>RTD("nest.scriprtd",,"bse_cm|880MFL28","High")</f>
        <v>1011</v>
      </c>
      <c r="O1338">
        <f>RTD("nest.scriprtd",,"bse_cm|880MFL28","Low ")</f>
        <v>972</v>
      </c>
      <c r="P1338">
        <f>RTD("nest.scriprtd",,"bse_cm|880MFL28","Prev Close")</f>
        <v>972</v>
      </c>
      <c r="Q1338">
        <f>RTD("nest.scriprtd",,"bse_cm|880MFL28","Face Value")</f>
        <v>1000</v>
      </c>
      <c r="R1338" t="str">
        <f>RTD("nest.scriprtd",,"bse_cm|880MFL28","Isin code")</f>
        <v>INE549K07BW6</v>
      </c>
      <c r="S1338" s="9">
        <f>Table1[[#This Row],[Ask Rate]]*Table1[[#This Row],[Ask Qty]]</f>
        <v>0</v>
      </c>
      <c r="T1338">
        <f>VLOOKUP(Table1[[#This Row],[Isin code]],Table2[#All],7,FALSE)</f>
        <v>8.7999999999999989</v>
      </c>
      <c r="U1338" s="17" t="str">
        <f>VLOOKUP(Table1[[#This Row],[Isin code]],Table2[#All],8,FALSE)</f>
        <v>02-Feb-2028</v>
      </c>
      <c r="V1338" s="10">
        <f ca="1">Table1[[#This Row],[Maturity]]-TODAY()</f>
        <v>1204</v>
      </c>
      <c r="W1338" t="str">
        <f>VLOOKUP(Table1[[#This Row],[Isin code]],Table2[#All],10,FALSE)</f>
        <v>Yearly</v>
      </c>
      <c r="X1338">
        <f ca="1">_xlfn.DAYS(Table1[[#This Row],[Maturity]],TODAY())-15</f>
        <v>1189</v>
      </c>
      <c r="Y13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338">
        <f>IF(Table1[[#This Row],[Ask Rate]]=0,0,Table1[[#This Row],[Face Value]]-Table1[[#This Row],[Ask Rate]])</f>
        <v>0</v>
      </c>
      <c r="AA1338">
        <f>IF(Table1[[#This Row],[Freq]]="Yearly",Table1[[#This Row],[Coupon_Rate]]/100,IF(Table1[[#This Row],[Freq]]="Monthly",Table1[[#This Row],[Coupon_Rate]]/1200,IF(Table1[[#This Row],[Freq]]="Quarterly",Table1[[#This Row],[Coupon_Rate]]/400,0)))</f>
        <v>8.7999999999999995E-2</v>
      </c>
      <c r="AB1338">
        <f ca="1">Table1[[#This Row],[Face Value]]*Table1[[#This Row],[Rate]]*Table1[[#This Row],[Time]]</f>
        <v>352</v>
      </c>
      <c r="AC1338">
        <f ca="1">Table1[[#This Row],[SI]]+Table1[[#This Row],[Disc/Prem]]</f>
        <v>352</v>
      </c>
      <c r="AD1338" s="3" t="e">
        <f ca="1">Table1[[#This Row],[Net Gain]]/Table1[[#This Row],[Ask Rate]]</f>
        <v>#DIV/0!</v>
      </c>
      <c r="AE1338" s="3">
        <f>IF(Table1[[#This Row],[Ask Qty]]=0,0,Table1[[#This Row],[Gross Yield]]*365/Table1[[#This Row],[Days Left]])</f>
        <v>0</v>
      </c>
      <c r="AF1338" s="9">
        <f ca="1">+Table1[[#This Row],[Net Gain]]*Table1[[#This Row],[Ask Qty]]</f>
        <v>0</v>
      </c>
      <c r="AG1338" t="str">
        <f>IF(Table1[[#This Row],[YTM]]&gt;0.12,IF(Table1[[#This Row],[Gross Profit]]&gt;10000,"Invest","Review"),"Low YTM")</f>
        <v>Low YTM</v>
      </c>
    </row>
    <row r="1339" spans="1:33" x14ac:dyDescent="0.3">
      <c r="A1339" t="str">
        <f>RTD("nest.scriprtd",,"bse_cm|891ONE25","Symbol")</f>
        <v>891ONE25</v>
      </c>
      <c r="B1339" t="str">
        <f>RTD("nest.scriprtd",,"bse_cm|891ONE25","Trading Symbol")</f>
        <v>891ONE25</v>
      </c>
      <c r="C1339" t="str">
        <f>RTD("nest.scriprtd",,"bse_cm|891ONE25","Exchange")</f>
        <v>BSE</v>
      </c>
      <c r="D1339">
        <f>RTD("nest.scriprtd",,"bse_cm|891ONE25","Bid Qty")</f>
        <v>28</v>
      </c>
      <c r="E1339">
        <f>RTD("nest.scriprtd",,"bse_cm|891ONE25","Bid Rate")</f>
        <v>855</v>
      </c>
      <c r="F1339">
        <f>RTD("nest.scriprtd",,"bse_cm|891ONE25","Ask Rate")</f>
        <v>0</v>
      </c>
      <c r="G1339">
        <f>RTD("nest.scriprtd",,"bse_cm|891ONE25","Ask Qty")</f>
        <v>0</v>
      </c>
      <c r="H1339">
        <f>RTD("nest.scriprtd",,"bse_cm|891ONE25","LTP")</f>
        <v>0</v>
      </c>
      <c r="I1339" t="str">
        <f>RTD("nest.scriprtd",,"bse_cm|891ONE25","LTT")</f>
        <v>00:00:00</v>
      </c>
      <c r="J1339">
        <f>RTD("nest.scriprtd",,"bse_cm|891ONE25","% Change")</f>
        <v>-100</v>
      </c>
      <c r="K1339">
        <f>RTD("nest.scriprtd",,"bse_cm|891ONE25","ATP")</f>
        <v>0</v>
      </c>
      <c r="L1339">
        <f>RTD("nest.scriprtd",,"bse_cm|891ONE25","Volume Traded Today")</f>
        <v>0</v>
      </c>
      <c r="M1339">
        <f>RTD("nest.scriprtd",,"bse_cm|891ONE25","Open")</f>
        <v>0</v>
      </c>
      <c r="N1339">
        <f>RTD("nest.scriprtd",,"bse_cm|891ONE25","High")</f>
        <v>985</v>
      </c>
      <c r="O1339">
        <f>RTD("nest.scriprtd",,"bse_cm|891ONE25","Low ")</f>
        <v>975</v>
      </c>
      <c r="P1339">
        <f>RTD("nest.scriprtd",,"bse_cm|891ONE25","Prev Close")</f>
        <v>985</v>
      </c>
      <c r="Q1339">
        <f>RTD("nest.scriprtd",,"bse_cm|891ONE25","Face Value")</f>
        <v>1000</v>
      </c>
      <c r="R1339" t="str">
        <f>RTD("nest.scriprtd",,"bse_cm|891ONE25","Isin code")</f>
        <v>INE248U07EX6</v>
      </c>
      <c r="S1339" s="9">
        <f>Table1[[#This Row],[Ask Rate]]*Table1[[#This Row],[Ask Qty]]</f>
        <v>0</v>
      </c>
      <c r="T1339">
        <f>VLOOKUP(Table1[[#This Row],[Isin code]],Table2[#All],7,FALSE)</f>
        <v>8.91</v>
      </c>
      <c r="U1339" s="17" t="str">
        <f>VLOOKUP(Table1[[#This Row],[Isin code]],Table2[#All],8,FALSE)</f>
        <v>18-Jul-2025</v>
      </c>
      <c r="V1339" s="10">
        <f ca="1">Table1[[#This Row],[Maturity]]-TODAY()</f>
        <v>275</v>
      </c>
      <c r="W1339" t="str">
        <f>VLOOKUP(Table1[[#This Row],[Isin code]],Table2[#All],10,FALSE)</f>
        <v>Monthly</v>
      </c>
      <c r="X1339">
        <f ca="1">_xlfn.DAYS(Table1[[#This Row],[Maturity]],TODAY())-15</f>
        <v>260</v>
      </c>
      <c r="Y13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1339">
        <f>IF(Table1[[#This Row],[Ask Rate]]=0,0,Table1[[#This Row],[Face Value]]-Table1[[#This Row],[Ask Rate]])</f>
        <v>0</v>
      </c>
      <c r="AA1339">
        <f>IF(Table1[[#This Row],[Freq]]="Yearly",Table1[[#This Row],[Coupon_Rate]]/100,IF(Table1[[#This Row],[Freq]]="Monthly",Table1[[#This Row],[Coupon_Rate]]/1200,IF(Table1[[#This Row],[Freq]]="Quarterly",Table1[[#This Row],[Coupon_Rate]]/400,0)))</f>
        <v>7.4250000000000002E-3</v>
      </c>
      <c r="AB1339">
        <f ca="1">Table1[[#This Row],[Face Value]]*Table1[[#This Row],[Rate]]*Table1[[#This Row],[Time]]</f>
        <v>66.825000000000003</v>
      </c>
      <c r="AC1339">
        <f ca="1">Table1[[#This Row],[SI]]+Table1[[#This Row],[Disc/Prem]]</f>
        <v>66.825000000000003</v>
      </c>
      <c r="AD1339" s="3" t="e">
        <f ca="1">Table1[[#This Row],[Net Gain]]/Table1[[#This Row],[Ask Rate]]</f>
        <v>#DIV/0!</v>
      </c>
      <c r="AE1339" s="3">
        <f>IF(Table1[[#This Row],[Ask Qty]]=0,0,Table1[[#This Row],[Gross Yield]]*365/Table1[[#This Row],[Days Left]])</f>
        <v>0</v>
      </c>
      <c r="AF1339" s="9">
        <f ca="1">+Table1[[#This Row],[Net Gain]]*Table1[[#This Row],[Ask Qty]]</f>
        <v>0</v>
      </c>
      <c r="AG1339" t="str">
        <f>IF(Table1[[#This Row],[YTM]]&gt;0.12,IF(Table1[[#This Row],[Gross Profit]]&gt;10000,"Invest","Review"),"Low YTM")</f>
        <v>Low YTM</v>
      </c>
    </row>
    <row r="1340" spans="1:33" x14ac:dyDescent="0.3">
      <c r="A1340" t="str">
        <f>RTD("nest.scriprtd",,"nse_cm|86CIFC29-NN","Symbol")</f>
        <v>86CIFC29</v>
      </c>
      <c r="B1340" t="str">
        <f>RTD("nest.scriprtd",,"nse_cm|86CIFC29-NN","Trading Symbol")</f>
        <v>86CIFC29-NN</v>
      </c>
      <c r="C1340" t="str">
        <f>RTD("nest.scriprtd",,"nse_cm|86CIFC29-NN","Exchange")</f>
        <v>NSE</v>
      </c>
      <c r="D1340">
        <f>RTD("nest.scriprtd",,"nse_cm|86CIFC29-NN","Bid Qty")</f>
        <v>100</v>
      </c>
      <c r="E1340">
        <f>RTD("nest.scriprtd",,"nse_cm|86CIFC29-NN","Bid Rate")</f>
        <v>855</v>
      </c>
      <c r="F1340">
        <f>RTD("nest.scriprtd",,"nse_cm|86CIFC29-NN","Ask Rate")</f>
        <v>0</v>
      </c>
      <c r="G1340">
        <f>RTD("nest.scriprtd",,"nse_cm|86CIFC29-NN","Ask Qty")</f>
        <v>0</v>
      </c>
      <c r="H1340">
        <f>RTD("nest.scriprtd",,"nse_cm|86CIFC29-NN","LTP")</f>
        <v>1014</v>
      </c>
      <c r="I1340" t="str">
        <f>RTD("nest.scriprtd",,"nse_cm|86CIFC29-NN","LTT")</f>
        <v/>
      </c>
      <c r="J1340">
        <f>RTD("nest.scriprtd",,"nse_cm|86CIFC29-NN","% Change")</f>
        <v>0</v>
      </c>
      <c r="K1340">
        <f>RTD("nest.scriprtd",,"nse_cm|86CIFC29-NN","ATP")</f>
        <v>0</v>
      </c>
      <c r="L1340">
        <f>RTD("nest.scriprtd",,"nse_cm|86CIFC29-NN","Volume Traded Today")</f>
        <v>0</v>
      </c>
      <c r="M1340">
        <f>RTD("nest.scriprtd",,"nse_cm|86CIFC29-NN","Open")</f>
        <v>0</v>
      </c>
      <c r="N1340">
        <f>RTD("nest.scriprtd",,"nse_cm|86CIFC29-NN","High")</f>
        <v>1014</v>
      </c>
      <c r="O1340">
        <f>RTD("nest.scriprtd",,"nse_cm|86CIFC29-NN","Low ")</f>
        <v>1014</v>
      </c>
      <c r="P1340">
        <f>RTD("nest.scriprtd",,"nse_cm|86CIFC29-NN","Prev Close")</f>
        <v>1014</v>
      </c>
      <c r="Q1340">
        <f>RTD("nest.scriprtd",,"nse_cm|86CIFC29-NN","Face Value")</f>
        <v>1000</v>
      </c>
      <c r="R1340" t="str">
        <f>RTD("nest.scriprtd",,"nse_cm|86CIFC29-NN","Isin code")</f>
        <v>INE121A07RV3</v>
      </c>
      <c r="S1340" s="9">
        <f>Table1[[#This Row],[Ask Rate]]*Table1[[#This Row],[Ask Qty]]</f>
        <v>0</v>
      </c>
      <c r="T1340">
        <f>VLOOKUP(Table1[[#This Row],[Isin code]],Table2[#All],7,FALSE)</f>
        <v>8.6</v>
      </c>
      <c r="U1340" s="17" t="str">
        <f>VLOOKUP(Table1[[#This Row],[Isin code]],Table2[#All],8,FALSE)</f>
        <v>31-Jan-2029</v>
      </c>
      <c r="V1340" s="10">
        <f ca="1">Table1[[#This Row],[Maturity]]-TODAY()</f>
        <v>1568</v>
      </c>
      <c r="W1340" t="str">
        <f>VLOOKUP(Table1[[#This Row],[Isin code]],Table2[#All],10,FALSE)</f>
        <v>Yearly</v>
      </c>
      <c r="X1340">
        <f ca="1">_xlfn.DAYS(Table1[[#This Row],[Maturity]],TODAY())-15</f>
        <v>1553</v>
      </c>
      <c r="Y134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340">
        <f>IF(Table1[[#This Row],[Ask Rate]]=0,0,Table1[[#This Row],[Face Value]]-Table1[[#This Row],[Ask Rate]])</f>
        <v>0</v>
      </c>
      <c r="AA1340">
        <f>IF(Table1[[#This Row],[Freq]]="Yearly",Table1[[#This Row],[Coupon_Rate]]/100,IF(Table1[[#This Row],[Freq]]="Monthly",Table1[[#This Row],[Coupon_Rate]]/1200,IF(Table1[[#This Row],[Freq]]="Quarterly",Table1[[#This Row],[Coupon_Rate]]/400,0)))</f>
        <v>8.5999999999999993E-2</v>
      </c>
      <c r="AB1340">
        <f ca="1">Table1[[#This Row],[Face Value]]*Table1[[#This Row],[Rate]]*Table1[[#This Row],[Time]]</f>
        <v>430</v>
      </c>
      <c r="AC1340">
        <f ca="1">Table1[[#This Row],[SI]]+Table1[[#This Row],[Disc/Prem]]</f>
        <v>430</v>
      </c>
      <c r="AD1340" s="3" t="e">
        <f ca="1">Table1[[#This Row],[Net Gain]]/Table1[[#This Row],[Ask Rate]]</f>
        <v>#DIV/0!</v>
      </c>
      <c r="AE1340" s="3">
        <f>IF(Table1[[#This Row],[Ask Qty]]=0,0,Table1[[#This Row],[Gross Yield]]*365/Table1[[#This Row],[Days Left]])</f>
        <v>0</v>
      </c>
      <c r="AF1340" s="9">
        <f ca="1">+Table1[[#This Row],[Net Gain]]*Table1[[#This Row],[Ask Qty]]</f>
        <v>0</v>
      </c>
      <c r="AG1340" t="str">
        <f>IF(Table1[[#This Row],[YTM]]&gt;0.12,IF(Table1[[#This Row],[Gross Profit]]&gt;10000,"Invest","Review"),"Low YTM")</f>
        <v>Low YTM</v>
      </c>
    </row>
    <row r="1341" spans="1:33" x14ac:dyDescent="0.3">
      <c r="A1341" t="str">
        <f>RTD("nest.scriprtd",,"bse_cm|86CIFC29","Symbol")</f>
        <v>86CIFC29</v>
      </c>
      <c r="B1341" t="str">
        <f>RTD("nest.scriprtd",,"bse_cm|86CIFC29","Trading Symbol")</f>
        <v>86CIFC29</v>
      </c>
      <c r="C1341" t="str">
        <f>RTD("nest.scriprtd",,"bse_cm|86CIFC29","Exchange")</f>
        <v>BSE</v>
      </c>
      <c r="D1341">
        <f>RTD("nest.scriprtd",,"bse_cm|86CIFC29","Bid Qty")</f>
        <v>22</v>
      </c>
      <c r="E1341">
        <f>RTD("nest.scriprtd",,"bse_cm|86CIFC29","Bid Rate")</f>
        <v>860.3</v>
      </c>
      <c r="F1341">
        <f>RTD("nest.scriprtd",,"bse_cm|86CIFC29","Ask Rate")</f>
        <v>0</v>
      </c>
      <c r="G1341">
        <f>RTD("nest.scriprtd",,"bse_cm|86CIFC29","Ask Qty")</f>
        <v>0</v>
      </c>
      <c r="H1341">
        <f>RTD("nest.scriprtd",,"bse_cm|86CIFC29","LTP")</f>
        <v>0</v>
      </c>
      <c r="I1341" t="str">
        <f>RTD("nest.scriprtd",,"bse_cm|86CIFC29","LTT")</f>
        <v>00:00:00</v>
      </c>
      <c r="J1341">
        <f>RTD("nest.scriprtd",,"bse_cm|86CIFC29","% Change")</f>
        <v>-100</v>
      </c>
      <c r="K1341">
        <f>RTD("nest.scriprtd",,"bse_cm|86CIFC29","ATP")</f>
        <v>0</v>
      </c>
      <c r="L1341">
        <f>RTD("nest.scriprtd",,"bse_cm|86CIFC29","Volume Traded Today")</f>
        <v>0</v>
      </c>
      <c r="M1341">
        <f>RTD("nest.scriprtd",,"bse_cm|86CIFC29","Open")</f>
        <v>0</v>
      </c>
      <c r="N1341">
        <f>RTD("nest.scriprtd",,"bse_cm|86CIFC29","High")</f>
        <v>1013</v>
      </c>
      <c r="O1341">
        <f>RTD("nest.scriprtd",,"bse_cm|86CIFC29","Low ")</f>
        <v>1013</v>
      </c>
      <c r="P1341">
        <f>RTD("nest.scriprtd",,"bse_cm|86CIFC29","Prev Close")</f>
        <v>1013</v>
      </c>
      <c r="Q1341">
        <f>RTD("nest.scriprtd",,"bse_cm|86CIFC29","Face Value")</f>
        <v>1000</v>
      </c>
      <c r="R1341" t="str">
        <f>RTD("nest.scriprtd",,"bse_cm|86CIFC29","Isin code")</f>
        <v>INE121A07RV3</v>
      </c>
      <c r="S1341" s="9">
        <f>Table1[[#This Row],[Ask Rate]]*Table1[[#This Row],[Ask Qty]]</f>
        <v>0</v>
      </c>
      <c r="T1341">
        <f>VLOOKUP(Table1[[#This Row],[Isin code]],Table2[#All],7,FALSE)</f>
        <v>8.6</v>
      </c>
      <c r="U1341" s="17" t="str">
        <f>VLOOKUP(Table1[[#This Row],[Isin code]],Table2[#All],8,FALSE)</f>
        <v>31-Jan-2029</v>
      </c>
      <c r="V1341" s="10">
        <f ca="1">Table1[[#This Row],[Maturity]]-TODAY()</f>
        <v>1568</v>
      </c>
      <c r="W1341" t="str">
        <f>VLOOKUP(Table1[[#This Row],[Isin code]],Table2[#All],10,FALSE)</f>
        <v>Yearly</v>
      </c>
      <c r="X1341">
        <f ca="1">_xlfn.DAYS(Table1[[#This Row],[Maturity]],TODAY())-15</f>
        <v>1553</v>
      </c>
      <c r="Y13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341">
        <f>IF(Table1[[#This Row],[Ask Rate]]=0,0,Table1[[#This Row],[Face Value]]-Table1[[#This Row],[Ask Rate]])</f>
        <v>0</v>
      </c>
      <c r="AA1341">
        <f>IF(Table1[[#This Row],[Freq]]="Yearly",Table1[[#This Row],[Coupon_Rate]]/100,IF(Table1[[#This Row],[Freq]]="Monthly",Table1[[#This Row],[Coupon_Rate]]/1200,IF(Table1[[#This Row],[Freq]]="Quarterly",Table1[[#This Row],[Coupon_Rate]]/400,0)))</f>
        <v>8.5999999999999993E-2</v>
      </c>
      <c r="AB1341">
        <f ca="1">Table1[[#This Row],[Face Value]]*Table1[[#This Row],[Rate]]*Table1[[#This Row],[Time]]</f>
        <v>430</v>
      </c>
      <c r="AC1341">
        <f ca="1">Table1[[#This Row],[SI]]+Table1[[#This Row],[Disc/Prem]]</f>
        <v>430</v>
      </c>
      <c r="AD1341" s="3" t="e">
        <f ca="1">Table1[[#This Row],[Net Gain]]/Table1[[#This Row],[Ask Rate]]</f>
        <v>#DIV/0!</v>
      </c>
      <c r="AE1341" s="3">
        <f>IF(Table1[[#This Row],[Ask Qty]]=0,0,Table1[[#This Row],[Gross Yield]]*365/Table1[[#This Row],[Days Left]])</f>
        <v>0</v>
      </c>
      <c r="AF1341" s="9">
        <f ca="1">+Table1[[#This Row],[Net Gain]]*Table1[[#This Row],[Ask Qty]]</f>
        <v>0</v>
      </c>
      <c r="AG1341" t="str">
        <f>IF(Table1[[#This Row],[YTM]]&gt;0.12,IF(Table1[[#This Row],[Gross Profit]]&gt;10000,"Invest","Review"),"Low YTM")</f>
        <v>Low YTM</v>
      </c>
    </row>
    <row r="1342" spans="1:33" x14ac:dyDescent="0.3">
      <c r="A1342" t="str">
        <f>RTD("nest.scriprtd",,"nse_cm|868NHB29-N3","Symbol")</f>
        <v>868NHB29</v>
      </c>
      <c r="B1342" t="str">
        <f>RTD("nest.scriprtd",,"nse_cm|868NHB29-N3","Trading Symbol")</f>
        <v>868NHB29-N3</v>
      </c>
      <c r="C1342" t="str">
        <f>RTD("nest.scriprtd",,"nse_cm|868NHB29-N3","Exchange")</f>
        <v>NSE</v>
      </c>
      <c r="D1342">
        <f>RTD("nest.scriprtd",,"nse_cm|868NHB29-N3","Bid Qty")</f>
        <v>200</v>
      </c>
      <c r="E1342">
        <f>RTD("nest.scriprtd",,"nse_cm|868NHB29-N3","Bid Rate")</f>
        <v>5701</v>
      </c>
      <c r="F1342">
        <f>RTD("nest.scriprtd",,"nse_cm|868NHB29-N3","Ask Rate")</f>
        <v>0</v>
      </c>
      <c r="G1342">
        <f>RTD("nest.scriprtd",,"nse_cm|868NHB29-N3","Ask Qty")</f>
        <v>0</v>
      </c>
      <c r="H1342">
        <f>RTD("nest.scriprtd",,"nse_cm|868NHB29-N3","LTP")</f>
        <v>5885</v>
      </c>
      <c r="I1342" t="str">
        <f>RTD("nest.scriprtd",,"nse_cm|868NHB29-N3","LTT")</f>
        <v/>
      </c>
      <c r="J1342">
        <f>RTD("nest.scriprtd",,"nse_cm|868NHB29-N3","% Change")</f>
        <v>0</v>
      </c>
      <c r="K1342">
        <f>RTD("nest.scriprtd",,"nse_cm|868NHB29-N3","ATP")</f>
        <v>0</v>
      </c>
      <c r="L1342">
        <f>RTD("nest.scriprtd",,"nse_cm|868NHB29-N3","Volume Traded Today")</f>
        <v>0</v>
      </c>
      <c r="M1342">
        <f>RTD("nest.scriprtd",,"nse_cm|868NHB29-N3","Open")</f>
        <v>0</v>
      </c>
      <c r="N1342">
        <f>RTD("nest.scriprtd",,"nse_cm|868NHB29-N3","High")</f>
        <v>5885</v>
      </c>
      <c r="O1342">
        <f>RTD("nest.scriprtd",,"nse_cm|868NHB29-N3","Low ")</f>
        <v>5500</v>
      </c>
      <c r="P1342">
        <f>RTD("nest.scriprtd",,"nse_cm|868NHB29-N3","Prev Close")</f>
        <v>5885</v>
      </c>
      <c r="Q1342">
        <f>RTD("nest.scriprtd",,"nse_cm|868NHB29-N3","Face Value")</f>
        <v>5000</v>
      </c>
      <c r="R1342" t="str">
        <f>RTD("nest.scriprtd",,"nse_cm|868NHB29-N3","Isin code")</f>
        <v>INE557F07157</v>
      </c>
      <c r="S1342" s="9">
        <f>Table1[[#This Row],[Ask Rate]]*Table1[[#This Row],[Ask Qty]]</f>
        <v>0</v>
      </c>
      <c r="T1342">
        <f>VLOOKUP(Table1[[#This Row],[Isin code]],Table2[#All],7,FALSE)</f>
        <v>8.68</v>
      </c>
      <c r="U1342" s="17" t="str">
        <f>VLOOKUP(Table1[[#This Row],[Isin code]],Table2[#All],8,FALSE)</f>
        <v>24-Mar-2029</v>
      </c>
      <c r="V1342" s="10">
        <f ca="1">Table1[[#This Row],[Maturity]]-TODAY()</f>
        <v>1620</v>
      </c>
      <c r="W1342" t="str">
        <f>VLOOKUP(Table1[[#This Row],[Isin code]],Table2[#All],10,FALSE)</f>
        <v>Yearly</v>
      </c>
      <c r="X1342">
        <f ca="1">_xlfn.DAYS(Table1[[#This Row],[Maturity]],TODAY())-15</f>
        <v>1605</v>
      </c>
      <c r="Y13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342">
        <f>IF(Table1[[#This Row],[Ask Rate]]=0,0,Table1[[#This Row],[Face Value]]-Table1[[#This Row],[Ask Rate]])</f>
        <v>0</v>
      </c>
      <c r="AA1342">
        <f>IF(Table1[[#This Row],[Freq]]="Yearly",Table1[[#This Row],[Coupon_Rate]]/100,IF(Table1[[#This Row],[Freq]]="Monthly",Table1[[#This Row],[Coupon_Rate]]/1200,IF(Table1[[#This Row],[Freq]]="Quarterly",Table1[[#This Row],[Coupon_Rate]]/400,0)))</f>
        <v>8.6800000000000002E-2</v>
      </c>
      <c r="AB1342">
        <f ca="1">Table1[[#This Row],[Face Value]]*Table1[[#This Row],[Rate]]*Table1[[#This Row],[Time]]</f>
        <v>2170</v>
      </c>
      <c r="AC1342">
        <f ca="1">Table1[[#This Row],[SI]]+Table1[[#This Row],[Disc/Prem]]</f>
        <v>2170</v>
      </c>
      <c r="AD1342" s="3" t="e">
        <f ca="1">Table1[[#This Row],[Net Gain]]/Table1[[#This Row],[Ask Rate]]</f>
        <v>#DIV/0!</v>
      </c>
      <c r="AE1342" s="3">
        <f>IF(Table1[[#This Row],[Ask Qty]]=0,0,Table1[[#This Row],[Gross Yield]]*365/Table1[[#This Row],[Days Left]])</f>
        <v>0</v>
      </c>
      <c r="AF1342" s="9">
        <f ca="1">+Table1[[#This Row],[Net Gain]]*Table1[[#This Row],[Ask Qty]]</f>
        <v>0</v>
      </c>
      <c r="AG1342" t="str">
        <f>IF(Table1[[#This Row],[YTM]]&gt;0.12,IF(Table1[[#This Row],[Gross Profit]]&gt;10000,"Invest","Review"),"Low YTM")</f>
        <v>Low YTM</v>
      </c>
    </row>
    <row r="1343" spans="1:33" x14ac:dyDescent="0.3">
      <c r="A1343" t="str">
        <f>RTD("nest.scriprtd",,"bse_cm|SCLZC26A","Symbol")</f>
        <v>SCLZC26A</v>
      </c>
      <c r="B1343" t="str">
        <f>RTD("nest.scriprtd",,"bse_cm|SCLZC26A","Trading Symbol")</f>
        <v>SCLZC26A</v>
      </c>
      <c r="C1343" t="str">
        <f>RTD("nest.scriprtd",,"bse_cm|SCLZC26A","Exchange")</f>
        <v>BSE</v>
      </c>
      <c r="D1343">
        <f>RTD("nest.scriprtd",,"bse_cm|SCLZC26A","Bid Qty")</f>
        <v>27</v>
      </c>
      <c r="E1343">
        <f>RTD("nest.scriprtd",,"bse_cm|SCLZC26A","Bid Rate")</f>
        <v>1485.2</v>
      </c>
      <c r="F1343">
        <f>RTD("nest.scriprtd",,"bse_cm|SCLZC26A","Ask Rate")</f>
        <v>0</v>
      </c>
      <c r="G1343">
        <f>RTD("nest.scriprtd",,"bse_cm|SCLZC26A","Ask Qty")</f>
        <v>0</v>
      </c>
      <c r="H1343">
        <f>RTD("nest.scriprtd",,"bse_cm|SCLZC26A","LTP")</f>
        <v>0</v>
      </c>
      <c r="I1343" t="str">
        <f>RTD("nest.scriprtd",,"bse_cm|SCLZC26A","LTT")</f>
        <v>00:00:00</v>
      </c>
      <c r="J1343">
        <f>RTD("nest.scriprtd",,"bse_cm|SCLZC26A","% Change")</f>
        <v>-100</v>
      </c>
      <c r="K1343">
        <f>RTD("nest.scriprtd",,"bse_cm|SCLZC26A","ATP")</f>
        <v>0</v>
      </c>
      <c r="L1343">
        <f>RTD("nest.scriprtd",,"bse_cm|SCLZC26A","Volume Traded Today")</f>
        <v>0</v>
      </c>
      <c r="M1343">
        <f>RTD("nest.scriprtd",,"bse_cm|SCLZC26A","Open")</f>
        <v>0</v>
      </c>
      <c r="N1343">
        <f>RTD("nest.scriprtd",,"bse_cm|SCLZC26A","High")</f>
        <v>1850</v>
      </c>
      <c r="O1343">
        <f>RTD("nest.scriprtd",,"bse_cm|SCLZC26A","Low ")</f>
        <v>1850</v>
      </c>
      <c r="P1343">
        <f>RTD("nest.scriprtd",,"bse_cm|SCLZC26A","Prev Close")</f>
        <v>1850</v>
      </c>
      <c r="Q1343">
        <f>RTD("nest.scriprtd",,"bse_cm|SCLZC26A","Face Value")</f>
        <v>1000</v>
      </c>
      <c r="R1343" t="str">
        <f>RTD("nest.scriprtd",,"bse_cm|SCLZC26A","Isin code")</f>
        <v>INE148I08272</v>
      </c>
      <c r="S1343" s="9">
        <f>Table1[[#This Row],[Ask Rate]]*Table1[[#This Row],[Ask Qty]]</f>
        <v>0</v>
      </c>
      <c r="T1343">
        <f>VLOOKUP(Table1[[#This Row],[Isin code]],Table2[#All],7,FALSE)</f>
        <v>0</v>
      </c>
      <c r="U1343" s="17" t="str">
        <f>VLOOKUP(Table1[[#This Row],[Isin code]],Table2[#All],8,FALSE)</f>
        <v>26-Sep-2026</v>
      </c>
      <c r="V1343" s="10">
        <f ca="1">Table1[[#This Row],[Maturity]]-TODAY()</f>
        <v>710</v>
      </c>
      <c r="W1343" t="str">
        <f>VLOOKUP(Table1[[#This Row],[Isin code]],Table2[#All],10,FALSE)</f>
        <v>0</v>
      </c>
      <c r="X1343">
        <f ca="1">_xlfn.DAYS(Table1[[#This Row],[Maturity]],TODAY())-15</f>
        <v>695</v>
      </c>
      <c r="Y134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43">
        <f>IF(Table1[[#This Row],[Ask Rate]]=0,0,Table1[[#This Row],[Face Value]]-Table1[[#This Row],[Ask Rate]])</f>
        <v>0</v>
      </c>
      <c r="AA134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43">
        <f>Table1[[#This Row],[Face Value]]*Table1[[#This Row],[Rate]]*Table1[[#This Row],[Time]]</f>
        <v>0</v>
      </c>
      <c r="AC1343">
        <f>Table1[[#This Row],[SI]]+Table1[[#This Row],[Disc/Prem]]</f>
        <v>0</v>
      </c>
      <c r="AD1343" s="3" t="e">
        <f>Table1[[#This Row],[Net Gain]]/Table1[[#This Row],[Ask Rate]]</f>
        <v>#DIV/0!</v>
      </c>
      <c r="AE1343" s="3">
        <f>IF(Table1[[#This Row],[Ask Qty]]=0,0,Table1[[#This Row],[Gross Yield]]*365/Table1[[#This Row],[Days Left]])</f>
        <v>0</v>
      </c>
      <c r="AF1343" s="9">
        <f>+Table1[[#This Row],[Net Gain]]*Table1[[#This Row],[Ask Qty]]</f>
        <v>0</v>
      </c>
      <c r="AG1343" t="str">
        <f>IF(Table1[[#This Row],[YTM]]&gt;0.12,IF(Table1[[#This Row],[Gross Profit]]&gt;10000,"Invest","Review"),"Low YTM")</f>
        <v>Low YTM</v>
      </c>
    </row>
    <row r="1344" spans="1:33" x14ac:dyDescent="0.3">
      <c r="A1344" t="str">
        <f>RTD("nest.scriprtd",,"bse_cm|IFL19424","Symbol")</f>
        <v>IFL19424</v>
      </c>
      <c r="B1344" t="str">
        <f>RTD("nest.scriprtd",,"bse_cm|IFL19424","Trading Symbol")</f>
        <v>IFL19424</v>
      </c>
      <c r="C1344" t="str">
        <f>RTD("nest.scriprtd",,"bse_cm|IFL19424","Exchange")</f>
        <v>BSE</v>
      </c>
      <c r="D1344">
        <f>RTD("nest.scriprtd",,"bse_cm|IFL19424","Bid Qty")</f>
        <v>14</v>
      </c>
      <c r="E1344">
        <f>RTD("nest.scriprtd",,"bse_cm|IFL19424","Bid Rate")</f>
        <v>857.55</v>
      </c>
      <c r="F1344">
        <f>RTD("nest.scriprtd",,"bse_cm|IFL19424","Ask Rate")</f>
        <v>0</v>
      </c>
      <c r="G1344">
        <f>RTD("nest.scriprtd",,"bse_cm|IFL19424","Ask Qty")</f>
        <v>0</v>
      </c>
      <c r="H1344">
        <f>RTD("nest.scriprtd",,"bse_cm|IFL19424","LTP")</f>
        <v>0</v>
      </c>
      <c r="I1344" t="str">
        <f>RTD("nest.scriprtd",,"bse_cm|IFL19424","LTT")</f>
        <v>00:00:00</v>
      </c>
      <c r="J1344">
        <f>RTD("nest.scriprtd",,"bse_cm|IFL19424","% Change")</f>
        <v>-100</v>
      </c>
      <c r="K1344">
        <f>RTD("nest.scriprtd",,"bse_cm|IFL19424","ATP")</f>
        <v>0</v>
      </c>
      <c r="L1344">
        <f>RTD("nest.scriprtd",,"bse_cm|IFL19424","Volume Traded Today")</f>
        <v>0</v>
      </c>
      <c r="M1344">
        <f>RTD("nest.scriprtd",,"bse_cm|IFL19424","Open")</f>
        <v>0</v>
      </c>
      <c r="N1344">
        <f>RTD("nest.scriprtd",,"bse_cm|IFL19424","High")</f>
        <v>0</v>
      </c>
      <c r="O1344">
        <f>RTD("nest.scriprtd",,"bse_cm|IFL19424","Low ")</f>
        <v>0</v>
      </c>
      <c r="P1344">
        <f>RTD("nest.scriprtd",,"bse_cm|IFL19424","Prev Close")</f>
        <v>1000</v>
      </c>
      <c r="Q1344">
        <f>RTD("nest.scriprtd",,"bse_cm|IFL19424","Face Value")</f>
        <v>1000</v>
      </c>
      <c r="R1344" t="str">
        <f>RTD("nest.scriprtd",,"bse_cm|IFL19424","Isin code")</f>
        <v>INE01CY077O0</v>
      </c>
      <c r="S1344" s="9">
        <f>Table1[[#This Row],[Ask Rate]]*Table1[[#This Row],[Ask Qty]]</f>
        <v>0</v>
      </c>
      <c r="T1344" t="str">
        <f>VLOOKUP(Table1[[#This Row],[Isin code]],Table2[#All],7,FALSE)</f>
        <v>--</v>
      </c>
      <c r="U1344" s="17" t="str">
        <f>VLOOKUP(Table1[[#This Row],[Isin code]],Table2[#All],8,FALSE)</f>
        <v>19-Apr-2026</v>
      </c>
      <c r="V1344" s="10">
        <f ca="1">Table1[[#This Row],[Maturity]]-TODAY()</f>
        <v>550</v>
      </c>
      <c r="W1344" t="str">
        <f>VLOOKUP(Table1[[#This Row],[Isin code]],Table2[#All],10,FALSE)</f>
        <v>At the End</v>
      </c>
      <c r="X1344">
        <f ca="1">_xlfn.DAYS(Table1[[#This Row],[Maturity]],TODAY())-15</f>
        <v>535</v>
      </c>
      <c r="Y134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44">
        <f>IF(Table1[[#This Row],[Ask Rate]]=0,0,Table1[[#This Row],[Face Value]]-Table1[[#This Row],[Ask Rate]])</f>
        <v>0</v>
      </c>
      <c r="AA134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44">
        <f>Table1[[#This Row],[Face Value]]*Table1[[#This Row],[Rate]]*Table1[[#This Row],[Time]]</f>
        <v>0</v>
      </c>
      <c r="AC1344">
        <f>Table1[[#This Row],[SI]]+Table1[[#This Row],[Disc/Prem]]</f>
        <v>0</v>
      </c>
      <c r="AD1344" s="3" t="e">
        <f>Table1[[#This Row],[Net Gain]]/Table1[[#This Row],[Ask Rate]]</f>
        <v>#DIV/0!</v>
      </c>
      <c r="AE1344" s="3">
        <f>IF(Table1[[#This Row],[Ask Qty]]=0,0,Table1[[#This Row],[Gross Yield]]*365/Table1[[#This Row],[Days Left]])</f>
        <v>0</v>
      </c>
      <c r="AF1344" s="9">
        <f>+Table1[[#This Row],[Net Gain]]*Table1[[#This Row],[Ask Qty]]</f>
        <v>0</v>
      </c>
      <c r="AG1344" t="str">
        <f>IF(Table1[[#This Row],[YTM]]&gt;0.12,IF(Table1[[#This Row],[Gross Profit]]&gt;10000,"Invest","Review"),"Low YTM")</f>
        <v>Low YTM</v>
      </c>
    </row>
    <row r="1345" spans="1:33" x14ac:dyDescent="0.3">
      <c r="A1345" t="str">
        <f>RTD("nest.scriprtd",,"bse_cm|SCL310524","Symbol")</f>
        <v>SCL310524</v>
      </c>
      <c r="B1345" t="str">
        <f>RTD("nest.scriprtd",,"bse_cm|SCL310524","Trading Symbol")</f>
        <v>SCL310524</v>
      </c>
      <c r="C1345" t="str">
        <f>RTD("nest.scriprtd",,"bse_cm|SCL310524","Exchange")</f>
        <v>BSE</v>
      </c>
      <c r="D1345">
        <f>RTD("nest.scriprtd",,"bse_cm|SCL310524","Bid Qty")</f>
        <v>12</v>
      </c>
      <c r="E1345">
        <f>RTD("nest.scriprtd",,"bse_cm|SCL310524","Bid Rate")</f>
        <v>905.2</v>
      </c>
      <c r="F1345">
        <f>RTD("nest.scriprtd",,"bse_cm|SCL310524","Ask Rate")</f>
        <v>0</v>
      </c>
      <c r="G1345">
        <f>RTD("nest.scriprtd",,"bse_cm|SCL310524","Ask Qty")</f>
        <v>0</v>
      </c>
      <c r="H1345">
        <f>RTD("nest.scriprtd",,"bse_cm|SCL310524","LTP")</f>
        <v>0</v>
      </c>
      <c r="I1345" t="str">
        <f>RTD("nest.scriprtd",,"bse_cm|SCL310524","LTT")</f>
        <v>00:00:00</v>
      </c>
      <c r="J1345">
        <f>RTD("nest.scriprtd",,"bse_cm|SCL310524","% Change")</f>
        <v>-100</v>
      </c>
      <c r="K1345">
        <f>RTD("nest.scriprtd",,"bse_cm|SCL310524","ATP")</f>
        <v>0</v>
      </c>
      <c r="L1345">
        <f>RTD("nest.scriprtd",,"bse_cm|SCL310524","Volume Traded Today")</f>
        <v>0</v>
      </c>
      <c r="M1345">
        <f>RTD("nest.scriprtd",,"bse_cm|SCL310524","Open")</f>
        <v>0</v>
      </c>
      <c r="N1345">
        <f>RTD("nest.scriprtd",,"bse_cm|SCL310524","High")</f>
        <v>970</v>
      </c>
      <c r="O1345">
        <f>RTD("nest.scriprtd",,"bse_cm|SCL310524","Low ")</f>
        <v>970</v>
      </c>
      <c r="P1345">
        <f>RTD("nest.scriprtd",,"bse_cm|SCL310524","Prev Close")</f>
        <v>970</v>
      </c>
      <c r="Q1345">
        <f>RTD("nest.scriprtd",,"bse_cm|SCL310524","Face Value")</f>
        <v>1000</v>
      </c>
      <c r="R1345" t="str">
        <f>RTD("nest.scriprtd",,"bse_cm|SCL310524","Isin code")</f>
        <v>INE148I07TA9</v>
      </c>
      <c r="S1345" s="9">
        <f>Table1[[#This Row],[Ask Rate]]*Table1[[#This Row],[Ask Qty]]</f>
        <v>0</v>
      </c>
      <c r="T1345" t="str">
        <f>VLOOKUP(Table1[[#This Row],[Isin code]],Table2[#All],7,FALSE)</f>
        <v>--</v>
      </c>
      <c r="U1345" s="17" t="str">
        <f>VLOOKUP(Table1[[#This Row],[Isin code]],Table2[#All],8,FALSE)</f>
        <v>31-May-2026</v>
      </c>
      <c r="V1345" s="10">
        <f ca="1">Table1[[#This Row],[Maturity]]-TODAY()</f>
        <v>592</v>
      </c>
      <c r="W1345" t="str">
        <f>VLOOKUP(Table1[[#This Row],[Isin code]],Table2[#All],10,FALSE)</f>
        <v>At the End</v>
      </c>
      <c r="X1345">
        <f ca="1">_xlfn.DAYS(Table1[[#This Row],[Maturity]],TODAY())-15</f>
        <v>577</v>
      </c>
      <c r="Y134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45">
        <f>IF(Table1[[#This Row],[Ask Rate]]=0,0,Table1[[#This Row],[Face Value]]-Table1[[#This Row],[Ask Rate]])</f>
        <v>0</v>
      </c>
      <c r="AA134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45">
        <f>Table1[[#This Row],[Face Value]]*Table1[[#This Row],[Rate]]*Table1[[#This Row],[Time]]</f>
        <v>0</v>
      </c>
      <c r="AC1345">
        <f>Table1[[#This Row],[SI]]+Table1[[#This Row],[Disc/Prem]]</f>
        <v>0</v>
      </c>
      <c r="AD1345" s="3" t="e">
        <f>Table1[[#This Row],[Net Gain]]/Table1[[#This Row],[Ask Rate]]</f>
        <v>#DIV/0!</v>
      </c>
      <c r="AE1345" s="3">
        <f>IF(Table1[[#This Row],[Ask Qty]]=0,0,Table1[[#This Row],[Gross Yield]]*365/Table1[[#This Row],[Days Left]])</f>
        <v>0</v>
      </c>
      <c r="AF1345" s="9">
        <f>+Table1[[#This Row],[Net Gain]]*Table1[[#This Row],[Ask Qty]]</f>
        <v>0</v>
      </c>
      <c r="AG1345" t="str">
        <f>IF(Table1[[#This Row],[YTM]]&gt;0.12,IF(Table1[[#This Row],[Gross Profit]]&gt;10000,"Invest","Review"),"Low YTM")</f>
        <v>Low YTM</v>
      </c>
    </row>
    <row r="1346" spans="1:33" x14ac:dyDescent="0.3">
      <c r="A1346" t="str">
        <f>RTD("nest.scriprtd",,"nse_cm|965IFSL26-N6","Symbol")</f>
        <v>965IFSL26</v>
      </c>
      <c r="B1346" t="str">
        <f>RTD("nest.scriprtd",,"nse_cm|965IFSL26-N6","Trading Symbol")</f>
        <v>965IFSL26-N6</v>
      </c>
      <c r="C1346" t="str">
        <f>RTD("nest.scriprtd",,"nse_cm|965IFSL26-N6","Exchange")</f>
        <v>NSE</v>
      </c>
      <c r="D1346">
        <f>RTD("nest.scriprtd",,"nse_cm|965IFSL26-N6","Bid Qty")</f>
        <v>1</v>
      </c>
      <c r="E1346">
        <f>RTD("nest.scriprtd",,"nse_cm|965IFSL26-N6","Bid Rate")</f>
        <v>969.5</v>
      </c>
      <c r="F1346">
        <f>RTD("nest.scriprtd",,"nse_cm|965IFSL26-N6","Ask Rate")</f>
        <v>0</v>
      </c>
      <c r="G1346">
        <f>RTD("nest.scriprtd",,"nse_cm|965IFSL26-N6","Ask Qty")</f>
        <v>0</v>
      </c>
      <c r="H1346">
        <f>RTD("nest.scriprtd",,"nse_cm|965IFSL26-N6","LTP")</f>
        <v>975</v>
      </c>
      <c r="I1346" t="str">
        <f>RTD("nest.scriprtd",,"nse_cm|965IFSL26-N6","LTT")</f>
        <v/>
      </c>
      <c r="J1346">
        <f>RTD("nest.scriprtd",,"nse_cm|965IFSL26-N6","% Change")</f>
        <v>0</v>
      </c>
      <c r="K1346">
        <f>RTD("nest.scriprtd",,"nse_cm|965IFSL26-N6","ATP")</f>
        <v>0</v>
      </c>
      <c r="L1346">
        <f>RTD("nest.scriprtd",,"nse_cm|965IFSL26-N6","Volume Traded Today")</f>
        <v>0</v>
      </c>
      <c r="M1346">
        <f>RTD("nest.scriprtd",,"nse_cm|965IFSL26-N6","Open")</f>
        <v>0</v>
      </c>
      <c r="N1346">
        <f>RTD("nest.scriprtd",,"nse_cm|965IFSL26-N6","High")</f>
        <v>975</v>
      </c>
      <c r="O1346">
        <f>RTD("nest.scriprtd",,"nse_cm|965IFSL26-N6","Low ")</f>
        <v>975</v>
      </c>
      <c r="P1346">
        <f>RTD("nest.scriprtd",,"nse_cm|965IFSL26-N6","Prev Close")</f>
        <v>975</v>
      </c>
      <c r="Q1346">
        <f>RTD("nest.scriprtd",,"nse_cm|965IFSL26-N6","Face Value")</f>
        <v>1000</v>
      </c>
      <c r="R1346" t="str">
        <f>RTD("nest.scriprtd",,"nse_cm|965IFSL26-N6","Isin code")</f>
        <v>INE321N07277</v>
      </c>
      <c r="S1346" s="9">
        <f>Table1[[#This Row],[Ask Rate]]*Table1[[#This Row],[Ask Qty]]</f>
        <v>0</v>
      </c>
      <c r="T1346">
        <f>VLOOKUP(Table1[[#This Row],[Isin code]],Table2[#All],7,FALSE)</f>
        <v>9.65</v>
      </c>
      <c r="U1346" s="17" t="str">
        <f>VLOOKUP(Table1[[#This Row],[Isin code]],Table2[#All],8,FALSE)</f>
        <v>02-May-2026</v>
      </c>
      <c r="V1346" s="10">
        <f ca="1">Table1[[#This Row],[Maturity]]-TODAY()</f>
        <v>563</v>
      </c>
      <c r="W1346" t="str">
        <f>VLOOKUP(Table1[[#This Row],[Isin code]],Table2[#All],10,FALSE)</f>
        <v>Quarterly</v>
      </c>
      <c r="X1346">
        <f ca="1">_xlfn.DAYS(Table1[[#This Row],[Maturity]],TODAY())-15</f>
        <v>548</v>
      </c>
      <c r="Y13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346">
        <f>IF(Table1[[#This Row],[Ask Rate]]=0,0,Table1[[#This Row],[Face Value]]-Table1[[#This Row],[Ask Rate]])</f>
        <v>0</v>
      </c>
      <c r="AA1346">
        <f>IF(Table1[[#This Row],[Freq]]="Yearly",Table1[[#This Row],[Coupon_Rate]]/100,IF(Table1[[#This Row],[Freq]]="Monthly",Table1[[#This Row],[Coupon_Rate]]/1200,IF(Table1[[#This Row],[Freq]]="Quarterly",Table1[[#This Row],[Coupon_Rate]]/400,0)))</f>
        <v>2.4125000000000001E-2</v>
      </c>
      <c r="AB1346">
        <f ca="1">Table1[[#This Row],[Face Value]]*Table1[[#This Row],[Rate]]*Table1[[#This Row],[Time]]</f>
        <v>168.875</v>
      </c>
      <c r="AC1346">
        <f ca="1">Table1[[#This Row],[SI]]+Table1[[#This Row],[Disc/Prem]]</f>
        <v>168.875</v>
      </c>
      <c r="AD1346" s="3" t="e">
        <f ca="1">Table1[[#This Row],[Net Gain]]/Table1[[#This Row],[Ask Rate]]</f>
        <v>#DIV/0!</v>
      </c>
      <c r="AE1346" s="3">
        <f>IF(Table1[[#This Row],[Ask Qty]]=0,0,Table1[[#This Row],[Gross Yield]]*365/Table1[[#This Row],[Days Left]])</f>
        <v>0</v>
      </c>
      <c r="AF1346" s="9">
        <f ca="1">+Table1[[#This Row],[Net Gain]]*Table1[[#This Row],[Ask Qty]]</f>
        <v>0</v>
      </c>
      <c r="AG1346" t="str">
        <f>IF(Table1[[#This Row],[YTM]]&gt;0.12,IF(Table1[[#This Row],[Gross Profit]]&gt;10000,"Invest","Review"),"Low YTM")</f>
        <v>Low YTM</v>
      </c>
    </row>
    <row r="1347" spans="1:33" x14ac:dyDescent="0.3">
      <c r="A1347" t="str">
        <f>RTD("nest.scriprtd",,"bse_cm|739HUDC31","Symbol")</f>
        <v>739HUDC31</v>
      </c>
      <c r="B1347" t="str">
        <f>RTD("nest.scriprtd",,"bse_cm|739HUDC31","Trading Symbol")</f>
        <v>739HUDC31</v>
      </c>
      <c r="C1347" t="str">
        <f>RTD("nest.scriprtd",,"bse_cm|739HUDC31","Exchange")</f>
        <v>BSE</v>
      </c>
      <c r="D1347">
        <f>RTD("nest.scriprtd",,"bse_cm|739HUDC31","Bid Qty")</f>
        <v>100</v>
      </c>
      <c r="E1347">
        <f>RTD("nest.scriprtd",,"bse_cm|739HUDC31","Bid Rate")</f>
        <v>1108.01</v>
      </c>
      <c r="F1347">
        <f>RTD("nest.scriprtd",,"bse_cm|739HUDC31","Ask Rate")</f>
        <v>0</v>
      </c>
      <c r="G1347">
        <f>RTD("nest.scriprtd",,"bse_cm|739HUDC31","Ask Qty")</f>
        <v>0</v>
      </c>
      <c r="H1347">
        <f>RTD("nest.scriprtd",,"bse_cm|739HUDC31","LTP")</f>
        <v>0</v>
      </c>
      <c r="I1347" t="str">
        <f>RTD("nest.scriprtd",,"bse_cm|739HUDC31","LTT")</f>
        <v>00:00:00</v>
      </c>
      <c r="J1347">
        <f>RTD("nest.scriprtd",,"bse_cm|739HUDC31","% Change")</f>
        <v>-100</v>
      </c>
      <c r="K1347">
        <f>RTD("nest.scriprtd",,"bse_cm|739HUDC31","ATP")</f>
        <v>0</v>
      </c>
      <c r="L1347">
        <f>RTD("nest.scriprtd",,"bse_cm|739HUDC31","Volume Traded Today")</f>
        <v>0</v>
      </c>
      <c r="M1347">
        <f>RTD("nest.scriprtd",,"bse_cm|739HUDC31","Open")</f>
        <v>0</v>
      </c>
      <c r="N1347">
        <f>RTD("nest.scriprtd",,"bse_cm|739HUDC31","High")</f>
        <v>1129.06</v>
      </c>
      <c r="O1347">
        <f>RTD("nest.scriprtd",,"bse_cm|739HUDC31","Low ")</f>
        <v>1129.06</v>
      </c>
      <c r="P1347">
        <f>RTD("nest.scriprtd",,"bse_cm|739HUDC31","Prev Close")</f>
        <v>1129.06</v>
      </c>
      <c r="Q1347">
        <f>RTD("nest.scriprtd",,"bse_cm|739HUDC31","Face Value")</f>
        <v>1000</v>
      </c>
      <c r="R1347" t="str">
        <f>RTD("nest.scriprtd",,"bse_cm|739HUDC31","Isin code")</f>
        <v>INE031A07AM9</v>
      </c>
      <c r="S1347" s="9">
        <f>Table1[[#This Row],[Ask Rate]]*Table1[[#This Row],[Ask Qty]]</f>
        <v>0</v>
      </c>
      <c r="T1347">
        <f>VLOOKUP(Table1[[#This Row],[Isin code]],Table2[#All],7,FALSE)</f>
        <v>7.39</v>
      </c>
      <c r="U1347" s="17" t="str">
        <f>VLOOKUP(Table1[[#This Row],[Isin code]],Table2[#All],8,FALSE)</f>
        <v>08-Feb-2031</v>
      </c>
      <c r="V1347" s="10">
        <f ca="1">Table1[[#This Row],[Maturity]]-TODAY()</f>
        <v>2306</v>
      </c>
      <c r="W1347" t="str">
        <f>VLOOKUP(Table1[[#This Row],[Isin code]],Table2[#All],10,FALSE)</f>
        <v>Yearly</v>
      </c>
      <c r="X1347">
        <f ca="1">_xlfn.DAYS(Table1[[#This Row],[Maturity]],TODAY())-15</f>
        <v>2291</v>
      </c>
      <c r="Y13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347">
        <f>IF(Table1[[#This Row],[Ask Rate]]=0,0,Table1[[#This Row],[Face Value]]-Table1[[#This Row],[Ask Rate]])</f>
        <v>0</v>
      </c>
      <c r="AA1347">
        <f>IF(Table1[[#This Row],[Freq]]="Yearly",Table1[[#This Row],[Coupon_Rate]]/100,IF(Table1[[#This Row],[Freq]]="Monthly",Table1[[#This Row],[Coupon_Rate]]/1200,IF(Table1[[#This Row],[Freq]]="Quarterly",Table1[[#This Row],[Coupon_Rate]]/400,0)))</f>
        <v>7.3899999999999993E-2</v>
      </c>
      <c r="AB1347">
        <f ca="1">Table1[[#This Row],[Face Value]]*Table1[[#This Row],[Rate]]*Table1[[#This Row],[Time]]</f>
        <v>517.29999999999995</v>
      </c>
      <c r="AC1347">
        <f ca="1">Table1[[#This Row],[SI]]+Table1[[#This Row],[Disc/Prem]]</f>
        <v>517.29999999999995</v>
      </c>
      <c r="AD1347" s="3" t="e">
        <f ca="1">Table1[[#This Row],[Net Gain]]/Table1[[#This Row],[Ask Rate]]</f>
        <v>#DIV/0!</v>
      </c>
      <c r="AE1347" s="3">
        <f>IF(Table1[[#This Row],[Ask Qty]]=0,0,Table1[[#This Row],[Gross Yield]]*365/Table1[[#This Row],[Days Left]])</f>
        <v>0</v>
      </c>
      <c r="AF1347" s="9">
        <f ca="1">+Table1[[#This Row],[Net Gain]]*Table1[[#This Row],[Ask Qty]]</f>
        <v>0</v>
      </c>
      <c r="AG1347" t="str">
        <f>IF(Table1[[#This Row],[YTM]]&gt;0.12,IF(Table1[[#This Row],[Gross Profit]]&gt;10000,"Invest","Review"),"Low YTM")</f>
        <v>Low YTM</v>
      </c>
    </row>
    <row r="1348" spans="1:33" x14ac:dyDescent="0.3">
      <c r="A1348" t="str">
        <f>RTD("nest.scriprtd",,"bse_cm|MMFLZC28A","Symbol")</f>
        <v>MMFLZC28A</v>
      </c>
      <c r="B1348" t="str">
        <f>RTD("nest.scriprtd",,"bse_cm|MMFLZC28A","Trading Symbol")</f>
        <v>MMFLZC28A</v>
      </c>
      <c r="C1348" t="str">
        <f>RTD("nest.scriprtd",,"bse_cm|MMFLZC28A","Exchange")</f>
        <v>BSE</v>
      </c>
      <c r="D1348">
        <f>RTD("nest.scriprtd",,"bse_cm|MMFLZC28A","Bid Qty")</f>
        <v>42</v>
      </c>
      <c r="E1348">
        <f>RTD("nest.scriprtd",,"bse_cm|MMFLZC28A","Bid Rate")</f>
        <v>1101.5</v>
      </c>
      <c r="F1348">
        <f>RTD("nest.scriprtd",,"bse_cm|MMFLZC28A","Ask Rate")</f>
        <v>0</v>
      </c>
      <c r="G1348">
        <f>RTD("nest.scriprtd",,"bse_cm|MMFLZC28A","Ask Qty")</f>
        <v>0</v>
      </c>
      <c r="H1348">
        <f>RTD("nest.scriprtd",,"bse_cm|MMFLZC28A","LTP")</f>
        <v>0</v>
      </c>
      <c r="I1348" t="str">
        <f>RTD("nest.scriprtd",,"bse_cm|MMFLZC28A","LTT")</f>
        <v>00:00:00</v>
      </c>
      <c r="J1348">
        <f>RTD("nest.scriprtd",,"bse_cm|MMFLZC28A","% Change")</f>
        <v>-100</v>
      </c>
      <c r="K1348">
        <f>RTD("nest.scriprtd",,"bse_cm|MMFLZC28A","ATP")</f>
        <v>0</v>
      </c>
      <c r="L1348">
        <f>RTD("nest.scriprtd",,"bse_cm|MMFLZC28A","Volume Traded Today")</f>
        <v>0</v>
      </c>
      <c r="M1348">
        <f>RTD("nest.scriprtd",,"bse_cm|MMFLZC28A","Open")</f>
        <v>0</v>
      </c>
      <c r="N1348">
        <f>RTD("nest.scriprtd",,"bse_cm|MMFLZC28A","High")</f>
        <v>1242</v>
      </c>
      <c r="O1348">
        <f>RTD("nest.scriprtd",,"bse_cm|MMFLZC28A","Low ")</f>
        <v>1150</v>
      </c>
      <c r="P1348">
        <f>RTD("nest.scriprtd",,"bse_cm|MMFLZC28A","Prev Close")</f>
        <v>1242</v>
      </c>
      <c r="Q1348">
        <f>RTD("nest.scriprtd",,"bse_cm|MMFLZC28A","Face Value")</f>
        <v>1000</v>
      </c>
      <c r="R1348" t="str">
        <f>RTD("nest.scriprtd",,"bse_cm|MMFLZC28A","Isin code")</f>
        <v>INE101Q08142</v>
      </c>
      <c r="S1348" s="9">
        <f>Table1[[#This Row],[Ask Rate]]*Table1[[#This Row],[Ask Qty]]</f>
        <v>0</v>
      </c>
      <c r="T1348" t="str">
        <f>VLOOKUP(Table1[[#This Row],[Isin code]],Table2[#All],7,FALSE)</f>
        <v>--</v>
      </c>
      <c r="U1348" s="17" t="str">
        <f>VLOOKUP(Table1[[#This Row],[Isin code]],Table2[#All],8,FALSE)</f>
        <v>02-May-2028</v>
      </c>
      <c r="V1348" s="10">
        <f ca="1">Table1[[#This Row],[Maturity]]-TODAY()</f>
        <v>1294</v>
      </c>
      <c r="W1348" t="str">
        <f>VLOOKUP(Table1[[#This Row],[Isin code]],Table2[#All],10,FALSE)</f>
        <v>At the End</v>
      </c>
      <c r="X1348">
        <f ca="1">_xlfn.DAYS(Table1[[#This Row],[Maturity]],TODAY())-15</f>
        <v>1279</v>
      </c>
      <c r="Y134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48">
        <f>IF(Table1[[#This Row],[Ask Rate]]=0,0,Table1[[#This Row],[Face Value]]-Table1[[#This Row],[Ask Rate]])</f>
        <v>0</v>
      </c>
      <c r="AA134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48">
        <f>Table1[[#This Row],[Face Value]]*Table1[[#This Row],[Rate]]*Table1[[#This Row],[Time]]</f>
        <v>0</v>
      </c>
      <c r="AC1348">
        <f>Table1[[#This Row],[SI]]+Table1[[#This Row],[Disc/Prem]]</f>
        <v>0</v>
      </c>
      <c r="AD1348" s="3" t="e">
        <f>Table1[[#This Row],[Net Gain]]/Table1[[#This Row],[Ask Rate]]</f>
        <v>#DIV/0!</v>
      </c>
      <c r="AE1348" s="3">
        <f>IF(Table1[[#This Row],[Ask Qty]]=0,0,Table1[[#This Row],[Gross Yield]]*365/Table1[[#This Row],[Days Left]])</f>
        <v>0</v>
      </c>
      <c r="AF1348" s="9">
        <f>+Table1[[#This Row],[Net Gain]]*Table1[[#This Row],[Ask Qty]]</f>
        <v>0</v>
      </c>
      <c r="AG1348" t="str">
        <f>IF(Table1[[#This Row],[YTM]]&gt;0.12,IF(Table1[[#This Row],[Gross Profit]]&gt;10000,"Invest","Review"),"Low YTM")</f>
        <v>Low YTM</v>
      </c>
    </row>
    <row r="1349" spans="1:33" x14ac:dyDescent="0.3">
      <c r="A1349" t="str">
        <f>RTD("nest.scriprtd",,"bse_cm|965ARKA28","Symbol")</f>
        <v>965ARKA28</v>
      </c>
      <c r="B1349" t="str">
        <f>RTD("nest.scriprtd",,"bse_cm|965ARKA28","Trading Symbol")</f>
        <v>965ARKA28</v>
      </c>
      <c r="C1349" t="str">
        <f>RTD("nest.scriprtd",,"bse_cm|965ARKA28","Exchange")</f>
        <v>BSE</v>
      </c>
      <c r="D1349">
        <f>RTD("nest.scriprtd",,"bse_cm|965ARKA28","Bid Qty")</f>
        <v>90</v>
      </c>
      <c r="E1349">
        <f>RTD("nest.scriprtd",,"bse_cm|965ARKA28","Bid Rate")</f>
        <v>906</v>
      </c>
      <c r="F1349">
        <f>RTD("nest.scriprtd",,"bse_cm|965ARKA28","Ask Rate")</f>
        <v>0</v>
      </c>
      <c r="G1349">
        <f>RTD("nest.scriprtd",,"bse_cm|965ARKA28","Ask Qty")</f>
        <v>0</v>
      </c>
      <c r="H1349">
        <f>RTD("nest.scriprtd",,"bse_cm|965ARKA28","LTP")</f>
        <v>0</v>
      </c>
      <c r="I1349" t="str">
        <f>RTD("nest.scriprtd",,"bse_cm|965ARKA28","LTT")</f>
        <v>00:00:00</v>
      </c>
      <c r="J1349">
        <f>RTD("nest.scriprtd",,"bse_cm|965ARKA28","% Change")</f>
        <v>-100</v>
      </c>
      <c r="K1349">
        <f>RTD("nest.scriprtd",,"bse_cm|965ARKA28","ATP")</f>
        <v>0</v>
      </c>
      <c r="L1349">
        <f>RTD("nest.scriprtd",,"bse_cm|965ARKA28","Volume Traded Today")</f>
        <v>0</v>
      </c>
      <c r="M1349">
        <f>RTD("nest.scriprtd",,"bse_cm|965ARKA28","Open")</f>
        <v>0</v>
      </c>
      <c r="N1349">
        <f>RTD("nest.scriprtd",,"bse_cm|965ARKA28","High")</f>
        <v>1000</v>
      </c>
      <c r="O1349">
        <f>RTD("nest.scriprtd",,"bse_cm|965ARKA28","Low ")</f>
        <v>875.4</v>
      </c>
      <c r="P1349">
        <f>RTD("nest.scriprtd",,"bse_cm|965ARKA28","Prev Close")</f>
        <v>900</v>
      </c>
      <c r="Q1349">
        <f>RTD("nest.scriprtd",,"bse_cm|965ARKA28","Face Value")</f>
        <v>1000</v>
      </c>
      <c r="R1349" t="str">
        <f>RTD("nest.scriprtd",,"bse_cm|965ARKA28","Isin code")</f>
        <v>INE03W107256</v>
      </c>
      <c r="S1349" s="9">
        <f>Table1[[#This Row],[Ask Rate]]*Table1[[#This Row],[Ask Qty]]</f>
        <v>0</v>
      </c>
      <c r="T1349">
        <f>VLOOKUP(Table1[[#This Row],[Isin code]],Table2[#All],7,FALSE)</f>
        <v>9.65</v>
      </c>
      <c r="U1349" s="17" t="str">
        <f>VLOOKUP(Table1[[#This Row],[Isin code]],Table2[#All],8,FALSE)</f>
        <v>27-Dec-2028</v>
      </c>
      <c r="V1349" s="10">
        <f ca="1">Table1[[#This Row],[Maturity]]-TODAY()</f>
        <v>1533</v>
      </c>
      <c r="W1349" t="str">
        <f>VLOOKUP(Table1[[#This Row],[Isin code]],Table2[#All],10,FALSE)</f>
        <v>QUARTERLY</v>
      </c>
      <c r="X1349">
        <f ca="1">_xlfn.DAYS(Table1[[#This Row],[Maturity]],TODAY())-15</f>
        <v>1518</v>
      </c>
      <c r="Y13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17</v>
      </c>
      <c r="Z1349">
        <f>IF(Table1[[#This Row],[Ask Rate]]=0,0,Table1[[#This Row],[Face Value]]-Table1[[#This Row],[Ask Rate]])</f>
        <v>0</v>
      </c>
      <c r="AA1349">
        <f>IF(Table1[[#This Row],[Freq]]="Yearly",Table1[[#This Row],[Coupon_Rate]]/100,IF(Table1[[#This Row],[Freq]]="Monthly",Table1[[#This Row],[Coupon_Rate]]/1200,IF(Table1[[#This Row],[Freq]]="Quarterly",Table1[[#This Row],[Coupon_Rate]]/400,0)))</f>
        <v>2.4125000000000001E-2</v>
      </c>
      <c r="AB1349">
        <f ca="1">Table1[[#This Row],[Face Value]]*Table1[[#This Row],[Rate]]*Table1[[#This Row],[Time]]</f>
        <v>410.125</v>
      </c>
      <c r="AC1349">
        <f ca="1">Table1[[#This Row],[SI]]+Table1[[#This Row],[Disc/Prem]]</f>
        <v>410.125</v>
      </c>
      <c r="AD1349" s="3" t="e">
        <f ca="1">Table1[[#This Row],[Net Gain]]/Table1[[#This Row],[Ask Rate]]</f>
        <v>#DIV/0!</v>
      </c>
      <c r="AE1349" s="3">
        <f>IF(Table1[[#This Row],[Ask Qty]]=0,0,Table1[[#This Row],[Gross Yield]]*365/Table1[[#This Row],[Days Left]])</f>
        <v>0</v>
      </c>
      <c r="AF1349" s="9">
        <f ca="1">+Table1[[#This Row],[Net Gain]]*Table1[[#This Row],[Ask Qty]]</f>
        <v>0</v>
      </c>
      <c r="AG1349" t="str">
        <f>IF(Table1[[#This Row],[YTM]]&gt;0.12,IF(Table1[[#This Row],[Gross Profit]]&gt;10000,"Invest","Review"),"Low YTM")</f>
        <v>Low YTM</v>
      </c>
    </row>
    <row r="1350" spans="1:33" x14ac:dyDescent="0.3">
      <c r="A1350" t="str">
        <f>RTD("nest.scriprtd",,"bse_cm|MFLZC26C","Symbol")</f>
        <v>MFLZC26C</v>
      </c>
      <c r="B1350" t="str">
        <f>RTD("nest.scriprtd",,"bse_cm|MFLZC26C","Trading Symbol")</f>
        <v>MFLZC26C</v>
      </c>
      <c r="C1350" t="str">
        <f>RTD("nest.scriprtd",,"bse_cm|MFLZC26C","Exchange")</f>
        <v>BSE</v>
      </c>
      <c r="D1350">
        <f>RTD("nest.scriprtd",,"bse_cm|MFLZC26C","Bid Qty")</f>
        <v>50</v>
      </c>
      <c r="E1350">
        <f>RTD("nest.scriprtd",,"bse_cm|MFLZC26C","Bid Rate")</f>
        <v>1270.22</v>
      </c>
      <c r="F1350">
        <f>RTD("nest.scriprtd",,"bse_cm|MFLZC26C","Ask Rate")</f>
        <v>0</v>
      </c>
      <c r="G1350">
        <f>RTD("nest.scriprtd",,"bse_cm|MFLZC26C","Ask Qty")</f>
        <v>0</v>
      </c>
      <c r="H1350">
        <f>RTD("nest.scriprtd",,"bse_cm|MFLZC26C","LTP")</f>
        <v>0</v>
      </c>
      <c r="I1350" t="str">
        <f>RTD("nest.scriprtd",,"bse_cm|MFLZC26C","LTT")</f>
        <v>00:00:00</v>
      </c>
      <c r="J1350">
        <f>RTD("nest.scriprtd",,"bse_cm|MFLZC26C","% Change")</f>
        <v>-100</v>
      </c>
      <c r="K1350">
        <f>RTD("nest.scriprtd",,"bse_cm|MFLZC26C","ATP")</f>
        <v>0</v>
      </c>
      <c r="L1350">
        <f>RTD("nest.scriprtd",,"bse_cm|MFLZC26C","Volume Traded Today")</f>
        <v>0</v>
      </c>
      <c r="M1350">
        <f>RTD("nest.scriprtd",,"bse_cm|MFLZC26C","Open")</f>
        <v>0</v>
      </c>
      <c r="N1350">
        <f>RTD("nest.scriprtd",,"bse_cm|MFLZC26C","High")</f>
        <v>1300</v>
      </c>
      <c r="O1350">
        <f>RTD("nest.scriprtd",,"bse_cm|MFLZC26C","Low ")</f>
        <v>1300</v>
      </c>
      <c r="P1350">
        <f>RTD("nest.scriprtd",,"bse_cm|MFLZC26C","Prev Close")</f>
        <v>1300</v>
      </c>
      <c r="Q1350">
        <f>RTD("nest.scriprtd",,"bse_cm|MFLZC26C","Face Value")</f>
        <v>1000</v>
      </c>
      <c r="R1350" t="str">
        <f>RTD("nest.scriprtd",,"bse_cm|MFLZC26C","Isin code")</f>
        <v>INE549K07AE6</v>
      </c>
      <c r="S1350" s="9">
        <f>Table1[[#This Row],[Ask Rate]]*Table1[[#This Row],[Ask Qty]]</f>
        <v>0</v>
      </c>
      <c r="T1350" t="str">
        <f>VLOOKUP(Table1[[#This Row],[Isin code]],Table2[#All],7,FALSE)</f>
        <v>--</v>
      </c>
      <c r="U1350" s="17" t="str">
        <f>VLOOKUP(Table1[[#This Row],[Isin code]],Table2[#All],8,FALSE)</f>
        <v>15-Mar-2026</v>
      </c>
      <c r="V1350" s="10">
        <f ca="1">Table1[[#This Row],[Maturity]]-TODAY()</f>
        <v>515</v>
      </c>
      <c r="W1350" t="str">
        <f>VLOOKUP(Table1[[#This Row],[Isin code]],Table2[#All],10,FALSE)</f>
        <v>At the End</v>
      </c>
      <c r="X1350">
        <f ca="1">_xlfn.DAYS(Table1[[#This Row],[Maturity]],TODAY())-15</f>
        <v>500</v>
      </c>
      <c r="Y135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50">
        <f>IF(Table1[[#This Row],[Ask Rate]]=0,0,Table1[[#This Row],[Face Value]]-Table1[[#This Row],[Ask Rate]])</f>
        <v>0</v>
      </c>
      <c r="AA135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50">
        <f>Table1[[#This Row],[Face Value]]*Table1[[#This Row],[Rate]]*Table1[[#This Row],[Time]]</f>
        <v>0</v>
      </c>
      <c r="AC1350">
        <f>Table1[[#This Row],[SI]]+Table1[[#This Row],[Disc/Prem]]</f>
        <v>0</v>
      </c>
      <c r="AD1350" s="3" t="e">
        <f>Table1[[#This Row],[Net Gain]]/Table1[[#This Row],[Ask Rate]]</f>
        <v>#DIV/0!</v>
      </c>
      <c r="AE1350" s="3">
        <f>IF(Table1[[#This Row],[Ask Qty]]=0,0,Table1[[#This Row],[Gross Yield]]*365/Table1[[#This Row],[Days Left]])</f>
        <v>0</v>
      </c>
      <c r="AF1350" s="9">
        <f>+Table1[[#This Row],[Net Gain]]*Table1[[#This Row],[Ask Qty]]</f>
        <v>0</v>
      </c>
      <c r="AG1350" t="str">
        <f>IF(Table1[[#This Row],[YTM]]&gt;0.12,IF(Table1[[#This Row],[Gross Profit]]&gt;10000,"Invest","Review"),"Low YTM")</f>
        <v>Low YTM</v>
      </c>
    </row>
    <row r="1351" spans="1:33" x14ac:dyDescent="0.3">
      <c r="A1351" t="str">
        <f>RTD("nest.scriprtd",,"bse_cm|879SCL26","Symbol")</f>
        <v>879SCL26</v>
      </c>
      <c r="B1351" t="str">
        <f>RTD("nest.scriprtd",,"bse_cm|879SCL26","Trading Symbol")</f>
        <v>879SCL26</v>
      </c>
      <c r="C1351" t="str">
        <f>RTD("nest.scriprtd",,"bse_cm|879SCL26","Exchange")</f>
        <v>BSE</v>
      </c>
      <c r="D1351">
        <f>RTD("nest.scriprtd",,"bse_cm|879SCL26","Bid Qty")</f>
        <v>10</v>
      </c>
      <c r="E1351">
        <f>RTD("nest.scriprtd",,"bse_cm|879SCL26","Bid Rate")</f>
        <v>830.2</v>
      </c>
      <c r="F1351">
        <f>RTD("nest.scriprtd",,"bse_cm|879SCL26","Ask Rate")</f>
        <v>0</v>
      </c>
      <c r="G1351">
        <f>RTD("nest.scriprtd",,"bse_cm|879SCL26","Ask Qty")</f>
        <v>0</v>
      </c>
      <c r="H1351">
        <f>RTD("nest.scriprtd",,"bse_cm|879SCL26","LTP")</f>
        <v>0</v>
      </c>
      <c r="I1351" t="str">
        <f>RTD("nest.scriprtd",,"bse_cm|879SCL26","LTT")</f>
        <v>00:00:00</v>
      </c>
      <c r="J1351">
        <f>RTD("nest.scriprtd",,"bse_cm|879SCL26","% Change")</f>
        <v>-100</v>
      </c>
      <c r="K1351">
        <f>RTD("nest.scriprtd",,"bse_cm|879SCL26","ATP")</f>
        <v>0</v>
      </c>
      <c r="L1351">
        <f>RTD("nest.scriprtd",,"bse_cm|879SCL26","Volume Traded Today")</f>
        <v>0</v>
      </c>
      <c r="M1351">
        <f>RTD("nest.scriprtd",,"bse_cm|879SCL26","Open")</f>
        <v>0</v>
      </c>
      <c r="N1351">
        <f>RTD("nest.scriprtd",,"bse_cm|879SCL26","High")</f>
        <v>937.61</v>
      </c>
      <c r="O1351">
        <f>RTD("nest.scriprtd",,"bse_cm|879SCL26","Low ")</f>
        <v>937.61</v>
      </c>
      <c r="P1351">
        <f>RTD("nest.scriprtd",,"bse_cm|879SCL26","Prev Close")</f>
        <v>937.61</v>
      </c>
      <c r="Q1351">
        <f>RTD("nest.scriprtd",,"bse_cm|879SCL26","Face Value")</f>
        <v>1000</v>
      </c>
      <c r="R1351" t="str">
        <f>RTD("nest.scriprtd",,"bse_cm|879SCL26","Isin code")</f>
        <v>INE148I08231</v>
      </c>
      <c r="S1351" s="9">
        <f>Table1[[#This Row],[Ask Rate]]*Table1[[#This Row],[Ask Qty]]</f>
        <v>0</v>
      </c>
      <c r="T1351">
        <f>VLOOKUP(Table1[[#This Row],[Isin code]],Table2[#All],7,FALSE)</f>
        <v>8.7899999999999991</v>
      </c>
      <c r="U1351" s="17" t="str">
        <f>VLOOKUP(Table1[[#This Row],[Isin code]],Table2[#All],8,FALSE)</f>
        <v>26-Sep-2026</v>
      </c>
      <c r="V1351" s="10">
        <f ca="1">Table1[[#This Row],[Maturity]]-TODAY()</f>
        <v>710</v>
      </c>
      <c r="W1351" t="str">
        <f>VLOOKUP(Table1[[#This Row],[Isin code]],Table2[#All],10,FALSE)</f>
        <v>Monthly</v>
      </c>
      <c r="X1351">
        <f ca="1">_xlfn.DAYS(Table1[[#This Row],[Maturity]],TODAY())-15</f>
        <v>695</v>
      </c>
      <c r="Y135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1351">
        <f>IF(Table1[[#This Row],[Ask Rate]]=0,0,Table1[[#This Row],[Face Value]]-Table1[[#This Row],[Ask Rate]])</f>
        <v>0</v>
      </c>
      <c r="AA1351">
        <f>IF(Table1[[#This Row],[Freq]]="Yearly",Table1[[#This Row],[Coupon_Rate]]/100,IF(Table1[[#This Row],[Freq]]="Monthly",Table1[[#This Row],[Coupon_Rate]]/1200,IF(Table1[[#This Row],[Freq]]="Quarterly",Table1[[#This Row],[Coupon_Rate]]/400,0)))</f>
        <v>7.324999999999999E-3</v>
      </c>
      <c r="AB1351">
        <f ca="1">Table1[[#This Row],[Face Value]]*Table1[[#This Row],[Rate]]*Table1[[#This Row],[Time]]</f>
        <v>175.79999999999998</v>
      </c>
      <c r="AC1351">
        <f ca="1">Table1[[#This Row],[SI]]+Table1[[#This Row],[Disc/Prem]]</f>
        <v>175.79999999999998</v>
      </c>
      <c r="AD1351" s="3" t="e">
        <f ca="1">Table1[[#This Row],[Net Gain]]/Table1[[#This Row],[Ask Rate]]</f>
        <v>#DIV/0!</v>
      </c>
      <c r="AE1351" s="3">
        <f>IF(Table1[[#This Row],[Ask Qty]]=0,0,Table1[[#This Row],[Gross Yield]]*365/Table1[[#This Row],[Days Left]])</f>
        <v>0</v>
      </c>
      <c r="AF1351" s="9">
        <f ca="1">+Table1[[#This Row],[Net Gain]]*Table1[[#This Row],[Ask Qty]]</f>
        <v>0</v>
      </c>
      <c r="AG1351" t="str">
        <f>IF(Table1[[#This Row],[YTM]]&gt;0.12,IF(Table1[[#This Row],[Gross Profit]]&gt;10000,"Invest","Review"),"Low YTM")</f>
        <v>Low YTM</v>
      </c>
    </row>
    <row r="1352" spans="1:33" x14ac:dyDescent="0.3">
      <c r="A1352" t="str">
        <f>RTD("nest.scriprtd",,"nse_cm|925SCL29A-ZM","Symbol")</f>
        <v>925SCL29A</v>
      </c>
      <c r="B1352" t="str">
        <f>RTD("nest.scriprtd",,"nse_cm|925SCL29A-ZM","Trading Symbol")</f>
        <v>925SCL29A-ZM</v>
      </c>
      <c r="C1352" t="str">
        <f>RTD("nest.scriprtd",,"nse_cm|925SCL29A-ZM","Exchange")</f>
        <v>NSE</v>
      </c>
      <c r="D1352">
        <f>RTD("nest.scriprtd",,"nse_cm|925SCL29A-ZM","Bid Qty")</f>
        <v>10</v>
      </c>
      <c r="E1352">
        <f>RTD("nest.scriprtd",,"nse_cm|925SCL29A-ZM","Bid Rate")</f>
        <v>812.3</v>
      </c>
      <c r="F1352">
        <f>RTD("nest.scriprtd",,"nse_cm|925SCL29A-ZM","Ask Rate")</f>
        <v>0</v>
      </c>
      <c r="G1352">
        <f>RTD("nest.scriprtd",,"nse_cm|925SCL29A-ZM","Ask Qty")</f>
        <v>0</v>
      </c>
      <c r="H1352">
        <f>RTD("nest.scriprtd",,"nse_cm|925SCL29A-ZM","LTP")</f>
        <v>950</v>
      </c>
      <c r="I1352" t="str">
        <f>RTD("nest.scriprtd",,"nse_cm|925SCL29A-ZM","LTT")</f>
        <v/>
      </c>
      <c r="J1352">
        <f>RTD("nest.scriprtd",,"nse_cm|925SCL29A-ZM","% Change")</f>
        <v>0</v>
      </c>
      <c r="K1352">
        <f>RTD("nest.scriprtd",,"nse_cm|925SCL29A-ZM","ATP")</f>
        <v>0</v>
      </c>
      <c r="L1352">
        <f>RTD("nest.scriprtd",,"nse_cm|925SCL29A-ZM","Volume Traded Today")</f>
        <v>0</v>
      </c>
      <c r="M1352">
        <f>RTD("nest.scriprtd",,"nse_cm|925SCL29A-ZM","Open")</f>
        <v>0</v>
      </c>
      <c r="N1352">
        <f>RTD("nest.scriprtd",,"nse_cm|925SCL29A-ZM","High")</f>
        <v>950</v>
      </c>
      <c r="O1352">
        <f>RTD("nest.scriprtd",,"nse_cm|925SCL29A-ZM","Low ")</f>
        <v>948</v>
      </c>
      <c r="P1352">
        <f>RTD("nest.scriprtd",,"nse_cm|925SCL29A-ZM","Prev Close")</f>
        <v>950</v>
      </c>
      <c r="Q1352">
        <f>RTD("nest.scriprtd",,"nse_cm|925SCL29A-ZM","Face Value")</f>
        <v>1000</v>
      </c>
      <c r="R1352" t="str">
        <f>RTD("nest.scriprtd",,"nse_cm|925SCL29A-ZM","Isin code")</f>
        <v>INE148I07TQ5</v>
      </c>
      <c r="S1352" s="9">
        <f>Table1[[#This Row],[Ask Rate]]*Table1[[#This Row],[Ask Qty]]</f>
        <v>0</v>
      </c>
      <c r="T1352">
        <f>VLOOKUP(Table1[[#This Row],[Isin code]],Table2[#All],7,FALSE)</f>
        <v>9.25</v>
      </c>
      <c r="U1352" s="17" t="str">
        <f>VLOOKUP(Table1[[#This Row],[Isin code]],Table2[#All],8,FALSE)</f>
        <v>31-May-2029</v>
      </c>
      <c r="V1352" s="10">
        <f ca="1">Table1[[#This Row],[Maturity]]-TODAY()</f>
        <v>1688</v>
      </c>
      <c r="W1352" t="str">
        <f>VLOOKUP(Table1[[#This Row],[Isin code]],Table2[#All],10,FALSE)</f>
        <v>Monthly</v>
      </c>
      <c r="X1352">
        <f ca="1">_xlfn.DAYS(Table1[[#This Row],[Maturity]],TODAY())-15</f>
        <v>1673</v>
      </c>
      <c r="Y13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56</v>
      </c>
      <c r="Z1352">
        <f>IF(Table1[[#This Row],[Ask Rate]]=0,0,Table1[[#This Row],[Face Value]]-Table1[[#This Row],[Ask Rate]])</f>
        <v>0</v>
      </c>
      <c r="AA1352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352">
        <f ca="1">Table1[[#This Row],[Face Value]]*Table1[[#This Row],[Rate]]*Table1[[#This Row],[Time]]</f>
        <v>431.66666666666669</v>
      </c>
      <c r="AC1352">
        <f ca="1">Table1[[#This Row],[SI]]+Table1[[#This Row],[Disc/Prem]]</f>
        <v>431.66666666666669</v>
      </c>
      <c r="AD1352" s="3" t="e">
        <f ca="1">Table1[[#This Row],[Net Gain]]/Table1[[#This Row],[Ask Rate]]</f>
        <v>#DIV/0!</v>
      </c>
      <c r="AE1352" s="3">
        <f>IF(Table1[[#This Row],[Ask Qty]]=0,0,Table1[[#This Row],[Gross Yield]]*365/Table1[[#This Row],[Days Left]])</f>
        <v>0</v>
      </c>
      <c r="AF1352" s="9">
        <f ca="1">+Table1[[#This Row],[Net Gain]]*Table1[[#This Row],[Ask Qty]]</f>
        <v>0</v>
      </c>
      <c r="AG1352" t="str">
        <f>IF(Table1[[#This Row],[YTM]]&gt;0.12,IF(Table1[[#This Row],[Gross Profit]]&gt;10000,"Invest","Review"),"Low YTM")</f>
        <v>Low YTM</v>
      </c>
    </row>
    <row r="1353" spans="1:33" x14ac:dyDescent="0.3">
      <c r="A1353" t="str">
        <f>RTD("nest.scriprtd",,"nse_cm|902SCL27A-ZI","Symbol")</f>
        <v>902SCL27A</v>
      </c>
      <c r="B1353" t="str">
        <f>RTD("nest.scriprtd",,"nse_cm|902SCL27A-ZI","Trading Symbol")</f>
        <v>902SCL27A-ZI</v>
      </c>
      <c r="C1353" t="str">
        <f>RTD("nest.scriprtd",,"nse_cm|902SCL27A-ZI","Exchange")</f>
        <v>NSE</v>
      </c>
      <c r="D1353">
        <f>RTD("nest.scriprtd",,"nse_cm|902SCL27A-ZI","Bid Qty")</f>
        <v>11</v>
      </c>
      <c r="E1353">
        <f>RTD("nest.scriprtd",,"nse_cm|902SCL27A-ZI","Bid Rate")</f>
        <v>820.2</v>
      </c>
      <c r="F1353">
        <f>RTD("nest.scriprtd",,"nse_cm|902SCL27A-ZI","Ask Rate")</f>
        <v>0</v>
      </c>
      <c r="G1353">
        <f>RTD("nest.scriprtd",,"nse_cm|902SCL27A-ZI","Ask Qty")</f>
        <v>0</v>
      </c>
      <c r="H1353">
        <f>RTD("nest.scriprtd",,"nse_cm|902SCL27A-ZI","LTP")</f>
        <v>0</v>
      </c>
      <c r="I1353" t="str">
        <f>RTD("nest.scriprtd",,"nse_cm|902SCL27A-ZI","LTT")</f>
        <v/>
      </c>
      <c r="J1353">
        <f>RTD("nest.scriprtd",,"nse_cm|902SCL27A-ZI","% Change")</f>
        <v>-100</v>
      </c>
      <c r="K1353">
        <f>RTD("nest.scriprtd",,"nse_cm|902SCL27A-ZI","ATP")</f>
        <v>0</v>
      </c>
      <c r="L1353">
        <f>RTD("nest.scriprtd",,"nse_cm|902SCL27A-ZI","Volume Traded Today")</f>
        <v>0</v>
      </c>
      <c r="M1353">
        <f>RTD("nest.scriprtd",,"nse_cm|902SCL27A-ZI","Open")</f>
        <v>0</v>
      </c>
      <c r="N1353">
        <f>RTD("nest.scriprtd",,"nse_cm|902SCL27A-ZI","High")</f>
        <v>0</v>
      </c>
      <c r="O1353">
        <f>RTD("nest.scriprtd",,"nse_cm|902SCL27A-ZI","Low ")</f>
        <v>0</v>
      </c>
      <c r="P1353">
        <f>RTD("nest.scriprtd",,"nse_cm|902SCL27A-ZI","Prev Close")</f>
        <v>1000</v>
      </c>
      <c r="Q1353">
        <f>RTD("nest.scriprtd",,"nse_cm|902SCL27A-ZI","Face Value")</f>
        <v>1000</v>
      </c>
      <c r="R1353" t="str">
        <f>RTD("nest.scriprtd",,"nse_cm|902SCL27A-ZI","Isin code")</f>
        <v>INE148I07TH4</v>
      </c>
      <c r="S1353" s="9">
        <f>Table1[[#This Row],[Ask Rate]]*Table1[[#This Row],[Ask Qty]]</f>
        <v>0</v>
      </c>
      <c r="T1353">
        <f>VLOOKUP(Table1[[#This Row],[Isin code]],Table2[#All],7,FALSE)</f>
        <v>9.02</v>
      </c>
      <c r="U1353" s="17" t="str">
        <f>VLOOKUP(Table1[[#This Row],[Isin code]],Table2[#All],8,FALSE)</f>
        <v>31-May-2027</v>
      </c>
      <c r="V1353" s="10">
        <f ca="1">Table1[[#This Row],[Maturity]]-TODAY()</f>
        <v>957</v>
      </c>
      <c r="W1353" t="str">
        <f>VLOOKUP(Table1[[#This Row],[Isin code]],Table2[#All],10,FALSE)</f>
        <v>Monthly</v>
      </c>
      <c r="X1353">
        <f ca="1">_xlfn.DAYS(Table1[[#This Row],[Maturity]],TODAY())-15</f>
        <v>942</v>
      </c>
      <c r="Y13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32</v>
      </c>
      <c r="Z1353">
        <f>IF(Table1[[#This Row],[Ask Rate]]=0,0,Table1[[#This Row],[Face Value]]-Table1[[#This Row],[Ask Rate]])</f>
        <v>0</v>
      </c>
      <c r="AA1353">
        <f>IF(Table1[[#This Row],[Freq]]="Yearly",Table1[[#This Row],[Coupon_Rate]]/100,IF(Table1[[#This Row],[Freq]]="Monthly",Table1[[#This Row],[Coupon_Rate]]/1200,IF(Table1[[#This Row],[Freq]]="Quarterly",Table1[[#This Row],[Coupon_Rate]]/400,0)))</f>
        <v>7.5166666666666663E-3</v>
      </c>
      <c r="AB1353">
        <f ca="1">Table1[[#This Row],[Face Value]]*Table1[[#This Row],[Rate]]*Table1[[#This Row],[Time]]</f>
        <v>240.53333333333333</v>
      </c>
      <c r="AC1353">
        <f ca="1">Table1[[#This Row],[SI]]+Table1[[#This Row],[Disc/Prem]]</f>
        <v>240.53333333333333</v>
      </c>
      <c r="AD1353" s="3" t="e">
        <f ca="1">Table1[[#This Row],[Net Gain]]/Table1[[#This Row],[Ask Rate]]</f>
        <v>#DIV/0!</v>
      </c>
      <c r="AE1353" s="3">
        <f>IF(Table1[[#This Row],[Ask Qty]]=0,0,Table1[[#This Row],[Gross Yield]]*365/Table1[[#This Row],[Days Left]])</f>
        <v>0</v>
      </c>
      <c r="AF1353" s="9">
        <f ca="1">+Table1[[#This Row],[Net Gain]]*Table1[[#This Row],[Ask Qty]]</f>
        <v>0</v>
      </c>
      <c r="AG1353" t="str">
        <f>IF(Table1[[#This Row],[YTM]]&gt;0.12,IF(Table1[[#This Row],[Gross Profit]]&gt;10000,"Invest","Review"),"Low YTM")</f>
        <v>Low YTM</v>
      </c>
    </row>
    <row r="1354" spans="1:33" x14ac:dyDescent="0.3">
      <c r="A1354" t="str">
        <f>RTD("nest.scriprtd",,"bse_cm|902SCL27A","Symbol")</f>
        <v>902SCL27A</v>
      </c>
      <c r="B1354" t="str">
        <f>RTD("nest.scriprtd",,"bse_cm|902SCL27A","Trading Symbol")</f>
        <v>902SCL27A</v>
      </c>
      <c r="C1354" t="str">
        <f>RTD("nest.scriprtd",,"bse_cm|902SCL27A","Exchange")</f>
        <v>BSE</v>
      </c>
      <c r="D1354">
        <f>RTD("nest.scriprtd",,"bse_cm|902SCL27A","Bid Qty")</f>
        <v>10</v>
      </c>
      <c r="E1354">
        <f>RTD("nest.scriprtd",,"bse_cm|902SCL27A","Bid Rate")</f>
        <v>812.2</v>
      </c>
      <c r="F1354">
        <f>RTD("nest.scriprtd",,"bse_cm|902SCL27A","Ask Rate")</f>
        <v>0</v>
      </c>
      <c r="G1354">
        <f>RTD("nest.scriprtd",,"bse_cm|902SCL27A","Ask Qty")</f>
        <v>0</v>
      </c>
      <c r="H1354">
        <f>RTD("nest.scriprtd",,"bse_cm|902SCL27A","LTP")</f>
        <v>0</v>
      </c>
      <c r="I1354" t="str">
        <f>RTD("nest.scriprtd",,"bse_cm|902SCL27A","LTT")</f>
        <v>00:00:00</v>
      </c>
      <c r="J1354">
        <f>RTD("nest.scriprtd",,"bse_cm|902SCL27A","% Change")</f>
        <v>-100</v>
      </c>
      <c r="K1354">
        <f>RTD("nest.scriprtd",,"bse_cm|902SCL27A","ATP")</f>
        <v>0</v>
      </c>
      <c r="L1354">
        <f>RTD("nest.scriprtd",,"bse_cm|902SCL27A","Volume Traded Today")</f>
        <v>0</v>
      </c>
      <c r="M1354">
        <f>RTD("nest.scriprtd",,"bse_cm|902SCL27A","Open")</f>
        <v>0</v>
      </c>
      <c r="N1354">
        <f>RTD("nest.scriprtd",,"bse_cm|902SCL27A","High")</f>
        <v>0</v>
      </c>
      <c r="O1354">
        <f>RTD("nest.scriprtd",,"bse_cm|902SCL27A","Low ")</f>
        <v>0</v>
      </c>
      <c r="P1354">
        <f>RTD("nest.scriprtd",,"bse_cm|902SCL27A","Prev Close")</f>
        <v>1000</v>
      </c>
      <c r="Q1354">
        <f>RTD("nest.scriprtd",,"bse_cm|902SCL27A","Face Value")</f>
        <v>1000</v>
      </c>
      <c r="R1354" t="str">
        <f>RTD("nest.scriprtd",,"bse_cm|902SCL27A","Isin code")</f>
        <v>INE148I07TH4</v>
      </c>
      <c r="S1354" s="9">
        <f>Table1[[#This Row],[Ask Rate]]*Table1[[#This Row],[Ask Qty]]</f>
        <v>0</v>
      </c>
      <c r="T1354">
        <f>VLOOKUP(Table1[[#This Row],[Isin code]],Table2[#All],7,FALSE)</f>
        <v>9.02</v>
      </c>
      <c r="U1354" s="17" t="str">
        <f>VLOOKUP(Table1[[#This Row],[Isin code]],Table2[#All],8,FALSE)</f>
        <v>31-May-2027</v>
      </c>
      <c r="V1354" s="10">
        <f ca="1">Table1[[#This Row],[Maturity]]-TODAY()</f>
        <v>957</v>
      </c>
      <c r="W1354" t="str">
        <f>VLOOKUP(Table1[[#This Row],[Isin code]],Table2[#All],10,FALSE)</f>
        <v>Monthly</v>
      </c>
      <c r="X1354">
        <f ca="1">_xlfn.DAYS(Table1[[#This Row],[Maturity]],TODAY())-15</f>
        <v>942</v>
      </c>
      <c r="Y13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32</v>
      </c>
      <c r="Z1354">
        <f>IF(Table1[[#This Row],[Ask Rate]]=0,0,Table1[[#This Row],[Face Value]]-Table1[[#This Row],[Ask Rate]])</f>
        <v>0</v>
      </c>
      <c r="AA1354">
        <f>IF(Table1[[#This Row],[Freq]]="Yearly",Table1[[#This Row],[Coupon_Rate]]/100,IF(Table1[[#This Row],[Freq]]="Monthly",Table1[[#This Row],[Coupon_Rate]]/1200,IF(Table1[[#This Row],[Freq]]="Quarterly",Table1[[#This Row],[Coupon_Rate]]/400,0)))</f>
        <v>7.5166666666666663E-3</v>
      </c>
      <c r="AB1354">
        <f ca="1">Table1[[#This Row],[Face Value]]*Table1[[#This Row],[Rate]]*Table1[[#This Row],[Time]]</f>
        <v>240.53333333333333</v>
      </c>
      <c r="AC1354">
        <f ca="1">Table1[[#This Row],[SI]]+Table1[[#This Row],[Disc/Prem]]</f>
        <v>240.53333333333333</v>
      </c>
      <c r="AD1354" s="3" t="e">
        <f ca="1">Table1[[#This Row],[Net Gain]]/Table1[[#This Row],[Ask Rate]]</f>
        <v>#DIV/0!</v>
      </c>
      <c r="AE1354" s="3">
        <f>IF(Table1[[#This Row],[Ask Qty]]=0,0,Table1[[#This Row],[Gross Yield]]*365/Table1[[#This Row],[Days Left]])</f>
        <v>0</v>
      </c>
      <c r="AF1354" s="9">
        <f ca="1">+Table1[[#This Row],[Net Gain]]*Table1[[#This Row],[Ask Qty]]</f>
        <v>0</v>
      </c>
      <c r="AG1354" t="str">
        <f>IF(Table1[[#This Row],[YTM]]&gt;0.12,IF(Table1[[#This Row],[Gross Profit]]&gt;10000,"Invest","Review"),"Low YTM")</f>
        <v>Low YTM</v>
      </c>
    </row>
    <row r="1355" spans="1:33" x14ac:dyDescent="0.3">
      <c r="A1355" t="str">
        <f>RTD("nest.scriprtd",,"bse_cm|1015SCFL29","Symbol")</f>
        <v>1015SCFL29</v>
      </c>
      <c r="B1355" t="str">
        <f>RTD("nest.scriprtd",,"bse_cm|1015SCFL29","Trading Symbol")</f>
        <v>1015SCFL29</v>
      </c>
      <c r="C1355" t="str">
        <f>RTD("nest.scriprtd",,"bse_cm|1015SCFL29","Exchange")</f>
        <v>BSE</v>
      </c>
      <c r="D1355">
        <f>RTD("nest.scriprtd",,"bse_cm|1015SCFL29","Bid Qty")</f>
        <v>4</v>
      </c>
      <c r="E1355">
        <f>RTD("nest.scriprtd",,"bse_cm|1015SCFL29","Bid Rate")</f>
        <v>804.2</v>
      </c>
      <c r="F1355">
        <f>RTD("nest.scriprtd",,"bse_cm|1015SCFL29","Ask Rate")</f>
        <v>0</v>
      </c>
      <c r="G1355">
        <f>RTD("nest.scriprtd",,"bse_cm|1015SCFL29","Ask Qty")</f>
        <v>0</v>
      </c>
      <c r="H1355">
        <f>RTD("nest.scriprtd",,"bse_cm|1015SCFL29","LTP")</f>
        <v>0</v>
      </c>
      <c r="I1355" t="str">
        <f>RTD("nest.scriprtd",,"bse_cm|1015SCFL29","LTT")</f>
        <v>00:00:00</v>
      </c>
      <c r="J1355">
        <f>RTD("nest.scriprtd",,"bse_cm|1015SCFL29","% Change")</f>
        <v>-100</v>
      </c>
      <c r="K1355">
        <f>RTD("nest.scriprtd",,"bse_cm|1015SCFL29","ATP")</f>
        <v>0</v>
      </c>
      <c r="L1355">
        <f>RTD("nest.scriprtd",,"bse_cm|1015SCFL29","Volume Traded Today")</f>
        <v>0</v>
      </c>
      <c r="M1355">
        <f>RTD("nest.scriprtd",,"bse_cm|1015SCFL29","Open")</f>
        <v>0</v>
      </c>
      <c r="N1355">
        <f>RTD("nest.scriprtd",,"bse_cm|1015SCFL29","High")</f>
        <v>963</v>
      </c>
      <c r="O1355">
        <f>RTD("nest.scriprtd",,"bse_cm|1015SCFL29","Low ")</f>
        <v>963</v>
      </c>
      <c r="P1355">
        <f>RTD("nest.scriprtd",,"bse_cm|1015SCFL29","Prev Close")</f>
        <v>963</v>
      </c>
      <c r="Q1355">
        <f>RTD("nest.scriprtd",,"bse_cm|1015SCFL29","Face Value")</f>
        <v>1000</v>
      </c>
      <c r="R1355" t="str">
        <f>RTD("nest.scriprtd",,"bse_cm|1015SCFL29","Isin code")</f>
        <v>INE148I07SS3</v>
      </c>
      <c r="S1355" s="9">
        <f>Table1[[#This Row],[Ask Rate]]*Table1[[#This Row],[Ask Qty]]</f>
        <v>0</v>
      </c>
      <c r="T1355">
        <f>VLOOKUP(Table1[[#This Row],[Isin code]],Table2[#All],7,FALSE)</f>
        <v>10.15</v>
      </c>
      <c r="U1355" s="17" t="str">
        <f>VLOOKUP(Table1[[#This Row],[Isin code]],Table2[#All],8,FALSE)</f>
        <v>26-Mar-2029</v>
      </c>
      <c r="V1355" s="10">
        <f ca="1">Table1[[#This Row],[Maturity]]-TODAY()</f>
        <v>1622</v>
      </c>
      <c r="W1355" t="str">
        <f>VLOOKUP(Table1[[#This Row],[Isin code]],Table2[#All],10,FALSE)</f>
        <v>Yearly</v>
      </c>
      <c r="X1355">
        <f ca="1">_xlfn.DAYS(Table1[[#This Row],[Maturity]],TODAY())-15</f>
        <v>1607</v>
      </c>
      <c r="Y13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355">
        <f>IF(Table1[[#This Row],[Ask Rate]]=0,0,Table1[[#This Row],[Face Value]]-Table1[[#This Row],[Ask Rate]])</f>
        <v>0</v>
      </c>
      <c r="AA1355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1355">
        <f ca="1">Table1[[#This Row],[Face Value]]*Table1[[#This Row],[Rate]]*Table1[[#This Row],[Time]]</f>
        <v>507.5</v>
      </c>
      <c r="AC1355">
        <f ca="1">Table1[[#This Row],[SI]]+Table1[[#This Row],[Disc/Prem]]</f>
        <v>507.5</v>
      </c>
      <c r="AD1355" s="3" t="e">
        <f ca="1">Table1[[#This Row],[Net Gain]]/Table1[[#This Row],[Ask Rate]]</f>
        <v>#DIV/0!</v>
      </c>
      <c r="AE1355" s="3">
        <f>IF(Table1[[#This Row],[Ask Qty]]=0,0,Table1[[#This Row],[Gross Yield]]*365/Table1[[#This Row],[Days Left]])</f>
        <v>0</v>
      </c>
      <c r="AF1355" s="9">
        <f ca="1">+Table1[[#This Row],[Net Gain]]*Table1[[#This Row],[Ask Qty]]</f>
        <v>0</v>
      </c>
      <c r="AG1355" t="str">
        <f>IF(Table1[[#This Row],[YTM]]&gt;0.12,IF(Table1[[#This Row],[Gross Profit]]&gt;10000,"Invest","Review"),"Low YTM")</f>
        <v>Low YTM</v>
      </c>
    </row>
    <row r="1356" spans="1:33" x14ac:dyDescent="0.3">
      <c r="A1356" t="str">
        <f>RTD("nest.scriprtd",,"bse_cm|888SCL25E","Symbol")</f>
        <v>888SCL25E</v>
      </c>
      <c r="B1356" t="str">
        <f>RTD("nest.scriprtd",,"bse_cm|888SCL25E","Trading Symbol")</f>
        <v>888SCL25E</v>
      </c>
      <c r="C1356" t="str">
        <f>RTD("nest.scriprtd",,"bse_cm|888SCL25E","Exchange")</f>
        <v>BSE</v>
      </c>
      <c r="D1356">
        <f>RTD("nest.scriprtd",,"bse_cm|888SCL25E","Bid Qty")</f>
        <v>0</v>
      </c>
      <c r="E1356">
        <f>RTD("nest.scriprtd",,"bse_cm|888SCL25E","Bid Rate")</f>
        <v>0</v>
      </c>
      <c r="F1356">
        <f>RTD("nest.scriprtd",,"bse_cm|888SCL25E","Ask Rate")</f>
        <v>0</v>
      </c>
      <c r="G1356">
        <f>RTD("nest.scriprtd",,"bse_cm|888SCL25E","Ask Qty")</f>
        <v>0</v>
      </c>
      <c r="H1356">
        <f>RTD("nest.scriprtd",,"bse_cm|888SCL25E","LTP")</f>
        <v>0</v>
      </c>
      <c r="I1356" t="str">
        <f>RTD("nest.scriprtd",,"bse_cm|888SCL25E","LTT")</f>
        <v>00:00:00</v>
      </c>
      <c r="J1356">
        <f>RTD("nest.scriprtd",,"bse_cm|888SCL25E","% Change")</f>
        <v>-100</v>
      </c>
      <c r="K1356">
        <f>RTD("nest.scriprtd",,"bse_cm|888SCL25E","ATP")</f>
        <v>0</v>
      </c>
      <c r="L1356">
        <f>RTD("nest.scriprtd",,"bse_cm|888SCL25E","Volume Traded Today")</f>
        <v>0</v>
      </c>
      <c r="M1356">
        <f>RTD("nest.scriprtd",,"bse_cm|888SCL25E","Open")</f>
        <v>0</v>
      </c>
      <c r="N1356">
        <f>RTD("nest.scriprtd",,"bse_cm|888SCL25E","High")</f>
        <v>950</v>
      </c>
      <c r="O1356">
        <f>RTD("nest.scriprtd",,"bse_cm|888SCL25E","Low ")</f>
        <v>950</v>
      </c>
      <c r="P1356">
        <f>RTD("nest.scriprtd",,"bse_cm|888SCL25E","Prev Close")</f>
        <v>950</v>
      </c>
      <c r="Q1356">
        <f>RTD("nest.scriprtd",,"bse_cm|888SCL25E","Face Value")</f>
        <v>900</v>
      </c>
      <c r="R1356" t="str">
        <f>RTD("nest.scriprtd",,"bse_cm|888SCL25E","Isin code")</f>
        <v>INE148I07PV3</v>
      </c>
      <c r="S1356" s="9">
        <f>Table1[[#This Row],[Ask Rate]]*Table1[[#This Row],[Ask Qty]]</f>
        <v>0</v>
      </c>
      <c r="T1356">
        <f>VLOOKUP(Table1[[#This Row],[Isin code]],Table2[#All],7,FALSE)</f>
        <v>10.25</v>
      </c>
      <c r="U1356" s="17" t="str">
        <f>VLOOKUP(Table1[[#This Row],[Isin code]],Table2[#All],8,FALSE)</f>
        <v>26-Sep-2033</v>
      </c>
      <c r="V1356" s="10">
        <f ca="1">Table1[[#This Row],[Maturity]]-TODAY()</f>
        <v>3267</v>
      </c>
      <c r="W1356" t="str">
        <f>VLOOKUP(Table1[[#This Row],[Isin code]],Table2[#All],10,FALSE)</f>
        <v>Monthly</v>
      </c>
      <c r="X1356">
        <f ca="1">_xlfn.DAYS(Table1[[#This Row],[Maturity]],TODAY())-15</f>
        <v>3252</v>
      </c>
      <c r="Y13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109</v>
      </c>
      <c r="Z1356">
        <f>IF(Table1[[#This Row],[Ask Rate]]=0,0,Table1[[#This Row],[Face Value]]-Table1[[#This Row],[Ask Rate]])</f>
        <v>0</v>
      </c>
      <c r="AA1356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356">
        <f ca="1">Table1[[#This Row],[Face Value]]*Table1[[#This Row],[Rate]]*Table1[[#This Row],[Time]]</f>
        <v>837.93749999999989</v>
      </c>
      <c r="AC1356">
        <f ca="1">Table1[[#This Row],[SI]]+Table1[[#This Row],[Disc/Prem]]</f>
        <v>837.93749999999989</v>
      </c>
      <c r="AD1356" s="3" t="e">
        <f ca="1">Table1[[#This Row],[Net Gain]]/Table1[[#This Row],[Ask Rate]]</f>
        <v>#DIV/0!</v>
      </c>
      <c r="AE1356" s="3">
        <f>IF(Table1[[#This Row],[Ask Qty]]=0,0,Table1[[#This Row],[Gross Yield]]*365/Table1[[#This Row],[Days Left]])</f>
        <v>0</v>
      </c>
      <c r="AF1356" s="9">
        <f ca="1">+Table1[[#This Row],[Net Gain]]*Table1[[#This Row],[Ask Qty]]</f>
        <v>0</v>
      </c>
      <c r="AG1356" t="str">
        <f>IF(Table1[[#This Row],[YTM]]&gt;0.12,IF(Table1[[#This Row],[Gross Profit]]&gt;10000,"Invest","Review"),"Low YTM")</f>
        <v>Low YTM</v>
      </c>
    </row>
    <row r="1357" spans="1:33" x14ac:dyDescent="0.3">
      <c r="A1357" t="str">
        <f>RTD("nest.scriprtd",,"bse_cm|85IFL26","Symbol")</f>
        <v>85IFL26</v>
      </c>
      <c r="B1357" t="str">
        <f>RTD("nest.scriprtd",,"bse_cm|85IFL26","Trading Symbol")</f>
        <v>85IFL26</v>
      </c>
      <c r="C1357" t="str">
        <f>RTD("nest.scriprtd",,"bse_cm|85IFL26","Exchange")</f>
        <v>BSE</v>
      </c>
      <c r="D1357">
        <f>RTD("nest.scriprtd",,"bse_cm|85IFL26","Bid Qty")</f>
        <v>40</v>
      </c>
      <c r="E1357">
        <f>RTD("nest.scriprtd",,"bse_cm|85IFL26","Bid Rate")</f>
        <v>955</v>
      </c>
      <c r="F1357">
        <f>RTD("nest.scriprtd",,"bse_cm|85IFL26","Ask Rate")</f>
        <v>0</v>
      </c>
      <c r="G1357">
        <f>RTD("nest.scriprtd",,"bse_cm|85IFL26","Ask Qty")</f>
        <v>0</v>
      </c>
      <c r="H1357">
        <f>RTD("nest.scriprtd",,"bse_cm|85IFL26","LTP")</f>
        <v>0</v>
      </c>
      <c r="I1357" t="str">
        <f>RTD("nest.scriprtd",,"bse_cm|85IFL26","LTT")</f>
        <v>00:00:00</v>
      </c>
      <c r="J1357">
        <f>RTD("nest.scriprtd",,"bse_cm|85IFL26","% Change")</f>
        <v>-100</v>
      </c>
      <c r="K1357">
        <f>RTD("nest.scriprtd",,"bse_cm|85IFL26","ATP")</f>
        <v>0</v>
      </c>
      <c r="L1357">
        <f>RTD("nest.scriprtd",,"bse_cm|85IFL26","Volume Traded Today")</f>
        <v>0</v>
      </c>
      <c r="M1357">
        <f>RTD("nest.scriprtd",,"bse_cm|85IFL26","Open")</f>
        <v>0</v>
      </c>
      <c r="N1357">
        <f>RTD("nest.scriprtd",,"bse_cm|85IFL26","High")</f>
        <v>940.58</v>
      </c>
      <c r="O1357">
        <f>RTD("nest.scriprtd",,"bse_cm|85IFL26","Low ")</f>
        <v>940.58</v>
      </c>
      <c r="P1357">
        <f>RTD("nest.scriprtd",,"bse_cm|85IFL26","Prev Close")</f>
        <v>940.58</v>
      </c>
      <c r="Q1357">
        <f>RTD("nest.scriprtd",,"bse_cm|85IFL26","Face Value")</f>
        <v>1000</v>
      </c>
      <c r="R1357" t="str">
        <f>RTD("nest.scriprtd",,"bse_cm|85IFL26","Isin code")</f>
        <v>INE530B07344</v>
      </c>
      <c r="S1357" s="9">
        <f>Table1[[#This Row],[Ask Rate]]*Table1[[#This Row],[Ask Qty]]</f>
        <v>0</v>
      </c>
      <c r="T1357">
        <f>VLOOKUP(Table1[[#This Row],[Isin code]],Table2[#All],7,FALSE)</f>
        <v>8.5</v>
      </c>
      <c r="U1357" s="17" t="str">
        <f>VLOOKUP(Table1[[#This Row],[Isin code]],Table2[#All],8,FALSE)</f>
        <v>28-Jun-2026</v>
      </c>
      <c r="V1357" s="10">
        <f ca="1">Table1[[#This Row],[Maturity]]-TODAY()</f>
        <v>620</v>
      </c>
      <c r="W1357" t="str">
        <f>VLOOKUP(Table1[[#This Row],[Isin code]],Table2[#All],10,FALSE)</f>
        <v>Yearly</v>
      </c>
      <c r="X1357">
        <f ca="1">_xlfn.DAYS(Table1[[#This Row],[Maturity]],TODAY())-15</f>
        <v>605</v>
      </c>
      <c r="Y13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357">
        <f>IF(Table1[[#This Row],[Ask Rate]]=0,0,Table1[[#This Row],[Face Value]]-Table1[[#This Row],[Ask Rate]])</f>
        <v>0</v>
      </c>
      <c r="AA1357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1357">
        <f ca="1">Table1[[#This Row],[Face Value]]*Table1[[#This Row],[Rate]]*Table1[[#This Row],[Time]]</f>
        <v>170</v>
      </c>
      <c r="AC1357">
        <f ca="1">Table1[[#This Row],[SI]]+Table1[[#This Row],[Disc/Prem]]</f>
        <v>170</v>
      </c>
      <c r="AD1357" s="3" t="e">
        <f ca="1">Table1[[#This Row],[Net Gain]]/Table1[[#This Row],[Ask Rate]]</f>
        <v>#DIV/0!</v>
      </c>
      <c r="AE1357" s="3">
        <f>IF(Table1[[#This Row],[Ask Qty]]=0,0,Table1[[#This Row],[Gross Yield]]*365/Table1[[#This Row],[Days Left]])</f>
        <v>0</v>
      </c>
      <c r="AF1357" s="9">
        <f ca="1">+Table1[[#This Row],[Net Gain]]*Table1[[#This Row],[Ask Qty]]</f>
        <v>0</v>
      </c>
      <c r="AG1357" t="str">
        <f>IF(Table1[[#This Row],[YTM]]&gt;0.12,IF(Table1[[#This Row],[Gross Profit]]&gt;10000,"Invest","Review"),"Low YTM")</f>
        <v>Low YTM</v>
      </c>
    </row>
    <row r="1358" spans="1:33" x14ac:dyDescent="0.3">
      <c r="A1358" t="str">
        <f>RTD("nest.scriprtd",,"bse_cm|105EFSL29","Symbol")</f>
        <v>105EFSL29</v>
      </c>
      <c r="B1358" t="str">
        <f>RTD("nest.scriprtd",,"bse_cm|105EFSL29","Trading Symbol")</f>
        <v>105EFSL29</v>
      </c>
      <c r="C1358" t="str">
        <f>RTD("nest.scriprtd",,"bse_cm|105EFSL29","Exchange")</f>
        <v>BSE</v>
      </c>
      <c r="D1358">
        <f>RTD("nest.scriprtd",,"bse_cm|105EFSL29","Bid Qty")</f>
        <v>20</v>
      </c>
      <c r="E1358">
        <f>RTD("nest.scriprtd",,"bse_cm|105EFSL29","Bid Rate")</f>
        <v>920</v>
      </c>
      <c r="F1358">
        <f>RTD("nest.scriprtd",,"bse_cm|105EFSL29","Ask Rate")</f>
        <v>0</v>
      </c>
      <c r="G1358">
        <f>RTD("nest.scriprtd",,"bse_cm|105EFSL29","Ask Qty")</f>
        <v>0</v>
      </c>
      <c r="H1358">
        <f>RTD("nest.scriprtd",,"bse_cm|105EFSL29","LTP")</f>
        <v>0</v>
      </c>
      <c r="I1358" t="str">
        <f>RTD("nest.scriprtd",,"bse_cm|105EFSL29","LTT")</f>
        <v>00:00:00</v>
      </c>
      <c r="J1358">
        <f>RTD("nest.scriprtd",,"bse_cm|105EFSL29","% Change")</f>
        <v>-100</v>
      </c>
      <c r="K1358">
        <f>RTD("nest.scriprtd",,"bse_cm|105EFSL29","ATP")</f>
        <v>0</v>
      </c>
      <c r="L1358">
        <f>RTD("nest.scriprtd",,"bse_cm|105EFSL29","Volume Traded Today")</f>
        <v>0</v>
      </c>
      <c r="M1358">
        <f>RTD("nest.scriprtd",,"bse_cm|105EFSL29","Open")</f>
        <v>0</v>
      </c>
      <c r="N1358">
        <f>RTD("nest.scriprtd",,"bse_cm|105EFSL29","High")</f>
        <v>980</v>
      </c>
      <c r="O1358">
        <f>RTD("nest.scriprtd",,"bse_cm|105EFSL29","Low ")</f>
        <v>980</v>
      </c>
      <c r="P1358">
        <f>RTD("nest.scriprtd",,"bse_cm|105EFSL29","Prev Close")</f>
        <v>980</v>
      </c>
      <c r="Q1358">
        <f>RTD("nest.scriprtd",,"bse_cm|105EFSL29","Face Value")</f>
        <v>1000</v>
      </c>
      <c r="R1358" t="str">
        <f>RTD("nest.scriprtd",,"bse_cm|105EFSL29","Isin code")</f>
        <v>INE532F07GA7</v>
      </c>
      <c r="S1358" s="9">
        <f>Table1[[#This Row],[Ask Rate]]*Table1[[#This Row],[Ask Qty]]</f>
        <v>0</v>
      </c>
      <c r="T1358">
        <f>VLOOKUP(Table1[[#This Row],[Isin code]],Table2[#All],7,FALSE)</f>
        <v>10.5</v>
      </c>
      <c r="U1358" s="17" t="str">
        <f>VLOOKUP(Table1[[#This Row],[Isin code]],Table2[#All],8,FALSE)</f>
        <v>26-Jul-2029</v>
      </c>
      <c r="V1358" s="10">
        <f ca="1">Table1[[#This Row],[Maturity]]-TODAY()</f>
        <v>1744</v>
      </c>
      <c r="W1358" t="str">
        <f>VLOOKUP(Table1[[#This Row],[Isin code]],Table2[#All],10,FALSE)</f>
        <v>--</v>
      </c>
      <c r="X1358">
        <f ca="1">_xlfn.DAYS(Table1[[#This Row],[Maturity]],TODAY())-15</f>
        <v>1729</v>
      </c>
      <c r="Y135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58">
        <f>IF(Table1[[#This Row],[Ask Rate]]=0,0,Table1[[#This Row],[Face Value]]-Table1[[#This Row],[Ask Rate]])</f>
        <v>0</v>
      </c>
      <c r="AA135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58">
        <f>Table1[[#This Row],[Face Value]]*Table1[[#This Row],[Rate]]*Table1[[#This Row],[Time]]</f>
        <v>0</v>
      </c>
      <c r="AC1358">
        <f>Table1[[#This Row],[SI]]+Table1[[#This Row],[Disc/Prem]]</f>
        <v>0</v>
      </c>
      <c r="AD1358" s="3" t="e">
        <f>Table1[[#This Row],[Net Gain]]/Table1[[#This Row],[Ask Rate]]</f>
        <v>#DIV/0!</v>
      </c>
      <c r="AE1358" s="3">
        <f>IF(Table1[[#This Row],[Ask Qty]]=0,0,Table1[[#This Row],[Gross Yield]]*365/Table1[[#This Row],[Days Left]])</f>
        <v>0</v>
      </c>
      <c r="AF1358" s="9">
        <f>+Table1[[#This Row],[Net Gain]]*Table1[[#This Row],[Ask Qty]]</f>
        <v>0</v>
      </c>
      <c r="AG1358" t="str">
        <f>IF(Table1[[#This Row],[YTM]]&gt;0.12,IF(Table1[[#This Row],[Gross Profit]]&gt;10000,"Invest","Review"),"Low YTM")</f>
        <v>Low YTM</v>
      </c>
    </row>
    <row r="1359" spans="1:33" x14ac:dyDescent="0.3">
      <c r="A1359" t="str">
        <f>RTD("nest.scriprtd",,"bse_cm|0SCL26","Symbol")</f>
        <v>0SCL26</v>
      </c>
      <c r="B1359" t="str">
        <f>RTD("nest.scriprtd",,"bse_cm|0SCL26","Trading Symbol")</f>
        <v>0SCL26</v>
      </c>
      <c r="C1359" t="str">
        <f>RTD("nest.scriprtd",,"bse_cm|0SCL26","Exchange")</f>
        <v>BSE</v>
      </c>
      <c r="D1359">
        <f>RTD("nest.scriprtd",,"bse_cm|0SCL26","Bid Qty")</f>
        <v>12</v>
      </c>
      <c r="E1359">
        <f>RTD("nest.scriprtd",,"bse_cm|0SCL26","Bid Rate")</f>
        <v>912</v>
      </c>
      <c r="F1359">
        <f>RTD("nest.scriprtd",,"bse_cm|0SCL26","Ask Rate")</f>
        <v>0</v>
      </c>
      <c r="G1359">
        <f>RTD("nest.scriprtd",,"bse_cm|0SCL26","Ask Qty")</f>
        <v>0</v>
      </c>
      <c r="H1359">
        <f>RTD("nest.scriprtd",,"bse_cm|0SCL26","LTP")</f>
        <v>0</v>
      </c>
      <c r="I1359" t="str">
        <f>RTD("nest.scriprtd",,"bse_cm|0SCL26","LTT")</f>
        <v>00:00:00</v>
      </c>
      <c r="J1359">
        <f>RTD("nest.scriprtd",,"bse_cm|0SCL26","% Change")</f>
        <v>-100</v>
      </c>
      <c r="K1359">
        <f>RTD("nest.scriprtd",,"bse_cm|0SCL26","ATP")</f>
        <v>0</v>
      </c>
      <c r="L1359">
        <f>RTD("nest.scriprtd",,"bse_cm|0SCL26","Volume Traded Today")</f>
        <v>0</v>
      </c>
      <c r="M1359">
        <f>RTD("nest.scriprtd",,"bse_cm|0SCL26","Open")</f>
        <v>0</v>
      </c>
      <c r="N1359">
        <f>RTD("nest.scriprtd",,"bse_cm|0SCL26","High")</f>
        <v>995</v>
      </c>
      <c r="O1359">
        <f>RTD("nest.scriprtd",,"bse_cm|0SCL26","Low ")</f>
        <v>995</v>
      </c>
      <c r="P1359">
        <f>RTD("nest.scriprtd",,"bse_cm|0SCL26","Prev Close")</f>
        <v>995</v>
      </c>
      <c r="Q1359">
        <f>RTD("nest.scriprtd",,"bse_cm|0SCL26","Face Value")</f>
        <v>1000</v>
      </c>
      <c r="R1359" t="str">
        <f>RTD("nest.scriprtd",,"bse_cm|0SCL26","Isin code")</f>
        <v>INE148I07SF0</v>
      </c>
      <c r="S1359" s="9">
        <f>Table1[[#This Row],[Ask Rate]]*Table1[[#This Row],[Ask Qty]]</f>
        <v>0</v>
      </c>
      <c r="T1359">
        <f>VLOOKUP(Table1[[#This Row],[Isin code]],Table2[#All],7,FALSE)</f>
        <v>0</v>
      </c>
      <c r="U1359" s="17" t="str">
        <f>VLOOKUP(Table1[[#This Row],[Isin code]],Table2[#All],8,FALSE)</f>
        <v>26-Mar-2026</v>
      </c>
      <c r="V1359" s="10">
        <f ca="1">Table1[[#This Row],[Maturity]]-TODAY()</f>
        <v>526</v>
      </c>
      <c r="W1359" t="str">
        <f>VLOOKUP(Table1[[#This Row],[Isin code]],Table2[#All],10,FALSE)</f>
        <v>At the End</v>
      </c>
      <c r="X1359">
        <f ca="1">_xlfn.DAYS(Table1[[#This Row],[Maturity]],TODAY())-15</f>
        <v>511</v>
      </c>
      <c r="Y135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59">
        <f>IF(Table1[[#This Row],[Ask Rate]]=0,0,Table1[[#This Row],[Face Value]]-Table1[[#This Row],[Ask Rate]])</f>
        <v>0</v>
      </c>
      <c r="AA135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59">
        <f>Table1[[#This Row],[Face Value]]*Table1[[#This Row],[Rate]]*Table1[[#This Row],[Time]]</f>
        <v>0</v>
      </c>
      <c r="AC1359">
        <f>Table1[[#This Row],[SI]]+Table1[[#This Row],[Disc/Prem]]</f>
        <v>0</v>
      </c>
      <c r="AD1359" s="3" t="e">
        <f>Table1[[#This Row],[Net Gain]]/Table1[[#This Row],[Ask Rate]]</f>
        <v>#DIV/0!</v>
      </c>
      <c r="AE1359" s="3">
        <f>IF(Table1[[#This Row],[Ask Qty]]=0,0,Table1[[#This Row],[Gross Yield]]*365/Table1[[#This Row],[Days Left]])</f>
        <v>0</v>
      </c>
      <c r="AF1359" s="9">
        <f>+Table1[[#This Row],[Net Gain]]*Table1[[#This Row],[Ask Qty]]</f>
        <v>0</v>
      </c>
      <c r="AG1359" t="str">
        <f>IF(Table1[[#This Row],[YTM]]&gt;0.12,IF(Table1[[#This Row],[Gross Profit]]&gt;10000,"Invest","Review"),"Low YTM")</f>
        <v>Low YTM</v>
      </c>
    </row>
    <row r="1360" spans="1:33" x14ac:dyDescent="0.3">
      <c r="A1360" t="str">
        <f>RTD("nest.scriprtd",,"bse_cm|925SCL26B","Symbol")</f>
        <v>925SCL26B</v>
      </c>
      <c r="B1360" t="str">
        <f>RTD("nest.scriprtd",,"bse_cm|925SCL26B","Trading Symbol")</f>
        <v>925SCL26B</v>
      </c>
      <c r="C1360" t="str">
        <f>RTD("nest.scriprtd",,"bse_cm|925SCL26B","Exchange")</f>
        <v>BSE</v>
      </c>
      <c r="D1360">
        <f>RTD("nest.scriprtd",,"bse_cm|925SCL26B","Bid Qty")</f>
        <v>5</v>
      </c>
      <c r="E1360">
        <f>RTD("nest.scriprtd",,"bse_cm|925SCL26B","Bid Rate")</f>
        <v>920.1</v>
      </c>
      <c r="F1360">
        <f>RTD("nest.scriprtd",,"bse_cm|925SCL26B","Ask Rate")</f>
        <v>0</v>
      </c>
      <c r="G1360">
        <f>RTD("nest.scriprtd",,"bse_cm|925SCL26B","Ask Qty")</f>
        <v>0</v>
      </c>
      <c r="H1360">
        <f>RTD("nest.scriprtd",,"bse_cm|925SCL26B","LTP")</f>
        <v>0</v>
      </c>
      <c r="I1360" t="str">
        <f>RTD("nest.scriprtd",,"bse_cm|925SCL26B","LTT")</f>
        <v>00:00:00</v>
      </c>
      <c r="J1360">
        <f>RTD("nest.scriprtd",,"bse_cm|925SCL26B","% Change")</f>
        <v>-100</v>
      </c>
      <c r="K1360">
        <f>RTD("nest.scriprtd",,"bse_cm|925SCL26B","ATP")</f>
        <v>0</v>
      </c>
      <c r="L1360">
        <f>RTD("nest.scriprtd",,"bse_cm|925SCL26B","Volume Traded Today")</f>
        <v>0</v>
      </c>
      <c r="M1360">
        <f>RTD("nest.scriprtd",,"bse_cm|925SCL26B","Open")</f>
        <v>0</v>
      </c>
      <c r="N1360">
        <f>RTD("nest.scriprtd",,"bse_cm|925SCL26B","High")</f>
        <v>940</v>
      </c>
      <c r="O1360">
        <f>RTD("nest.scriprtd",,"bse_cm|925SCL26B","Low ")</f>
        <v>910.6</v>
      </c>
      <c r="P1360">
        <f>RTD("nest.scriprtd",,"bse_cm|925SCL26B","Prev Close")</f>
        <v>920.1</v>
      </c>
      <c r="Q1360">
        <f>RTD("nest.scriprtd",,"bse_cm|925SCL26B","Face Value")</f>
        <v>1000</v>
      </c>
      <c r="R1360" t="str">
        <f>RTD("nest.scriprtd",,"bse_cm|925SCL26B","Isin code")</f>
        <v>INE148I07SC7</v>
      </c>
      <c r="S1360" s="9">
        <f>Table1[[#This Row],[Ask Rate]]*Table1[[#This Row],[Ask Qty]]</f>
        <v>0</v>
      </c>
      <c r="T1360">
        <f>VLOOKUP(Table1[[#This Row],[Isin code]],Table2[#All],7,FALSE)</f>
        <v>9.25</v>
      </c>
      <c r="U1360" s="17" t="str">
        <f>VLOOKUP(Table1[[#This Row],[Isin code]],Table2[#All],8,FALSE)</f>
        <v>26-Mar-2026</v>
      </c>
      <c r="V1360" s="10">
        <f ca="1">Table1[[#This Row],[Maturity]]-TODAY()</f>
        <v>526</v>
      </c>
      <c r="W1360" t="str">
        <f>VLOOKUP(Table1[[#This Row],[Isin code]],Table2[#All],10,FALSE)</f>
        <v>Monthly</v>
      </c>
      <c r="X1360">
        <f ca="1">_xlfn.DAYS(Table1[[#This Row],[Maturity]],TODAY())-15</f>
        <v>511</v>
      </c>
      <c r="Y136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1360">
        <f>IF(Table1[[#This Row],[Ask Rate]]=0,0,Table1[[#This Row],[Face Value]]-Table1[[#This Row],[Ask Rate]])</f>
        <v>0</v>
      </c>
      <c r="AA1360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360">
        <f ca="1">Table1[[#This Row],[Face Value]]*Table1[[#This Row],[Rate]]*Table1[[#This Row],[Time]]</f>
        <v>138.75</v>
      </c>
      <c r="AC1360">
        <f ca="1">Table1[[#This Row],[SI]]+Table1[[#This Row],[Disc/Prem]]</f>
        <v>138.75</v>
      </c>
      <c r="AD1360" s="3" t="e">
        <f ca="1">Table1[[#This Row],[Net Gain]]/Table1[[#This Row],[Ask Rate]]</f>
        <v>#DIV/0!</v>
      </c>
      <c r="AE1360" s="3">
        <f>IF(Table1[[#This Row],[Ask Qty]]=0,0,Table1[[#This Row],[Gross Yield]]*365/Table1[[#This Row],[Days Left]])</f>
        <v>0</v>
      </c>
      <c r="AF1360" s="9">
        <f ca="1">+Table1[[#This Row],[Net Gain]]*Table1[[#This Row],[Ask Qty]]</f>
        <v>0</v>
      </c>
      <c r="AG1360" t="str">
        <f>IF(Table1[[#This Row],[YTM]]&gt;0.12,IF(Table1[[#This Row],[Gross Profit]]&gt;10000,"Invest","Review"),"Low YTM")</f>
        <v>Low YTM</v>
      </c>
    </row>
    <row r="1361" spans="1:33" x14ac:dyDescent="0.3">
      <c r="A1361" t="str">
        <f>RTD("nest.scriprtd",,"bse_cm|93SCL24A","Symbol")</f>
        <v>93SCL24A</v>
      </c>
      <c r="B1361" t="str">
        <f>RTD("nest.scriprtd",,"bse_cm|93SCL24A","Trading Symbol")</f>
        <v>93SCL24A</v>
      </c>
      <c r="C1361" t="str">
        <f>RTD("nest.scriprtd",,"bse_cm|93SCL24A","Exchange")</f>
        <v>BSE</v>
      </c>
      <c r="D1361">
        <f>RTD("nest.scriprtd",,"bse_cm|93SCL24A","Bid Qty")</f>
        <v>12</v>
      </c>
      <c r="E1361">
        <f>RTD("nest.scriprtd",,"bse_cm|93SCL24A","Bid Rate")</f>
        <v>900.3</v>
      </c>
      <c r="F1361">
        <f>RTD("nest.scriprtd",,"bse_cm|93SCL24A","Ask Rate")</f>
        <v>0</v>
      </c>
      <c r="G1361">
        <f>RTD("nest.scriprtd",,"bse_cm|93SCL24A","Ask Qty")</f>
        <v>0</v>
      </c>
      <c r="H1361">
        <f>RTD("nest.scriprtd",,"bse_cm|93SCL24A","LTP")</f>
        <v>0</v>
      </c>
      <c r="I1361" t="str">
        <f>RTD("nest.scriprtd",,"bse_cm|93SCL24A","LTT")</f>
        <v>00:00:00</v>
      </c>
      <c r="J1361">
        <f>RTD("nest.scriprtd",,"bse_cm|93SCL24A","% Change")</f>
        <v>-100</v>
      </c>
      <c r="K1361">
        <f>RTD("nest.scriprtd",,"bse_cm|93SCL24A","ATP")</f>
        <v>0</v>
      </c>
      <c r="L1361">
        <f>RTD("nest.scriprtd",,"bse_cm|93SCL24A","Volume Traded Today")</f>
        <v>0</v>
      </c>
      <c r="M1361">
        <f>RTD("nest.scriprtd",,"bse_cm|93SCL24A","Open")</f>
        <v>0</v>
      </c>
      <c r="N1361">
        <f>RTD("nest.scriprtd",,"bse_cm|93SCL24A","High")</f>
        <v>950</v>
      </c>
      <c r="O1361">
        <f>RTD("nest.scriprtd",,"bse_cm|93SCL24A","Low ")</f>
        <v>950</v>
      </c>
      <c r="P1361">
        <f>RTD("nest.scriprtd",,"bse_cm|93SCL24A","Prev Close")</f>
        <v>950</v>
      </c>
      <c r="Q1361">
        <f>RTD("nest.scriprtd",,"bse_cm|93SCL24A","Face Value")</f>
        <v>1000</v>
      </c>
      <c r="R1361" t="str">
        <f>RTD("nest.scriprtd",,"bse_cm|93SCL24A","Isin code")</f>
        <v>INE148I07MZ1</v>
      </c>
      <c r="S1361" s="9">
        <f>Table1[[#This Row],[Ask Rate]]*Table1[[#This Row],[Ask Qty]]</f>
        <v>0</v>
      </c>
      <c r="T1361">
        <f>VLOOKUP(Table1[[#This Row],[Isin code]],Table2[#All],7,FALSE)</f>
        <v>9.15</v>
      </c>
      <c r="U1361" s="17">
        <f>VLOOKUP(Table1[[#This Row],[Isin code]],Table2[#All],8,FALSE)</f>
        <v>46694</v>
      </c>
      <c r="V1361" s="10">
        <f ca="1">Table1[[#This Row],[Maturity]]-TODAY()</f>
        <v>1113</v>
      </c>
      <c r="W1361" t="str">
        <f>VLOOKUP(Table1[[#This Row],[Isin code]],Table2[#All],10,FALSE)</f>
        <v>Monthly</v>
      </c>
      <c r="X1361">
        <f ca="1">_xlfn.DAYS(Table1[[#This Row],[Maturity]],TODAY())-15</f>
        <v>1098</v>
      </c>
      <c r="Y13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37</v>
      </c>
      <c r="Z1361">
        <f>IF(Table1[[#This Row],[Ask Rate]]=0,0,Table1[[#This Row],[Face Value]]-Table1[[#This Row],[Ask Rate]])</f>
        <v>0</v>
      </c>
      <c r="AA1361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1361">
        <f ca="1">Table1[[#This Row],[Face Value]]*Table1[[#This Row],[Rate]]*Table1[[#This Row],[Time]]</f>
        <v>282.12500000000006</v>
      </c>
      <c r="AC1361">
        <f ca="1">Table1[[#This Row],[SI]]+Table1[[#This Row],[Disc/Prem]]</f>
        <v>282.12500000000006</v>
      </c>
      <c r="AD1361" s="3" t="e">
        <f ca="1">Table1[[#This Row],[Net Gain]]/Table1[[#This Row],[Ask Rate]]</f>
        <v>#DIV/0!</v>
      </c>
      <c r="AE1361" s="3">
        <f>IF(Table1[[#This Row],[Ask Qty]]=0,0,Table1[[#This Row],[Gross Yield]]*365/Table1[[#This Row],[Days Left]])</f>
        <v>0</v>
      </c>
      <c r="AF1361" s="9">
        <f ca="1">+Table1[[#This Row],[Net Gain]]*Table1[[#This Row],[Ask Qty]]</f>
        <v>0</v>
      </c>
      <c r="AG1361" t="str">
        <f>IF(Table1[[#This Row],[YTM]]&gt;0.12,IF(Table1[[#This Row],[Gross Profit]]&gt;10000,"Invest","Review"),"Low YTM")</f>
        <v>Low YTM</v>
      </c>
    </row>
    <row r="1362" spans="1:33" x14ac:dyDescent="0.3">
      <c r="A1362" t="str">
        <f>RTD("nest.scriprtd",,"nse_cm|965SCL25F-NZ","Symbol")</f>
        <v>965SCL25F</v>
      </c>
      <c r="B1362" t="str">
        <f>RTD("nest.scriprtd",,"nse_cm|965SCL25F-NZ","Trading Symbol")</f>
        <v>965SCL25F-NZ</v>
      </c>
      <c r="C1362" t="str">
        <f>RTD("nest.scriprtd",,"nse_cm|965SCL25F-NZ","Exchange")</f>
        <v>NSE</v>
      </c>
      <c r="D1362">
        <f>RTD("nest.scriprtd",,"nse_cm|965SCL25F-NZ","Bid Qty")</f>
        <v>7</v>
      </c>
      <c r="E1362">
        <f>RTD("nest.scriprtd",,"nse_cm|965SCL25F-NZ","Bid Rate")</f>
        <v>910.2</v>
      </c>
      <c r="F1362">
        <f>RTD("nest.scriprtd",,"nse_cm|965SCL25F-NZ","Ask Rate")</f>
        <v>0</v>
      </c>
      <c r="G1362">
        <f>RTD("nest.scriprtd",,"nse_cm|965SCL25F-NZ","Ask Qty")</f>
        <v>0</v>
      </c>
      <c r="H1362">
        <f>RTD("nest.scriprtd",,"nse_cm|965SCL25F-NZ","LTP")</f>
        <v>910.2</v>
      </c>
      <c r="I1362" t="str">
        <f>RTD("nest.scriprtd",,"nse_cm|965SCL25F-NZ","LTT")</f>
        <v/>
      </c>
      <c r="J1362">
        <f>RTD("nest.scriprtd",,"nse_cm|965SCL25F-NZ","% Change")</f>
        <v>0</v>
      </c>
      <c r="K1362">
        <f>RTD("nest.scriprtd",,"nse_cm|965SCL25F-NZ","ATP")</f>
        <v>0</v>
      </c>
      <c r="L1362">
        <f>RTD("nest.scriprtd",,"nse_cm|965SCL25F-NZ","Volume Traded Today")</f>
        <v>0</v>
      </c>
      <c r="M1362">
        <f>RTD("nest.scriprtd",,"nse_cm|965SCL25F-NZ","Open")</f>
        <v>0</v>
      </c>
      <c r="N1362">
        <f>RTD("nest.scriprtd",,"nse_cm|965SCL25F-NZ","High")</f>
        <v>910.2</v>
      </c>
      <c r="O1362">
        <f>RTD("nest.scriprtd",,"nse_cm|965SCL25F-NZ","Low ")</f>
        <v>910.2</v>
      </c>
      <c r="P1362">
        <f>RTD("nest.scriprtd",,"nse_cm|965SCL25F-NZ","Prev Close")</f>
        <v>910.2</v>
      </c>
      <c r="Q1362">
        <f>RTD("nest.scriprtd",,"nse_cm|965SCL25F-NZ","Face Value")</f>
        <v>1000</v>
      </c>
      <c r="R1362" t="str">
        <f>RTD("nest.scriprtd",,"nse_cm|965SCL25F-NZ","Isin code")</f>
        <v>INE148I07RB1</v>
      </c>
      <c r="S1362" s="9">
        <f>Table1[[#This Row],[Ask Rate]]*Table1[[#This Row],[Ask Qty]]</f>
        <v>0</v>
      </c>
      <c r="T1362">
        <f>VLOOKUP(Table1[[#This Row],[Isin code]],Table2[#All],7,FALSE)</f>
        <v>10.25</v>
      </c>
      <c r="U1362" s="17" t="str">
        <f>VLOOKUP(Table1[[#This Row],[Isin code]],Table2[#All],8,FALSE)</f>
        <v>09-Nov-2033</v>
      </c>
      <c r="V1362" s="10">
        <f ca="1">Table1[[#This Row],[Maturity]]-TODAY()</f>
        <v>3311</v>
      </c>
      <c r="W1362" t="str">
        <f>VLOOKUP(Table1[[#This Row],[Isin code]],Table2[#All],10,FALSE)</f>
        <v>Monthly</v>
      </c>
      <c r="X1362">
        <f ca="1">_xlfn.DAYS(Table1[[#This Row],[Maturity]],TODAY())-15</f>
        <v>3296</v>
      </c>
      <c r="Y13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110</v>
      </c>
      <c r="Z1362">
        <f>IF(Table1[[#This Row],[Ask Rate]]=0,0,Table1[[#This Row],[Face Value]]-Table1[[#This Row],[Ask Rate]])</f>
        <v>0</v>
      </c>
      <c r="AA1362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362">
        <f ca="1">Table1[[#This Row],[Face Value]]*Table1[[#This Row],[Rate]]*Table1[[#This Row],[Time]]</f>
        <v>939.58333333333326</v>
      </c>
      <c r="AC1362">
        <f ca="1">Table1[[#This Row],[SI]]+Table1[[#This Row],[Disc/Prem]]</f>
        <v>939.58333333333326</v>
      </c>
      <c r="AD1362" s="3" t="e">
        <f ca="1">Table1[[#This Row],[Net Gain]]/Table1[[#This Row],[Ask Rate]]</f>
        <v>#DIV/0!</v>
      </c>
      <c r="AE1362" s="3">
        <f>IF(Table1[[#This Row],[Ask Qty]]=0,0,Table1[[#This Row],[Gross Yield]]*365/Table1[[#This Row],[Days Left]])</f>
        <v>0</v>
      </c>
      <c r="AF1362" s="9">
        <f ca="1">+Table1[[#This Row],[Net Gain]]*Table1[[#This Row],[Ask Qty]]</f>
        <v>0</v>
      </c>
      <c r="AG1362" t="str">
        <f>IF(Table1[[#This Row],[YTM]]&gt;0.12,IF(Table1[[#This Row],[Gross Profit]]&gt;10000,"Invest","Review"),"Low YTM")</f>
        <v>Low YTM</v>
      </c>
    </row>
    <row r="1363" spans="1:33" x14ac:dyDescent="0.3">
      <c r="A1363" t="str">
        <f>RTD("nest.scriprtd",,"nse_cm|890ICCL23A-NZ","Symbol")</f>
        <v>890ICCL23A</v>
      </c>
      <c r="B1363" t="str">
        <f>RTD("nest.scriprtd",,"nse_cm|890ICCL23A-NZ","Trading Symbol")</f>
        <v>890ICCL23A-NZ</v>
      </c>
      <c r="C1363" t="str">
        <f>RTD("nest.scriprtd",,"nse_cm|890ICCL23A-NZ","Exchange")</f>
        <v>NSE</v>
      </c>
      <c r="D1363">
        <f>RTD("nest.scriprtd",,"nse_cm|890ICCL23A-NZ","Bid Qty")</f>
        <v>189</v>
      </c>
      <c r="E1363">
        <f>RTD("nest.scriprtd",,"nse_cm|890ICCL23A-NZ","Bid Rate")</f>
        <v>901.2</v>
      </c>
      <c r="F1363">
        <f>RTD("nest.scriprtd",,"nse_cm|890ICCL23A-NZ","Ask Rate")</f>
        <v>0</v>
      </c>
      <c r="G1363">
        <f>RTD("nest.scriprtd",,"nse_cm|890ICCL23A-NZ","Ask Qty")</f>
        <v>0</v>
      </c>
      <c r="H1363">
        <f>RTD("nest.scriprtd",,"nse_cm|890ICCL23A-NZ","LTP")</f>
        <v>901.2</v>
      </c>
      <c r="I1363" t="str">
        <f>RTD("nest.scriprtd",,"nse_cm|890ICCL23A-NZ","LTT")</f>
        <v/>
      </c>
      <c r="J1363">
        <f>RTD("nest.scriprtd",,"nse_cm|890ICCL23A-NZ","% Change")</f>
        <v>0</v>
      </c>
      <c r="K1363">
        <f>RTD("nest.scriprtd",,"nse_cm|890ICCL23A-NZ","ATP")</f>
        <v>0</v>
      </c>
      <c r="L1363">
        <f>RTD("nest.scriprtd",,"nse_cm|890ICCL23A-NZ","Volume Traded Today")</f>
        <v>0</v>
      </c>
      <c r="M1363">
        <f>RTD("nest.scriprtd",,"nse_cm|890ICCL23A-NZ","Open")</f>
        <v>0</v>
      </c>
      <c r="N1363">
        <f>RTD("nest.scriprtd",,"nse_cm|890ICCL23A-NZ","High")</f>
        <v>902</v>
      </c>
      <c r="O1363">
        <f>RTD("nest.scriprtd",,"nse_cm|890ICCL23A-NZ","Low ")</f>
        <v>901.2</v>
      </c>
      <c r="P1363">
        <f>RTD("nest.scriprtd",,"nse_cm|890ICCL23A-NZ","Prev Close")</f>
        <v>901.2</v>
      </c>
      <c r="Q1363">
        <f>RTD("nest.scriprtd",,"nse_cm|890ICCL23A-NZ","Face Value")</f>
        <v>800</v>
      </c>
      <c r="R1363" t="str">
        <f>RTD("nest.scriprtd",,"nse_cm|890ICCL23A-NZ","Isin code")</f>
        <v>INE244L07523</v>
      </c>
      <c r="S1363" s="9">
        <f>Table1[[#This Row],[Ask Rate]]*Table1[[#This Row],[Ask Qty]]</f>
        <v>0</v>
      </c>
      <c r="T1363">
        <f>VLOOKUP(Table1[[#This Row],[Isin code]],Table2[#All],7,FALSE)</f>
        <v>10.029999999999999</v>
      </c>
      <c r="U1363" s="17" t="str">
        <f>VLOOKUP(Table1[[#This Row],[Isin code]],Table2[#All],8,FALSE)</f>
        <v>25-Apr-2028</v>
      </c>
      <c r="V1363" s="10">
        <f ca="1">Table1[[#This Row],[Maturity]]-TODAY()</f>
        <v>1287</v>
      </c>
      <c r="W1363" t="str">
        <f>VLOOKUP(Table1[[#This Row],[Isin code]],Table2[#All],10,FALSE)</f>
        <v>Monthly</v>
      </c>
      <c r="X1363">
        <f ca="1">_xlfn.DAYS(Table1[[#This Row],[Maturity]],TODAY())-15</f>
        <v>1272</v>
      </c>
      <c r="Y136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43</v>
      </c>
      <c r="Z1363">
        <f>IF(Table1[[#This Row],[Ask Rate]]=0,0,Table1[[#This Row],[Face Value]]-Table1[[#This Row],[Ask Rate]])</f>
        <v>0</v>
      </c>
      <c r="AA1363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363">
        <f ca="1">Table1[[#This Row],[Face Value]]*Table1[[#This Row],[Rate]]*Table1[[#This Row],[Time]]</f>
        <v>287.52666666666664</v>
      </c>
      <c r="AC1363">
        <f ca="1">Table1[[#This Row],[SI]]+Table1[[#This Row],[Disc/Prem]]</f>
        <v>287.52666666666664</v>
      </c>
      <c r="AD1363" s="3" t="e">
        <f ca="1">Table1[[#This Row],[Net Gain]]/Table1[[#This Row],[Ask Rate]]</f>
        <v>#DIV/0!</v>
      </c>
      <c r="AE1363" s="3">
        <f>IF(Table1[[#This Row],[Ask Qty]]=0,0,Table1[[#This Row],[Gross Yield]]*365/Table1[[#This Row],[Days Left]])</f>
        <v>0</v>
      </c>
      <c r="AF1363" s="9">
        <f ca="1">+Table1[[#This Row],[Net Gain]]*Table1[[#This Row],[Ask Qty]]</f>
        <v>0</v>
      </c>
      <c r="AG1363" t="str">
        <f>IF(Table1[[#This Row],[YTM]]&gt;0.12,IF(Table1[[#This Row],[Gross Profit]]&gt;10000,"Invest","Review"),"Low YTM")</f>
        <v>Low YTM</v>
      </c>
    </row>
    <row r="1364" spans="1:33" x14ac:dyDescent="0.3">
      <c r="A1364" t="str">
        <f>RTD("nest.scriprtd",,"bse_cm|105MMFL25A","Symbol")</f>
        <v>105MMFL25A</v>
      </c>
      <c r="B1364" t="str">
        <f>RTD("nest.scriprtd",,"bse_cm|105MMFL25A","Trading Symbol")</f>
        <v>105MMFL25A</v>
      </c>
      <c r="C1364" t="str">
        <f>RTD("nest.scriprtd",,"bse_cm|105MMFL25A","Exchange")</f>
        <v>BSE</v>
      </c>
      <c r="D1364">
        <f>RTD("nest.scriprtd",,"bse_cm|105MMFL25A","Bid Qty")</f>
        <v>20</v>
      </c>
      <c r="E1364">
        <f>RTD("nest.scriprtd",,"bse_cm|105MMFL25A","Bid Rate")</f>
        <v>905.4</v>
      </c>
      <c r="F1364">
        <f>RTD("nest.scriprtd",,"bse_cm|105MMFL25A","Ask Rate")</f>
        <v>0</v>
      </c>
      <c r="G1364">
        <f>RTD("nest.scriprtd",,"bse_cm|105MMFL25A","Ask Qty")</f>
        <v>0</v>
      </c>
      <c r="H1364">
        <f>RTD("nest.scriprtd",,"bse_cm|105MMFL25A","LTP")</f>
        <v>0</v>
      </c>
      <c r="I1364" t="str">
        <f>RTD("nest.scriprtd",,"bse_cm|105MMFL25A","LTT")</f>
        <v>00:00:00</v>
      </c>
      <c r="J1364">
        <f>RTD("nest.scriprtd",,"bse_cm|105MMFL25A","% Change")</f>
        <v>-100</v>
      </c>
      <c r="K1364">
        <f>RTD("nest.scriprtd",,"bse_cm|105MMFL25A","ATP")</f>
        <v>0</v>
      </c>
      <c r="L1364">
        <f>RTD("nest.scriprtd",,"bse_cm|105MMFL25A","Volume Traded Today")</f>
        <v>0</v>
      </c>
      <c r="M1364">
        <f>RTD("nest.scriprtd",,"bse_cm|105MMFL25A","Open")</f>
        <v>0</v>
      </c>
      <c r="N1364">
        <f>RTD("nest.scriprtd",,"bse_cm|105MMFL25A","High")</f>
        <v>971.01</v>
      </c>
      <c r="O1364">
        <f>RTD("nest.scriprtd",,"bse_cm|105MMFL25A","Low ")</f>
        <v>917</v>
      </c>
      <c r="P1364">
        <f>RTD("nest.scriprtd",,"bse_cm|105MMFL25A","Prev Close")</f>
        <v>932.43</v>
      </c>
      <c r="Q1364">
        <f>RTD("nest.scriprtd",,"bse_cm|105MMFL25A","Face Value")</f>
        <v>1000</v>
      </c>
      <c r="R1364" t="str">
        <f>RTD("nest.scriprtd",,"bse_cm|105MMFL25A","Isin code")</f>
        <v>INE101Q07706</v>
      </c>
      <c r="S1364" s="9">
        <f>Table1[[#This Row],[Ask Rate]]*Table1[[#This Row],[Ask Qty]]</f>
        <v>0</v>
      </c>
      <c r="T1364">
        <f>VLOOKUP(Table1[[#This Row],[Isin code]],Table2[#All],7,FALSE)</f>
        <v>10.5</v>
      </c>
      <c r="U1364" s="17" t="str">
        <f>VLOOKUP(Table1[[#This Row],[Isin code]],Table2[#All],8,FALSE)</f>
        <v>01-Jul-2025</v>
      </c>
      <c r="V1364" s="10">
        <f ca="1">Table1[[#This Row],[Maturity]]-TODAY()</f>
        <v>258</v>
      </c>
      <c r="W1364" t="str">
        <f>VLOOKUP(Table1[[#This Row],[Isin code]],Table2[#All],10,FALSE)</f>
        <v>Monthly</v>
      </c>
      <c r="X1364">
        <f ca="1">_xlfn.DAYS(Table1[[#This Row],[Maturity]],TODAY())-15</f>
        <v>243</v>
      </c>
      <c r="Y136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1364">
        <f>IF(Table1[[#This Row],[Ask Rate]]=0,0,Table1[[#This Row],[Face Value]]-Table1[[#This Row],[Ask Rate]])</f>
        <v>0</v>
      </c>
      <c r="AA1364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1364">
        <f ca="1">Table1[[#This Row],[Face Value]]*Table1[[#This Row],[Rate]]*Table1[[#This Row],[Time]]</f>
        <v>78.75</v>
      </c>
      <c r="AC1364">
        <f ca="1">Table1[[#This Row],[SI]]+Table1[[#This Row],[Disc/Prem]]</f>
        <v>78.75</v>
      </c>
      <c r="AD1364" s="3" t="e">
        <f ca="1">Table1[[#This Row],[Net Gain]]/Table1[[#This Row],[Ask Rate]]</f>
        <v>#DIV/0!</v>
      </c>
      <c r="AE1364" s="3">
        <f>IF(Table1[[#This Row],[Ask Qty]]=0,0,Table1[[#This Row],[Gross Yield]]*365/Table1[[#This Row],[Days Left]])</f>
        <v>0</v>
      </c>
      <c r="AF1364" s="9">
        <f ca="1">+Table1[[#This Row],[Net Gain]]*Table1[[#This Row],[Ask Qty]]</f>
        <v>0</v>
      </c>
      <c r="AG1364" t="str">
        <f>IF(Table1[[#This Row],[YTM]]&gt;0.12,IF(Table1[[#This Row],[Gross Profit]]&gt;10000,"Invest","Review"),"Low YTM")</f>
        <v>Low YTM</v>
      </c>
    </row>
    <row r="1365" spans="1:33" x14ac:dyDescent="0.3">
      <c r="A1365" t="str">
        <f>RTD("nest.scriprtd",,"bse_cm|9ARKA25","Symbol")</f>
        <v>9ARKA25</v>
      </c>
      <c r="B1365" t="str">
        <f>RTD("nest.scriprtd",,"bse_cm|9ARKA25","Trading Symbol")</f>
        <v>9ARKA25</v>
      </c>
      <c r="C1365" t="str">
        <f>RTD("nest.scriprtd",,"bse_cm|9ARKA25","Exchange")</f>
        <v>BSE</v>
      </c>
      <c r="D1365">
        <f>RTD("nest.scriprtd",,"bse_cm|9ARKA25","Bid Qty")</f>
        <v>54</v>
      </c>
      <c r="E1365">
        <f>RTD("nest.scriprtd",,"bse_cm|9ARKA25","Bid Rate")</f>
        <v>875.2</v>
      </c>
      <c r="F1365">
        <f>RTD("nest.scriprtd",,"bse_cm|9ARKA25","Ask Rate")</f>
        <v>0</v>
      </c>
      <c r="G1365">
        <f>RTD("nest.scriprtd",,"bse_cm|9ARKA25","Ask Qty")</f>
        <v>0</v>
      </c>
      <c r="H1365">
        <f>RTD("nest.scriprtd",,"bse_cm|9ARKA25","LTP")</f>
        <v>0</v>
      </c>
      <c r="I1365" t="str">
        <f>RTD("nest.scriprtd",,"bse_cm|9ARKA25","LTT")</f>
        <v>00:00:00</v>
      </c>
      <c r="J1365">
        <f>RTD("nest.scriprtd",,"bse_cm|9ARKA25","% Change")</f>
        <v>-100</v>
      </c>
      <c r="K1365">
        <f>RTD("nest.scriprtd",,"bse_cm|9ARKA25","ATP")</f>
        <v>0</v>
      </c>
      <c r="L1365">
        <f>RTD("nest.scriprtd",,"bse_cm|9ARKA25","Volume Traded Today")</f>
        <v>0</v>
      </c>
      <c r="M1365">
        <f>RTD("nest.scriprtd",,"bse_cm|9ARKA25","Open")</f>
        <v>0</v>
      </c>
      <c r="N1365">
        <f>RTD("nest.scriprtd",,"bse_cm|9ARKA25","High")</f>
        <v>975</v>
      </c>
      <c r="O1365">
        <f>RTD("nest.scriprtd",,"bse_cm|9ARKA25","Low ")</f>
        <v>950</v>
      </c>
      <c r="P1365">
        <f>RTD("nest.scriprtd",,"bse_cm|9ARKA25","Prev Close")</f>
        <v>975</v>
      </c>
      <c r="Q1365">
        <f>RTD("nest.scriprtd",,"bse_cm|9ARKA25","Face Value")</f>
        <v>1000</v>
      </c>
      <c r="R1365" t="str">
        <f>RTD("nest.scriprtd",,"bse_cm|9ARKA25","Isin code")</f>
        <v>INE03W107264</v>
      </c>
      <c r="S1365" s="9">
        <f>Table1[[#This Row],[Ask Rate]]*Table1[[#This Row],[Ask Qty]]</f>
        <v>0</v>
      </c>
      <c r="T1365">
        <f>VLOOKUP(Table1[[#This Row],[Isin code]],Table2[#All],7,FALSE)</f>
        <v>9</v>
      </c>
      <c r="U1365" s="17" t="str">
        <f>VLOOKUP(Table1[[#This Row],[Isin code]],Table2[#All],8,FALSE)</f>
        <v>27-Dec-2025</v>
      </c>
      <c r="V1365" s="10">
        <f ca="1">Table1[[#This Row],[Maturity]]-TODAY()</f>
        <v>437</v>
      </c>
      <c r="W1365" t="str">
        <f>VLOOKUP(Table1[[#This Row],[Isin code]],Table2[#All],10,FALSE)</f>
        <v>QUARTERLY</v>
      </c>
      <c r="X1365">
        <f ca="1">_xlfn.DAYS(Table1[[#This Row],[Maturity]],TODAY())-15</f>
        <v>422</v>
      </c>
      <c r="Y13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365">
        <f>IF(Table1[[#This Row],[Ask Rate]]=0,0,Table1[[#This Row],[Face Value]]-Table1[[#This Row],[Ask Rate]])</f>
        <v>0</v>
      </c>
      <c r="AA1365">
        <f>IF(Table1[[#This Row],[Freq]]="Yearly",Table1[[#This Row],[Coupon_Rate]]/100,IF(Table1[[#This Row],[Freq]]="Monthly",Table1[[#This Row],[Coupon_Rate]]/1200,IF(Table1[[#This Row],[Freq]]="Quarterly",Table1[[#This Row],[Coupon_Rate]]/400,0)))</f>
        <v>2.2499999999999999E-2</v>
      </c>
      <c r="AB1365">
        <f ca="1">Table1[[#This Row],[Face Value]]*Table1[[#This Row],[Rate]]*Table1[[#This Row],[Time]]</f>
        <v>112.5</v>
      </c>
      <c r="AC1365">
        <f ca="1">Table1[[#This Row],[SI]]+Table1[[#This Row],[Disc/Prem]]</f>
        <v>112.5</v>
      </c>
      <c r="AD1365" s="3" t="e">
        <f ca="1">Table1[[#This Row],[Net Gain]]/Table1[[#This Row],[Ask Rate]]</f>
        <v>#DIV/0!</v>
      </c>
      <c r="AE1365" s="3">
        <f>IF(Table1[[#This Row],[Ask Qty]]=0,0,Table1[[#This Row],[Gross Yield]]*365/Table1[[#This Row],[Days Left]])</f>
        <v>0</v>
      </c>
      <c r="AF1365" s="9">
        <f ca="1">+Table1[[#This Row],[Net Gain]]*Table1[[#This Row],[Ask Qty]]</f>
        <v>0</v>
      </c>
      <c r="AG1365" t="str">
        <f>IF(Table1[[#This Row],[YTM]]&gt;0.12,IF(Table1[[#This Row],[Gross Profit]]&gt;10000,"Invest","Review"),"Low YTM")</f>
        <v>Low YTM</v>
      </c>
    </row>
    <row r="1366" spans="1:33" x14ac:dyDescent="0.3">
      <c r="A1366" t="str">
        <f>RTD("nest.scriprtd",,"nse_cm|1075SCL34-ZR","Symbol")</f>
        <v>1075SCL34</v>
      </c>
      <c r="B1366" t="str">
        <f>RTD("nest.scriprtd",,"nse_cm|1075SCL34-ZR","Trading Symbol")</f>
        <v>1075SCL34-ZR</v>
      </c>
      <c r="C1366" t="str">
        <f>RTD("nest.scriprtd",,"nse_cm|1075SCL34-ZR","Exchange")</f>
        <v>NSE</v>
      </c>
      <c r="D1366">
        <f>RTD("nest.scriprtd",,"nse_cm|1075SCL34-ZR","Bid Qty")</f>
        <v>10</v>
      </c>
      <c r="E1366">
        <f>RTD("nest.scriprtd",,"nse_cm|1075SCL34-ZR","Bid Rate")</f>
        <v>817</v>
      </c>
      <c r="F1366">
        <f>RTD("nest.scriprtd",,"nse_cm|1075SCL34-ZR","Ask Rate")</f>
        <v>0</v>
      </c>
      <c r="G1366">
        <f>RTD("nest.scriprtd",,"nse_cm|1075SCL34-ZR","Ask Qty")</f>
        <v>0</v>
      </c>
      <c r="H1366">
        <f>RTD("nest.scriprtd",,"nse_cm|1075SCL34-ZR","LTP")</f>
        <v>975</v>
      </c>
      <c r="I1366" t="str">
        <f>RTD("nest.scriprtd",,"nse_cm|1075SCL34-ZR","LTT")</f>
        <v/>
      </c>
      <c r="J1366">
        <f>RTD("nest.scriprtd",,"nse_cm|1075SCL34-ZR","% Change")</f>
        <v>0</v>
      </c>
      <c r="K1366">
        <f>RTD("nest.scriprtd",,"nse_cm|1075SCL34-ZR","ATP")</f>
        <v>0</v>
      </c>
      <c r="L1366">
        <f>RTD("nest.scriprtd",,"nse_cm|1075SCL34-ZR","Volume Traded Today")</f>
        <v>0</v>
      </c>
      <c r="M1366">
        <f>RTD("nest.scriprtd",,"nse_cm|1075SCL34-ZR","Open")</f>
        <v>0</v>
      </c>
      <c r="N1366">
        <f>RTD("nest.scriprtd",,"nse_cm|1075SCL34-ZR","High")</f>
        <v>975</v>
      </c>
      <c r="O1366">
        <f>RTD("nest.scriprtd",,"nse_cm|1075SCL34-ZR","Low ")</f>
        <v>975</v>
      </c>
      <c r="P1366">
        <f>RTD("nest.scriprtd",,"nse_cm|1075SCL34-ZR","Prev Close")</f>
        <v>975</v>
      </c>
      <c r="Q1366">
        <f>RTD("nest.scriprtd",,"nse_cm|1075SCL34-ZR","Face Value")</f>
        <v>1000</v>
      </c>
      <c r="R1366" t="str">
        <f>RTD("nest.scriprtd",,"nse_cm|1075SCL34-ZR","Isin code")</f>
        <v>INE148I07TP7</v>
      </c>
      <c r="S1366" s="9">
        <f>Table1[[#This Row],[Ask Rate]]*Table1[[#This Row],[Ask Qty]]</f>
        <v>0</v>
      </c>
      <c r="T1366">
        <f>VLOOKUP(Table1[[#This Row],[Isin code]],Table2[#All],7,FALSE)</f>
        <v>10.75</v>
      </c>
      <c r="U1366" s="17" t="str">
        <f>VLOOKUP(Table1[[#This Row],[Isin code]],Table2[#All],8,FALSE)</f>
        <v>31-May-2034</v>
      </c>
      <c r="V1366" s="10">
        <f ca="1">Table1[[#This Row],[Maturity]]-TODAY()</f>
        <v>3514</v>
      </c>
      <c r="W1366" t="str">
        <f>VLOOKUP(Table1[[#This Row],[Isin code]],Table2[#All],10,FALSE)</f>
        <v>Yearly</v>
      </c>
      <c r="X1366">
        <f ca="1">_xlfn.DAYS(Table1[[#This Row],[Maturity]],TODAY())-15</f>
        <v>3499</v>
      </c>
      <c r="Y13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1366">
        <f>IF(Table1[[#This Row],[Ask Rate]]=0,0,Table1[[#This Row],[Face Value]]-Table1[[#This Row],[Ask Rate]])</f>
        <v>0</v>
      </c>
      <c r="AA1366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1366">
        <f ca="1">Table1[[#This Row],[Face Value]]*Table1[[#This Row],[Rate]]*Table1[[#This Row],[Time]]</f>
        <v>1075</v>
      </c>
      <c r="AC1366">
        <f ca="1">Table1[[#This Row],[SI]]+Table1[[#This Row],[Disc/Prem]]</f>
        <v>1075</v>
      </c>
      <c r="AD1366" s="3" t="e">
        <f ca="1">Table1[[#This Row],[Net Gain]]/Table1[[#This Row],[Ask Rate]]</f>
        <v>#DIV/0!</v>
      </c>
      <c r="AE1366" s="3">
        <f>IF(Table1[[#This Row],[Ask Qty]]=0,0,Table1[[#This Row],[Gross Yield]]*365/Table1[[#This Row],[Days Left]])</f>
        <v>0</v>
      </c>
      <c r="AF1366" s="9">
        <f ca="1">+Table1[[#This Row],[Net Gain]]*Table1[[#This Row],[Ask Qty]]</f>
        <v>0</v>
      </c>
      <c r="AG1366" t="str">
        <f>IF(Table1[[#This Row],[YTM]]&gt;0.12,IF(Table1[[#This Row],[Gross Profit]]&gt;10000,"Invest","Review"),"Low YTM")</f>
        <v>Low YTM</v>
      </c>
    </row>
    <row r="1367" spans="1:33" x14ac:dyDescent="0.3">
      <c r="A1367" t="str">
        <f>RTD("nest.scriprtd",,"nse_cm|940CAGL27-NB","Symbol")</f>
        <v>940CAGL27</v>
      </c>
      <c r="B1367" t="str">
        <f>RTD("nest.scriprtd",,"nse_cm|940CAGL27-NB","Trading Symbol")</f>
        <v>940CAGL27-NB</v>
      </c>
      <c r="C1367" t="str">
        <f>RTD("nest.scriprtd",,"nse_cm|940CAGL27-NB","Exchange")</f>
        <v>NSE</v>
      </c>
      <c r="D1367">
        <f>RTD("nest.scriprtd",,"nse_cm|940CAGL27-NB","Bid Qty")</f>
        <v>1000</v>
      </c>
      <c r="E1367">
        <f>RTD("nest.scriprtd",,"nse_cm|940CAGL27-NB","Bid Rate")</f>
        <v>992.57</v>
      </c>
      <c r="F1367">
        <f>RTD("nest.scriprtd",,"nse_cm|940CAGL27-NB","Ask Rate")</f>
        <v>0</v>
      </c>
      <c r="G1367">
        <f>RTD("nest.scriprtd",,"nse_cm|940CAGL27-NB","Ask Qty")</f>
        <v>0</v>
      </c>
      <c r="H1367">
        <f>RTD("nest.scriprtd",,"nse_cm|940CAGL27-NB","LTP")</f>
        <v>1005</v>
      </c>
      <c r="I1367" t="str">
        <f>RTD("nest.scriprtd",,"nse_cm|940CAGL27-NB","LTT")</f>
        <v/>
      </c>
      <c r="J1367">
        <f>RTD("nest.scriprtd",,"nse_cm|940CAGL27-NB","% Change")</f>
        <v>0</v>
      </c>
      <c r="K1367">
        <f>RTD("nest.scriprtd",,"nse_cm|940CAGL27-NB","ATP")</f>
        <v>0</v>
      </c>
      <c r="L1367">
        <f>RTD("nest.scriprtd",,"nse_cm|940CAGL27-NB","Volume Traded Today")</f>
        <v>0</v>
      </c>
      <c r="M1367">
        <f>RTD("nest.scriprtd",,"nse_cm|940CAGL27-NB","Open")</f>
        <v>0</v>
      </c>
      <c r="N1367">
        <f>RTD("nest.scriprtd",,"nse_cm|940CAGL27-NB","High")</f>
        <v>1005</v>
      </c>
      <c r="O1367">
        <f>RTD("nest.scriprtd",,"nse_cm|940CAGL27-NB","Low ")</f>
        <v>1005</v>
      </c>
      <c r="P1367">
        <f>RTD("nest.scriprtd",,"nse_cm|940CAGL27-NB","Prev Close")</f>
        <v>1005</v>
      </c>
      <c r="Q1367">
        <f>RTD("nest.scriprtd",,"nse_cm|940CAGL27-NB","Face Value")</f>
        <v>1000</v>
      </c>
      <c r="R1367" t="str">
        <f>RTD("nest.scriprtd",,"nse_cm|940CAGL27-NB","Isin code")</f>
        <v>INE741K07587</v>
      </c>
      <c r="S1367" s="9">
        <f>Table1[[#This Row],[Ask Rate]]*Table1[[#This Row],[Ask Qty]]</f>
        <v>0</v>
      </c>
      <c r="T1367">
        <f>VLOOKUP(Table1[[#This Row],[Isin code]],Table2[#All],7,FALSE)</f>
        <v>9.4</v>
      </c>
      <c r="U1367" s="17" t="str">
        <f>VLOOKUP(Table1[[#This Row],[Isin code]],Table2[#All],8,FALSE)</f>
        <v>07-Nov-2027</v>
      </c>
      <c r="V1367" s="10">
        <f ca="1">Table1[[#This Row],[Maturity]]-TODAY()</f>
        <v>1117</v>
      </c>
      <c r="W1367" t="str">
        <f>VLOOKUP(Table1[[#This Row],[Isin code]],Table2[#All],10,FALSE)</f>
        <v>MONTHLY</v>
      </c>
      <c r="X1367">
        <f ca="1">_xlfn.DAYS(Table1[[#This Row],[Maturity]],TODAY())-15</f>
        <v>1102</v>
      </c>
      <c r="Y13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37</v>
      </c>
      <c r="Z1367">
        <f>IF(Table1[[#This Row],[Ask Rate]]=0,0,Table1[[#This Row],[Face Value]]-Table1[[#This Row],[Ask Rate]])</f>
        <v>0</v>
      </c>
      <c r="AA1367">
        <f>IF(Table1[[#This Row],[Freq]]="Yearly",Table1[[#This Row],[Coupon_Rate]]/100,IF(Table1[[#This Row],[Freq]]="Monthly",Table1[[#This Row],[Coupon_Rate]]/1200,IF(Table1[[#This Row],[Freq]]="Quarterly",Table1[[#This Row],[Coupon_Rate]]/400,0)))</f>
        <v>7.8333333333333328E-3</v>
      </c>
      <c r="AB1367">
        <f ca="1">Table1[[#This Row],[Face Value]]*Table1[[#This Row],[Rate]]*Table1[[#This Row],[Time]]</f>
        <v>289.83333333333331</v>
      </c>
      <c r="AC1367">
        <f ca="1">Table1[[#This Row],[SI]]+Table1[[#This Row],[Disc/Prem]]</f>
        <v>289.83333333333331</v>
      </c>
      <c r="AD1367" s="3" t="e">
        <f ca="1">Table1[[#This Row],[Net Gain]]/Table1[[#This Row],[Ask Rate]]</f>
        <v>#DIV/0!</v>
      </c>
      <c r="AE1367" s="3">
        <f>IF(Table1[[#This Row],[Ask Qty]]=0,0,Table1[[#This Row],[Gross Yield]]*365/Table1[[#This Row],[Days Left]])</f>
        <v>0</v>
      </c>
      <c r="AF1367" s="9">
        <f ca="1">+Table1[[#This Row],[Net Gain]]*Table1[[#This Row],[Ask Qty]]</f>
        <v>0</v>
      </c>
      <c r="AG1367" t="str">
        <f>IF(Table1[[#This Row],[YTM]]&gt;0.12,IF(Table1[[#This Row],[Gross Profit]]&gt;10000,"Invest","Review"),"Low YTM")</f>
        <v>Low YTM</v>
      </c>
    </row>
    <row r="1368" spans="1:33" x14ac:dyDescent="0.3">
      <c r="A1368" t="str">
        <f>RTD("nest.scriprtd",,"nse_cm|990SCL26I-AV","Symbol")</f>
        <v>990SCL26I</v>
      </c>
      <c r="B1368" t="str">
        <f>RTD("nest.scriprtd",,"nse_cm|990SCL26I-AV","Trading Symbol")</f>
        <v>990SCL26I-AV</v>
      </c>
      <c r="C1368" t="str">
        <f>RTD("nest.scriprtd",,"nse_cm|990SCL26I-AV","Exchange")</f>
        <v>NSE</v>
      </c>
      <c r="D1368">
        <f>RTD("nest.scriprtd",,"nse_cm|990SCL26I-AV","Bid Qty")</f>
        <v>0</v>
      </c>
      <c r="E1368">
        <f>RTD("nest.scriprtd",,"nse_cm|990SCL26I-AV","Bid Rate")</f>
        <v>0</v>
      </c>
      <c r="F1368">
        <f>RTD("nest.scriprtd",,"nse_cm|990SCL26I-AV","Ask Rate")</f>
        <v>0</v>
      </c>
      <c r="G1368">
        <f>RTD("nest.scriprtd",,"nse_cm|990SCL26I-AV","Ask Qty")</f>
        <v>0</v>
      </c>
      <c r="H1368">
        <f>RTD("nest.scriprtd",,"nse_cm|990SCL26I-AV","LTP")</f>
        <v>865</v>
      </c>
      <c r="I1368" t="str">
        <f>RTD("nest.scriprtd",,"nse_cm|990SCL26I-AV","LTT")</f>
        <v/>
      </c>
      <c r="J1368">
        <f>RTD("nest.scriprtd",,"nse_cm|990SCL26I-AV","% Change")</f>
        <v>0</v>
      </c>
      <c r="K1368">
        <f>RTD("nest.scriprtd",,"nse_cm|990SCL26I-AV","ATP")</f>
        <v>0</v>
      </c>
      <c r="L1368">
        <f>RTD("nest.scriprtd",,"nse_cm|990SCL26I-AV","Volume Traded Today")</f>
        <v>0</v>
      </c>
      <c r="M1368">
        <f>RTD("nest.scriprtd",,"nse_cm|990SCL26I-AV","Open")</f>
        <v>0</v>
      </c>
      <c r="N1368">
        <f>RTD("nest.scriprtd",,"nse_cm|990SCL26I-AV","High")</f>
        <v>865</v>
      </c>
      <c r="O1368">
        <f>RTD("nest.scriprtd",,"nse_cm|990SCL26I-AV","Low ")</f>
        <v>865</v>
      </c>
      <c r="P1368">
        <f>RTD("nest.scriprtd",,"nse_cm|990SCL26I-AV","Prev Close")</f>
        <v>865</v>
      </c>
      <c r="Q1368">
        <f>RTD("nest.scriprtd",,"nse_cm|990SCL26I-AV","Face Value")</f>
        <v>667</v>
      </c>
      <c r="R1368" t="str">
        <f>RTD("nest.scriprtd",,"nse_cm|990SCL26I-AV","Isin code")</f>
        <v>INE148I07OR4</v>
      </c>
      <c r="S1368" s="9">
        <f>Table1[[#This Row],[Ask Rate]]*Table1[[#This Row],[Ask Qty]]</f>
        <v>0</v>
      </c>
      <c r="T1368">
        <f>VLOOKUP(Table1[[#This Row],[Isin code]],Table2[#All],7,FALSE)</f>
        <v>9.9</v>
      </c>
      <c r="U1368" s="17" t="str">
        <f>VLOOKUP(Table1[[#This Row],[Isin code]],Table2[#All],8,FALSE)</f>
        <v>27-Jul-2026</v>
      </c>
      <c r="V1368" s="10">
        <f ca="1">Table1[[#This Row],[Maturity]]-TODAY()</f>
        <v>649</v>
      </c>
      <c r="W1368" t="str">
        <f>VLOOKUP(Table1[[#This Row],[Isin code]],Table2[#All],10,FALSE)</f>
        <v>Yearly</v>
      </c>
      <c r="X1368">
        <f ca="1">_xlfn.DAYS(Table1[[#This Row],[Maturity]],TODAY())-15</f>
        <v>634</v>
      </c>
      <c r="Y13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368">
        <f>IF(Table1[[#This Row],[Ask Rate]]=0,0,Table1[[#This Row],[Face Value]]-Table1[[#This Row],[Ask Rate]])</f>
        <v>0</v>
      </c>
      <c r="AA1368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368">
        <f ca="1">Table1[[#This Row],[Face Value]]*Table1[[#This Row],[Rate]]*Table1[[#This Row],[Time]]</f>
        <v>132.066</v>
      </c>
      <c r="AC1368">
        <f ca="1">Table1[[#This Row],[SI]]+Table1[[#This Row],[Disc/Prem]]</f>
        <v>132.066</v>
      </c>
      <c r="AD1368" s="3" t="e">
        <f ca="1">Table1[[#This Row],[Net Gain]]/Table1[[#This Row],[Ask Rate]]</f>
        <v>#DIV/0!</v>
      </c>
      <c r="AE1368" s="3">
        <f>IF(Table1[[#This Row],[Ask Qty]]=0,0,Table1[[#This Row],[Gross Yield]]*365/Table1[[#This Row],[Days Left]])</f>
        <v>0</v>
      </c>
      <c r="AF1368" s="9">
        <f ca="1">+Table1[[#This Row],[Net Gain]]*Table1[[#This Row],[Ask Qty]]</f>
        <v>0</v>
      </c>
      <c r="AG1368" t="str">
        <f>IF(Table1[[#This Row],[YTM]]&gt;0.12,IF(Table1[[#This Row],[Gross Profit]]&gt;10000,"Invest","Review"),"Low YTM")</f>
        <v>Low YTM</v>
      </c>
    </row>
    <row r="1369" spans="1:33" x14ac:dyDescent="0.3">
      <c r="A1369" t="str">
        <f>RTD("nest.scriprtd",,"bse_cm|775MFL25","Symbol")</f>
        <v>775MFL25</v>
      </c>
      <c r="B1369" t="str">
        <f>RTD("nest.scriprtd",,"bse_cm|775MFL25","Trading Symbol")</f>
        <v>775MFL25</v>
      </c>
      <c r="C1369" t="str">
        <f>RTD("nest.scriprtd",,"bse_cm|775MFL25","Exchange")</f>
        <v>BSE</v>
      </c>
      <c r="D1369">
        <f>RTD("nest.scriprtd",,"bse_cm|775MFL25","Bid Qty")</f>
        <v>130</v>
      </c>
      <c r="E1369">
        <f>RTD("nest.scriprtd",,"bse_cm|775MFL25","Bid Rate")</f>
        <v>1015.8</v>
      </c>
      <c r="F1369">
        <f>RTD("nest.scriprtd",,"bse_cm|775MFL25","Ask Rate")</f>
        <v>0</v>
      </c>
      <c r="G1369">
        <f>RTD("nest.scriprtd",,"bse_cm|775MFL25","Ask Qty")</f>
        <v>0</v>
      </c>
      <c r="H1369">
        <f>RTD("nest.scriprtd",,"bse_cm|775MFL25","LTP")</f>
        <v>0</v>
      </c>
      <c r="I1369" t="str">
        <f>RTD("nest.scriprtd",,"bse_cm|775MFL25","LTT")</f>
        <v>00:00:00</v>
      </c>
      <c r="J1369">
        <f>RTD("nest.scriprtd",,"bse_cm|775MFL25","% Change")</f>
        <v>-100</v>
      </c>
      <c r="K1369">
        <f>RTD("nest.scriprtd",,"bse_cm|775MFL25","ATP")</f>
        <v>0</v>
      </c>
      <c r="L1369">
        <f>RTD("nest.scriprtd",,"bse_cm|775MFL25","Volume Traded Today")</f>
        <v>0</v>
      </c>
      <c r="M1369">
        <f>RTD("nest.scriprtd",,"bse_cm|775MFL25","Open")</f>
        <v>0</v>
      </c>
      <c r="N1369">
        <f>RTD("nest.scriprtd",,"bse_cm|775MFL25","High")</f>
        <v>1032.8</v>
      </c>
      <c r="O1369">
        <f>RTD("nest.scriprtd",,"bse_cm|775MFL25","Low ")</f>
        <v>1032.8</v>
      </c>
      <c r="P1369">
        <f>RTD("nest.scriprtd",,"bse_cm|775MFL25","Prev Close")</f>
        <v>1032.8</v>
      </c>
      <c r="Q1369">
        <f>RTD("nest.scriprtd",,"bse_cm|775MFL25","Face Value")</f>
        <v>1000</v>
      </c>
      <c r="R1369" t="str">
        <f>RTD("nest.scriprtd",,"bse_cm|775MFL25","Isin code")</f>
        <v>INE414G07HN7</v>
      </c>
      <c r="S1369" s="9">
        <f>Table1[[#This Row],[Ask Rate]]*Table1[[#This Row],[Ask Qty]]</f>
        <v>0</v>
      </c>
      <c r="T1369">
        <f>VLOOKUP(Table1[[#This Row],[Isin code]],Table2[#All],7,FALSE)</f>
        <v>7.75</v>
      </c>
      <c r="U1369" s="17" t="str">
        <f>VLOOKUP(Table1[[#This Row],[Isin code]],Table2[#All],8,FALSE)</f>
        <v>10-Apr-2025</v>
      </c>
      <c r="V1369" s="10">
        <f ca="1">Table1[[#This Row],[Maturity]]-TODAY()</f>
        <v>176</v>
      </c>
      <c r="W1369" t="str">
        <f>VLOOKUP(Table1[[#This Row],[Isin code]],Table2[#All],10,FALSE)</f>
        <v>Yearly</v>
      </c>
      <c r="X1369">
        <f ca="1">_xlfn.DAYS(Table1[[#This Row],[Maturity]],TODAY())-15</f>
        <v>161</v>
      </c>
      <c r="Y13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369">
        <f>IF(Table1[[#This Row],[Ask Rate]]=0,0,Table1[[#This Row],[Face Value]]-Table1[[#This Row],[Ask Rate]])</f>
        <v>0</v>
      </c>
      <c r="AA1369">
        <f>IF(Table1[[#This Row],[Freq]]="Yearly",Table1[[#This Row],[Coupon_Rate]]/100,IF(Table1[[#This Row],[Freq]]="Monthly",Table1[[#This Row],[Coupon_Rate]]/1200,IF(Table1[[#This Row],[Freq]]="Quarterly",Table1[[#This Row],[Coupon_Rate]]/400,0)))</f>
        <v>7.7499999999999999E-2</v>
      </c>
      <c r="AB1369">
        <f ca="1">Table1[[#This Row],[Face Value]]*Table1[[#This Row],[Rate]]*Table1[[#This Row],[Time]]</f>
        <v>77.5</v>
      </c>
      <c r="AC1369">
        <f ca="1">Table1[[#This Row],[SI]]+Table1[[#This Row],[Disc/Prem]]</f>
        <v>77.5</v>
      </c>
      <c r="AD1369" s="3" t="e">
        <f ca="1">Table1[[#This Row],[Net Gain]]/Table1[[#This Row],[Ask Rate]]</f>
        <v>#DIV/0!</v>
      </c>
      <c r="AE1369" s="3">
        <f>IF(Table1[[#This Row],[Ask Qty]]=0,0,Table1[[#This Row],[Gross Yield]]*365/Table1[[#This Row],[Days Left]])</f>
        <v>0</v>
      </c>
      <c r="AF1369" s="9">
        <f ca="1">+Table1[[#This Row],[Net Gain]]*Table1[[#This Row],[Ask Qty]]</f>
        <v>0</v>
      </c>
      <c r="AG1369" t="str">
        <f>IF(Table1[[#This Row],[YTM]]&gt;0.12,IF(Table1[[#This Row],[Gross Profit]]&gt;10000,"Invest","Review"),"Low YTM")</f>
        <v>Low YTM</v>
      </c>
    </row>
    <row r="1370" spans="1:33" x14ac:dyDescent="0.3">
      <c r="A1370" t="str">
        <f>RTD("nest.scriprtd",,"bse_cm|MFL30A","Symbol")</f>
        <v>MFL30A</v>
      </c>
      <c r="B1370" t="str">
        <f>RTD("nest.scriprtd",,"bse_cm|MFL30A","Trading Symbol")</f>
        <v>MFL30A</v>
      </c>
      <c r="C1370" t="str">
        <f>RTD("nest.scriprtd",,"bse_cm|MFL30A","Exchange")</f>
        <v>BSE</v>
      </c>
      <c r="D1370">
        <f>RTD("nest.scriprtd",,"bse_cm|MFL30A","Bid Qty")</f>
        <v>50</v>
      </c>
      <c r="E1370">
        <f>RTD("nest.scriprtd",,"bse_cm|MFL30A","Bid Rate")</f>
        <v>1020.02</v>
      </c>
      <c r="F1370">
        <f>RTD("nest.scriprtd",,"bse_cm|MFL30A","Ask Rate")</f>
        <v>0</v>
      </c>
      <c r="G1370">
        <f>RTD("nest.scriprtd",,"bse_cm|MFL30A","Ask Qty")</f>
        <v>0</v>
      </c>
      <c r="H1370">
        <f>RTD("nest.scriprtd",,"bse_cm|MFL30A","LTP")</f>
        <v>0</v>
      </c>
      <c r="I1370" t="str">
        <f>RTD("nest.scriprtd",,"bse_cm|MFL30A","LTT")</f>
        <v>00:00:00</v>
      </c>
      <c r="J1370">
        <f>RTD("nest.scriprtd",,"bse_cm|MFL30A","% Change")</f>
        <v>-100</v>
      </c>
      <c r="K1370">
        <f>RTD("nest.scriprtd",,"bse_cm|MFL30A","ATP")</f>
        <v>0</v>
      </c>
      <c r="L1370">
        <f>RTD("nest.scriprtd",,"bse_cm|MFL30A","Volume Traded Today")</f>
        <v>0</v>
      </c>
      <c r="M1370">
        <f>RTD("nest.scriprtd",,"bse_cm|MFL30A","Open")</f>
        <v>0</v>
      </c>
      <c r="N1370">
        <f>RTD("nest.scriprtd",,"bse_cm|MFL30A","High")</f>
        <v>1050</v>
      </c>
      <c r="O1370">
        <f>RTD("nest.scriprtd",,"bse_cm|MFL30A","Low ")</f>
        <v>1047.02</v>
      </c>
      <c r="P1370">
        <f>RTD("nest.scriprtd",,"bse_cm|MFL30A","Prev Close")</f>
        <v>1050</v>
      </c>
      <c r="Q1370">
        <f>RTD("nest.scriprtd",,"bse_cm|MFL30A","Face Value")</f>
        <v>1000</v>
      </c>
      <c r="R1370" t="str">
        <f>RTD("nest.scriprtd",,"bse_cm|MFL30A","Isin code")</f>
        <v>INE549K07BY2</v>
      </c>
      <c r="S1370" s="9">
        <f>Table1[[#This Row],[Ask Rate]]*Table1[[#This Row],[Ask Qty]]</f>
        <v>0</v>
      </c>
      <c r="T1370" t="str">
        <f>VLOOKUP(Table1[[#This Row],[Isin code]],Table2[#All],7,FALSE)</f>
        <v>--</v>
      </c>
      <c r="U1370" s="17" t="str">
        <f>VLOOKUP(Table1[[#This Row],[Isin code]],Table2[#All],8,FALSE)</f>
        <v>02-May-2030</v>
      </c>
      <c r="V1370" s="10">
        <f ca="1">Table1[[#This Row],[Maturity]]-TODAY()</f>
        <v>2024</v>
      </c>
      <c r="W1370" t="str">
        <f>VLOOKUP(Table1[[#This Row],[Isin code]],Table2[#All],10,FALSE)</f>
        <v>At the End</v>
      </c>
      <c r="X1370">
        <f ca="1">_xlfn.DAYS(Table1[[#This Row],[Maturity]],TODAY())-15</f>
        <v>2009</v>
      </c>
      <c r="Y137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70">
        <f>IF(Table1[[#This Row],[Ask Rate]]=0,0,Table1[[#This Row],[Face Value]]-Table1[[#This Row],[Ask Rate]])</f>
        <v>0</v>
      </c>
      <c r="AA137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70">
        <f>Table1[[#This Row],[Face Value]]*Table1[[#This Row],[Rate]]*Table1[[#This Row],[Time]]</f>
        <v>0</v>
      </c>
      <c r="AC1370">
        <f>Table1[[#This Row],[SI]]+Table1[[#This Row],[Disc/Prem]]</f>
        <v>0</v>
      </c>
      <c r="AD1370" s="3" t="e">
        <f>Table1[[#This Row],[Net Gain]]/Table1[[#This Row],[Ask Rate]]</f>
        <v>#DIV/0!</v>
      </c>
      <c r="AE1370" s="3">
        <f>IF(Table1[[#This Row],[Ask Qty]]=0,0,Table1[[#This Row],[Gross Yield]]*365/Table1[[#This Row],[Days Left]])</f>
        <v>0</v>
      </c>
      <c r="AF1370" s="9">
        <f>+Table1[[#This Row],[Net Gain]]*Table1[[#This Row],[Ask Qty]]</f>
        <v>0</v>
      </c>
      <c r="AG1370" t="str">
        <f>IF(Table1[[#This Row],[YTM]]&gt;0.12,IF(Table1[[#This Row],[Gross Profit]]&gt;10000,"Invest","Review"),"Low YTM")</f>
        <v>Low YTM</v>
      </c>
    </row>
    <row r="1371" spans="1:33" x14ac:dyDescent="0.3">
      <c r="A1371" t="str">
        <f>RTD("nest.scriprtd",,"bse_cm|805ABFL28","Symbol")</f>
        <v>805ABFL28</v>
      </c>
      <c r="B1371" t="str">
        <f>RTD("nest.scriprtd",,"bse_cm|805ABFL28","Trading Symbol")</f>
        <v>805ABFL28</v>
      </c>
      <c r="C1371" t="str">
        <f>RTD("nest.scriprtd",,"bse_cm|805ABFL28","Exchange")</f>
        <v>BSE</v>
      </c>
      <c r="D1371">
        <f>RTD("nest.scriprtd",,"bse_cm|805ABFL28","Bid Qty")</f>
        <v>10</v>
      </c>
      <c r="E1371">
        <f>RTD("nest.scriprtd",,"bse_cm|805ABFL28","Bid Rate")</f>
        <v>863</v>
      </c>
      <c r="F1371">
        <f>RTD("nest.scriprtd",,"bse_cm|805ABFL28","Ask Rate")</f>
        <v>0</v>
      </c>
      <c r="G1371">
        <f>RTD("nest.scriprtd",,"bse_cm|805ABFL28","Ask Qty")</f>
        <v>0</v>
      </c>
      <c r="H1371">
        <f>RTD("nest.scriprtd",,"bse_cm|805ABFL28","LTP")</f>
        <v>0</v>
      </c>
      <c r="I1371" t="str">
        <f>RTD("nest.scriprtd",,"bse_cm|805ABFL28","LTT")</f>
        <v>00:00:00</v>
      </c>
      <c r="J1371">
        <f>RTD("nest.scriprtd",,"bse_cm|805ABFL28","% Change")</f>
        <v>-100</v>
      </c>
      <c r="K1371">
        <f>RTD("nest.scriprtd",,"bse_cm|805ABFL28","ATP")</f>
        <v>0</v>
      </c>
      <c r="L1371">
        <f>RTD("nest.scriprtd",,"bse_cm|805ABFL28","Volume Traded Today")</f>
        <v>0</v>
      </c>
      <c r="M1371">
        <f>RTD("nest.scriprtd",,"bse_cm|805ABFL28","Open")</f>
        <v>0</v>
      </c>
      <c r="N1371">
        <f>RTD("nest.scriprtd",,"bse_cm|805ABFL28","High")</f>
        <v>1070</v>
      </c>
      <c r="O1371">
        <f>RTD("nest.scriprtd",,"bse_cm|805ABFL28","Low ")</f>
        <v>1070</v>
      </c>
      <c r="P1371">
        <f>RTD("nest.scriprtd",,"bse_cm|805ABFL28","Prev Close")</f>
        <v>1070</v>
      </c>
      <c r="Q1371">
        <f>RTD("nest.scriprtd",,"bse_cm|805ABFL28","Face Value")</f>
        <v>1000</v>
      </c>
      <c r="R1371" t="str">
        <f>RTD("nest.scriprtd",,"bse_cm|805ABFL28","Isin code")</f>
        <v>INE860H07IT4</v>
      </c>
      <c r="S1371" s="9">
        <f>Table1[[#This Row],[Ask Rate]]*Table1[[#This Row],[Ask Qty]]</f>
        <v>0</v>
      </c>
      <c r="T1371">
        <f>VLOOKUP(Table1[[#This Row],[Isin code]],Table2[#All],7,FALSE)</f>
        <v>8.0500000000000007</v>
      </c>
      <c r="U1371" s="17" t="str">
        <f>VLOOKUP(Table1[[#This Row],[Isin code]],Table2[#All],8,FALSE)</f>
        <v>09-Oct-2028</v>
      </c>
      <c r="V1371" s="10">
        <f ca="1">Table1[[#This Row],[Maturity]]-TODAY()</f>
        <v>1454</v>
      </c>
      <c r="W1371" t="str">
        <f>VLOOKUP(Table1[[#This Row],[Isin code]],Table2[#All],10,FALSE)</f>
        <v>Yearly</v>
      </c>
      <c r="X1371">
        <f ca="1">_xlfn.DAYS(Table1[[#This Row],[Maturity]],TODAY())-15</f>
        <v>1439</v>
      </c>
      <c r="Y13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371">
        <f>IF(Table1[[#This Row],[Ask Rate]]=0,0,Table1[[#This Row],[Face Value]]-Table1[[#This Row],[Ask Rate]])</f>
        <v>0</v>
      </c>
      <c r="AA1371">
        <f>IF(Table1[[#This Row],[Freq]]="Yearly",Table1[[#This Row],[Coupon_Rate]]/100,IF(Table1[[#This Row],[Freq]]="Monthly",Table1[[#This Row],[Coupon_Rate]]/1200,IF(Table1[[#This Row],[Freq]]="Quarterly",Table1[[#This Row],[Coupon_Rate]]/400,0)))</f>
        <v>8.0500000000000002E-2</v>
      </c>
      <c r="AB1371">
        <f ca="1">Table1[[#This Row],[Face Value]]*Table1[[#This Row],[Rate]]*Table1[[#This Row],[Time]]</f>
        <v>322</v>
      </c>
      <c r="AC1371">
        <f ca="1">Table1[[#This Row],[SI]]+Table1[[#This Row],[Disc/Prem]]</f>
        <v>322</v>
      </c>
      <c r="AD1371" s="3" t="e">
        <f ca="1">Table1[[#This Row],[Net Gain]]/Table1[[#This Row],[Ask Rate]]</f>
        <v>#DIV/0!</v>
      </c>
      <c r="AE1371" s="3">
        <f>IF(Table1[[#This Row],[Ask Qty]]=0,0,Table1[[#This Row],[Gross Yield]]*365/Table1[[#This Row],[Days Left]])</f>
        <v>0</v>
      </c>
      <c r="AF1371" s="9">
        <f ca="1">+Table1[[#This Row],[Net Gain]]*Table1[[#This Row],[Ask Qty]]</f>
        <v>0</v>
      </c>
      <c r="AG1371" t="str">
        <f>IF(Table1[[#This Row],[YTM]]&gt;0.12,IF(Table1[[#This Row],[Gross Profit]]&gt;10000,"Invest","Review"),"Low YTM")</f>
        <v>Low YTM</v>
      </c>
    </row>
    <row r="1372" spans="1:33" x14ac:dyDescent="0.3">
      <c r="A1372" t="str">
        <f>RTD("nest.scriprtd",,"bse_cm|KFL26A","Symbol")</f>
        <v>KFL26A</v>
      </c>
      <c r="B1372" t="str">
        <f>RTD("nest.scriprtd",,"bse_cm|KFL26A","Trading Symbol")</f>
        <v>KFL26A</v>
      </c>
      <c r="C1372" t="str">
        <f>RTD("nest.scriprtd",,"bse_cm|KFL26A","Exchange")</f>
        <v>BSE</v>
      </c>
      <c r="D1372">
        <f>RTD("nest.scriprtd",,"bse_cm|KFL26A","Bid Qty")</f>
        <v>19</v>
      </c>
      <c r="E1372">
        <f>RTD("nest.scriprtd",,"bse_cm|KFL26A","Bid Rate")</f>
        <v>902.45</v>
      </c>
      <c r="F1372">
        <f>RTD("nest.scriprtd",,"bse_cm|KFL26A","Ask Rate")</f>
        <v>0</v>
      </c>
      <c r="G1372">
        <f>RTD("nest.scriprtd",,"bse_cm|KFL26A","Ask Qty")</f>
        <v>0</v>
      </c>
      <c r="H1372">
        <f>RTD("nest.scriprtd",,"bse_cm|KFL26A","LTP")</f>
        <v>0</v>
      </c>
      <c r="I1372" t="str">
        <f>RTD("nest.scriprtd",,"bse_cm|KFL26A","LTT")</f>
        <v>00:00:00</v>
      </c>
      <c r="J1372">
        <f>RTD("nest.scriprtd",,"bse_cm|KFL26A","% Change")</f>
        <v>-100</v>
      </c>
      <c r="K1372">
        <f>RTD("nest.scriprtd",,"bse_cm|KFL26A","ATP")</f>
        <v>0</v>
      </c>
      <c r="L1372">
        <f>RTD("nest.scriprtd",,"bse_cm|KFL26A","Volume Traded Today")</f>
        <v>0</v>
      </c>
      <c r="M1372">
        <f>RTD("nest.scriprtd",,"bse_cm|KFL26A","Open")</f>
        <v>0</v>
      </c>
      <c r="N1372">
        <f>RTD("nest.scriprtd",,"bse_cm|KFL26A","High")</f>
        <v>1080</v>
      </c>
      <c r="O1372">
        <f>RTD("nest.scriprtd",,"bse_cm|KFL26A","Low ")</f>
        <v>1080</v>
      </c>
      <c r="P1372">
        <f>RTD("nest.scriprtd",,"bse_cm|KFL26A","Prev Close")</f>
        <v>1080</v>
      </c>
      <c r="Q1372">
        <f>RTD("nest.scriprtd",,"bse_cm|KFL26A","Face Value")</f>
        <v>1000</v>
      </c>
      <c r="R1372" t="str">
        <f>RTD("nest.scriprtd",,"bse_cm|KFL26A","Isin code")</f>
        <v>INE403Q07DM0</v>
      </c>
      <c r="S1372" s="9">
        <f>Table1[[#This Row],[Ask Rate]]*Table1[[#This Row],[Ask Qty]]</f>
        <v>0</v>
      </c>
      <c r="T1372" t="str">
        <f>VLOOKUP(Table1[[#This Row],[Isin code]],Table2[#All],7,FALSE)</f>
        <v>--</v>
      </c>
      <c r="U1372" s="17" t="str">
        <f>VLOOKUP(Table1[[#This Row],[Isin code]],Table2[#All],8,FALSE)</f>
        <v>28-Jul-2026</v>
      </c>
      <c r="V1372" s="10">
        <f ca="1">Table1[[#This Row],[Maturity]]-TODAY()</f>
        <v>650</v>
      </c>
      <c r="W1372" t="str">
        <f>VLOOKUP(Table1[[#This Row],[Isin code]],Table2[#All],10,FALSE)</f>
        <v>At the End</v>
      </c>
      <c r="X1372">
        <f ca="1">_xlfn.DAYS(Table1[[#This Row],[Maturity]],TODAY())-15</f>
        <v>635</v>
      </c>
      <c r="Y137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72">
        <f>IF(Table1[[#This Row],[Ask Rate]]=0,0,Table1[[#This Row],[Face Value]]-Table1[[#This Row],[Ask Rate]])</f>
        <v>0</v>
      </c>
      <c r="AA137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72">
        <f>Table1[[#This Row],[Face Value]]*Table1[[#This Row],[Rate]]*Table1[[#This Row],[Time]]</f>
        <v>0</v>
      </c>
      <c r="AC1372">
        <f>Table1[[#This Row],[SI]]+Table1[[#This Row],[Disc/Prem]]</f>
        <v>0</v>
      </c>
      <c r="AD1372" s="3" t="e">
        <f>Table1[[#This Row],[Net Gain]]/Table1[[#This Row],[Ask Rate]]</f>
        <v>#DIV/0!</v>
      </c>
      <c r="AE1372" s="3">
        <f>IF(Table1[[#This Row],[Ask Qty]]=0,0,Table1[[#This Row],[Gross Yield]]*365/Table1[[#This Row],[Days Left]])</f>
        <v>0</v>
      </c>
      <c r="AF1372" s="9">
        <f>+Table1[[#This Row],[Net Gain]]*Table1[[#This Row],[Ask Qty]]</f>
        <v>0</v>
      </c>
      <c r="AG1372" t="str">
        <f>IF(Table1[[#This Row],[YTM]]&gt;0.12,IF(Table1[[#This Row],[Gross Profit]]&gt;10000,"Invest","Review"),"Low YTM")</f>
        <v>Low YTM</v>
      </c>
    </row>
    <row r="1373" spans="1:33" x14ac:dyDescent="0.3">
      <c r="A1373" t="str">
        <f>RTD("nest.scriprtd",,"bse_cm|ABFL28","Symbol")</f>
        <v>ABFL28</v>
      </c>
      <c r="B1373" t="str">
        <f>RTD("nest.scriprtd",,"bse_cm|ABFL28","Trading Symbol")</f>
        <v>ABFL28</v>
      </c>
      <c r="C1373" t="str">
        <f>RTD("nest.scriprtd",,"bse_cm|ABFL28","Exchange")</f>
        <v>BSE</v>
      </c>
      <c r="D1373">
        <f>RTD("nest.scriprtd",,"bse_cm|ABFL28","Bid Qty")</f>
        <v>28</v>
      </c>
      <c r="E1373">
        <f>RTD("nest.scriprtd",,"bse_cm|ABFL28","Bid Rate")</f>
        <v>943.45</v>
      </c>
      <c r="F1373">
        <f>RTD("nest.scriprtd",,"bse_cm|ABFL28","Ask Rate")</f>
        <v>0</v>
      </c>
      <c r="G1373">
        <f>RTD("nest.scriprtd",,"bse_cm|ABFL28","Ask Qty")</f>
        <v>0</v>
      </c>
      <c r="H1373">
        <f>RTD("nest.scriprtd",,"bse_cm|ABFL28","LTP")</f>
        <v>0</v>
      </c>
      <c r="I1373" t="str">
        <f>RTD("nest.scriprtd",,"bse_cm|ABFL28","LTT")</f>
        <v>00:00:00</v>
      </c>
      <c r="J1373">
        <f>RTD("nest.scriprtd",,"bse_cm|ABFL28","% Change")</f>
        <v>-100</v>
      </c>
      <c r="K1373">
        <f>RTD("nest.scriprtd",,"bse_cm|ABFL28","ATP")</f>
        <v>0</v>
      </c>
      <c r="L1373">
        <f>RTD("nest.scriprtd",,"bse_cm|ABFL28","Volume Traded Today")</f>
        <v>0</v>
      </c>
      <c r="M1373">
        <f>RTD("nest.scriprtd",,"bse_cm|ABFL28","Open")</f>
        <v>0</v>
      </c>
      <c r="N1373">
        <f>RTD("nest.scriprtd",,"bse_cm|ABFL28","High")</f>
        <v>1039</v>
      </c>
      <c r="O1373">
        <f>RTD("nest.scriprtd",,"bse_cm|ABFL28","Low ")</f>
        <v>1039</v>
      </c>
      <c r="P1373">
        <f>RTD("nest.scriprtd",,"bse_cm|ABFL28","Prev Close")</f>
        <v>1039</v>
      </c>
      <c r="Q1373">
        <f>RTD("nest.scriprtd",,"bse_cm|ABFL28","Face Value")</f>
        <v>1000</v>
      </c>
      <c r="R1373" t="str">
        <f>RTD("nest.scriprtd",,"bse_cm|ABFL28","Isin code")</f>
        <v>INE860H07IU2</v>
      </c>
      <c r="S1373" s="9">
        <f>Table1[[#This Row],[Ask Rate]]*Table1[[#This Row],[Ask Qty]]</f>
        <v>0</v>
      </c>
      <c r="T1373">
        <f>VLOOKUP(Table1[[#This Row],[Isin code]],Table2[#All],7,FALSE)</f>
        <v>0</v>
      </c>
      <c r="U1373" s="17" t="str">
        <f>VLOOKUP(Table1[[#This Row],[Isin code]],Table2[#All],8,FALSE)</f>
        <v>09-Oct-2028</v>
      </c>
      <c r="V1373" s="10">
        <f ca="1">Table1[[#This Row],[Maturity]]-TODAY()</f>
        <v>1454</v>
      </c>
      <c r="W1373" t="str">
        <f>VLOOKUP(Table1[[#This Row],[Isin code]],Table2[#All],10,FALSE)</f>
        <v>Yearly</v>
      </c>
      <c r="X1373">
        <f ca="1">_xlfn.DAYS(Table1[[#This Row],[Maturity]],TODAY())-15</f>
        <v>1439</v>
      </c>
      <c r="Y13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373">
        <f>IF(Table1[[#This Row],[Ask Rate]]=0,0,Table1[[#This Row],[Face Value]]-Table1[[#This Row],[Ask Rate]])</f>
        <v>0</v>
      </c>
      <c r="AA137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73">
        <f ca="1">Table1[[#This Row],[Face Value]]*Table1[[#This Row],[Rate]]*Table1[[#This Row],[Time]]</f>
        <v>0</v>
      </c>
      <c r="AC1373">
        <f ca="1">Table1[[#This Row],[SI]]+Table1[[#This Row],[Disc/Prem]]</f>
        <v>0</v>
      </c>
      <c r="AD1373" s="3" t="e">
        <f ca="1">Table1[[#This Row],[Net Gain]]/Table1[[#This Row],[Ask Rate]]</f>
        <v>#DIV/0!</v>
      </c>
      <c r="AE1373" s="3">
        <f>IF(Table1[[#This Row],[Ask Qty]]=0,0,Table1[[#This Row],[Gross Yield]]*365/Table1[[#This Row],[Days Left]])</f>
        <v>0</v>
      </c>
      <c r="AF1373" s="9">
        <f ca="1">+Table1[[#This Row],[Net Gain]]*Table1[[#This Row],[Ask Qty]]</f>
        <v>0</v>
      </c>
      <c r="AG1373" t="str">
        <f>IF(Table1[[#This Row],[YTM]]&gt;0.12,IF(Table1[[#This Row],[Gross Profit]]&gt;10000,"Invest","Review"),"Low YTM")</f>
        <v>Low YTM</v>
      </c>
    </row>
    <row r="1374" spans="1:33" hidden="1" x14ac:dyDescent="0.3">
      <c r="A1374" t="str">
        <f>RTD("nest.scriprtd",,"nse_cm|905SC24-ZB","Symbol")</f>
        <v>905SC24</v>
      </c>
      <c r="B1374" t="str">
        <f>RTD("nest.scriprtd",,"nse_cm|905SC24-ZB","Trading Symbol")</f>
        <v>905SC24-ZB</v>
      </c>
      <c r="C1374" t="str">
        <f>RTD("nest.scriprtd",,"nse_cm|905SC24-ZB","Exchange")</f>
        <v>NSE</v>
      </c>
      <c r="D1374">
        <f>RTD("nest.scriprtd",,"nse_cm|905SC24-ZB","Bid Qty")</f>
        <v>10</v>
      </c>
      <c r="E1374">
        <f>RTD("nest.scriprtd",,"nse_cm|905SC24-ZB","Bid Rate")</f>
        <v>1080</v>
      </c>
      <c r="F1374">
        <f>RTD("nest.scriprtd",,"nse_cm|905SC24-ZB","Ask Rate")</f>
        <v>0</v>
      </c>
      <c r="G1374">
        <f>RTD("nest.scriprtd",,"nse_cm|905SC24-ZB","Ask Qty")</f>
        <v>0</v>
      </c>
      <c r="H1374">
        <f>RTD("nest.scriprtd",,"nse_cm|905SC24-ZB","LTP")</f>
        <v>1077</v>
      </c>
      <c r="I1374" t="str">
        <f>RTD("nest.scriprtd",,"nse_cm|905SC24-ZB","LTT")</f>
        <v/>
      </c>
      <c r="J1374">
        <f>RTD("nest.scriprtd",,"nse_cm|905SC24-ZB","% Change")</f>
        <v>0</v>
      </c>
      <c r="K1374">
        <f>RTD("nest.scriprtd",,"nse_cm|905SC24-ZB","ATP")</f>
        <v>0</v>
      </c>
      <c r="L1374">
        <f>RTD("nest.scriprtd",,"nse_cm|905SC24-ZB","Volume Traded Today")</f>
        <v>0</v>
      </c>
      <c r="M1374">
        <f>RTD("nest.scriprtd",,"nse_cm|905SC24-ZB","Open")</f>
        <v>0</v>
      </c>
      <c r="N1374">
        <f>RTD("nest.scriprtd",,"nse_cm|905SC24-ZB","High")</f>
        <v>1077</v>
      </c>
      <c r="O1374">
        <f>RTD("nest.scriprtd",,"nse_cm|905SC24-ZB","Low ")</f>
        <v>1077</v>
      </c>
      <c r="P1374">
        <f>RTD("nest.scriprtd",,"nse_cm|905SC24-ZB","Prev Close")</f>
        <v>1077</v>
      </c>
      <c r="Q1374">
        <f>RTD("nest.scriprtd",,"nse_cm|905SC24-ZB","Face Value")</f>
        <v>1000</v>
      </c>
      <c r="R1374" t="str">
        <f>RTD("nest.scriprtd",,"nse_cm|905SC24-ZB","Isin code")</f>
        <v>INE148I07MN7</v>
      </c>
      <c r="S1374" s="9">
        <f>Table1[[#This Row],[Ask Rate]]*Table1[[#This Row],[Ask Qty]]</f>
        <v>0</v>
      </c>
      <c r="T1374">
        <f>VLOOKUP(Table1[[#This Row],[Isin code]],Table2[#All],7,FALSE)</f>
        <v>9.0499999999999989</v>
      </c>
      <c r="U1374" s="17" t="str">
        <f>VLOOKUP(Table1[[#This Row],[Isin code]],Table2[#All],8,FALSE)</f>
        <v>03-Nov-2024</v>
      </c>
      <c r="V1374" s="10">
        <f ca="1">Table1[[#This Row],[Maturity]]-TODAY()</f>
        <v>18</v>
      </c>
      <c r="W1374" t="str">
        <f>VLOOKUP(Table1[[#This Row],[Isin code]],Table2[#All],10,FALSE)</f>
        <v>Yearly</v>
      </c>
      <c r="X1374">
        <f ca="1">_xlfn.DAYS(Table1[[#This Row],[Maturity]],TODAY())-15</f>
        <v>3</v>
      </c>
      <c r="Y13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374">
        <f>IF(Table1[[#This Row],[Ask Rate]]=0,0,Table1[[#This Row],[Face Value]]-Table1[[#This Row],[Ask Rate]])</f>
        <v>0</v>
      </c>
      <c r="AA1374">
        <f>IF(Table1[[#This Row],[Freq]]="Yearly",Table1[[#This Row],[Coupon_Rate]]/100,IF(Table1[[#This Row],[Freq]]="Monthly",Table1[[#This Row],[Coupon_Rate]]/1200,IF(Table1[[#This Row],[Freq]]="Quarterly",Table1[[#This Row],[Coupon_Rate]]/400,0)))</f>
        <v>9.0499999999999983E-2</v>
      </c>
      <c r="AB1374">
        <f ca="1">Table1[[#This Row],[Face Value]]*Table1[[#This Row],[Rate]]*Table1[[#This Row],[Time]]</f>
        <v>90.499999999999986</v>
      </c>
      <c r="AC1374">
        <f ca="1">Table1[[#This Row],[SI]]+Table1[[#This Row],[Disc/Prem]]</f>
        <v>90.499999999999986</v>
      </c>
      <c r="AD1374" s="3" t="e">
        <f ca="1">Table1[[#This Row],[Net Gain]]/Table1[[#This Row],[Ask Rate]]</f>
        <v>#DIV/0!</v>
      </c>
      <c r="AE1374" s="3">
        <f>IF(Table1[[#This Row],[Ask Qty]]=0,0,Table1[[#This Row],[Gross Yield]]*365/Table1[[#This Row],[Days Left]])</f>
        <v>0</v>
      </c>
      <c r="AF1374" s="9">
        <f ca="1">+Table1[[#This Row],[Net Gain]]*Table1[[#This Row],[Ask Qty]]</f>
        <v>0</v>
      </c>
      <c r="AG1374" t="str">
        <f>IF(Table1[[#This Row],[YTM]]&gt;0.12,IF(Table1[[#This Row],[Gross Profit]]&gt;10000,"Invest","Review"),"Low YTM")</f>
        <v>Low YTM</v>
      </c>
    </row>
    <row r="1375" spans="1:33" x14ac:dyDescent="0.3">
      <c r="A1375" t="str">
        <f>RTD("nest.scriprtd",,"nse_cm|935PEL33-N3","Symbol")</f>
        <v>935PEL33</v>
      </c>
      <c r="B1375" t="str">
        <f>RTD("nest.scriprtd",,"nse_cm|935PEL33-N3","Trading Symbol")</f>
        <v>935PEL33-N3</v>
      </c>
      <c r="C1375" t="str">
        <f>RTD("nest.scriprtd",,"nse_cm|935PEL33-N3","Exchange")</f>
        <v>NSE</v>
      </c>
      <c r="D1375">
        <f>RTD("nest.scriprtd",,"nse_cm|935PEL33-N3","Bid Qty")</f>
        <v>100</v>
      </c>
      <c r="E1375">
        <f>RTD("nest.scriprtd",,"nse_cm|935PEL33-N3","Bid Rate")</f>
        <v>952</v>
      </c>
      <c r="F1375">
        <f>RTD("nest.scriprtd",,"nse_cm|935PEL33-N3","Ask Rate")</f>
        <v>0</v>
      </c>
      <c r="G1375">
        <f>RTD("nest.scriprtd",,"nse_cm|935PEL33-N3","Ask Qty")</f>
        <v>0</v>
      </c>
      <c r="H1375">
        <f>RTD("nest.scriprtd",,"nse_cm|935PEL33-N3","LTP")</f>
        <v>1100</v>
      </c>
      <c r="I1375" t="str">
        <f>RTD("nest.scriprtd",,"nse_cm|935PEL33-N3","LTT")</f>
        <v/>
      </c>
      <c r="J1375">
        <f>RTD("nest.scriprtd",,"nse_cm|935PEL33-N3","% Change")</f>
        <v>0</v>
      </c>
      <c r="K1375">
        <f>RTD("nest.scriprtd",,"nse_cm|935PEL33-N3","ATP")</f>
        <v>0</v>
      </c>
      <c r="L1375">
        <f>RTD("nest.scriprtd",,"nse_cm|935PEL33-N3","Volume Traded Today")</f>
        <v>0</v>
      </c>
      <c r="M1375">
        <f>RTD("nest.scriprtd",,"nse_cm|935PEL33-N3","Open")</f>
        <v>0</v>
      </c>
      <c r="N1375">
        <f>RTD("nest.scriprtd",,"nse_cm|935PEL33-N3","High")</f>
        <v>1104</v>
      </c>
      <c r="O1375">
        <f>RTD("nest.scriprtd",,"nse_cm|935PEL33-N3","Low ")</f>
        <v>1100</v>
      </c>
      <c r="P1375">
        <f>RTD("nest.scriprtd",,"nse_cm|935PEL33-N3","Prev Close")</f>
        <v>1100</v>
      </c>
      <c r="Q1375">
        <f>RTD("nest.scriprtd",,"nse_cm|935PEL33-N3","Face Value")</f>
        <v>1000</v>
      </c>
      <c r="R1375" t="str">
        <f>RTD("nest.scriprtd",,"nse_cm|935PEL33-N3","Isin code")</f>
        <v>INE140A07773</v>
      </c>
      <c r="S1375" s="9">
        <f>Table1[[#This Row],[Ask Rate]]*Table1[[#This Row],[Ask Qty]]</f>
        <v>0</v>
      </c>
      <c r="T1375">
        <f>VLOOKUP(Table1[[#This Row],[Isin code]],Table2[#All],7,FALSE)</f>
        <v>9.35</v>
      </c>
      <c r="U1375" s="17" t="str">
        <f>VLOOKUP(Table1[[#This Row],[Isin code]],Table2[#All],8,FALSE)</f>
        <v>03-Nov-2033</v>
      </c>
      <c r="V1375" s="10">
        <f ca="1">Table1[[#This Row],[Maturity]]-TODAY()</f>
        <v>3305</v>
      </c>
      <c r="W1375" t="str">
        <f>VLOOKUP(Table1[[#This Row],[Isin code]],Table2[#All],10,FALSE)</f>
        <v>Yearly</v>
      </c>
      <c r="X1375">
        <f ca="1">_xlfn.DAYS(Table1[[#This Row],[Maturity]],TODAY())-15</f>
        <v>3290</v>
      </c>
      <c r="Y13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1375">
        <f>IF(Table1[[#This Row],[Ask Rate]]=0,0,Table1[[#This Row],[Face Value]]-Table1[[#This Row],[Ask Rate]])</f>
        <v>0</v>
      </c>
      <c r="AA1375">
        <f>IF(Table1[[#This Row],[Freq]]="Yearly",Table1[[#This Row],[Coupon_Rate]]/100,IF(Table1[[#This Row],[Freq]]="Monthly",Table1[[#This Row],[Coupon_Rate]]/1200,IF(Table1[[#This Row],[Freq]]="Quarterly",Table1[[#This Row],[Coupon_Rate]]/400,0)))</f>
        <v>9.35E-2</v>
      </c>
      <c r="AB1375">
        <f ca="1">Table1[[#This Row],[Face Value]]*Table1[[#This Row],[Rate]]*Table1[[#This Row],[Time]]</f>
        <v>935</v>
      </c>
      <c r="AC1375">
        <f ca="1">Table1[[#This Row],[SI]]+Table1[[#This Row],[Disc/Prem]]</f>
        <v>935</v>
      </c>
      <c r="AD1375" s="3" t="e">
        <f ca="1">Table1[[#This Row],[Net Gain]]/Table1[[#This Row],[Ask Rate]]</f>
        <v>#DIV/0!</v>
      </c>
      <c r="AE1375" s="3">
        <f>IF(Table1[[#This Row],[Ask Qty]]=0,0,Table1[[#This Row],[Gross Yield]]*365/Table1[[#This Row],[Days Left]])</f>
        <v>0</v>
      </c>
      <c r="AF1375" s="9">
        <f ca="1">+Table1[[#This Row],[Net Gain]]*Table1[[#This Row],[Ask Qty]]</f>
        <v>0</v>
      </c>
      <c r="AG1375" t="str">
        <f>IF(Table1[[#This Row],[YTM]]&gt;0.12,IF(Table1[[#This Row],[Gross Profit]]&gt;10000,"Invest","Review"),"Low YTM")</f>
        <v>Low YTM</v>
      </c>
    </row>
    <row r="1376" spans="1:33" hidden="1" x14ac:dyDescent="0.3">
      <c r="A1376" t="str">
        <f>RTD("nest.scriprtd",,"bse_cm|CCILZC25","Symbol")</f>
        <v>CCILZC25</v>
      </c>
      <c r="B1376" t="str">
        <f>RTD("nest.scriprtd",,"bse_cm|CCILZC25","Trading Symbol")</f>
        <v>CCILZC25</v>
      </c>
      <c r="C1376" t="str">
        <f>RTD("nest.scriprtd",,"bse_cm|CCILZC25","Exchange")</f>
        <v>BSE</v>
      </c>
      <c r="D1376">
        <f>RTD("nest.scriprtd",,"bse_cm|CCILZC25","Bid Qty")</f>
        <v>16</v>
      </c>
      <c r="E1376">
        <f>RTD("nest.scriprtd",,"bse_cm|CCILZC25","Bid Rate")</f>
        <v>1151.0999999999999</v>
      </c>
      <c r="F1376">
        <f>RTD("nest.scriprtd",,"bse_cm|CCILZC25","Ask Rate")</f>
        <v>0</v>
      </c>
      <c r="G1376">
        <f>RTD("nest.scriprtd",,"bse_cm|CCILZC25","Ask Qty")</f>
        <v>0</v>
      </c>
      <c r="H1376">
        <f>RTD("nest.scriprtd",,"bse_cm|CCILZC25","LTP")</f>
        <v>0</v>
      </c>
      <c r="I1376" t="str">
        <f>RTD("nest.scriprtd",,"bse_cm|CCILZC25","LTT")</f>
        <v>00:00:00</v>
      </c>
      <c r="J1376">
        <f>RTD("nest.scriprtd",,"bse_cm|CCILZC25","% Change")</f>
        <v>-100</v>
      </c>
      <c r="K1376">
        <f>RTD("nest.scriprtd",,"bse_cm|CCILZC25","ATP")</f>
        <v>0</v>
      </c>
      <c r="L1376">
        <f>RTD("nest.scriprtd",,"bse_cm|CCILZC25","Volume Traded Today")</f>
        <v>0</v>
      </c>
      <c r="M1376">
        <f>RTD("nest.scriprtd",,"bse_cm|CCILZC25","Open")</f>
        <v>0</v>
      </c>
      <c r="N1376">
        <f>RTD("nest.scriprtd",,"bse_cm|CCILZC25","High")</f>
        <v>1150</v>
      </c>
      <c r="O1376">
        <f>RTD("nest.scriprtd",,"bse_cm|CCILZC25","Low ")</f>
        <v>1150</v>
      </c>
      <c r="P1376">
        <f>RTD("nest.scriprtd",,"bse_cm|CCILZC25","Prev Close")</f>
        <v>1150</v>
      </c>
      <c r="Q1376">
        <f>RTD("nest.scriprtd",,"bse_cm|CCILZC25","Face Value")</f>
        <v>1000</v>
      </c>
      <c r="R1376" t="str">
        <f>RTD("nest.scriprtd",,"bse_cm|CCILZC25","Isin code")</f>
        <v>INE051307AC6</v>
      </c>
      <c r="S1376" s="9">
        <f>Table1[[#This Row],[Ask Rate]]*Table1[[#This Row],[Ask Qty]]</f>
        <v>0</v>
      </c>
      <c r="T1376" t="str">
        <f>VLOOKUP(Table1[[#This Row],[Isin code]],Table2[#All],7,FALSE)</f>
        <v>--</v>
      </c>
      <c r="U1376" s="17" t="str">
        <f>VLOOKUP(Table1[[#This Row],[Isin code]],Table2[#All],8,FALSE)</f>
        <v>10-Jan-2025</v>
      </c>
      <c r="V1376" s="10">
        <f ca="1">Table1[[#This Row],[Maturity]]-TODAY()</f>
        <v>86</v>
      </c>
      <c r="W1376" t="str">
        <f>VLOOKUP(Table1[[#This Row],[Isin code]],Table2[#All],10,FALSE)</f>
        <v>At the End</v>
      </c>
      <c r="X1376">
        <f ca="1">_xlfn.DAYS(Table1[[#This Row],[Maturity]],TODAY())-15</f>
        <v>71</v>
      </c>
      <c r="Y137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76">
        <f>IF(Table1[[#This Row],[Ask Rate]]=0,0,Table1[[#This Row],[Face Value]]-Table1[[#This Row],[Ask Rate]])</f>
        <v>0</v>
      </c>
      <c r="AA137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76">
        <f>Table1[[#This Row],[Face Value]]*Table1[[#This Row],[Rate]]*Table1[[#This Row],[Time]]</f>
        <v>0</v>
      </c>
      <c r="AC1376">
        <f>Table1[[#This Row],[SI]]+Table1[[#This Row],[Disc/Prem]]</f>
        <v>0</v>
      </c>
      <c r="AD1376" s="3" t="e">
        <f>Table1[[#This Row],[Net Gain]]/Table1[[#This Row],[Ask Rate]]</f>
        <v>#DIV/0!</v>
      </c>
      <c r="AE1376" s="3">
        <f>IF(Table1[[#This Row],[Ask Qty]]=0,0,Table1[[#This Row],[Gross Yield]]*365/Table1[[#This Row],[Days Left]])</f>
        <v>0</v>
      </c>
      <c r="AF1376" s="9">
        <f>+Table1[[#This Row],[Net Gain]]*Table1[[#This Row],[Ask Qty]]</f>
        <v>0</v>
      </c>
      <c r="AG1376" t="str">
        <f>IF(Table1[[#This Row],[YTM]]&gt;0.12,IF(Table1[[#This Row],[Gross Profit]]&gt;10000,"Invest","Review"),"Low YTM")</f>
        <v>Low YTM</v>
      </c>
    </row>
    <row r="1377" spans="1:33" hidden="1" x14ac:dyDescent="0.3">
      <c r="A1377" t="str">
        <f>RTD("nest.scriprtd",,"bse_cm|SCL24","Symbol")</f>
        <v>SCL24</v>
      </c>
      <c r="B1377" t="str">
        <f>RTD("nest.scriprtd",,"bse_cm|SCL24","Trading Symbol")</f>
        <v>SCL24</v>
      </c>
      <c r="C1377" t="str">
        <f>RTD("nest.scriprtd",,"bse_cm|SCL24","Exchange")</f>
        <v>BSE</v>
      </c>
      <c r="D1377">
        <f>RTD("nest.scriprtd",,"bse_cm|SCL24","Bid Qty")</f>
        <v>10</v>
      </c>
      <c r="E1377">
        <f>RTD("nest.scriprtd",,"bse_cm|SCL24","Bid Rate")</f>
        <v>977</v>
      </c>
      <c r="F1377">
        <f>RTD("nest.scriprtd",,"bse_cm|SCL24","Ask Rate")</f>
        <v>0</v>
      </c>
      <c r="G1377">
        <f>RTD("nest.scriprtd",,"bse_cm|SCL24","Ask Qty")</f>
        <v>0</v>
      </c>
      <c r="H1377">
        <f>RTD("nest.scriprtd",,"bse_cm|SCL24","LTP")</f>
        <v>0</v>
      </c>
      <c r="I1377" t="str">
        <f>RTD("nest.scriprtd",,"bse_cm|SCL24","LTT")</f>
        <v>00:00:00</v>
      </c>
      <c r="J1377">
        <f>RTD("nest.scriprtd",,"bse_cm|SCL24","% Change")</f>
        <v>-100</v>
      </c>
      <c r="K1377">
        <f>RTD("nest.scriprtd",,"bse_cm|SCL24","ATP")</f>
        <v>0</v>
      </c>
      <c r="L1377">
        <f>RTD("nest.scriprtd",,"bse_cm|SCL24","Volume Traded Today")</f>
        <v>0</v>
      </c>
      <c r="M1377">
        <f>RTD("nest.scriprtd",,"bse_cm|SCL24","Open")</f>
        <v>0</v>
      </c>
      <c r="N1377">
        <f>RTD("nest.scriprtd",,"bse_cm|SCL24","High")</f>
        <v>1087.8</v>
      </c>
      <c r="O1377">
        <f>RTD("nest.scriprtd",,"bse_cm|SCL24","Low ")</f>
        <v>1087.8</v>
      </c>
      <c r="P1377">
        <f>RTD("nest.scriprtd",,"bse_cm|SCL24","Prev Close")</f>
        <v>1087.8</v>
      </c>
      <c r="Q1377">
        <f>RTD("nest.scriprtd",,"bse_cm|SCL24","Face Value")</f>
        <v>1000</v>
      </c>
      <c r="R1377" t="str">
        <f>RTD("nest.scriprtd",,"bse_cm|SCL24","Isin code")</f>
        <v>INE148I07MO5</v>
      </c>
      <c r="S1377" s="9">
        <f>Table1[[#This Row],[Ask Rate]]*Table1[[#This Row],[Ask Qty]]</f>
        <v>0</v>
      </c>
      <c r="T1377" t="str">
        <f>VLOOKUP(Table1[[#This Row],[Isin code]],Table2[#All],7,FALSE)</f>
        <v>--</v>
      </c>
      <c r="U1377" s="17" t="str">
        <f>VLOOKUP(Table1[[#This Row],[Isin code]],Table2[#All],8,FALSE)</f>
        <v>03-Nov-2024</v>
      </c>
      <c r="V1377" s="10">
        <f ca="1">Table1[[#This Row],[Maturity]]-TODAY()</f>
        <v>18</v>
      </c>
      <c r="W1377" t="str">
        <f>VLOOKUP(Table1[[#This Row],[Isin code]],Table2[#All],10,FALSE)</f>
        <v>At the End</v>
      </c>
      <c r="X1377">
        <f ca="1">_xlfn.DAYS(Table1[[#This Row],[Maturity]],TODAY())-15</f>
        <v>3</v>
      </c>
      <c r="Y137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77">
        <f>IF(Table1[[#This Row],[Ask Rate]]=0,0,Table1[[#This Row],[Face Value]]-Table1[[#This Row],[Ask Rate]])</f>
        <v>0</v>
      </c>
      <c r="AA137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77">
        <f>Table1[[#This Row],[Face Value]]*Table1[[#This Row],[Rate]]*Table1[[#This Row],[Time]]</f>
        <v>0</v>
      </c>
      <c r="AC1377">
        <f>Table1[[#This Row],[SI]]+Table1[[#This Row],[Disc/Prem]]</f>
        <v>0</v>
      </c>
      <c r="AD1377" s="3" t="e">
        <f>Table1[[#This Row],[Net Gain]]/Table1[[#This Row],[Ask Rate]]</f>
        <v>#DIV/0!</v>
      </c>
      <c r="AE1377" s="3">
        <f>IF(Table1[[#This Row],[Ask Qty]]=0,0,Table1[[#This Row],[Gross Yield]]*365/Table1[[#This Row],[Days Left]])</f>
        <v>0</v>
      </c>
      <c r="AF1377" s="9">
        <f>+Table1[[#This Row],[Net Gain]]*Table1[[#This Row],[Ask Qty]]</f>
        <v>0</v>
      </c>
      <c r="AG1377" t="str">
        <f>IF(Table1[[#This Row],[YTM]]&gt;0.12,IF(Table1[[#This Row],[Gross Profit]]&gt;10000,"Invest","Review"),"Low YTM")</f>
        <v>Low YTM</v>
      </c>
    </row>
    <row r="1378" spans="1:33" x14ac:dyDescent="0.3">
      <c r="A1378" t="str">
        <f>RTD("nest.scriprtd",,"nse_cm|98SCL27-ZX","Symbol")</f>
        <v>98SCL27</v>
      </c>
      <c r="B1378" t="str">
        <f>RTD("nest.scriprtd",,"nse_cm|98SCL27-ZX","Trading Symbol")</f>
        <v>98SCL27-ZX</v>
      </c>
      <c r="C1378" t="str">
        <f>RTD("nest.scriprtd",,"nse_cm|98SCL27-ZX","Exchange")</f>
        <v>NSE</v>
      </c>
      <c r="D1378">
        <f>RTD("nest.scriprtd",,"nse_cm|98SCL27-ZX","Bid Qty")</f>
        <v>10</v>
      </c>
      <c r="E1378">
        <f>RTD("nest.scriprtd",,"nse_cm|98SCL27-ZX","Bid Rate")</f>
        <v>1077</v>
      </c>
      <c r="F1378">
        <f>RTD("nest.scriprtd",,"nse_cm|98SCL27-ZX","Ask Rate")</f>
        <v>0</v>
      </c>
      <c r="G1378">
        <f>RTD("nest.scriprtd",,"nse_cm|98SCL27-ZX","Ask Qty")</f>
        <v>0</v>
      </c>
      <c r="H1378">
        <f>RTD("nest.scriprtd",,"nse_cm|98SCL27-ZX","LTP")</f>
        <v>1113.3599999999999</v>
      </c>
      <c r="I1378" t="str">
        <f>RTD("nest.scriprtd",,"nse_cm|98SCL27-ZX","LTT")</f>
        <v/>
      </c>
      <c r="J1378">
        <f>RTD("nest.scriprtd",,"nse_cm|98SCL27-ZX","% Change")</f>
        <v>0</v>
      </c>
      <c r="K1378">
        <f>RTD("nest.scriprtd",,"nse_cm|98SCL27-ZX","ATP")</f>
        <v>0</v>
      </c>
      <c r="L1378">
        <f>RTD("nest.scriprtd",,"nse_cm|98SCL27-ZX","Volume Traded Today")</f>
        <v>0</v>
      </c>
      <c r="M1378">
        <f>RTD("nest.scriprtd",,"nse_cm|98SCL27-ZX","Open")</f>
        <v>0</v>
      </c>
      <c r="N1378">
        <f>RTD("nest.scriprtd",,"nse_cm|98SCL27-ZX","High")</f>
        <v>1113.3599999999999</v>
      </c>
      <c r="O1378">
        <f>RTD("nest.scriprtd",,"nse_cm|98SCL27-ZX","Low ")</f>
        <v>1113.3599999999999</v>
      </c>
      <c r="P1378">
        <f>RTD("nest.scriprtd",,"nse_cm|98SCL27-ZX","Prev Close")</f>
        <v>1113.3599999999999</v>
      </c>
      <c r="Q1378">
        <f>RTD("nest.scriprtd",,"nse_cm|98SCL27-ZX","Face Value")</f>
        <v>1000</v>
      </c>
      <c r="R1378" t="str">
        <f>RTD("nest.scriprtd",,"nse_cm|98SCL27-ZX","Isin code")</f>
        <v>INE148I07NL9</v>
      </c>
      <c r="S1378" s="9">
        <f>Table1[[#This Row],[Ask Rate]]*Table1[[#This Row],[Ask Qty]]</f>
        <v>0</v>
      </c>
      <c r="T1378" t="str">
        <f>VLOOKUP(Table1[[#This Row],[Isin code]],Table2[#All],7,FALSE)</f>
        <v>--</v>
      </c>
      <c r="U1378" s="17" t="str">
        <f>VLOOKUP(Table1[[#This Row],[Isin code]],Table2[#All],8,FALSE)</f>
        <v>28-Dec-2025</v>
      </c>
      <c r="V1378" s="10">
        <f ca="1">Table1[[#This Row],[Maturity]]-TODAY()</f>
        <v>438</v>
      </c>
      <c r="W1378" t="str">
        <f>VLOOKUP(Table1[[#This Row],[Isin code]],Table2[#All],10,FALSE)</f>
        <v>At the End</v>
      </c>
      <c r="X1378">
        <f ca="1">_xlfn.DAYS(Table1[[#This Row],[Maturity]],TODAY())-15</f>
        <v>423</v>
      </c>
      <c r="Y137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78">
        <f>IF(Table1[[#This Row],[Ask Rate]]=0,0,Table1[[#This Row],[Face Value]]-Table1[[#This Row],[Ask Rate]])</f>
        <v>0</v>
      </c>
      <c r="AA137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78">
        <f>Table1[[#This Row],[Face Value]]*Table1[[#This Row],[Rate]]*Table1[[#This Row],[Time]]</f>
        <v>0</v>
      </c>
      <c r="AC1378">
        <f>Table1[[#This Row],[SI]]+Table1[[#This Row],[Disc/Prem]]</f>
        <v>0</v>
      </c>
      <c r="AD1378" s="3" t="e">
        <f>Table1[[#This Row],[Net Gain]]/Table1[[#This Row],[Ask Rate]]</f>
        <v>#DIV/0!</v>
      </c>
      <c r="AE1378" s="3">
        <f>IF(Table1[[#This Row],[Ask Qty]]=0,0,Table1[[#This Row],[Gross Yield]]*365/Table1[[#This Row],[Days Left]])</f>
        <v>0</v>
      </c>
      <c r="AF1378" s="9">
        <f>+Table1[[#This Row],[Net Gain]]*Table1[[#This Row],[Ask Qty]]</f>
        <v>0</v>
      </c>
      <c r="AG1378" t="str">
        <f>IF(Table1[[#This Row],[YTM]]&gt;0.12,IF(Table1[[#This Row],[Gross Profit]]&gt;10000,"Invest","Review"),"Low YTM")</f>
        <v>Low YTM</v>
      </c>
    </row>
    <row r="1379" spans="1:33" x14ac:dyDescent="0.3">
      <c r="A1379" t="str">
        <f>RTD("nest.scriprtd",,"bse_cm|CAGL27A","Symbol")</f>
        <v>CAGL27A</v>
      </c>
      <c r="B1379" t="str">
        <f>RTD("nest.scriprtd",,"bse_cm|CAGL27A","Trading Symbol")</f>
        <v>CAGL27A</v>
      </c>
      <c r="C1379" t="str">
        <f>RTD("nest.scriprtd",,"bse_cm|CAGL27A","Exchange")</f>
        <v>BSE</v>
      </c>
      <c r="D1379">
        <f>RTD("nest.scriprtd",,"bse_cm|CAGL27A","Bid Qty")</f>
        <v>10</v>
      </c>
      <c r="E1379">
        <f>RTD("nest.scriprtd",,"bse_cm|CAGL27A","Bid Rate")</f>
        <v>1140</v>
      </c>
      <c r="F1379">
        <f>RTD("nest.scriprtd",,"bse_cm|CAGL27A","Ask Rate")</f>
        <v>0</v>
      </c>
      <c r="G1379">
        <f>RTD("nest.scriprtd",,"bse_cm|CAGL27A","Ask Qty")</f>
        <v>0</v>
      </c>
      <c r="H1379">
        <f>RTD("nest.scriprtd",,"bse_cm|CAGL27A","LTP")</f>
        <v>0</v>
      </c>
      <c r="I1379" t="str">
        <f>RTD("nest.scriprtd",,"bse_cm|CAGL27A","LTT")</f>
        <v>00:00:00</v>
      </c>
      <c r="J1379">
        <f>RTD("nest.scriprtd",,"bse_cm|CAGL27A","% Change")</f>
        <v>-100</v>
      </c>
      <c r="K1379">
        <f>RTD("nest.scriprtd",,"bse_cm|CAGL27A","ATP")</f>
        <v>0</v>
      </c>
      <c r="L1379">
        <f>RTD("nest.scriprtd",,"bse_cm|CAGL27A","Volume Traded Today")</f>
        <v>0</v>
      </c>
      <c r="M1379">
        <f>RTD("nest.scriprtd",,"bse_cm|CAGL27A","Open")</f>
        <v>0</v>
      </c>
      <c r="N1379">
        <f>RTD("nest.scriprtd",,"bse_cm|CAGL27A","High")</f>
        <v>1125</v>
      </c>
      <c r="O1379">
        <f>RTD("nest.scriprtd",,"bse_cm|CAGL27A","Low ")</f>
        <v>1125</v>
      </c>
      <c r="P1379">
        <f>RTD("nest.scriprtd",,"bse_cm|CAGL27A","Prev Close")</f>
        <v>1125</v>
      </c>
      <c r="Q1379">
        <f>RTD("nest.scriprtd",,"bse_cm|CAGL27A","Face Value")</f>
        <v>1000</v>
      </c>
      <c r="R1379" t="str">
        <f>RTD("nest.scriprtd",,"bse_cm|CAGL27A","Isin code")</f>
        <v>INE741K07504</v>
      </c>
      <c r="S1379" s="9">
        <f>Table1[[#This Row],[Ask Rate]]*Table1[[#This Row],[Ask Qty]]</f>
        <v>0</v>
      </c>
      <c r="T1379">
        <f>VLOOKUP(Table1[[#This Row],[Isin code]],Table2[#All],7,FALSE)</f>
        <v>0</v>
      </c>
      <c r="U1379" s="17" t="str">
        <f>VLOOKUP(Table1[[#This Row],[Isin code]],Table2[#All],8,FALSE)</f>
        <v>23-Nov-2027</v>
      </c>
      <c r="V1379" s="10">
        <f ca="1">Table1[[#This Row],[Maturity]]-TODAY()</f>
        <v>1133</v>
      </c>
      <c r="W1379" t="str">
        <f>VLOOKUP(Table1[[#This Row],[Isin code]],Table2[#All],10,FALSE)</f>
        <v>Yearly</v>
      </c>
      <c r="X1379">
        <f ca="1">_xlfn.DAYS(Table1[[#This Row],[Maturity]],TODAY())-15</f>
        <v>1118</v>
      </c>
      <c r="Y13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379">
        <f>IF(Table1[[#This Row],[Ask Rate]]=0,0,Table1[[#This Row],[Face Value]]-Table1[[#This Row],[Ask Rate]])</f>
        <v>0</v>
      </c>
      <c r="AA137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79">
        <f ca="1">Table1[[#This Row],[Face Value]]*Table1[[#This Row],[Rate]]*Table1[[#This Row],[Time]]</f>
        <v>0</v>
      </c>
      <c r="AC1379">
        <f ca="1">Table1[[#This Row],[SI]]+Table1[[#This Row],[Disc/Prem]]</f>
        <v>0</v>
      </c>
      <c r="AD1379" s="3" t="e">
        <f ca="1">Table1[[#This Row],[Net Gain]]/Table1[[#This Row],[Ask Rate]]</f>
        <v>#DIV/0!</v>
      </c>
      <c r="AE1379" s="3">
        <f>IF(Table1[[#This Row],[Ask Qty]]=0,0,Table1[[#This Row],[Gross Yield]]*365/Table1[[#This Row],[Days Left]])</f>
        <v>0</v>
      </c>
      <c r="AF1379" s="9">
        <f ca="1">+Table1[[#This Row],[Net Gain]]*Table1[[#This Row],[Ask Qty]]</f>
        <v>0</v>
      </c>
      <c r="AG1379" t="str">
        <f>IF(Table1[[#This Row],[YTM]]&gt;0.12,IF(Table1[[#This Row],[Gross Profit]]&gt;10000,"Invest","Review"),"Low YTM")</f>
        <v>Low YTM</v>
      </c>
    </row>
    <row r="1380" spans="1:33" x14ac:dyDescent="0.3">
      <c r="A1380" t="str">
        <f>RTD("nest.scriprtd",,"bse_cm|MFL29A","Symbol")</f>
        <v>MFL29A</v>
      </c>
      <c r="B1380" t="str">
        <f>RTD("nest.scriprtd",,"bse_cm|MFL29A","Trading Symbol")</f>
        <v>MFL29A</v>
      </c>
      <c r="C1380" t="str">
        <f>RTD("nest.scriprtd",,"bse_cm|MFL29A","Exchange")</f>
        <v>BSE</v>
      </c>
      <c r="D1380">
        <f>RTD("nest.scriprtd",,"bse_cm|MFL29A","Bid Qty")</f>
        <v>50</v>
      </c>
      <c r="E1380">
        <f>RTD("nest.scriprtd",,"bse_cm|MFL29A","Bid Rate")</f>
        <v>1241.02</v>
      </c>
      <c r="F1380">
        <f>RTD("nest.scriprtd",,"bse_cm|MFL29A","Ask Rate")</f>
        <v>0</v>
      </c>
      <c r="G1380">
        <f>RTD("nest.scriprtd",,"bse_cm|MFL29A","Ask Qty")</f>
        <v>0</v>
      </c>
      <c r="H1380">
        <f>RTD("nest.scriprtd",,"bse_cm|MFL29A","LTP")</f>
        <v>0</v>
      </c>
      <c r="I1380" t="str">
        <f>RTD("nest.scriprtd",,"bse_cm|MFL29A","LTT")</f>
        <v>00:00:00</v>
      </c>
      <c r="J1380">
        <f>RTD("nest.scriprtd",,"bse_cm|MFL29A","% Change")</f>
        <v>-100</v>
      </c>
      <c r="K1380">
        <f>RTD("nest.scriprtd",,"bse_cm|MFL29A","ATP")</f>
        <v>0</v>
      </c>
      <c r="L1380">
        <f>RTD("nest.scriprtd",,"bse_cm|MFL29A","Volume Traded Today")</f>
        <v>0</v>
      </c>
      <c r="M1380">
        <f>RTD("nest.scriprtd",,"bse_cm|MFL29A","Open")</f>
        <v>0</v>
      </c>
      <c r="N1380">
        <f>RTD("nest.scriprtd",,"bse_cm|MFL29A","High")</f>
        <v>1345</v>
      </c>
      <c r="O1380">
        <f>RTD("nest.scriprtd",,"bse_cm|MFL29A","Low ")</f>
        <v>1345</v>
      </c>
      <c r="P1380">
        <f>RTD("nest.scriprtd",,"bse_cm|MFL29A","Prev Close")</f>
        <v>1345</v>
      </c>
      <c r="Q1380">
        <f>RTD("nest.scriprtd",,"bse_cm|MFL29A","Face Value")</f>
        <v>1000</v>
      </c>
      <c r="R1380" t="str">
        <f>RTD("nest.scriprtd",,"bse_cm|MFL29A","Isin code")</f>
        <v>INE549K08301</v>
      </c>
      <c r="S1380" s="9">
        <f>Table1[[#This Row],[Ask Rate]]*Table1[[#This Row],[Ask Qty]]</f>
        <v>0</v>
      </c>
      <c r="T1380" t="str">
        <f>VLOOKUP(Table1[[#This Row],[Isin code]],Table2[#All],7,FALSE)</f>
        <v>--</v>
      </c>
      <c r="U1380" s="17" t="str">
        <f>VLOOKUP(Table1[[#This Row],[Isin code]],Table2[#All],8,FALSE)</f>
        <v>29-Jan-2029</v>
      </c>
      <c r="V1380" s="10">
        <f ca="1">Table1[[#This Row],[Maturity]]-TODAY()</f>
        <v>1566</v>
      </c>
      <c r="W1380" t="str">
        <f>VLOOKUP(Table1[[#This Row],[Isin code]],Table2[#All],10,FALSE)</f>
        <v>At the End</v>
      </c>
      <c r="X1380">
        <f ca="1">_xlfn.DAYS(Table1[[#This Row],[Maturity]],TODAY())-15</f>
        <v>1551</v>
      </c>
      <c r="Y138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80">
        <f>IF(Table1[[#This Row],[Ask Rate]]=0,0,Table1[[#This Row],[Face Value]]-Table1[[#This Row],[Ask Rate]])</f>
        <v>0</v>
      </c>
      <c r="AA138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80">
        <f>Table1[[#This Row],[Face Value]]*Table1[[#This Row],[Rate]]*Table1[[#This Row],[Time]]</f>
        <v>0</v>
      </c>
      <c r="AC1380">
        <f>Table1[[#This Row],[SI]]+Table1[[#This Row],[Disc/Prem]]</f>
        <v>0</v>
      </c>
      <c r="AD1380" s="3" t="e">
        <f>Table1[[#This Row],[Net Gain]]/Table1[[#This Row],[Ask Rate]]</f>
        <v>#DIV/0!</v>
      </c>
      <c r="AE1380" s="3">
        <f>IF(Table1[[#This Row],[Ask Qty]]=0,0,Table1[[#This Row],[Gross Yield]]*365/Table1[[#This Row],[Days Left]])</f>
        <v>0</v>
      </c>
      <c r="AF1380" s="9">
        <f>+Table1[[#This Row],[Net Gain]]*Table1[[#This Row],[Ask Qty]]</f>
        <v>0</v>
      </c>
      <c r="AG1380" t="str">
        <f>IF(Table1[[#This Row],[YTM]]&gt;0.12,IF(Table1[[#This Row],[Gross Profit]]&gt;10000,"Invest","Review"),"Low YTM")</f>
        <v>Low YTM</v>
      </c>
    </row>
    <row r="1381" spans="1:33" x14ac:dyDescent="0.3">
      <c r="A1381" t="str">
        <f>RTD("nest.scriprtd",,"bse_cm|825MMFS27","Symbol")</f>
        <v>825MMFS27</v>
      </c>
      <c r="B1381" t="str">
        <f>RTD("nest.scriprtd",,"bse_cm|825MMFS27","Trading Symbol")</f>
        <v>825MMFS27</v>
      </c>
      <c r="C1381" t="str">
        <f>RTD("nest.scriprtd",,"bse_cm|825MMFS27","Exchange")</f>
        <v>BSE</v>
      </c>
      <c r="D1381">
        <f>RTD("nest.scriprtd",,"bse_cm|825MMFS27","Bid Qty")</f>
        <v>2</v>
      </c>
      <c r="E1381">
        <f>RTD("nest.scriprtd",,"bse_cm|825MMFS27","Bid Rate")</f>
        <v>82017</v>
      </c>
      <c r="F1381">
        <f>RTD("nest.scriprtd",,"bse_cm|825MMFS27","Ask Rate")</f>
        <v>0</v>
      </c>
      <c r="G1381">
        <f>RTD("nest.scriprtd",,"bse_cm|825MMFS27","Ask Qty")</f>
        <v>0</v>
      </c>
      <c r="H1381">
        <f>RTD("nest.scriprtd",,"bse_cm|825MMFS27","LTP")</f>
        <v>0</v>
      </c>
      <c r="I1381" t="str">
        <f>RTD("nest.scriprtd",,"bse_cm|825MMFS27","LTT")</f>
        <v>00:00:00</v>
      </c>
      <c r="J1381">
        <f>RTD("nest.scriprtd",,"bse_cm|825MMFS27","% Change")</f>
        <v>-100</v>
      </c>
      <c r="K1381">
        <f>RTD("nest.scriprtd",,"bse_cm|825MMFS27","ATP")</f>
        <v>0</v>
      </c>
      <c r="L1381">
        <f>RTD("nest.scriprtd",,"bse_cm|825MMFS27","Volume Traded Today")</f>
        <v>0</v>
      </c>
      <c r="M1381">
        <f>RTD("nest.scriprtd",,"bse_cm|825MMFS27","Open")</f>
        <v>0</v>
      </c>
      <c r="N1381">
        <f>RTD("nest.scriprtd",,"bse_cm|825MMFS27","High")</f>
        <v>0</v>
      </c>
      <c r="O1381">
        <f>RTD("nest.scriprtd",,"bse_cm|825MMFS27","Low ")</f>
        <v>0</v>
      </c>
      <c r="P1381">
        <f>RTD("nest.scriprtd",,"bse_cm|825MMFS27","Prev Close")</f>
        <v>100000</v>
      </c>
      <c r="Q1381">
        <f>RTD("nest.scriprtd",,"bse_cm|825MMFS27","Face Value")</f>
        <v>100000</v>
      </c>
      <c r="R1381" t="str">
        <f>RTD("nest.scriprtd",,"bse_cm|825MMFS27","Isin code")</f>
        <v>INE774D07VE1</v>
      </c>
      <c r="S1381" s="9">
        <f>Table1[[#This Row],[Ask Rate]]*Table1[[#This Row],[Ask Qty]]</f>
        <v>0</v>
      </c>
      <c r="T1381">
        <f>VLOOKUP(Table1[[#This Row],[Isin code]],Table2[#All],7,FALSE)</f>
        <v>8.25</v>
      </c>
      <c r="U1381" s="17" t="str">
        <f>VLOOKUP(Table1[[#This Row],[Isin code]],Table2[#All],8,FALSE)</f>
        <v>25-Mar-2027</v>
      </c>
      <c r="V1381" s="10">
        <f ca="1">Table1[[#This Row],[Maturity]]-TODAY()</f>
        <v>890</v>
      </c>
      <c r="W1381" t="str">
        <f>VLOOKUP(Table1[[#This Row],[Isin code]],Table2[#All],10,FALSE)</f>
        <v>ANNUALY</v>
      </c>
      <c r="X1381">
        <f ca="1">_xlfn.DAYS(Table1[[#This Row],[Maturity]],TODAY())-15</f>
        <v>875</v>
      </c>
      <c r="Y138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81">
        <f>IF(Table1[[#This Row],[Ask Rate]]=0,0,Table1[[#This Row],[Face Value]]-Table1[[#This Row],[Ask Rate]])</f>
        <v>0</v>
      </c>
      <c r="AA138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81">
        <f>Table1[[#This Row],[Face Value]]*Table1[[#This Row],[Rate]]*Table1[[#This Row],[Time]]</f>
        <v>0</v>
      </c>
      <c r="AC1381">
        <f>Table1[[#This Row],[SI]]+Table1[[#This Row],[Disc/Prem]]</f>
        <v>0</v>
      </c>
      <c r="AD1381" s="3" t="e">
        <f>Table1[[#This Row],[Net Gain]]/Table1[[#This Row],[Ask Rate]]</f>
        <v>#DIV/0!</v>
      </c>
      <c r="AE1381" s="3">
        <f>IF(Table1[[#This Row],[Ask Qty]]=0,0,Table1[[#This Row],[Gross Yield]]*365/Table1[[#This Row],[Days Left]])</f>
        <v>0</v>
      </c>
      <c r="AF1381" s="9">
        <f>+Table1[[#This Row],[Net Gain]]*Table1[[#This Row],[Ask Qty]]</f>
        <v>0</v>
      </c>
      <c r="AG1381" t="str">
        <f>IF(Table1[[#This Row],[YTM]]&gt;0.12,IF(Table1[[#This Row],[Gross Profit]]&gt;10000,"Invest","Review"),"Low YTM")</f>
        <v>Low YTM</v>
      </c>
    </row>
    <row r="1382" spans="1:33" x14ac:dyDescent="0.3">
      <c r="A1382" t="str">
        <f>RTD("nest.scriprtd",,"bse_cm|1045EFSL33","Symbol")</f>
        <v>1045EFSL33</v>
      </c>
      <c r="B1382" t="str">
        <f>RTD("nest.scriprtd",,"bse_cm|1045EFSL33","Trading Symbol")</f>
        <v>1045EFSL33</v>
      </c>
      <c r="C1382" t="str">
        <f>RTD("nest.scriprtd",,"bse_cm|1045EFSL33","Exchange")</f>
        <v>BSE</v>
      </c>
      <c r="D1382">
        <f>RTD("nest.scriprtd",,"bse_cm|1045EFSL33","Bid Qty")</f>
        <v>10</v>
      </c>
      <c r="E1382">
        <f>RTD("nest.scriprtd",,"bse_cm|1045EFSL33","Bid Rate")</f>
        <v>832</v>
      </c>
      <c r="F1382">
        <f>RTD("nest.scriprtd",,"bse_cm|1045EFSL33","Ask Rate")</f>
        <v>0</v>
      </c>
      <c r="G1382">
        <f>RTD("nest.scriprtd",,"bse_cm|1045EFSL33","Ask Qty")</f>
        <v>0</v>
      </c>
      <c r="H1382">
        <f>RTD("nest.scriprtd",,"bse_cm|1045EFSL33","LTP")</f>
        <v>0</v>
      </c>
      <c r="I1382" t="str">
        <f>RTD("nest.scriprtd",,"bse_cm|1045EFSL33","LTT")</f>
        <v>00:00:00</v>
      </c>
      <c r="J1382">
        <f>RTD("nest.scriprtd",,"bse_cm|1045EFSL33","% Change")</f>
        <v>-100</v>
      </c>
      <c r="K1382">
        <f>RTD("nest.scriprtd",,"bse_cm|1045EFSL33","ATP")</f>
        <v>0</v>
      </c>
      <c r="L1382">
        <f>RTD("nest.scriprtd",,"bse_cm|1045EFSL33","Volume Traded Today")</f>
        <v>0</v>
      </c>
      <c r="M1382">
        <f>RTD("nest.scriprtd",,"bse_cm|1045EFSL33","Open")</f>
        <v>0</v>
      </c>
      <c r="N1382">
        <f>RTD("nest.scriprtd",,"bse_cm|1045EFSL33","High")</f>
        <v>1001.1</v>
      </c>
      <c r="O1382">
        <f>RTD("nest.scriprtd",,"bse_cm|1045EFSL33","Low ")</f>
        <v>999</v>
      </c>
      <c r="P1382">
        <f>RTD("nest.scriprtd",,"bse_cm|1045EFSL33","Prev Close")</f>
        <v>999</v>
      </c>
      <c r="Q1382">
        <f>RTD("nest.scriprtd",,"bse_cm|1045EFSL33","Face Value")</f>
        <v>1000</v>
      </c>
      <c r="R1382" t="str">
        <f>RTD("nest.scriprtd",,"bse_cm|1045EFSL33","Isin code")</f>
        <v>INE532F07EK1</v>
      </c>
      <c r="S1382" s="9">
        <f>Table1[[#This Row],[Ask Rate]]*Table1[[#This Row],[Ask Qty]]</f>
        <v>0</v>
      </c>
      <c r="T1382">
        <f>VLOOKUP(Table1[[#This Row],[Isin code]],Table2[#All],7,FALSE)</f>
        <v>10.45</v>
      </c>
      <c r="U1382" s="17" t="str">
        <f>VLOOKUP(Table1[[#This Row],[Isin code]],Table2[#All],8,FALSE)</f>
        <v>26-Oct-2033</v>
      </c>
      <c r="V1382" s="10">
        <f ca="1">Table1[[#This Row],[Maturity]]-TODAY()</f>
        <v>3297</v>
      </c>
      <c r="W1382" t="str">
        <f>VLOOKUP(Table1[[#This Row],[Isin code]],Table2[#All],10,FALSE)</f>
        <v>Yearly</v>
      </c>
      <c r="X1382">
        <f ca="1">_xlfn.DAYS(Table1[[#This Row],[Maturity]],TODAY())-15</f>
        <v>3282</v>
      </c>
      <c r="Y13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1382">
        <f>IF(Table1[[#This Row],[Ask Rate]]=0,0,Table1[[#This Row],[Face Value]]-Table1[[#This Row],[Ask Rate]])</f>
        <v>0</v>
      </c>
      <c r="AA1382">
        <f>IF(Table1[[#This Row],[Freq]]="Yearly",Table1[[#This Row],[Coupon_Rate]]/100,IF(Table1[[#This Row],[Freq]]="Monthly",Table1[[#This Row],[Coupon_Rate]]/1200,IF(Table1[[#This Row],[Freq]]="Quarterly",Table1[[#This Row],[Coupon_Rate]]/400,0)))</f>
        <v>0.1045</v>
      </c>
      <c r="AB1382">
        <f ca="1">Table1[[#This Row],[Face Value]]*Table1[[#This Row],[Rate]]*Table1[[#This Row],[Time]]</f>
        <v>940.5</v>
      </c>
      <c r="AC1382">
        <f ca="1">Table1[[#This Row],[SI]]+Table1[[#This Row],[Disc/Prem]]</f>
        <v>940.5</v>
      </c>
      <c r="AD1382" s="3" t="e">
        <f ca="1">Table1[[#This Row],[Net Gain]]/Table1[[#This Row],[Ask Rate]]</f>
        <v>#DIV/0!</v>
      </c>
      <c r="AE1382" s="3">
        <f>IF(Table1[[#This Row],[Ask Qty]]=0,0,Table1[[#This Row],[Gross Yield]]*365/Table1[[#This Row],[Days Left]])</f>
        <v>0</v>
      </c>
      <c r="AF1382" s="9">
        <f ca="1">+Table1[[#This Row],[Net Gain]]*Table1[[#This Row],[Ask Qty]]</f>
        <v>0</v>
      </c>
      <c r="AG1382" t="str">
        <f>IF(Table1[[#This Row],[YTM]]&gt;0.12,IF(Table1[[#This Row],[Gross Profit]]&gt;10000,"Invest","Review"),"Low YTM")</f>
        <v>Low YTM</v>
      </c>
    </row>
    <row r="1383" spans="1:33" x14ac:dyDescent="0.3">
      <c r="A1383" t="str">
        <f>RTD("nest.scriprtd",,"nse_cm|902SCL26I-AW","Symbol")</f>
        <v>902SCL26I</v>
      </c>
      <c r="B1383" t="str">
        <f>RTD("nest.scriprtd",,"nse_cm|902SCL26I-AW","Trading Symbol")</f>
        <v>902SCL26I-AW</v>
      </c>
      <c r="C1383" t="str">
        <f>RTD("nest.scriprtd",,"nse_cm|902SCL26I-AW","Exchange")</f>
        <v>NSE</v>
      </c>
      <c r="D1383">
        <f>RTD("nest.scriprtd",,"nse_cm|902SCL26I-AW","Bid Qty")</f>
        <v>10</v>
      </c>
      <c r="E1383">
        <f>RTD("nest.scriprtd",,"nse_cm|902SCL26I-AW","Bid Rate")</f>
        <v>525</v>
      </c>
      <c r="F1383">
        <f>RTD("nest.scriprtd",,"nse_cm|902SCL26I-AW","Ask Rate")</f>
        <v>0</v>
      </c>
      <c r="G1383">
        <f>RTD("nest.scriprtd",,"nse_cm|902SCL26I-AW","Ask Qty")</f>
        <v>0</v>
      </c>
      <c r="H1383">
        <f>RTD("nest.scriprtd",,"nse_cm|902SCL26I-AW","LTP")</f>
        <v>650</v>
      </c>
      <c r="I1383" t="str">
        <f>RTD("nest.scriprtd",,"nse_cm|902SCL26I-AW","LTT")</f>
        <v/>
      </c>
      <c r="J1383">
        <f>RTD("nest.scriprtd",,"nse_cm|902SCL26I-AW","% Change")</f>
        <v>0</v>
      </c>
      <c r="K1383">
        <f>RTD("nest.scriprtd",,"nse_cm|902SCL26I-AW","ATP")</f>
        <v>0</v>
      </c>
      <c r="L1383">
        <f>RTD("nest.scriprtd",,"nse_cm|902SCL26I-AW","Volume Traded Today")</f>
        <v>0</v>
      </c>
      <c r="M1383">
        <f>RTD("nest.scriprtd",,"nse_cm|902SCL26I-AW","Open")</f>
        <v>0</v>
      </c>
      <c r="N1383">
        <f>RTD("nest.scriprtd",,"nse_cm|902SCL26I-AW","High")</f>
        <v>650</v>
      </c>
      <c r="O1383">
        <f>RTD("nest.scriprtd",,"nse_cm|902SCL26I-AW","Low ")</f>
        <v>650</v>
      </c>
      <c r="P1383">
        <f>RTD("nest.scriprtd",,"nse_cm|902SCL26I-AW","Prev Close")</f>
        <v>650</v>
      </c>
      <c r="Q1383">
        <f>RTD("nest.scriprtd",,"nse_cm|902SCL26I-AW","Face Value")</f>
        <v>667</v>
      </c>
      <c r="R1383" t="str">
        <f>RTD("nest.scriprtd",,"nse_cm|902SCL26I-AW","Isin code")</f>
        <v>INE148I07OQ6</v>
      </c>
      <c r="S1383" s="9">
        <f>Table1[[#This Row],[Ask Rate]]*Table1[[#This Row],[Ask Qty]]</f>
        <v>0</v>
      </c>
      <c r="T1383">
        <f>VLOOKUP(Table1[[#This Row],[Isin code]],Table2[#All],7,FALSE)</f>
        <v>9.02</v>
      </c>
      <c r="U1383" s="17" t="str">
        <f>VLOOKUP(Table1[[#This Row],[Isin code]],Table2[#All],8,FALSE)</f>
        <v>27-Jul-2026</v>
      </c>
      <c r="V1383" s="10">
        <f ca="1">Table1[[#This Row],[Maturity]]-TODAY()</f>
        <v>649</v>
      </c>
      <c r="W1383" t="str">
        <f>VLOOKUP(Table1[[#This Row],[Isin code]],Table2[#All],10,FALSE)</f>
        <v>Monthly</v>
      </c>
      <c r="X1383">
        <f ca="1">_xlfn.DAYS(Table1[[#This Row],[Maturity]],TODAY())-15</f>
        <v>634</v>
      </c>
      <c r="Y13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1383">
        <f>IF(Table1[[#This Row],[Ask Rate]]=0,0,Table1[[#This Row],[Face Value]]-Table1[[#This Row],[Ask Rate]])</f>
        <v>0</v>
      </c>
      <c r="AA1383">
        <f>IF(Table1[[#This Row],[Freq]]="Yearly",Table1[[#This Row],[Coupon_Rate]]/100,IF(Table1[[#This Row],[Freq]]="Monthly",Table1[[#This Row],[Coupon_Rate]]/1200,IF(Table1[[#This Row],[Freq]]="Quarterly",Table1[[#This Row],[Coupon_Rate]]/400,0)))</f>
        <v>7.5166666666666663E-3</v>
      </c>
      <c r="AB1383">
        <f ca="1">Table1[[#This Row],[Face Value]]*Table1[[#This Row],[Rate]]*Table1[[#This Row],[Time]]</f>
        <v>110.29956666666666</v>
      </c>
      <c r="AC1383">
        <f ca="1">Table1[[#This Row],[SI]]+Table1[[#This Row],[Disc/Prem]]</f>
        <v>110.29956666666666</v>
      </c>
      <c r="AD1383" s="3" t="e">
        <f ca="1">Table1[[#This Row],[Net Gain]]/Table1[[#This Row],[Ask Rate]]</f>
        <v>#DIV/0!</v>
      </c>
      <c r="AE1383" s="3">
        <f>IF(Table1[[#This Row],[Ask Qty]]=0,0,Table1[[#This Row],[Gross Yield]]*365/Table1[[#This Row],[Days Left]])</f>
        <v>0</v>
      </c>
      <c r="AF1383" s="9">
        <f ca="1">+Table1[[#This Row],[Net Gain]]*Table1[[#This Row],[Ask Qty]]</f>
        <v>0</v>
      </c>
      <c r="AG1383" t="str">
        <f>IF(Table1[[#This Row],[YTM]]&gt;0.12,IF(Table1[[#This Row],[Gross Profit]]&gt;10000,"Invest","Review"),"Low YTM")</f>
        <v>Low YTM</v>
      </c>
    </row>
    <row r="1384" spans="1:33" x14ac:dyDescent="0.3">
      <c r="A1384" t="str">
        <f>RTD("nest.scriprtd",,"bse_cm|980SCL33C","Symbol")</f>
        <v>980SCL33C</v>
      </c>
      <c r="B1384" t="str">
        <f>RTD("nest.scriprtd",,"bse_cm|980SCL33C","Trading Symbol")</f>
        <v>980SCL33C</v>
      </c>
      <c r="C1384" t="str">
        <f>RTD("nest.scriprtd",,"bse_cm|980SCL33C","Exchange")</f>
        <v>BSE</v>
      </c>
      <c r="D1384">
        <f>RTD("nest.scriprtd",,"bse_cm|980SCL33C","Bid Qty")</f>
        <v>8</v>
      </c>
      <c r="E1384">
        <f>RTD("nest.scriprtd",,"bse_cm|980SCL33C","Bid Rate")</f>
        <v>690.1</v>
      </c>
      <c r="F1384">
        <f>RTD("nest.scriprtd",,"bse_cm|980SCL33C","Ask Rate")</f>
        <v>0</v>
      </c>
      <c r="G1384">
        <f>RTD("nest.scriprtd",,"bse_cm|980SCL33C","Ask Qty")</f>
        <v>0</v>
      </c>
      <c r="H1384">
        <f>RTD("nest.scriprtd",,"bse_cm|980SCL33C","LTP")</f>
        <v>0</v>
      </c>
      <c r="I1384" t="str">
        <f>RTD("nest.scriprtd",,"bse_cm|980SCL33C","LTT")</f>
        <v>00:00:00</v>
      </c>
      <c r="J1384">
        <f>RTD("nest.scriprtd",,"bse_cm|980SCL33C","% Change")</f>
        <v>-100</v>
      </c>
      <c r="K1384">
        <f>RTD("nest.scriprtd",,"bse_cm|980SCL33C","ATP")</f>
        <v>0</v>
      </c>
      <c r="L1384">
        <f>RTD("nest.scriprtd",,"bse_cm|980SCL33C","Volume Traded Today")</f>
        <v>0</v>
      </c>
      <c r="M1384">
        <f>RTD("nest.scriprtd",,"bse_cm|980SCL33C","Open")</f>
        <v>0</v>
      </c>
      <c r="N1384">
        <f>RTD("nest.scriprtd",,"bse_cm|980SCL33C","High")</f>
        <v>1000</v>
      </c>
      <c r="O1384">
        <f>RTD("nest.scriprtd",,"bse_cm|980SCL33C","Low ")</f>
        <v>1000</v>
      </c>
      <c r="P1384">
        <f>RTD("nest.scriprtd",,"bse_cm|980SCL33C","Prev Close")</f>
        <v>857.14</v>
      </c>
      <c r="Q1384">
        <f>RTD("nest.scriprtd",,"bse_cm|980SCL33C","Face Value")</f>
        <v>857.14</v>
      </c>
      <c r="R1384" t="str">
        <f>RTD("nest.scriprtd",,"bse_cm|980SCL33C","Isin code")</f>
        <v>INE148I07QD9</v>
      </c>
      <c r="S1384" s="9">
        <f>Table1[[#This Row],[Ask Rate]]*Table1[[#This Row],[Ask Qty]]</f>
        <v>0</v>
      </c>
      <c r="T1384">
        <f>VLOOKUP(Table1[[#This Row],[Isin code]],Table2[#All],7,FALSE)</f>
        <v>10.029999999999999</v>
      </c>
      <c r="U1384" s="17" t="str">
        <f>VLOOKUP(Table1[[#This Row],[Isin code]],Table2[#All],8,FALSE)</f>
        <v>26-Sep-2030</v>
      </c>
      <c r="V1384" s="10">
        <f ca="1">Table1[[#This Row],[Maturity]]-TODAY()</f>
        <v>2171</v>
      </c>
      <c r="W1384" t="str">
        <f>VLOOKUP(Table1[[#This Row],[Isin code]],Table2[#All],10,FALSE)</f>
        <v>0</v>
      </c>
      <c r="X1384">
        <f ca="1">_xlfn.DAYS(Table1[[#This Row],[Maturity]],TODAY())-15</f>
        <v>2156</v>
      </c>
      <c r="Y138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84">
        <f>IF(Table1[[#This Row],[Ask Rate]]=0,0,Table1[[#This Row],[Face Value]]-Table1[[#This Row],[Ask Rate]])</f>
        <v>0</v>
      </c>
      <c r="AA138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84">
        <f>Table1[[#This Row],[Face Value]]*Table1[[#This Row],[Rate]]*Table1[[#This Row],[Time]]</f>
        <v>0</v>
      </c>
      <c r="AC1384">
        <f>Table1[[#This Row],[SI]]+Table1[[#This Row],[Disc/Prem]]</f>
        <v>0</v>
      </c>
      <c r="AD1384" s="3" t="e">
        <f>Table1[[#This Row],[Net Gain]]/Table1[[#This Row],[Ask Rate]]</f>
        <v>#DIV/0!</v>
      </c>
      <c r="AE1384" s="3">
        <f>IF(Table1[[#This Row],[Ask Qty]]=0,0,Table1[[#This Row],[Gross Yield]]*365/Table1[[#This Row],[Days Left]])</f>
        <v>0</v>
      </c>
      <c r="AF1384" s="9">
        <f>+Table1[[#This Row],[Net Gain]]*Table1[[#This Row],[Ask Qty]]</f>
        <v>0</v>
      </c>
      <c r="AG1384" t="str">
        <f>IF(Table1[[#This Row],[YTM]]&gt;0.12,IF(Table1[[#This Row],[Gross Profit]]&gt;10000,"Invest","Review"),"Low YTM")</f>
        <v>Low YTM</v>
      </c>
    </row>
    <row r="1385" spans="1:33" x14ac:dyDescent="0.3">
      <c r="A1385" t="str">
        <f>RTD("nest.scriprtd",,"nse_cm|980SCL33C-ND","Symbol")</f>
        <v>980SCL33C</v>
      </c>
      <c r="B1385" t="str">
        <f>RTD("nest.scriprtd",,"nse_cm|980SCL33C-ND","Trading Symbol")</f>
        <v>980SCL33C-ND</v>
      </c>
      <c r="C1385" t="str">
        <f>RTD("nest.scriprtd",,"nse_cm|980SCL33C-ND","Exchange")</f>
        <v>NSE</v>
      </c>
      <c r="D1385">
        <f>RTD("nest.scriprtd",,"nse_cm|980SCL33C-ND","Bid Qty")</f>
        <v>0</v>
      </c>
      <c r="E1385">
        <f>RTD("nest.scriprtd",,"nse_cm|980SCL33C-ND","Bid Rate")</f>
        <v>0</v>
      </c>
      <c r="F1385">
        <f>RTD("nest.scriprtd",,"nse_cm|980SCL33C-ND","Ask Rate")</f>
        <v>0</v>
      </c>
      <c r="G1385">
        <f>RTD("nest.scriprtd",,"nse_cm|980SCL33C-ND","Ask Qty")</f>
        <v>0</v>
      </c>
      <c r="H1385">
        <f>RTD("nest.scriprtd",,"nse_cm|980SCL33C-ND","LTP")</f>
        <v>900</v>
      </c>
      <c r="I1385" t="str">
        <f>RTD("nest.scriprtd",,"nse_cm|980SCL33C-ND","LTT")</f>
        <v/>
      </c>
      <c r="J1385">
        <f>RTD("nest.scriprtd",,"nse_cm|980SCL33C-ND","% Change")</f>
        <v>0</v>
      </c>
      <c r="K1385">
        <f>RTD("nest.scriprtd",,"nse_cm|980SCL33C-ND","ATP")</f>
        <v>0</v>
      </c>
      <c r="L1385">
        <f>RTD("nest.scriprtd",,"nse_cm|980SCL33C-ND","Volume Traded Today")</f>
        <v>0</v>
      </c>
      <c r="M1385">
        <f>RTD("nest.scriprtd",,"nse_cm|980SCL33C-ND","Open")</f>
        <v>0</v>
      </c>
      <c r="N1385">
        <f>RTD("nest.scriprtd",,"nse_cm|980SCL33C-ND","High")</f>
        <v>900</v>
      </c>
      <c r="O1385">
        <f>RTD("nest.scriprtd",,"nse_cm|980SCL33C-ND","Low ")</f>
        <v>900</v>
      </c>
      <c r="P1385">
        <f>RTD("nest.scriprtd",,"nse_cm|980SCL33C-ND","Prev Close")</f>
        <v>900</v>
      </c>
      <c r="Q1385">
        <f>RTD("nest.scriprtd",,"nse_cm|980SCL33C-ND","Face Value")</f>
        <v>857.14</v>
      </c>
      <c r="R1385" t="str">
        <f>RTD("nest.scriprtd",,"nse_cm|980SCL33C-ND","Isin code")</f>
        <v>INE148I07QD9</v>
      </c>
      <c r="S1385" s="9">
        <f>Table1[[#This Row],[Ask Rate]]*Table1[[#This Row],[Ask Qty]]</f>
        <v>0</v>
      </c>
      <c r="T1385">
        <f>VLOOKUP(Table1[[#This Row],[Isin code]],Table2[#All],7,FALSE)</f>
        <v>10.029999999999999</v>
      </c>
      <c r="U1385" s="17" t="str">
        <f>VLOOKUP(Table1[[#This Row],[Isin code]],Table2[#All],8,FALSE)</f>
        <v>26-Sep-2030</v>
      </c>
      <c r="V1385" s="10">
        <f ca="1">Table1[[#This Row],[Maturity]]-TODAY()</f>
        <v>2171</v>
      </c>
      <c r="W1385" t="str">
        <f>VLOOKUP(Table1[[#This Row],[Isin code]],Table2[#All],10,FALSE)</f>
        <v>0</v>
      </c>
      <c r="X1385">
        <f ca="1">_xlfn.DAYS(Table1[[#This Row],[Maturity]],TODAY())-15</f>
        <v>2156</v>
      </c>
      <c r="Y138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85">
        <f>IF(Table1[[#This Row],[Ask Rate]]=0,0,Table1[[#This Row],[Face Value]]-Table1[[#This Row],[Ask Rate]])</f>
        <v>0</v>
      </c>
      <c r="AA138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85">
        <f>Table1[[#This Row],[Face Value]]*Table1[[#This Row],[Rate]]*Table1[[#This Row],[Time]]</f>
        <v>0</v>
      </c>
      <c r="AC1385">
        <f>Table1[[#This Row],[SI]]+Table1[[#This Row],[Disc/Prem]]</f>
        <v>0</v>
      </c>
      <c r="AD1385" s="3" t="e">
        <f>Table1[[#This Row],[Net Gain]]/Table1[[#This Row],[Ask Rate]]</f>
        <v>#DIV/0!</v>
      </c>
      <c r="AE1385" s="3">
        <f>IF(Table1[[#This Row],[Ask Qty]]=0,0,Table1[[#This Row],[Gross Yield]]*365/Table1[[#This Row],[Days Left]])</f>
        <v>0</v>
      </c>
      <c r="AF1385" s="9">
        <f>+Table1[[#This Row],[Net Gain]]*Table1[[#This Row],[Ask Qty]]</f>
        <v>0</v>
      </c>
      <c r="AG1385" t="str">
        <f>IF(Table1[[#This Row],[YTM]]&gt;0.12,IF(Table1[[#This Row],[Gross Profit]]&gt;10000,"Invest","Review"),"Low YTM")</f>
        <v>Low YTM</v>
      </c>
    </row>
    <row r="1386" spans="1:33" x14ac:dyDescent="0.3">
      <c r="A1386" t="str">
        <f>RTD("nest.scriprtd",,"bse_cm|1015SCL28A","Symbol")</f>
        <v>1015SCL28A</v>
      </c>
      <c r="B1386" t="str">
        <f>RTD("nest.scriprtd",,"bse_cm|1015SCL28A","Trading Symbol")</f>
        <v>1015SCL28A</v>
      </c>
      <c r="C1386" t="str">
        <f>RTD("nest.scriprtd",,"bse_cm|1015SCL28A","Exchange")</f>
        <v>BSE</v>
      </c>
      <c r="D1386">
        <f>RTD("nest.scriprtd",,"bse_cm|1015SCL28A","Bid Qty")</f>
        <v>107</v>
      </c>
      <c r="E1386">
        <f>RTD("nest.scriprtd",,"bse_cm|1015SCL28A","Bid Rate")</f>
        <v>802.33</v>
      </c>
      <c r="F1386">
        <f>RTD("nest.scriprtd",,"bse_cm|1015SCL28A","Ask Rate")</f>
        <v>0</v>
      </c>
      <c r="G1386">
        <f>RTD("nest.scriprtd",,"bse_cm|1015SCL28A","Ask Qty")</f>
        <v>0</v>
      </c>
      <c r="H1386">
        <f>RTD("nest.scriprtd",,"bse_cm|1015SCL28A","LTP")</f>
        <v>0</v>
      </c>
      <c r="I1386" t="str">
        <f>RTD("nest.scriprtd",,"bse_cm|1015SCL28A","LTT")</f>
        <v>00:00:00</v>
      </c>
      <c r="J1386">
        <f>RTD("nest.scriprtd",,"bse_cm|1015SCL28A","% Change")</f>
        <v>-100</v>
      </c>
      <c r="K1386">
        <f>RTD("nest.scriprtd",,"bse_cm|1015SCL28A","ATP")</f>
        <v>0</v>
      </c>
      <c r="L1386">
        <f>RTD("nest.scriprtd",,"bse_cm|1015SCL28A","Volume Traded Today")</f>
        <v>0</v>
      </c>
      <c r="M1386">
        <f>RTD("nest.scriprtd",,"bse_cm|1015SCL28A","Open")</f>
        <v>0</v>
      </c>
      <c r="N1386">
        <f>RTD("nest.scriprtd",,"bse_cm|1015SCL28A","High")</f>
        <v>820</v>
      </c>
      <c r="O1386">
        <f>RTD("nest.scriprtd",,"bse_cm|1015SCL28A","Low ")</f>
        <v>820</v>
      </c>
      <c r="P1386">
        <f>RTD("nest.scriprtd",,"bse_cm|1015SCL28A","Prev Close")</f>
        <v>820</v>
      </c>
      <c r="Q1386">
        <f>RTD("nest.scriprtd",,"bse_cm|1015SCL28A","Face Value")</f>
        <v>800</v>
      </c>
      <c r="R1386" t="str">
        <f>RTD("nest.scriprtd",,"bse_cm|1015SCL28A","Isin code")</f>
        <v>INE148I07OH5</v>
      </c>
      <c r="S1386" s="9">
        <f>Table1[[#This Row],[Ask Rate]]*Table1[[#This Row],[Ask Qty]]</f>
        <v>0</v>
      </c>
      <c r="T1386">
        <f>VLOOKUP(Table1[[#This Row],[Isin code]],Table2[#All],7,FALSE)</f>
        <v>10.15</v>
      </c>
      <c r="U1386" s="17" t="str">
        <f>VLOOKUP(Table1[[#This Row],[Isin code]],Table2[#All],8,FALSE)</f>
        <v>23-Mar-2028</v>
      </c>
      <c r="V1386" s="10">
        <f ca="1">Table1[[#This Row],[Maturity]]-TODAY()</f>
        <v>1254</v>
      </c>
      <c r="W1386" t="str">
        <f>VLOOKUP(Table1[[#This Row],[Isin code]],Table2[#All],10,FALSE)</f>
        <v>Yearly</v>
      </c>
      <c r="X1386">
        <f ca="1">_xlfn.DAYS(Table1[[#This Row],[Maturity]],TODAY())-15</f>
        <v>1239</v>
      </c>
      <c r="Y13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386">
        <f>IF(Table1[[#This Row],[Ask Rate]]=0,0,Table1[[#This Row],[Face Value]]-Table1[[#This Row],[Ask Rate]])</f>
        <v>0</v>
      </c>
      <c r="AA1386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1386">
        <f ca="1">Table1[[#This Row],[Face Value]]*Table1[[#This Row],[Rate]]*Table1[[#This Row],[Time]]</f>
        <v>324.8</v>
      </c>
      <c r="AC1386">
        <f ca="1">Table1[[#This Row],[SI]]+Table1[[#This Row],[Disc/Prem]]</f>
        <v>324.8</v>
      </c>
      <c r="AD1386" s="3" t="e">
        <f ca="1">Table1[[#This Row],[Net Gain]]/Table1[[#This Row],[Ask Rate]]</f>
        <v>#DIV/0!</v>
      </c>
      <c r="AE1386" s="3">
        <f>IF(Table1[[#This Row],[Ask Qty]]=0,0,Table1[[#This Row],[Gross Yield]]*365/Table1[[#This Row],[Days Left]])</f>
        <v>0</v>
      </c>
      <c r="AF1386" s="9">
        <f ca="1">+Table1[[#This Row],[Net Gain]]*Table1[[#This Row],[Ask Qty]]</f>
        <v>0</v>
      </c>
      <c r="AG1386" t="str">
        <f>IF(Table1[[#This Row],[YTM]]&gt;0.12,IF(Table1[[#This Row],[Gross Profit]]&gt;10000,"Invest","Review"),"Low YTM")</f>
        <v>Low YTM</v>
      </c>
    </row>
    <row r="1387" spans="1:33" x14ac:dyDescent="0.3">
      <c r="A1387" t="str">
        <f>RTD("nest.scriprtd",,"bse_cm|850SCL25A","Symbol")</f>
        <v>850SCL25A</v>
      </c>
      <c r="B1387" t="str">
        <f>RTD("nest.scriprtd",,"bse_cm|850SCL25A","Trading Symbol")</f>
        <v>850SCL25A</v>
      </c>
      <c r="C1387" t="str">
        <f>RTD("nest.scriprtd",,"bse_cm|850SCL25A","Exchange")</f>
        <v>BSE</v>
      </c>
      <c r="D1387">
        <f>RTD("nest.scriprtd",,"bse_cm|850SCL25A","Bid Qty")</f>
        <v>9</v>
      </c>
      <c r="E1387">
        <f>RTD("nest.scriprtd",,"bse_cm|850SCL25A","Bid Rate")</f>
        <v>825.2</v>
      </c>
      <c r="F1387">
        <f>RTD("nest.scriprtd",,"bse_cm|850SCL25A","Ask Rate")</f>
        <v>0</v>
      </c>
      <c r="G1387">
        <f>RTD("nest.scriprtd",,"bse_cm|850SCL25A","Ask Qty")</f>
        <v>0</v>
      </c>
      <c r="H1387">
        <f>RTD("nest.scriprtd",,"bse_cm|850SCL25A","LTP")</f>
        <v>0</v>
      </c>
      <c r="I1387" t="str">
        <f>RTD("nest.scriprtd",,"bse_cm|850SCL25A","LTT")</f>
        <v>00:00:00</v>
      </c>
      <c r="J1387">
        <f>RTD("nest.scriprtd",,"bse_cm|850SCL25A","% Change")</f>
        <v>-100</v>
      </c>
      <c r="K1387">
        <f>RTD("nest.scriprtd",,"bse_cm|850SCL25A","ATP")</f>
        <v>0</v>
      </c>
      <c r="L1387">
        <f>RTD("nest.scriprtd",,"bse_cm|850SCL25A","Volume Traded Today")</f>
        <v>0</v>
      </c>
      <c r="M1387">
        <f>RTD("nest.scriprtd",,"bse_cm|850SCL25A","Open")</f>
        <v>0</v>
      </c>
      <c r="N1387">
        <f>RTD("nest.scriprtd",,"bse_cm|850SCL25A","High")</f>
        <v>931</v>
      </c>
      <c r="O1387">
        <f>RTD("nest.scriprtd",,"bse_cm|850SCL25A","Low ")</f>
        <v>931</v>
      </c>
      <c r="P1387">
        <f>RTD("nest.scriprtd",,"bse_cm|850SCL25A","Prev Close")</f>
        <v>931</v>
      </c>
      <c r="Q1387">
        <f>RTD("nest.scriprtd",,"bse_cm|850SCL25A","Face Value")</f>
        <v>1000</v>
      </c>
      <c r="R1387" t="str">
        <f>RTD("nest.scriprtd",,"bse_cm|850SCL25A","Isin code")</f>
        <v>INE148I08348</v>
      </c>
      <c r="S1387" s="9">
        <f>Table1[[#This Row],[Ask Rate]]*Table1[[#This Row],[Ask Qty]]</f>
        <v>0</v>
      </c>
      <c r="T1387">
        <f>VLOOKUP(Table1[[#This Row],[Isin code]],Table2[#All],7,FALSE)</f>
        <v>9.35</v>
      </c>
      <c r="U1387" s="17" t="str">
        <f>VLOOKUP(Table1[[#This Row],[Isin code]],Table2[#All],8,FALSE)</f>
        <v>22-Dec-2028</v>
      </c>
      <c r="V1387" s="10">
        <f ca="1">Table1[[#This Row],[Maturity]]-TODAY()</f>
        <v>1528</v>
      </c>
      <c r="W1387" t="str">
        <f>VLOOKUP(Table1[[#This Row],[Isin code]],Table2[#All],10,FALSE)</f>
        <v>Monthly</v>
      </c>
      <c r="X1387">
        <f ca="1">_xlfn.DAYS(Table1[[#This Row],[Maturity]],TODAY())-15</f>
        <v>1513</v>
      </c>
      <c r="Y13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1387">
        <f>IF(Table1[[#This Row],[Ask Rate]]=0,0,Table1[[#This Row],[Face Value]]-Table1[[#This Row],[Ask Rate]])</f>
        <v>0</v>
      </c>
      <c r="AA1387">
        <f>IF(Table1[[#This Row],[Freq]]="Yearly",Table1[[#This Row],[Coupon_Rate]]/100,IF(Table1[[#This Row],[Freq]]="Monthly",Table1[[#This Row],[Coupon_Rate]]/1200,IF(Table1[[#This Row],[Freq]]="Quarterly",Table1[[#This Row],[Coupon_Rate]]/400,0)))</f>
        <v>7.7916666666666664E-3</v>
      </c>
      <c r="AB1387">
        <f ca="1">Table1[[#This Row],[Face Value]]*Table1[[#This Row],[Rate]]*Table1[[#This Row],[Time]]</f>
        <v>397.37499999999994</v>
      </c>
      <c r="AC1387">
        <f ca="1">Table1[[#This Row],[SI]]+Table1[[#This Row],[Disc/Prem]]</f>
        <v>397.37499999999994</v>
      </c>
      <c r="AD1387" s="3" t="e">
        <f ca="1">Table1[[#This Row],[Net Gain]]/Table1[[#This Row],[Ask Rate]]</f>
        <v>#DIV/0!</v>
      </c>
      <c r="AE1387" s="3">
        <f>IF(Table1[[#This Row],[Ask Qty]]=0,0,Table1[[#This Row],[Gross Yield]]*365/Table1[[#This Row],[Days Left]])</f>
        <v>0</v>
      </c>
      <c r="AF1387" s="9">
        <f ca="1">+Table1[[#This Row],[Net Gain]]*Table1[[#This Row],[Ask Qty]]</f>
        <v>0</v>
      </c>
      <c r="AG1387" t="str">
        <f>IF(Table1[[#This Row],[YTM]]&gt;0.12,IF(Table1[[#This Row],[Gross Profit]]&gt;10000,"Invest","Review"),"Low YTM")</f>
        <v>Low YTM</v>
      </c>
    </row>
    <row r="1388" spans="1:33" x14ac:dyDescent="0.3">
      <c r="A1388" t="str">
        <f>RTD("nest.scriprtd",,"nse_cm|85IFL26-NX","Symbol")</f>
        <v>85IFL26</v>
      </c>
      <c r="B1388" t="str">
        <f>RTD("nest.scriprtd",,"nse_cm|85IFL26-NX","Trading Symbol")</f>
        <v>85IFL26-NX</v>
      </c>
      <c r="C1388" t="str">
        <f>RTD("nest.scriprtd",,"nse_cm|85IFL26-NX","Exchange")</f>
        <v>NSE</v>
      </c>
      <c r="D1388">
        <f>RTD("nest.scriprtd",,"nse_cm|85IFL26-NX","Bid Qty")</f>
        <v>50</v>
      </c>
      <c r="E1388">
        <f>RTD("nest.scriprtd",,"nse_cm|85IFL26-NX","Bid Rate")</f>
        <v>936.3</v>
      </c>
      <c r="F1388">
        <f>RTD("nest.scriprtd",,"nse_cm|85IFL26-NX","Ask Rate")</f>
        <v>0</v>
      </c>
      <c r="G1388">
        <f>RTD("nest.scriprtd",,"nse_cm|85IFL26-NX","Ask Qty")</f>
        <v>0</v>
      </c>
      <c r="H1388">
        <f>RTD("nest.scriprtd",,"nse_cm|85IFL26-NX","LTP")</f>
        <v>989</v>
      </c>
      <c r="I1388" t="str">
        <f>RTD("nest.scriprtd",,"nse_cm|85IFL26-NX","LTT")</f>
        <v/>
      </c>
      <c r="J1388">
        <f>RTD("nest.scriprtd",,"nse_cm|85IFL26-NX","% Change")</f>
        <v>0</v>
      </c>
      <c r="K1388">
        <f>RTD("nest.scriprtd",,"nse_cm|85IFL26-NX","ATP")</f>
        <v>0</v>
      </c>
      <c r="L1388">
        <f>RTD("nest.scriprtd",,"nse_cm|85IFL26-NX","Volume Traded Today")</f>
        <v>0</v>
      </c>
      <c r="M1388">
        <f>RTD("nest.scriprtd",,"nse_cm|85IFL26-NX","Open")</f>
        <v>0</v>
      </c>
      <c r="N1388">
        <f>RTD("nest.scriprtd",,"nse_cm|85IFL26-NX","High")</f>
        <v>989</v>
      </c>
      <c r="O1388">
        <f>RTD("nest.scriprtd",,"nse_cm|85IFL26-NX","Low ")</f>
        <v>989</v>
      </c>
      <c r="P1388">
        <f>RTD("nest.scriprtd",,"nse_cm|85IFL26-NX","Prev Close")</f>
        <v>989</v>
      </c>
      <c r="Q1388">
        <f>RTD("nest.scriprtd",,"nse_cm|85IFL26-NX","Face Value")</f>
        <v>1000</v>
      </c>
      <c r="R1388" t="str">
        <f>RTD("nest.scriprtd",,"nse_cm|85IFL26-NX","Isin code")</f>
        <v>INE530B07344</v>
      </c>
      <c r="S1388" s="9">
        <f>Table1[[#This Row],[Ask Rate]]*Table1[[#This Row],[Ask Qty]]</f>
        <v>0</v>
      </c>
      <c r="T1388">
        <f>VLOOKUP(Table1[[#This Row],[Isin code]],Table2[#All],7,FALSE)</f>
        <v>8.5</v>
      </c>
      <c r="U1388" s="17" t="str">
        <f>VLOOKUP(Table1[[#This Row],[Isin code]],Table2[#All],8,FALSE)</f>
        <v>28-Jun-2026</v>
      </c>
      <c r="V1388" s="10">
        <f ca="1">Table1[[#This Row],[Maturity]]-TODAY()</f>
        <v>620</v>
      </c>
      <c r="W1388" t="str">
        <f>VLOOKUP(Table1[[#This Row],[Isin code]],Table2[#All],10,FALSE)</f>
        <v>Yearly</v>
      </c>
      <c r="X1388">
        <f ca="1">_xlfn.DAYS(Table1[[#This Row],[Maturity]],TODAY())-15</f>
        <v>605</v>
      </c>
      <c r="Y13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388">
        <f>IF(Table1[[#This Row],[Ask Rate]]=0,0,Table1[[#This Row],[Face Value]]-Table1[[#This Row],[Ask Rate]])</f>
        <v>0</v>
      </c>
      <c r="AA1388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1388">
        <f ca="1">Table1[[#This Row],[Face Value]]*Table1[[#This Row],[Rate]]*Table1[[#This Row],[Time]]</f>
        <v>170</v>
      </c>
      <c r="AC1388">
        <f ca="1">Table1[[#This Row],[SI]]+Table1[[#This Row],[Disc/Prem]]</f>
        <v>170</v>
      </c>
      <c r="AD1388" s="3" t="e">
        <f ca="1">Table1[[#This Row],[Net Gain]]/Table1[[#This Row],[Ask Rate]]</f>
        <v>#DIV/0!</v>
      </c>
      <c r="AE1388" s="3">
        <f>IF(Table1[[#This Row],[Ask Qty]]=0,0,Table1[[#This Row],[Gross Yield]]*365/Table1[[#This Row],[Days Left]])</f>
        <v>0</v>
      </c>
      <c r="AF1388" s="9">
        <f ca="1">+Table1[[#This Row],[Net Gain]]*Table1[[#This Row],[Ask Qty]]</f>
        <v>0</v>
      </c>
      <c r="AG1388" t="str">
        <f>IF(Table1[[#This Row],[YTM]]&gt;0.12,IF(Table1[[#This Row],[Gross Profit]]&gt;10000,"Invest","Review"),"Low YTM")</f>
        <v>Low YTM</v>
      </c>
    </row>
    <row r="1389" spans="1:33" hidden="1" x14ac:dyDescent="0.3">
      <c r="A1389" t="str">
        <f>RTD("nest.scriprtd",,"nse_cm|866SFL25-ZE","Symbol")</f>
        <v>866SFL25</v>
      </c>
      <c r="B1389" t="str">
        <f>RTD("nest.scriprtd",,"nse_cm|866SFL25-ZE","Trading Symbol")</f>
        <v>866SFL25-ZE</v>
      </c>
      <c r="C1389" t="str">
        <f>RTD("nest.scriprtd",,"nse_cm|866SFL25-ZE","Exchange")</f>
        <v>NSE</v>
      </c>
      <c r="D1389">
        <f>RTD("nest.scriprtd",,"nse_cm|866SFL25-ZE","Bid Qty")</f>
        <v>50</v>
      </c>
      <c r="E1389">
        <f>RTD("nest.scriprtd",,"nse_cm|866SFL25-ZE","Bid Rate")</f>
        <v>981</v>
      </c>
      <c r="F1389">
        <f>RTD("nest.scriprtd",,"nse_cm|866SFL25-ZE","Ask Rate")</f>
        <v>0</v>
      </c>
      <c r="G1389">
        <f>RTD("nest.scriprtd",,"nse_cm|866SFL25-ZE","Ask Qty")</f>
        <v>0</v>
      </c>
      <c r="H1389">
        <f>RTD("nest.scriprtd",,"nse_cm|866SFL25-ZE","LTP")</f>
        <v>986.24</v>
      </c>
      <c r="I1389" t="str">
        <f>RTD("nest.scriprtd",,"nse_cm|866SFL25-ZE","LTT")</f>
        <v/>
      </c>
      <c r="J1389">
        <f>RTD("nest.scriprtd",,"nse_cm|866SFL25-ZE","% Change")</f>
        <v>0</v>
      </c>
      <c r="K1389">
        <f>RTD("nest.scriprtd",,"nse_cm|866SFL25-ZE","ATP")</f>
        <v>0</v>
      </c>
      <c r="L1389">
        <f>RTD("nest.scriprtd",,"nse_cm|866SFL25-ZE","Volume Traded Today")</f>
        <v>0</v>
      </c>
      <c r="M1389">
        <f>RTD("nest.scriprtd",,"nse_cm|866SFL25-ZE","Open")</f>
        <v>0</v>
      </c>
      <c r="N1389">
        <f>RTD("nest.scriprtd",,"nse_cm|866SFL25-ZE","High")</f>
        <v>995</v>
      </c>
      <c r="O1389">
        <f>RTD("nest.scriprtd",,"nse_cm|866SFL25-ZE","Low ")</f>
        <v>981.21</v>
      </c>
      <c r="P1389">
        <f>RTD("nest.scriprtd",,"nse_cm|866SFL25-ZE","Prev Close")</f>
        <v>986.24</v>
      </c>
      <c r="Q1389">
        <f>RTD("nest.scriprtd",,"nse_cm|866SFL25-ZE","Face Value")</f>
        <v>1000</v>
      </c>
      <c r="R1389" t="str">
        <f>RTD("nest.scriprtd",,"nse_cm|866SFL25-ZE","Isin code")</f>
        <v>INE721A07PJ9</v>
      </c>
      <c r="S1389" s="9">
        <f>Table1[[#This Row],[Ask Rate]]*Table1[[#This Row],[Ask Qty]]</f>
        <v>0</v>
      </c>
      <c r="T1389">
        <f>VLOOKUP(Table1[[#This Row],[Isin code]],Table2[#All],7,FALSE)</f>
        <v>8.66</v>
      </c>
      <c r="U1389" s="17" t="str">
        <f>VLOOKUP(Table1[[#This Row],[Isin code]],Table2[#All],8,FALSE)</f>
        <v>28-Jan-2025</v>
      </c>
      <c r="V1389" s="10">
        <f ca="1">Table1[[#This Row],[Maturity]]-TODAY()</f>
        <v>104</v>
      </c>
      <c r="W1389" t="str">
        <f>VLOOKUP(Table1[[#This Row],[Isin code]],Table2[#All],10,FALSE)</f>
        <v>Monthly</v>
      </c>
      <c r="X1389">
        <f ca="1">_xlfn.DAYS(Table1[[#This Row],[Maturity]],TODAY())-15</f>
        <v>89</v>
      </c>
      <c r="Y138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389">
        <f>IF(Table1[[#This Row],[Ask Rate]]=0,0,Table1[[#This Row],[Face Value]]-Table1[[#This Row],[Ask Rate]])</f>
        <v>0</v>
      </c>
      <c r="AA1389">
        <f>IF(Table1[[#This Row],[Freq]]="Yearly",Table1[[#This Row],[Coupon_Rate]]/100,IF(Table1[[#This Row],[Freq]]="Monthly",Table1[[#This Row],[Coupon_Rate]]/1200,IF(Table1[[#This Row],[Freq]]="Quarterly",Table1[[#This Row],[Coupon_Rate]]/400,0)))</f>
        <v>7.2166666666666664E-3</v>
      </c>
      <c r="AB1389">
        <f ca="1">Table1[[#This Row],[Face Value]]*Table1[[#This Row],[Rate]]*Table1[[#This Row],[Time]]</f>
        <v>21.65</v>
      </c>
      <c r="AC1389">
        <f ca="1">Table1[[#This Row],[SI]]+Table1[[#This Row],[Disc/Prem]]</f>
        <v>21.65</v>
      </c>
      <c r="AD1389" s="3" t="e">
        <f ca="1">Table1[[#This Row],[Net Gain]]/Table1[[#This Row],[Ask Rate]]</f>
        <v>#DIV/0!</v>
      </c>
      <c r="AE1389" s="3">
        <f>IF(Table1[[#This Row],[Ask Qty]]=0,0,Table1[[#This Row],[Gross Yield]]*365/Table1[[#This Row],[Days Left]])</f>
        <v>0</v>
      </c>
      <c r="AF1389" s="9">
        <f ca="1">+Table1[[#This Row],[Net Gain]]*Table1[[#This Row],[Ask Qty]]</f>
        <v>0</v>
      </c>
      <c r="AG1389" t="str">
        <f>IF(Table1[[#This Row],[YTM]]&gt;0.12,IF(Table1[[#This Row],[Gross Profit]]&gt;10000,"Invest","Review"),"Low YTM")</f>
        <v>Low YTM</v>
      </c>
    </row>
    <row r="1390" spans="1:33" x14ac:dyDescent="0.3">
      <c r="A1390" t="str">
        <f>RTD("nest.scriprtd",,"bse_cm|105MMFL25B","Symbol")</f>
        <v>105MMFL25B</v>
      </c>
      <c r="B1390" t="str">
        <f>RTD("nest.scriprtd",,"bse_cm|105MMFL25B","Trading Symbol")</f>
        <v>105MMFL25B</v>
      </c>
      <c r="C1390" t="str">
        <f>RTD("nest.scriprtd",,"bse_cm|105MMFL25B","Exchange")</f>
        <v>BSE</v>
      </c>
      <c r="D1390">
        <f>RTD("nest.scriprtd",,"bse_cm|105MMFL25B","Bid Qty")</f>
        <v>20</v>
      </c>
      <c r="E1390">
        <f>RTD("nest.scriprtd",,"bse_cm|105MMFL25B","Bid Rate")</f>
        <v>875.2</v>
      </c>
      <c r="F1390">
        <f>RTD("nest.scriprtd",,"bse_cm|105MMFL25B","Ask Rate")</f>
        <v>0</v>
      </c>
      <c r="G1390">
        <f>RTD("nest.scriprtd",,"bse_cm|105MMFL25B","Ask Qty")</f>
        <v>0</v>
      </c>
      <c r="H1390">
        <f>RTD("nest.scriprtd",,"bse_cm|105MMFL25B","LTP")</f>
        <v>0</v>
      </c>
      <c r="I1390" t="str">
        <f>RTD("nest.scriprtd",,"bse_cm|105MMFL25B","LTT")</f>
        <v>00:00:00</v>
      </c>
      <c r="J1390">
        <f>RTD("nest.scriprtd",,"bse_cm|105MMFL25B","% Change")</f>
        <v>-100</v>
      </c>
      <c r="K1390">
        <f>RTD("nest.scriprtd",,"bse_cm|105MMFL25B","ATP")</f>
        <v>0</v>
      </c>
      <c r="L1390">
        <f>RTD("nest.scriprtd",,"bse_cm|105MMFL25B","Volume Traded Today")</f>
        <v>0</v>
      </c>
      <c r="M1390">
        <f>RTD("nest.scriprtd",,"bse_cm|105MMFL25B","Open")</f>
        <v>0</v>
      </c>
      <c r="N1390">
        <f>RTD("nest.scriprtd",,"bse_cm|105MMFL25B","High")</f>
        <v>990</v>
      </c>
      <c r="O1390">
        <f>RTD("nest.scriprtd",,"bse_cm|105MMFL25B","Low ")</f>
        <v>990</v>
      </c>
      <c r="P1390">
        <f>RTD("nest.scriprtd",,"bse_cm|105MMFL25B","Prev Close")</f>
        <v>990</v>
      </c>
      <c r="Q1390">
        <f>RTD("nest.scriprtd",,"bse_cm|105MMFL25B","Face Value")</f>
        <v>1000</v>
      </c>
      <c r="R1390" t="str">
        <f>RTD("nest.scriprtd",,"bse_cm|105MMFL25B","Isin code")</f>
        <v>INE101Q07771</v>
      </c>
      <c r="S1390" s="9">
        <f>Table1[[#This Row],[Ask Rate]]*Table1[[#This Row],[Ask Qty]]</f>
        <v>0</v>
      </c>
      <c r="T1390">
        <f>VLOOKUP(Table1[[#This Row],[Isin code]],Table2[#All],7,FALSE)</f>
        <v>10.5</v>
      </c>
      <c r="U1390" s="17" t="str">
        <f>VLOOKUP(Table1[[#This Row],[Isin code]],Table2[#All],8,FALSE)</f>
        <v>29-Sep-2025</v>
      </c>
      <c r="V1390" s="10">
        <f ca="1">Table1[[#This Row],[Maturity]]-TODAY()</f>
        <v>348</v>
      </c>
      <c r="W1390" t="str">
        <f>VLOOKUP(Table1[[#This Row],[Isin code]],Table2[#All],10,FALSE)</f>
        <v>Monthly</v>
      </c>
      <c r="X1390">
        <f ca="1">_xlfn.DAYS(Table1[[#This Row],[Maturity]],TODAY())-15</f>
        <v>333</v>
      </c>
      <c r="Y13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1390">
        <f>IF(Table1[[#This Row],[Ask Rate]]=0,0,Table1[[#This Row],[Face Value]]-Table1[[#This Row],[Ask Rate]])</f>
        <v>0</v>
      </c>
      <c r="AA1390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1390">
        <f ca="1">Table1[[#This Row],[Face Value]]*Table1[[#This Row],[Rate]]*Table1[[#This Row],[Time]]</f>
        <v>105</v>
      </c>
      <c r="AC1390">
        <f ca="1">Table1[[#This Row],[SI]]+Table1[[#This Row],[Disc/Prem]]</f>
        <v>105</v>
      </c>
      <c r="AD1390" s="3" t="e">
        <f ca="1">Table1[[#This Row],[Net Gain]]/Table1[[#This Row],[Ask Rate]]</f>
        <v>#DIV/0!</v>
      </c>
      <c r="AE1390" s="3">
        <f>IF(Table1[[#This Row],[Ask Qty]]=0,0,Table1[[#This Row],[Gross Yield]]*365/Table1[[#This Row],[Days Left]])</f>
        <v>0</v>
      </c>
      <c r="AF1390" s="9">
        <f ca="1">+Table1[[#This Row],[Net Gain]]*Table1[[#This Row],[Ask Qty]]</f>
        <v>0</v>
      </c>
      <c r="AG1390" t="str">
        <f>IF(Table1[[#This Row],[YTM]]&gt;0.12,IF(Table1[[#This Row],[Gross Profit]]&gt;10000,"Invest","Review"),"Low YTM")</f>
        <v>Low YTM</v>
      </c>
    </row>
    <row r="1391" spans="1:33" x14ac:dyDescent="0.3">
      <c r="A1391" t="str">
        <f>RTD("nest.scriprtd",,"nse_cm|955SCL25-ZU","Symbol")</f>
        <v>955SCL25</v>
      </c>
      <c r="B1391" t="str">
        <f>RTD("nest.scriprtd",,"nse_cm|955SCL25-ZU","Trading Symbol")</f>
        <v>955SCL25-ZU</v>
      </c>
      <c r="C1391" t="str">
        <f>RTD("nest.scriprtd",,"nse_cm|955SCL25-ZU","Exchange")</f>
        <v>NSE</v>
      </c>
      <c r="D1391">
        <f>RTD("nest.scriprtd",,"nse_cm|955SCL25-ZU","Bid Qty")</f>
        <v>0</v>
      </c>
      <c r="E1391">
        <f>RTD("nest.scriprtd",,"nse_cm|955SCL25-ZU","Bid Rate")</f>
        <v>0</v>
      </c>
      <c r="F1391">
        <f>RTD("nest.scriprtd",,"nse_cm|955SCL25-ZU","Ask Rate")</f>
        <v>0</v>
      </c>
      <c r="G1391">
        <f>RTD("nest.scriprtd",,"nse_cm|955SCL25-ZU","Ask Qty")</f>
        <v>0</v>
      </c>
      <c r="H1391">
        <f>RTD("nest.scriprtd",,"nse_cm|955SCL25-ZU","LTP")</f>
        <v>940</v>
      </c>
      <c r="I1391" t="str">
        <f>RTD("nest.scriprtd",,"nse_cm|955SCL25-ZU","LTT")</f>
        <v/>
      </c>
      <c r="J1391">
        <f>RTD("nest.scriprtd",,"nse_cm|955SCL25-ZU","% Change")</f>
        <v>0</v>
      </c>
      <c r="K1391">
        <f>RTD("nest.scriprtd",,"nse_cm|955SCL25-ZU","ATP")</f>
        <v>0</v>
      </c>
      <c r="L1391">
        <f>RTD("nest.scriprtd",,"nse_cm|955SCL25-ZU","Volume Traded Today")</f>
        <v>0</v>
      </c>
      <c r="M1391">
        <f>RTD("nest.scriprtd",,"nse_cm|955SCL25-ZU","Open")</f>
        <v>0</v>
      </c>
      <c r="N1391">
        <f>RTD("nest.scriprtd",,"nse_cm|955SCL25-ZU","High")</f>
        <v>940</v>
      </c>
      <c r="O1391">
        <f>RTD("nest.scriprtd",,"nse_cm|955SCL25-ZU","Low ")</f>
        <v>940</v>
      </c>
      <c r="P1391">
        <f>RTD("nest.scriprtd",,"nse_cm|955SCL25-ZU","Prev Close")</f>
        <v>940</v>
      </c>
      <c r="Q1391">
        <f>RTD("nest.scriprtd",,"nse_cm|955SCL25-ZU","Face Value")</f>
        <v>667</v>
      </c>
      <c r="R1391" t="str">
        <f>RTD("nest.scriprtd",,"nse_cm|955SCL25-ZU","Isin code")</f>
        <v>INE148I07NH7</v>
      </c>
      <c r="S1391" s="9">
        <f>Table1[[#This Row],[Ask Rate]]*Table1[[#This Row],[Ask Qty]]</f>
        <v>0</v>
      </c>
      <c r="T1391">
        <f>VLOOKUP(Table1[[#This Row],[Isin code]],Table2[#All],7,FALSE)</f>
        <v>9.5500000000000007</v>
      </c>
      <c r="U1391" s="17">
        <f>VLOOKUP(Table1[[#This Row],[Isin code]],Table2[#All],8,FALSE)</f>
        <v>46019</v>
      </c>
      <c r="V1391" s="10">
        <f ca="1">Table1[[#This Row],[Maturity]]-TODAY()</f>
        <v>438</v>
      </c>
      <c r="W1391" t="str">
        <f>VLOOKUP(Table1[[#This Row],[Isin code]],Table2[#All],10,FALSE)</f>
        <v>Yearly</v>
      </c>
      <c r="X1391">
        <f ca="1">_xlfn.DAYS(Table1[[#This Row],[Maturity]],TODAY())-15</f>
        <v>423</v>
      </c>
      <c r="Y13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391">
        <f>IF(Table1[[#This Row],[Ask Rate]]=0,0,Table1[[#This Row],[Face Value]]-Table1[[#This Row],[Ask Rate]])</f>
        <v>0</v>
      </c>
      <c r="AA1391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1391">
        <f ca="1">Table1[[#This Row],[Face Value]]*Table1[[#This Row],[Rate]]*Table1[[#This Row],[Time]]</f>
        <v>127.39700000000001</v>
      </c>
      <c r="AC1391">
        <f ca="1">Table1[[#This Row],[SI]]+Table1[[#This Row],[Disc/Prem]]</f>
        <v>127.39700000000001</v>
      </c>
      <c r="AD1391" s="3" t="e">
        <f ca="1">Table1[[#This Row],[Net Gain]]/Table1[[#This Row],[Ask Rate]]</f>
        <v>#DIV/0!</v>
      </c>
      <c r="AE1391" s="3">
        <f>IF(Table1[[#This Row],[Ask Qty]]=0,0,Table1[[#This Row],[Gross Yield]]*365/Table1[[#This Row],[Days Left]])</f>
        <v>0</v>
      </c>
      <c r="AF1391" s="9">
        <f ca="1">+Table1[[#This Row],[Net Gain]]*Table1[[#This Row],[Ask Qty]]</f>
        <v>0</v>
      </c>
      <c r="AG1391" t="str">
        <f>IF(Table1[[#This Row],[YTM]]&gt;0.12,IF(Table1[[#This Row],[Gross Profit]]&gt;10000,"Invest","Review"),"Low YTM")</f>
        <v>Low YTM</v>
      </c>
    </row>
    <row r="1392" spans="1:33" x14ac:dyDescent="0.3">
      <c r="A1392" t="str">
        <f>RTD("nest.scriprtd",,"bse_cm|96MFL25","Symbol")</f>
        <v>96MFL25</v>
      </c>
      <c r="B1392" t="str">
        <f>RTD("nest.scriprtd",,"bse_cm|96MFL25","Trading Symbol")</f>
        <v>96MFL25</v>
      </c>
      <c r="C1392" t="str">
        <f>RTD("nest.scriprtd",,"bse_cm|96MFL25","Exchange")</f>
        <v>BSE</v>
      </c>
      <c r="D1392">
        <f>RTD("nest.scriprtd",,"bse_cm|96MFL25","Bid Qty")</f>
        <v>20</v>
      </c>
      <c r="E1392">
        <f>RTD("nest.scriprtd",,"bse_cm|96MFL25","Bid Rate")</f>
        <v>970.02</v>
      </c>
      <c r="F1392">
        <f>RTD("nest.scriprtd",,"bse_cm|96MFL25","Ask Rate")</f>
        <v>0</v>
      </c>
      <c r="G1392">
        <f>RTD("nest.scriprtd",,"bse_cm|96MFL25","Ask Qty")</f>
        <v>0</v>
      </c>
      <c r="H1392">
        <f>RTD("nest.scriprtd",,"bse_cm|96MFL25","LTP")</f>
        <v>0</v>
      </c>
      <c r="I1392" t="str">
        <f>RTD("nest.scriprtd",,"bse_cm|96MFL25","LTT")</f>
        <v>00:00:00</v>
      </c>
      <c r="J1392">
        <f>RTD("nest.scriprtd",,"bse_cm|96MFL25","% Change")</f>
        <v>-100</v>
      </c>
      <c r="K1392">
        <f>RTD("nest.scriprtd",,"bse_cm|96MFL25","ATP")</f>
        <v>0</v>
      </c>
      <c r="L1392">
        <f>RTD("nest.scriprtd",,"bse_cm|96MFL25","Volume Traded Today")</f>
        <v>0</v>
      </c>
      <c r="M1392">
        <f>RTD("nest.scriprtd",,"bse_cm|96MFL25","Open")</f>
        <v>0</v>
      </c>
      <c r="N1392">
        <f>RTD("nest.scriprtd",,"bse_cm|96MFL25","High")</f>
        <v>1060</v>
      </c>
      <c r="O1392">
        <f>RTD("nest.scriprtd",,"bse_cm|96MFL25","Low ")</f>
        <v>1060</v>
      </c>
      <c r="P1392">
        <f>RTD("nest.scriprtd",,"bse_cm|96MFL25","Prev Close")</f>
        <v>1060</v>
      </c>
      <c r="Q1392">
        <f>RTD("nest.scriprtd",,"bse_cm|96MFL25","Face Value")</f>
        <v>1000</v>
      </c>
      <c r="R1392" t="str">
        <f>RTD("nest.scriprtd",,"bse_cm|96MFL25","Isin code")</f>
        <v>INE549K07857</v>
      </c>
      <c r="S1392" s="9">
        <f>Table1[[#This Row],[Ask Rate]]*Table1[[#This Row],[Ask Qty]]</f>
        <v>0</v>
      </c>
      <c r="T1392">
        <f>VLOOKUP(Table1[[#This Row],[Isin code]],Table2[#All],7,FALSE)</f>
        <v>9.6</v>
      </c>
      <c r="U1392" s="17" t="str">
        <f>VLOOKUP(Table1[[#This Row],[Isin code]],Table2[#All],8,FALSE)</f>
        <v>29-Oct-2025</v>
      </c>
      <c r="V1392" s="10">
        <f ca="1">Table1[[#This Row],[Maturity]]-TODAY()</f>
        <v>378</v>
      </c>
      <c r="W1392" t="str">
        <f>VLOOKUP(Table1[[#This Row],[Isin code]],Table2[#All],10,FALSE)</f>
        <v>Yearly</v>
      </c>
      <c r="X1392">
        <f ca="1">_xlfn.DAYS(Table1[[#This Row],[Maturity]],TODAY())-15</f>
        <v>363</v>
      </c>
      <c r="Y13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392">
        <f>IF(Table1[[#This Row],[Ask Rate]]=0,0,Table1[[#This Row],[Face Value]]-Table1[[#This Row],[Ask Rate]])</f>
        <v>0</v>
      </c>
      <c r="AA1392">
        <f>IF(Table1[[#This Row],[Freq]]="Yearly",Table1[[#This Row],[Coupon_Rate]]/100,IF(Table1[[#This Row],[Freq]]="Monthly",Table1[[#This Row],[Coupon_Rate]]/1200,IF(Table1[[#This Row],[Freq]]="Quarterly",Table1[[#This Row],[Coupon_Rate]]/400,0)))</f>
        <v>9.6000000000000002E-2</v>
      </c>
      <c r="AB1392">
        <f ca="1">Table1[[#This Row],[Face Value]]*Table1[[#This Row],[Rate]]*Table1[[#This Row],[Time]]</f>
        <v>96</v>
      </c>
      <c r="AC1392">
        <f ca="1">Table1[[#This Row],[SI]]+Table1[[#This Row],[Disc/Prem]]</f>
        <v>96</v>
      </c>
      <c r="AD1392" s="3" t="e">
        <f ca="1">Table1[[#This Row],[Net Gain]]/Table1[[#This Row],[Ask Rate]]</f>
        <v>#DIV/0!</v>
      </c>
      <c r="AE1392" s="3">
        <f>IF(Table1[[#This Row],[Ask Qty]]=0,0,Table1[[#This Row],[Gross Yield]]*365/Table1[[#This Row],[Days Left]])</f>
        <v>0</v>
      </c>
      <c r="AF1392" s="9">
        <f ca="1">+Table1[[#This Row],[Net Gain]]*Table1[[#This Row],[Ask Qty]]</f>
        <v>0</v>
      </c>
      <c r="AG1392" t="str">
        <f>IF(Table1[[#This Row],[YTM]]&gt;0.12,IF(Table1[[#This Row],[Gross Profit]]&gt;10000,"Invest","Review"),"Low YTM")</f>
        <v>Low YTM</v>
      </c>
    </row>
    <row r="1393" spans="1:33" hidden="1" x14ac:dyDescent="0.3">
      <c r="A1393" t="str">
        <f>RTD("nest.scriprtd",,"nse_cm|925ICCL24A-NE","Symbol")</f>
        <v>925ICCL24A</v>
      </c>
      <c r="B1393" t="str">
        <f>RTD("nest.scriprtd",,"nse_cm|925ICCL24A-NE","Trading Symbol")</f>
        <v>925ICCL24A-NE</v>
      </c>
      <c r="C1393" t="str">
        <f>RTD("nest.scriprtd",,"nse_cm|925ICCL24A-NE","Exchange")</f>
        <v>NSE</v>
      </c>
      <c r="D1393">
        <f>RTD("nest.scriprtd",,"nse_cm|925ICCL24A-NE","Bid Qty")</f>
        <v>9</v>
      </c>
      <c r="E1393">
        <f>RTD("nest.scriprtd",,"nse_cm|925ICCL24A-NE","Bid Rate")</f>
        <v>1018.5</v>
      </c>
      <c r="F1393">
        <f>RTD("nest.scriprtd",,"nse_cm|925ICCL24A-NE","Ask Rate")</f>
        <v>0</v>
      </c>
      <c r="G1393">
        <f>RTD("nest.scriprtd",,"nse_cm|925ICCL24A-NE","Ask Qty")</f>
        <v>0</v>
      </c>
      <c r="H1393">
        <f>RTD("nest.scriprtd",,"nse_cm|925ICCL24A-NE","LTP")</f>
        <v>1018.2</v>
      </c>
      <c r="I1393" t="str">
        <f>RTD("nest.scriprtd",,"nse_cm|925ICCL24A-NE","LTT")</f>
        <v/>
      </c>
      <c r="J1393">
        <f>RTD("nest.scriprtd",,"nse_cm|925ICCL24A-NE","% Change")</f>
        <v>0</v>
      </c>
      <c r="K1393">
        <f>RTD("nest.scriprtd",,"nse_cm|925ICCL24A-NE","ATP")</f>
        <v>0</v>
      </c>
      <c r="L1393">
        <f>RTD("nest.scriprtd",,"nse_cm|925ICCL24A-NE","Volume Traded Today")</f>
        <v>0</v>
      </c>
      <c r="M1393">
        <f>RTD("nest.scriprtd",,"nse_cm|925ICCL24A-NE","Open")</f>
        <v>0</v>
      </c>
      <c r="N1393">
        <f>RTD("nest.scriprtd",,"nse_cm|925ICCL24A-NE","High")</f>
        <v>1018.2</v>
      </c>
      <c r="O1393">
        <f>RTD("nest.scriprtd",,"nse_cm|925ICCL24A-NE","Low ")</f>
        <v>1018.2</v>
      </c>
      <c r="P1393">
        <f>RTD("nest.scriprtd",,"nse_cm|925ICCL24A-NE","Prev Close")</f>
        <v>1018.2</v>
      </c>
      <c r="Q1393">
        <f>RTD("nest.scriprtd",,"nse_cm|925ICCL24A-NE","Face Value")</f>
        <v>1000</v>
      </c>
      <c r="R1393" t="str">
        <f>RTD("nest.scriprtd",,"nse_cm|925ICCL24A-NE","Isin code")</f>
        <v>INE244L07275</v>
      </c>
      <c r="S1393" s="9">
        <f>Table1[[#This Row],[Ask Rate]]*Table1[[#This Row],[Ask Qty]]</f>
        <v>0</v>
      </c>
      <c r="T1393">
        <f>VLOOKUP(Table1[[#This Row],[Isin code]],Table2[#All],7,FALSE)</f>
        <v>9.8000000000000007</v>
      </c>
      <c r="U1393" s="17" t="str">
        <f>VLOOKUP(Table1[[#This Row],[Isin code]],Table2[#All],8,FALSE)</f>
        <v>02-Feb-2025</v>
      </c>
      <c r="V1393" s="10">
        <f ca="1">Table1[[#This Row],[Maturity]]-TODAY()</f>
        <v>109</v>
      </c>
      <c r="W1393" t="str">
        <f>VLOOKUP(Table1[[#This Row],[Isin code]],Table2[#All],10,FALSE)</f>
        <v>Yearly</v>
      </c>
      <c r="X1393">
        <f ca="1">_xlfn.DAYS(Table1[[#This Row],[Maturity]],TODAY())-15</f>
        <v>94</v>
      </c>
      <c r="Y13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393">
        <f>IF(Table1[[#This Row],[Ask Rate]]=0,0,Table1[[#This Row],[Face Value]]-Table1[[#This Row],[Ask Rate]])</f>
        <v>0</v>
      </c>
      <c r="AA1393">
        <f>IF(Table1[[#This Row],[Freq]]="Yearly",Table1[[#This Row],[Coupon_Rate]]/100,IF(Table1[[#This Row],[Freq]]="Monthly",Table1[[#This Row],[Coupon_Rate]]/1200,IF(Table1[[#This Row],[Freq]]="Quarterly",Table1[[#This Row],[Coupon_Rate]]/400,0)))</f>
        <v>9.8000000000000004E-2</v>
      </c>
      <c r="AB1393">
        <f ca="1">Table1[[#This Row],[Face Value]]*Table1[[#This Row],[Rate]]*Table1[[#This Row],[Time]]</f>
        <v>98</v>
      </c>
      <c r="AC1393">
        <f ca="1">Table1[[#This Row],[SI]]+Table1[[#This Row],[Disc/Prem]]</f>
        <v>98</v>
      </c>
      <c r="AD1393" s="3" t="e">
        <f ca="1">Table1[[#This Row],[Net Gain]]/Table1[[#This Row],[Ask Rate]]</f>
        <v>#DIV/0!</v>
      </c>
      <c r="AE1393" s="3">
        <f>IF(Table1[[#This Row],[Ask Qty]]=0,0,Table1[[#This Row],[Gross Yield]]*365/Table1[[#This Row],[Days Left]])</f>
        <v>0</v>
      </c>
      <c r="AF1393" s="9">
        <f ca="1">+Table1[[#This Row],[Net Gain]]*Table1[[#This Row],[Ask Qty]]</f>
        <v>0</v>
      </c>
      <c r="AG1393" t="str">
        <f>IF(Table1[[#This Row],[YTM]]&gt;0.12,IF(Table1[[#This Row],[Gross Profit]]&gt;10000,"Invest","Review"),"Low YTM")</f>
        <v>Low YTM</v>
      </c>
    </row>
    <row r="1394" spans="1:33" x14ac:dyDescent="0.3">
      <c r="A1394" t="str">
        <f>RTD("nest.scriprtd",,"bse_cm|875CIFC23B","Symbol")</f>
        <v>875CIFC23B</v>
      </c>
      <c r="B1394" t="str">
        <f>RTD("nest.scriprtd",,"bse_cm|875CIFC23B","Trading Symbol")</f>
        <v>875CIFC23B</v>
      </c>
      <c r="C1394" t="str">
        <f>RTD("nest.scriprtd",,"bse_cm|875CIFC23B","Exchange")</f>
        <v>BSE</v>
      </c>
      <c r="D1394">
        <f>RTD("nest.scriprtd",,"bse_cm|875CIFC23B","Bid Qty")</f>
        <v>9</v>
      </c>
      <c r="E1394">
        <f>RTD("nest.scriprtd",,"bse_cm|875CIFC23B","Bid Rate")</f>
        <v>1021.1</v>
      </c>
      <c r="F1394">
        <f>RTD("nest.scriprtd",,"bse_cm|875CIFC23B","Ask Rate")</f>
        <v>0</v>
      </c>
      <c r="G1394">
        <f>RTD("nest.scriprtd",,"bse_cm|875CIFC23B","Ask Qty")</f>
        <v>0</v>
      </c>
      <c r="H1394">
        <f>RTD("nest.scriprtd",,"bse_cm|875CIFC23B","LTP")</f>
        <v>0</v>
      </c>
      <c r="I1394" t="str">
        <f>RTD("nest.scriprtd",,"bse_cm|875CIFC23B","LTT")</f>
        <v>00:00:00</v>
      </c>
      <c r="J1394">
        <f>RTD("nest.scriprtd",,"bse_cm|875CIFC23B","% Change")</f>
        <v>-100</v>
      </c>
      <c r="K1394">
        <f>RTD("nest.scriprtd",,"bse_cm|875CIFC23B","ATP")</f>
        <v>0</v>
      </c>
      <c r="L1394">
        <f>RTD("nest.scriprtd",,"bse_cm|875CIFC23B","Volume Traded Today")</f>
        <v>0</v>
      </c>
      <c r="M1394">
        <f>RTD("nest.scriprtd",,"bse_cm|875CIFC23B","Open")</f>
        <v>0</v>
      </c>
      <c r="N1394">
        <f>RTD("nest.scriprtd",,"bse_cm|875CIFC23B","High")</f>
        <v>1050</v>
      </c>
      <c r="O1394">
        <f>RTD("nest.scriprtd",,"bse_cm|875CIFC23B","Low ")</f>
        <v>1050</v>
      </c>
      <c r="P1394">
        <f>RTD("nest.scriprtd",,"bse_cm|875CIFC23B","Prev Close")</f>
        <v>1050</v>
      </c>
      <c r="Q1394">
        <f>RTD("nest.scriprtd",,"bse_cm|875CIFC23B","Face Value")</f>
        <v>1000</v>
      </c>
      <c r="R1394" t="str">
        <f>RTD("nest.scriprtd",,"bse_cm|875CIFC23B","Isin code")</f>
        <v>INE121A07RQ3</v>
      </c>
      <c r="S1394" s="9">
        <f>Table1[[#This Row],[Ask Rate]]*Table1[[#This Row],[Ask Qty]]</f>
        <v>0</v>
      </c>
      <c r="T1394">
        <f>VLOOKUP(Table1[[#This Row],[Isin code]],Table2[#All],7,FALSE)</f>
        <v>8.4499999999999993</v>
      </c>
      <c r="U1394" s="17" t="str">
        <f>VLOOKUP(Table1[[#This Row],[Isin code]],Table2[#All],8,FALSE)</f>
        <v>31-Jan-2026</v>
      </c>
      <c r="V1394" s="10">
        <f ca="1">Table1[[#This Row],[Maturity]]-TODAY()</f>
        <v>472</v>
      </c>
      <c r="W1394" t="str">
        <f>VLOOKUP(Table1[[#This Row],[Isin code]],Table2[#All],10,FALSE)</f>
        <v>Yearly</v>
      </c>
      <c r="X1394">
        <f ca="1">_xlfn.DAYS(Table1[[#This Row],[Maturity]],TODAY())-15</f>
        <v>457</v>
      </c>
      <c r="Y13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394">
        <f>IF(Table1[[#This Row],[Ask Rate]]=0,0,Table1[[#This Row],[Face Value]]-Table1[[#This Row],[Ask Rate]])</f>
        <v>0</v>
      </c>
      <c r="AA1394">
        <f>IF(Table1[[#This Row],[Freq]]="Yearly",Table1[[#This Row],[Coupon_Rate]]/100,IF(Table1[[#This Row],[Freq]]="Monthly",Table1[[#This Row],[Coupon_Rate]]/1200,IF(Table1[[#This Row],[Freq]]="Quarterly",Table1[[#This Row],[Coupon_Rate]]/400,0)))</f>
        <v>8.4499999999999992E-2</v>
      </c>
      <c r="AB1394">
        <f ca="1">Table1[[#This Row],[Face Value]]*Table1[[#This Row],[Rate]]*Table1[[#This Row],[Time]]</f>
        <v>168.99999999999997</v>
      </c>
      <c r="AC1394">
        <f ca="1">Table1[[#This Row],[SI]]+Table1[[#This Row],[Disc/Prem]]</f>
        <v>168.99999999999997</v>
      </c>
      <c r="AD1394" s="3" t="e">
        <f ca="1">Table1[[#This Row],[Net Gain]]/Table1[[#This Row],[Ask Rate]]</f>
        <v>#DIV/0!</v>
      </c>
      <c r="AE1394" s="3">
        <f>IF(Table1[[#This Row],[Ask Qty]]=0,0,Table1[[#This Row],[Gross Yield]]*365/Table1[[#This Row],[Days Left]])</f>
        <v>0</v>
      </c>
      <c r="AF1394" s="9">
        <f ca="1">+Table1[[#This Row],[Net Gain]]*Table1[[#This Row],[Ask Qty]]</f>
        <v>0</v>
      </c>
      <c r="AG1394" t="str">
        <f>IF(Table1[[#This Row],[YTM]]&gt;0.12,IF(Table1[[#This Row],[Gross Profit]]&gt;10000,"Invest","Review"),"Low YTM")</f>
        <v>Low YTM</v>
      </c>
    </row>
    <row r="1395" spans="1:33" x14ac:dyDescent="0.3">
      <c r="A1395" t="str">
        <f>RTD("nest.scriprtd",,"bse_cm|93ARKA25","Symbol")</f>
        <v>93ARKA25</v>
      </c>
      <c r="B1395" t="str">
        <f>RTD("nest.scriprtd",,"bse_cm|93ARKA25","Trading Symbol")</f>
        <v>93ARKA25</v>
      </c>
      <c r="C1395" t="str">
        <f>RTD("nest.scriprtd",,"bse_cm|93ARKA25","Exchange")</f>
        <v>BSE</v>
      </c>
      <c r="D1395">
        <f>RTD("nest.scriprtd",,"bse_cm|93ARKA25","Bid Qty")</f>
        <v>72</v>
      </c>
      <c r="E1395">
        <f>RTD("nest.scriprtd",,"bse_cm|93ARKA25","Bid Rate")</f>
        <v>875.25</v>
      </c>
      <c r="F1395">
        <f>RTD("nest.scriprtd",,"bse_cm|93ARKA25","Ask Rate")</f>
        <v>0</v>
      </c>
      <c r="G1395">
        <f>RTD("nest.scriprtd",,"bse_cm|93ARKA25","Ask Qty")</f>
        <v>0</v>
      </c>
      <c r="H1395">
        <f>RTD("nest.scriprtd",,"bse_cm|93ARKA25","LTP")</f>
        <v>0</v>
      </c>
      <c r="I1395" t="str">
        <f>RTD("nest.scriprtd",,"bse_cm|93ARKA25","LTT")</f>
        <v>00:00:00</v>
      </c>
      <c r="J1395">
        <f>RTD("nest.scriprtd",,"bse_cm|93ARKA25","% Change")</f>
        <v>-100</v>
      </c>
      <c r="K1395">
        <f>RTD("nest.scriprtd",,"bse_cm|93ARKA25","ATP")</f>
        <v>0</v>
      </c>
      <c r="L1395">
        <f>RTD("nest.scriprtd",,"bse_cm|93ARKA25","Volume Traded Today")</f>
        <v>0</v>
      </c>
      <c r="M1395">
        <f>RTD("nest.scriprtd",,"bse_cm|93ARKA25","Open")</f>
        <v>0</v>
      </c>
      <c r="N1395">
        <f>RTD("nest.scriprtd",,"bse_cm|93ARKA25","High")</f>
        <v>1027.96</v>
      </c>
      <c r="O1395">
        <f>RTD("nest.scriprtd",,"bse_cm|93ARKA25","Low ")</f>
        <v>1016</v>
      </c>
      <c r="P1395">
        <f>RTD("nest.scriprtd",,"bse_cm|93ARKA25","Prev Close")</f>
        <v>1027.96</v>
      </c>
      <c r="Q1395">
        <f>RTD("nest.scriprtd",,"bse_cm|93ARKA25","Face Value")</f>
        <v>1000</v>
      </c>
      <c r="R1395" t="str">
        <f>RTD("nest.scriprtd",,"bse_cm|93ARKA25","Isin code")</f>
        <v>INE03W107215</v>
      </c>
      <c r="S1395" s="9">
        <f>Table1[[#This Row],[Ask Rate]]*Table1[[#This Row],[Ask Qty]]</f>
        <v>0</v>
      </c>
      <c r="T1395">
        <f>VLOOKUP(Table1[[#This Row],[Isin code]],Table2[#All],7,FALSE)</f>
        <v>9.3000000000000007</v>
      </c>
      <c r="U1395" s="17" t="str">
        <f>VLOOKUP(Table1[[#This Row],[Isin code]],Table2[#All],8,FALSE)</f>
        <v>27-Dec-2025</v>
      </c>
      <c r="V1395" s="10">
        <f ca="1">Table1[[#This Row],[Maturity]]-TODAY()</f>
        <v>437</v>
      </c>
      <c r="W1395" t="str">
        <f>VLOOKUP(Table1[[#This Row],[Isin code]],Table2[#All],10,FALSE)</f>
        <v>Yearly</v>
      </c>
      <c r="X1395">
        <f ca="1">_xlfn.DAYS(Table1[[#This Row],[Maturity]],TODAY())-15</f>
        <v>422</v>
      </c>
      <c r="Y13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395">
        <f>IF(Table1[[#This Row],[Ask Rate]]=0,0,Table1[[#This Row],[Face Value]]-Table1[[#This Row],[Ask Rate]])</f>
        <v>0</v>
      </c>
      <c r="AA1395">
        <f>IF(Table1[[#This Row],[Freq]]="Yearly",Table1[[#This Row],[Coupon_Rate]]/100,IF(Table1[[#This Row],[Freq]]="Monthly",Table1[[#This Row],[Coupon_Rate]]/1200,IF(Table1[[#This Row],[Freq]]="Quarterly",Table1[[#This Row],[Coupon_Rate]]/400,0)))</f>
        <v>9.3000000000000013E-2</v>
      </c>
      <c r="AB1395">
        <f ca="1">Table1[[#This Row],[Face Value]]*Table1[[#This Row],[Rate]]*Table1[[#This Row],[Time]]</f>
        <v>186.00000000000003</v>
      </c>
      <c r="AC1395">
        <f ca="1">Table1[[#This Row],[SI]]+Table1[[#This Row],[Disc/Prem]]</f>
        <v>186.00000000000003</v>
      </c>
      <c r="AD1395" s="3" t="e">
        <f ca="1">Table1[[#This Row],[Net Gain]]/Table1[[#This Row],[Ask Rate]]</f>
        <v>#DIV/0!</v>
      </c>
      <c r="AE1395" s="3">
        <f>IF(Table1[[#This Row],[Ask Qty]]=0,0,Table1[[#This Row],[Gross Yield]]*365/Table1[[#This Row],[Days Left]])</f>
        <v>0</v>
      </c>
      <c r="AF1395" s="9">
        <f ca="1">+Table1[[#This Row],[Net Gain]]*Table1[[#This Row],[Ask Qty]]</f>
        <v>0</v>
      </c>
      <c r="AG1395" t="str">
        <f>IF(Table1[[#This Row],[YTM]]&gt;0.12,IF(Table1[[#This Row],[Gross Profit]]&gt;10000,"Invest","Review"),"Low YTM")</f>
        <v>Low YTM</v>
      </c>
    </row>
    <row r="1396" spans="1:33" x14ac:dyDescent="0.3">
      <c r="A1396" t="str">
        <f>RTD("nest.scriprtd",,"bse_cm|CIFCZC28A","Symbol")</f>
        <v>CIFCZC28A</v>
      </c>
      <c r="B1396" t="str">
        <f>RTD("nest.scriprtd",,"bse_cm|CIFCZC28A","Trading Symbol")</f>
        <v>CIFCZC28A</v>
      </c>
      <c r="C1396" t="str">
        <f>RTD("nest.scriprtd",,"bse_cm|CIFCZC28A","Exchange")</f>
        <v>BSE</v>
      </c>
      <c r="D1396">
        <f>RTD("nest.scriprtd",,"bse_cm|CIFCZC28A","Bid Qty")</f>
        <v>50</v>
      </c>
      <c r="E1396">
        <f>RTD("nest.scriprtd",,"bse_cm|CIFCZC28A","Bid Rate")</f>
        <v>1061.01</v>
      </c>
      <c r="F1396">
        <f>RTD("nest.scriprtd",,"bse_cm|CIFCZC28A","Ask Rate")</f>
        <v>0</v>
      </c>
      <c r="G1396">
        <f>RTD("nest.scriprtd",,"bse_cm|CIFCZC28A","Ask Qty")</f>
        <v>0</v>
      </c>
      <c r="H1396">
        <f>RTD("nest.scriprtd",,"bse_cm|CIFCZC28A","LTP")</f>
        <v>0</v>
      </c>
      <c r="I1396" t="str">
        <f>RTD("nest.scriprtd",,"bse_cm|CIFCZC28A","LTT")</f>
        <v>00:00:00</v>
      </c>
      <c r="J1396">
        <f>RTD("nest.scriprtd",,"bse_cm|CIFCZC28A","% Change")</f>
        <v>-100</v>
      </c>
      <c r="K1396">
        <f>RTD("nest.scriprtd",,"bse_cm|CIFCZC28A","ATP")</f>
        <v>0</v>
      </c>
      <c r="L1396">
        <f>RTD("nest.scriprtd",,"bse_cm|CIFCZC28A","Volume Traded Today")</f>
        <v>0</v>
      </c>
      <c r="M1396">
        <f>RTD("nest.scriprtd",,"bse_cm|CIFCZC28A","Open")</f>
        <v>0</v>
      </c>
      <c r="N1396">
        <f>RTD("nest.scriprtd",,"bse_cm|CIFCZC28A","High")</f>
        <v>1057</v>
      </c>
      <c r="O1396">
        <f>RTD("nest.scriprtd",,"bse_cm|CIFCZC28A","Low ")</f>
        <v>1020</v>
      </c>
      <c r="P1396">
        <f>RTD("nest.scriprtd",,"bse_cm|CIFCZC28A","Prev Close")</f>
        <v>1057</v>
      </c>
      <c r="Q1396">
        <f>RTD("nest.scriprtd",,"bse_cm|CIFCZC28A","Face Value")</f>
        <v>1000</v>
      </c>
      <c r="R1396" t="str">
        <f>RTD("nest.scriprtd",,"bse_cm|CIFCZC28A","Isin code")</f>
        <v>INE121A07QX1</v>
      </c>
      <c r="S1396" s="9">
        <f>Table1[[#This Row],[Ask Rate]]*Table1[[#This Row],[Ask Qty]]</f>
        <v>0</v>
      </c>
      <c r="T1396">
        <f>VLOOKUP(Table1[[#This Row],[Isin code]],Table2[#All],7,FALSE)</f>
        <v>0</v>
      </c>
      <c r="U1396" s="17" t="str">
        <f>VLOOKUP(Table1[[#This Row],[Isin code]],Table2[#All],8,FALSE)</f>
        <v>04-May-2028</v>
      </c>
      <c r="V1396" s="10">
        <f ca="1">Table1[[#This Row],[Maturity]]-TODAY()</f>
        <v>1296</v>
      </c>
      <c r="W1396" t="str">
        <f>VLOOKUP(Table1[[#This Row],[Isin code]],Table2[#All],10,FALSE)</f>
        <v>Yearly</v>
      </c>
      <c r="X1396">
        <f ca="1">_xlfn.DAYS(Table1[[#This Row],[Maturity]],TODAY())-15</f>
        <v>1281</v>
      </c>
      <c r="Y13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396">
        <f>IF(Table1[[#This Row],[Ask Rate]]=0,0,Table1[[#This Row],[Face Value]]-Table1[[#This Row],[Ask Rate]])</f>
        <v>0</v>
      </c>
      <c r="AA139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96">
        <f ca="1">Table1[[#This Row],[Face Value]]*Table1[[#This Row],[Rate]]*Table1[[#This Row],[Time]]</f>
        <v>0</v>
      </c>
      <c r="AC1396">
        <f ca="1">Table1[[#This Row],[SI]]+Table1[[#This Row],[Disc/Prem]]</f>
        <v>0</v>
      </c>
      <c r="AD1396" s="3" t="e">
        <f ca="1">Table1[[#This Row],[Net Gain]]/Table1[[#This Row],[Ask Rate]]</f>
        <v>#DIV/0!</v>
      </c>
      <c r="AE1396" s="3">
        <f>IF(Table1[[#This Row],[Ask Qty]]=0,0,Table1[[#This Row],[Gross Yield]]*365/Table1[[#This Row],[Days Left]])</f>
        <v>0</v>
      </c>
      <c r="AF1396" s="9">
        <f ca="1">+Table1[[#This Row],[Net Gain]]*Table1[[#This Row],[Ask Qty]]</f>
        <v>0</v>
      </c>
      <c r="AG1396" t="str">
        <f>IF(Table1[[#This Row],[YTM]]&gt;0.12,IF(Table1[[#This Row],[Gross Profit]]&gt;10000,"Invest","Review"),"Low YTM")</f>
        <v>Low YTM</v>
      </c>
    </row>
    <row r="1397" spans="1:33" x14ac:dyDescent="0.3">
      <c r="A1397" t="str">
        <f>RTD("nest.scriprtd",,"bse_cm|MFLVII27","Symbol")</f>
        <v>MFLVII27</v>
      </c>
      <c r="B1397" t="str">
        <f>RTD("nest.scriprtd",,"bse_cm|MFLVII27","Trading Symbol")</f>
        <v>MFLVII27</v>
      </c>
      <c r="C1397" t="str">
        <f>RTD("nest.scriprtd",,"bse_cm|MFLVII27","Exchange")</f>
        <v>BSE</v>
      </c>
      <c r="D1397">
        <f>RTD("nest.scriprtd",,"bse_cm|MFLVII27","Bid Qty")</f>
        <v>50</v>
      </c>
      <c r="E1397">
        <f>RTD("nest.scriprtd",,"bse_cm|MFLVII27","Bid Rate")</f>
        <v>1090.02</v>
      </c>
      <c r="F1397">
        <f>RTD("nest.scriprtd",,"bse_cm|MFLVII27","Ask Rate")</f>
        <v>0</v>
      </c>
      <c r="G1397">
        <f>RTD("nest.scriprtd",,"bse_cm|MFLVII27","Ask Qty")</f>
        <v>0</v>
      </c>
      <c r="H1397">
        <f>RTD("nest.scriprtd",,"bse_cm|MFLVII27","LTP")</f>
        <v>0</v>
      </c>
      <c r="I1397" t="str">
        <f>RTD("nest.scriprtd",,"bse_cm|MFLVII27","LTT")</f>
        <v>00:00:00</v>
      </c>
      <c r="J1397">
        <f>RTD("nest.scriprtd",,"bse_cm|MFLVII27","% Change")</f>
        <v>-100</v>
      </c>
      <c r="K1397">
        <f>RTD("nest.scriprtd",,"bse_cm|MFLVII27","ATP")</f>
        <v>0</v>
      </c>
      <c r="L1397">
        <f>RTD("nest.scriprtd",,"bse_cm|MFLVII27","Volume Traded Today")</f>
        <v>0</v>
      </c>
      <c r="M1397">
        <f>RTD("nest.scriprtd",,"bse_cm|MFLVII27","Open")</f>
        <v>0</v>
      </c>
      <c r="N1397">
        <f>RTD("nest.scriprtd",,"bse_cm|MFLVII27","High")</f>
        <v>1110</v>
      </c>
      <c r="O1397">
        <f>RTD("nest.scriprtd",,"bse_cm|MFLVII27","Low ")</f>
        <v>1110</v>
      </c>
      <c r="P1397">
        <f>RTD("nest.scriprtd",,"bse_cm|MFLVII27","Prev Close")</f>
        <v>1110</v>
      </c>
      <c r="Q1397">
        <f>RTD("nest.scriprtd",,"bse_cm|MFLVII27","Face Value")</f>
        <v>1000</v>
      </c>
      <c r="R1397" t="str">
        <f>RTD("nest.scriprtd",,"bse_cm|MFLVII27","Isin code")</f>
        <v>INE414G07GR0</v>
      </c>
      <c r="S1397" s="9">
        <f>Table1[[#This Row],[Ask Rate]]*Table1[[#This Row],[Ask Qty]]</f>
        <v>0</v>
      </c>
      <c r="T1397" t="str">
        <f>VLOOKUP(Table1[[#This Row],[Isin code]],Table2[#All],7,FALSE)</f>
        <v>--</v>
      </c>
      <c r="U1397" s="17" t="str">
        <f>VLOOKUP(Table1[[#This Row],[Isin code]],Table2[#All],8,FALSE)</f>
        <v>23-Jun-2027</v>
      </c>
      <c r="V1397" s="10">
        <f ca="1">Table1[[#This Row],[Maturity]]-TODAY()</f>
        <v>980</v>
      </c>
      <c r="W1397" t="str">
        <f>VLOOKUP(Table1[[#This Row],[Isin code]],Table2[#All],10,FALSE)</f>
        <v>At the End</v>
      </c>
      <c r="X1397">
        <f ca="1">_xlfn.DAYS(Table1[[#This Row],[Maturity]],TODAY())-15</f>
        <v>965</v>
      </c>
      <c r="Y139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97">
        <f>IF(Table1[[#This Row],[Ask Rate]]=0,0,Table1[[#This Row],[Face Value]]-Table1[[#This Row],[Ask Rate]])</f>
        <v>0</v>
      </c>
      <c r="AA139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97">
        <f>Table1[[#This Row],[Face Value]]*Table1[[#This Row],[Rate]]*Table1[[#This Row],[Time]]</f>
        <v>0</v>
      </c>
      <c r="AC1397">
        <f>Table1[[#This Row],[SI]]+Table1[[#This Row],[Disc/Prem]]</f>
        <v>0</v>
      </c>
      <c r="AD1397" s="3" t="e">
        <f>Table1[[#This Row],[Net Gain]]/Table1[[#This Row],[Ask Rate]]</f>
        <v>#DIV/0!</v>
      </c>
      <c r="AE1397" s="3">
        <f>IF(Table1[[#This Row],[Ask Qty]]=0,0,Table1[[#This Row],[Gross Yield]]*365/Table1[[#This Row],[Days Left]])</f>
        <v>0</v>
      </c>
      <c r="AF1397" s="9">
        <f>+Table1[[#This Row],[Net Gain]]*Table1[[#This Row],[Ask Qty]]</f>
        <v>0</v>
      </c>
      <c r="AG1397" t="str">
        <f>IF(Table1[[#This Row],[YTM]]&gt;0.12,IF(Table1[[#This Row],[Gross Profit]]&gt;10000,"Invest","Review"),"Low YTM")</f>
        <v>Low YTM</v>
      </c>
    </row>
    <row r="1398" spans="1:33" hidden="1" x14ac:dyDescent="0.3">
      <c r="A1398" t="str">
        <f>RTD("nest.scriprtd",,"bse_cm|948ICCL25A","Symbol")</f>
        <v>948ICCL25A</v>
      </c>
      <c r="B1398" t="str">
        <f>RTD("nest.scriprtd",,"bse_cm|948ICCL25A","Trading Symbol")</f>
        <v>948ICCL25A</v>
      </c>
      <c r="C1398" t="str">
        <f>RTD("nest.scriprtd",,"bse_cm|948ICCL25A","Exchange")</f>
        <v>BSE</v>
      </c>
      <c r="D1398">
        <f>RTD("nest.scriprtd",,"bse_cm|948ICCL25A","Bid Qty")</f>
        <v>9</v>
      </c>
      <c r="E1398">
        <f>RTD("nest.scriprtd",,"bse_cm|948ICCL25A","Bid Rate")</f>
        <v>1100.0999999999999</v>
      </c>
      <c r="F1398">
        <f>RTD("nest.scriprtd",,"bse_cm|948ICCL25A","Ask Rate")</f>
        <v>0</v>
      </c>
      <c r="G1398">
        <f>RTD("nest.scriprtd",,"bse_cm|948ICCL25A","Ask Qty")</f>
        <v>0</v>
      </c>
      <c r="H1398">
        <f>RTD("nest.scriprtd",,"bse_cm|948ICCL25A","LTP")</f>
        <v>0</v>
      </c>
      <c r="I1398" t="str">
        <f>RTD("nest.scriprtd",,"bse_cm|948ICCL25A","LTT")</f>
        <v>00:00:00</v>
      </c>
      <c r="J1398">
        <f>RTD("nest.scriprtd",,"bse_cm|948ICCL25A","% Change")</f>
        <v>-100</v>
      </c>
      <c r="K1398">
        <f>RTD("nest.scriprtd",,"bse_cm|948ICCL25A","ATP")</f>
        <v>0</v>
      </c>
      <c r="L1398">
        <f>RTD("nest.scriprtd",,"bse_cm|948ICCL25A","Volume Traded Today")</f>
        <v>0</v>
      </c>
      <c r="M1398">
        <f>RTD("nest.scriprtd",,"bse_cm|948ICCL25A","Open")</f>
        <v>0</v>
      </c>
      <c r="N1398">
        <f>RTD("nest.scriprtd",,"bse_cm|948ICCL25A","High")</f>
        <v>1061.6199999999999</v>
      </c>
      <c r="O1398">
        <f>RTD("nest.scriprtd",,"bse_cm|948ICCL25A","Low ")</f>
        <v>875.8</v>
      </c>
      <c r="P1398">
        <f>RTD("nest.scriprtd",,"bse_cm|948ICCL25A","Prev Close")</f>
        <v>1061.6199999999999</v>
      </c>
      <c r="Q1398">
        <f>RTD("nest.scriprtd",,"bse_cm|948ICCL25A","Face Value")</f>
        <v>1000</v>
      </c>
      <c r="R1398" t="str">
        <f>RTD("nest.scriprtd",,"bse_cm|948ICCL25A","Isin code")</f>
        <v>INE244L07358</v>
      </c>
      <c r="S1398" s="9">
        <f>Table1[[#This Row],[Ask Rate]]*Table1[[#This Row],[Ask Qty]]</f>
        <v>0</v>
      </c>
      <c r="T1398">
        <f>VLOOKUP(Table1[[#This Row],[Isin code]],Table2[#All],7,FALSE)</f>
        <v>0</v>
      </c>
      <c r="U1398" s="17" t="str">
        <f>VLOOKUP(Table1[[#This Row],[Isin code]],Table2[#All],8,FALSE)</f>
        <v>02-Feb-2025</v>
      </c>
      <c r="V1398" s="10">
        <f ca="1">Table1[[#This Row],[Maturity]]-TODAY()</f>
        <v>109</v>
      </c>
      <c r="W1398" t="str">
        <f>VLOOKUP(Table1[[#This Row],[Isin code]],Table2[#All],10,FALSE)</f>
        <v>At the End</v>
      </c>
      <c r="X1398">
        <f ca="1">_xlfn.DAYS(Table1[[#This Row],[Maturity]],TODAY())-15</f>
        <v>94</v>
      </c>
      <c r="Y139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98">
        <f>IF(Table1[[#This Row],[Ask Rate]]=0,0,Table1[[#This Row],[Face Value]]-Table1[[#This Row],[Ask Rate]])</f>
        <v>0</v>
      </c>
      <c r="AA139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98">
        <f>Table1[[#This Row],[Face Value]]*Table1[[#This Row],[Rate]]*Table1[[#This Row],[Time]]</f>
        <v>0</v>
      </c>
      <c r="AC1398">
        <f>Table1[[#This Row],[SI]]+Table1[[#This Row],[Disc/Prem]]</f>
        <v>0</v>
      </c>
      <c r="AD1398" s="3" t="e">
        <f>Table1[[#This Row],[Net Gain]]/Table1[[#This Row],[Ask Rate]]</f>
        <v>#DIV/0!</v>
      </c>
      <c r="AE1398" s="3">
        <f>IF(Table1[[#This Row],[Ask Qty]]=0,0,Table1[[#This Row],[Gross Yield]]*365/Table1[[#This Row],[Days Left]])</f>
        <v>0</v>
      </c>
      <c r="AF1398" s="9">
        <f>+Table1[[#This Row],[Net Gain]]*Table1[[#This Row],[Ask Qty]]</f>
        <v>0</v>
      </c>
      <c r="AG1398" t="str">
        <f>IF(Table1[[#This Row],[YTM]]&gt;0.12,IF(Table1[[#This Row],[Gross Profit]]&gt;10000,"Invest","Review"),"Low YTM")</f>
        <v>Low YTM</v>
      </c>
    </row>
    <row r="1399" spans="1:33" x14ac:dyDescent="0.3">
      <c r="A1399" t="str">
        <f>RTD("nest.scriprtd",,"bse_cm|SCLZC26C","Symbol")</f>
        <v>SCLZC26C</v>
      </c>
      <c r="B1399" t="str">
        <f>RTD("nest.scriprtd",,"bse_cm|SCLZC26C","Trading Symbol")</f>
        <v>SCLZC26C</v>
      </c>
      <c r="C1399" t="str">
        <f>RTD("nest.scriprtd",,"bse_cm|SCLZC26C","Exchange")</f>
        <v>BSE</v>
      </c>
      <c r="D1399">
        <f>RTD("nest.scriprtd",,"bse_cm|SCLZC26C","Bid Qty")</f>
        <v>20</v>
      </c>
      <c r="E1399">
        <f>RTD("nest.scriprtd",,"bse_cm|SCLZC26C","Bid Rate")</f>
        <v>865.2</v>
      </c>
      <c r="F1399">
        <f>RTD("nest.scriprtd",,"bse_cm|SCLZC26C","Ask Rate")</f>
        <v>0</v>
      </c>
      <c r="G1399">
        <f>RTD("nest.scriprtd",,"bse_cm|SCLZC26C","Ask Qty")</f>
        <v>0</v>
      </c>
      <c r="H1399">
        <f>RTD("nest.scriprtd",,"bse_cm|SCLZC26C","LTP")</f>
        <v>0</v>
      </c>
      <c r="I1399" t="str">
        <f>RTD("nest.scriprtd",,"bse_cm|SCLZC26C","LTT")</f>
        <v>00:00:00</v>
      </c>
      <c r="J1399">
        <f>RTD("nest.scriprtd",,"bse_cm|SCLZC26C","% Change")</f>
        <v>-100</v>
      </c>
      <c r="K1399">
        <f>RTD("nest.scriprtd",,"bse_cm|SCLZC26C","ATP")</f>
        <v>0</v>
      </c>
      <c r="L1399">
        <f>RTD("nest.scriprtd",,"bse_cm|SCLZC26C","Volume Traded Today")</f>
        <v>0</v>
      </c>
      <c r="M1399">
        <f>RTD("nest.scriprtd",,"bse_cm|SCLZC26C","Open")</f>
        <v>0</v>
      </c>
      <c r="N1399">
        <f>RTD("nest.scriprtd",,"bse_cm|SCLZC26C","High")</f>
        <v>977</v>
      </c>
      <c r="O1399">
        <f>RTD("nest.scriprtd",,"bse_cm|SCLZC26C","Low ")</f>
        <v>950</v>
      </c>
      <c r="P1399">
        <f>RTD("nest.scriprtd",,"bse_cm|SCLZC26C","Prev Close")</f>
        <v>977</v>
      </c>
      <c r="Q1399">
        <f>RTD("nest.scriprtd",,"bse_cm|SCLZC26C","Face Value")</f>
        <v>1000</v>
      </c>
      <c r="R1399" t="str">
        <f>RTD("nest.scriprtd",,"bse_cm|SCLZC26C","Isin code")</f>
        <v>INE148I07QB3</v>
      </c>
      <c r="S1399" s="9">
        <f>Table1[[#This Row],[Ask Rate]]*Table1[[#This Row],[Ask Qty]]</f>
        <v>0</v>
      </c>
      <c r="T1399">
        <f>VLOOKUP(Table1[[#This Row],[Isin code]],Table2[#All],7,FALSE)</f>
        <v>0</v>
      </c>
      <c r="U1399" s="17" t="str">
        <f>VLOOKUP(Table1[[#This Row],[Isin code]],Table2[#All],8,FALSE)</f>
        <v>26-Sep-2026</v>
      </c>
      <c r="V1399" s="10">
        <f ca="1">Table1[[#This Row],[Maturity]]-TODAY()</f>
        <v>710</v>
      </c>
      <c r="W1399" t="str">
        <f>VLOOKUP(Table1[[#This Row],[Isin code]],Table2[#All],10,FALSE)</f>
        <v>0</v>
      </c>
      <c r="X1399">
        <f ca="1">_xlfn.DAYS(Table1[[#This Row],[Maturity]],TODAY())-15</f>
        <v>695</v>
      </c>
      <c r="Y139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399">
        <f>IF(Table1[[#This Row],[Ask Rate]]=0,0,Table1[[#This Row],[Face Value]]-Table1[[#This Row],[Ask Rate]])</f>
        <v>0</v>
      </c>
      <c r="AA139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399">
        <f>Table1[[#This Row],[Face Value]]*Table1[[#This Row],[Rate]]*Table1[[#This Row],[Time]]</f>
        <v>0</v>
      </c>
      <c r="AC1399">
        <f>Table1[[#This Row],[SI]]+Table1[[#This Row],[Disc/Prem]]</f>
        <v>0</v>
      </c>
      <c r="AD1399" s="3" t="e">
        <f>Table1[[#This Row],[Net Gain]]/Table1[[#This Row],[Ask Rate]]</f>
        <v>#DIV/0!</v>
      </c>
      <c r="AE1399" s="3">
        <f>IF(Table1[[#This Row],[Ask Qty]]=0,0,Table1[[#This Row],[Gross Yield]]*365/Table1[[#This Row],[Days Left]])</f>
        <v>0</v>
      </c>
      <c r="AF1399" s="9">
        <f>+Table1[[#This Row],[Net Gain]]*Table1[[#This Row],[Ask Qty]]</f>
        <v>0</v>
      </c>
      <c r="AG1399" t="str">
        <f>IF(Table1[[#This Row],[YTM]]&gt;0.12,IF(Table1[[#This Row],[Gross Profit]]&gt;10000,"Invest","Review"),"Low YTM")</f>
        <v>Low YTM</v>
      </c>
    </row>
    <row r="1400" spans="1:33" x14ac:dyDescent="0.3">
      <c r="A1400" t="str">
        <f>RTD("nest.scriprtd",,"bse_cm|10ARKA28","Symbol")</f>
        <v>10ARKA28</v>
      </c>
      <c r="B1400" t="str">
        <f>RTD("nest.scriprtd",,"bse_cm|10ARKA28","Trading Symbol")</f>
        <v>10ARKA28</v>
      </c>
      <c r="C1400" t="str">
        <f>RTD("nest.scriprtd",,"bse_cm|10ARKA28","Exchange")</f>
        <v>BSE</v>
      </c>
      <c r="D1400">
        <f>RTD("nest.scriprtd",,"bse_cm|10ARKA28","Bid Qty")</f>
        <v>100</v>
      </c>
      <c r="E1400">
        <f>RTD("nest.scriprtd",,"bse_cm|10ARKA28","Bid Rate")</f>
        <v>1020.1</v>
      </c>
      <c r="F1400">
        <f>RTD("nest.scriprtd",,"bse_cm|10ARKA28","Ask Rate")</f>
        <v>0</v>
      </c>
      <c r="G1400">
        <f>RTD("nest.scriprtd",,"bse_cm|10ARKA28","Ask Qty")</f>
        <v>0</v>
      </c>
      <c r="H1400">
        <f>RTD("nest.scriprtd",,"bse_cm|10ARKA28","LTP")</f>
        <v>0</v>
      </c>
      <c r="I1400" t="str">
        <f>RTD("nest.scriprtd",,"bse_cm|10ARKA28","LTT")</f>
        <v>00:00:00</v>
      </c>
      <c r="J1400">
        <f>RTD("nest.scriprtd",,"bse_cm|10ARKA28","% Change")</f>
        <v>-100</v>
      </c>
      <c r="K1400">
        <f>RTD("nest.scriprtd",,"bse_cm|10ARKA28","ATP")</f>
        <v>0</v>
      </c>
      <c r="L1400">
        <f>RTD("nest.scriprtd",,"bse_cm|10ARKA28","Volume Traded Today")</f>
        <v>0</v>
      </c>
      <c r="M1400">
        <f>RTD("nest.scriprtd",,"bse_cm|10ARKA28","Open")</f>
        <v>0</v>
      </c>
      <c r="N1400">
        <f>RTD("nest.scriprtd",,"bse_cm|10ARKA28","High")</f>
        <v>1078</v>
      </c>
      <c r="O1400">
        <f>RTD("nest.scriprtd",,"bse_cm|10ARKA28","Low ")</f>
        <v>1077.95</v>
      </c>
      <c r="P1400">
        <f>RTD("nest.scriprtd",,"bse_cm|10ARKA28","Prev Close")</f>
        <v>1077.95</v>
      </c>
      <c r="Q1400">
        <f>RTD("nest.scriprtd",,"bse_cm|10ARKA28","Face Value")</f>
        <v>1000</v>
      </c>
      <c r="R1400" t="str">
        <f>RTD("nest.scriprtd",,"bse_cm|10ARKA28","Isin code")</f>
        <v>INE03W107223</v>
      </c>
      <c r="S1400" s="9">
        <f>Table1[[#This Row],[Ask Rate]]*Table1[[#This Row],[Ask Qty]]</f>
        <v>0</v>
      </c>
      <c r="T1400">
        <f>VLOOKUP(Table1[[#This Row],[Isin code]],Table2[#All],7,FALSE)</f>
        <v>10</v>
      </c>
      <c r="U1400" s="17" t="str">
        <f>VLOOKUP(Table1[[#This Row],[Isin code]],Table2[#All],8,FALSE)</f>
        <v>27-Dec-2028</v>
      </c>
      <c r="V1400" s="10">
        <f ca="1">Table1[[#This Row],[Maturity]]-TODAY()</f>
        <v>1533</v>
      </c>
      <c r="W1400" t="str">
        <f>VLOOKUP(Table1[[#This Row],[Isin code]],Table2[#All],10,FALSE)</f>
        <v>Yearly</v>
      </c>
      <c r="X1400">
        <f ca="1">_xlfn.DAYS(Table1[[#This Row],[Maturity]],TODAY())-15</f>
        <v>1518</v>
      </c>
      <c r="Y14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00">
        <f>IF(Table1[[#This Row],[Ask Rate]]=0,0,Table1[[#This Row],[Face Value]]-Table1[[#This Row],[Ask Rate]])</f>
        <v>0</v>
      </c>
      <c r="AA1400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1400">
        <f ca="1">Table1[[#This Row],[Face Value]]*Table1[[#This Row],[Rate]]*Table1[[#This Row],[Time]]</f>
        <v>500</v>
      </c>
      <c r="AC1400">
        <f ca="1">Table1[[#This Row],[SI]]+Table1[[#This Row],[Disc/Prem]]</f>
        <v>500</v>
      </c>
      <c r="AD1400" s="3" t="e">
        <f ca="1">Table1[[#This Row],[Net Gain]]/Table1[[#This Row],[Ask Rate]]</f>
        <v>#DIV/0!</v>
      </c>
      <c r="AE1400" s="3">
        <f>IF(Table1[[#This Row],[Ask Qty]]=0,0,Table1[[#This Row],[Gross Yield]]*365/Table1[[#This Row],[Days Left]])</f>
        <v>0</v>
      </c>
      <c r="AF1400" s="9">
        <f ca="1">+Table1[[#This Row],[Net Gain]]*Table1[[#This Row],[Ask Qty]]</f>
        <v>0</v>
      </c>
      <c r="AG1400" t="str">
        <f>IF(Table1[[#This Row],[YTM]]&gt;0.12,IF(Table1[[#This Row],[Gross Profit]]&gt;10000,"Invest","Review"),"Low YTM")</f>
        <v>Low YTM</v>
      </c>
    </row>
    <row r="1401" spans="1:33" x14ac:dyDescent="0.3">
      <c r="A1401" t="str">
        <f>RTD("nest.scriprtd",,"nse_cm|ICCL25-NS","Symbol")</f>
        <v>ICCL25</v>
      </c>
      <c r="B1401" t="str">
        <f>RTD("nest.scriprtd",,"nse_cm|ICCL25-NS","Trading Symbol")</f>
        <v>ICCL25-NS</v>
      </c>
      <c r="C1401" t="str">
        <f>RTD("nest.scriprtd",,"nse_cm|ICCL25-NS","Exchange")</f>
        <v>NSE</v>
      </c>
      <c r="D1401">
        <f>RTD("nest.scriprtd",,"nse_cm|ICCL25-NS","Bid Qty")</f>
        <v>170</v>
      </c>
      <c r="E1401">
        <f>RTD("nest.scriprtd",,"nse_cm|ICCL25-NS","Bid Rate")</f>
        <v>1101.2</v>
      </c>
      <c r="F1401">
        <f>RTD("nest.scriprtd",,"nse_cm|ICCL25-NS","Ask Rate")</f>
        <v>0</v>
      </c>
      <c r="G1401">
        <f>RTD("nest.scriprtd",,"nse_cm|ICCL25-NS","Ask Qty")</f>
        <v>0</v>
      </c>
      <c r="H1401">
        <f>RTD("nest.scriprtd",,"nse_cm|ICCL25-NS","LTP")</f>
        <v>1115</v>
      </c>
      <c r="I1401" t="str">
        <f>RTD("nest.scriprtd",,"nse_cm|ICCL25-NS","LTT")</f>
        <v/>
      </c>
      <c r="J1401">
        <f>RTD("nest.scriprtd",,"nse_cm|ICCL25-NS","% Change")</f>
        <v>0</v>
      </c>
      <c r="K1401">
        <f>RTD("nest.scriprtd",,"nse_cm|ICCL25-NS","ATP")</f>
        <v>0</v>
      </c>
      <c r="L1401">
        <f>RTD("nest.scriprtd",,"nse_cm|ICCL25-NS","Volume Traded Today")</f>
        <v>0</v>
      </c>
      <c r="M1401">
        <f>RTD("nest.scriprtd",,"nse_cm|ICCL25-NS","Open")</f>
        <v>0</v>
      </c>
      <c r="N1401">
        <f>RTD("nest.scriprtd",,"nse_cm|ICCL25-NS","High")</f>
        <v>1115</v>
      </c>
      <c r="O1401">
        <f>RTD("nest.scriprtd",,"nse_cm|ICCL25-NS","Low ")</f>
        <v>1115</v>
      </c>
      <c r="P1401">
        <f>RTD("nest.scriprtd",,"nse_cm|ICCL25-NS","Prev Close")</f>
        <v>1115</v>
      </c>
      <c r="Q1401">
        <f>RTD("nest.scriprtd",,"nse_cm|ICCL25-NS","Face Value")</f>
        <v>1000</v>
      </c>
      <c r="R1401" t="str">
        <f>RTD("nest.scriprtd",,"nse_cm|ICCL25-NS","Isin code")</f>
        <v>INE244L07473</v>
      </c>
      <c r="S1401" s="9">
        <f>Table1[[#This Row],[Ask Rate]]*Table1[[#This Row],[Ask Qty]]</f>
        <v>0</v>
      </c>
      <c r="T1401">
        <f>VLOOKUP(Table1[[#This Row],[Isin code]],Table2[#All],7,FALSE)</f>
        <v>0</v>
      </c>
      <c r="U1401" s="17" t="str">
        <f>VLOOKUP(Table1[[#This Row],[Isin code]],Table2[#All],8,FALSE)</f>
        <v>25-Apr-2025</v>
      </c>
      <c r="V1401" s="10">
        <f ca="1">Table1[[#This Row],[Maturity]]-TODAY()</f>
        <v>191</v>
      </c>
      <c r="W1401" t="str">
        <f>VLOOKUP(Table1[[#This Row],[Isin code]],Table2[#All],10,FALSE)</f>
        <v>At the End</v>
      </c>
      <c r="X1401">
        <f ca="1">_xlfn.DAYS(Table1[[#This Row],[Maturity]],TODAY())-15</f>
        <v>176</v>
      </c>
      <c r="Y140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01">
        <f>IF(Table1[[#This Row],[Ask Rate]]=0,0,Table1[[#This Row],[Face Value]]-Table1[[#This Row],[Ask Rate]])</f>
        <v>0</v>
      </c>
      <c r="AA140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01">
        <f>Table1[[#This Row],[Face Value]]*Table1[[#This Row],[Rate]]*Table1[[#This Row],[Time]]</f>
        <v>0</v>
      </c>
      <c r="AC1401">
        <f>Table1[[#This Row],[SI]]+Table1[[#This Row],[Disc/Prem]]</f>
        <v>0</v>
      </c>
      <c r="AD1401" s="3" t="e">
        <f>Table1[[#This Row],[Net Gain]]/Table1[[#This Row],[Ask Rate]]</f>
        <v>#DIV/0!</v>
      </c>
      <c r="AE1401" s="3">
        <f>IF(Table1[[#This Row],[Ask Qty]]=0,0,Table1[[#This Row],[Gross Yield]]*365/Table1[[#This Row],[Days Left]])</f>
        <v>0</v>
      </c>
      <c r="AF1401" s="9">
        <f>+Table1[[#This Row],[Net Gain]]*Table1[[#This Row],[Ask Qty]]</f>
        <v>0</v>
      </c>
      <c r="AG1401" t="str">
        <f>IF(Table1[[#This Row],[YTM]]&gt;0.12,IF(Table1[[#This Row],[Gross Profit]]&gt;10000,"Invest","Review"),"Low YTM")</f>
        <v>Low YTM</v>
      </c>
    </row>
    <row r="1402" spans="1:33" x14ac:dyDescent="0.3">
      <c r="A1402" t="str">
        <f>RTD("nest.scriprtd",,"bse_cm|958NIDO27","Symbol")</f>
        <v>958NIDO27</v>
      </c>
      <c r="B1402" t="str">
        <f>RTD("nest.scriprtd",,"bse_cm|958NIDO27","Trading Symbol")</f>
        <v>958NIDO27</v>
      </c>
      <c r="C1402" t="str">
        <f>RTD("nest.scriprtd",,"bse_cm|958NIDO27","Exchange")</f>
        <v>BSE</v>
      </c>
      <c r="D1402">
        <f>RTD("nest.scriprtd",,"bse_cm|958NIDO27","Bid Qty")</f>
        <v>25</v>
      </c>
      <c r="E1402">
        <f>RTD("nest.scriprtd",,"bse_cm|958NIDO27","Bid Rate")</f>
        <v>941</v>
      </c>
      <c r="F1402">
        <f>RTD("nest.scriprtd",,"bse_cm|958NIDO27","Ask Rate")</f>
        <v>0</v>
      </c>
      <c r="G1402">
        <f>RTD("nest.scriprtd",,"bse_cm|958NIDO27","Ask Qty")</f>
        <v>0</v>
      </c>
      <c r="H1402">
        <f>RTD("nest.scriprtd",,"bse_cm|958NIDO27","LTP")</f>
        <v>0</v>
      </c>
      <c r="I1402" t="str">
        <f>RTD("nest.scriprtd",,"bse_cm|958NIDO27","LTT")</f>
        <v>00:00:00</v>
      </c>
      <c r="J1402">
        <f>RTD("nest.scriprtd",,"bse_cm|958NIDO27","% Change")</f>
        <v>-100</v>
      </c>
      <c r="K1402">
        <f>RTD("nest.scriprtd",,"bse_cm|958NIDO27","ATP")</f>
        <v>0</v>
      </c>
      <c r="L1402">
        <f>RTD("nest.scriprtd",,"bse_cm|958NIDO27","Volume Traded Today")</f>
        <v>0</v>
      </c>
      <c r="M1402">
        <f>RTD("nest.scriprtd",,"bse_cm|958NIDO27","Open")</f>
        <v>0</v>
      </c>
      <c r="N1402">
        <f>RTD("nest.scriprtd",,"bse_cm|958NIDO27","High")</f>
        <v>948</v>
      </c>
      <c r="O1402">
        <f>RTD("nest.scriprtd",,"bse_cm|958NIDO27","Low ")</f>
        <v>948</v>
      </c>
      <c r="P1402">
        <f>RTD("nest.scriprtd",,"bse_cm|958NIDO27","Prev Close")</f>
        <v>948</v>
      </c>
      <c r="Q1402">
        <f>RTD("nest.scriprtd",,"bse_cm|958NIDO27","Face Value")</f>
        <v>1000</v>
      </c>
      <c r="R1402" t="str">
        <f>RTD("nest.scriprtd",,"bse_cm|958NIDO27","Isin code")</f>
        <v>INE530L07731</v>
      </c>
      <c r="S1402" s="9">
        <f>Table1[[#This Row],[Ask Rate]]*Table1[[#This Row],[Ask Qty]]</f>
        <v>0</v>
      </c>
      <c r="T1402">
        <f>VLOOKUP(Table1[[#This Row],[Isin code]],Table2[#All],7,FALSE)</f>
        <v>9.58</v>
      </c>
      <c r="U1402" s="17" t="str">
        <f>VLOOKUP(Table1[[#This Row],[Isin code]],Table2[#All],8,FALSE)</f>
        <v>01-Mar-2027</v>
      </c>
      <c r="V1402" s="10">
        <f ca="1">Table1[[#This Row],[Maturity]]-TODAY()</f>
        <v>866</v>
      </c>
      <c r="W1402" t="str">
        <f>VLOOKUP(Table1[[#This Row],[Isin code]],Table2[#All],10,FALSE)</f>
        <v>Monthly</v>
      </c>
      <c r="X1402">
        <f ca="1">_xlfn.DAYS(Table1[[#This Row],[Maturity]],TODAY())-15</f>
        <v>851</v>
      </c>
      <c r="Y14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29</v>
      </c>
      <c r="Z1402">
        <f>IF(Table1[[#This Row],[Ask Rate]]=0,0,Table1[[#This Row],[Face Value]]-Table1[[#This Row],[Ask Rate]])</f>
        <v>0</v>
      </c>
      <c r="AA1402">
        <f>IF(Table1[[#This Row],[Freq]]="Yearly",Table1[[#This Row],[Coupon_Rate]]/100,IF(Table1[[#This Row],[Freq]]="Monthly",Table1[[#This Row],[Coupon_Rate]]/1200,IF(Table1[[#This Row],[Freq]]="Quarterly",Table1[[#This Row],[Coupon_Rate]]/400,0)))</f>
        <v>7.9833333333333336E-3</v>
      </c>
      <c r="AB1402">
        <f ca="1">Table1[[#This Row],[Face Value]]*Table1[[#This Row],[Rate]]*Table1[[#This Row],[Time]]</f>
        <v>231.51666666666668</v>
      </c>
      <c r="AC1402">
        <f ca="1">Table1[[#This Row],[SI]]+Table1[[#This Row],[Disc/Prem]]</f>
        <v>231.51666666666668</v>
      </c>
      <c r="AD1402" t="e">
        <f ca="1">Table1[[#This Row],[Net Gain]]/Table1[[#This Row],[Ask Rate]]</f>
        <v>#DIV/0!</v>
      </c>
      <c r="AE1402" s="3">
        <f>IF(Table1[[#This Row],[Ask Qty]]=0,0,Table1[[#This Row],[Gross Yield]]*365/Table1[[#This Row],[Days Left]])</f>
        <v>0</v>
      </c>
      <c r="AF1402" s="9">
        <f ca="1">+Table1[[#This Row],[Net Gain]]*Table1[[#This Row],[Ask Qty]]</f>
        <v>0</v>
      </c>
      <c r="AG1402" t="str">
        <f>IF(Table1[[#This Row],[YTM]]&gt;0.12,IF(Table1[[#This Row],[Gross Profit]]&gt;10000,"Invest","Review"),"Low YTM")</f>
        <v>Low YTM</v>
      </c>
    </row>
    <row r="1403" spans="1:33" x14ac:dyDescent="0.3">
      <c r="A1403" t="str">
        <f>RTD("nest.scriprtd",,"nse_cm|SCL25B-BI","Symbol")</f>
        <v>SCL25B</v>
      </c>
      <c r="B1403" t="str">
        <f>RTD("nest.scriprtd",,"nse_cm|SCL25B-BI","Trading Symbol")</f>
        <v>SCL25B-BI</v>
      </c>
      <c r="C1403" t="str">
        <f>RTD("nest.scriprtd",,"nse_cm|SCL25B-BI","Exchange")</f>
        <v>NSE</v>
      </c>
      <c r="D1403">
        <f>RTD("nest.scriprtd",,"nse_cm|SCL25B-BI","Bid Qty")</f>
        <v>9</v>
      </c>
      <c r="E1403">
        <f>RTD("nest.scriprtd",,"nse_cm|SCL25B-BI","Bid Rate")</f>
        <v>1040</v>
      </c>
      <c r="F1403">
        <f>RTD("nest.scriprtd",,"nse_cm|SCL25B-BI","Ask Rate")</f>
        <v>0</v>
      </c>
      <c r="G1403">
        <f>RTD("nest.scriprtd",,"nse_cm|SCL25B-BI","Ask Qty")</f>
        <v>0</v>
      </c>
      <c r="H1403">
        <f>RTD("nest.scriprtd",,"nse_cm|SCL25B-BI","LTP")</f>
        <v>1059</v>
      </c>
      <c r="I1403" t="str">
        <f>RTD("nest.scriprtd",,"nse_cm|SCL25B-BI","LTT")</f>
        <v/>
      </c>
      <c r="J1403">
        <f>RTD("nest.scriprtd",,"nse_cm|SCL25B-BI","% Change")</f>
        <v>0</v>
      </c>
      <c r="K1403">
        <f>RTD("nest.scriprtd",,"nse_cm|SCL25B-BI","ATP")</f>
        <v>0</v>
      </c>
      <c r="L1403">
        <f>RTD("nest.scriprtd",,"nse_cm|SCL25B-BI","Volume Traded Today")</f>
        <v>0</v>
      </c>
      <c r="M1403">
        <f>RTD("nest.scriprtd",,"nse_cm|SCL25B-BI","Open")</f>
        <v>0</v>
      </c>
      <c r="N1403">
        <f>RTD("nest.scriprtd",,"nse_cm|SCL25B-BI","High")</f>
        <v>1059</v>
      </c>
      <c r="O1403">
        <f>RTD("nest.scriprtd",,"nse_cm|SCL25B-BI","Low ")</f>
        <v>1053.3800000000001</v>
      </c>
      <c r="P1403">
        <f>RTD("nest.scriprtd",,"nse_cm|SCL25B-BI","Prev Close")</f>
        <v>1059</v>
      </c>
      <c r="Q1403">
        <f>RTD("nest.scriprtd",,"nse_cm|SCL25B-BI","Face Value")</f>
        <v>1000</v>
      </c>
      <c r="R1403" t="str">
        <f>RTD("nest.scriprtd",,"nse_cm|SCL25B-BI","Isin code")</f>
        <v>INE148I07PF6</v>
      </c>
      <c r="S1403" s="9">
        <f>Table1[[#This Row],[Ask Rate]]*Table1[[#This Row],[Ask Qty]]</f>
        <v>0</v>
      </c>
      <c r="T1403" t="str">
        <f>VLOOKUP(Table1[[#This Row],[Isin code]],Table2[#All],7,FALSE)</f>
        <v>--</v>
      </c>
      <c r="U1403" s="17" t="str">
        <f>VLOOKUP(Table1[[#This Row],[Isin code]],Table2[#All],8,FALSE)</f>
        <v>26-Sep-2025</v>
      </c>
      <c r="V1403" s="10">
        <f ca="1">Table1[[#This Row],[Maturity]]-TODAY()</f>
        <v>345</v>
      </c>
      <c r="W1403" t="str">
        <f>VLOOKUP(Table1[[#This Row],[Isin code]],Table2[#All],10,FALSE)</f>
        <v>At the End</v>
      </c>
      <c r="X1403">
        <f ca="1">_xlfn.DAYS(Table1[[#This Row],[Maturity]],TODAY())-15</f>
        <v>330</v>
      </c>
      <c r="Y140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03">
        <f>IF(Table1[[#This Row],[Ask Rate]]=0,0,Table1[[#This Row],[Face Value]]-Table1[[#This Row],[Ask Rate]])</f>
        <v>0</v>
      </c>
      <c r="AA140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03">
        <f>Table1[[#This Row],[Face Value]]*Table1[[#This Row],[Rate]]*Table1[[#This Row],[Time]]</f>
        <v>0</v>
      </c>
      <c r="AC1403">
        <f>Table1[[#This Row],[SI]]+Table1[[#This Row],[Disc/Prem]]</f>
        <v>0</v>
      </c>
      <c r="AD1403" s="3" t="e">
        <f>Table1[[#This Row],[Net Gain]]/Table1[[#This Row],[Ask Rate]]</f>
        <v>#DIV/0!</v>
      </c>
      <c r="AE1403" s="3">
        <f>IF(Table1[[#This Row],[Ask Qty]]=0,0,Table1[[#This Row],[Gross Yield]]*365/Table1[[#This Row],[Days Left]])</f>
        <v>0</v>
      </c>
      <c r="AF1403" s="9">
        <f>+Table1[[#This Row],[Net Gain]]*Table1[[#This Row],[Ask Qty]]</f>
        <v>0</v>
      </c>
      <c r="AG1403" t="str">
        <f>IF(Table1[[#This Row],[YTM]]&gt;0.12,IF(Table1[[#This Row],[Gross Profit]]&gt;10000,"Invest","Review"),"Low YTM")</f>
        <v>Low YTM</v>
      </c>
    </row>
    <row r="1404" spans="1:33" x14ac:dyDescent="0.3">
      <c r="A1404" t="str">
        <f>RTD("nest.scriprtd",,"bse_cm|IIFLZC28C","Symbol")</f>
        <v>IIFLZC28C</v>
      </c>
      <c r="B1404" t="str">
        <f>RTD("nest.scriprtd",,"bse_cm|IIFLZC28C","Trading Symbol")</f>
        <v>IIFLZC28C</v>
      </c>
      <c r="C1404" t="str">
        <f>RTD("nest.scriprtd",,"bse_cm|IIFLZC28C","Exchange")</f>
        <v>BSE</v>
      </c>
      <c r="D1404">
        <f>RTD("nest.scriprtd",,"bse_cm|IIFLZC28C","Bid Qty")</f>
        <v>100</v>
      </c>
      <c r="E1404">
        <f>RTD("nest.scriprtd",,"bse_cm|IIFLZC28C","Bid Rate")</f>
        <v>1156</v>
      </c>
      <c r="F1404">
        <f>RTD("nest.scriprtd",,"bse_cm|IIFLZC28C","Ask Rate")</f>
        <v>0</v>
      </c>
      <c r="G1404">
        <f>RTD("nest.scriprtd",,"bse_cm|IIFLZC28C","Ask Qty")</f>
        <v>0</v>
      </c>
      <c r="H1404">
        <f>RTD("nest.scriprtd",,"bse_cm|IIFLZC28C","LTP")</f>
        <v>0</v>
      </c>
      <c r="I1404" t="str">
        <f>RTD("nest.scriprtd",,"bse_cm|IIFLZC28C","LTT")</f>
        <v>00:00:00</v>
      </c>
      <c r="J1404">
        <f>RTD("nest.scriprtd",,"bse_cm|IIFLZC28C","% Change")</f>
        <v>-100</v>
      </c>
      <c r="K1404">
        <f>RTD("nest.scriprtd",,"bse_cm|IIFLZC28C","ATP")</f>
        <v>0</v>
      </c>
      <c r="L1404">
        <f>RTD("nest.scriprtd",,"bse_cm|IIFLZC28C","Volume Traded Today")</f>
        <v>0</v>
      </c>
      <c r="M1404">
        <f>RTD("nest.scriprtd",,"bse_cm|IIFLZC28C","Open")</f>
        <v>0</v>
      </c>
      <c r="N1404">
        <f>RTD("nest.scriprtd",,"bse_cm|IIFLZC28C","High")</f>
        <v>1155.0999999999999</v>
      </c>
      <c r="O1404">
        <f>RTD("nest.scriprtd",,"bse_cm|IIFLZC28C","Low ")</f>
        <v>1155.0999999999999</v>
      </c>
      <c r="P1404">
        <f>RTD("nest.scriprtd",,"bse_cm|IIFLZC28C","Prev Close")</f>
        <v>1155.0999999999999</v>
      </c>
      <c r="Q1404">
        <f>RTD("nest.scriprtd",,"bse_cm|IIFLZC28C","Face Value")</f>
        <v>1000</v>
      </c>
      <c r="R1404" t="str">
        <f>RTD("nest.scriprtd",,"bse_cm|IIFLZC28C","Isin code")</f>
        <v>INE477L08162</v>
      </c>
      <c r="S1404" s="9">
        <f>Table1[[#This Row],[Ask Rate]]*Table1[[#This Row],[Ask Qty]]</f>
        <v>0</v>
      </c>
      <c r="T1404">
        <f>VLOOKUP(Table1[[#This Row],[Isin code]],Table2[#All],7,FALSE)</f>
        <v>0</v>
      </c>
      <c r="U1404" s="17" t="str">
        <f>VLOOKUP(Table1[[#This Row],[Isin code]],Table2[#All],8,FALSE)</f>
        <v>03-Nov-2028</v>
      </c>
      <c r="V1404" s="10">
        <f ca="1">Table1[[#This Row],[Maturity]]-TODAY()</f>
        <v>1479</v>
      </c>
      <c r="W1404" t="str">
        <f>VLOOKUP(Table1[[#This Row],[Isin code]],Table2[#All],10,FALSE)</f>
        <v>Yearly</v>
      </c>
      <c r="X1404">
        <f ca="1">_xlfn.DAYS(Table1[[#This Row],[Maturity]],TODAY())-15</f>
        <v>1464</v>
      </c>
      <c r="Y14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04">
        <f>IF(Table1[[#This Row],[Ask Rate]]=0,0,Table1[[#This Row],[Face Value]]-Table1[[#This Row],[Ask Rate]])</f>
        <v>0</v>
      </c>
      <c r="AA140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04">
        <f ca="1">Table1[[#This Row],[Face Value]]*Table1[[#This Row],[Rate]]*Table1[[#This Row],[Time]]</f>
        <v>0</v>
      </c>
      <c r="AC1404">
        <f ca="1">Table1[[#This Row],[SI]]+Table1[[#This Row],[Disc/Prem]]</f>
        <v>0</v>
      </c>
      <c r="AD1404" s="3" t="e">
        <f ca="1">Table1[[#This Row],[Net Gain]]/Table1[[#This Row],[Ask Rate]]</f>
        <v>#DIV/0!</v>
      </c>
      <c r="AE1404" s="3">
        <f>IF(Table1[[#This Row],[Ask Qty]]=0,0,Table1[[#This Row],[Gross Yield]]*365/Table1[[#This Row],[Days Left]])</f>
        <v>0</v>
      </c>
      <c r="AF1404" s="9">
        <f ca="1">+Table1[[#This Row],[Net Gain]]*Table1[[#This Row],[Ask Qty]]</f>
        <v>0</v>
      </c>
      <c r="AG1404" t="str">
        <f>IF(Table1[[#This Row],[YTM]]&gt;0.12,IF(Table1[[#This Row],[Gross Profit]]&gt;10000,"Invest","Review"),"Low YTM")</f>
        <v>Low YTM</v>
      </c>
    </row>
    <row r="1405" spans="1:33" x14ac:dyDescent="0.3">
      <c r="A1405" t="str">
        <f>RTD("nest.scriprtd",,"nse_cm|848NTPC28-N2","Symbol")</f>
        <v>848NTPC28</v>
      </c>
      <c r="B1405" t="str">
        <f>RTD("nest.scriprtd",,"nse_cm|848NTPC28-N2","Trading Symbol")</f>
        <v>848NTPC28-N2</v>
      </c>
      <c r="C1405" t="str">
        <f>RTD("nest.scriprtd",,"nse_cm|848NTPC28-N2","Exchange")</f>
        <v>NSE</v>
      </c>
      <c r="D1405">
        <f>RTD("nest.scriprtd",,"nse_cm|848NTPC28-N2","Bid Qty")</f>
        <v>0</v>
      </c>
      <c r="E1405">
        <f>RTD("nest.scriprtd",,"nse_cm|848NTPC28-N2","Bid Rate")</f>
        <v>0</v>
      </c>
      <c r="F1405">
        <f>RTD("nest.scriprtd",,"nse_cm|848NTPC28-N2","Ask Rate")</f>
        <v>0</v>
      </c>
      <c r="G1405">
        <f>RTD("nest.scriprtd",,"nse_cm|848NTPC28-N2","Ask Qty")</f>
        <v>0</v>
      </c>
      <c r="H1405">
        <f>RTD("nest.scriprtd",,"nse_cm|848NTPC28-N2","LTP")</f>
        <v>1460</v>
      </c>
      <c r="I1405" t="str">
        <f>RTD("nest.scriprtd",,"nse_cm|848NTPC28-N2","LTT")</f>
        <v/>
      </c>
      <c r="J1405">
        <f>RTD("nest.scriprtd",,"nse_cm|848NTPC28-N2","% Change")</f>
        <v>0</v>
      </c>
      <c r="K1405">
        <f>RTD("nest.scriprtd",,"nse_cm|848NTPC28-N2","ATP")</f>
        <v>0</v>
      </c>
      <c r="L1405">
        <f>RTD("nest.scriprtd",,"nse_cm|848NTPC28-N2","Volume Traded Today")</f>
        <v>0</v>
      </c>
      <c r="M1405">
        <f>RTD("nest.scriprtd",,"nse_cm|848NTPC28-N2","Open")</f>
        <v>0</v>
      </c>
      <c r="N1405">
        <f>RTD("nest.scriprtd",,"nse_cm|848NTPC28-N2","High")</f>
        <v>1460</v>
      </c>
      <c r="O1405">
        <f>RTD("nest.scriprtd",,"nse_cm|848NTPC28-N2","Low ")</f>
        <v>1460</v>
      </c>
      <c r="P1405">
        <f>RTD("nest.scriprtd",,"nse_cm|848NTPC28-N2","Prev Close")</f>
        <v>1460</v>
      </c>
      <c r="Q1405">
        <f>RTD("nest.scriprtd",,"nse_cm|848NTPC28-N2","Face Value")</f>
        <v>1000</v>
      </c>
      <c r="R1405" t="str">
        <f>RTD("nest.scriprtd",,"nse_cm|848NTPC28-N2","Isin code")</f>
        <v>INE733E07JF7</v>
      </c>
      <c r="S1405" s="9">
        <f>Table1[[#This Row],[Ask Rate]]*Table1[[#This Row],[Ask Qty]]</f>
        <v>0</v>
      </c>
      <c r="T1405">
        <f>VLOOKUP(Table1[[#This Row],[Isin code]],Table2[#All],7,FALSE)</f>
        <v>8.48</v>
      </c>
      <c r="U1405" s="17" t="str">
        <f>VLOOKUP(Table1[[#This Row],[Isin code]],Table2[#All],8,FALSE)</f>
        <v>16-Dec-2028</v>
      </c>
      <c r="V1405" s="10">
        <f ca="1">Table1[[#This Row],[Maturity]]-TODAY()</f>
        <v>1522</v>
      </c>
      <c r="W1405" t="str">
        <f>VLOOKUP(Table1[[#This Row],[Isin code]],Table2[#All],10,FALSE)</f>
        <v>Yearly</v>
      </c>
      <c r="X1405">
        <f ca="1">_xlfn.DAYS(Table1[[#This Row],[Maturity]],TODAY())-15</f>
        <v>1507</v>
      </c>
      <c r="Y14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05">
        <f>IF(Table1[[#This Row],[Ask Rate]]=0,0,Table1[[#This Row],[Face Value]]-Table1[[#This Row],[Ask Rate]])</f>
        <v>0</v>
      </c>
      <c r="AA1405">
        <f>IF(Table1[[#This Row],[Freq]]="Yearly",Table1[[#This Row],[Coupon_Rate]]/100,IF(Table1[[#This Row],[Freq]]="Monthly",Table1[[#This Row],[Coupon_Rate]]/1200,IF(Table1[[#This Row],[Freq]]="Quarterly",Table1[[#This Row],[Coupon_Rate]]/400,0)))</f>
        <v>8.48E-2</v>
      </c>
      <c r="AB1405">
        <f ca="1">Table1[[#This Row],[Face Value]]*Table1[[#This Row],[Rate]]*Table1[[#This Row],[Time]]</f>
        <v>424</v>
      </c>
      <c r="AC1405">
        <f ca="1">Table1[[#This Row],[SI]]+Table1[[#This Row],[Disc/Prem]]</f>
        <v>424</v>
      </c>
      <c r="AD1405" s="3" t="e">
        <f ca="1">Table1[[#This Row],[Net Gain]]/Table1[[#This Row],[Ask Rate]]</f>
        <v>#DIV/0!</v>
      </c>
      <c r="AE1405" s="3">
        <f>IF(Table1[[#This Row],[Ask Qty]]=0,0,Table1[[#This Row],[Gross Yield]]*365/Table1[[#This Row],[Days Left]])</f>
        <v>0</v>
      </c>
      <c r="AF1405" s="9">
        <f ca="1">+Table1[[#This Row],[Net Gain]]*Table1[[#This Row],[Ask Qty]]</f>
        <v>0</v>
      </c>
      <c r="AG1405" t="str">
        <f>IF(Table1[[#This Row],[YTM]]&gt;0.12,IF(Table1[[#This Row],[Gross Profit]]&gt;10000,"Invest","Review"),"Low YTM")</f>
        <v>Low YTM</v>
      </c>
    </row>
    <row r="1406" spans="1:33" x14ac:dyDescent="0.3">
      <c r="A1406" t="str">
        <f>RTD("nest.scriprtd",,"bse_cm|MMFLZC27D","Symbol")</f>
        <v>MMFLZC27D</v>
      </c>
      <c r="B1406" t="str">
        <f>RTD("nest.scriprtd",,"bse_cm|MMFLZC27D","Trading Symbol")</f>
        <v>MMFLZC27D</v>
      </c>
      <c r="C1406" t="str">
        <f>RTD("nest.scriprtd",,"bse_cm|MMFLZC27D","Exchange")</f>
        <v>BSE</v>
      </c>
      <c r="D1406">
        <f>RTD("nest.scriprtd",,"bse_cm|MMFLZC27D","Bid Qty")</f>
        <v>27</v>
      </c>
      <c r="E1406">
        <f>RTD("nest.scriprtd",,"bse_cm|MMFLZC27D","Bid Rate")</f>
        <v>1127.8</v>
      </c>
      <c r="F1406">
        <f>RTD("nest.scriprtd",,"bse_cm|MMFLZC27D","Ask Rate")</f>
        <v>0</v>
      </c>
      <c r="G1406">
        <f>RTD("nest.scriprtd",,"bse_cm|MMFLZC27D","Ask Qty")</f>
        <v>0</v>
      </c>
      <c r="H1406">
        <f>RTD("nest.scriprtd",,"bse_cm|MMFLZC27D","LTP")</f>
        <v>0</v>
      </c>
      <c r="I1406" t="str">
        <f>RTD("nest.scriprtd",,"bse_cm|MMFLZC27D","LTT")</f>
        <v>00:00:00</v>
      </c>
      <c r="J1406">
        <f>RTD("nest.scriprtd",,"bse_cm|MMFLZC27D","% Change")</f>
        <v>-100</v>
      </c>
      <c r="K1406">
        <f>RTD("nest.scriprtd",,"bse_cm|MMFLZC27D","ATP")</f>
        <v>0</v>
      </c>
      <c r="L1406">
        <f>RTD("nest.scriprtd",,"bse_cm|MMFLZC27D","Volume Traded Today")</f>
        <v>0</v>
      </c>
      <c r="M1406">
        <f>RTD("nest.scriprtd",,"bse_cm|MMFLZC27D","Open")</f>
        <v>0</v>
      </c>
      <c r="N1406">
        <f>RTD("nest.scriprtd",,"bse_cm|MMFLZC27D","High")</f>
        <v>1191</v>
      </c>
      <c r="O1406">
        <f>RTD("nest.scriprtd",,"bse_cm|MMFLZC27D","Low ")</f>
        <v>1191</v>
      </c>
      <c r="P1406">
        <f>RTD("nest.scriprtd",,"bse_cm|MMFLZC27D","Prev Close")</f>
        <v>1191</v>
      </c>
      <c r="Q1406">
        <f>RTD("nest.scriprtd",,"bse_cm|MMFLZC27D","Face Value")</f>
        <v>1000</v>
      </c>
      <c r="R1406" t="str">
        <f>RTD("nest.scriprtd",,"bse_cm|MMFLZC27D","Isin code")</f>
        <v>INE101Q07AG8</v>
      </c>
      <c r="S1406" s="9">
        <f>Table1[[#This Row],[Ask Rate]]*Table1[[#This Row],[Ask Qty]]</f>
        <v>0</v>
      </c>
      <c r="T1406" t="str">
        <f>VLOOKUP(Table1[[#This Row],[Isin code]],Table2[#All],7,FALSE)</f>
        <v>--</v>
      </c>
      <c r="U1406" s="17" t="str">
        <f>VLOOKUP(Table1[[#This Row],[Isin code]],Table2[#All],8,FALSE)</f>
        <v>02-Jul-2027</v>
      </c>
      <c r="V1406" s="10">
        <f ca="1">Table1[[#This Row],[Maturity]]-TODAY()</f>
        <v>989</v>
      </c>
      <c r="W1406" t="str">
        <f>VLOOKUP(Table1[[#This Row],[Isin code]],Table2[#All],10,FALSE)</f>
        <v>At the End</v>
      </c>
      <c r="X1406">
        <f ca="1">_xlfn.DAYS(Table1[[#This Row],[Maturity]],TODAY())-15</f>
        <v>974</v>
      </c>
      <c r="Y140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06">
        <f>IF(Table1[[#This Row],[Ask Rate]]=0,0,Table1[[#This Row],[Face Value]]-Table1[[#This Row],[Ask Rate]])</f>
        <v>0</v>
      </c>
      <c r="AA140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06">
        <f>Table1[[#This Row],[Face Value]]*Table1[[#This Row],[Rate]]*Table1[[#This Row],[Time]]</f>
        <v>0</v>
      </c>
      <c r="AC1406">
        <f>Table1[[#This Row],[SI]]+Table1[[#This Row],[Disc/Prem]]</f>
        <v>0</v>
      </c>
      <c r="AD1406" s="3" t="e">
        <f>Table1[[#This Row],[Net Gain]]/Table1[[#This Row],[Ask Rate]]</f>
        <v>#DIV/0!</v>
      </c>
      <c r="AE1406" s="3">
        <f>IF(Table1[[#This Row],[Ask Qty]]=0,0,Table1[[#This Row],[Gross Yield]]*365/Table1[[#This Row],[Days Left]])</f>
        <v>0</v>
      </c>
      <c r="AF1406" s="9">
        <f>+Table1[[#This Row],[Net Gain]]*Table1[[#This Row],[Ask Qty]]</f>
        <v>0</v>
      </c>
      <c r="AG1406" t="str">
        <f>IF(Table1[[#This Row],[YTM]]&gt;0.12,IF(Table1[[#This Row],[Gross Profit]]&gt;10000,"Invest","Review"),"Low YTM")</f>
        <v>Low YTM</v>
      </c>
    </row>
    <row r="1407" spans="1:33" x14ac:dyDescent="0.3">
      <c r="A1407" t="str">
        <f>RTD("nest.scriprtd",,"bse_cm|850IIFL27","Symbol")</f>
        <v>850IIFL27</v>
      </c>
      <c r="B1407" t="str">
        <f>RTD("nest.scriprtd",,"bse_cm|850IIFL27","Trading Symbol")</f>
        <v>850IIFL27</v>
      </c>
      <c r="C1407" t="str">
        <f>RTD("nest.scriprtd",,"bse_cm|850IIFL27","Exchange")</f>
        <v>BSE</v>
      </c>
      <c r="D1407">
        <f>RTD("nest.scriprtd",,"bse_cm|850IIFL27","Bid Qty")</f>
        <v>3</v>
      </c>
      <c r="E1407">
        <f>RTD("nest.scriprtd",,"bse_cm|850IIFL27","Bid Rate")</f>
        <v>990</v>
      </c>
      <c r="F1407">
        <f>RTD("nest.scriprtd",,"bse_cm|850IIFL27","Ask Rate")</f>
        <v>0</v>
      </c>
      <c r="G1407">
        <f>RTD("nest.scriprtd",,"bse_cm|850IIFL27","Ask Qty")</f>
        <v>0</v>
      </c>
      <c r="H1407">
        <f>RTD("nest.scriprtd",,"bse_cm|850IIFL27","LTP")</f>
        <v>0</v>
      </c>
      <c r="I1407" t="str">
        <f>RTD("nest.scriprtd",,"bse_cm|850IIFL27","LTT")</f>
        <v>00:00:00</v>
      </c>
      <c r="J1407">
        <f>RTD("nest.scriprtd",,"bse_cm|850IIFL27","% Change")</f>
        <v>-100</v>
      </c>
      <c r="K1407">
        <f>RTD("nest.scriprtd",,"bse_cm|850IIFL27","ATP")</f>
        <v>0</v>
      </c>
      <c r="L1407">
        <f>RTD("nest.scriprtd",,"bse_cm|850IIFL27","Volume Traded Today")</f>
        <v>0</v>
      </c>
      <c r="M1407">
        <f>RTD("nest.scriprtd",,"bse_cm|850IIFL27","Open")</f>
        <v>0</v>
      </c>
      <c r="N1407">
        <f>RTD("nest.scriprtd",,"bse_cm|850IIFL27","High")</f>
        <v>999.99</v>
      </c>
      <c r="O1407">
        <f>RTD("nest.scriprtd",,"bse_cm|850IIFL27","Low ")</f>
        <v>930.2</v>
      </c>
      <c r="P1407">
        <f>RTD("nest.scriprtd",,"bse_cm|850IIFL27","Prev Close")</f>
        <v>980.19</v>
      </c>
      <c r="Q1407">
        <f>RTD("nest.scriprtd",,"bse_cm|850IIFL27","Face Value")</f>
        <v>1000</v>
      </c>
      <c r="R1407" t="str">
        <f>RTD("nest.scriprtd",,"bse_cm|850IIFL27","Isin code")</f>
        <v>INE477L07AO7</v>
      </c>
      <c r="S1407" s="9">
        <f>Table1[[#This Row],[Ask Rate]]*Table1[[#This Row],[Ask Qty]]</f>
        <v>0</v>
      </c>
      <c r="T1407">
        <f>VLOOKUP(Table1[[#This Row],[Isin code]],Table2[#All],7,FALSE)</f>
        <v>8.5</v>
      </c>
      <c r="U1407" s="17" t="str">
        <f>VLOOKUP(Table1[[#This Row],[Isin code]],Table2[#All],8,FALSE)</f>
        <v>03-Jan-2027</v>
      </c>
      <c r="V1407" s="10">
        <f ca="1">Table1[[#This Row],[Maturity]]-TODAY()</f>
        <v>809</v>
      </c>
      <c r="W1407" t="str">
        <f>VLOOKUP(Table1[[#This Row],[Isin code]],Table2[#All],10,FALSE)</f>
        <v>Yearly</v>
      </c>
      <c r="X1407">
        <f ca="1">_xlfn.DAYS(Table1[[#This Row],[Maturity]],TODAY())-15</f>
        <v>794</v>
      </c>
      <c r="Y14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407">
        <f>IF(Table1[[#This Row],[Ask Rate]]=0,0,Table1[[#This Row],[Face Value]]-Table1[[#This Row],[Ask Rate]])</f>
        <v>0</v>
      </c>
      <c r="AA1407">
        <f>IF(Table1[[#This Row],[Freq]]="Yearly",Table1[[#This Row],[Coupon_Rate]]/100,IF(Table1[[#This Row],[Freq]]="Monthly",Table1[[#This Row],[Coupon_Rate]]/1200,IF(Table1[[#This Row],[Freq]]="Quarterly",Table1[[#This Row],[Coupon_Rate]]/400,0)))</f>
        <v>8.5000000000000006E-2</v>
      </c>
      <c r="AB1407">
        <f ca="1">Table1[[#This Row],[Face Value]]*Table1[[#This Row],[Rate]]*Table1[[#This Row],[Time]]</f>
        <v>255</v>
      </c>
      <c r="AC1407">
        <f ca="1">Table1[[#This Row],[SI]]+Table1[[#This Row],[Disc/Prem]]</f>
        <v>255</v>
      </c>
      <c r="AD1407" s="3" t="e">
        <f ca="1">Table1[[#This Row],[Net Gain]]/Table1[[#This Row],[Ask Rate]]</f>
        <v>#DIV/0!</v>
      </c>
      <c r="AE1407" s="3">
        <f>IF(Table1[[#This Row],[Ask Qty]]=0,0,Table1[[#This Row],[Gross Yield]]*365/Table1[[#This Row],[Days Left]])</f>
        <v>0</v>
      </c>
      <c r="AF1407" s="9">
        <f ca="1">+Table1[[#This Row],[Net Gain]]*Table1[[#This Row],[Ask Qty]]</f>
        <v>0</v>
      </c>
      <c r="AG1407" t="str">
        <f>IF(Table1[[#This Row],[YTM]]&gt;0.12,IF(Table1[[#This Row],[Gross Profit]]&gt;10000,"Invest","Review"),"Low YTM")</f>
        <v>Low YTM</v>
      </c>
    </row>
    <row r="1408" spans="1:33" x14ac:dyDescent="0.3">
      <c r="A1408" t="str">
        <f>RTD("nest.scriprtd",,"bse_cm|11EFSL34A","Symbol")</f>
        <v>11EFSL34A</v>
      </c>
      <c r="B1408" t="str">
        <f>RTD("nest.scriprtd",,"bse_cm|11EFSL34A","Trading Symbol")</f>
        <v>11EFSL34A</v>
      </c>
      <c r="C1408" t="str">
        <f>RTD("nest.scriprtd",,"bse_cm|11EFSL34A","Exchange")</f>
        <v>BSE</v>
      </c>
      <c r="D1408">
        <f>RTD("nest.scriprtd",,"bse_cm|11EFSL34A","Bid Qty")</f>
        <v>5</v>
      </c>
      <c r="E1408">
        <f>RTD("nest.scriprtd",,"bse_cm|11EFSL34A","Bid Rate")</f>
        <v>851.5</v>
      </c>
      <c r="F1408">
        <f>RTD("nest.scriprtd",,"bse_cm|11EFSL34A","Ask Rate")</f>
        <v>0</v>
      </c>
      <c r="G1408">
        <f>RTD("nest.scriprtd",,"bse_cm|11EFSL34A","Ask Qty")</f>
        <v>0</v>
      </c>
      <c r="H1408">
        <f>RTD("nest.scriprtd",,"bse_cm|11EFSL34A","LTP")</f>
        <v>0</v>
      </c>
      <c r="I1408" t="str">
        <f>RTD("nest.scriprtd",,"bse_cm|11EFSL34A","LTT")</f>
        <v>00:00:00</v>
      </c>
      <c r="J1408">
        <f>RTD("nest.scriprtd",,"bse_cm|11EFSL34A","% Change")</f>
        <v>-100</v>
      </c>
      <c r="K1408">
        <f>RTD("nest.scriprtd",,"bse_cm|11EFSL34A","ATP")</f>
        <v>0</v>
      </c>
      <c r="L1408">
        <f>RTD("nest.scriprtd",,"bse_cm|11EFSL34A","Volume Traded Today")</f>
        <v>0</v>
      </c>
      <c r="M1408">
        <f>RTD("nest.scriprtd",,"bse_cm|11EFSL34A","Open")</f>
        <v>0</v>
      </c>
      <c r="N1408">
        <f>RTD("nest.scriprtd",,"bse_cm|11EFSL34A","High")</f>
        <v>875</v>
      </c>
      <c r="O1408">
        <f>RTD("nest.scriprtd",,"bse_cm|11EFSL34A","Low ")</f>
        <v>875</v>
      </c>
      <c r="P1408">
        <f>RTD("nest.scriprtd",,"bse_cm|11EFSL34A","Prev Close")</f>
        <v>875</v>
      </c>
      <c r="Q1408">
        <f>RTD("nest.scriprtd",,"bse_cm|11EFSL34A","Face Value")</f>
        <v>1000</v>
      </c>
      <c r="R1408" t="str">
        <f>RTD("nest.scriprtd",,"bse_cm|11EFSL34A","Isin code")</f>
        <v>INE532F07FY9</v>
      </c>
      <c r="S1408" s="9">
        <f>Table1[[#This Row],[Ask Rate]]*Table1[[#This Row],[Ask Qty]]</f>
        <v>0</v>
      </c>
      <c r="T1408">
        <f>VLOOKUP(Table1[[#This Row],[Isin code]],Table2[#All],7,FALSE)</f>
        <v>11</v>
      </c>
      <c r="U1408" s="17" t="str">
        <f>VLOOKUP(Table1[[#This Row],[Isin code]],Table2[#All],8,FALSE)</f>
        <v>26-Jul-2034</v>
      </c>
      <c r="V1408" s="10">
        <f ca="1">Table1[[#This Row],[Maturity]]-TODAY()</f>
        <v>3570</v>
      </c>
      <c r="W1408" t="str">
        <f>VLOOKUP(Table1[[#This Row],[Isin code]],Table2[#All],10,FALSE)</f>
        <v>--</v>
      </c>
      <c r="X1408">
        <f ca="1">_xlfn.DAYS(Table1[[#This Row],[Maturity]],TODAY())-15</f>
        <v>3555</v>
      </c>
      <c r="Y140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08">
        <f>IF(Table1[[#This Row],[Ask Rate]]=0,0,Table1[[#This Row],[Face Value]]-Table1[[#This Row],[Ask Rate]])</f>
        <v>0</v>
      </c>
      <c r="AA140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08">
        <f>Table1[[#This Row],[Face Value]]*Table1[[#This Row],[Rate]]*Table1[[#This Row],[Time]]</f>
        <v>0</v>
      </c>
      <c r="AC1408">
        <f>Table1[[#This Row],[SI]]+Table1[[#This Row],[Disc/Prem]]</f>
        <v>0</v>
      </c>
      <c r="AD1408" s="3" t="e">
        <f>Table1[[#This Row],[Net Gain]]/Table1[[#This Row],[Ask Rate]]</f>
        <v>#DIV/0!</v>
      </c>
      <c r="AE1408" s="3">
        <f>IF(Table1[[#This Row],[Ask Qty]]=0,0,Table1[[#This Row],[Gross Yield]]*365/Table1[[#This Row],[Days Left]])</f>
        <v>0</v>
      </c>
      <c r="AF1408" s="9">
        <f>+Table1[[#This Row],[Net Gain]]*Table1[[#This Row],[Ask Qty]]</f>
        <v>0</v>
      </c>
      <c r="AG1408" t="str">
        <f>IF(Table1[[#This Row],[YTM]]&gt;0.12,IF(Table1[[#This Row],[Gross Profit]]&gt;10000,"Invest","Review"),"Low YTM")</f>
        <v>Low YTM</v>
      </c>
    </row>
    <row r="1409" spans="1:33" x14ac:dyDescent="0.3">
      <c r="A1409" t="str">
        <f>RTD("nest.scriprtd",,"bse_cm|1025SF29","Symbol")</f>
        <v>1025SF29</v>
      </c>
      <c r="B1409" t="str">
        <f>RTD("nest.scriprtd",,"bse_cm|1025SF29","Trading Symbol")</f>
        <v>1025SF29</v>
      </c>
      <c r="C1409" t="str">
        <f>RTD("nest.scriprtd",,"bse_cm|1025SF29","Exchange")</f>
        <v>BSE</v>
      </c>
      <c r="D1409">
        <f>RTD("nest.scriprtd",,"bse_cm|1025SF29","Bid Qty")</f>
        <v>5</v>
      </c>
      <c r="E1409">
        <f>RTD("nest.scriprtd",,"bse_cm|1025SF29","Bid Rate")</f>
        <v>933</v>
      </c>
      <c r="F1409">
        <f>RTD("nest.scriprtd",,"bse_cm|1025SF29","Ask Rate")</f>
        <v>0</v>
      </c>
      <c r="G1409">
        <f>RTD("nest.scriprtd",,"bse_cm|1025SF29","Ask Qty")</f>
        <v>0</v>
      </c>
      <c r="H1409">
        <f>RTD("nest.scriprtd",,"bse_cm|1025SF29","LTP")</f>
        <v>0</v>
      </c>
      <c r="I1409" t="str">
        <f>RTD("nest.scriprtd",,"bse_cm|1025SF29","LTT")</f>
        <v>00:00:00</v>
      </c>
      <c r="J1409">
        <f>RTD("nest.scriprtd",,"bse_cm|1025SF29","% Change")</f>
        <v>-100</v>
      </c>
      <c r="K1409">
        <f>RTD("nest.scriprtd",,"bse_cm|1025SF29","ATP")</f>
        <v>0</v>
      </c>
      <c r="L1409">
        <f>RTD("nest.scriprtd",,"bse_cm|1025SF29","Volume Traded Today")</f>
        <v>0</v>
      </c>
      <c r="M1409">
        <f>RTD("nest.scriprtd",,"bse_cm|1025SF29","Open")</f>
        <v>0</v>
      </c>
      <c r="N1409">
        <f>RTD("nest.scriprtd",,"bse_cm|1025SF29","High")</f>
        <v>980</v>
      </c>
      <c r="O1409">
        <f>RTD("nest.scriprtd",,"bse_cm|1025SF29","Low ")</f>
        <v>980</v>
      </c>
      <c r="P1409">
        <f>RTD("nest.scriprtd",,"bse_cm|1025SF29","Prev Close")</f>
        <v>980</v>
      </c>
      <c r="Q1409">
        <f>RTD("nest.scriprtd",,"bse_cm|1025SF29","Face Value")</f>
        <v>1000</v>
      </c>
      <c r="R1409" t="str">
        <f>RTD("nest.scriprtd",,"bse_cm|1025SF29","Isin code")</f>
        <v>INE302E07706</v>
      </c>
      <c r="S1409" s="9">
        <f>Table1[[#This Row],[Ask Rate]]*Table1[[#This Row],[Ask Qty]]</f>
        <v>0</v>
      </c>
      <c r="T1409">
        <f>VLOOKUP(Table1[[#This Row],[Isin code]],Table2[#All],7,FALSE)</f>
        <v>10.25</v>
      </c>
      <c r="U1409" s="17" t="str">
        <f>VLOOKUP(Table1[[#This Row],[Isin code]],Table2[#All],8,FALSE)</f>
        <v>09-Jul-2029</v>
      </c>
      <c r="V1409" s="10">
        <f ca="1">Table1[[#This Row],[Maturity]]-TODAY()</f>
        <v>1727</v>
      </c>
      <c r="W1409" t="str">
        <f>VLOOKUP(Table1[[#This Row],[Isin code]],Table2[#All],10,FALSE)</f>
        <v>Monthly</v>
      </c>
      <c r="X1409">
        <f ca="1">_xlfn.DAYS(Table1[[#This Row],[Maturity]],TODAY())-15</f>
        <v>1712</v>
      </c>
      <c r="Y140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58</v>
      </c>
      <c r="Z1409">
        <f>IF(Table1[[#This Row],[Ask Rate]]=0,0,Table1[[#This Row],[Face Value]]-Table1[[#This Row],[Ask Rate]])</f>
        <v>0</v>
      </c>
      <c r="AA1409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409">
        <f ca="1">Table1[[#This Row],[Face Value]]*Table1[[#This Row],[Rate]]*Table1[[#This Row],[Time]]</f>
        <v>495.41666666666663</v>
      </c>
      <c r="AC1409">
        <f ca="1">Table1[[#This Row],[SI]]+Table1[[#This Row],[Disc/Prem]]</f>
        <v>495.41666666666663</v>
      </c>
      <c r="AD1409" s="3" t="e">
        <f ca="1">Table1[[#This Row],[Net Gain]]/Table1[[#This Row],[Ask Rate]]</f>
        <v>#DIV/0!</v>
      </c>
      <c r="AE1409" s="3">
        <f>IF(Table1[[#This Row],[Ask Qty]]=0,0,Table1[[#This Row],[Gross Yield]]*365/Table1[[#This Row],[Days Left]])</f>
        <v>0</v>
      </c>
      <c r="AF1409" s="9">
        <f ca="1">+Table1[[#This Row],[Net Gain]]*Table1[[#This Row],[Ask Qty]]</f>
        <v>0</v>
      </c>
      <c r="AG1409" t="str">
        <f>IF(Table1[[#This Row],[YTM]]&gt;0.12,IF(Table1[[#This Row],[Gross Profit]]&gt;10000,"Invest","Review"),"Low YTM")</f>
        <v>Low YTM</v>
      </c>
    </row>
    <row r="1410" spans="1:33" x14ac:dyDescent="0.3">
      <c r="A1410" t="str">
        <f>RTD("nest.scriprtd",,"bse_cm|MML26","Symbol")</f>
        <v>MML26</v>
      </c>
      <c r="B1410" t="str">
        <f>RTD("nest.scriprtd",,"bse_cm|MML26","Trading Symbol")</f>
        <v>MML26</v>
      </c>
      <c r="C1410" t="str">
        <f>RTD("nest.scriprtd",,"bse_cm|MML26","Exchange")</f>
        <v>BSE</v>
      </c>
      <c r="D1410">
        <f>RTD("nest.scriprtd",,"bse_cm|MML26","Bid Qty")</f>
        <v>10</v>
      </c>
      <c r="E1410">
        <f>RTD("nest.scriprtd",,"bse_cm|MML26","Bid Rate")</f>
        <v>860.2</v>
      </c>
      <c r="F1410">
        <f>RTD("nest.scriprtd",,"bse_cm|MML26","Ask Rate")</f>
        <v>0</v>
      </c>
      <c r="G1410">
        <f>RTD("nest.scriprtd",,"bse_cm|MML26","Ask Qty")</f>
        <v>0</v>
      </c>
      <c r="H1410">
        <f>RTD("nest.scriprtd",,"bse_cm|MML26","LTP")</f>
        <v>0</v>
      </c>
      <c r="I1410" t="str">
        <f>RTD("nest.scriprtd",,"bse_cm|MML26","LTT")</f>
        <v>00:00:00</v>
      </c>
      <c r="J1410">
        <f>RTD("nest.scriprtd",,"bse_cm|MML26","% Change")</f>
        <v>-100</v>
      </c>
      <c r="K1410">
        <f>RTD("nest.scriprtd",,"bse_cm|MML26","ATP")</f>
        <v>0</v>
      </c>
      <c r="L1410">
        <f>RTD("nest.scriprtd",,"bse_cm|MML26","Volume Traded Today")</f>
        <v>0</v>
      </c>
      <c r="M1410">
        <f>RTD("nest.scriprtd",,"bse_cm|MML26","Open")</f>
        <v>0</v>
      </c>
      <c r="N1410">
        <f>RTD("nest.scriprtd",,"bse_cm|MML26","High")</f>
        <v>1015</v>
      </c>
      <c r="O1410">
        <f>RTD("nest.scriprtd",,"bse_cm|MML26","Low ")</f>
        <v>1015</v>
      </c>
      <c r="P1410">
        <f>RTD("nest.scriprtd",,"bse_cm|MML26","Prev Close")</f>
        <v>1015</v>
      </c>
      <c r="Q1410">
        <f>RTD("nest.scriprtd",,"bse_cm|MML26","Face Value")</f>
        <v>1000</v>
      </c>
      <c r="R1410" t="str">
        <f>RTD("nest.scriprtd",,"bse_cm|MML26","Isin code")</f>
        <v>INE05F407BH3</v>
      </c>
      <c r="S1410" s="9">
        <f>Table1[[#This Row],[Ask Rate]]*Table1[[#This Row],[Ask Qty]]</f>
        <v>0</v>
      </c>
      <c r="T1410" t="str">
        <f>VLOOKUP(Table1[[#This Row],[Isin code]],Table2[#All],7,FALSE)</f>
        <v>--</v>
      </c>
      <c r="U1410" s="17" t="str">
        <f>VLOOKUP(Table1[[#This Row],[Isin code]],Table2[#All],8,FALSE)</f>
        <v>21-Dec-2026</v>
      </c>
      <c r="V1410" s="10">
        <f ca="1">Table1[[#This Row],[Maturity]]-TODAY()</f>
        <v>796</v>
      </c>
      <c r="W1410" t="str">
        <f>VLOOKUP(Table1[[#This Row],[Isin code]],Table2[#All],10,FALSE)</f>
        <v>At the End</v>
      </c>
      <c r="X1410">
        <f ca="1">_xlfn.DAYS(Table1[[#This Row],[Maturity]],TODAY())-15</f>
        <v>781</v>
      </c>
      <c r="Y141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10">
        <f>IF(Table1[[#This Row],[Ask Rate]]=0,0,Table1[[#This Row],[Face Value]]-Table1[[#This Row],[Ask Rate]])</f>
        <v>0</v>
      </c>
      <c r="AA141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10">
        <f>Table1[[#This Row],[Face Value]]*Table1[[#This Row],[Rate]]*Table1[[#This Row],[Time]]</f>
        <v>0</v>
      </c>
      <c r="AC1410">
        <f>Table1[[#This Row],[SI]]+Table1[[#This Row],[Disc/Prem]]</f>
        <v>0</v>
      </c>
      <c r="AD1410" s="3" t="e">
        <f>Table1[[#This Row],[Net Gain]]/Table1[[#This Row],[Ask Rate]]</f>
        <v>#DIV/0!</v>
      </c>
      <c r="AE1410" s="3">
        <f>IF(Table1[[#This Row],[Ask Qty]]=0,0,Table1[[#This Row],[Gross Yield]]*365/Table1[[#This Row],[Days Left]])</f>
        <v>0</v>
      </c>
      <c r="AF1410" s="9">
        <f>+Table1[[#This Row],[Net Gain]]*Table1[[#This Row],[Ask Qty]]</f>
        <v>0</v>
      </c>
      <c r="AG1410" t="str">
        <f>IF(Table1[[#This Row],[YTM]]&gt;0.12,IF(Table1[[#This Row],[Gross Profit]]&gt;10000,"Invest","Review"),"Low YTM")</f>
        <v>Low YTM</v>
      </c>
    </row>
    <row r="1411" spans="1:33" x14ac:dyDescent="0.3">
      <c r="A1411" t="str">
        <f>RTD("nest.scriprtd",,"bse_cm|MFLZC27C","Symbol")</f>
        <v>MFLZC27C</v>
      </c>
      <c r="B1411" t="str">
        <f>RTD("nest.scriprtd",,"bse_cm|MFLZC27C","Trading Symbol")</f>
        <v>MFLZC27C</v>
      </c>
      <c r="C1411" t="str">
        <f>RTD("nest.scriprtd",,"bse_cm|MFLZC27C","Exchange")</f>
        <v>BSE</v>
      </c>
      <c r="D1411">
        <f>RTD("nest.scriprtd",,"bse_cm|MFLZC27C","Bid Qty")</f>
        <v>50</v>
      </c>
      <c r="E1411">
        <f>RTD("nest.scriprtd",,"bse_cm|MFLZC27C","Bid Rate")</f>
        <v>1270.02</v>
      </c>
      <c r="F1411">
        <f>RTD("nest.scriprtd",,"bse_cm|MFLZC27C","Ask Rate")</f>
        <v>0</v>
      </c>
      <c r="G1411">
        <f>RTD("nest.scriprtd",,"bse_cm|MFLZC27C","Ask Qty")</f>
        <v>0</v>
      </c>
      <c r="H1411">
        <f>RTD("nest.scriprtd",,"bse_cm|MFLZC27C","LTP")</f>
        <v>0</v>
      </c>
      <c r="I1411" t="str">
        <f>RTD("nest.scriprtd",,"bse_cm|MFLZC27C","LTT")</f>
        <v>00:00:00</v>
      </c>
      <c r="J1411">
        <f>RTD("nest.scriprtd",,"bse_cm|MFLZC27C","% Change")</f>
        <v>-100</v>
      </c>
      <c r="K1411">
        <f>RTD("nest.scriprtd",,"bse_cm|MFLZC27C","ATP")</f>
        <v>0</v>
      </c>
      <c r="L1411">
        <f>RTD("nest.scriprtd",,"bse_cm|MFLZC27C","Volume Traded Today")</f>
        <v>0</v>
      </c>
      <c r="M1411">
        <f>RTD("nest.scriprtd",,"bse_cm|MFLZC27C","Open")</f>
        <v>0</v>
      </c>
      <c r="N1411">
        <f>RTD("nest.scriprtd",,"bse_cm|MFLZC27C","High")</f>
        <v>1405</v>
      </c>
      <c r="O1411">
        <f>RTD("nest.scriprtd",,"bse_cm|MFLZC27C","Low ")</f>
        <v>1405</v>
      </c>
      <c r="P1411">
        <f>RTD("nest.scriprtd",,"bse_cm|MFLZC27C","Prev Close")</f>
        <v>1405</v>
      </c>
      <c r="Q1411">
        <f>RTD("nest.scriprtd",,"bse_cm|MFLZC27C","Face Value")</f>
        <v>1000</v>
      </c>
      <c r="R1411" t="str">
        <f>RTD("nest.scriprtd",,"bse_cm|MFLZC27C","Isin code")</f>
        <v>INE549K08194</v>
      </c>
      <c r="S1411" s="9">
        <f>Table1[[#This Row],[Ask Rate]]*Table1[[#This Row],[Ask Qty]]</f>
        <v>0</v>
      </c>
      <c r="T1411" t="str">
        <f>VLOOKUP(Table1[[#This Row],[Isin code]],Table2[#All],7,FALSE)</f>
        <v>--</v>
      </c>
      <c r="U1411" s="17" t="str">
        <f>VLOOKUP(Table1[[#This Row],[Isin code]],Table2[#All],8,FALSE)</f>
        <v>29-Jan-2027</v>
      </c>
      <c r="V1411" s="10">
        <f ca="1">Table1[[#This Row],[Maturity]]-TODAY()</f>
        <v>835</v>
      </c>
      <c r="W1411" t="str">
        <f>VLOOKUP(Table1[[#This Row],[Isin code]],Table2[#All],10,FALSE)</f>
        <v>At the End</v>
      </c>
      <c r="X1411">
        <f ca="1">_xlfn.DAYS(Table1[[#This Row],[Maturity]],TODAY())-15</f>
        <v>820</v>
      </c>
      <c r="Y141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11">
        <f>IF(Table1[[#This Row],[Ask Rate]]=0,0,Table1[[#This Row],[Face Value]]-Table1[[#This Row],[Ask Rate]])</f>
        <v>0</v>
      </c>
      <c r="AA141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11">
        <f>Table1[[#This Row],[Face Value]]*Table1[[#This Row],[Rate]]*Table1[[#This Row],[Time]]</f>
        <v>0</v>
      </c>
      <c r="AC1411">
        <f>Table1[[#This Row],[SI]]+Table1[[#This Row],[Disc/Prem]]</f>
        <v>0</v>
      </c>
      <c r="AD1411" s="3" t="e">
        <f>Table1[[#This Row],[Net Gain]]/Table1[[#This Row],[Ask Rate]]</f>
        <v>#DIV/0!</v>
      </c>
      <c r="AE1411" s="3">
        <f>IF(Table1[[#This Row],[Ask Qty]]=0,0,Table1[[#This Row],[Gross Yield]]*365/Table1[[#This Row],[Days Left]])</f>
        <v>0</v>
      </c>
      <c r="AF1411" s="9">
        <f>+Table1[[#This Row],[Net Gain]]*Table1[[#This Row],[Ask Qty]]</f>
        <v>0</v>
      </c>
      <c r="AG1411" t="str">
        <f>IF(Table1[[#This Row],[YTM]]&gt;0.12,IF(Table1[[#This Row],[Gross Profit]]&gt;10000,"Invest","Review"),"Low YTM")</f>
        <v>Low YTM</v>
      </c>
    </row>
    <row r="1412" spans="1:33" x14ac:dyDescent="0.3">
      <c r="A1412" t="str">
        <f>RTD("nest.scriprtd",,"bse_cm|98ICCL26","Symbol")</f>
        <v>98ICCL26</v>
      </c>
      <c r="B1412" t="str">
        <f>RTD("nest.scriprtd",,"bse_cm|98ICCL26","Trading Symbol")</f>
        <v>98ICCL26</v>
      </c>
      <c r="C1412" t="str">
        <f>RTD("nest.scriprtd",,"bse_cm|98ICCL26","Exchange")</f>
        <v>BSE</v>
      </c>
      <c r="D1412">
        <f>RTD("nest.scriprtd",,"bse_cm|98ICCL26","Bid Qty")</f>
        <v>0</v>
      </c>
      <c r="E1412">
        <f>RTD("nest.scriprtd",,"bse_cm|98ICCL26","Bid Rate")</f>
        <v>0</v>
      </c>
      <c r="F1412">
        <f>RTD("nest.scriprtd",,"bse_cm|98ICCL26","Ask Rate")</f>
        <v>0</v>
      </c>
      <c r="G1412">
        <f>RTD("nest.scriprtd",,"bse_cm|98ICCL26","Ask Qty")</f>
        <v>0</v>
      </c>
      <c r="H1412">
        <f>RTD("nest.scriprtd",,"bse_cm|98ICCL26","LTP")</f>
        <v>0</v>
      </c>
      <c r="I1412" t="str">
        <f>RTD("nest.scriprtd",,"bse_cm|98ICCL26","LTT")</f>
        <v>00:00:00</v>
      </c>
      <c r="J1412">
        <f>RTD("nest.scriprtd",,"bse_cm|98ICCL26","% Change")</f>
        <v>-100</v>
      </c>
      <c r="K1412">
        <f>RTD("nest.scriprtd",,"bse_cm|98ICCL26","ATP")</f>
        <v>0</v>
      </c>
      <c r="L1412">
        <f>RTD("nest.scriprtd",,"bse_cm|98ICCL26","Volume Traded Today")</f>
        <v>0</v>
      </c>
      <c r="M1412">
        <f>RTD("nest.scriprtd",,"bse_cm|98ICCL26","Open")</f>
        <v>0</v>
      </c>
      <c r="N1412">
        <f>RTD("nest.scriprtd",,"bse_cm|98ICCL26","High")</f>
        <v>802</v>
      </c>
      <c r="O1412">
        <f>RTD("nest.scriprtd",,"bse_cm|98ICCL26","Low ")</f>
        <v>802</v>
      </c>
      <c r="P1412">
        <f>RTD("nest.scriprtd",,"bse_cm|98ICCL26","Prev Close")</f>
        <v>802</v>
      </c>
      <c r="Q1412">
        <f>RTD("nest.scriprtd",,"bse_cm|98ICCL26","Face Value")</f>
        <v>667</v>
      </c>
      <c r="R1412" t="str">
        <f>RTD("nest.scriprtd",,"bse_cm|98ICCL26","Isin code")</f>
        <v>INE244L07499</v>
      </c>
      <c r="S1412" s="9">
        <f>Table1[[#This Row],[Ask Rate]]*Table1[[#This Row],[Ask Qty]]</f>
        <v>0</v>
      </c>
      <c r="T1412">
        <f>VLOOKUP(Table1[[#This Row],[Isin code]],Table2[#All],7,FALSE)</f>
        <v>9.8000000000000007</v>
      </c>
      <c r="U1412" s="17" t="str">
        <f>VLOOKUP(Table1[[#This Row],[Isin code]],Table2[#All],8,FALSE)</f>
        <v>25-Apr-2026</v>
      </c>
      <c r="V1412" s="10">
        <f ca="1">Table1[[#This Row],[Maturity]]-TODAY()</f>
        <v>556</v>
      </c>
      <c r="W1412" t="str">
        <f>VLOOKUP(Table1[[#This Row],[Isin code]],Table2[#All],10,FALSE)</f>
        <v>Monthly</v>
      </c>
      <c r="X1412">
        <f ca="1">_xlfn.DAYS(Table1[[#This Row],[Maturity]],TODAY())-15</f>
        <v>541</v>
      </c>
      <c r="Y14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1412">
        <f>IF(Table1[[#This Row],[Ask Rate]]=0,0,Table1[[#This Row],[Face Value]]-Table1[[#This Row],[Ask Rate]])</f>
        <v>0</v>
      </c>
      <c r="AA1412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1412">
        <f ca="1">Table1[[#This Row],[Face Value]]*Table1[[#This Row],[Rate]]*Table1[[#This Row],[Time]]</f>
        <v>103.49616666666667</v>
      </c>
      <c r="AC1412">
        <f ca="1">Table1[[#This Row],[SI]]+Table1[[#This Row],[Disc/Prem]]</f>
        <v>103.49616666666667</v>
      </c>
      <c r="AD1412" s="3" t="e">
        <f ca="1">Table1[[#This Row],[Net Gain]]/Table1[[#This Row],[Ask Rate]]</f>
        <v>#DIV/0!</v>
      </c>
      <c r="AE1412" s="3">
        <f>IF(Table1[[#This Row],[Ask Qty]]=0,0,Table1[[#This Row],[Gross Yield]]*365/Table1[[#This Row],[Days Left]])</f>
        <v>0</v>
      </c>
      <c r="AF1412" s="9">
        <f ca="1">+Table1[[#This Row],[Net Gain]]*Table1[[#This Row],[Ask Qty]]</f>
        <v>0</v>
      </c>
      <c r="AG1412" t="str">
        <f>IF(Table1[[#This Row],[YTM]]&gt;0.12,IF(Table1[[#This Row],[Gross Profit]]&gt;10000,"Invest","Review"),"Low YTM")</f>
        <v>Low YTM</v>
      </c>
    </row>
    <row r="1413" spans="1:33" x14ac:dyDescent="0.3">
      <c r="A1413" t="str">
        <f>RTD("nest.scriprtd",,"bse_cm|1045EFSL34","Symbol")</f>
        <v>1045EFSL34</v>
      </c>
      <c r="B1413" t="str">
        <f>RTD("nest.scriprtd",,"bse_cm|1045EFSL34","Trading Symbol")</f>
        <v>1045EFSL34</v>
      </c>
      <c r="C1413" t="str">
        <f>RTD("nest.scriprtd",,"bse_cm|1045EFSL34","Exchange")</f>
        <v>BSE</v>
      </c>
      <c r="D1413">
        <f>RTD("nest.scriprtd",,"bse_cm|1045EFSL34","Bid Qty")</f>
        <v>10</v>
      </c>
      <c r="E1413">
        <f>RTD("nest.scriprtd",,"bse_cm|1045EFSL34","Bid Rate")</f>
        <v>851</v>
      </c>
      <c r="F1413">
        <f>RTD("nest.scriprtd",,"bse_cm|1045EFSL34","Ask Rate")</f>
        <v>0</v>
      </c>
      <c r="G1413">
        <f>RTD("nest.scriprtd",,"bse_cm|1045EFSL34","Ask Qty")</f>
        <v>0</v>
      </c>
      <c r="H1413">
        <f>RTD("nest.scriprtd",,"bse_cm|1045EFSL34","LTP")</f>
        <v>0</v>
      </c>
      <c r="I1413" t="str">
        <f>RTD("nest.scriprtd",,"bse_cm|1045EFSL34","LTT")</f>
        <v>00:00:00</v>
      </c>
      <c r="J1413">
        <f>RTD("nest.scriprtd",,"bse_cm|1045EFSL34","% Change")</f>
        <v>-100</v>
      </c>
      <c r="K1413">
        <f>RTD("nest.scriprtd",,"bse_cm|1045EFSL34","ATP")</f>
        <v>0</v>
      </c>
      <c r="L1413">
        <f>RTD("nest.scriprtd",,"bse_cm|1045EFSL34","Volume Traded Today")</f>
        <v>0</v>
      </c>
      <c r="M1413">
        <f>RTD("nest.scriprtd",,"bse_cm|1045EFSL34","Open")</f>
        <v>0</v>
      </c>
      <c r="N1413">
        <f>RTD("nest.scriprtd",,"bse_cm|1045EFSL34","High")</f>
        <v>940</v>
      </c>
      <c r="O1413">
        <f>RTD("nest.scriprtd",,"bse_cm|1045EFSL34","Low ")</f>
        <v>901</v>
      </c>
      <c r="P1413">
        <f>RTD("nest.scriprtd",,"bse_cm|1045EFSL34","Prev Close")</f>
        <v>940</v>
      </c>
      <c r="Q1413">
        <f>RTD("nest.scriprtd",,"bse_cm|1045EFSL34","Face Value")</f>
        <v>1000</v>
      </c>
      <c r="R1413" t="str">
        <f>RTD("nest.scriprtd",,"bse_cm|1045EFSL34","Isin code")</f>
        <v>INE532F07FC5</v>
      </c>
      <c r="S1413" s="9">
        <f>Table1[[#This Row],[Ask Rate]]*Table1[[#This Row],[Ask Qty]]</f>
        <v>0</v>
      </c>
      <c r="T1413">
        <f>VLOOKUP(Table1[[#This Row],[Isin code]],Table2[#All],7,FALSE)</f>
        <v>10.45</v>
      </c>
      <c r="U1413" s="17" t="str">
        <f>VLOOKUP(Table1[[#This Row],[Isin code]],Table2[#All],8,FALSE)</f>
        <v>29-Jan-2034</v>
      </c>
      <c r="V1413" s="10">
        <f ca="1">Table1[[#This Row],[Maturity]]-TODAY()</f>
        <v>3392</v>
      </c>
      <c r="W1413" t="str">
        <f>VLOOKUP(Table1[[#This Row],[Isin code]],Table2[#All],10,FALSE)</f>
        <v>Yearly</v>
      </c>
      <c r="X1413">
        <f ca="1">_xlfn.DAYS(Table1[[#This Row],[Maturity]],TODAY())-15</f>
        <v>3377</v>
      </c>
      <c r="Y141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</v>
      </c>
      <c r="Z1413">
        <f>IF(Table1[[#This Row],[Ask Rate]]=0,0,Table1[[#This Row],[Face Value]]-Table1[[#This Row],[Ask Rate]])</f>
        <v>0</v>
      </c>
      <c r="AA1413">
        <f>IF(Table1[[#This Row],[Freq]]="Yearly",Table1[[#This Row],[Coupon_Rate]]/100,IF(Table1[[#This Row],[Freq]]="Monthly",Table1[[#This Row],[Coupon_Rate]]/1200,IF(Table1[[#This Row],[Freq]]="Quarterly",Table1[[#This Row],[Coupon_Rate]]/400,0)))</f>
        <v>0.1045</v>
      </c>
      <c r="AB1413">
        <f ca="1">Table1[[#This Row],[Face Value]]*Table1[[#This Row],[Rate]]*Table1[[#This Row],[Time]]</f>
        <v>1045</v>
      </c>
      <c r="AC1413">
        <f ca="1">Table1[[#This Row],[SI]]+Table1[[#This Row],[Disc/Prem]]</f>
        <v>1045</v>
      </c>
      <c r="AD1413" s="3" t="e">
        <f ca="1">Table1[[#This Row],[Net Gain]]/Table1[[#This Row],[Ask Rate]]</f>
        <v>#DIV/0!</v>
      </c>
      <c r="AE1413" s="3">
        <f>IF(Table1[[#This Row],[Ask Qty]]=0,0,Table1[[#This Row],[Gross Yield]]*365/Table1[[#This Row],[Days Left]])</f>
        <v>0</v>
      </c>
      <c r="AF1413" s="9">
        <f ca="1">+Table1[[#This Row],[Net Gain]]*Table1[[#This Row],[Ask Qty]]</f>
        <v>0</v>
      </c>
      <c r="AG1413" t="str">
        <f>IF(Table1[[#This Row],[YTM]]&gt;0.12,IF(Table1[[#This Row],[Gross Profit]]&gt;10000,"Invest","Review"),"Low YTM")</f>
        <v>Low YTM</v>
      </c>
    </row>
    <row r="1414" spans="1:33" x14ac:dyDescent="0.3">
      <c r="A1414" t="str">
        <f>RTD("nest.scriprtd",,"bse_cm|925SCL27","Symbol")</f>
        <v>925SCL27</v>
      </c>
      <c r="B1414" t="str">
        <f>RTD("nest.scriprtd",,"bse_cm|925SCL27","Trading Symbol")</f>
        <v>925SCL27</v>
      </c>
      <c r="C1414" t="str">
        <f>RTD("nest.scriprtd",,"bse_cm|925SCL27","Exchange")</f>
        <v>BSE</v>
      </c>
      <c r="D1414">
        <f>RTD("nest.scriprtd",,"bse_cm|925SCL27","Bid Qty")</f>
        <v>12</v>
      </c>
      <c r="E1414">
        <f>RTD("nest.scriprtd",,"bse_cm|925SCL27","Bid Rate")</f>
        <v>900.3</v>
      </c>
      <c r="F1414">
        <f>RTD("nest.scriprtd",,"bse_cm|925SCL27","Ask Rate")</f>
        <v>0</v>
      </c>
      <c r="G1414">
        <f>RTD("nest.scriprtd",,"bse_cm|925SCL27","Ask Qty")</f>
        <v>0</v>
      </c>
      <c r="H1414">
        <f>RTD("nest.scriprtd",,"bse_cm|925SCL27","LTP")</f>
        <v>0</v>
      </c>
      <c r="I1414" t="str">
        <f>RTD("nest.scriprtd",,"bse_cm|925SCL27","LTT")</f>
        <v>00:00:00</v>
      </c>
      <c r="J1414">
        <f>RTD("nest.scriprtd",,"bse_cm|925SCL27","% Change")</f>
        <v>-100</v>
      </c>
      <c r="K1414">
        <f>RTD("nest.scriprtd",,"bse_cm|925SCL27","ATP")</f>
        <v>0</v>
      </c>
      <c r="L1414">
        <f>RTD("nest.scriprtd",,"bse_cm|925SCL27","Volume Traded Today")</f>
        <v>0</v>
      </c>
      <c r="M1414">
        <f>RTD("nest.scriprtd",,"bse_cm|925SCL27","Open")</f>
        <v>0</v>
      </c>
      <c r="N1414">
        <f>RTD("nest.scriprtd",,"bse_cm|925SCL27","High")</f>
        <v>947.75</v>
      </c>
      <c r="O1414">
        <f>RTD("nest.scriprtd",,"bse_cm|925SCL27","Low ")</f>
        <v>935</v>
      </c>
      <c r="P1414">
        <f>RTD("nest.scriprtd",,"bse_cm|925SCL27","Prev Close")</f>
        <v>947.75</v>
      </c>
      <c r="Q1414">
        <f>RTD("nest.scriprtd",,"bse_cm|925SCL27","Face Value")</f>
        <v>1000</v>
      </c>
      <c r="R1414" t="str">
        <f>RTD("nest.scriprtd",,"bse_cm|925SCL27","Isin code")</f>
        <v>INE148I07LT6</v>
      </c>
      <c r="S1414" s="9">
        <f>Table1[[#This Row],[Ask Rate]]*Table1[[#This Row],[Ask Qty]]</f>
        <v>0</v>
      </c>
      <c r="T1414">
        <f>VLOOKUP(Table1[[#This Row],[Isin code]],Table2[#All],7,FALSE)</f>
        <v>9.25</v>
      </c>
      <c r="U1414" s="17" t="str">
        <f>VLOOKUP(Table1[[#This Row],[Isin code]],Table2[#All],8,FALSE)</f>
        <v>28-Apr-2027</v>
      </c>
      <c r="V1414" s="10">
        <f ca="1">Table1[[#This Row],[Maturity]]-TODAY()</f>
        <v>924</v>
      </c>
      <c r="W1414" t="str">
        <f>VLOOKUP(Table1[[#This Row],[Isin code]],Table2[#All],10,FALSE)</f>
        <v>Yearly</v>
      </c>
      <c r="X1414">
        <f ca="1">_xlfn.DAYS(Table1[[#This Row],[Maturity]],TODAY())-15</f>
        <v>909</v>
      </c>
      <c r="Y14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414">
        <f>IF(Table1[[#This Row],[Ask Rate]]=0,0,Table1[[#This Row],[Face Value]]-Table1[[#This Row],[Ask Rate]])</f>
        <v>0</v>
      </c>
      <c r="AA1414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1414">
        <f ca="1">Table1[[#This Row],[Face Value]]*Table1[[#This Row],[Rate]]*Table1[[#This Row],[Time]]</f>
        <v>277.5</v>
      </c>
      <c r="AC1414">
        <f ca="1">Table1[[#This Row],[SI]]+Table1[[#This Row],[Disc/Prem]]</f>
        <v>277.5</v>
      </c>
      <c r="AD1414" s="3" t="e">
        <f ca="1">Table1[[#This Row],[Net Gain]]/Table1[[#This Row],[Ask Rate]]</f>
        <v>#DIV/0!</v>
      </c>
      <c r="AE1414" s="3">
        <f>IF(Table1[[#This Row],[Ask Qty]]=0,0,Table1[[#This Row],[Gross Yield]]*365/Table1[[#This Row],[Days Left]])</f>
        <v>0</v>
      </c>
      <c r="AF1414" s="9">
        <f ca="1">+Table1[[#This Row],[Net Gain]]*Table1[[#This Row],[Ask Qty]]</f>
        <v>0</v>
      </c>
      <c r="AG1414" t="str">
        <f>IF(Table1[[#This Row],[YTM]]&gt;0.12,IF(Table1[[#This Row],[Gross Profit]]&gt;10000,"Invest","Review"),"Low YTM")</f>
        <v>Low YTM</v>
      </c>
    </row>
    <row r="1415" spans="1:33" x14ac:dyDescent="0.3">
      <c r="A1415" t="str">
        <f>RTD("nest.scriprtd",,"nse_cm|925SCL27-YR","Symbol")</f>
        <v>925SCL27</v>
      </c>
      <c r="B1415" t="str">
        <f>RTD("nest.scriprtd",,"nse_cm|925SCL27-YR","Trading Symbol")</f>
        <v>925SCL27-YR</v>
      </c>
      <c r="C1415" t="str">
        <f>RTD("nest.scriprtd",,"nse_cm|925SCL27-YR","Exchange")</f>
        <v>NSE</v>
      </c>
      <c r="D1415">
        <f>RTD("nest.scriprtd",,"nse_cm|925SCL27-YR","Bid Qty")</f>
        <v>5</v>
      </c>
      <c r="E1415">
        <f>RTD("nest.scriprtd",,"nse_cm|925SCL27-YR","Bid Rate")</f>
        <v>905.55</v>
      </c>
      <c r="F1415">
        <f>RTD("nest.scriprtd",,"nse_cm|925SCL27-YR","Ask Rate")</f>
        <v>0</v>
      </c>
      <c r="G1415">
        <f>RTD("nest.scriprtd",,"nse_cm|925SCL27-YR","Ask Qty")</f>
        <v>0</v>
      </c>
      <c r="H1415">
        <f>RTD("nest.scriprtd",,"nse_cm|925SCL27-YR","LTP")</f>
        <v>1000</v>
      </c>
      <c r="I1415" t="str">
        <f>RTD("nest.scriprtd",,"nse_cm|925SCL27-YR","LTT")</f>
        <v>10:14:24</v>
      </c>
      <c r="J1415">
        <f>RTD("nest.scriprtd",,"nse_cm|925SCL27-YR","% Change")</f>
        <v>3.53</v>
      </c>
      <c r="K1415">
        <f>RTD("nest.scriprtd",,"nse_cm|925SCL27-YR","ATP")</f>
        <v>1000</v>
      </c>
      <c r="L1415">
        <f>RTD("nest.scriprtd",,"nse_cm|925SCL27-YR","Volume Traded Today")</f>
        <v>50</v>
      </c>
      <c r="M1415">
        <f>RTD("nest.scriprtd",,"nse_cm|925SCL27-YR","Open")</f>
        <v>1000</v>
      </c>
      <c r="N1415">
        <f>RTD("nest.scriprtd",,"nse_cm|925SCL27-YR","High")</f>
        <v>1000</v>
      </c>
      <c r="O1415">
        <f>RTD("nest.scriprtd",,"nse_cm|925SCL27-YR","Low ")</f>
        <v>1000</v>
      </c>
      <c r="P1415">
        <f>RTD("nest.scriprtd",,"nse_cm|925SCL27-YR","Prev Close")</f>
        <v>965.86</v>
      </c>
      <c r="Q1415">
        <f>RTD("nest.scriprtd",,"nse_cm|925SCL27-YR","Face Value")</f>
        <v>1000</v>
      </c>
      <c r="R1415" t="str">
        <f>RTD("nest.scriprtd",,"nse_cm|925SCL27-YR","Isin code")</f>
        <v>INE148I07LT6</v>
      </c>
      <c r="S1415" s="9">
        <f>Table1[[#This Row],[Ask Rate]]*Table1[[#This Row],[Ask Qty]]</f>
        <v>0</v>
      </c>
      <c r="T1415">
        <f>VLOOKUP(Table1[[#This Row],[Isin code]],Table2[#All],7,FALSE)</f>
        <v>9.25</v>
      </c>
      <c r="U1415" s="17" t="str">
        <f>VLOOKUP(Table1[[#This Row],[Isin code]],Table2[#All],8,FALSE)</f>
        <v>28-Apr-2027</v>
      </c>
      <c r="V1415" s="10">
        <f ca="1">Table1[[#This Row],[Maturity]]-TODAY()</f>
        <v>924</v>
      </c>
      <c r="W1415" t="str">
        <f>VLOOKUP(Table1[[#This Row],[Isin code]],Table2[#All],10,FALSE)</f>
        <v>Yearly</v>
      </c>
      <c r="X1415">
        <f ca="1">_xlfn.DAYS(Table1[[#This Row],[Maturity]],TODAY())-15</f>
        <v>909</v>
      </c>
      <c r="Y14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415">
        <f>IF(Table1[[#This Row],[Ask Rate]]=0,0,Table1[[#This Row],[Face Value]]-Table1[[#This Row],[Ask Rate]])</f>
        <v>0</v>
      </c>
      <c r="AA1415">
        <f>IF(Table1[[#This Row],[Freq]]="Yearly",Table1[[#This Row],[Coupon_Rate]]/100,IF(Table1[[#This Row],[Freq]]="Monthly",Table1[[#This Row],[Coupon_Rate]]/1200,IF(Table1[[#This Row],[Freq]]="Quarterly",Table1[[#This Row],[Coupon_Rate]]/400,0)))</f>
        <v>9.2499999999999999E-2</v>
      </c>
      <c r="AB1415">
        <f ca="1">Table1[[#This Row],[Face Value]]*Table1[[#This Row],[Rate]]*Table1[[#This Row],[Time]]</f>
        <v>277.5</v>
      </c>
      <c r="AC1415">
        <f ca="1">Table1[[#This Row],[SI]]+Table1[[#This Row],[Disc/Prem]]</f>
        <v>277.5</v>
      </c>
      <c r="AD1415" s="3" t="e">
        <f ca="1">Table1[[#This Row],[Net Gain]]/Table1[[#This Row],[Ask Rate]]</f>
        <v>#DIV/0!</v>
      </c>
      <c r="AE1415" s="3">
        <f>IF(Table1[[#This Row],[Ask Qty]]=0,0,Table1[[#This Row],[Gross Yield]]*365/Table1[[#This Row],[Days Left]])</f>
        <v>0</v>
      </c>
      <c r="AF1415" s="9">
        <f ca="1">+Table1[[#This Row],[Net Gain]]*Table1[[#This Row],[Ask Qty]]</f>
        <v>0</v>
      </c>
      <c r="AG1415" t="str">
        <f>IF(Table1[[#This Row],[YTM]]&gt;0.12,IF(Table1[[#This Row],[Gross Profit]]&gt;10000,"Invest","Review"),"Low YTM")</f>
        <v>Low YTM</v>
      </c>
    </row>
    <row r="1416" spans="1:33" x14ac:dyDescent="0.3">
      <c r="A1416" t="str">
        <f>RTD("nest.scriprtd",,"nse_cm|87SCL27A-ZK","Symbol")</f>
        <v>87SCL27A</v>
      </c>
      <c r="B1416" t="str">
        <f>RTD("nest.scriprtd",,"nse_cm|87SCL27A-ZK","Trading Symbol")</f>
        <v>87SCL27A-ZK</v>
      </c>
      <c r="C1416" t="str">
        <f>RTD("nest.scriprtd",,"nse_cm|87SCL27A-ZK","Exchange")</f>
        <v>NSE</v>
      </c>
      <c r="D1416">
        <f>RTD("nest.scriprtd",,"nse_cm|87SCL27A-ZK","Bid Qty")</f>
        <v>10</v>
      </c>
      <c r="E1416">
        <f>RTD("nest.scriprtd",,"nse_cm|87SCL27A-ZK","Bid Rate")</f>
        <v>950.2</v>
      </c>
      <c r="F1416">
        <f>RTD("nest.scriprtd",,"nse_cm|87SCL27A-ZK","Ask Rate")</f>
        <v>964.34</v>
      </c>
      <c r="G1416">
        <f>RTD("nest.scriprtd",,"nse_cm|87SCL27A-ZK","Ask Qty")</f>
        <v>8</v>
      </c>
      <c r="H1416">
        <f>RTD("nest.scriprtd",,"nse_cm|87SCL27A-ZK","LTP")</f>
        <v>945</v>
      </c>
      <c r="I1416" t="str">
        <f>RTD("nest.scriprtd",,"nse_cm|87SCL27A-ZK","LTT")</f>
        <v>15:14:16</v>
      </c>
      <c r="J1416">
        <f>RTD("nest.scriprtd",,"nse_cm|87SCL27A-ZK","% Change")</f>
        <v>-3.46</v>
      </c>
      <c r="K1416">
        <f>RTD("nest.scriprtd",,"nse_cm|87SCL27A-ZK","ATP")</f>
        <v>948.12</v>
      </c>
      <c r="L1416">
        <f>RTD("nest.scriprtd",,"nse_cm|87SCL27A-ZK","Volume Traded Today")</f>
        <v>20</v>
      </c>
      <c r="M1416">
        <f>RTD("nest.scriprtd",,"nse_cm|87SCL27A-ZK","Open")</f>
        <v>950.2</v>
      </c>
      <c r="N1416">
        <f>RTD("nest.scriprtd",,"nse_cm|87SCL27A-ZK","High")</f>
        <v>950.2</v>
      </c>
      <c r="O1416">
        <f>RTD("nest.scriprtd",,"nse_cm|87SCL27A-ZK","Low ")</f>
        <v>945</v>
      </c>
      <c r="P1416">
        <f>RTD("nest.scriprtd",,"nse_cm|87SCL27A-ZK","Prev Close")</f>
        <v>978.9</v>
      </c>
      <c r="Q1416">
        <f>RTD("nest.scriprtd",,"nse_cm|87SCL27A-ZK","Face Value")</f>
        <v>1000</v>
      </c>
      <c r="R1416" t="str">
        <f>RTD("nest.scriprtd",,"nse_cm|87SCL27A-ZK","Isin code")</f>
        <v>INE148I07MY4</v>
      </c>
      <c r="S1416" s="9">
        <f>Table1[[#This Row],[Ask Rate]]*Table1[[#This Row],[Ask Qty]]</f>
        <v>7714.72</v>
      </c>
      <c r="T1416">
        <f>VLOOKUP(Table1[[#This Row],[Isin code]],Table2[#All],7,FALSE)</f>
        <v>8.94</v>
      </c>
      <c r="U1416" s="17">
        <f>VLOOKUP(Table1[[#This Row],[Isin code]],Table2[#All],8,FALSE)</f>
        <v>45964</v>
      </c>
      <c r="V1416" s="10">
        <f ca="1">Table1[[#This Row],[Maturity]]-TODAY()</f>
        <v>383</v>
      </c>
      <c r="W1416" t="str">
        <f>VLOOKUP(Table1[[#This Row],[Isin code]],Table2[#All],10,FALSE)</f>
        <v>Monthly</v>
      </c>
      <c r="X1416">
        <f ca="1">_xlfn.DAYS(Table1[[#This Row],[Maturity]],TODAY())-15</f>
        <v>368</v>
      </c>
      <c r="Y141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1416">
        <f>IF(Table1[[#This Row],[Ask Rate]]=0,0,Table1[[#This Row],[Face Value]]-Table1[[#This Row],[Ask Rate]])</f>
        <v>35.659999999999968</v>
      </c>
      <c r="AA1416">
        <f>IF(Table1[[#This Row],[Freq]]="Yearly",Table1[[#This Row],[Coupon_Rate]]/100,IF(Table1[[#This Row],[Freq]]="Monthly",Table1[[#This Row],[Coupon_Rate]]/1200,IF(Table1[[#This Row],[Freq]]="Quarterly",Table1[[#This Row],[Coupon_Rate]]/400,0)))</f>
        <v>7.4499999999999992E-3</v>
      </c>
      <c r="AB1416">
        <f ca="1">Table1[[#This Row],[Face Value]]*Table1[[#This Row],[Rate]]*Table1[[#This Row],[Time]]</f>
        <v>96.85</v>
      </c>
      <c r="AC1416">
        <f ca="1">Table1[[#This Row],[SI]]+Table1[[#This Row],[Disc/Prem]]</f>
        <v>132.50999999999996</v>
      </c>
      <c r="AD1416" s="3">
        <f ca="1">Table1[[#This Row],[Net Gain]]/Table1[[#This Row],[Ask Rate]]</f>
        <v>0.13741004210133351</v>
      </c>
      <c r="AE1416" s="3">
        <f ca="1">IF(Table1[[#This Row],[Ask Qty]]=0,0,Table1[[#This Row],[Gross Yield]]*365/Table1[[#This Row],[Days Left]])</f>
        <v>0.13095212889552671</v>
      </c>
      <c r="AF1416" s="9">
        <f ca="1">+Table1[[#This Row],[Net Gain]]*Table1[[#This Row],[Ask Qty]]</f>
        <v>1060.0799999999997</v>
      </c>
      <c r="AG1416" t="str">
        <f ca="1">IF(Table1[[#This Row],[YTM]]&gt;0.12,IF(Table1[[#This Row],[Gross Profit]]&gt;10000,"Invest","Review"),"Low YTM")</f>
        <v>Review</v>
      </c>
    </row>
    <row r="1417" spans="1:33" x14ac:dyDescent="0.3">
      <c r="A1417" t="str">
        <f>RTD("nest.scriprtd",,"bse_cm|KAFL080824","Symbol")</f>
        <v>KAFL080824</v>
      </c>
      <c r="B1417" t="str">
        <f>RTD("nest.scriprtd",,"bse_cm|KAFL080824","Trading Symbol")</f>
        <v>KAFL080824</v>
      </c>
      <c r="C1417" t="str">
        <f>RTD("nest.scriprtd",,"bse_cm|KAFL080824","Exchange")</f>
        <v>BSE</v>
      </c>
      <c r="D1417">
        <f>RTD("nest.scriprtd",,"bse_cm|KAFL080824","Bid Qty")</f>
        <v>22</v>
      </c>
      <c r="E1417">
        <f>RTD("nest.scriprtd",,"bse_cm|KAFL080824","Bid Rate")</f>
        <v>838.95</v>
      </c>
      <c r="F1417">
        <f>RTD("nest.scriprtd",,"bse_cm|KAFL080824","Ask Rate")</f>
        <v>0</v>
      </c>
      <c r="G1417">
        <f>RTD("nest.scriprtd",,"bse_cm|KAFL080824","Ask Qty")</f>
        <v>0</v>
      </c>
      <c r="H1417">
        <f>RTD("nest.scriprtd",,"bse_cm|KAFL080824","LTP")</f>
        <v>0</v>
      </c>
      <c r="I1417" t="str">
        <f>RTD("nest.scriprtd",,"bse_cm|KAFL080824","LTT")</f>
        <v>00:00:00</v>
      </c>
      <c r="J1417">
        <f>RTD("nest.scriprtd",,"bse_cm|KAFL080824","% Change")</f>
        <v>-100</v>
      </c>
      <c r="K1417">
        <f>RTD("nest.scriprtd",,"bse_cm|KAFL080824","ATP")</f>
        <v>0</v>
      </c>
      <c r="L1417">
        <f>RTD("nest.scriprtd",,"bse_cm|KAFL080824","Volume Traded Today")</f>
        <v>0</v>
      </c>
      <c r="M1417">
        <f>RTD("nest.scriprtd",,"bse_cm|KAFL080824","Open")</f>
        <v>0</v>
      </c>
      <c r="N1417">
        <f>RTD("nest.scriprtd",,"bse_cm|KAFL080824","High")</f>
        <v>989</v>
      </c>
      <c r="O1417">
        <f>RTD("nest.scriprtd",,"bse_cm|KAFL080824","Low ")</f>
        <v>989</v>
      </c>
      <c r="P1417">
        <f>RTD("nest.scriprtd",,"bse_cm|KAFL080824","Prev Close")</f>
        <v>989</v>
      </c>
      <c r="Q1417">
        <f>RTD("nest.scriprtd",,"bse_cm|KAFL080824","Face Value")</f>
        <v>1000</v>
      </c>
      <c r="R1417" t="str">
        <f>RTD("nest.scriprtd",,"bse_cm|KAFL080824","Isin code")</f>
        <v>INE01I507AB6</v>
      </c>
      <c r="S1417" s="9">
        <f>Table1[[#This Row],[Ask Rate]]*Table1[[#This Row],[Ask Qty]]</f>
        <v>0</v>
      </c>
      <c r="T1417" t="str">
        <f>VLOOKUP(Table1[[#This Row],[Isin code]],Table2[#All],7,FALSE)</f>
        <v>--</v>
      </c>
      <c r="U1417" s="17" t="str">
        <f>VLOOKUP(Table1[[#This Row],[Isin code]],Table2[#All],8,FALSE)</f>
        <v>06-Dec-2025</v>
      </c>
      <c r="V1417" s="10">
        <f ca="1">Table1[[#This Row],[Maturity]]-TODAY()</f>
        <v>416</v>
      </c>
      <c r="W1417" t="str">
        <f>VLOOKUP(Table1[[#This Row],[Isin code]],Table2[#All],10,FALSE)</f>
        <v>CUMULATIVE</v>
      </c>
      <c r="X1417">
        <f ca="1">_xlfn.DAYS(Table1[[#This Row],[Maturity]],TODAY())-15</f>
        <v>401</v>
      </c>
      <c r="Y141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17">
        <f>IF(Table1[[#This Row],[Ask Rate]]=0,0,Table1[[#This Row],[Face Value]]-Table1[[#This Row],[Ask Rate]])</f>
        <v>0</v>
      </c>
      <c r="AA141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17">
        <f>Table1[[#This Row],[Face Value]]*Table1[[#This Row],[Rate]]*Table1[[#This Row],[Time]]</f>
        <v>0</v>
      </c>
      <c r="AC1417">
        <f>Table1[[#This Row],[SI]]+Table1[[#This Row],[Disc/Prem]]</f>
        <v>0</v>
      </c>
      <c r="AD1417" s="3" t="e">
        <f>Table1[[#This Row],[Net Gain]]/Table1[[#This Row],[Ask Rate]]</f>
        <v>#DIV/0!</v>
      </c>
      <c r="AE1417" s="3">
        <f>IF(Table1[[#This Row],[Ask Qty]]=0,0,Table1[[#This Row],[Gross Yield]]*365/Table1[[#This Row],[Days Left]])</f>
        <v>0</v>
      </c>
      <c r="AF1417" s="9">
        <f>+Table1[[#This Row],[Net Gain]]*Table1[[#This Row],[Ask Qty]]</f>
        <v>0</v>
      </c>
      <c r="AG1417" t="str">
        <f>IF(Table1[[#This Row],[YTM]]&gt;0.12,IF(Table1[[#This Row],[Gross Profit]]&gt;10000,"Invest","Review"),"Low YTM")</f>
        <v>Low YTM</v>
      </c>
    </row>
    <row r="1418" spans="1:33" x14ac:dyDescent="0.3">
      <c r="A1418" t="str">
        <f>RTD("nest.scriprtd",,"bse_cm|9KSFL27","Symbol")</f>
        <v>9KSFL27</v>
      </c>
      <c r="B1418" t="str">
        <f>RTD("nest.scriprtd",,"bse_cm|9KSFL27","Trading Symbol")</f>
        <v>9KSFL27</v>
      </c>
      <c r="C1418" t="str">
        <f>RTD("nest.scriprtd",,"bse_cm|9KSFL27","Exchange")</f>
        <v>BSE</v>
      </c>
      <c r="D1418">
        <f>RTD("nest.scriprtd",,"bse_cm|9KSFL27","Bid Qty")</f>
        <v>20</v>
      </c>
      <c r="E1418">
        <f>RTD("nest.scriprtd",,"bse_cm|9KSFL27","Bid Rate")</f>
        <v>825.8</v>
      </c>
      <c r="F1418">
        <f>RTD("nest.scriprtd",,"bse_cm|9KSFL27","Ask Rate")</f>
        <v>0</v>
      </c>
      <c r="G1418">
        <f>RTD("nest.scriprtd",,"bse_cm|9KSFL27","Ask Qty")</f>
        <v>0</v>
      </c>
      <c r="H1418">
        <f>RTD("nest.scriprtd",,"bse_cm|9KSFL27","LTP")</f>
        <v>0</v>
      </c>
      <c r="I1418" t="str">
        <f>RTD("nest.scriprtd",,"bse_cm|9KSFL27","LTT")</f>
        <v>00:00:00</v>
      </c>
      <c r="J1418">
        <f>RTD("nest.scriprtd",,"bse_cm|9KSFL27","% Change")</f>
        <v>-100</v>
      </c>
      <c r="K1418">
        <f>RTD("nest.scriprtd",,"bse_cm|9KSFL27","ATP")</f>
        <v>0</v>
      </c>
      <c r="L1418">
        <f>RTD("nest.scriprtd",,"bse_cm|9KSFL27","Volume Traded Today")</f>
        <v>0</v>
      </c>
      <c r="M1418">
        <f>RTD("nest.scriprtd",,"bse_cm|9KSFL27","Open")</f>
        <v>0</v>
      </c>
      <c r="N1418">
        <f>RTD("nest.scriprtd",,"bse_cm|9KSFL27","High")</f>
        <v>825.8</v>
      </c>
      <c r="O1418">
        <f>RTD("nest.scriprtd",,"bse_cm|9KSFL27","Low ")</f>
        <v>825.8</v>
      </c>
      <c r="P1418">
        <f>RTD("nest.scriprtd",,"bse_cm|9KSFL27","Prev Close")</f>
        <v>825.8</v>
      </c>
      <c r="Q1418">
        <f>RTD("nest.scriprtd",,"bse_cm|9KSFL27","Face Value")</f>
        <v>1000</v>
      </c>
      <c r="R1418" t="str">
        <f>RTD("nest.scriprtd",,"bse_cm|9KSFL27","Isin code")</f>
        <v>INE403Q07CH2</v>
      </c>
      <c r="S1418" s="9">
        <f>Table1[[#This Row],[Ask Rate]]*Table1[[#This Row],[Ask Qty]]</f>
        <v>0</v>
      </c>
      <c r="T1418">
        <f>VLOOKUP(Table1[[#This Row],[Isin code]],Table2[#All],7,FALSE)</f>
        <v>9</v>
      </c>
      <c r="U1418" s="17" t="str">
        <f>VLOOKUP(Table1[[#This Row],[Isin code]],Table2[#All],8,FALSE)</f>
        <v>29-Sep-2027</v>
      </c>
      <c r="V1418" s="10">
        <f ca="1">Table1[[#This Row],[Maturity]]-TODAY()</f>
        <v>1078</v>
      </c>
      <c r="W1418" t="str">
        <f>VLOOKUP(Table1[[#This Row],[Isin code]],Table2[#All],10,FALSE)</f>
        <v>Monthly</v>
      </c>
      <c r="X1418">
        <f ca="1">_xlfn.DAYS(Table1[[#This Row],[Maturity]],TODAY())-15</f>
        <v>1063</v>
      </c>
      <c r="Y14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36</v>
      </c>
      <c r="Z1418">
        <f>IF(Table1[[#This Row],[Ask Rate]]=0,0,Table1[[#This Row],[Face Value]]-Table1[[#This Row],[Ask Rate]])</f>
        <v>0</v>
      </c>
      <c r="AA1418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1418">
        <f ca="1">Table1[[#This Row],[Face Value]]*Table1[[#This Row],[Rate]]*Table1[[#This Row],[Time]]</f>
        <v>270</v>
      </c>
      <c r="AC1418">
        <f ca="1">Table1[[#This Row],[SI]]+Table1[[#This Row],[Disc/Prem]]</f>
        <v>270</v>
      </c>
      <c r="AD1418" s="3" t="e">
        <f ca="1">Table1[[#This Row],[Net Gain]]/Table1[[#This Row],[Ask Rate]]</f>
        <v>#DIV/0!</v>
      </c>
      <c r="AE1418" s="3">
        <f>IF(Table1[[#This Row],[Ask Qty]]=0,0,Table1[[#This Row],[Gross Yield]]*365/Table1[[#This Row],[Days Left]])</f>
        <v>0</v>
      </c>
      <c r="AF1418" s="9">
        <f ca="1">+Table1[[#This Row],[Net Gain]]*Table1[[#This Row],[Ask Qty]]</f>
        <v>0</v>
      </c>
      <c r="AG1418" t="str">
        <f>IF(Table1[[#This Row],[YTM]]&gt;0.12,IF(Table1[[#This Row],[Gross Profit]]&gt;10000,"Invest","Review"),"Low YTM")</f>
        <v>Low YTM</v>
      </c>
    </row>
    <row r="1419" spans="1:33" x14ac:dyDescent="0.3">
      <c r="A1419" t="str">
        <f>RTD("nest.scriprtd",,"bse_cm|IFL19424A","Symbol")</f>
        <v>IFL19424A</v>
      </c>
      <c r="B1419" t="str">
        <f>RTD("nest.scriprtd",,"bse_cm|IFL19424A","Trading Symbol")</f>
        <v>IFL19424A</v>
      </c>
      <c r="C1419" t="str">
        <f>RTD("nest.scriprtd",,"bse_cm|IFL19424A","Exchange")</f>
        <v>BSE</v>
      </c>
      <c r="D1419">
        <f>RTD("nest.scriprtd",,"bse_cm|IFL19424A","Bid Qty")</f>
        <v>25</v>
      </c>
      <c r="E1419">
        <f>RTD("nest.scriprtd",,"bse_cm|IFL19424A","Bid Rate")</f>
        <v>845.8</v>
      </c>
      <c r="F1419">
        <f>RTD("nest.scriprtd",,"bse_cm|IFL19424A","Ask Rate")</f>
        <v>0</v>
      </c>
      <c r="G1419">
        <f>RTD("nest.scriprtd",,"bse_cm|IFL19424A","Ask Qty")</f>
        <v>0</v>
      </c>
      <c r="H1419">
        <f>RTD("nest.scriprtd",,"bse_cm|IFL19424A","LTP")</f>
        <v>0</v>
      </c>
      <c r="I1419" t="str">
        <f>RTD("nest.scriprtd",,"bse_cm|IFL19424A","LTT")</f>
        <v>00:00:00</v>
      </c>
      <c r="J1419">
        <f>RTD("nest.scriprtd",,"bse_cm|IFL19424A","% Change")</f>
        <v>-100</v>
      </c>
      <c r="K1419">
        <f>RTD("nest.scriprtd",,"bse_cm|IFL19424A","ATP")</f>
        <v>0</v>
      </c>
      <c r="L1419">
        <f>RTD("nest.scriprtd",,"bse_cm|IFL19424A","Volume Traded Today")</f>
        <v>0</v>
      </c>
      <c r="M1419">
        <f>RTD("nest.scriprtd",,"bse_cm|IFL19424A","Open")</f>
        <v>0</v>
      </c>
      <c r="N1419">
        <f>RTD("nest.scriprtd",,"bse_cm|IFL19424A","High")</f>
        <v>0</v>
      </c>
      <c r="O1419">
        <f>RTD("nest.scriprtd",,"bse_cm|IFL19424A","Low ")</f>
        <v>0</v>
      </c>
      <c r="P1419">
        <f>RTD("nest.scriprtd",,"bse_cm|IFL19424A","Prev Close")</f>
        <v>1000</v>
      </c>
      <c r="Q1419">
        <f>RTD("nest.scriprtd",,"bse_cm|IFL19424A","Face Value")</f>
        <v>1000</v>
      </c>
      <c r="R1419" t="str">
        <f>RTD("nest.scriprtd",,"bse_cm|IFL19424A","Isin code")</f>
        <v>INE01CY077Q5</v>
      </c>
      <c r="S1419" s="9">
        <f>Table1[[#This Row],[Ask Rate]]*Table1[[#This Row],[Ask Qty]]</f>
        <v>0</v>
      </c>
      <c r="T1419" t="str">
        <f>VLOOKUP(Table1[[#This Row],[Isin code]],Table2[#All],7,FALSE)</f>
        <v>--</v>
      </c>
      <c r="U1419" s="17" t="str">
        <f>VLOOKUP(Table1[[#This Row],[Isin code]],Table2[#All],8,FALSE)</f>
        <v>19-Dec-2029</v>
      </c>
      <c r="V1419" s="10">
        <f ca="1">Table1[[#This Row],[Maturity]]-TODAY()</f>
        <v>1890</v>
      </c>
      <c r="W1419" t="str">
        <f>VLOOKUP(Table1[[#This Row],[Isin code]],Table2[#All],10,FALSE)</f>
        <v>At the End</v>
      </c>
      <c r="X1419">
        <f ca="1">_xlfn.DAYS(Table1[[#This Row],[Maturity]],TODAY())-15</f>
        <v>1875</v>
      </c>
      <c r="Y141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19">
        <f>IF(Table1[[#This Row],[Ask Rate]]=0,0,Table1[[#This Row],[Face Value]]-Table1[[#This Row],[Ask Rate]])</f>
        <v>0</v>
      </c>
      <c r="AA141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19">
        <f>Table1[[#This Row],[Face Value]]*Table1[[#This Row],[Rate]]*Table1[[#This Row],[Time]]</f>
        <v>0</v>
      </c>
      <c r="AC1419">
        <f>Table1[[#This Row],[SI]]+Table1[[#This Row],[Disc/Prem]]</f>
        <v>0</v>
      </c>
      <c r="AD1419" s="3" t="e">
        <f>Table1[[#This Row],[Net Gain]]/Table1[[#This Row],[Ask Rate]]</f>
        <v>#DIV/0!</v>
      </c>
      <c r="AE1419" s="3">
        <f>IF(Table1[[#This Row],[Ask Qty]]=0,0,Table1[[#This Row],[Gross Yield]]*365/Table1[[#This Row],[Days Left]])</f>
        <v>0</v>
      </c>
      <c r="AF1419" s="9">
        <f>+Table1[[#This Row],[Net Gain]]*Table1[[#This Row],[Ask Qty]]</f>
        <v>0</v>
      </c>
      <c r="AG1419" t="str">
        <f>IF(Table1[[#This Row],[YTM]]&gt;0.12,IF(Table1[[#This Row],[Gross Profit]]&gt;10000,"Invest","Review"),"Low YTM")</f>
        <v>Low YTM</v>
      </c>
    </row>
    <row r="1420" spans="1:33" hidden="1" x14ac:dyDescent="0.3">
      <c r="A1420" t="str">
        <f>RTD("nest.scriprtd",,"bse_cm|95MFL25","Symbol")</f>
        <v>95MFL25</v>
      </c>
      <c r="B1420" t="str">
        <f>RTD("nest.scriprtd",,"bse_cm|95MFL25","Trading Symbol")</f>
        <v>95MFL25</v>
      </c>
      <c r="C1420" t="str">
        <f>RTD("nest.scriprtd",,"bse_cm|95MFL25","Exchange")</f>
        <v>BSE</v>
      </c>
      <c r="D1420">
        <f>RTD("nest.scriprtd",,"bse_cm|95MFL25","Bid Qty")</f>
        <v>180</v>
      </c>
      <c r="E1420">
        <f>RTD("nest.scriprtd",,"bse_cm|95MFL25","Bid Rate")</f>
        <v>981.2</v>
      </c>
      <c r="F1420">
        <f>RTD("nest.scriprtd",,"bse_cm|95MFL25","Ask Rate")</f>
        <v>0</v>
      </c>
      <c r="G1420">
        <f>RTD("nest.scriprtd",,"bse_cm|95MFL25","Ask Qty")</f>
        <v>0</v>
      </c>
      <c r="H1420">
        <f>RTD("nest.scriprtd",,"bse_cm|95MFL25","LTP")</f>
        <v>0</v>
      </c>
      <c r="I1420" t="str">
        <f>RTD("nest.scriprtd",,"bse_cm|95MFL25","LTT")</f>
        <v>00:00:00</v>
      </c>
      <c r="J1420">
        <f>RTD("nest.scriprtd",,"bse_cm|95MFL25","% Change")</f>
        <v>-100</v>
      </c>
      <c r="K1420">
        <f>RTD("nest.scriprtd",,"bse_cm|95MFL25","ATP")</f>
        <v>0</v>
      </c>
      <c r="L1420">
        <f>RTD("nest.scriprtd",,"bse_cm|95MFL25","Volume Traded Today")</f>
        <v>0</v>
      </c>
      <c r="M1420">
        <f>RTD("nest.scriprtd",,"bse_cm|95MFL25","Open")</f>
        <v>0</v>
      </c>
      <c r="N1420">
        <f>RTD("nest.scriprtd",,"bse_cm|95MFL25","High")</f>
        <v>997.8</v>
      </c>
      <c r="O1420">
        <f>RTD("nest.scriprtd",,"bse_cm|95MFL25","Low ")</f>
        <v>997.8</v>
      </c>
      <c r="P1420">
        <f>RTD("nest.scriprtd",,"bse_cm|95MFL25","Prev Close")</f>
        <v>997.8</v>
      </c>
      <c r="Q1420">
        <f>RTD("nest.scriprtd",,"bse_cm|95MFL25","Face Value")</f>
        <v>1000</v>
      </c>
      <c r="R1420" t="str">
        <f>RTD("nest.scriprtd",,"bse_cm|95MFL25","Isin code")</f>
        <v>INE549K07543</v>
      </c>
      <c r="S1420" s="9">
        <f>Table1[[#This Row],[Ask Rate]]*Table1[[#This Row],[Ask Qty]]</f>
        <v>0</v>
      </c>
      <c r="T1420">
        <f>VLOOKUP(Table1[[#This Row],[Isin code]],Table2[#All],7,FALSE)</f>
        <v>9.5</v>
      </c>
      <c r="U1420" s="17" t="str">
        <f>VLOOKUP(Table1[[#This Row],[Isin code]],Table2[#All],8,FALSE)</f>
        <v>07-Feb-2025</v>
      </c>
      <c r="V1420" s="10">
        <f ca="1">Table1[[#This Row],[Maturity]]-TODAY()</f>
        <v>114</v>
      </c>
      <c r="W1420" t="str">
        <f>VLOOKUP(Table1[[#This Row],[Isin code]],Table2[#All],10,FALSE)</f>
        <v>Monthly</v>
      </c>
      <c r="X1420">
        <f ca="1">_xlfn.DAYS(Table1[[#This Row],[Maturity]],TODAY())-15</f>
        <v>99</v>
      </c>
      <c r="Y142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420">
        <f>IF(Table1[[#This Row],[Ask Rate]]=0,0,Table1[[#This Row],[Face Value]]-Table1[[#This Row],[Ask Rate]])</f>
        <v>0</v>
      </c>
      <c r="AA1420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1420">
        <f ca="1">Table1[[#This Row],[Face Value]]*Table1[[#This Row],[Rate]]*Table1[[#This Row],[Time]]</f>
        <v>31.666666666666668</v>
      </c>
      <c r="AC1420">
        <f ca="1">Table1[[#This Row],[SI]]+Table1[[#This Row],[Disc/Prem]]</f>
        <v>31.666666666666668</v>
      </c>
      <c r="AD1420" s="3" t="e">
        <f ca="1">Table1[[#This Row],[Net Gain]]/Table1[[#This Row],[Ask Rate]]</f>
        <v>#DIV/0!</v>
      </c>
      <c r="AE1420" s="3">
        <f>IF(Table1[[#This Row],[Ask Qty]]=0,0,Table1[[#This Row],[Gross Yield]]*365/Table1[[#This Row],[Days Left]])</f>
        <v>0</v>
      </c>
      <c r="AF1420" s="9">
        <f ca="1">+Table1[[#This Row],[Net Gain]]*Table1[[#This Row],[Ask Qty]]</f>
        <v>0</v>
      </c>
      <c r="AG1420" t="str">
        <f>IF(Table1[[#This Row],[YTM]]&gt;0.12,IF(Table1[[#This Row],[Gross Profit]]&gt;10000,"Invest","Review"),"Low YTM")</f>
        <v>Low YTM</v>
      </c>
    </row>
    <row r="1421" spans="1:33" x14ac:dyDescent="0.3">
      <c r="A1421" t="str">
        <f>RTD("nest.scriprtd",,"bse_cm|11IFL25","Symbol")</f>
        <v>11IFL25</v>
      </c>
      <c r="B1421" t="str">
        <f>RTD("nest.scriprtd",,"bse_cm|11IFL25","Trading Symbol")</f>
        <v>11IFL25</v>
      </c>
      <c r="C1421" t="str">
        <f>RTD("nest.scriprtd",,"bse_cm|11IFL25","Exchange")</f>
        <v>BSE</v>
      </c>
      <c r="D1421">
        <f>RTD("nest.scriprtd",,"bse_cm|11IFL25","Bid Qty")</f>
        <v>30</v>
      </c>
      <c r="E1421">
        <f>RTD("nest.scriprtd",,"bse_cm|11IFL25","Bid Rate")</f>
        <v>900</v>
      </c>
      <c r="F1421">
        <f>RTD("nest.scriprtd",,"bse_cm|11IFL25","Ask Rate")</f>
        <v>0</v>
      </c>
      <c r="G1421">
        <f>RTD("nest.scriprtd",,"bse_cm|11IFL25","Ask Qty")</f>
        <v>0</v>
      </c>
      <c r="H1421">
        <f>RTD("nest.scriprtd",,"bse_cm|11IFL25","LTP")</f>
        <v>0</v>
      </c>
      <c r="I1421" t="str">
        <f>RTD("nest.scriprtd",,"bse_cm|11IFL25","LTT")</f>
        <v>00:00:00</v>
      </c>
      <c r="J1421">
        <f>RTD("nest.scriprtd",,"bse_cm|11IFL25","% Change")</f>
        <v>-100</v>
      </c>
      <c r="K1421">
        <f>RTD("nest.scriprtd",,"bse_cm|11IFL25","ATP")</f>
        <v>0</v>
      </c>
      <c r="L1421">
        <f>RTD("nest.scriprtd",,"bse_cm|11IFL25","Volume Traded Today")</f>
        <v>0</v>
      </c>
      <c r="M1421">
        <f>RTD("nest.scriprtd",,"bse_cm|11IFL25","Open")</f>
        <v>0</v>
      </c>
      <c r="N1421">
        <f>RTD("nest.scriprtd",,"bse_cm|11IFL25","High")</f>
        <v>990</v>
      </c>
      <c r="O1421">
        <f>RTD("nest.scriprtd",,"bse_cm|11IFL25","Low ")</f>
        <v>950</v>
      </c>
      <c r="P1421">
        <f>RTD("nest.scriprtd",,"bse_cm|11IFL25","Prev Close")</f>
        <v>985</v>
      </c>
      <c r="Q1421">
        <f>RTD("nest.scriprtd",,"bse_cm|11IFL25","Face Value")</f>
        <v>1000</v>
      </c>
      <c r="R1421" t="str">
        <f>RTD("nest.scriprtd",,"bse_cm|11IFL25","Isin code")</f>
        <v>INE01CY077L6</v>
      </c>
      <c r="S1421" s="9">
        <f>Table1[[#This Row],[Ask Rate]]*Table1[[#This Row],[Ask Qty]]</f>
        <v>0</v>
      </c>
      <c r="T1421">
        <f>VLOOKUP(Table1[[#This Row],[Isin code]],Table2[#All],7,FALSE)</f>
        <v>11</v>
      </c>
      <c r="U1421" s="17" t="str">
        <f>VLOOKUP(Table1[[#This Row],[Isin code]],Table2[#All],8,FALSE)</f>
        <v>19-May-2025</v>
      </c>
      <c r="V1421" s="10">
        <f ca="1">Table1[[#This Row],[Maturity]]-TODAY()</f>
        <v>215</v>
      </c>
      <c r="W1421" t="str">
        <f>VLOOKUP(Table1[[#This Row],[Isin code]],Table2[#All],10,FALSE)</f>
        <v>Monthly</v>
      </c>
      <c r="X1421">
        <f ca="1">_xlfn.DAYS(Table1[[#This Row],[Maturity]],TODAY())-15</f>
        <v>200</v>
      </c>
      <c r="Y14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421">
        <f>IF(Table1[[#This Row],[Ask Rate]]=0,0,Table1[[#This Row],[Face Value]]-Table1[[#This Row],[Ask Rate]])</f>
        <v>0</v>
      </c>
      <c r="AA1421">
        <f>IF(Table1[[#This Row],[Freq]]="Yearly",Table1[[#This Row],[Coupon_Rate]]/100,IF(Table1[[#This Row],[Freq]]="Monthly",Table1[[#This Row],[Coupon_Rate]]/1200,IF(Table1[[#This Row],[Freq]]="Quarterly",Table1[[#This Row],[Coupon_Rate]]/400,0)))</f>
        <v>9.1666666666666667E-3</v>
      </c>
      <c r="AB1421">
        <f ca="1">Table1[[#This Row],[Face Value]]*Table1[[#This Row],[Rate]]*Table1[[#This Row],[Time]]</f>
        <v>64.166666666666657</v>
      </c>
      <c r="AC1421">
        <f ca="1">Table1[[#This Row],[SI]]+Table1[[#This Row],[Disc/Prem]]</f>
        <v>64.166666666666657</v>
      </c>
      <c r="AD1421" s="3" t="e">
        <f ca="1">Table1[[#This Row],[Net Gain]]/Table1[[#This Row],[Ask Rate]]</f>
        <v>#DIV/0!</v>
      </c>
      <c r="AE1421" s="3">
        <f>IF(Table1[[#This Row],[Ask Qty]]=0,0,Table1[[#This Row],[Gross Yield]]*365/Table1[[#This Row],[Days Left]])</f>
        <v>0</v>
      </c>
      <c r="AF1421" s="9">
        <f ca="1">+Table1[[#This Row],[Net Gain]]*Table1[[#This Row],[Ask Qty]]</f>
        <v>0</v>
      </c>
      <c r="AG1421" t="str">
        <f>IF(Table1[[#This Row],[YTM]]&gt;0.12,IF(Table1[[#This Row],[Gross Profit]]&gt;10000,"Invest","Review"),"Low YTM")</f>
        <v>Low YTM</v>
      </c>
    </row>
    <row r="1422" spans="1:33" x14ac:dyDescent="0.3">
      <c r="A1422" t="str">
        <f>RTD("nest.scriprtd",,"bse_cm|1025KFL26B","Symbol")</f>
        <v>1025KFL26B</v>
      </c>
      <c r="B1422" t="str">
        <f>RTD("nest.scriprtd",,"bse_cm|1025KFL26B","Trading Symbol")</f>
        <v>1025KFL26B</v>
      </c>
      <c r="C1422" t="str">
        <f>RTD("nest.scriprtd",,"bse_cm|1025KFL26B","Exchange")</f>
        <v>BSE</v>
      </c>
      <c r="D1422">
        <f>RTD("nest.scriprtd",,"bse_cm|1025KFL26B","Bid Qty")</f>
        <v>20</v>
      </c>
      <c r="E1422">
        <f>RTD("nest.scriprtd",,"bse_cm|1025KFL26B","Bid Rate")</f>
        <v>861.7</v>
      </c>
      <c r="F1422">
        <f>RTD("nest.scriprtd",,"bse_cm|1025KFL26B","Ask Rate")</f>
        <v>0</v>
      </c>
      <c r="G1422">
        <f>RTD("nest.scriprtd",,"bse_cm|1025KFL26B","Ask Qty")</f>
        <v>0</v>
      </c>
      <c r="H1422">
        <f>RTD("nest.scriprtd",,"bse_cm|1025KFL26B","LTP")</f>
        <v>0</v>
      </c>
      <c r="I1422" t="str">
        <f>RTD("nest.scriprtd",,"bse_cm|1025KFL26B","LTT")</f>
        <v>00:00:00</v>
      </c>
      <c r="J1422">
        <f>RTD("nest.scriprtd",,"bse_cm|1025KFL26B","% Change")</f>
        <v>-100</v>
      </c>
      <c r="K1422">
        <f>RTD("nest.scriprtd",,"bse_cm|1025KFL26B","ATP")</f>
        <v>0</v>
      </c>
      <c r="L1422">
        <f>RTD("nest.scriprtd",,"bse_cm|1025KFL26B","Volume Traded Today")</f>
        <v>0</v>
      </c>
      <c r="M1422">
        <f>RTD("nest.scriprtd",,"bse_cm|1025KFL26B","Open")</f>
        <v>0</v>
      </c>
      <c r="N1422">
        <f>RTD("nest.scriprtd",,"bse_cm|1025KFL26B","High")</f>
        <v>970</v>
      </c>
      <c r="O1422">
        <f>RTD("nest.scriprtd",,"bse_cm|1025KFL26B","Low ")</f>
        <v>970</v>
      </c>
      <c r="P1422">
        <f>RTD("nest.scriprtd",,"bse_cm|1025KFL26B","Prev Close")</f>
        <v>970</v>
      </c>
      <c r="Q1422">
        <f>RTD("nest.scriprtd",,"bse_cm|1025KFL26B","Face Value")</f>
        <v>1000</v>
      </c>
      <c r="R1422" t="str">
        <f>RTD("nest.scriprtd",,"bse_cm|1025KFL26B","Isin code")</f>
        <v>INE403Q07AW5</v>
      </c>
      <c r="S1422" s="9">
        <f>Table1[[#This Row],[Ask Rate]]*Table1[[#This Row],[Ask Qty]]</f>
        <v>0</v>
      </c>
      <c r="T1422">
        <f>VLOOKUP(Table1[[#This Row],[Isin code]],Table2[#All],7,FALSE)</f>
        <v>10.25</v>
      </c>
      <c r="U1422" s="17" t="str">
        <f>VLOOKUP(Table1[[#This Row],[Isin code]],Table2[#All],8,FALSE)</f>
        <v>09-Dec-2026</v>
      </c>
      <c r="V1422" s="10">
        <f ca="1">Table1[[#This Row],[Maturity]]-TODAY()</f>
        <v>784</v>
      </c>
      <c r="W1422" t="str">
        <f>VLOOKUP(Table1[[#This Row],[Isin code]],Table2[#All],10,FALSE)</f>
        <v>Monthly</v>
      </c>
      <c r="X1422">
        <f ca="1">_xlfn.DAYS(Table1[[#This Row],[Maturity]],TODAY())-15</f>
        <v>769</v>
      </c>
      <c r="Y142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26</v>
      </c>
      <c r="Z1422">
        <f>IF(Table1[[#This Row],[Ask Rate]]=0,0,Table1[[#This Row],[Face Value]]-Table1[[#This Row],[Ask Rate]])</f>
        <v>0</v>
      </c>
      <c r="AA1422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422">
        <f ca="1">Table1[[#This Row],[Face Value]]*Table1[[#This Row],[Rate]]*Table1[[#This Row],[Time]]</f>
        <v>222.08333333333331</v>
      </c>
      <c r="AC1422">
        <f ca="1">Table1[[#This Row],[SI]]+Table1[[#This Row],[Disc/Prem]]</f>
        <v>222.08333333333331</v>
      </c>
      <c r="AD1422" s="3" t="e">
        <f ca="1">Table1[[#This Row],[Net Gain]]/Table1[[#This Row],[Ask Rate]]</f>
        <v>#DIV/0!</v>
      </c>
      <c r="AE1422" s="3">
        <f>IF(Table1[[#This Row],[Ask Qty]]=0,0,Table1[[#This Row],[Gross Yield]]*365/Table1[[#This Row],[Days Left]])</f>
        <v>0</v>
      </c>
      <c r="AF1422" s="9">
        <f ca="1">+Table1[[#This Row],[Net Gain]]*Table1[[#This Row],[Ask Qty]]</f>
        <v>0</v>
      </c>
      <c r="AG1422" t="str">
        <f>IF(Table1[[#This Row],[YTM]]&gt;0.12,IF(Table1[[#This Row],[Gross Profit]]&gt;10000,"Invest","Review"),"Low YTM")</f>
        <v>Low YTM</v>
      </c>
    </row>
    <row r="1423" spans="1:33" x14ac:dyDescent="0.3">
      <c r="A1423" t="str">
        <f>RTD("nest.scriprtd",,"bse_cm|10KFL28A","Symbol")</f>
        <v>10KFL28A</v>
      </c>
      <c r="B1423" t="str">
        <f>RTD("nest.scriprtd",,"bse_cm|10KFL28A","Trading Symbol")</f>
        <v>10KFL28A</v>
      </c>
      <c r="C1423" t="str">
        <f>RTD("nest.scriprtd",,"bse_cm|10KFL28A","Exchange")</f>
        <v>BSE</v>
      </c>
      <c r="D1423">
        <f>RTD("nest.scriprtd",,"bse_cm|10KFL28A","Bid Qty")</f>
        <v>10</v>
      </c>
      <c r="E1423">
        <f>RTD("nest.scriprtd",,"bse_cm|10KFL28A","Bid Rate")</f>
        <v>901.7</v>
      </c>
      <c r="F1423">
        <f>RTD("nest.scriprtd",,"bse_cm|10KFL28A","Ask Rate")</f>
        <v>0</v>
      </c>
      <c r="G1423">
        <f>RTD("nest.scriprtd",,"bse_cm|10KFL28A","Ask Qty")</f>
        <v>0</v>
      </c>
      <c r="H1423">
        <f>RTD("nest.scriprtd",,"bse_cm|10KFL28A","LTP")</f>
        <v>0</v>
      </c>
      <c r="I1423" t="str">
        <f>RTD("nest.scriprtd",,"bse_cm|10KFL28A","LTT")</f>
        <v>00:00:00</v>
      </c>
      <c r="J1423">
        <f>RTD("nest.scriprtd",,"bse_cm|10KFL28A","% Change")</f>
        <v>-100</v>
      </c>
      <c r="K1423">
        <f>RTD("nest.scriprtd",,"bse_cm|10KFL28A","ATP")</f>
        <v>0</v>
      </c>
      <c r="L1423">
        <f>RTD("nest.scriprtd",,"bse_cm|10KFL28A","Volume Traded Today")</f>
        <v>0</v>
      </c>
      <c r="M1423">
        <f>RTD("nest.scriprtd",,"bse_cm|10KFL28A","Open")</f>
        <v>0</v>
      </c>
      <c r="N1423">
        <f>RTD("nest.scriprtd",,"bse_cm|10KFL28A","High")</f>
        <v>901.5</v>
      </c>
      <c r="O1423">
        <f>RTD("nest.scriprtd",,"bse_cm|10KFL28A","Low ")</f>
        <v>901.5</v>
      </c>
      <c r="P1423">
        <f>RTD("nest.scriprtd",,"bse_cm|10KFL28A","Prev Close")</f>
        <v>901.5</v>
      </c>
      <c r="Q1423">
        <f>RTD("nest.scriprtd",,"bse_cm|10KFL28A","Face Value")</f>
        <v>1000</v>
      </c>
      <c r="R1423" t="str">
        <f>RTD("nest.scriprtd",,"bse_cm|10KFL28A","Isin code")</f>
        <v>INE403Q07EM8</v>
      </c>
      <c r="S1423" s="9">
        <f>Table1[[#This Row],[Ask Rate]]*Table1[[#This Row],[Ask Qty]]</f>
        <v>0</v>
      </c>
      <c r="T1423">
        <f>VLOOKUP(Table1[[#This Row],[Isin code]],Table2[#All],7,FALSE)</f>
        <v>10</v>
      </c>
      <c r="U1423" s="17" t="str">
        <f>VLOOKUP(Table1[[#This Row],[Isin code]],Table2[#All],8,FALSE)</f>
        <v>25-Apr-2028</v>
      </c>
      <c r="V1423" s="10">
        <f ca="1">Table1[[#This Row],[Maturity]]-TODAY()</f>
        <v>1287</v>
      </c>
      <c r="W1423" t="str">
        <f>VLOOKUP(Table1[[#This Row],[Isin code]],Table2[#All],10,FALSE)</f>
        <v>Monthly</v>
      </c>
      <c r="X1423">
        <f ca="1">_xlfn.DAYS(Table1[[#This Row],[Maturity]],TODAY())-15</f>
        <v>1272</v>
      </c>
      <c r="Y142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43</v>
      </c>
      <c r="Z1423">
        <f>IF(Table1[[#This Row],[Ask Rate]]=0,0,Table1[[#This Row],[Face Value]]-Table1[[#This Row],[Ask Rate]])</f>
        <v>0</v>
      </c>
      <c r="AA1423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423">
        <f ca="1">Table1[[#This Row],[Face Value]]*Table1[[#This Row],[Rate]]*Table1[[#This Row],[Time]]</f>
        <v>358.33333333333337</v>
      </c>
      <c r="AC1423">
        <f ca="1">Table1[[#This Row],[SI]]+Table1[[#This Row],[Disc/Prem]]</f>
        <v>358.33333333333337</v>
      </c>
      <c r="AD1423" s="3" t="e">
        <f ca="1">Table1[[#This Row],[Net Gain]]/Table1[[#This Row],[Ask Rate]]</f>
        <v>#DIV/0!</v>
      </c>
      <c r="AE1423" s="3">
        <f>IF(Table1[[#This Row],[Ask Qty]]=0,0,Table1[[#This Row],[Gross Yield]]*365/Table1[[#This Row],[Days Left]])</f>
        <v>0</v>
      </c>
      <c r="AF1423" s="9">
        <f ca="1">+Table1[[#This Row],[Net Gain]]*Table1[[#This Row],[Ask Qty]]</f>
        <v>0</v>
      </c>
      <c r="AG1423" t="str">
        <f>IF(Table1[[#This Row],[YTM]]&gt;0.12,IF(Table1[[#This Row],[Gross Profit]]&gt;10000,"Invest","Review"),"Low YTM")</f>
        <v>Low YTM</v>
      </c>
    </row>
    <row r="1424" spans="1:33" hidden="1" x14ac:dyDescent="0.3">
      <c r="A1424" t="str">
        <f>RTD("nest.scriprtd",,"bse_cm|10KFL24D","Symbol")</f>
        <v>10KFL24D</v>
      </c>
      <c r="B1424" t="str">
        <f>RTD("nest.scriprtd",,"bse_cm|10KFL24D","Trading Symbol")</f>
        <v>10KFL24D</v>
      </c>
      <c r="C1424" t="str">
        <f>RTD("nest.scriprtd",,"bse_cm|10KFL24D","Exchange")</f>
        <v>BSE</v>
      </c>
      <c r="D1424">
        <f>RTD("nest.scriprtd",,"bse_cm|10KFL24D","Bid Qty")</f>
        <v>1</v>
      </c>
      <c r="E1424">
        <f>RTD("nest.scriprtd",,"bse_cm|10KFL24D","Bid Rate")</f>
        <v>965.5</v>
      </c>
      <c r="F1424">
        <f>RTD("nest.scriprtd",,"bse_cm|10KFL24D","Ask Rate")</f>
        <v>0</v>
      </c>
      <c r="G1424">
        <f>RTD("nest.scriprtd",,"bse_cm|10KFL24D","Ask Qty")</f>
        <v>0</v>
      </c>
      <c r="H1424">
        <f>RTD("nest.scriprtd",,"bse_cm|10KFL24D","LTP")</f>
        <v>0</v>
      </c>
      <c r="I1424" t="str">
        <f>RTD("nest.scriprtd",,"bse_cm|10KFL24D","LTT")</f>
        <v>00:00:00</v>
      </c>
      <c r="J1424">
        <f>RTD("nest.scriprtd",,"bse_cm|10KFL24D","% Change")</f>
        <v>-100</v>
      </c>
      <c r="K1424">
        <f>RTD("nest.scriprtd",,"bse_cm|10KFL24D","ATP")</f>
        <v>0</v>
      </c>
      <c r="L1424">
        <f>RTD("nest.scriprtd",,"bse_cm|10KFL24D","Volume Traded Today")</f>
        <v>0</v>
      </c>
      <c r="M1424">
        <f>RTD("nest.scriprtd",,"bse_cm|10KFL24D","Open")</f>
        <v>0</v>
      </c>
      <c r="N1424">
        <f>RTD("nest.scriprtd",,"bse_cm|10KFL24D","High")</f>
        <v>1000</v>
      </c>
      <c r="O1424">
        <f>RTD("nest.scriprtd",,"bse_cm|10KFL24D","Low ")</f>
        <v>1000</v>
      </c>
      <c r="P1424">
        <f>RTD("nest.scriprtd",,"bse_cm|10KFL24D","Prev Close")</f>
        <v>1000</v>
      </c>
      <c r="Q1424">
        <f>RTD("nest.scriprtd",,"bse_cm|10KFL24D","Face Value")</f>
        <v>1000</v>
      </c>
      <c r="R1424" t="str">
        <f>RTD("nest.scriprtd",,"bse_cm|10KFL24D","Isin code")</f>
        <v>INE403Q07BY9</v>
      </c>
      <c r="S1424" s="9">
        <f>Table1[[#This Row],[Ask Rate]]*Table1[[#This Row],[Ask Qty]]</f>
        <v>0</v>
      </c>
      <c r="T1424">
        <f>VLOOKUP(Table1[[#This Row],[Isin code]],Table2[#All],7,FALSE)</f>
        <v>10</v>
      </c>
      <c r="U1424" s="17" t="str">
        <f>VLOOKUP(Table1[[#This Row],[Isin code]],Table2[#All],8,FALSE)</f>
        <v>28-Oct-2024</v>
      </c>
      <c r="V1424" s="10">
        <f ca="1">Table1[[#This Row],[Maturity]]-TODAY()</f>
        <v>12</v>
      </c>
      <c r="W1424" t="str">
        <f>VLOOKUP(Table1[[#This Row],[Isin code]],Table2[#All],10,FALSE)</f>
        <v>Monthly</v>
      </c>
      <c r="X1424">
        <f ca="1">_xlfn.DAYS(Table1[[#This Row],[Maturity]],TODAY())-15</f>
        <v>-3</v>
      </c>
      <c r="Y14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-1</v>
      </c>
      <c r="Z1424">
        <f>IF(Table1[[#This Row],[Ask Rate]]=0,0,Table1[[#This Row],[Face Value]]-Table1[[#This Row],[Ask Rate]])</f>
        <v>0</v>
      </c>
      <c r="AA1424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424">
        <f ca="1">Table1[[#This Row],[Face Value]]*Table1[[#This Row],[Rate]]*Table1[[#This Row],[Time]]</f>
        <v>-8.3333333333333339</v>
      </c>
      <c r="AC1424">
        <f ca="1">Table1[[#This Row],[SI]]+Table1[[#This Row],[Disc/Prem]]</f>
        <v>-8.3333333333333339</v>
      </c>
      <c r="AD1424" s="3" t="e">
        <f ca="1">Table1[[#This Row],[Net Gain]]/Table1[[#This Row],[Ask Rate]]</f>
        <v>#DIV/0!</v>
      </c>
      <c r="AE1424" s="3">
        <f>IF(Table1[[#This Row],[Ask Qty]]=0,0,Table1[[#This Row],[Gross Yield]]*365/Table1[[#This Row],[Days Left]])</f>
        <v>0</v>
      </c>
      <c r="AF1424" s="9">
        <f ca="1">+Table1[[#This Row],[Net Gain]]*Table1[[#This Row],[Ask Qty]]</f>
        <v>0</v>
      </c>
      <c r="AG1424" t="str">
        <f>IF(Table1[[#This Row],[YTM]]&gt;0.12,IF(Table1[[#This Row],[Gross Profit]]&gt;10000,"Invest","Review"),"Low YTM")</f>
        <v>Low YTM</v>
      </c>
    </row>
    <row r="1425" spans="1:33" x14ac:dyDescent="0.3">
      <c r="A1425" t="str">
        <f>RTD("nest.scriprtd",,"bse_cm|1075CCI26","Symbol")</f>
        <v>1075CCI26</v>
      </c>
      <c r="B1425" t="str">
        <f>RTD("nest.scriprtd",,"bse_cm|1075CCI26","Trading Symbol")</f>
        <v>1075CCI26</v>
      </c>
      <c r="C1425" t="str">
        <f>RTD("nest.scriprtd",,"bse_cm|1075CCI26","Exchange")</f>
        <v>BSE</v>
      </c>
      <c r="D1425">
        <f>RTD("nest.scriprtd",,"bse_cm|1075CCI26","Bid Qty")</f>
        <v>100</v>
      </c>
      <c r="E1425">
        <f>RTD("nest.scriprtd",,"bse_cm|1075CCI26","Bid Rate")</f>
        <v>946</v>
      </c>
      <c r="F1425">
        <f>RTD("nest.scriprtd",,"bse_cm|1075CCI26","Ask Rate")</f>
        <v>0</v>
      </c>
      <c r="G1425">
        <f>RTD("nest.scriprtd",,"bse_cm|1075CCI26","Ask Qty")</f>
        <v>0</v>
      </c>
      <c r="H1425">
        <f>RTD("nest.scriprtd",,"bse_cm|1075CCI26","LTP")</f>
        <v>0</v>
      </c>
      <c r="I1425" t="str">
        <f>RTD("nest.scriprtd",,"bse_cm|1075CCI26","LTT")</f>
        <v>00:00:00</v>
      </c>
      <c r="J1425">
        <f>RTD("nest.scriprtd",,"bse_cm|1075CCI26","% Change")</f>
        <v>-100</v>
      </c>
      <c r="K1425">
        <f>RTD("nest.scriprtd",,"bse_cm|1075CCI26","ATP")</f>
        <v>0</v>
      </c>
      <c r="L1425">
        <f>RTD("nest.scriprtd",,"bse_cm|1075CCI26","Volume Traded Today")</f>
        <v>0</v>
      </c>
      <c r="M1425">
        <f>RTD("nest.scriprtd",,"bse_cm|1075CCI26","Open")</f>
        <v>0</v>
      </c>
      <c r="N1425">
        <f>RTD("nest.scriprtd",,"bse_cm|1075CCI26","High")</f>
        <v>945</v>
      </c>
      <c r="O1425">
        <f>RTD("nest.scriprtd",,"bse_cm|1075CCI26","Low ")</f>
        <v>945</v>
      </c>
      <c r="P1425">
        <f>RTD("nest.scriprtd",,"bse_cm|1075CCI26","Prev Close")</f>
        <v>945</v>
      </c>
      <c r="Q1425">
        <f>RTD("nest.scriprtd",,"bse_cm|1075CCI26","Face Value")</f>
        <v>1000</v>
      </c>
      <c r="R1425" t="str">
        <f>RTD("nest.scriprtd",,"bse_cm|1075CCI26","Isin code")</f>
        <v>INE051307AZ7</v>
      </c>
      <c r="S1425" s="9">
        <f>Table1[[#This Row],[Ask Rate]]*Table1[[#This Row],[Ask Qty]]</f>
        <v>0</v>
      </c>
      <c r="T1425">
        <f>VLOOKUP(Table1[[#This Row],[Isin code]],Table2[#All],7,FALSE)</f>
        <v>10.75</v>
      </c>
      <c r="U1425" s="17" t="str">
        <f>VLOOKUP(Table1[[#This Row],[Isin code]],Table2[#All],8,FALSE)</f>
        <v>13-Feb-2026</v>
      </c>
      <c r="V1425" s="10">
        <f ca="1">Table1[[#This Row],[Maturity]]-TODAY()</f>
        <v>485</v>
      </c>
      <c r="W1425" t="str">
        <f>VLOOKUP(Table1[[#This Row],[Isin code]],Table2[#All],10,FALSE)</f>
        <v>MONTHLY</v>
      </c>
      <c r="X1425">
        <f ca="1">_xlfn.DAYS(Table1[[#This Row],[Maturity]],TODAY())-15</f>
        <v>470</v>
      </c>
      <c r="Y14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16</v>
      </c>
      <c r="Z1425">
        <f>IF(Table1[[#This Row],[Ask Rate]]=0,0,Table1[[#This Row],[Face Value]]-Table1[[#This Row],[Ask Rate]])</f>
        <v>0</v>
      </c>
      <c r="AA1425">
        <f>IF(Table1[[#This Row],[Freq]]="Yearly",Table1[[#This Row],[Coupon_Rate]]/100,IF(Table1[[#This Row],[Freq]]="Monthly",Table1[[#This Row],[Coupon_Rate]]/1200,IF(Table1[[#This Row],[Freq]]="Quarterly",Table1[[#This Row],[Coupon_Rate]]/400,0)))</f>
        <v>8.9583333333333338E-3</v>
      </c>
      <c r="AB1425">
        <f ca="1">Table1[[#This Row],[Face Value]]*Table1[[#This Row],[Rate]]*Table1[[#This Row],[Time]]</f>
        <v>143.33333333333334</v>
      </c>
      <c r="AC1425">
        <f ca="1">Table1[[#This Row],[SI]]+Table1[[#This Row],[Disc/Prem]]</f>
        <v>143.33333333333334</v>
      </c>
      <c r="AD1425" s="3" t="e">
        <f ca="1">Table1[[#This Row],[Net Gain]]/Table1[[#This Row],[Ask Rate]]</f>
        <v>#DIV/0!</v>
      </c>
      <c r="AE1425" s="3">
        <f>IF(Table1[[#This Row],[Ask Qty]]=0,0,Table1[[#This Row],[Gross Yield]]*365/Table1[[#This Row],[Days Left]])</f>
        <v>0</v>
      </c>
      <c r="AF1425" s="9">
        <f ca="1">+Table1[[#This Row],[Net Gain]]*Table1[[#This Row],[Ask Qty]]</f>
        <v>0</v>
      </c>
      <c r="AG1425" t="str">
        <f>IF(Table1[[#This Row],[YTM]]&gt;0.12,IF(Table1[[#This Row],[Gross Profit]]&gt;10000,"Invest","Review"),"Low YTM")</f>
        <v>Low YTM</v>
      </c>
    </row>
    <row r="1426" spans="1:33" x14ac:dyDescent="0.3">
      <c r="A1426" t="str">
        <f>RTD("nest.scriprtd",,"nse_cm|888IHFL25C-NR","Symbol")</f>
        <v>888IHFL25C</v>
      </c>
      <c r="B1426" t="str">
        <f>RTD("nest.scriprtd",,"nse_cm|888IHFL25C-NR","Trading Symbol")</f>
        <v>888IHFL25C-NR</v>
      </c>
      <c r="C1426" t="str">
        <f>RTD("nest.scriprtd",,"nse_cm|888IHFL25C-NR","Exchange")</f>
        <v>NSE</v>
      </c>
      <c r="D1426">
        <f>RTD("nest.scriprtd",,"nse_cm|888IHFL25C-NR","Bid Qty")</f>
        <v>5</v>
      </c>
      <c r="E1426">
        <f>RTD("nest.scriprtd",,"nse_cm|888IHFL25C-NR","Bid Rate")</f>
        <v>972.3</v>
      </c>
      <c r="F1426">
        <f>RTD("nest.scriprtd",,"nse_cm|888IHFL25C-NR","Ask Rate")</f>
        <v>0</v>
      </c>
      <c r="G1426">
        <f>RTD("nest.scriprtd",,"nse_cm|888IHFL25C-NR","Ask Qty")</f>
        <v>0</v>
      </c>
      <c r="H1426">
        <f>RTD("nest.scriprtd",,"nse_cm|888IHFL25C-NR","LTP")</f>
        <v>960</v>
      </c>
      <c r="I1426" t="str">
        <f>RTD("nest.scriprtd",,"nse_cm|888IHFL25C-NR","LTT")</f>
        <v/>
      </c>
      <c r="J1426">
        <f>RTD("nest.scriprtd",,"nse_cm|888IHFL25C-NR","% Change")</f>
        <v>0</v>
      </c>
      <c r="K1426">
        <f>RTD("nest.scriprtd",,"nse_cm|888IHFL25C-NR","ATP")</f>
        <v>0</v>
      </c>
      <c r="L1426">
        <f>RTD("nest.scriprtd",,"nse_cm|888IHFL25C-NR","Volume Traded Today")</f>
        <v>0</v>
      </c>
      <c r="M1426">
        <f>RTD("nest.scriprtd",,"nse_cm|888IHFL25C-NR","Open")</f>
        <v>0</v>
      </c>
      <c r="N1426">
        <f>RTD("nest.scriprtd",,"nse_cm|888IHFL25C-NR","High")</f>
        <v>963</v>
      </c>
      <c r="O1426">
        <f>RTD("nest.scriprtd",,"nse_cm|888IHFL25C-NR","Low ")</f>
        <v>960</v>
      </c>
      <c r="P1426">
        <f>RTD("nest.scriprtd",,"nse_cm|888IHFL25C-NR","Prev Close")</f>
        <v>960</v>
      </c>
      <c r="Q1426">
        <f>RTD("nest.scriprtd",,"nse_cm|888IHFL25C-NR","Face Value")</f>
        <v>1000</v>
      </c>
      <c r="R1426" t="str">
        <f>RTD("nest.scriprtd",,"nse_cm|888IHFL25C-NR","Isin code")</f>
        <v>INE244L07432</v>
      </c>
      <c r="S1426" s="9">
        <f>Table1[[#This Row],[Ask Rate]]*Table1[[#This Row],[Ask Qty]]</f>
        <v>0</v>
      </c>
      <c r="T1426">
        <f>VLOOKUP(Table1[[#This Row],[Isin code]],Table2[#All],7,FALSE)</f>
        <v>9.57</v>
      </c>
      <c r="U1426" s="17">
        <f>VLOOKUP(Table1[[#This Row],[Isin code]],Table2[#All],8,FALSE)</f>
        <v>45772</v>
      </c>
      <c r="V1426" s="10">
        <f ca="1">Table1[[#This Row],[Maturity]]-TODAY()</f>
        <v>191</v>
      </c>
      <c r="W1426" t="str">
        <f>VLOOKUP(Table1[[#This Row],[Isin code]],Table2[#All],10,FALSE)</f>
        <v>Monthly</v>
      </c>
      <c r="X1426">
        <f ca="1">_xlfn.DAYS(Table1[[#This Row],[Maturity]],TODAY())-15</f>
        <v>176</v>
      </c>
      <c r="Y14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426">
        <f>IF(Table1[[#This Row],[Ask Rate]]=0,0,Table1[[#This Row],[Face Value]]-Table1[[#This Row],[Ask Rate]])</f>
        <v>0</v>
      </c>
      <c r="AA1426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1426">
        <f ca="1">Table1[[#This Row],[Face Value]]*Table1[[#This Row],[Rate]]*Table1[[#This Row],[Time]]</f>
        <v>47.849999999999994</v>
      </c>
      <c r="AC1426">
        <f ca="1">Table1[[#This Row],[SI]]+Table1[[#This Row],[Disc/Prem]]</f>
        <v>47.849999999999994</v>
      </c>
      <c r="AD1426" s="3" t="e">
        <f ca="1">Table1[[#This Row],[Net Gain]]/Table1[[#This Row],[Ask Rate]]</f>
        <v>#DIV/0!</v>
      </c>
      <c r="AE1426" s="3">
        <f>IF(Table1[[#This Row],[Ask Qty]]=0,0,Table1[[#This Row],[Gross Yield]]*365/Table1[[#This Row],[Days Left]])</f>
        <v>0</v>
      </c>
      <c r="AF1426" s="9">
        <f ca="1">+Table1[[#This Row],[Net Gain]]*Table1[[#This Row],[Ask Qty]]</f>
        <v>0</v>
      </c>
      <c r="AG1426" t="str">
        <f>IF(Table1[[#This Row],[YTM]]&gt;0.12,IF(Table1[[#This Row],[Gross Profit]]&gt;10000,"Invest","Review"),"Low YTM")</f>
        <v>Low YTM</v>
      </c>
    </row>
    <row r="1427" spans="1:33" x14ac:dyDescent="0.3">
      <c r="A1427" t="str">
        <f>RTD("nest.scriprtd",,"bse_cm|735IRFC31","Symbol")</f>
        <v>735IRFC31</v>
      </c>
      <c r="B1427" t="str">
        <f>RTD("nest.scriprtd",,"bse_cm|735IRFC31","Trading Symbol")</f>
        <v>735IRFC31</v>
      </c>
      <c r="C1427" t="str">
        <f>RTD("nest.scriprtd",,"bse_cm|735IRFC31","Exchange")</f>
        <v>BSE</v>
      </c>
      <c r="D1427">
        <f>RTD("nest.scriprtd",,"bse_cm|735IRFC31","Bid Qty")</f>
        <v>1000</v>
      </c>
      <c r="E1427">
        <f>RTD("nest.scriprtd",,"bse_cm|735IRFC31","Bid Rate")</f>
        <v>1090.0999999999999</v>
      </c>
      <c r="F1427">
        <f>RTD("nest.scriprtd",,"bse_cm|735IRFC31","Ask Rate")</f>
        <v>0</v>
      </c>
      <c r="G1427">
        <f>RTD("nest.scriprtd",,"bse_cm|735IRFC31","Ask Qty")</f>
        <v>0</v>
      </c>
      <c r="H1427">
        <f>RTD("nest.scriprtd",,"bse_cm|735IRFC31","LTP")</f>
        <v>0</v>
      </c>
      <c r="I1427" t="str">
        <f>RTD("nest.scriprtd",,"bse_cm|735IRFC31","LTT")</f>
        <v>00:00:00</v>
      </c>
      <c r="J1427">
        <f>RTD("nest.scriprtd",,"bse_cm|735IRFC31","% Change")</f>
        <v>-100</v>
      </c>
      <c r="K1427">
        <f>RTD("nest.scriprtd",,"bse_cm|735IRFC31","ATP")</f>
        <v>0</v>
      </c>
      <c r="L1427">
        <f>RTD("nest.scriprtd",,"bse_cm|735IRFC31","Volume Traded Today")</f>
        <v>0</v>
      </c>
      <c r="M1427">
        <f>RTD("nest.scriprtd",,"bse_cm|735IRFC31","Open")</f>
        <v>0</v>
      </c>
      <c r="N1427">
        <f>RTD("nest.scriprtd",,"bse_cm|735IRFC31","High")</f>
        <v>1095.45</v>
      </c>
      <c r="O1427">
        <f>RTD("nest.scriprtd",,"bse_cm|735IRFC31","Low ")</f>
        <v>1095.45</v>
      </c>
      <c r="P1427">
        <f>RTD("nest.scriprtd",,"bse_cm|735IRFC31","Prev Close")</f>
        <v>1095.45</v>
      </c>
      <c r="Q1427">
        <f>RTD("nest.scriprtd",,"bse_cm|735IRFC31","Face Value")</f>
        <v>1000</v>
      </c>
      <c r="R1427" t="str">
        <f>RTD("nest.scriprtd",,"bse_cm|735IRFC31","Isin code")</f>
        <v>INE053F07884</v>
      </c>
      <c r="S1427" s="9">
        <f>Table1[[#This Row],[Ask Rate]]*Table1[[#This Row],[Ask Qty]]</f>
        <v>0</v>
      </c>
      <c r="T1427">
        <f>VLOOKUP(Table1[[#This Row],[Isin code]],Table2[#All],7,FALSE)</f>
        <v>7.35</v>
      </c>
      <c r="U1427" s="17" t="str">
        <f>VLOOKUP(Table1[[#This Row],[Isin code]],Table2[#All],8,FALSE)</f>
        <v>22-Mar-2031</v>
      </c>
      <c r="V1427" s="10">
        <f ca="1">Table1[[#This Row],[Maturity]]-TODAY()</f>
        <v>2348</v>
      </c>
      <c r="W1427" t="str">
        <f>VLOOKUP(Table1[[#This Row],[Isin code]],Table2[#All],10,FALSE)</f>
        <v>Yearly</v>
      </c>
      <c r="X1427">
        <f ca="1">_xlfn.DAYS(Table1[[#This Row],[Maturity]],TODAY())-15</f>
        <v>2333</v>
      </c>
      <c r="Y14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427">
        <f>IF(Table1[[#This Row],[Ask Rate]]=0,0,Table1[[#This Row],[Face Value]]-Table1[[#This Row],[Ask Rate]])</f>
        <v>0</v>
      </c>
      <c r="AA1427">
        <f>IF(Table1[[#This Row],[Freq]]="Yearly",Table1[[#This Row],[Coupon_Rate]]/100,IF(Table1[[#This Row],[Freq]]="Monthly",Table1[[#This Row],[Coupon_Rate]]/1200,IF(Table1[[#This Row],[Freq]]="Quarterly",Table1[[#This Row],[Coupon_Rate]]/400,0)))</f>
        <v>7.3499999999999996E-2</v>
      </c>
      <c r="AB1427">
        <f ca="1">Table1[[#This Row],[Face Value]]*Table1[[#This Row],[Rate]]*Table1[[#This Row],[Time]]</f>
        <v>514.5</v>
      </c>
      <c r="AC1427">
        <f ca="1">Table1[[#This Row],[SI]]+Table1[[#This Row],[Disc/Prem]]</f>
        <v>514.5</v>
      </c>
      <c r="AD1427" s="3" t="e">
        <f ca="1">Table1[[#This Row],[Net Gain]]/Table1[[#This Row],[Ask Rate]]</f>
        <v>#DIV/0!</v>
      </c>
      <c r="AE1427" s="3">
        <f>IF(Table1[[#This Row],[Ask Qty]]=0,0,Table1[[#This Row],[Gross Yield]]*365/Table1[[#This Row],[Days Left]])</f>
        <v>0</v>
      </c>
      <c r="AF1427" s="9">
        <f ca="1">+Table1[[#This Row],[Net Gain]]*Table1[[#This Row],[Ask Qty]]</f>
        <v>0</v>
      </c>
      <c r="AG1427" t="str">
        <f>IF(Table1[[#This Row],[YTM]]&gt;0.12,IF(Table1[[#This Row],[Gross Profit]]&gt;10000,"Invest","Review"),"Low YTM")</f>
        <v>Low YTM</v>
      </c>
    </row>
    <row r="1428" spans="1:33" x14ac:dyDescent="0.3">
      <c r="A1428" t="str">
        <f>RTD("nest.scriprtd",,"bse_cm|921ONE27","Symbol")</f>
        <v>921ONE27</v>
      </c>
      <c r="B1428" t="str">
        <f>RTD("nest.scriprtd",,"bse_cm|921ONE27","Trading Symbol")</f>
        <v>921ONE27</v>
      </c>
      <c r="C1428" t="str">
        <f>RTD("nest.scriprtd",,"bse_cm|921ONE27","Exchange")</f>
        <v>BSE</v>
      </c>
      <c r="D1428">
        <f>RTD("nest.scriprtd",,"bse_cm|921ONE27","Bid Qty")</f>
        <v>84</v>
      </c>
      <c r="E1428">
        <f>RTD("nest.scriprtd",,"bse_cm|921ONE27","Bid Rate")</f>
        <v>875</v>
      </c>
      <c r="F1428">
        <f>RTD("nest.scriprtd",,"bse_cm|921ONE27","Ask Rate")</f>
        <v>0</v>
      </c>
      <c r="G1428">
        <f>RTD("nest.scriprtd",,"bse_cm|921ONE27","Ask Qty")</f>
        <v>0</v>
      </c>
      <c r="H1428">
        <f>RTD("nest.scriprtd",,"bse_cm|921ONE27","LTP")</f>
        <v>0</v>
      </c>
      <c r="I1428" t="str">
        <f>RTD("nest.scriprtd",,"bse_cm|921ONE27","LTT")</f>
        <v>00:00:00</v>
      </c>
      <c r="J1428">
        <f>RTD("nest.scriprtd",,"bse_cm|921ONE27","% Change")</f>
        <v>-100</v>
      </c>
      <c r="K1428">
        <f>RTD("nest.scriprtd",,"bse_cm|921ONE27","ATP")</f>
        <v>0</v>
      </c>
      <c r="L1428">
        <f>RTD("nest.scriprtd",,"bse_cm|921ONE27","Volume Traded Today")</f>
        <v>0</v>
      </c>
      <c r="M1428">
        <f>RTD("nest.scriprtd",,"bse_cm|921ONE27","Open")</f>
        <v>0</v>
      </c>
      <c r="N1428">
        <f>RTD("nest.scriprtd",,"bse_cm|921ONE27","High")</f>
        <v>999.9</v>
      </c>
      <c r="O1428">
        <f>RTD("nest.scriprtd",,"bse_cm|921ONE27","Low ")</f>
        <v>985.05</v>
      </c>
      <c r="P1428">
        <f>RTD("nest.scriprtd",,"bse_cm|921ONE27","Prev Close")</f>
        <v>999.9</v>
      </c>
      <c r="Q1428">
        <f>RTD("nest.scriprtd",,"bse_cm|921ONE27","Face Value")</f>
        <v>1000</v>
      </c>
      <c r="R1428" t="str">
        <f>RTD("nest.scriprtd",,"bse_cm|921ONE27","Isin code")</f>
        <v>INE248U07ET4</v>
      </c>
      <c r="S1428" s="9">
        <f>Table1[[#This Row],[Ask Rate]]*Table1[[#This Row],[Ask Qty]]</f>
        <v>0</v>
      </c>
      <c r="T1428">
        <f>VLOOKUP(Table1[[#This Row],[Isin code]],Table2[#All],7,FALSE)</f>
        <v>9.2100000000000009</v>
      </c>
      <c r="U1428" s="17" t="str">
        <f>VLOOKUP(Table1[[#This Row],[Isin code]],Table2[#All],8,FALSE)</f>
        <v>18-Jan-2027</v>
      </c>
      <c r="V1428" s="10">
        <f ca="1">Table1[[#This Row],[Maturity]]-TODAY()</f>
        <v>824</v>
      </c>
      <c r="W1428" t="str">
        <f>VLOOKUP(Table1[[#This Row],[Isin code]],Table2[#All],10,FALSE)</f>
        <v>Monthly</v>
      </c>
      <c r="X1428">
        <f ca="1">_xlfn.DAYS(Table1[[#This Row],[Maturity]],TODAY())-15</f>
        <v>809</v>
      </c>
      <c r="Y142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27</v>
      </c>
      <c r="Z1428">
        <f>IF(Table1[[#This Row],[Ask Rate]]=0,0,Table1[[#This Row],[Face Value]]-Table1[[#This Row],[Ask Rate]])</f>
        <v>0</v>
      </c>
      <c r="AA1428">
        <f>IF(Table1[[#This Row],[Freq]]="Yearly",Table1[[#This Row],[Coupon_Rate]]/100,IF(Table1[[#This Row],[Freq]]="Monthly",Table1[[#This Row],[Coupon_Rate]]/1200,IF(Table1[[#This Row],[Freq]]="Quarterly",Table1[[#This Row],[Coupon_Rate]]/400,0)))</f>
        <v>7.6750000000000004E-3</v>
      </c>
      <c r="AB1428">
        <f ca="1">Table1[[#This Row],[Face Value]]*Table1[[#This Row],[Rate]]*Table1[[#This Row],[Time]]</f>
        <v>207.22500000000002</v>
      </c>
      <c r="AC1428">
        <f ca="1">Table1[[#This Row],[SI]]+Table1[[#This Row],[Disc/Prem]]</f>
        <v>207.22500000000002</v>
      </c>
      <c r="AD1428" s="3" t="e">
        <f ca="1">Table1[[#This Row],[Net Gain]]/Table1[[#This Row],[Ask Rate]]</f>
        <v>#DIV/0!</v>
      </c>
      <c r="AE1428" s="3">
        <f>IF(Table1[[#This Row],[Ask Qty]]=0,0,Table1[[#This Row],[Gross Yield]]*365/Table1[[#This Row],[Days Left]])</f>
        <v>0</v>
      </c>
      <c r="AF1428" s="9">
        <f ca="1">+Table1[[#This Row],[Net Gain]]*Table1[[#This Row],[Ask Qty]]</f>
        <v>0</v>
      </c>
      <c r="AG1428" t="str">
        <f>IF(Table1[[#This Row],[YTM]]&gt;0.12,IF(Table1[[#This Row],[Gross Profit]]&gt;10000,"Invest","Review"),"Low YTM")</f>
        <v>Low YTM</v>
      </c>
    </row>
    <row r="1429" spans="1:33" x14ac:dyDescent="0.3">
      <c r="A1429" t="str">
        <f>RTD("nest.scriprtd",,"bse_cm|11EFSL34","Symbol")</f>
        <v>11EFSL34</v>
      </c>
      <c r="B1429" t="str">
        <f>RTD("nest.scriprtd",,"bse_cm|11EFSL34","Trading Symbol")</f>
        <v>11EFSL34</v>
      </c>
      <c r="C1429" t="str">
        <f>RTD("nest.scriprtd",,"bse_cm|11EFSL34","Exchange")</f>
        <v>BSE</v>
      </c>
      <c r="D1429">
        <f>RTD("nest.scriprtd",,"bse_cm|11EFSL34","Bid Qty")</f>
        <v>9</v>
      </c>
      <c r="E1429">
        <f>RTD("nest.scriprtd",,"bse_cm|11EFSL34","Bid Rate")</f>
        <v>905</v>
      </c>
      <c r="F1429">
        <f>RTD("nest.scriprtd",,"bse_cm|11EFSL34","Ask Rate")</f>
        <v>0</v>
      </c>
      <c r="G1429">
        <f>RTD("nest.scriprtd",,"bse_cm|11EFSL34","Ask Qty")</f>
        <v>0</v>
      </c>
      <c r="H1429">
        <f>RTD("nest.scriprtd",,"bse_cm|11EFSL34","LTP")</f>
        <v>0</v>
      </c>
      <c r="I1429" t="str">
        <f>RTD("nest.scriprtd",,"bse_cm|11EFSL34","LTT")</f>
        <v>00:00:00</v>
      </c>
      <c r="J1429">
        <f>RTD("nest.scriprtd",,"bse_cm|11EFSL34","% Change")</f>
        <v>-100</v>
      </c>
      <c r="K1429">
        <f>RTD("nest.scriprtd",,"bse_cm|11EFSL34","ATP")</f>
        <v>0</v>
      </c>
      <c r="L1429">
        <f>RTD("nest.scriprtd",,"bse_cm|11EFSL34","Volume Traded Today")</f>
        <v>0</v>
      </c>
      <c r="M1429">
        <f>RTD("nest.scriprtd",,"bse_cm|11EFSL34","Open")</f>
        <v>0</v>
      </c>
      <c r="N1429">
        <f>RTD("nest.scriprtd",,"bse_cm|11EFSL34","High")</f>
        <v>981</v>
      </c>
      <c r="O1429">
        <f>RTD("nest.scriprtd",,"bse_cm|11EFSL34","Low ")</f>
        <v>981</v>
      </c>
      <c r="P1429">
        <f>RTD("nest.scriprtd",,"bse_cm|11EFSL34","Prev Close")</f>
        <v>981</v>
      </c>
      <c r="Q1429">
        <f>RTD("nest.scriprtd",,"bse_cm|11EFSL34","Face Value")</f>
        <v>1000</v>
      </c>
      <c r="R1429" t="str">
        <f>RTD("nest.scriprtd",,"bse_cm|11EFSL34","Isin code")</f>
        <v>INE532F07FX1</v>
      </c>
      <c r="S1429" s="9">
        <f>Table1[[#This Row],[Ask Rate]]*Table1[[#This Row],[Ask Qty]]</f>
        <v>0</v>
      </c>
      <c r="T1429">
        <f>VLOOKUP(Table1[[#This Row],[Isin code]],Table2[#All],7,FALSE)</f>
        <v>11</v>
      </c>
      <c r="U1429" s="17" t="str">
        <f>VLOOKUP(Table1[[#This Row],[Isin code]],Table2[#All],8,FALSE)</f>
        <v>26-Jul-2034</v>
      </c>
      <c r="V1429" s="10">
        <f ca="1">Table1[[#This Row],[Maturity]]-TODAY()</f>
        <v>3570</v>
      </c>
      <c r="W1429" t="str">
        <f>VLOOKUP(Table1[[#This Row],[Isin code]],Table2[#All],10,FALSE)</f>
        <v>--</v>
      </c>
      <c r="X1429">
        <f ca="1">_xlfn.DAYS(Table1[[#This Row],[Maturity]],TODAY())-15</f>
        <v>3555</v>
      </c>
      <c r="Y142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29">
        <f>IF(Table1[[#This Row],[Ask Rate]]=0,0,Table1[[#This Row],[Face Value]]-Table1[[#This Row],[Ask Rate]])</f>
        <v>0</v>
      </c>
      <c r="AA142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29">
        <f>Table1[[#This Row],[Face Value]]*Table1[[#This Row],[Rate]]*Table1[[#This Row],[Time]]</f>
        <v>0</v>
      </c>
      <c r="AC1429">
        <f>Table1[[#This Row],[SI]]+Table1[[#This Row],[Disc/Prem]]</f>
        <v>0</v>
      </c>
      <c r="AD1429" s="3" t="e">
        <f>Table1[[#This Row],[Net Gain]]/Table1[[#This Row],[Ask Rate]]</f>
        <v>#DIV/0!</v>
      </c>
      <c r="AE1429" s="3">
        <f>IF(Table1[[#This Row],[Ask Qty]]=0,0,Table1[[#This Row],[Gross Yield]]*365/Table1[[#This Row],[Days Left]])</f>
        <v>0</v>
      </c>
      <c r="AF1429" s="9">
        <f>+Table1[[#This Row],[Net Gain]]*Table1[[#This Row],[Ask Qty]]</f>
        <v>0</v>
      </c>
      <c r="AG1429" t="str">
        <f>IF(Table1[[#This Row],[YTM]]&gt;0.12,IF(Table1[[#This Row],[Gross Profit]]&gt;10000,"Invest","Review"),"Low YTM")</f>
        <v>Low YTM</v>
      </c>
    </row>
    <row r="1430" spans="1:33" x14ac:dyDescent="0.3">
      <c r="A1430" t="str">
        <f>RTD("nest.scriprtd",,"bse_cm|965ICCL25I","Symbol")</f>
        <v>965ICCL25I</v>
      </c>
      <c r="B1430" t="str">
        <f>RTD("nest.scriprtd",,"bse_cm|965ICCL25I","Trading Symbol")</f>
        <v>965ICCL25I</v>
      </c>
      <c r="C1430" t="str">
        <f>RTD("nest.scriprtd",,"bse_cm|965ICCL25I","Exchange")</f>
        <v>BSE</v>
      </c>
      <c r="D1430">
        <f>RTD("nest.scriprtd",,"bse_cm|965ICCL25I","Bid Qty")</f>
        <v>0</v>
      </c>
      <c r="E1430">
        <f>RTD("nest.scriprtd",,"bse_cm|965ICCL25I","Bid Rate")</f>
        <v>0</v>
      </c>
      <c r="F1430">
        <f>RTD("nest.scriprtd",,"bse_cm|965ICCL25I","Ask Rate")</f>
        <v>0</v>
      </c>
      <c r="G1430">
        <f>RTD("nest.scriprtd",,"bse_cm|965ICCL25I","Ask Qty")</f>
        <v>0</v>
      </c>
      <c r="H1430">
        <f>RTD("nest.scriprtd",,"bse_cm|965ICCL25I","LTP")</f>
        <v>0</v>
      </c>
      <c r="I1430" t="str">
        <f>RTD("nest.scriprtd",,"bse_cm|965ICCL25I","LTT")</f>
        <v>00:00:00</v>
      </c>
      <c r="J1430">
        <f>RTD("nest.scriprtd",,"bse_cm|965ICCL25I","% Change")</f>
        <v>-100</v>
      </c>
      <c r="K1430">
        <f>RTD("nest.scriprtd",,"bse_cm|965ICCL25I","ATP")</f>
        <v>0</v>
      </c>
      <c r="L1430">
        <f>RTD("nest.scriprtd",,"bse_cm|965ICCL25I","Volume Traded Today")</f>
        <v>0</v>
      </c>
      <c r="M1430">
        <f>RTD("nest.scriprtd",,"bse_cm|965ICCL25I","Open")</f>
        <v>0</v>
      </c>
      <c r="N1430">
        <f>RTD("nest.scriprtd",,"bse_cm|965ICCL25I","High")</f>
        <v>1050</v>
      </c>
      <c r="O1430">
        <f>RTD("nest.scriprtd",,"bse_cm|965ICCL25I","Low ")</f>
        <v>1050</v>
      </c>
      <c r="P1430">
        <f>RTD("nest.scriprtd",,"bse_cm|965ICCL25I","Prev Close")</f>
        <v>1050</v>
      </c>
      <c r="Q1430">
        <f>RTD("nest.scriprtd",,"bse_cm|965ICCL25I","Face Value")</f>
        <v>1000</v>
      </c>
      <c r="R1430" t="str">
        <f>RTD("nest.scriprtd",,"bse_cm|965ICCL25I","Isin code")</f>
        <v>INE244L07457</v>
      </c>
      <c r="S1430" s="9">
        <f>Table1[[#This Row],[Ask Rate]]*Table1[[#This Row],[Ask Qty]]</f>
        <v>0</v>
      </c>
      <c r="T1430">
        <f>VLOOKUP(Table1[[#This Row],[Isin code]],Table2[#All],7,FALSE)</f>
        <v>10</v>
      </c>
      <c r="U1430" s="17" t="str">
        <f>VLOOKUP(Table1[[#This Row],[Isin code]],Table2[#All],8,FALSE)</f>
        <v>25-Apr-2025</v>
      </c>
      <c r="V1430" s="10">
        <f ca="1">Table1[[#This Row],[Maturity]]-TODAY()</f>
        <v>191</v>
      </c>
      <c r="W1430" t="str">
        <f>VLOOKUP(Table1[[#This Row],[Isin code]],Table2[#All],10,FALSE)</f>
        <v>Yearly</v>
      </c>
      <c r="X1430">
        <f ca="1">_xlfn.DAYS(Table1[[#This Row],[Maturity]],TODAY())-15</f>
        <v>176</v>
      </c>
      <c r="Y143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430">
        <f>IF(Table1[[#This Row],[Ask Rate]]=0,0,Table1[[#This Row],[Face Value]]-Table1[[#This Row],[Ask Rate]])</f>
        <v>0</v>
      </c>
      <c r="AA1430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1430">
        <f ca="1">Table1[[#This Row],[Face Value]]*Table1[[#This Row],[Rate]]*Table1[[#This Row],[Time]]</f>
        <v>100</v>
      </c>
      <c r="AC1430">
        <f ca="1">Table1[[#This Row],[SI]]+Table1[[#This Row],[Disc/Prem]]</f>
        <v>100</v>
      </c>
      <c r="AD1430" s="3" t="e">
        <f ca="1">Table1[[#This Row],[Net Gain]]/Table1[[#This Row],[Ask Rate]]</f>
        <v>#DIV/0!</v>
      </c>
      <c r="AE1430" s="3">
        <f>IF(Table1[[#This Row],[Ask Qty]]=0,0,Table1[[#This Row],[Gross Yield]]*365/Table1[[#This Row],[Days Left]])</f>
        <v>0</v>
      </c>
      <c r="AF1430" s="9">
        <f ca="1">+Table1[[#This Row],[Net Gain]]*Table1[[#This Row],[Ask Qty]]</f>
        <v>0</v>
      </c>
      <c r="AG1430" t="str">
        <f>IF(Table1[[#This Row],[YTM]]&gt;0.12,IF(Table1[[#This Row],[Gross Profit]]&gt;10000,"Invest","Review"),"Low YTM")</f>
        <v>Low YTM</v>
      </c>
    </row>
    <row r="1431" spans="1:33" x14ac:dyDescent="0.3">
      <c r="A1431" t="str">
        <f>RTD("nest.scriprtd",,"bse_cm|860CIFCL28","Symbol")</f>
        <v>860CIFCL28</v>
      </c>
      <c r="B1431" t="str">
        <f>RTD("nest.scriprtd",,"bse_cm|860CIFCL28","Trading Symbol")</f>
        <v>860CIFCL28</v>
      </c>
      <c r="C1431" t="str">
        <f>RTD("nest.scriprtd",,"bse_cm|860CIFCL28","Exchange")</f>
        <v>BSE</v>
      </c>
      <c r="D1431">
        <f>RTD("nest.scriprtd",,"bse_cm|860CIFCL28","Bid Qty")</f>
        <v>1500</v>
      </c>
      <c r="E1431">
        <f>RTD("nest.scriprtd",,"bse_cm|860CIFCL28","Bid Rate")</f>
        <v>1054.02</v>
      </c>
      <c r="F1431">
        <f>RTD("nest.scriprtd",,"bse_cm|860CIFCL28","Ask Rate")</f>
        <v>0</v>
      </c>
      <c r="G1431">
        <f>RTD("nest.scriprtd",,"bse_cm|860CIFCL28","Ask Qty")</f>
        <v>0</v>
      </c>
      <c r="H1431">
        <f>RTD("nest.scriprtd",,"bse_cm|860CIFCL28","LTP")</f>
        <v>0</v>
      </c>
      <c r="I1431" t="str">
        <f>RTD("nest.scriprtd",,"bse_cm|860CIFCL28","LTT")</f>
        <v>00:00:00</v>
      </c>
      <c r="J1431">
        <f>RTD("nest.scriprtd",,"bse_cm|860CIFCL28","% Change")</f>
        <v>-100</v>
      </c>
      <c r="K1431">
        <f>RTD("nest.scriprtd",,"bse_cm|860CIFCL28","ATP")</f>
        <v>0</v>
      </c>
      <c r="L1431">
        <f>RTD("nest.scriprtd",,"bse_cm|860CIFCL28","Volume Traded Today")</f>
        <v>0</v>
      </c>
      <c r="M1431">
        <f>RTD("nest.scriprtd",,"bse_cm|860CIFCL28","Open")</f>
        <v>0</v>
      </c>
      <c r="N1431">
        <f>RTD("nest.scriprtd",,"bse_cm|860CIFCL28","High")</f>
        <v>1050</v>
      </c>
      <c r="O1431">
        <f>RTD("nest.scriprtd",,"bse_cm|860CIFCL28","Low ")</f>
        <v>1050</v>
      </c>
      <c r="P1431">
        <f>RTD("nest.scriprtd",,"bse_cm|860CIFCL28","Prev Close")</f>
        <v>1050</v>
      </c>
      <c r="Q1431">
        <f>RTD("nest.scriprtd",,"bse_cm|860CIFCL28","Face Value")</f>
        <v>1000</v>
      </c>
      <c r="R1431" t="str">
        <f>RTD("nest.scriprtd",,"bse_cm|860CIFCL28","Isin code")</f>
        <v>INE121A07RM2</v>
      </c>
      <c r="S1431" s="9">
        <f>Table1[[#This Row],[Ask Rate]]*Table1[[#This Row],[Ask Qty]]</f>
        <v>0</v>
      </c>
      <c r="T1431">
        <f>VLOOKUP(Table1[[#This Row],[Isin code]],Table2[#All],7,FALSE)</f>
        <v>8.6</v>
      </c>
      <c r="U1431" s="17" t="str">
        <f>VLOOKUP(Table1[[#This Row],[Isin code]],Table2[#All],8,FALSE)</f>
        <v>07-Dec-2028</v>
      </c>
      <c r="V1431" s="10">
        <f ca="1">Table1[[#This Row],[Maturity]]-TODAY()</f>
        <v>1513</v>
      </c>
      <c r="W1431" t="str">
        <f>VLOOKUP(Table1[[#This Row],[Isin code]],Table2[#All],10,FALSE)</f>
        <v>Yearly</v>
      </c>
      <c r="X1431">
        <f ca="1">_xlfn.DAYS(Table1[[#This Row],[Maturity]],TODAY())-15</f>
        <v>1498</v>
      </c>
      <c r="Y143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31">
        <f>IF(Table1[[#This Row],[Ask Rate]]=0,0,Table1[[#This Row],[Face Value]]-Table1[[#This Row],[Ask Rate]])</f>
        <v>0</v>
      </c>
      <c r="AA1431">
        <f>IF(Table1[[#This Row],[Freq]]="Yearly",Table1[[#This Row],[Coupon_Rate]]/100,IF(Table1[[#This Row],[Freq]]="Monthly",Table1[[#This Row],[Coupon_Rate]]/1200,IF(Table1[[#This Row],[Freq]]="Quarterly",Table1[[#This Row],[Coupon_Rate]]/400,0)))</f>
        <v>8.5999999999999993E-2</v>
      </c>
      <c r="AB1431">
        <f ca="1">Table1[[#This Row],[Face Value]]*Table1[[#This Row],[Rate]]*Table1[[#This Row],[Time]]</f>
        <v>430</v>
      </c>
      <c r="AC1431">
        <f ca="1">Table1[[#This Row],[SI]]+Table1[[#This Row],[Disc/Prem]]</f>
        <v>430</v>
      </c>
      <c r="AD1431" s="3" t="e">
        <f ca="1">Table1[[#This Row],[Net Gain]]/Table1[[#This Row],[Ask Rate]]</f>
        <v>#DIV/0!</v>
      </c>
      <c r="AE1431" s="3">
        <f>IF(Table1[[#This Row],[Ask Qty]]=0,0,Table1[[#This Row],[Gross Yield]]*365/Table1[[#This Row],[Days Left]])</f>
        <v>0</v>
      </c>
      <c r="AF1431" s="9">
        <f ca="1">+Table1[[#This Row],[Net Gain]]*Table1[[#This Row],[Ask Qty]]</f>
        <v>0</v>
      </c>
      <c r="AG1431" t="str">
        <f>IF(Table1[[#This Row],[YTM]]&gt;0.12,IF(Table1[[#This Row],[Gross Profit]]&gt;10000,"Invest","Review"),"Low YTM")</f>
        <v>Low YTM</v>
      </c>
    </row>
    <row r="1432" spans="1:33" x14ac:dyDescent="0.3">
      <c r="A1432" t="str">
        <f>RTD("nest.scriprtd",,"bse_cm|965IHFL25D","Symbol")</f>
        <v>965IHFL25D</v>
      </c>
      <c r="B1432" t="str">
        <f>RTD("nest.scriprtd",,"bse_cm|965IHFL25D","Trading Symbol")</f>
        <v>965IHFL25D</v>
      </c>
      <c r="C1432" t="str">
        <f>RTD("nest.scriprtd",,"bse_cm|965IHFL25D","Exchange")</f>
        <v>BSE</v>
      </c>
      <c r="D1432">
        <f>RTD("nest.scriprtd",,"bse_cm|965IHFL25D","Bid Qty")</f>
        <v>27</v>
      </c>
      <c r="E1432">
        <f>RTD("nest.scriprtd",,"bse_cm|965IHFL25D","Bid Rate")</f>
        <v>952.8</v>
      </c>
      <c r="F1432">
        <f>RTD("nest.scriprtd",,"bse_cm|965IHFL25D","Ask Rate")</f>
        <v>0</v>
      </c>
      <c r="G1432">
        <f>RTD("nest.scriprtd",,"bse_cm|965IHFL25D","Ask Qty")</f>
        <v>0</v>
      </c>
      <c r="H1432">
        <f>RTD("nest.scriprtd",,"bse_cm|965IHFL25D","LTP")</f>
        <v>0</v>
      </c>
      <c r="I1432" t="str">
        <f>RTD("nest.scriprtd",,"bse_cm|965IHFL25D","LTT")</f>
        <v>00:00:00</v>
      </c>
      <c r="J1432">
        <f>RTD("nest.scriprtd",,"bse_cm|965IHFL25D","% Change")</f>
        <v>-100</v>
      </c>
      <c r="K1432">
        <f>RTD("nest.scriprtd",,"bse_cm|965IHFL25D","ATP")</f>
        <v>0</v>
      </c>
      <c r="L1432">
        <f>RTD("nest.scriprtd",,"bse_cm|965IHFL25D","Volume Traded Today")</f>
        <v>0</v>
      </c>
      <c r="M1432">
        <f>RTD("nest.scriprtd",,"bse_cm|965IHFL25D","Open")</f>
        <v>0</v>
      </c>
      <c r="N1432">
        <f>RTD("nest.scriprtd",,"bse_cm|965IHFL25D","High")</f>
        <v>1064</v>
      </c>
      <c r="O1432">
        <f>RTD("nest.scriprtd",,"bse_cm|965IHFL25D","Low ")</f>
        <v>1064</v>
      </c>
      <c r="P1432">
        <f>RTD("nest.scriprtd",,"bse_cm|965IHFL25D","Prev Close")</f>
        <v>1064</v>
      </c>
      <c r="Q1432">
        <f>RTD("nest.scriprtd",,"bse_cm|965IHFL25D","Face Value")</f>
        <v>1000</v>
      </c>
      <c r="R1432" t="str">
        <f>RTD("nest.scriprtd",,"bse_cm|965IHFL25D","Isin code")</f>
        <v>INE121A07RG4</v>
      </c>
      <c r="S1432" s="9">
        <f>Table1[[#This Row],[Ask Rate]]*Table1[[#This Row],[Ask Qty]]</f>
        <v>0</v>
      </c>
      <c r="T1432">
        <f>VLOOKUP(Table1[[#This Row],[Isin code]],Table2[#All],7,FALSE)</f>
        <v>0</v>
      </c>
      <c r="U1432" s="17" t="str">
        <f>VLOOKUP(Table1[[#This Row],[Isin code]],Table2[#All],8,FALSE)</f>
        <v>09-Jun-2025</v>
      </c>
      <c r="V1432" s="10">
        <f ca="1">Table1[[#This Row],[Maturity]]-TODAY()</f>
        <v>236</v>
      </c>
      <c r="W1432" t="str">
        <f>VLOOKUP(Table1[[#This Row],[Isin code]],Table2[#All],10,FALSE)</f>
        <v>Monthly</v>
      </c>
      <c r="X1432">
        <f ca="1">_xlfn.DAYS(Table1[[#This Row],[Maturity]],TODAY())-15</f>
        <v>221</v>
      </c>
      <c r="Y14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1432">
        <f>IF(Table1[[#This Row],[Ask Rate]]=0,0,Table1[[#This Row],[Face Value]]-Table1[[#This Row],[Ask Rate]])</f>
        <v>0</v>
      </c>
      <c r="AA143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32">
        <f ca="1">Table1[[#This Row],[Face Value]]*Table1[[#This Row],[Rate]]*Table1[[#This Row],[Time]]</f>
        <v>0</v>
      </c>
      <c r="AC1432">
        <f ca="1">Table1[[#This Row],[SI]]+Table1[[#This Row],[Disc/Prem]]</f>
        <v>0</v>
      </c>
      <c r="AD1432" s="3" t="e">
        <f ca="1">Table1[[#This Row],[Net Gain]]/Table1[[#This Row],[Ask Rate]]</f>
        <v>#DIV/0!</v>
      </c>
      <c r="AE1432" s="3">
        <f>IF(Table1[[#This Row],[Ask Qty]]=0,0,Table1[[#This Row],[Gross Yield]]*365/Table1[[#This Row],[Days Left]])</f>
        <v>0</v>
      </c>
      <c r="AF1432" s="9">
        <f ca="1">+Table1[[#This Row],[Net Gain]]*Table1[[#This Row],[Ask Qty]]</f>
        <v>0</v>
      </c>
      <c r="AG1432" t="str">
        <f>IF(Table1[[#This Row],[YTM]]&gt;0.12,IF(Table1[[#This Row],[Gross Profit]]&gt;10000,"Invest","Review"),"Low YTM")</f>
        <v>Low YTM</v>
      </c>
    </row>
    <row r="1433" spans="1:33" x14ac:dyDescent="0.3">
      <c r="A1433" t="str">
        <f>RTD("nest.scriprtd",,"bse_cm|SFL25B","Symbol")</f>
        <v>SFL25B</v>
      </c>
      <c r="B1433" t="str">
        <f>RTD("nest.scriprtd",,"bse_cm|SFL25B","Trading Symbol")</f>
        <v>SFL25B</v>
      </c>
      <c r="C1433" t="str">
        <f>RTD("nest.scriprtd",,"bse_cm|SFL25B","Exchange")</f>
        <v>BSE</v>
      </c>
      <c r="D1433">
        <f>RTD("nest.scriprtd",,"bse_cm|SFL25B","Bid Qty")</f>
        <v>50</v>
      </c>
      <c r="E1433">
        <f>RTD("nest.scriprtd",,"bse_cm|SFL25B","Bid Rate")</f>
        <v>965.8</v>
      </c>
      <c r="F1433">
        <f>RTD("nest.scriprtd",,"bse_cm|SFL25B","Ask Rate")</f>
        <v>0</v>
      </c>
      <c r="G1433">
        <f>RTD("nest.scriprtd",,"bse_cm|SFL25B","Ask Qty")</f>
        <v>0</v>
      </c>
      <c r="H1433">
        <f>RTD("nest.scriprtd",,"bse_cm|SFL25B","LTP")</f>
        <v>0</v>
      </c>
      <c r="I1433" t="str">
        <f>RTD("nest.scriprtd",,"bse_cm|SFL25B","LTT")</f>
        <v>00:00:00</v>
      </c>
      <c r="J1433">
        <f>RTD("nest.scriprtd",,"bse_cm|SFL25B","% Change")</f>
        <v>-100</v>
      </c>
      <c r="K1433">
        <f>RTD("nest.scriprtd",,"bse_cm|SFL25B","ATP")</f>
        <v>0</v>
      </c>
      <c r="L1433">
        <f>RTD("nest.scriprtd",,"bse_cm|SFL25B","Volume Traded Today")</f>
        <v>0</v>
      </c>
      <c r="M1433">
        <f>RTD("nest.scriprtd",,"bse_cm|SFL25B","Open")</f>
        <v>0</v>
      </c>
      <c r="N1433">
        <f>RTD("nest.scriprtd",,"bse_cm|SFL25B","High")</f>
        <v>1075.3599999999999</v>
      </c>
      <c r="O1433">
        <f>RTD("nest.scriprtd",,"bse_cm|SFL25B","Low ")</f>
        <v>1048.0999999999999</v>
      </c>
      <c r="P1433">
        <f>RTD("nest.scriprtd",,"bse_cm|SFL25B","Prev Close")</f>
        <v>1075.3599999999999</v>
      </c>
      <c r="Q1433">
        <f>RTD("nest.scriprtd",,"bse_cm|SFL25B","Face Value")</f>
        <v>1000</v>
      </c>
      <c r="R1433" t="str">
        <f>RTD("nest.scriprtd",,"bse_cm|SFL25B","Isin code")</f>
        <v>INE302E07508</v>
      </c>
      <c r="S1433" s="9">
        <f>Table1[[#This Row],[Ask Rate]]*Table1[[#This Row],[Ask Qty]]</f>
        <v>0</v>
      </c>
      <c r="T1433" t="str">
        <f>VLOOKUP(Table1[[#This Row],[Isin code]],Table2[#All],7,FALSE)</f>
        <v>--</v>
      </c>
      <c r="U1433" s="17" t="str">
        <f>VLOOKUP(Table1[[#This Row],[Isin code]],Table2[#All],8,FALSE)</f>
        <v>08-May-2025</v>
      </c>
      <c r="V1433" s="10">
        <f ca="1">Table1[[#This Row],[Maturity]]-TODAY()</f>
        <v>204</v>
      </c>
      <c r="W1433" t="str">
        <f>VLOOKUP(Table1[[#This Row],[Isin code]],Table2[#All],10,FALSE)</f>
        <v>At the End</v>
      </c>
      <c r="X1433">
        <f ca="1">_xlfn.DAYS(Table1[[#This Row],[Maturity]],TODAY())-15</f>
        <v>189</v>
      </c>
      <c r="Y143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33">
        <f>IF(Table1[[#This Row],[Ask Rate]]=0,0,Table1[[#This Row],[Face Value]]-Table1[[#This Row],[Ask Rate]])</f>
        <v>0</v>
      </c>
      <c r="AA143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33">
        <f>Table1[[#This Row],[Face Value]]*Table1[[#This Row],[Rate]]*Table1[[#This Row],[Time]]</f>
        <v>0</v>
      </c>
      <c r="AC1433">
        <f>Table1[[#This Row],[SI]]+Table1[[#This Row],[Disc/Prem]]</f>
        <v>0</v>
      </c>
      <c r="AD1433" s="3" t="e">
        <f>Table1[[#This Row],[Net Gain]]/Table1[[#This Row],[Ask Rate]]</f>
        <v>#DIV/0!</v>
      </c>
      <c r="AE1433" s="3">
        <f>IF(Table1[[#This Row],[Ask Qty]]=0,0,Table1[[#This Row],[Gross Yield]]*365/Table1[[#This Row],[Days Left]])</f>
        <v>0</v>
      </c>
      <c r="AF1433" s="9">
        <f>+Table1[[#This Row],[Net Gain]]*Table1[[#This Row],[Ask Qty]]</f>
        <v>0</v>
      </c>
      <c r="AG1433" t="str">
        <f>IF(Table1[[#This Row],[YTM]]&gt;0.12,IF(Table1[[#This Row],[Gross Profit]]&gt;10000,"Invest","Review"),"Low YTM")</f>
        <v>Low YTM</v>
      </c>
    </row>
    <row r="1434" spans="1:33" hidden="1" x14ac:dyDescent="0.3">
      <c r="A1434" t="str">
        <f>RTD("nest.scriprtd",,"bse_cm|9ICCL23A","Symbol")</f>
        <v>9ICCL23A</v>
      </c>
      <c r="B1434" t="str">
        <f>RTD("nest.scriprtd",,"bse_cm|9ICCL23A","Trading Symbol")</f>
        <v>9ICCL23A</v>
      </c>
      <c r="C1434" t="str">
        <f>RTD("nest.scriprtd",,"bse_cm|9ICCL23A","Exchange")</f>
        <v>BSE</v>
      </c>
      <c r="D1434">
        <f>RTD("nest.scriprtd",,"bse_cm|9ICCL23A","Bid Qty")</f>
        <v>22</v>
      </c>
      <c r="E1434">
        <f>RTD("nest.scriprtd",,"bse_cm|9ICCL23A","Bid Rate")</f>
        <v>880.8</v>
      </c>
      <c r="F1434">
        <f>RTD("nest.scriprtd",,"bse_cm|9ICCL23A","Ask Rate")</f>
        <v>0</v>
      </c>
      <c r="G1434">
        <f>RTD("nest.scriprtd",,"bse_cm|9ICCL23A","Ask Qty")</f>
        <v>0</v>
      </c>
      <c r="H1434">
        <f>RTD("nest.scriprtd",,"bse_cm|9ICCL23A","LTP")</f>
        <v>0</v>
      </c>
      <c r="I1434" t="str">
        <f>RTD("nest.scriprtd",,"bse_cm|9ICCL23A","LTT")</f>
        <v>00:00:00</v>
      </c>
      <c r="J1434">
        <f>RTD("nest.scriprtd",,"bse_cm|9ICCL23A","% Change")</f>
        <v>-100</v>
      </c>
      <c r="K1434">
        <f>RTD("nest.scriprtd",,"bse_cm|9ICCL23A","ATP")</f>
        <v>0</v>
      </c>
      <c r="L1434">
        <f>RTD("nest.scriprtd",,"bse_cm|9ICCL23A","Volume Traded Today")</f>
        <v>0</v>
      </c>
      <c r="M1434">
        <f>RTD("nest.scriprtd",,"bse_cm|9ICCL23A","Open")</f>
        <v>0</v>
      </c>
      <c r="N1434">
        <f>RTD("nest.scriprtd",,"bse_cm|9ICCL23A","High")</f>
        <v>1002</v>
      </c>
      <c r="O1434">
        <f>RTD("nest.scriprtd",,"bse_cm|9ICCL23A","Low ")</f>
        <v>1002</v>
      </c>
      <c r="P1434">
        <f>RTD("nest.scriprtd",,"bse_cm|9ICCL23A","Prev Close")</f>
        <v>1002</v>
      </c>
      <c r="Q1434">
        <f>RTD("nest.scriprtd",,"bse_cm|9ICCL23A","Face Value")</f>
        <v>1000</v>
      </c>
      <c r="R1434" t="str">
        <f>RTD("nest.scriprtd",,"bse_cm|9ICCL23A","Isin code")</f>
        <v>INE121A07RB5</v>
      </c>
      <c r="S1434" s="9">
        <f>Table1[[#This Row],[Ask Rate]]*Table1[[#This Row],[Ask Qty]]</f>
        <v>0</v>
      </c>
      <c r="T1434">
        <f>VLOOKUP(Table1[[#This Row],[Isin code]],Table2[#All],7,FALSE)</f>
        <v>8.25</v>
      </c>
      <c r="U1434" s="17" t="str">
        <f>VLOOKUP(Table1[[#This Row],[Isin code]],Table2[#All],8,FALSE)</f>
        <v>04-Mar-2025</v>
      </c>
      <c r="V1434" s="10">
        <f ca="1">Table1[[#This Row],[Maturity]]-TODAY()</f>
        <v>139</v>
      </c>
      <c r="W1434" t="str">
        <f>VLOOKUP(Table1[[#This Row],[Isin code]],Table2[#All],10,FALSE)</f>
        <v>Yearly</v>
      </c>
      <c r="X1434">
        <f ca="1">_xlfn.DAYS(Table1[[#This Row],[Maturity]],TODAY())-15</f>
        <v>124</v>
      </c>
      <c r="Y14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434">
        <f>IF(Table1[[#This Row],[Ask Rate]]=0,0,Table1[[#This Row],[Face Value]]-Table1[[#This Row],[Ask Rate]])</f>
        <v>0</v>
      </c>
      <c r="AA1434">
        <f>IF(Table1[[#This Row],[Freq]]="Yearly",Table1[[#This Row],[Coupon_Rate]]/100,IF(Table1[[#This Row],[Freq]]="Monthly",Table1[[#This Row],[Coupon_Rate]]/1200,IF(Table1[[#This Row],[Freq]]="Quarterly",Table1[[#This Row],[Coupon_Rate]]/400,0)))</f>
        <v>8.2500000000000004E-2</v>
      </c>
      <c r="AB1434">
        <f ca="1">Table1[[#This Row],[Face Value]]*Table1[[#This Row],[Rate]]*Table1[[#This Row],[Time]]</f>
        <v>82.5</v>
      </c>
      <c r="AC1434">
        <f ca="1">Table1[[#This Row],[SI]]+Table1[[#This Row],[Disc/Prem]]</f>
        <v>82.5</v>
      </c>
      <c r="AD1434" s="3" t="e">
        <f ca="1">Table1[[#This Row],[Net Gain]]/Table1[[#This Row],[Ask Rate]]</f>
        <v>#DIV/0!</v>
      </c>
      <c r="AE1434" s="3">
        <f>IF(Table1[[#This Row],[Ask Qty]]=0,0,Table1[[#This Row],[Gross Yield]]*365/Table1[[#This Row],[Days Left]])</f>
        <v>0</v>
      </c>
      <c r="AF1434" s="9">
        <f ca="1">+Table1[[#This Row],[Net Gain]]*Table1[[#This Row],[Ask Qty]]</f>
        <v>0</v>
      </c>
      <c r="AG1434" t="str">
        <f>IF(Table1[[#This Row],[YTM]]&gt;0.12,IF(Table1[[#This Row],[Gross Profit]]&gt;10000,"Invest","Review"),"Low YTM")</f>
        <v>Low YTM</v>
      </c>
    </row>
    <row r="1435" spans="1:33" x14ac:dyDescent="0.3">
      <c r="A1435" t="str">
        <f>RTD("nest.scriprtd",,"nse_cm|CIFCZC25-ND","Symbol")</f>
        <v>CIFCZC25</v>
      </c>
      <c r="B1435" t="str">
        <f>RTD("nest.scriprtd",,"nse_cm|CIFCZC25-ND","Trading Symbol")</f>
        <v>CIFCZC25-ND</v>
      </c>
      <c r="C1435" t="str">
        <f>RTD("nest.scriprtd",,"nse_cm|CIFCZC25-ND","Exchange")</f>
        <v>NSE</v>
      </c>
      <c r="D1435">
        <f>RTD("nest.scriprtd",,"nse_cm|CIFCZC25-ND","Bid Qty")</f>
        <v>75</v>
      </c>
      <c r="E1435">
        <f>RTD("nest.scriprtd",,"nse_cm|CIFCZC25-ND","Bid Rate")</f>
        <v>1035.01</v>
      </c>
      <c r="F1435">
        <f>RTD("nest.scriprtd",,"nse_cm|CIFCZC25-ND","Ask Rate")</f>
        <v>0</v>
      </c>
      <c r="G1435">
        <f>RTD("nest.scriprtd",,"nse_cm|CIFCZC25-ND","Ask Qty")</f>
        <v>0</v>
      </c>
      <c r="H1435">
        <f>RTD("nest.scriprtd",,"nse_cm|CIFCZC25-ND","LTP")</f>
        <v>1035</v>
      </c>
      <c r="I1435" t="str">
        <f>RTD("nest.scriprtd",,"nse_cm|CIFCZC25-ND","LTT")</f>
        <v/>
      </c>
      <c r="J1435">
        <f>RTD("nest.scriprtd",,"nse_cm|CIFCZC25-ND","% Change")</f>
        <v>0</v>
      </c>
      <c r="K1435">
        <f>RTD("nest.scriprtd",,"nse_cm|CIFCZC25-ND","ATP")</f>
        <v>0</v>
      </c>
      <c r="L1435">
        <f>RTD("nest.scriprtd",,"nse_cm|CIFCZC25-ND","Volume Traded Today")</f>
        <v>0</v>
      </c>
      <c r="M1435">
        <f>RTD("nest.scriprtd",,"nse_cm|CIFCZC25-ND","Open")</f>
        <v>0</v>
      </c>
      <c r="N1435">
        <f>RTD("nest.scriprtd",,"nse_cm|CIFCZC25-ND","High")</f>
        <v>1035</v>
      </c>
      <c r="O1435">
        <f>RTD("nest.scriprtd",,"nse_cm|CIFCZC25-ND","Low ")</f>
        <v>1035</v>
      </c>
      <c r="P1435">
        <f>RTD("nest.scriprtd",,"nse_cm|CIFCZC25-ND","Prev Close")</f>
        <v>1035</v>
      </c>
      <c r="Q1435">
        <f>RTD("nest.scriprtd",,"nse_cm|CIFCZC25-ND","Face Value")</f>
        <v>1000</v>
      </c>
      <c r="R1435" t="str">
        <f>RTD("nest.scriprtd",,"nse_cm|CIFCZC25-ND","Isin code")</f>
        <v>INE121A07RL4</v>
      </c>
      <c r="S1435" s="9">
        <f>Table1[[#This Row],[Ask Rate]]*Table1[[#This Row],[Ask Qty]]</f>
        <v>0</v>
      </c>
      <c r="T1435">
        <f>VLOOKUP(Table1[[#This Row],[Isin code]],Table2[#All],7,FALSE)</f>
        <v>0</v>
      </c>
      <c r="U1435" s="17" t="str">
        <f>VLOOKUP(Table1[[#This Row],[Isin code]],Table2[#All],8,FALSE)</f>
        <v>07-Dec-2025</v>
      </c>
      <c r="V1435" s="10">
        <f ca="1">Table1[[#This Row],[Maturity]]-TODAY()</f>
        <v>417</v>
      </c>
      <c r="W1435" t="str">
        <f>VLOOKUP(Table1[[#This Row],[Isin code]],Table2[#All],10,FALSE)</f>
        <v>0</v>
      </c>
      <c r="X1435">
        <f ca="1">_xlfn.DAYS(Table1[[#This Row],[Maturity]],TODAY())-15</f>
        <v>402</v>
      </c>
      <c r="Y143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35">
        <f>IF(Table1[[#This Row],[Ask Rate]]=0,0,Table1[[#This Row],[Face Value]]-Table1[[#This Row],[Ask Rate]])</f>
        <v>0</v>
      </c>
      <c r="AA143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35">
        <f>Table1[[#This Row],[Face Value]]*Table1[[#This Row],[Rate]]*Table1[[#This Row],[Time]]</f>
        <v>0</v>
      </c>
      <c r="AC1435">
        <f>Table1[[#This Row],[SI]]+Table1[[#This Row],[Disc/Prem]]</f>
        <v>0</v>
      </c>
      <c r="AD1435" s="3" t="e">
        <f>Table1[[#This Row],[Net Gain]]/Table1[[#This Row],[Ask Rate]]</f>
        <v>#DIV/0!</v>
      </c>
      <c r="AE1435" s="3">
        <f>IF(Table1[[#This Row],[Ask Qty]]=0,0,Table1[[#This Row],[Gross Yield]]*365/Table1[[#This Row],[Days Left]])</f>
        <v>0</v>
      </c>
      <c r="AF1435" s="9">
        <f>+Table1[[#This Row],[Net Gain]]*Table1[[#This Row],[Ask Qty]]</f>
        <v>0</v>
      </c>
      <c r="AG1435" t="str">
        <f>IF(Table1[[#This Row],[YTM]]&gt;0.12,IF(Table1[[#This Row],[Gross Profit]]&gt;10000,"Invest","Review"),"Low YTM")</f>
        <v>Low YTM</v>
      </c>
    </row>
    <row r="1436" spans="1:33" x14ac:dyDescent="0.3">
      <c r="A1436" t="str">
        <f>RTD("nest.scriprtd",,"bse_cm|CIFCZC25","Symbol")</f>
        <v>CIFCZC25</v>
      </c>
      <c r="B1436" t="str">
        <f>RTD("nest.scriprtd",,"bse_cm|CIFCZC25","Trading Symbol")</f>
        <v>CIFCZC25</v>
      </c>
      <c r="C1436" t="str">
        <f>RTD("nest.scriprtd",,"bse_cm|CIFCZC25","Exchange")</f>
        <v>BSE</v>
      </c>
      <c r="D1436">
        <f>RTD("nest.scriprtd",,"bse_cm|CIFCZC25","Bid Qty")</f>
        <v>7</v>
      </c>
      <c r="E1436">
        <f>RTD("nest.scriprtd",,"bse_cm|CIFCZC25","Bid Rate")</f>
        <v>1025.0999999999999</v>
      </c>
      <c r="F1436">
        <f>RTD("nest.scriprtd",,"bse_cm|CIFCZC25","Ask Rate")</f>
        <v>0</v>
      </c>
      <c r="G1436">
        <f>RTD("nest.scriprtd",,"bse_cm|CIFCZC25","Ask Qty")</f>
        <v>0</v>
      </c>
      <c r="H1436">
        <f>RTD("nest.scriprtd",,"bse_cm|CIFCZC25","LTP")</f>
        <v>0</v>
      </c>
      <c r="I1436" t="str">
        <f>RTD("nest.scriprtd",,"bse_cm|CIFCZC25","LTT")</f>
        <v>00:00:00</v>
      </c>
      <c r="J1436">
        <f>RTD("nest.scriprtd",,"bse_cm|CIFCZC25","% Change")</f>
        <v>-100</v>
      </c>
      <c r="K1436">
        <f>RTD("nest.scriprtd",,"bse_cm|CIFCZC25","ATP")</f>
        <v>0</v>
      </c>
      <c r="L1436">
        <f>RTD("nest.scriprtd",,"bse_cm|CIFCZC25","Volume Traded Today")</f>
        <v>0</v>
      </c>
      <c r="M1436">
        <f>RTD("nest.scriprtd",,"bse_cm|CIFCZC25","Open")</f>
        <v>0</v>
      </c>
      <c r="N1436">
        <f>RTD("nest.scriprtd",,"bse_cm|CIFCZC25","High")</f>
        <v>1050</v>
      </c>
      <c r="O1436">
        <f>RTD("nest.scriprtd",,"bse_cm|CIFCZC25","Low ")</f>
        <v>1011</v>
      </c>
      <c r="P1436">
        <f>RTD("nest.scriprtd",,"bse_cm|CIFCZC25","Prev Close")</f>
        <v>1041</v>
      </c>
      <c r="Q1436">
        <f>RTD("nest.scriprtd",,"bse_cm|CIFCZC25","Face Value")</f>
        <v>1000</v>
      </c>
      <c r="R1436" t="str">
        <f>RTD("nest.scriprtd",,"bse_cm|CIFCZC25","Isin code")</f>
        <v>INE121A07RL4</v>
      </c>
      <c r="S1436" s="9">
        <f>Table1[[#This Row],[Ask Rate]]*Table1[[#This Row],[Ask Qty]]</f>
        <v>0</v>
      </c>
      <c r="T1436">
        <f>VLOOKUP(Table1[[#This Row],[Isin code]],Table2[#All],7,FALSE)</f>
        <v>0</v>
      </c>
      <c r="U1436" s="17" t="str">
        <f>VLOOKUP(Table1[[#This Row],[Isin code]],Table2[#All],8,FALSE)</f>
        <v>07-Dec-2025</v>
      </c>
      <c r="V1436" s="10">
        <f ca="1">Table1[[#This Row],[Maturity]]-TODAY()</f>
        <v>417</v>
      </c>
      <c r="W1436" t="str">
        <f>VLOOKUP(Table1[[#This Row],[Isin code]],Table2[#All],10,FALSE)</f>
        <v>0</v>
      </c>
      <c r="X1436">
        <f ca="1">_xlfn.DAYS(Table1[[#This Row],[Maturity]],TODAY())-15</f>
        <v>402</v>
      </c>
      <c r="Y143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36">
        <f>IF(Table1[[#This Row],[Ask Rate]]=0,0,Table1[[#This Row],[Face Value]]-Table1[[#This Row],[Ask Rate]])</f>
        <v>0</v>
      </c>
      <c r="AA143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36">
        <f>Table1[[#This Row],[Face Value]]*Table1[[#This Row],[Rate]]*Table1[[#This Row],[Time]]</f>
        <v>0</v>
      </c>
      <c r="AC1436">
        <f>Table1[[#This Row],[SI]]+Table1[[#This Row],[Disc/Prem]]</f>
        <v>0</v>
      </c>
      <c r="AD1436" s="3" t="e">
        <f>Table1[[#This Row],[Net Gain]]/Table1[[#This Row],[Ask Rate]]</f>
        <v>#DIV/0!</v>
      </c>
      <c r="AE1436" s="3">
        <f>IF(Table1[[#This Row],[Ask Qty]]=0,0,Table1[[#This Row],[Gross Yield]]*365/Table1[[#This Row],[Days Left]])</f>
        <v>0</v>
      </c>
      <c r="AF1436" s="9">
        <f>+Table1[[#This Row],[Net Gain]]*Table1[[#This Row],[Ask Qty]]</f>
        <v>0</v>
      </c>
      <c r="AG1436" t="str">
        <f>IF(Table1[[#This Row],[YTM]]&gt;0.12,IF(Table1[[#This Row],[Gross Profit]]&gt;10000,"Invest","Review"),"Low YTM")</f>
        <v>Low YTM</v>
      </c>
    </row>
    <row r="1437" spans="1:33" x14ac:dyDescent="0.3">
      <c r="A1437" t="str">
        <f>RTD("nest.scriprtd",,"nse_cm|955SCL27A-ZJ","Symbol")</f>
        <v>955SCL27A</v>
      </c>
      <c r="B1437" t="str">
        <f>RTD("nest.scriprtd",,"nse_cm|955SCL27A-ZJ","Trading Symbol")</f>
        <v>955SCL27A-ZJ</v>
      </c>
      <c r="C1437" t="str">
        <f>RTD("nest.scriprtd",,"nse_cm|955SCL27A-ZJ","Exchange")</f>
        <v>NSE</v>
      </c>
      <c r="D1437">
        <f>RTD("nest.scriprtd",,"nse_cm|955SCL27A-ZJ","Bid Qty")</f>
        <v>10</v>
      </c>
      <c r="E1437">
        <f>RTD("nest.scriprtd",,"nse_cm|955SCL27A-ZJ","Bid Rate")</f>
        <v>1108</v>
      </c>
      <c r="F1437">
        <f>RTD("nest.scriprtd",,"nse_cm|955SCL27A-ZJ","Ask Rate")</f>
        <v>0</v>
      </c>
      <c r="G1437">
        <f>RTD("nest.scriprtd",,"nse_cm|955SCL27A-ZJ","Ask Qty")</f>
        <v>0</v>
      </c>
      <c r="H1437">
        <f>RTD("nest.scriprtd",,"nse_cm|955SCL27A-ZJ","LTP")</f>
        <v>1126</v>
      </c>
      <c r="I1437" t="str">
        <f>RTD("nest.scriprtd",,"nse_cm|955SCL27A-ZJ","LTT")</f>
        <v/>
      </c>
      <c r="J1437">
        <f>RTD("nest.scriprtd",,"nse_cm|955SCL27A-ZJ","% Change")</f>
        <v>0</v>
      </c>
      <c r="K1437">
        <f>RTD("nest.scriprtd",,"nse_cm|955SCL27A-ZJ","ATP")</f>
        <v>0</v>
      </c>
      <c r="L1437">
        <f>RTD("nest.scriprtd",,"nse_cm|955SCL27A-ZJ","Volume Traded Today")</f>
        <v>0</v>
      </c>
      <c r="M1437">
        <f>RTD("nest.scriprtd",,"nse_cm|955SCL27A-ZJ","Open")</f>
        <v>0</v>
      </c>
      <c r="N1437">
        <f>RTD("nest.scriprtd",,"nse_cm|955SCL27A-ZJ","High")</f>
        <v>1126</v>
      </c>
      <c r="O1437">
        <f>RTD("nest.scriprtd",,"nse_cm|955SCL27A-ZJ","Low ")</f>
        <v>1117.68</v>
      </c>
      <c r="P1437">
        <f>RTD("nest.scriprtd",,"nse_cm|955SCL27A-ZJ","Prev Close")</f>
        <v>1126</v>
      </c>
      <c r="Q1437">
        <f>RTD("nest.scriprtd",,"nse_cm|955SCL27A-ZJ","Face Value")</f>
        <v>1000</v>
      </c>
      <c r="R1437" t="str">
        <f>RTD("nest.scriprtd",,"nse_cm|955SCL27A-ZJ","Isin code")</f>
        <v>INE148I07MS6</v>
      </c>
      <c r="S1437" s="9">
        <f>Table1[[#This Row],[Ask Rate]]*Table1[[#This Row],[Ask Qty]]</f>
        <v>0</v>
      </c>
      <c r="T1437" t="str">
        <f>VLOOKUP(Table1[[#This Row],[Isin code]],Table2[#All],7,FALSE)</f>
        <v>--</v>
      </c>
      <c r="U1437" s="17" t="str">
        <f>VLOOKUP(Table1[[#This Row],[Isin code]],Table2[#All],8,FALSE)</f>
        <v>03-Nov-2025</v>
      </c>
      <c r="V1437" s="10">
        <f ca="1">Table1[[#This Row],[Maturity]]-TODAY()</f>
        <v>383</v>
      </c>
      <c r="W1437" t="str">
        <f>VLOOKUP(Table1[[#This Row],[Isin code]],Table2[#All],10,FALSE)</f>
        <v>At the End</v>
      </c>
      <c r="X1437">
        <f ca="1">_xlfn.DAYS(Table1[[#This Row],[Maturity]],TODAY())-15</f>
        <v>368</v>
      </c>
      <c r="Y143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37">
        <f>IF(Table1[[#This Row],[Ask Rate]]=0,0,Table1[[#This Row],[Face Value]]-Table1[[#This Row],[Ask Rate]])</f>
        <v>0</v>
      </c>
      <c r="AA143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37">
        <f>Table1[[#This Row],[Face Value]]*Table1[[#This Row],[Rate]]*Table1[[#This Row],[Time]]</f>
        <v>0</v>
      </c>
      <c r="AC1437">
        <f>Table1[[#This Row],[SI]]+Table1[[#This Row],[Disc/Prem]]</f>
        <v>0</v>
      </c>
      <c r="AD1437" s="3" t="e">
        <f>Table1[[#This Row],[Net Gain]]/Table1[[#This Row],[Ask Rate]]</f>
        <v>#DIV/0!</v>
      </c>
      <c r="AE1437" s="3">
        <f>IF(Table1[[#This Row],[Ask Qty]]=0,0,Table1[[#This Row],[Gross Yield]]*365/Table1[[#This Row],[Days Left]])</f>
        <v>0</v>
      </c>
      <c r="AF1437" s="9">
        <f>+Table1[[#This Row],[Net Gain]]*Table1[[#This Row],[Ask Qty]]</f>
        <v>0</v>
      </c>
      <c r="AG1437" t="str">
        <f>IF(Table1[[#This Row],[YTM]]&gt;0.12,IF(Table1[[#This Row],[Gross Profit]]&gt;10000,"Invest","Review"),"Low YTM")</f>
        <v>Low YTM</v>
      </c>
    </row>
    <row r="1438" spans="1:33" x14ac:dyDescent="0.3">
      <c r="A1438" t="str">
        <f>RTD("nest.scriprtd",,"nse_cm|1075NFL25-N6","Symbol")</f>
        <v>1075NFL25</v>
      </c>
      <c r="B1438" t="str">
        <f>RTD("nest.scriprtd",,"nse_cm|1075NFL25-N6","Trading Symbol")</f>
        <v>1075NFL25-N6</v>
      </c>
      <c r="C1438" t="str">
        <f>RTD("nest.scriprtd",,"nse_cm|1075NFL25-N6","Exchange")</f>
        <v>NSE</v>
      </c>
      <c r="D1438">
        <f>RTD("nest.scriprtd",,"nse_cm|1075NFL25-N6","Bid Qty")</f>
        <v>180</v>
      </c>
      <c r="E1438">
        <f>RTD("nest.scriprtd",,"nse_cm|1075NFL25-N6","Bid Rate")</f>
        <v>1010</v>
      </c>
      <c r="F1438">
        <f>RTD("nest.scriprtd",,"nse_cm|1075NFL25-N6","Ask Rate")</f>
        <v>1025</v>
      </c>
      <c r="G1438">
        <f>RTD("nest.scriprtd",,"nse_cm|1075NFL25-N6","Ask Qty")</f>
        <v>0</v>
      </c>
      <c r="H1438">
        <f>RTD("nest.scriprtd",,"nse_cm|1075NFL25-N6","LTP")</f>
        <v>1018.89</v>
      </c>
      <c r="I1438" t="str">
        <f>RTD("nest.scriprtd",,"nse_cm|1075NFL25-N6","LTT")</f>
        <v/>
      </c>
      <c r="J1438">
        <f>RTD("nest.scriprtd",,"nse_cm|1075NFL25-N6","% Change")</f>
        <v>0</v>
      </c>
      <c r="K1438">
        <f>RTD("nest.scriprtd",,"nse_cm|1075NFL25-N6","ATP")</f>
        <v>0</v>
      </c>
      <c r="L1438">
        <f>RTD("nest.scriprtd",,"nse_cm|1075NFL25-N6","Volume Traded Today")</f>
        <v>0</v>
      </c>
      <c r="M1438">
        <f>RTD("nest.scriprtd",,"nse_cm|1075NFL25-N6","Open")</f>
        <v>0</v>
      </c>
      <c r="N1438">
        <f>RTD("nest.scriprtd",,"nse_cm|1075NFL25-N6","High")</f>
        <v>1018.89</v>
      </c>
      <c r="O1438">
        <f>RTD("nest.scriprtd",,"nse_cm|1075NFL25-N6","Low ")</f>
        <v>993.5</v>
      </c>
      <c r="P1438">
        <f>RTD("nest.scriprtd",,"nse_cm|1075NFL25-N6","Prev Close")</f>
        <v>1018.89</v>
      </c>
      <c r="Q1438">
        <f>RTD("nest.scriprtd",,"nse_cm|1075NFL25-N6","Face Value")</f>
        <v>1000</v>
      </c>
      <c r="R1438" t="str">
        <f>RTD("nest.scriprtd",,"nse_cm|1075NFL25-N6","Isin code")</f>
        <v>INE342T07395</v>
      </c>
      <c r="S1438" s="9">
        <f>Table1[[#This Row],[Ask Rate]]*Table1[[#This Row],[Ask Qty]]</f>
        <v>0</v>
      </c>
      <c r="T1438">
        <f>VLOOKUP(Table1[[#This Row],[Isin code]],Table2[#All],7,FALSE)</f>
        <v>10.75</v>
      </c>
      <c r="U1438" s="17" t="str">
        <f>VLOOKUP(Table1[[#This Row],[Isin code]],Table2[#All],8,FALSE)</f>
        <v>18-Oct-2025</v>
      </c>
      <c r="V1438" s="10">
        <f ca="1">Table1[[#This Row],[Maturity]]-TODAY()</f>
        <v>367</v>
      </c>
      <c r="W1438" t="str">
        <f>VLOOKUP(Table1[[#This Row],[Isin code]],Table2[#All],10,FALSE)</f>
        <v>Yearly</v>
      </c>
      <c r="X1438">
        <f ca="1">_xlfn.DAYS(Table1[[#This Row],[Maturity]],TODAY())-15</f>
        <v>352</v>
      </c>
      <c r="Y143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438">
        <f>IF(Table1[[#This Row],[Ask Rate]]=0,0,Table1[[#This Row],[Face Value]]-Table1[[#This Row],[Ask Rate]])</f>
        <v>-25</v>
      </c>
      <c r="AA1438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1438">
        <f ca="1">Table1[[#This Row],[Face Value]]*Table1[[#This Row],[Rate]]*Table1[[#This Row],[Time]]</f>
        <v>107.5</v>
      </c>
      <c r="AC1438">
        <f ca="1">Table1[[#This Row],[SI]]+Table1[[#This Row],[Disc/Prem]]</f>
        <v>82.5</v>
      </c>
      <c r="AD1438" s="3">
        <f ca="1">Table1[[#This Row],[Net Gain]]/Table1[[#This Row],[Ask Rate]]</f>
        <v>8.0487804878048783E-2</v>
      </c>
      <c r="AE1438" s="3">
        <f>IF(Table1[[#This Row],[Ask Qty]]=0,0,Table1[[#This Row],[Gross Yield]]*365/Table1[[#This Row],[Days Left]])</f>
        <v>0</v>
      </c>
      <c r="AF1438" s="9">
        <f ca="1">+Table1[[#This Row],[Net Gain]]*Table1[[#This Row],[Ask Qty]]</f>
        <v>0</v>
      </c>
      <c r="AG1438" t="str">
        <f>IF(Table1[[#This Row],[YTM]]&gt;0.12,IF(Table1[[#This Row],[Gross Profit]]&gt;10000,"Invest","Review"),"Low YTM")</f>
        <v>Low YTM</v>
      </c>
    </row>
    <row r="1439" spans="1:33" x14ac:dyDescent="0.3">
      <c r="A1439" t="str">
        <f>RTD("nest.scriprtd",,"bse_cm|NWIL27","Symbol")</f>
        <v>NWIL27</v>
      </c>
      <c r="B1439" t="str">
        <f>RTD("nest.scriprtd",,"bse_cm|NWIL27","Trading Symbol")</f>
        <v>NWIL27</v>
      </c>
      <c r="C1439" t="str">
        <f>RTD("nest.scriprtd",,"bse_cm|NWIL27","Exchange")</f>
        <v>BSE</v>
      </c>
      <c r="D1439">
        <f>RTD("nest.scriprtd",,"bse_cm|NWIL27","Bid Qty")</f>
        <v>5</v>
      </c>
      <c r="E1439">
        <f>RTD("nest.scriprtd",,"bse_cm|NWIL27","Bid Rate")</f>
        <v>1063.55</v>
      </c>
      <c r="F1439">
        <f>RTD("nest.scriprtd",,"bse_cm|NWIL27","Ask Rate")</f>
        <v>0</v>
      </c>
      <c r="G1439">
        <f>RTD("nest.scriprtd",,"bse_cm|NWIL27","Ask Qty")</f>
        <v>0</v>
      </c>
      <c r="H1439">
        <f>RTD("nest.scriprtd",,"bse_cm|NWIL27","LTP")</f>
        <v>0</v>
      </c>
      <c r="I1439" t="str">
        <f>RTD("nest.scriprtd",,"bse_cm|NWIL27","LTT")</f>
        <v>00:00:00</v>
      </c>
      <c r="J1439">
        <f>RTD("nest.scriprtd",,"bse_cm|NWIL27","% Change")</f>
        <v>-100</v>
      </c>
      <c r="K1439">
        <f>RTD("nest.scriprtd",,"bse_cm|NWIL27","ATP")</f>
        <v>0</v>
      </c>
      <c r="L1439">
        <f>RTD("nest.scriprtd",,"bse_cm|NWIL27","Volume Traded Today")</f>
        <v>0</v>
      </c>
      <c r="M1439">
        <f>RTD("nest.scriprtd",,"bse_cm|NWIL27","Open")</f>
        <v>0</v>
      </c>
      <c r="N1439">
        <f>RTD("nest.scriprtd",,"bse_cm|NWIL27","High")</f>
        <v>1150</v>
      </c>
      <c r="O1439">
        <f>RTD("nest.scriprtd",,"bse_cm|NWIL27","Low ")</f>
        <v>1140</v>
      </c>
      <c r="P1439">
        <f>RTD("nest.scriprtd",,"bse_cm|NWIL27","Prev Close")</f>
        <v>1150</v>
      </c>
      <c r="Q1439">
        <f>RTD("nest.scriprtd",,"bse_cm|NWIL27","Face Value")</f>
        <v>1000</v>
      </c>
      <c r="R1439" t="str">
        <f>RTD("nest.scriprtd",,"bse_cm|NWIL27","Isin code")</f>
        <v>INE523L07728</v>
      </c>
      <c r="S1439" s="9">
        <f>Table1[[#This Row],[Ask Rate]]*Table1[[#This Row],[Ask Qty]]</f>
        <v>0</v>
      </c>
      <c r="T1439" t="str">
        <f>VLOOKUP(Table1[[#This Row],[Isin code]],Table2[#All],7,FALSE)</f>
        <v>--</v>
      </c>
      <c r="U1439" s="17" t="str">
        <f>VLOOKUP(Table1[[#This Row],[Isin code]],Table2[#All],8,FALSE)</f>
        <v>15-Jul-2027</v>
      </c>
      <c r="V1439" s="10">
        <f ca="1">Table1[[#This Row],[Maturity]]-TODAY()</f>
        <v>1002</v>
      </c>
      <c r="W1439" t="str">
        <f>VLOOKUP(Table1[[#This Row],[Isin code]],Table2[#All],10,FALSE)</f>
        <v>At the End</v>
      </c>
      <c r="X1439">
        <f ca="1">_xlfn.DAYS(Table1[[#This Row],[Maturity]],TODAY())-15</f>
        <v>987</v>
      </c>
      <c r="Y143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39">
        <f>IF(Table1[[#This Row],[Ask Rate]]=0,0,Table1[[#This Row],[Face Value]]-Table1[[#This Row],[Ask Rate]])</f>
        <v>0</v>
      </c>
      <c r="AA143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39">
        <f>Table1[[#This Row],[Face Value]]*Table1[[#This Row],[Rate]]*Table1[[#This Row],[Time]]</f>
        <v>0</v>
      </c>
      <c r="AC1439">
        <f>Table1[[#This Row],[SI]]+Table1[[#This Row],[Disc/Prem]]</f>
        <v>0</v>
      </c>
      <c r="AD1439" s="3" t="e">
        <f>Table1[[#This Row],[Net Gain]]/Table1[[#This Row],[Ask Rate]]</f>
        <v>#DIV/0!</v>
      </c>
      <c r="AE1439" s="3">
        <f>IF(Table1[[#This Row],[Ask Qty]]=0,0,Table1[[#This Row],[Gross Yield]]*365/Table1[[#This Row],[Days Left]])</f>
        <v>0</v>
      </c>
      <c r="AF1439" s="9">
        <f>+Table1[[#This Row],[Net Gain]]*Table1[[#This Row],[Ask Qty]]</f>
        <v>0</v>
      </c>
      <c r="AG1439" t="str">
        <f>IF(Table1[[#This Row],[YTM]]&gt;0.12,IF(Table1[[#This Row],[Gross Profit]]&gt;10000,"Invest","Review"),"Low YTM")</f>
        <v>Low YTM</v>
      </c>
    </row>
    <row r="1440" spans="1:33" x14ac:dyDescent="0.3">
      <c r="A1440" t="str">
        <f>RTD("nest.scriprtd",,"bse_cm|MFLZC26D","Symbol")</f>
        <v>MFLZC26D</v>
      </c>
      <c r="B1440" t="str">
        <f>RTD("nest.scriprtd",,"bse_cm|MFLZC26D","Trading Symbol")</f>
        <v>MFLZC26D</v>
      </c>
      <c r="C1440" t="str">
        <f>RTD("nest.scriprtd",,"bse_cm|MFLZC26D","Exchange")</f>
        <v>BSE</v>
      </c>
      <c r="D1440">
        <f>RTD("nest.scriprtd",,"bse_cm|MFLZC26D","Bid Qty")</f>
        <v>50</v>
      </c>
      <c r="E1440">
        <f>RTD("nest.scriprtd",,"bse_cm|MFLZC26D","Bid Rate")</f>
        <v>1254.32</v>
      </c>
      <c r="F1440">
        <f>RTD("nest.scriprtd",,"bse_cm|MFLZC26D","Ask Rate")</f>
        <v>0</v>
      </c>
      <c r="G1440">
        <f>RTD("nest.scriprtd",,"bse_cm|MFLZC26D","Ask Qty")</f>
        <v>0</v>
      </c>
      <c r="H1440">
        <f>RTD("nest.scriprtd",,"bse_cm|MFLZC26D","LTP")</f>
        <v>0</v>
      </c>
      <c r="I1440" t="str">
        <f>RTD("nest.scriprtd",,"bse_cm|MFLZC26D","LTT")</f>
        <v>00:00:00</v>
      </c>
      <c r="J1440">
        <f>RTD("nest.scriprtd",,"bse_cm|MFLZC26D","% Change")</f>
        <v>-100</v>
      </c>
      <c r="K1440">
        <f>RTD("nest.scriprtd",,"bse_cm|MFLZC26D","ATP")</f>
        <v>0</v>
      </c>
      <c r="L1440">
        <f>RTD("nest.scriprtd",,"bse_cm|MFLZC26D","Volume Traded Today")</f>
        <v>0</v>
      </c>
      <c r="M1440">
        <f>RTD("nest.scriprtd",,"bse_cm|MFLZC26D","Open")</f>
        <v>0</v>
      </c>
      <c r="N1440">
        <f>RTD("nest.scriprtd",,"bse_cm|MFLZC26D","High")</f>
        <v>1279.5</v>
      </c>
      <c r="O1440">
        <f>RTD("nest.scriprtd",,"bse_cm|MFLZC26D","Low ")</f>
        <v>1279.5</v>
      </c>
      <c r="P1440">
        <f>RTD("nest.scriprtd",,"bse_cm|MFLZC26D","Prev Close")</f>
        <v>1279.5</v>
      </c>
      <c r="Q1440">
        <f>RTD("nest.scriprtd",,"bse_cm|MFLZC26D","Face Value")</f>
        <v>1000</v>
      </c>
      <c r="R1440" t="str">
        <f>RTD("nest.scriprtd",,"bse_cm|MFLZC26D","Isin code")</f>
        <v>INE549K07AO5</v>
      </c>
      <c r="S1440" s="9">
        <f>Table1[[#This Row],[Ask Rate]]*Table1[[#This Row],[Ask Qty]]</f>
        <v>0</v>
      </c>
      <c r="T1440" t="str">
        <f>VLOOKUP(Table1[[#This Row],[Isin code]],Table2[#All],7,FALSE)</f>
        <v>--</v>
      </c>
      <c r="U1440" s="17" t="str">
        <f>VLOOKUP(Table1[[#This Row],[Isin code]],Table2[#All],8,FALSE)</f>
        <v>07-May-2026</v>
      </c>
      <c r="V1440" s="10">
        <f ca="1">Table1[[#This Row],[Maturity]]-TODAY()</f>
        <v>568</v>
      </c>
      <c r="W1440" t="str">
        <f>VLOOKUP(Table1[[#This Row],[Isin code]],Table2[#All],10,FALSE)</f>
        <v>At the End</v>
      </c>
      <c r="X1440">
        <f ca="1">_xlfn.DAYS(Table1[[#This Row],[Maturity]],TODAY())-15</f>
        <v>553</v>
      </c>
      <c r="Y144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40">
        <f>IF(Table1[[#This Row],[Ask Rate]]=0,0,Table1[[#This Row],[Face Value]]-Table1[[#This Row],[Ask Rate]])</f>
        <v>0</v>
      </c>
      <c r="AA144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40">
        <f>Table1[[#This Row],[Face Value]]*Table1[[#This Row],[Rate]]*Table1[[#This Row],[Time]]</f>
        <v>0</v>
      </c>
      <c r="AC1440">
        <f>Table1[[#This Row],[SI]]+Table1[[#This Row],[Disc/Prem]]</f>
        <v>0</v>
      </c>
      <c r="AD1440" s="3" t="e">
        <f>Table1[[#This Row],[Net Gain]]/Table1[[#This Row],[Ask Rate]]</f>
        <v>#DIV/0!</v>
      </c>
      <c r="AE1440" s="3">
        <f>IF(Table1[[#This Row],[Ask Qty]]=0,0,Table1[[#This Row],[Gross Yield]]*365/Table1[[#This Row],[Days Left]])</f>
        <v>0</v>
      </c>
      <c r="AF1440" s="9">
        <f>+Table1[[#This Row],[Net Gain]]*Table1[[#This Row],[Ask Qty]]</f>
        <v>0</v>
      </c>
      <c r="AG1440" t="str">
        <f>IF(Table1[[#This Row],[YTM]]&gt;0.12,IF(Table1[[#This Row],[Gross Profit]]&gt;10000,"Invest","Review"),"Low YTM")</f>
        <v>Low YTM</v>
      </c>
    </row>
    <row r="1441" spans="1:33" x14ac:dyDescent="0.3">
      <c r="A1441" t="str">
        <f>RTD("nest.scriprtd",,"bse_cm|743IREDA36","Symbol")</f>
        <v>743IREDA36</v>
      </c>
      <c r="B1441" t="str">
        <f>RTD("nest.scriprtd",,"bse_cm|743IREDA36","Trading Symbol")</f>
        <v>743IREDA36</v>
      </c>
      <c r="C1441" t="str">
        <f>RTD("nest.scriprtd",,"bse_cm|743IREDA36","Exchange")</f>
        <v>BSE</v>
      </c>
      <c r="D1441">
        <f>RTD("nest.scriprtd",,"bse_cm|743IREDA36","Bid Qty")</f>
        <v>1000</v>
      </c>
      <c r="E1441">
        <f>RTD("nest.scriprtd",,"bse_cm|743IREDA36","Bid Rate")</f>
        <v>1147.0999999999999</v>
      </c>
      <c r="F1441">
        <f>RTD("nest.scriprtd",,"bse_cm|743IREDA36","Ask Rate")</f>
        <v>0</v>
      </c>
      <c r="G1441">
        <f>RTD("nest.scriprtd",,"bse_cm|743IREDA36","Ask Qty")</f>
        <v>0</v>
      </c>
      <c r="H1441">
        <f>RTD("nest.scriprtd",,"bse_cm|743IREDA36","LTP")</f>
        <v>0</v>
      </c>
      <c r="I1441" t="str">
        <f>RTD("nest.scriprtd",,"bse_cm|743IREDA36","LTT")</f>
        <v>00:00:00</v>
      </c>
      <c r="J1441">
        <f>RTD("nest.scriprtd",,"bse_cm|743IREDA36","% Change")</f>
        <v>-100</v>
      </c>
      <c r="K1441">
        <f>RTD("nest.scriprtd",,"bse_cm|743IREDA36","ATP")</f>
        <v>0</v>
      </c>
      <c r="L1441">
        <f>RTD("nest.scriprtd",,"bse_cm|743IREDA36","Volume Traded Today")</f>
        <v>0</v>
      </c>
      <c r="M1441">
        <f>RTD("nest.scriprtd",,"bse_cm|743IREDA36","Open")</f>
        <v>0</v>
      </c>
      <c r="N1441">
        <f>RTD("nest.scriprtd",,"bse_cm|743IREDA36","High")</f>
        <v>0</v>
      </c>
      <c r="O1441">
        <f>RTD("nest.scriprtd",,"bse_cm|743IREDA36","Low ")</f>
        <v>0</v>
      </c>
      <c r="P1441">
        <f>RTD("nest.scriprtd",,"bse_cm|743IREDA36","Prev Close")</f>
        <v>1346</v>
      </c>
      <c r="Q1441">
        <f>RTD("nest.scriprtd",,"bse_cm|743IREDA36","Face Value")</f>
        <v>1000</v>
      </c>
      <c r="R1441" t="str">
        <f>RTD("nest.scriprtd",,"bse_cm|743IREDA36","Isin code")</f>
        <v>INE202E07203</v>
      </c>
      <c r="S1441" s="9">
        <f>Table1[[#This Row],[Ask Rate]]*Table1[[#This Row],[Ask Qty]]</f>
        <v>0</v>
      </c>
      <c r="T1441">
        <f>VLOOKUP(Table1[[#This Row],[Isin code]],Table2[#All],7,FALSE)</f>
        <v>7.4300000000000006</v>
      </c>
      <c r="U1441" s="17" t="str">
        <f>VLOOKUP(Table1[[#This Row],[Isin code]],Table2[#All],8,FALSE)</f>
        <v>21-Jan-2036</v>
      </c>
      <c r="V1441" s="10">
        <f ca="1">Table1[[#This Row],[Maturity]]-TODAY()</f>
        <v>4114</v>
      </c>
      <c r="W1441" t="str">
        <f>VLOOKUP(Table1[[#This Row],[Isin code]],Table2[#All],10,FALSE)</f>
        <v>Yearly</v>
      </c>
      <c r="X1441">
        <f ca="1">_xlfn.DAYS(Table1[[#This Row],[Maturity]],TODAY())-15</f>
        <v>4099</v>
      </c>
      <c r="Y144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1441">
        <f>IF(Table1[[#This Row],[Ask Rate]]=0,0,Table1[[#This Row],[Face Value]]-Table1[[#This Row],[Ask Rate]])</f>
        <v>0</v>
      </c>
      <c r="AA1441">
        <f>IF(Table1[[#This Row],[Freq]]="Yearly",Table1[[#This Row],[Coupon_Rate]]/100,IF(Table1[[#This Row],[Freq]]="Monthly",Table1[[#This Row],[Coupon_Rate]]/1200,IF(Table1[[#This Row],[Freq]]="Quarterly",Table1[[#This Row],[Coupon_Rate]]/400,0)))</f>
        <v>7.4300000000000005E-2</v>
      </c>
      <c r="AB1441">
        <f ca="1">Table1[[#This Row],[Face Value]]*Table1[[#This Row],[Rate]]*Table1[[#This Row],[Time]]</f>
        <v>891.60000000000014</v>
      </c>
      <c r="AC1441">
        <f ca="1">Table1[[#This Row],[SI]]+Table1[[#This Row],[Disc/Prem]]</f>
        <v>891.60000000000014</v>
      </c>
      <c r="AD1441" s="3" t="e">
        <f ca="1">Table1[[#This Row],[Net Gain]]/Table1[[#This Row],[Ask Rate]]</f>
        <v>#DIV/0!</v>
      </c>
      <c r="AE1441" s="3">
        <f>IF(Table1[[#This Row],[Ask Qty]]=0,0,Table1[[#This Row],[Gross Yield]]*365/Table1[[#This Row],[Days Left]])</f>
        <v>0</v>
      </c>
      <c r="AF1441" s="9">
        <f ca="1">+Table1[[#This Row],[Net Gain]]*Table1[[#This Row],[Ask Qty]]</f>
        <v>0</v>
      </c>
      <c r="AG1441" t="str">
        <f>IF(Table1[[#This Row],[YTM]]&gt;0.12,IF(Table1[[#This Row],[Gross Profit]]&gt;10000,"Invest","Review"),"Low YTM")</f>
        <v>Low YTM</v>
      </c>
    </row>
    <row r="1442" spans="1:33" x14ac:dyDescent="0.3">
      <c r="A1442" t="str">
        <f>RTD("nest.scriprtd",,"bse_cm|KFLZC26A","Symbol")</f>
        <v>KFLZC26A</v>
      </c>
      <c r="B1442" t="str">
        <f>RTD("nest.scriprtd",,"bse_cm|KFLZC26A","Trading Symbol")</f>
        <v>KFLZC26A</v>
      </c>
      <c r="C1442" t="str">
        <f>RTD("nest.scriprtd",,"bse_cm|KFLZC26A","Exchange")</f>
        <v>BSE</v>
      </c>
      <c r="D1442">
        <f>RTD("nest.scriprtd",,"bse_cm|KFLZC26A","Bid Qty")</f>
        <v>50</v>
      </c>
      <c r="E1442">
        <f>RTD("nest.scriprtd",,"bse_cm|KFLZC26A","Bid Rate")</f>
        <v>1435.81</v>
      </c>
      <c r="F1442">
        <f>RTD("nest.scriprtd",,"bse_cm|KFLZC26A","Ask Rate")</f>
        <v>0</v>
      </c>
      <c r="G1442">
        <f>RTD("nest.scriprtd",,"bse_cm|KFLZC26A","Ask Qty")</f>
        <v>0</v>
      </c>
      <c r="H1442">
        <f>RTD("nest.scriprtd",,"bse_cm|KFLZC26A","LTP")</f>
        <v>0</v>
      </c>
      <c r="I1442" t="str">
        <f>RTD("nest.scriprtd",,"bse_cm|KFLZC26A","LTT")</f>
        <v>00:00:00</v>
      </c>
      <c r="J1442">
        <f>RTD("nest.scriprtd",,"bse_cm|KFLZC26A","% Change")</f>
        <v>-100</v>
      </c>
      <c r="K1442">
        <f>RTD("nest.scriprtd",,"bse_cm|KFLZC26A","ATP")</f>
        <v>0</v>
      </c>
      <c r="L1442">
        <f>RTD("nest.scriprtd",,"bse_cm|KFLZC26A","Volume Traded Today")</f>
        <v>0</v>
      </c>
      <c r="M1442">
        <f>RTD("nest.scriprtd",,"bse_cm|KFLZC26A","Open")</f>
        <v>0</v>
      </c>
      <c r="N1442">
        <f>RTD("nest.scriprtd",,"bse_cm|KFLZC26A","High")</f>
        <v>1435.81</v>
      </c>
      <c r="O1442">
        <f>RTD("nest.scriprtd",,"bse_cm|KFLZC26A","Low ")</f>
        <v>1435.81</v>
      </c>
      <c r="P1442">
        <f>RTD("nest.scriprtd",,"bse_cm|KFLZC26A","Prev Close")</f>
        <v>1435.81</v>
      </c>
      <c r="Q1442">
        <f>RTD("nest.scriprtd",,"bse_cm|KFLZC26A","Face Value")</f>
        <v>1000</v>
      </c>
      <c r="R1442" t="str">
        <f>RTD("nest.scriprtd",,"bse_cm|KFLZC26A","Isin code")</f>
        <v>INE403Q08167</v>
      </c>
      <c r="S1442" s="9">
        <f>Table1[[#This Row],[Ask Rate]]*Table1[[#This Row],[Ask Qty]]</f>
        <v>0</v>
      </c>
      <c r="T1442" t="str">
        <f>VLOOKUP(Table1[[#This Row],[Isin code]],Table2[#All],7,FALSE)</f>
        <v>--</v>
      </c>
      <c r="U1442" s="17" t="str">
        <f>VLOOKUP(Table1[[#This Row],[Isin code]],Table2[#All],8,FALSE)</f>
        <v>05-May-2026</v>
      </c>
      <c r="V1442" s="10">
        <f ca="1">Table1[[#This Row],[Maturity]]-TODAY()</f>
        <v>566</v>
      </c>
      <c r="W1442" t="str">
        <f>VLOOKUP(Table1[[#This Row],[Isin code]],Table2[#All],10,FALSE)</f>
        <v>At the End</v>
      </c>
      <c r="X1442">
        <f ca="1">_xlfn.DAYS(Table1[[#This Row],[Maturity]],TODAY())-15</f>
        <v>551</v>
      </c>
      <c r="Y144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42">
        <f>IF(Table1[[#This Row],[Ask Rate]]=0,0,Table1[[#This Row],[Face Value]]-Table1[[#This Row],[Ask Rate]])</f>
        <v>0</v>
      </c>
      <c r="AA144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42">
        <f>Table1[[#This Row],[Face Value]]*Table1[[#This Row],[Rate]]*Table1[[#This Row],[Time]]</f>
        <v>0</v>
      </c>
      <c r="AC1442">
        <f>Table1[[#This Row],[SI]]+Table1[[#This Row],[Disc/Prem]]</f>
        <v>0</v>
      </c>
      <c r="AD1442" s="3" t="e">
        <f>Table1[[#This Row],[Net Gain]]/Table1[[#This Row],[Ask Rate]]</f>
        <v>#DIV/0!</v>
      </c>
      <c r="AE1442" s="3">
        <f>IF(Table1[[#This Row],[Ask Qty]]=0,0,Table1[[#This Row],[Gross Yield]]*365/Table1[[#This Row],[Days Left]])</f>
        <v>0</v>
      </c>
      <c r="AF1442" s="9">
        <f>+Table1[[#This Row],[Net Gain]]*Table1[[#This Row],[Ask Qty]]</f>
        <v>0</v>
      </c>
      <c r="AG1442" t="str">
        <f>IF(Table1[[#This Row],[YTM]]&gt;0.12,IF(Table1[[#This Row],[Gross Profit]]&gt;10000,"Invest","Review"),"Low YTM")</f>
        <v>Low YTM</v>
      </c>
    </row>
    <row r="1443" spans="1:33" x14ac:dyDescent="0.3">
      <c r="A1443" t="str">
        <f>RTD("nest.scriprtd",,"nse_cm|1015SCL28A-AL","Symbol")</f>
        <v>1015SCL28A</v>
      </c>
      <c r="B1443" t="str">
        <f>RTD("nest.scriprtd",,"nse_cm|1015SCL28A-AL","Trading Symbol")</f>
        <v>1015SCL28A-AL</v>
      </c>
      <c r="C1443" t="str">
        <f>RTD("nest.scriprtd",,"nse_cm|1015SCL28A-AL","Exchange")</f>
        <v>NSE</v>
      </c>
      <c r="D1443">
        <f>RTD("nest.scriprtd",,"nse_cm|1015SCL28A-AL","Bid Qty")</f>
        <v>0</v>
      </c>
      <c r="E1443">
        <f>RTD("nest.scriprtd",,"nse_cm|1015SCL28A-AL","Bid Rate")</f>
        <v>0</v>
      </c>
      <c r="F1443">
        <f>RTD("nest.scriprtd",,"nse_cm|1015SCL28A-AL","Ask Rate")</f>
        <v>0</v>
      </c>
      <c r="G1443">
        <f>RTD("nest.scriprtd",,"nse_cm|1015SCL28A-AL","Ask Qty")</f>
        <v>0</v>
      </c>
      <c r="H1443">
        <f>RTD("nest.scriprtd",,"nse_cm|1015SCL28A-AL","LTP")</f>
        <v>918</v>
      </c>
      <c r="I1443" t="str">
        <f>RTD("nest.scriprtd",,"nse_cm|1015SCL28A-AL","LTT")</f>
        <v/>
      </c>
      <c r="J1443">
        <f>RTD("nest.scriprtd",,"nse_cm|1015SCL28A-AL","% Change")</f>
        <v>0</v>
      </c>
      <c r="K1443">
        <f>RTD("nest.scriprtd",,"nse_cm|1015SCL28A-AL","ATP")</f>
        <v>0</v>
      </c>
      <c r="L1443">
        <f>RTD("nest.scriprtd",,"nse_cm|1015SCL28A-AL","Volume Traded Today")</f>
        <v>0</v>
      </c>
      <c r="M1443">
        <f>RTD("nest.scriprtd",,"nse_cm|1015SCL28A-AL","Open")</f>
        <v>0</v>
      </c>
      <c r="N1443">
        <f>RTD("nest.scriprtd",,"nse_cm|1015SCL28A-AL","High")</f>
        <v>918</v>
      </c>
      <c r="O1443">
        <f>RTD("nest.scriprtd",,"nse_cm|1015SCL28A-AL","Low ")</f>
        <v>918</v>
      </c>
      <c r="P1443">
        <f>RTD("nest.scriprtd",,"nse_cm|1015SCL28A-AL","Prev Close")</f>
        <v>918</v>
      </c>
      <c r="Q1443">
        <f>RTD("nest.scriprtd",,"nse_cm|1015SCL28A-AL","Face Value")</f>
        <v>800</v>
      </c>
      <c r="R1443" t="str">
        <f>RTD("nest.scriprtd",,"nse_cm|1015SCL28A-AL","Isin code")</f>
        <v>INE148I07OH5</v>
      </c>
      <c r="S1443" s="9">
        <f>Table1[[#This Row],[Ask Rate]]*Table1[[#This Row],[Ask Qty]]</f>
        <v>0</v>
      </c>
      <c r="T1443">
        <f>VLOOKUP(Table1[[#This Row],[Isin code]],Table2[#All],7,FALSE)</f>
        <v>10.15</v>
      </c>
      <c r="U1443" s="17" t="str">
        <f>VLOOKUP(Table1[[#This Row],[Isin code]],Table2[#All],8,FALSE)</f>
        <v>23-Mar-2028</v>
      </c>
      <c r="V1443" s="10">
        <f ca="1">Table1[[#This Row],[Maturity]]-TODAY()</f>
        <v>1254</v>
      </c>
      <c r="W1443" t="str">
        <f>VLOOKUP(Table1[[#This Row],[Isin code]],Table2[#All],10,FALSE)</f>
        <v>Yearly</v>
      </c>
      <c r="X1443">
        <f ca="1">_xlfn.DAYS(Table1[[#This Row],[Maturity]],TODAY())-15</f>
        <v>1239</v>
      </c>
      <c r="Y14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443">
        <f>IF(Table1[[#This Row],[Ask Rate]]=0,0,Table1[[#This Row],[Face Value]]-Table1[[#This Row],[Ask Rate]])</f>
        <v>0</v>
      </c>
      <c r="AA1443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1443">
        <f ca="1">Table1[[#This Row],[Face Value]]*Table1[[#This Row],[Rate]]*Table1[[#This Row],[Time]]</f>
        <v>324.8</v>
      </c>
      <c r="AC1443">
        <f ca="1">Table1[[#This Row],[SI]]+Table1[[#This Row],[Disc/Prem]]</f>
        <v>324.8</v>
      </c>
      <c r="AD1443" s="3" t="e">
        <f ca="1">Table1[[#This Row],[Net Gain]]/Table1[[#This Row],[Ask Rate]]</f>
        <v>#DIV/0!</v>
      </c>
      <c r="AE1443" s="3">
        <f>IF(Table1[[#This Row],[Ask Qty]]=0,0,Table1[[#This Row],[Gross Yield]]*365/Table1[[#This Row],[Days Left]])</f>
        <v>0</v>
      </c>
      <c r="AF1443" s="9">
        <f ca="1">+Table1[[#This Row],[Net Gain]]*Table1[[#This Row],[Ask Qty]]</f>
        <v>0</v>
      </c>
      <c r="AG1443" t="str">
        <f>IF(Table1[[#This Row],[YTM]]&gt;0.12,IF(Table1[[#This Row],[Gross Profit]]&gt;10000,"Invest","Review"),"Low YTM")</f>
        <v>Low YTM</v>
      </c>
    </row>
    <row r="1444" spans="1:33" x14ac:dyDescent="0.3">
      <c r="A1444" t="str">
        <f>RTD("nest.scriprtd",,"nse_cm|888SCL25E-N4","Symbol")</f>
        <v>888SCL25E</v>
      </c>
      <c r="B1444" t="str">
        <f>RTD("nest.scriprtd",,"nse_cm|888SCL25E-N4","Trading Symbol")</f>
        <v>888SCL25E-N4</v>
      </c>
      <c r="C1444" t="str">
        <f>RTD("nest.scriprtd",,"nse_cm|888SCL25E-N4","Exchange")</f>
        <v>NSE</v>
      </c>
      <c r="D1444">
        <f>RTD("nest.scriprtd",,"nse_cm|888SCL25E-N4","Bid Qty")</f>
        <v>40</v>
      </c>
      <c r="E1444">
        <f>RTD("nest.scriprtd",,"nse_cm|888SCL25E-N4","Bid Rate")</f>
        <v>867</v>
      </c>
      <c r="F1444">
        <f>RTD("nest.scriprtd",,"nse_cm|888SCL25E-N4","Ask Rate")</f>
        <v>0</v>
      </c>
      <c r="G1444">
        <f>RTD("nest.scriprtd",,"nse_cm|888SCL25E-N4","Ask Qty")</f>
        <v>0</v>
      </c>
      <c r="H1444">
        <f>RTD("nest.scriprtd",,"nse_cm|888SCL25E-N4","LTP")</f>
        <v>875</v>
      </c>
      <c r="I1444" t="str">
        <f>RTD("nest.scriprtd",,"nse_cm|888SCL25E-N4","LTT")</f>
        <v/>
      </c>
      <c r="J1444">
        <f>RTD("nest.scriprtd",,"nse_cm|888SCL25E-N4","% Change")</f>
        <v>0</v>
      </c>
      <c r="K1444">
        <f>RTD("nest.scriprtd",,"nse_cm|888SCL25E-N4","ATP")</f>
        <v>0</v>
      </c>
      <c r="L1444">
        <f>RTD("nest.scriprtd",,"nse_cm|888SCL25E-N4","Volume Traded Today")</f>
        <v>0</v>
      </c>
      <c r="M1444">
        <f>RTD("nest.scriprtd",,"nse_cm|888SCL25E-N4","Open")</f>
        <v>0</v>
      </c>
      <c r="N1444">
        <f>RTD("nest.scriprtd",,"nse_cm|888SCL25E-N4","High")</f>
        <v>875</v>
      </c>
      <c r="O1444">
        <f>RTD("nest.scriprtd",,"nse_cm|888SCL25E-N4","Low ")</f>
        <v>875</v>
      </c>
      <c r="P1444">
        <f>RTD("nest.scriprtd",,"nse_cm|888SCL25E-N4","Prev Close")</f>
        <v>875</v>
      </c>
      <c r="Q1444">
        <f>RTD("nest.scriprtd",,"nse_cm|888SCL25E-N4","Face Value")</f>
        <v>900</v>
      </c>
      <c r="R1444" t="str">
        <f>RTD("nest.scriprtd",,"nse_cm|888SCL25E-N4","Isin code")</f>
        <v>INE148I07PV3</v>
      </c>
      <c r="S1444" s="9">
        <f>Table1[[#This Row],[Ask Rate]]*Table1[[#This Row],[Ask Qty]]</f>
        <v>0</v>
      </c>
      <c r="T1444">
        <f>VLOOKUP(Table1[[#This Row],[Isin code]],Table2[#All],7,FALSE)</f>
        <v>10.25</v>
      </c>
      <c r="U1444" s="17" t="str">
        <f>VLOOKUP(Table1[[#This Row],[Isin code]],Table2[#All],8,FALSE)</f>
        <v>26-Sep-2033</v>
      </c>
      <c r="V1444" s="10">
        <f ca="1">Table1[[#This Row],[Maturity]]-TODAY()</f>
        <v>3267</v>
      </c>
      <c r="W1444" t="str">
        <f>VLOOKUP(Table1[[#This Row],[Isin code]],Table2[#All],10,FALSE)</f>
        <v>Monthly</v>
      </c>
      <c r="X1444">
        <f ca="1">_xlfn.DAYS(Table1[[#This Row],[Maturity]],TODAY())-15</f>
        <v>3252</v>
      </c>
      <c r="Y144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109</v>
      </c>
      <c r="Z1444">
        <f>IF(Table1[[#This Row],[Ask Rate]]=0,0,Table1[[#This Row],[Face Value]]-Table1[[#This Row],[Ask Rate]])</f>
        <v>0</v>
      </c>
      <c r="AA1444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444">
        <f ca="1">Table1[[#This Row],[Face Value]]*Table1[[#This Row],[Rate]]*Table1[[#This Row],[Time]]</f>
        <v>837.93749999999989</v>
      </c>
      <c r="AC1444">
        <f ca="1">Table1[[#This Row],[SI]]+Table1[[#This Row],[Disc/Prem]]</f>
        <v>837.93749999999989</v>
      </c>
      <c r="AD1444" s="3" t="e">
        <f ca="1">Table1[[#This Row],[Net Gain]]/Table1[[#This Row],[Ask Rate]]</f>
        <v>#DIV/0!</v>
      </c>
      <c r="AE1444" s="3">
        <f>IF(Table1[[#This Row],[Ask Qty]]=0,0,Table1[[#This Row],[Gross Yield]]*365/Table1[[#This Row],[Days Left]])</f>
        <v>0</v>
      </c>
      <c r="AF1444" s="9">
        <f ca="1">+Table1[[#This Row],[Net Gain]]*Table1[[#This Row],[Ask Qty]]</f>
        <v>0</v>
      </c>
      <c r="AG1444" t="str">
        <f>IF(Table1[[#This Row],[YTM]]&gt;0.12,IF(Table1[[#This Row],[Gross Profit]]&gt;10000,"Invest","Review"),"Low YTM")</f>
        <v>Low YTM</v>
      </c>
    </row>
    <row r="1445" spans="1:33" x14ac:dyDescent="0.3">
      <c r="A1445" t="str">
        <f>RTD("nest.scriprtd",,"nse_cm|SCL310524A-ZK","Symbol")</f>
        <v>SCL310524A</v>
      </c>
      <c r="B1445" t="str">
        <f>RTD("nest.scriprtd",,"nse_cm|SCL310524A-ZK","Trading Symbol")</f>
        <v>SCL310524A-ZK</v>
      </c>
      <c r="C1445" t="str">
        <f>RTD("nest.scriprtd",,"nse_cm|SCL310524A-ZK","Exchange")</f>
        <v>NSE</v>
      </c>
      <c r="D1445">
        <f>RTD("nest.scriprtd",,"nse_cm|SCL310524A-ZK","Bid Qty")</f>
        <v>20</v>
      </c>
      <c r="E1445">
        <f>RTD("nest.scriprtd",,"nse_cm|SCL310524A-ZK","Bid Rate")</f>
        <v>825.8</v>
      </c>
      <c r="F1445">
        <f>RTD("nest.scriprtd",,"nse_cm|SCL310524A-ZK","Ask Rate")</f>
        <v>0</v>
      </c>
      <c r="G1445">
        <f>RTD("nest.scriprtd",,"nse_cm|SCL310524A-ZK","Ask Qty")</f>
        <v>0</v>
      </c>
      <c r="H1445">
        <f>RTD("nest.scriprtd",,"nse_cm|SCL310524A-ZK","LTP")</f>
        <v>950</v>
      </c>
      <c r="I1445" t="str">
        <f>RTD("nest.scriprtd",,"nse_cm|SCL310524A-ZK","LTT")</f>
        <v/>
      </c>
      <c r="J1445">
        <f>RTD("nest.scriprtd",,"nse_cm|SCL310524A-ZK","% Change")</f>
        <v>0</v>
      </c>
      <c r="K1445">
        <f>RTD("nest.scriprtd",,"nse_cm|SCL310524A-ZK","ATP")</f>
        <v>0</v>
      </c>
      <c r="L1445">
        <f>RTD("nest.scriprtd",,"nse_cm|SCL310524A-ZK","Volume Traded Today")</f>
        <v>0</v>
      </c>
      <c r="M1445">
        <f>RTD("nest.scriprtd",,"nse_cm|SCL310524A-ZK","Open")</f>
        <v>0</v>
      </c>
      <c r="N1445">
        <f>RTD("nest.scriprtd",,"nse_cm|SCL310524A-ZK","High")</f>
        <v>950</v>
      </c>
      <c r="O1445">
        <f>RTD("nest.scriprtd",,"nse_cm|SCL310524A-ZK","Low ")</f>
        <v>950</v>
      </c>
      <c r="P1445">
        <f>RTD("nest.scriprtd",,"nse_cm|SCL310524A-ZK","Prev Close")</f>
        <v>950</v>
      </c>
      <c r="Q1445">
        <f>RTD("nest.scriprtd",,"nse_cm|SCL310524A-ZK","Face Value")</f>
        <v>1000</v>
      </c>
      <c r="R1445" t="str">
        <f>RTD("nest.scriprtd",,"nse_cm|SCL310524A-ZK","Isin code")</f>
        <v>INE148I07TM4</v>
      </c>
      <c r="S1445" s="9">
        <f>Table1[[#This Row],[Ask Rate]]*Table1[[#This Row],[Ask Qty]]</f>
        <v>0</v>
      </c>
      <c r="T1445" t="str">
        <f>VLOOKUP(Table1[[#This Row],[Isin code]],Table2[#All],7,FALSE)</f>
        <v>--</v>
      </c>
      <c r="U1445" s="17" t="str">
        <f>VLOOKUP(Table1[[#This Row],[Isin code]],Table2[#All],8,FALSE)</f>
        <v>31-May-2027</v>
      </c>
      <c r="V1445" s="10">
        <f ca="1">Table1[[#This Row],[Maturity]]-TODAY()</f>
        <v>957</v>
      </c>
      <c r="W1445" t="str">
        <f>VLOOKUP(Table1[[#This Row],[Isin code]],Table2[#All],10,FALSE)</f>
        <v>At the End</v>
      </c>
      <c r="X1445">
        <f ca="1">_xlfn.DAYS(Table1[[#This Row],[Maturity]],TODAY())-15</f>
        <v>942</v>
      </c>
      <c r="Y144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45">
        <f>IF(Table1[[#This Row],[Ask Rate]]=0,0,Table1[[#This Row],[Face Value]]-Table1[[#This Row],[Ask Rate]])</f>
        <v>0</v>
      </c>
      <c r="AA144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45">
        <f>Table1[[#This Row],[Face Value]]*Table1[[#This Row],[Rate]]*Table1[[#This Row],[Time]]</f>
        <v>0</v>
      </c>
      <c r="AC1445">
        <f>Table1[[#This Row],[SI]]+Table1[[#This Row],[Disc/Prem]]</f>
        <v>0</v>
      </c>
      <c r="AD1445" s="3" t="e">
        <f>Table1[[#This Row],[Net Gain]]/Table1[[#This Row],[Ask Rate]]</f>
        <v>#DIV/0!</v>
      </c>
      <c r="AE1445" s="3">
        <f>IF(Table1[[#This Row],[Ask Qty]]=0,0,Table1[[#This Row],[Gross Yield]]*365/Table1[[#This Row],[Days Left]])</f>
        <v>0</v>
      </c>
      <c r="AF1445" s="9">
        <f>+Table1[[#This Row],[Net Gain]]*Table1[[#This Row],[Ask Qty]]</f>
        <v>0</v>
      </c>
      <c r="AG1445" t="str">
        <f>IF(Table1[[#This Row],[YTM]]&gt;0.12,IF(Table1[[#This Row],[Gross Profit]]&gt;10000,"Invest","Review"),"Low YTM")</f>
        <v>Low YTM</v>
      </c>
    </row>
    <row r="1446" spans="1:33" x14ac:dyDescent="0.3">
      <c r="A1446" t="str">
        <f>RTD("nest.scriprtd",,"bse_cm|1025SFL29","Symbol")</f>
        <v>1025SFL29</v>
      </c>
      <c r="B1446" t="str">
        <f>RTD("nest.scriprtd",,"bse_cm|1025SFL29","Trading Symbol")</f>
        <v>1025SFL29</v>
      </c>
      <c r="C1446" t="str">
        <f>RTD("nest.scriprtd",,"bse_cm|1025SFL29","Exchange")</f>
        <v>BSE</v>
      </c>
      <c r="D1446">
        <f>RTD("nest.scriprtd",,"bse_cm|1025SFL29","Bid Qty")</f>
        <v>20</v>
      </c>
      <c r="E1446">
        <f>RTD("nest.scriprtd",,"bse_cm|1025SFL29","Bid Rate")</f>
        <v>841.7</v>
      </c>
      <c r="F1446">
        <f>RTD("nest.scriprtd",,"bse_cm|1025SFL29","Ask Rate")</f>
        <v>0</v>
      </c>
      <c r="G1446">
        <f>RTD("nest.scriprtd",,"bse_cm|1025SFL29","Ask Qty")</f>
        <v>0</v>
      </c>
      <c r="H1446">
        <f>RTD("nest.scriprtd",,"bse_cm|1025SFL29","LTP")</f>
        <v>0</v>
      </c>
      <c r="I1446" t="str">
        <f>RTD("nest.scriprtd",,"bse_cm|1025SFL29","LTT")</f>
        <v>00:00:00</v>
      </c>
      <c r="J1446">
        <f>RTD("nest.scriprtd",,"bse_cm|1025SFL29","% Change")</f>
        <v>-100</v>
      </c>
      <c r="K1446">
        <f>RTD("nest.scriprtd",,"bse_cm|1025SFL29","ATP")</f>
        <v>0</v>
      </c>
      <c r="L1446">
        <f>RTD("nest.scriprtd",,"bse_cm|1025SFL29","Volume Traded Today")</f>
        <v>0</v>
      </c>
      <c r="M1446">
        <f>RTD("nest.scriprtd",,"bse_cm|1025SFL29","Open")</f>
        <v>0</v>
      </c>
      <c r="N1446">
        <f>RTD("nest.scriprtd",,"bse_cm|1025SFL29","High")</f>
        <v>929.18</v>
      </c>
      <c r="O1446">
        <f>RTD("nest.scriprtd",,"bse_cm|1025SFL29","Low ")</f>
        <v>929.18</v>
      </c>
      <c r="P1446">
        <f>RTD("nest.scriprtd",,"bse_cm|1025SFL29","Prev Close")</f>
        <v>929.18</v>
      </c>
      <c r="Q1446">
        <f>RTD("nest.scriprtd",,"bse_cm|1025SFL29","Face Value")</f>
        <v>1000</v>
      </c>
      <c r="R1446" t="str">
        <f>RTD("nest.scriprtd",,"bse_cm|1025SFL29","Isin code")</f>
        <v>INE302E07649</v>
      </c>
      <c r="S1446" s="9">
        <f>Table1[[#This Row],[Ask Rate]]*Table1[[#This Row],[Ask Qty]]</f>
        <v>0</v>
      </c>
      <c r="T1446">
        <f>VLOOKUP(Table1[[#This Row],[Isin code]],Table2[#All],7,FALSE)</f>
        <v>10.25</v>
      </c>
      <c r="U1446" s="17" t="str">
        <f>VLOOKUP(Table1[[#This Row],[Isin code]],Table2[#All],8,FALSE)</f>
        <v>27-Feb-2029</v>
      </c>
      <c r="V1446" s="10">
        <f ca="1">Table1[[#This Row],[Maturity]]-TODAY()</f>
        <v>1595</v>
      </c>
      <c r="W1446" t="str">
        <f>VLOOKUP(Table1[[#This Row],[Isin code]],Table2[#All],10,FALSE)</f>
        <v>Monthly</v>
      </c>
      <c r="X1446">
        <f ca="1">_xlfn.DAYS(Table1[[#This Row],[Maturity]],TODAY())-15</f>
        <v>1580</v>
      </c>
      <c r="Y144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53</v>
      </c>
      <c r="Z1446">
        <f>IF(Table1[[#This Row],[Ask Rate]]=0,0,Table1[[#This Row],[Face Value]]-Table1[[#This Row],[Ask Rate]])</f>
        <v>0</v>
      </c>
      <c r="AA1446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446">
        <f ca="1">Table1[[#This Row],[Face Value]]*Table1[[#This Row],[Rate]]*Table1[[#This Row],[Time]]</f>
        <v>452.70833333333331</v>
      </c>
      <c r="AC1446">
        <f ca="1">Table1[[#This Row],[SI]]+Table1[[#This Row],[Disc/Prem]]</f>
        <v>452.70833333333331</v>
      </c>
      <c r="AD1446" s="3" t="e">
        <f ca="1">Table1[[#This Row],[Net Gain]]/Table1[[#This Row],[Ask Rate]]</f>
        <v>#DIV/0!</v>
      </c>
      <c r="AE1446" s="3">
        <f>IF(Table1[[#This Row],[Ask Qty]]=0,0,Table1[[#This Row],[Gross Yield]]*365/Table1[[#This Row],[Days Left]])</f>
        <v>0</v>
      </c>
      <c r="AF1446" s="9">
        <f ca="1">+Table1[[#This Row],[Net Gain]]*Table1[[#This Row],[Ask Qty]]</f>
        <v>0</v>
      </c>
      <c r="AG1446" t="str">
        <f>IF(Table1[[#This Row],[YTM]]&gt;0.12,IF(Table1[[#This Row],[Gross Profit]]&gt;10000,"Invest","Review"),"Low YTM")</f>
        <v>Low YTM</v>
      </c>
    </row>
    <row r="1447" spans="1:33" x14ac:dyDescent="0.3">
      <c r="A1447" t="str">
        <f>RTD("nest.scriprtd",,"bse_cm|10NIDO33","Symbol")</f>
        <v>10NIDO33</v>
      </c>
      <c r="B1447" t="str">
        <f>RTD("nest.scriprtd",,"bse_cm|10NIDO33","Trading Symbol")</f>
        <v>10NIDO33</v>
      </c>
      <c r="C1447" t="str">
        <f>RTD("nest.scriprtd",,"bse_cm|10NIDO33","Exchange")</f>
        <v>BSE</v>
      </c>
      <c r="D1447">
        <f>RTD("nest.scriprtd",,"bse_cm|10NIDO33","Bid Qty")</f>
        <v>50</v>
      </c>
      <c r="E1447">
        <f>RTD("nest.scriprtd",,"bse_cm|10NIDO33","Bid Rate")</f>
        <v>910</v>
      </c>
      <c r="F1447">
        <f>RTD("nest.scriprtd",,"bse_cm|10NIDO33","Ask Rate")</f>
        <v>0</v>
      </c>
      <c r="G1447">
        <f>RTD("nest.scriprtd",,"bse_cm|10NIDO33","Ask Qty")</f>
        <v>0</v>
      </c>
      <c r="H1447">
        <f>RTD("nest.scriprtd",,"bse_cm|10NIDO33","LTP")</f>
        <v>0</v>
      </c>
      <c r="I1447" t="str">
        <f>RTD("nest.scriprtd",,"bse_cm|10NIDO33","LTT")</f>
        <v>00:00:00</v>
      </c>
      <c r="J1447">
        <f>RTD("nest.scriprtd",,"bse_cm|10NIDO33","% Change")</f>
        <v>-100</v>
      </c>
      <c r="K1447">
        <f>RTD("nest.scriprtd",,"bse_cm|10NIDO33","ATP")</f>
        <v>0</v>
      </c>
      <c r="L1447">
        <f>RTD("nest.scriprtd",,"bse_cm|10NIDO33","Volume Traded Today")</f>
        <v>0</v>
      </c>
      <c r="M1447">
        <f>RTD("nest.scriprtd",,"bse_cm|10NIDO33","Open")</f>
        <v>0</v>
      </c>
      <c r="N1447">
        <f>RTD("nest.scriprtd",,"bse_cm|10NIDO33","High")</f>
        <v>880.01</v>
      </c>
      <c r="O1447">
        <f>RTD("nest.scriprtd",,"bse_cm|10NIDO33","Low ")</f>
        <v>880</v>
      </c>
      <c r="P1447">
        <f>RTD("nest.scriprtd",,"bse_cm|10NIDO33","Prev Close")</f>
        <v>880</v>
      </c>
      <c r="Q1447">
        <f>RTD("nest.scriprtd",,"bse_cm|10NIDO33","Face Value")</f>
        <v>1000</v>
      </c>
      <c r="R1447" t="str">
        <f>RTD("nest.scriprtd",,"bse_cm|10NIDO33","Isin code")</f>
        <v>INE530L07582</v>
      </c>
      <c r="S1447" s="9">
        <f>Table1[[#This Row],[Ask Rate]]*Table1[[#This Row],[Ask Qty]]</f>
        <v>0</v>
      </c>
      <c r="T1447">
        <f>VLOOKUP(Table1[[#This Row],[Isin code]],Table2[#All],7,FALSE)</f>
        <v>10</v>
      </c>
      <c r="U1447" s="17" t="str">
        <f>VLOOKUP(Table1[[#This Row],[Isin code]],Table2[#All],8,FALSE)</f>
        <v>15-Sep-2033</v>
      </c>
      <c r="V1447" s="10">
        <f ca="1">Table1[[#This Row],[Maturity]]-TODAY()</f>
        <v>3256</v>
      </c>
      <c r="W1447" t="str">
        <f>VLOOKUP(Table1[[#This Row],[Isin code]],Table2[#All],10,FALSE)</f>
        <v>Monthly</v>
      </c>
      <c r="X1447">
        <f ca="1">_xlfn.DAYS(Table1[[#This Row],[Maturity]],TODAY())-15</f>
        <v>3241</v>
      </c>
      <c r="Y14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109</v>
      </c>
      <c r="Z1447">
        <f>IF(Table1[[#This Row],[Ask Rate]]=0,0,Table1[[#This Row],[Face Value]]-Table1[[#This Row],[Ask Rate]])</f>
        <v>0</v>
      </c>
      <c r="AA1447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447">
        <f ca="1">Table1[[#This Row],[Face Value]]*Table1[[#This Row],[Rate]]*Table1[[#This Row],[Time]]</f>
        <v>908.33333333333337</v>
      </c>
      <c r="AC1447">
        <f ca="1">Table1[[#This Row],[SI]]+Table1[[#This Row],[Disc/Prem]]</f>
        <v>908.33333333333337</v>
      </c>
      <c r="AD1447" s="3" t="e">
        <f ca="1">Table1[[#This Row],[Net Gain]]/Table1[[#This Row],[Ask Rate]]</f>
        <v>#DIV/0!</v>
      </c>
      <c r="AE1447" s="3">
        <f>IF(Table1[[#This Row],[Ask Qty]]=0,0,Table1[[#This Row],[Gross Yield]]*365/Table1[[#This Row],[Days Left]])</f>
        <v>0</v>
      </c>
      <c r="AF1447" s="9">
        <f ca="1">+Table1[[#This Row],[Net Gain]]*Table1[[#This Row],[Ask Qty]]</f>
        <v>0</v>
      </c>
      <c r="AG1447" t="str">
        <f>IF(Table1[[#This Row],[YTM]]&gt;0.12,IF(Table1[[#This Row],[Gross Profit]]&gt;10000,"Invest","Review"),"Low YTM")</f>
        <v>Low YTM</v>
      </c>
    </row>
    <row r="1448" spans="1:33" x14ac:dyDescent="0.3">
      <c r="A1448" t="str">
        <f>RTD("nest.scriprtd",,"nse_cm|925SCL26D-ZD","Symbol")</f>
        <v>925SCL26D</v>
      </c>
      <c r="B1448" t="str">
        <f>RTD("nest.scriprtd",,"nse_cm|925SCL26D-ZD","Trading Symbol")</f>
        <v>925SCL26D-ZD</v>
      </c>
      <c r="C1448" t="str">
        <f>RTD("nest.scriprtd",,"nse_cm|925SCL26D-ZD","Exchange")</f>
        <v>NSE</v>
      </c>
      <c r="D1448">
        <f>RTD("nest.scriprtd",,"nse_cm|925SCL26D-ZD","Bid Qty")</f>
        <v>12</v>
      </c>
      <c r="E1448">
        <f>RTD("nest.scriprtd",,"nse_cm|925SCL26D-ZD","Bid Rate")</f>
        <v>925</v>
      </c>
      <c r="F1448">
        <f>RTD("nest.scriprtd",,"nse_cm|925SCL26D-ZD","Ask Rate")</f>
        <v>0</v>
      </c>
      <c r="G1448">
        <f>RTD("nest.scriprtd",,"nse_cm|925SCL26D-ZD","Ask Qty")</f>
        <v>0</v>
      </c>
      <c r="H1448">
        <f>RTD("nest.scriprtd",,"nse_cm|925SCL26D-ZD","LTP")</f>
        <v>960</v>
      </c>
      <c r="I1448" t="str">
        <f>RTD("nest.scriprtd",,"nse_cm|925SCL26D-ZD","LTT")</f>
        <v/>
      </c>
      <c r="J1448">
        <f>RTD("nest.scriprtd",,"nse_cm|925SCL26D-ZD","% Change")</f>
        <v>0</v>
      </c>
      <c r="K1448">
        <f>RTD("nest.scriprtd",,"nse_cm|925SCL26D-ZD","ATP")</f>
        <v>0</v>
      </c>
      <c r="L1448">
        <f>RTD("nest.scriprtd",,"nse_cm|925SCL26D-ZD","Volume Traded Today")</f>
        <v>0</v>
      </c>
      <c r="M1448">
        <f>RTD("nest.scriprtd",,"nse_cm|925SCL26D-ZD","Open")</f>
        <v>0</v>
      </c>
      <c r="N1448">
        <f>RTD("nest.scriprtd",,"nse_cm|925SCL26D-ZD","High")</f>
        <v>960</v>
      </c>
      <c r="O1448">
        <f>RTD("nest.scriprtd",,"nse_cm|925SCL26D-ZD","Low ")</f>
        <v>960</v>
      </c>
      <c r="P1448">
        <f>RTD("nest.scriprtd",,"nse_cm|925SCL26D-ZD","Prev Close")</f>
        <v>960</v>
      </c>
      <c r="Q1448">
        <f>RTD("nest.scriprtd",,"nse_cm|925SCL26D-ZD","Face Value")</f>
        <v>1000</v>
      </c>
      <c r="R1448" t="str">
        <f>RTD("nest.scriprtd",,"nse_cm|925SCL26D-ZD","Isin code")</f>
        <v>INE148I07TC5</v>
      </c>
      <c r="S1448" s="9">
        <f>Table1[[#This Row],[Ask Rate]]*Table1[[#This Row],[Ask Qty]]</f>
        <v>0</v>
      </c>
      <c r="T1448">
        <f>VLOOKUP(Table1[[#This Row],[Isin code]],Table2[#All],7,FALSE)</f>
        <v>9.25</v>
      </c>
      <c r="U1448" s="17" t="str">
        <f>VLOOKUP(Table1[[#This Row],[Isin code]],Table2[#All],8,FALSE)</f>
        <v>31-May-2026</v>
      </c>
      <c r="V1448" s="10">
        <f ca="1">Table1[[#This Row],[Maturity]]-TODAY()</f>
        <v>592</v>
      </c>
      <c r="W1448" t="str">
        <f>VLOOKUP(Table1[[#This Row],[Isin code]],Table2[#All],10,FALSE)</f>
        <v>Monthly</v>
      </c>
      <c r="X1448">
        <f ca="1">_xlfn.DAYS(Table1[[#This Row],[Maturity]],TODAY())-15</f>
        <v>577</v>
      </c>
      <c r="Y144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1448">
        <f>IF(Table1[[#This Row],[Ask Rate]]=0,0,Table1[[#This Row],[Face Value]]-Table1[[#This Row],[Ask Rate]])</f>
        <v>0</v>
      </c>
      <c r="AA1448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448">
        <f ca="1">Table1[[#This Row],[Face Value]]*Table1[[#This Row],[Rate]]*Table1[[#This Row],[Time]]</f>
        <v>154.16666666666669</v>
      </c>
      <c r="AC1448">
        <f ca="1">Table1[[#This Row],[SI]]+Table1[[#This Row],[Disc/Prem]]</f>
        <v>154.16666666666669</v>
      </c>
      <c r="AD1448" s="3" t="e">
        <f ca="1">Table1[[#This Row],[Net Gain]]/Table1[[#This Row],[Ask Rate]]</f>
        <v>#DIV/0!</v>
      </c>
      <c r="AE1448" s="3">
        <f>IF(Table1[[#This Row],[Ask Qty]]=0,0,Table1[[#This Row],[Gross Yield]]*365/Table1[[#This Row],[Days Left]])</f>
        <v>0</v>
      </c>
      <c r="AF1448" s="9">
        <f ca="1">+Table1[[#This Row],[Net Gain]]*Table1[[#This Row],[Ask Qty]]</f>
        <v>0</v>
      </c>
      <c r="AG1448" t="str">
        <f>IF(Table1[[#This Row],[YTM]]&gt;0.12,IF(Table1[[#This Row],[Gross Profit]]&gt;10000,"Invest","Review"),"Low YTM")</f>
        <v>Low YTM</v>
      </c>
    </row>
    <row r="1449" spans="1:33" x14ac:dyDescent="0.3">
      <c r="A1449" t="str">
        <f>RTD("nest.scriprtd",,"bse_cm|990MFCL29","Symbol")</f>
        <v>990MFCL29</v>
      </c>
      <c r="B1449" t="str">
        <f>RTD("nest.scriprtd",,"bse_cm|990MFCL29","Trading Symbol")</f>
        <v>990MFCL29</v>
      </c>
      <c r="C1449" t="str">
        <f>RTD("nest.scriprtd",,"bse_cm|990MFCL29","Exchange")</f>
        <v>BSE</v>
      </c>
      <c r="D1449">
        <f>RTD("nest.scriprtd",,"bse_cm|990MFCL29","Bid Qty")</f>
        <v>50</v>
      </c>
      <c r="E1449">
        <f>RTD("nest.scriprtd",,"bse_cm|990MFCL29","Bid Rate")</f>
        <v>971</v>
      </c>
      <c r="F1449">
        <f>RTD("nest.scriprtd",,"bse_cm|990MFCL29","Ask Rate")</f>
        <v>0</v>
      </c>
      <c r="G1449">
        <f>RTD("nest.scriprtd",,"bse_cm|990MFCL29","Ask Qty")</f>
        <v>0</v>
      </c>
      <c r="H1449">
        <f>RTD("nest.scriprtd",,"bse_cm|990MFCL29","LTP")</f>
        <v>0</v>
      </c>
      <c r="I1449" t="str">
        <f>RTD("nest.scriprtd",,"bse_cm|990MFCL29","LTT")</f>
        <v>00:00:00</v>
      </c>
      <c r="J1449">
        <f>RTD("nest.scriprtd",,"bse_cm|990MFCL29","% Change")</f>
        <v>-100</v>
      </c>
      <c r="K1449">
        <f>RTD("nest.scriprtd",,"bse_cm|990MFCL29","ATP")</f>
        <v>0</v>
      </c>
      <c r="L1449">
        <f>RTD("nest.scriprtd",,"bse_cm|990MFCL29","Volume Traded Today")</f>
        <v>0</v>
      </c>
      <c r="M1449">
        <f>RTD("nest.scriprtd",,"bse_cm|990MFCL29","Open")</f>
        <v>0</v>
      </c>
      <c r="N1449">
        <f>RTD("nest.scriprtd",,"bse_cm|990MFCL29","High")</f>
        <v>970</v>
      </c>
      <c r="O1449">
        <f>RTD("nest.scriprtd",,"bse_cm|990MFCL29","Low ")</f>
        <v>970</v>
      </c>
      <c r="P1449">
        <f>RTD("nest.scriprtd",,"bse_cm|990MFCL29","Prev Close")</f>
        <v>970</v>
      </c>
      <c r="Q1449">
        <f>RTD("nest.scriprtd",,"bse_cm|990MFCL29","Face Value")</f>
        <v>1000</v>
      </c>
      <c r="R1449" t="str">
        <f>RTD("nest.scriprtd",,"bse_cm|990MFCL29","Isin code")</f>
        <v>INE549K07EG3</v>
      </c>
      <c r="S1449" s="9">
        <f>Table1[[#This Row],[Ask Rate]]*Table1[[#This Row],[Ask Qty]]</f>
        <v>0</v>
      </c>
      <c r="T1449">
        <f>VLOOKUP(Table1[[#This Row],[Isin code]],Table2[#All],7,FALSE)</f>
        <v>9.9</v>
      </c>
      <c r="U1449" s="17" t="str">
        <f>VLOOKUP(Table1[[#This Row],[Isin code]],Table2[#All],8,FALSE)</f>
        <v>16-Sep-2029</v>
      </c>
      <c r="V1449" s="10">
        <f ca="1">Table1[[#This Row],[Maturity]]-TODAY()</f>
        <v>1796</v>
      </c>
      <c r="W1449" t="str">
        <f>VLOOKUP(Table1[[#This Row],[Isin code]],Table2[#All],10,FALSE)</f>
        <v>Yearly</v>
      </c>
      <c r="X1449">
        <f ca="1">_xlfn.DAYS(Table1[[#This Row],[Maturity]],TODAY())-15</f>
        <v>1781</v>
      </c>
      <c r="Y14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49">
        <f>IF(Table1[[#This Row],[Ask Rate]]=0,0,Table1[[#This Row],[Face Value]]-Table1[[#This Row],[Ask Rate]])</f>
        <v>0</v>
      </c>
      <c r="AA1449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449">
        <f ca="1">Table1[[#This Row],[Face Value]]*Table1[[#This Row],[Rate]]*Table1[[#This Row],[Time]]</f>
        <v>495</v>
      </c>
      <c r="AC1449">
        <f ca="1">Table1[[#This Row],[SI]]+Table1[[#This Row],[Disc/Prem]]</f>
        <v>495</v>
      </c>
      <c r="AD1449" s="3" t="e">
        <f ca="1">Table1[[#This Row],[Net Gain]]/Table1[[#This Row],[Ask Rate]]</f>
        <v>#DIV/0!</v>
      </c>
      <c r="AE1449" s="3">
        <f>IF(Table1[[#This Row],[Ask Qty]]=0,0,Table1[[#This Row],[Gross Yield]]*365/Table1[[#This Row],[Days Left]])</f>
        <v>0</v>
      </c>
      <c r="AF1449" s="9">
        <f ca="1">+Table1[[#This Row],[Net Gain]]*Table1[[#This Row],[Ask Qty]]</f>
        <v>0</v>
      </c>
      <c r="AG1449" t="str">
        <f>IF(Table1[[#This Row],[YTM]]&gt;0.12,IF(Table1[[#This Row],[Gross Profit]]&gt;10000,"Invest","Review"),"Low YTM")</f>
        <v>Low YTM</v>
      </c>
    </row>
    <row r="1450" spans="1:33" x14ac:dyDescent="0.3">
      <c r="A1450" t="str">
        <f>RTD("nest.scriprtd",,"bse_cm|1045EFS34","Symbol")</f>
        <v>1045EFS34</v>
      </c>
      <c r="B1450" t="str">
        <f>RTD("nest.scriprtd",,"bse_cm|1045EFS34","Trading Symbol")</f>
        <v>1045EFS34</v>
      </c>
      <c r="C1450" t="str">
        <f>RTD("nest.scriprtd",,"bse_cm|1045EFS34","Exchange")</f>
        <v>BSE</v>
      </c>
      <c r="D1450">
        <f>RTD("nest.scriprtd",,"bse_cm|1045EFS34","Bid Qty")</f>
        <v>10</v>
      </c>
      <c r="E1450">
        <f>RTD("nest.scriprtd",,"bse_cm|1045EFS34","Bid Rate")</f>
        <v>821.65</v>
      </c>
      <c r="F1450">
        <f>RTD("nest.scriprtd",,"bse_cm|1045EFS34","Ask Rate")</f>
        <v>0</v>
      </c>
      <c r="G1450">
        <f>RTD("nest.scriprtd",,"bse_cm|1045EFS34","Ask Qty")</f>
        <v>0</v>
      </c>
      <c r="H1450">
        <f>RTD("nest.scriprtd",,"bse_cm|1045EFS34","LTP")</f>
        <v>0</v>
      </c>
      <c r="I1450" t="str">
        <f>RTD("nest.scriprtd",,"bse_cm|1045EFS34","LTT")</f>
        <v>00:00:00</v>
      </c>
      <c r="J1450">
        <f>RTD("nest.scriprtd",,"bse_cm|1045EFS34","% Change")</f>
        <v>-100</v>
      </c>
      <c r="K1450">
        <f>RTD("nest.scriprtd",,"bse_cm|1045EFS34","ATP")</f>
        <v>0</v>
      </c>
      <c r="L1450">
        <f>RTD("nest.scriprtd",,"bse_cm|1045EFS34","Volume Traded Today")</f>
        <v>0</v>
      </c>
      <c r="M1450">
        <f>RTD("nest.scriprtd",,"bse_cm|1045EFS34","Open")</f>
        <v>0</v>
      </c>
      <c r="N1450">
        <f>RTD("nest.scriprtd",,"bse_cm|1045EFS34","High")</f>
        <v>993</v>
      </c>
      <c r="O1450">
        <f>RTD("nest.scriprtd",,"bse_cm|1045EFS34","Low ")</f>
        <v>993</v>
      </c>
      <c r="P1450">
        <f>RTD("nest.scriprtd",,"bse_cm|1045EFS34","Prev Close")</f>
        <v>993</v>
      </c>
      <c r="Q1450">
        <f>RTD("nest.scriprtd",,"bse_cm|1045EFS34","Face Value")</f>
        <v>1000</v>
      </c>
      <c r="R1450" t="str">
        <f>RTD("nest.scriprtd",,"bse_cm|1045EFS34","Isin code")</f>
        <v>INE532F07FJ0</v>
      </c>
      <c r="S1450" s="9">
        <f>Table1[[#This Row],[Ask Rate]]*Table1[[#This Row],[Ask Qty]]</f>
        <v>0</v>
      </c>
      <c r="T1450">
        <f>VLOOKUP(Table1[[#This Row],[Isin code]],Table2[#All],7,FALSE)</f>
        <v>10.45</v>
      </c>
      <c r="U1450" s="17" t="str">
        <f>VLOOKUP(Table1[[#This Row],[Isin code]],Table2[#All],8,FALSE)</f>
        <v>29-Apr-2034</v>
      </c>
      <c r="V1450" s="10">
        <f ca="1">Table1[[#This Row],[Maturity]]-TODAY()</f>
        <v>3482</v>
      </c>
      <c r="W1450" t="str">
        <f>VLOOKUP(Table1[[#This Row],[Isin code]],Table2[#All],10,FALSE)</f>
        <v>Annual</v>
      </c>
      <c r="X1450">
        <f ca="1">_xlfn.DAYS(Table1[[#This Row],[Maturity]],TODAY())-15</f>
        <v>3467</v>
      </c>
      <c r="Y145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50">
        <f>IF(Table1[[#This Row],[Ask Rate]]=0,0,Table1[[#This Row],[Face Value]]-Table1[[#This Row],[Ask Rate]])</f>
        <v>0</v>
      </c>
      <c r="AA145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50">
        <f>Table1[[#This Row],[Face Value]]*Table1[[#This Row],[Rate]]*Table1[[#This Row],[Time]]</f>
        <v>0</v>
      </c>
      <c r="AC1450">
        <f>Table1[[#This Row],[SI]]+Table1[[#This Row],[Disc/Prem]]</f>
        <v>0</v>
      </c>
      <c r="AD1450" s="3" t="e">
        <f>Table1[[#This Row],[Net Gain]]/Table1[[#This Row],[Ask Rate]]</f>
        <v>#DIV/0!</v>
      </c>
      <c r="AE1450" s="3">
        <f>IF(Table1[[#This Row],[Ask Qty]]=0,0,Table1[[#This Row],[Gross Yield]]*365/Table1[[#This Row],[Days Left]])</f>
        <v>0</v>
      </c>
      <c r="AF1450" s="9">
        <f>+Table1[[#This Row],[Net Gain]]*Table1[[#This Row],[Ask Qty]]</f>
        <v>0</v>
      </c>
      <c r="AG1450" t="str">
        <f>IF(Table1[[#This Row],[YTM]]&gt;0.12,IF(Table1[[#This Row],[Gross Profit]]&gt;10000,"Invest","Review"),"Low YTM")</f>
        <v>Low YTM</v>
      </c>
    </row>
    <row r="1451" spans="1:33" hidden="1" x14ac:dyDescent="0.3">
      <c r="A1451" t="str">
        <f>RTD("nest.scriprtd",,"nse_cm|829PFL29-N6","Symbol")</f>
        <v>829PFL29</v>
      </c>
      <c r="B1451" t="str">
        <f>RTD("nest.scriprtd",,"nse_cm|829PFL29-N6","Trading Symbol")</f>
        <v>829PFL29-N6</v>
      </c>
      <c r="C1451" t="str">
        <f>RTD("nest.scriprtd",,"nse_cm|829PFL29-N6","Exchange")</f>
        <v>NSE</v>
      </c>
      <c r="D1451">
        <f>RTD("nest.scriprtd",,"nse_cm|829PFL29-N6","Bid Qty")</f>
        <v>300</v>
      </c>
      <c r="E1451">
        <f>RTD("nest.scriprtd",,"nse_cm|829PFL29-N6","Bid Rate")</f>
        <v>1000</v>
      </c>
      <c r="F1451">
        <f>RTD("nest.scriprtd",,"nse_cm|829PFL29-N6","Ask Rate")</f>
        <v>0</v>
      </c>
      <c r="G1451">
        <f>RTD("nest.scriprtd",,"nse_cm|829PFL29-N6","Ask Qty")</f>
        <v>0</v>
      </c>
      <c r="H1451">
        <f>RTD("nest.scriprtd",,"nse_cm|829PFL29-N6","LTP")</f>
        <v>1000</v>
      </c>
      <c r="I1451" t="str">
        <f>RTD("nest.scriprtd",,"nse_cm|829PFL29-N6","LTT")</f>
        <v/>
      </c>
      <c r="J1451">
        <f>RTD("nest.scriprtd",,"nse_cm|829PFL29-N6","% Change")</f>
        <v>0</v>
      </c>
      <c r="K1451">
        <f>RTD("nest.scriprtd",,"nse_cm|829PFL29-N6","ATP")</f>
        <v>0</v>
      </c>
      <c r="L1451">
        <f>RTD("nest.scriprtd",,"nse_cm|829PFL29-N6","Volume Traded Today")</f>
        <v>0</v>
      </c>
      <c r="M1451">
        <f>RTD("nest.scriprtd",,"nse_cm|829PFL29-N6","Open")</f>
        <v>0</v>
      </c>
      <c r="N1451">
        <f>RTD("nest.scriprtd",,"nse_cm|829PFL29-N6","High")</f>
        <v>1025</v>
      </c>
      <c r="O1451">
        <f>RTD("nest.scriprtd",,"nse_cm|829PFL29-N6","Low ")</f>
        <v>1000</v>
      </c>
      <c r="P1451">
        <f>RTD("nest.scriprtd",,"nse_cm|829PFL29-N6","Prev Close")</f>
        <v>1000</v>
      </c>
      <c r="Q1451">
        <f>RTD("nest.scriprtd",,"nse_cm|829PFL29-N6","Face Value")</f>
        <v>1000</v>
      </c>
      <c r="R1451" t="str">
        <f>RTD("nest.scriprtd",,"nse_cm|829PFL29-N6","Isin code")</f>
        <v>INE511C07706</v>
      </c>
      <c r="S1451" s="9">
        <f>Table1[[#This Row],[Ask Rate]]*Table1[[#This Row],[Ask Qty]]</f>
        <v>0</v>
      </c>
      <c r="T1451">
        <f>VLOOKUP(Table1[[#This Row],[Isin code]],Table2[#All],7,FALSE)</f>
        <v>0</v>
      </c>
      <c r="U1451" s="17" t="str">
        <f>VLOOKUP(Table1[[#This Row],[Isin code]],Table2[#All],8,FALSE)</f>
        <v>-</v>
      </c>
      <c r="V1451" s="10" t="e">
        <f ca="1">Table1[[#This Row],[Maturity]]-TODAY()</f>
        <v>#VALUE!</v>
      </c>
      <c r="W1451" t="str">
        <f>VLOOKUP(Table1[[#This Row],[Isin code]],Table2[#All],10,FALSE)</f>
        <v>Yearly</v>
      </c>
      <c r="X1451" t="e">
        <f ca="1">_xlfn.DAYS(Table1[[#This Row],[Maturity]],TODAY())-15</f>
        <v>#VALUE!</v>
      </c>
      <c r="Y1451" t="e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#VALUE!</v>
      </c>
      <c r="Z1451">
        <f>IF(Table1[[#This Row],[Ask Rate]]=0,0,Table1[[#This Row],[Face Value]]-Table1[[#This Row],[Ask Rate]])</f>
        <v>0</v>
      </c>
      <c r="AA145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51" t="e">
        <f ca="1">Table1[[#This Row],[Face Value]]*Table1[[#This Row],[Rate]]*Table1[[#This Row],[Time]]</f>
        <v>#VALUE!</v>
      </c>
      <c r="AC1451" t="e">
        <f ca="1">Table1[[#This Row],[SI]]+Table1[[#This Row],[Disc/Prem]]</f>
        <v>#VALUE!</v>
      </c>
      <c r="AD1451" s="3" t="e">
        <f ca="1">Table1[[#This Row],[Net Gain]]/Table1[[#This Row],[Ask Rate]]</f>
        <v>#VALUE!</v>
      </c>
      <c r="AE1451" s="3">
        <f>IF(Table1[[#This Row],[Ask Qty]]=0,0,Table1[[#This Row],[Gross Yield]]*365/Table1[[#This Row],[Days Left]])</f>
        <v>0</v>
      </c>
      <c r="AF1451" s="9" t="e">
        <f ca="1">+Table1[[#This Row],[Net Gain]]*Table1[[#This Row],[Ask Qty]]</f>
        <v>#VALUE!</v>
      </c>
      <c r="AG1451" t="str">
        <f>IF(Table1[[#This Row],[YTM]]&gt;0.12,IF(Table1[[#This Row],[Gross Profit]]&gt;10000,"Invest","Review"),"Low YTM")</f>
        <v>Low YTM</v>
      </c>
    </row>
    <row r="1452" spans="1:33" x14ac:dyDescent="0.3">
      <c r="A1452" t="str">
        <f>RTD("nest.scriprtd",,"bse_cm|MFLIV27D","Symbol")</f>
        <v>MFLIV27D</v>
      </c>
      <c r="B1452" t="str">
        <f>RTD("nest.scriprtd",,"bse_cm|MFLIV27D","Trading Symbol")</f>
        <v>MFLIV27D</v>
      </c>
      <c r="C1452" t="str">
        <f>RTD("nest.scriprtd",,"bse_cm|MFLIV27D","Exchange")</f>
        <v>BSE</v>
      </c>
      <c r="D1452">
        <f>RTD("nest.scriprtd",,"bse_cm|MFLIV27D","Bid Qty")</f>
        <v>190</v>
      </c>
      <c r="E1452">
        <f>RTD("nest.scriprtd",,"bse_cm|MFLIV27D","Bid Rate")</f>
        <v>950.2</v>
      </c>
      <c r="F1452">
        <f>RTD("nest.scriprtd",,"bse_cm|MFLIV27D","Ask Rate")</f>
        <v>0</v>
      </c>
      <c r="G1452">
        <f>RTD("nest.scriprtd",,"bse_cm|MFLIV27D","Ask Qty")</f>
        <v>0</v>
      </c>
      <c r="H1452">
        <f>RTD("nest.scriprtd",,"bse_cm|MFLIV27D","LTP")</f>
        <v>0</v>
      </c>
      <c r="I1452" t="str">
        <f>RTD("nest.scriprtd",,"bse_cm|MFLIV27D","LTT")</f>
        <v>00:00:00</v>
      </c>
      <c r="J1452">
        <f>RTD("nest.scriprtd",,"bse_cm|MFLIV27D","% Change")</f>
        <v>-100</v>
      </c>
      <c r="K1452">
        <f>RTD("nest.scriprtd",,"bse_cm|MFLIV27D","ATP")</f>
        <v>0</v>
      </c>
      <c r="L1452">
        <f>RTD("nest.scriprtd",,"bse_cm|MFLIV27D","Volume Traded Today")</f>
        <v>0</v>
      </c>
      <c r="M1452">
        <f>RTD("nest.scriprtd",,"bse_cm|MFLIV27D","Open")</f>
        <v>0</v>
      </c>
      <c r="N1452">
        <f>RTD("nest.scriprtd",,"bse_cm|MFLIV27D","High")</f>
        <v>960.1</v>
      </c>
      <c r="O1452">
        <f>RTD("nest.scriprtd",,"bse_cm|MFLIV27D","Low ")</f>
        <v>960.1</v>
      </c>
      <c r="P1452">
        <f>RTD("nest.scriprtd",,"bse_cm|MFLIV27D","Prev Close")</f>
        <v>960.1</v>
      </c>
      <c r="Q1452">
        <f>RTD("nest.scriprtd",,"bse_cm|MFLIV27D","Face Value")</f>
        <v>1000</v>
      </c>
      <c r="R1452" t="str">
        <f>RTD("nest.scriprtd",,"bse_cm|MFLIV27D","Isin code")</f>
        <v>INE414G07GG3</v>
      </c>
      <c r="S1452" s="9">
        <f>Table1[[#This Row],[Ask Rate]]*Table1[[#This Row],[Ask Qty]]</f>
        <v>0</v>
      </c>
      <c r="T1452">
        <f>VLOOKUP(Table1[[#This Row],[Isin code]],Table2[#All],7,FALSE)</f>
        <v>7.0000000000000009</v>
      </c>
      <c r="U1452" s="17" t="str">
        <f>VLOOKUP(Table1[[#This Row],[Isin code]],Table2[#All],8,FALSE)</f>
        <v>05-May-2027</v>
      </c>
      <c r="V1452" s="10">
        <f ca="1">Table1[[#This Row],[Maturity]]-TODAY()</f>
        <v>931</v>
      </c>
      <c r="W1452" t="str">
        <f>VLOOKUP(Table1[[#This Row],[Isin code]],Table2[#All],10,FALSE)</f>
        <v>Yearly</v>
      </c>
      <c r="X1452">
        <f ca="1">_xlfn.DAYS(Table1[[#This Row],[Maturity]],TODAY())-15</f>
        <v>916</v>
      </c>
      <c r="Y14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452">
        <f>IF(Table1[[#This Row],[Ask Rate]]=0,0,Table1[[#This Row],[Face Value]]-Table1[[#This Row],[Ask Rate]])</f>
        <v>0</v>
      </c>
      <c r="AA1452">
        <f>IF(Table1[[#This Row],[Freq]]="Yearly",Table1[[#This Row],[Coupon_Rate]]/100,IF(Table1[[#This Row],[Freq]]="Monthly",Table1[[#This Row],[Coupon_Rate]]/1200,IF(Table1[[#This Row],[Freq]]="Quarterly",Table1[[#This Row],[Coupon_Rate]]/400,0)))</f>
        <v>7.0000000000000007E-2</v>
      </c>
      <c r="AB1452">
        <f ca="1">Table1[[#This Row],[Face Value]]*Table1[[#This Row],[Rate]]*Table1[[#This Row],[Time]]</f>
        <v>210</v>
      </c>
      <c r="AC1452">
        <f ca="1">Table1[[#This Row],[SI]]+Table1[[#This Row],[Disc/Prem]]</f>
        <v>210</v>
      </c>
      <c r="AD1452" s="3" t="e">
        <f ca="1">Table1[[#This Row],[Net Gain]]/Table1[[#This Row],[Ask Rate]]</f>
        <v>#DIV/0!</v>
      </c>
      <c r="AE1452" s="3">
        <f>IF(Table1[[#This Row],[Ask Qty]]=0,0,Table1[[#This Row],[Gross Yield]]*365/Table1[[#This Row],[Days Left]])</f>
        <v>0</v>
      </c>
      <c r="AF1452" s="9">
        <f ca="1">+Table1[[#This Row],[Net Gain]]*Table1[[#This Row],[Ask Qty]]</f>
        <v>0</v>
      </c>
      <c r="AG1452" t="str">
        <f>IF(Table1[[#This Row],[YTM]]&gt;0.12,IF(Table1[[#This Row],[Gross Profit]]&gt;10000,"Invest","Review"),"Low YTM")</f>
        <v>Low YTM</v>
      </c>
    </row>
    <row r="1453" spans="1:33" x14ac:dyDescent="0.3">
      <c r="A1453" t="str">
        <f>RTD("nest.scriprtd",,"bse_cm|1040NFL26","Symbol")</f>
        <v>1040NFL26</v>
      </c>
      <c r="B1453" t="str">
        <f>RTD("nest.scriprtd",,"bse_cm|1040NFL26","Trading Symbol")</f>
        <v>1040NFL26</v>
      </c>
      <c r="C1453" t="str">
        <f>RTD("nest.scriprtd",,"bse_cm|1040NFL26","Exchange")</f>
        <v>BSE</v>
      </c>
      <c r="D1453">
        <f>RTD("nest.scriprtd",,"bse_cm|1040NFL26","Bid Qty")</f>
        <v>2</v>
      </c>
      <c r="E1453">
        <f>RTD("nest.scriprtd",,"bse_cm|1040NFL26","Bid Rate")</f>
        <v>953.87</v>
      </c>
      <c r="F1453">
        <f>RTD("nest.scriprtd",,"bse_cm|1040NFL26","Ask Rate")</f>
        <v>0</v>
      </c>
      <c r="G1453">
        <f>RTD("nest.scriprtd",,"bse_cm|1040NFL26","Ask Qty")</f>
        <v>0</v>
      </c>
      <c r="H1453">
        <f>RTD("nest.scriprtd",,"bse_cm|1040NFL26","LTP")</f>
        <v>0</v>
      </c>
      <c r="I1453" t="str">
        <f>RTD("nest.scriprtd",,"bse_cm|1040NFL26","LTT")</f>
        <v>00:00:00</v>
      </c>
      <c r="J1453">
        <f>RTD("nest.scriprtd",,"bse_cm|1040NFL26","% Change")</f>
        <v>-100</v>
      </c>
      <c r="K1453">
        <f>RTD("nest.scriprtd",,"bse_cm|1040NFL26","ATP")</f>
        <v>0</v>
      </c>
      <c r="L1453">
        <f>RTD("nest.scriprtd",,"bse_cm|1040NFL26","Volume Traded Today")</f>
        <v>0</v>
      </c>
      <c r="M1453">
        <f>RTD("nest.scriprtd",,"bse_cm|1040NFL26","Open")</f>
        <v>0</v>
      </c>
      <c r="N1453">
        <f>RTD("nest.scriprtd",,"bse_cm|1040NFL26","High")</f>
        <v>950</v>
      </c>
      <c r="O1453">
        <f>RTD("nest.scriprtd",,"bse_cm|1040NFL26","Low ")</f>
        <v>950</v>
      </c>
      <c r="P1453">
        <f>RTD("nest.scriprtd",,"bse_cm|1040NFL26","Prev Close")</f>
        <v>950</v>
      </c>
      <c r="Q1453">
        <f>RTD("nest.scriprtd",,"bse_cm|1040NFL26","Face Value")</f>
        <v>1000</v>
      </c>
      <c r="R1453" t="str">
        <f>RTD("nest.scriprtd",,"bse_cm|1040NFL26","Isin code")</f>
        <v>INE342T07437</v>
      </c>
      <c r="S1453" s="9">
        <f>Table1[[#This Row],[Ask Rate]]*Table1[[#This Row],[Ask Qty]]</f>
        <v>0</v>
      </c>
      <c r="T1453">
        <f>VLOOKUP(Table1[[#This Row],[Isin code]],Table2[#All],7,FALSE)</f>
        <v>10.4</v>
      </c>
      <c r="U1453" s="17" t="str">
        <f>VLOOKUP(Table1[[#This Row],[Isin code]],Table2[#All],8,FALSE)</f>
        <v>13-Jun-2026</v>
      </c>
      <c r="V1453" s="10">
        <f ca="1">Table1[[#This Row],[Maturity]]-TODAY()</f>
        <v>605</v>
      </c>
      <c r="W1453" t="str">
        <f>VLOOKUP(Table1[[#This Row],[Isin code]],Table2[#All],10,FALSE)</f>
        <v>Monthly</v>
      </c>
      <c r="X1453">
        <f ca="1">_xlfn.DAYS(Table1[[#This Row],[Maturity]],TODAY())-15</f>
        <v>590</v>
      </c>
      <c r="Y14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20</v>
      </c>
      <c r="Z1453">
        <f>IF(Table1[[#This Row],[Ask Rate]]=0,0,Table1[[#This Row],[Face Value]]-Table1[[#This Row],[Ask Rate]])</f>
        <v>0</v>
      </c>
      <c r="AA1453">
        <f>IF(Table1[[#This Row],[Freq]]="Yearly",Table1[[#This Row],[Coupon_Rate]]/100,IF(Table1[[#This Row],[Freq]]="Monthly",Table1[[#This Row],[Coupon_Rate]]/1200,IF(Table1[[#This Row],[Freq]]="Quarterly",Table1[[#This Row],[Coupon_Rate]]/400,0)))</f>
        <v>8.6666666666666663E-3</v>
      </c>
      <c r="AB1453">
        <f ca="1">Table1[[#This Row],[Face Value]]*Table1[[#This Row],[Rate]]*Table1[[#This Row],[Time]]</f>
        <v>173.33333333333331</v>
      </c>
      <c r="AC1453">
        <f ca="1">Table1[[#This Row],[SI]]+Table1[[#This Row],[Disc/Prem]]</f>
        <v>173.33333333333331</v>
      </c>
      <c r="AD1453" s="3" t="e">
        <f ca="1">Table1[[#This Row],[Net Gain]]/Table1[[#This Row],[Ask Rate]]</f>
        <v>#DIV/0!</v>
      </c>
      <c r="AE1453" s="3">
        <f>IF(Table1[[#This Row],[Ask Qty]]=0,0,Table1[[#This Row],[Gross Yield]]*365/Table1[[#This Row],[Days Left]])</f>
        <v>0</v>
      </c>
      <c r="AF1453" s="9">
        <f ca="1">+Table1[[#This Row],[Net Gain]]*Table1[[#This Row],[Ask Qty]]</f>
        <v>0</v>
      </c>
      <c r="AG1453" t="str">
        <f>IF(Table1[[#This Row],[YTM]]&gt;0.12,IF(Table1[[#This Row],[Gross Profit]]&gt;10000,"Invest","Review"),"Low YTM")</f>
        <v>Low YTM</v>
      </c>
    </row>
    <row r="1454" spans="1:33" x14ac:dyDescent="0.3">
      <c r="A1454" t="str">
        <f>RTD("nest.scriprtd",,"bse_cm|MFLII26B","Symbol")</f>
        <v>MFLII26B</v>
      </c>
      <c r="B1454" t="str">
        <f>RTD("nest.scriprtd",,"bse_cm|MFLII26B","Trading Symbol")</f>
        <v>MFLII26B</v>
      </c>
      <c r="C1454" t="str">
        <f>RTD("nest.scriprtd",,"bse_cm|MFLII26B","Exchange")</f>
        <v>BSE</v>
      </c>
      <c r="D1454">
        <f>RTD("nest.scriprtd",,"bse_cm|MFLII26B","Bid Qty")</f>
        <v>250</v>
      </c>
      <c r="E1454">
        <f>RTD("nest.scriprtd",,"bse_cm|MFLII26B","Bid Rate")</f>
        <v>961.25</v>
      </c>
      <c r="F1454">
        <f>RTD("nest.scriprtd",,"bse_cm|MFLII26B","Ask Rate")</f>
        <v>0</v>
      </c>
      <c r="G1454">
        <f>RTD("nest.scriprtd",,"bse_cm|MFLII26B","Ask Qty")</f>
        <v>0</v>
      </c>
      <c r="H1454">
        <f>RTD("nest.scriprtd",,"bse_cm|MFLII26B","LTP")</f>
        <v>0</v>
      </c>
      <c r="I1454" t="str">
        <f>RTD("nest.scriprtd",,"bse_cm|MFLII26B","LTT")</f>
        <v>00:00:00</v>
      </c>
      <c r="J1454">
        <f>RTD("nest.scriprtd",,"bse_cm|MFLII26B","% Change")</f>
        <v>-100</v>
      </c>
      <c r="K1454">
        <f>RTD("nest.scriprtd",,"bse_cm|MFLII26B","ATP")</f>
        <v>0</v>
      </c>
      <c r="L1454">
        <f>RTD("nest.scriprtd",,"bse_cm|MFLII26B","Volume Traded Today")</f>
        <v>0</v>
      </c>
      <c r="M1454">
        <f>RTD("nest.scriprtd",,"bse_cm|MFLII26B","Open")</f>
        <v>0</v>
      </c>
      <c r="N1454">
        <f>RTD("nest.scriprtd",,"bse_cm|MFLII26B","High")</f>
        <v>990</v>
      </c>
      <c r="O1454">
        <f>RTD("nest.scriprtd",,"bse_cm|MFLII26B","Low ")</f>
        <v>990</v>
      </c>
      <c r="P1454">
        <f>RTD("nest.scriprtd",,"bse_cm|MFLII26B","Prev Close")</f>
        <v>990</v>
      </c>
      <c r="Q1454">
        <f>RTD("nest.scriprtd",,"bse_cm|MFLII26B","Face Value")</f>
        <v>1000</v>
      </c>
      <c r="R1454" t="str">
        <f>RTD("nest.scriprtd",,"bse_cm|MFLII26B","Isin code")</f>
        <v>INE414G07FR2</v>
      </c>
      <c r="S1454" s="9">
        <f>Table1[[#This Row],[Ask Rate]]*Table1[[#This Row],[Ask Qty]]</f>
        <v>0</v>
      </c>
      <c r="T1454">
        <f>VLOOKUP(Table1[[#This Row],[Isin code]],Table2[#All],7,FALSE)</f>
        <v>7.35</v>
      </c>
      <c r="U1454" s="17" t="str">
        <f>VLOOKUP(Table1[[#This Row],[Isin code]],Table2[#All],8,FALSE)</f>
        <v>20-Apr-2026</v>
      </c>
      <c r="V1454" s="10">
        <f ca="1">Table1[[#This Row],[Maturity]]-TODAY()</f>
        <v>551</v>
      </c>
      <c r="W1454" t="str">
        <f>VLOOKUP(Table1[[#This Row],[Isin code]],Table2[#All],10,FALSE)</f>
        <v>Monthly</v>
      </c>
      <c r="X1454">
        <f ca="1">_xlfn.DAYS(Table1[[#This Row],[Maturity]],TODAY())-15</f>
        <v>536</v>
      </c>
      <c r="Y145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18</v>
      </c>
      <c r="Z1454">
        <f>IF(Table1[[#This Row],[Ask Rate]]=0,0,Table1[[#This Row],[Face Value]]-Table1[[#This Row],[Ask Rate]])</f>
        <v>0</v>
      </c>
      <c r="AA1454">
        <f>IF(Table1[[#This Row],[Freq]]="Yearly",Table1[[#This Row],[Coupon_Rate]]/100,IF(Table1[[#This Row],[Freq]]="Monthly",Table1[[#This Row],[Coupon_Rate]]/1200,IF(Table1[[#This Row],[Freq]]="Quarterly",Table1[[#This Row],[Coupon_Rate]]/400,0)))</f>
        <v>6.1249999999999994E-3</v>
      </c>
      <c r="AB1454">
        <f ca="1">Table1[[#This Row],[Face Value]]*Table1[[#This Row],[Rate]]*Table1[[#This Row],[Time]]</f>
        <v>110.24999999999999</v>
      </c>
      <c r="AC1454">
        <f ca="1">Table1[[#This Row],[SI]]+Table1[[#This Row],[Disc/Prem]]</f>
        <v>110.24999999999999</v>
      </c>
      <c r="AD1454" s="3" t="e">
        <f ca="1">Table1[[#This Row],[Net Gain]]/Table1[[#This Row],[Ask Rate]]</f>
        <v>#DIV/0!</v>
      </c>
      <c r="AE1454" s="3">
        <f>IF(Table1[[#This Row],[Ask Qty]]=0,0,Table1[[#This Row],[Gross Yield]]*365/Table1[[#This Row],[Days Left]])</f>
        <v>0</v>
      </c>
      <c r="AF1454" s="9">
        <f ca="1">+Table1[[#This Row],[Net Gain]]*Table1[[#This Row],[Ask Qty]]</f>
        <v>0</v>
      </c>
      <c r="AG1454" t="str">
        <f>IF(Table1[[#This Row],[YTM]]&gt;0.12,IF(Table1[[#This Row],[Gross Profit]]&gt;10000,"Invest","Review"),"Low YTM")</f>
        <v>Low YTM</v>
      </c>
    </row>
    <row r="1455" spans="1:33" x14ac:dyDescent="0.3">
      <c r="A1455" t="str">
        <f>RTD("nest.scriprtd",,"nse_cm|1015SCFL29-YY","Symbol")</f>
        <v>1015SCFL29</v>
      </c>
      <c r="B1455" t="str">
        <f>RTD("nest.scriprtd",,"nse_cm|1015SCFL29-YY","Trading Symbol")</f>
        <v>1015SCFL29-YY</v>
      </c>
      <c r="C1455" t="str">
        <f>RTD("nest.scriprtd",,"nse_cm|1015SCFL29-YY","Exchange")</f>
        <v>NSE</v>
      </c>
      <c r="D1455">
        <f>RTD("nest.scriprtd",,"nse_cm|1015SCFL29-YY","Bid Qty")</f>
        <v>0</v>
      </c>
      <c r="E1455">
        <f>RTD("nest.scriprtd",,"nse_cm|1015SCFL29-YY","Bid Rate")</f>
        <v>0</v>
      </c>
      <c r="F1455">
        <f>RTD("nest.scriprtd",,"nse_cm|1015SCFL29-YY","Ask Rate")</f>
        <v>0</v>
      </c>
      <c r="G1455">
        <f>RTD("nest.scriprtd",,"nse_cm|1015SCFL29-YY","Ask Qty")</f>
        <v>0</v>
      </c>
      <c r="H1455">
        <f>RTD("nest.scriprtd",,"nse_cm|1015SCFL29-YY","LTP")</f>
        <v>945</v>
      </c>
      <c r="I1455" t="str">
        <f>RTD("nest.scriprtd",,"nse_cm|1015SCFL29-YY","LTT")</f>
        <v/>
      </c>
      <c r="J1455">
        <f>RTD("nest.scriprtd",,"nse_cm|1015SCFL29-YY","% Change")</f>
        <v>0</v>
      </c>
      <c r="K1455">
        <f>RTD("nest.scriprtd",,"nse_cm|1015SCFL29-YY","ATP")</f>
        <v>0</v>
      </c>
      <c r="L1455">
        <f>RTD("nest.scriprtd",,"nse_cm|1015SCFL29-YY","Volume Traded Today")</f>
        <v>0</v>
      </c>
      <c r="M1455">
        <f>RTD("nest.scriprtd",,"nse_cm|1015SCFL29-YY","Open")</f>
        <v>0</v>
      </c>
      <c r="N1455">
        <f>RTD("nest.scriprtd",,"nse_cm|1015SCFL29-YY","High")</f>
        <v>945</v>
      </c>
      <c r="O1455">
        <f>RTD("nest.scriprtd",,"nse_cm|1015SCFL29-YY","Low ")</f>
        <v>945</v>
      </c>
      <c r="P1455">
        <f>RTD("nest.scriprtd",,"nse_cm|1015SCFL29-YY","Prev Close")</f>
        <v>945</v>
      </c>
      <c r="Q1455">
        <f>RTD("nest.scriprtd",,"nse_cm|1015SCFL29-YY","Face Value")</f>
        <v>1000</v>
      </c>
      <c r="R1455" t="str">
        <f>RTD("nest.scriprtd",,"nse_cm|1015SCFL29-YY","Isin code")</f>
        <v>INE148I07SS3</v>
      </c>
      <c r="S1455" s="9">
        <f>Table1[[#This Row],[Ask Rate]]*Table1[[#This Row],[Ask Qty]]</f>
        <v>0</v>
      </c>
      <c r="T1455">
        <f>VLOOKUP(Table1[[#This Row],[Isin code]],Table2[#All],7,FALSE)</f>
        <v>10.15</v>
      </c>
      <c r="U1455" s="17" t="str">
        <f>VLOOKUP(Table1[[#This Row],[Isin code]],Table2[#All],8,FALSE)</f>
        <v>26-Mar-2029</v>
      </c>
      <c r="V1455" s="10">
        <f ca="1">Table1[[#This Row],[Maturity]]-TODAY()</f>
        <v>1622</v>
      </c>
      <c r="W1455" t="str">
        <f>VLOOKUP(Table1[[#This Row],[Isin code]],Table2[#All],10,FALSE)</f>
        <v>Yearly</v>
      </c>
      <c r="X1455">
        <f ca="1">_xlfn.DAYS(Table1[[#This Row],[Maturity]],TODAY())-15</f>
        <v>1607</v>
      </c>
      <c r="Y145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55">
        <f>IF(Table1[[#This Row],[Ask Rate]]=0,0,Table1[[#This Row],[Face Value]]-Table1[[#This Row],[Ask Rate]])</f>
        <v>0</v>
      </c>
      <c r="AA1455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1455">
        <f ca="1">Table1[[#This Row],[Face Value]]*Table1[[#This Row],[Rate]]*Table1[[#This Row],[Time]]</f>
        <v>507.5</v>
      </c>
      <c r="AC1455">
        <f ca="1">Table1[[#This Row],[SI]]+Table1[[#This Row],[Disc/Prem]]</f>
        <v>507.5</v>
      </c>
      <c r="AD1455" s="3" t="e">
        <f ca="1">Table1[[#This Row],[Net Gain]]/Table1[[#This Row],[Ask Rate]]</f>
        <v>#DIV/0!</v>
      </c>
      <c r="AE1455" s="3">
        <f>IF(Table1[[#This Row],[Ask Qty]]=0,0,Table1[[#This Row],[Gross Yield]]*365/Table1[[#This Row],[Days Left]])</f>
        <v>0</v>
      </c>
      <c r="AF1455" s="9">
        <f ca="1">+Table1[[#This Row],[Net Gain]]*Table1[[#This Row],[Ask Qty]]</f>
        <v>0</v>
      </c>
      <c r="AG1455" t="str">
        <f>IF(Table1[[#This Row],[YTM]]&gt;0.12,IF(Table1[[#This Row],[Gross Profit]]&gt;10000,"Invest","Review"),"Low YTM")</f>
        <v>Low YTM</v>
      </c>
    </row>
    <row r="1456" spans="1:33" x14ac:dyDescent="0.3">
      <c r="A1456" t="str">
        <f>RTD("nest.scriprtd",,"bse_cm|1003ISFL28","Symbol")</f>
        <v>1003ISFL28</v>
      </c>
      <c r="B1456" t="str">
        <f>RTD("nest.scriprtd",,"bse_cm|1003ISFL28","Trading Symbol")</f>
        <v>1003ISFL28</v>
      </c>
      <c r="C1456" t="str">
        <f>RTD("nest.scriprtd",,"bse_cm|1003ISFL28","Exchange")</f>
        <v>BSE</v>
      </c>
      <c r="D1456">
        <f>RTD("nest.scriprtd",,"bse_cm|1003ISFL28","Bid Qty")</f>
        <v>106</v>
      </c>
      <c r="E1456">
        <f>RTD("nest.scriprtd",,"bse_cm|1003ISFL28","Bid Rate")</f>
        <v>960</v>
      </c>
      <c r="F1456">
        <f>RTD("nest.scriprtd",,"bse_cm|1003ISFL28","Ask Rate")</f>
        <v>0</v>
      </c>
      <c r="G1456">
        <f>RTD("nest.scriprtd",,"bse_cm|1003ISFL28","Ask Qty")</f>
        <v>0</v>
      </c>
      <c r="H1456">
        <f>RTD("nest.scriprtd",,"bse_cm|1003ISFL28","LTP")</f>
        <v>0</v>
      </c>
      <c r="I1456" t="str">
        <f>RTD("nest.scriprtd",,"bse_cm|1003ISFL28","LTT")</f>
        <v>00:00:00</v>
      </c>
      <c r="J1456">
        <f>RTD("nest.scriprtd",,"bse_cm|1003ISFL28","% Change")</f>
        <v>-100</v>
      </c>
      <c r="K1456">
        <f>RTD("nest.scriprtd",,"bse_cm|1003ISFL28","ATP")</f>
        <v>0</v>
      </c>
      <c r="L1456">
        <f>RTD("nest.scriprtd",,"bse_cm|1003ISFL28","Volume Traded Today")</f>
        <v>0</v>
      </c>
      <c r="M1456">
        <f>RTD("nest.scriprtd",,"bse_cm|1003ISFL28","Open")</f>
        <v>0</v>
      </c>
      <c r="N1456">
        <f>RTD("nest.scriprtd",,"bse_cm|1003ISFL28","High")</f>
        <v>995</v>
      </c>
      <c r="O1456">
        <f>RTD("nest.scriprtd",,"bse_cm|1003ISFL28","Low ")</f>
        <v>995</v>
      </c>
      <c r="P1456">
        <f>RTD("nest.scriprtd",,"bse_cm|1003ISFL28","Prev Close")</f>
        <v>995</v>
      </c>
      <c r="Q1456">
        <f>RTD("nest.scriprtd",,"bse_cm|1003ISFL28","Face Value")</f>
        <v>1000</v>
      </c>
      <c r="R1456" t="str">
        <f>RTD("nest.scriprtd",,"bse_cm|1003ISFL28","Isin code")</f>
        <v>INE413U07269</v>
      </c>
      <c r="S1456" s="9">
        <f>Table1[[#This Row],[Ask Rate]]*Table1[[#This Row],[Ask Qty]]</f>
        <v>0</v>
      </c>
      <c r="T1456">
        <f>VLOOKUP(Table1[[#This Row],[Isin code]],Table2[#All],7,FALSE)</f>
        <v>10.029999999999999</v>
      </c>
      <c r="U1456" s="17" t="str">
        <f>VLOOKUP(Table1[[#This Row],[Isin code]],Table2[#All],8,FALSE)</f>
        <v>21-Dec-2028</v>
      </c>
      <c r="V1456" s="10">
        <f ca="1">Table1[[#This Row],[Maturity]]-TODAY()</f>
        <v>1527</v>
      </c>
      <c r="W1456" t="str">
        <f>VLOOKUP(Table1[[#This Row],[Isin code]],Table2[#All],10,FALSE)</f>
        <v>Monthly</v>
      </c>
      <c r="X1456">
        <f ca="1">_xlfn.DAYS(Table1[[#This Row],[Maturity]],TODAY())-15</f>
        <v>1512</v>
      </c>
      <c r="Y14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51</v>
      </c>
      <c r="Z1456">
        <f>IF(Table1[[#This Row],[Ask Rate]]=0,0,Table1[[#This Row],[Face Value]]-Table1[[#This Row],[Ask Rate]])</f>
        <v>0</v>
      </c>
      <c r="AA1456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456">
        <f ca="1">Table1[[#This Row],[Face Value]]*Table1[[#This Row],[Rate]]*Table1[[#This Row],[Time]]</f>
        <v>426.27499999999998</v>
      </c>
      <c r="AC1456">
        <f ca="1">Table1[[#This Row],[SI]]+Table1[[#This Row],[Disc/Prem]]</f>
        <v>426.27499999999998</v>
      </c>
      <c r="AD1456" s="3" t="e">
        <f ca="1">Table1[[#This Row],[Net Gain]]/Table1[[#This Row],[Ask Rate]]</f>
        <v>#DIV/0!</v>
      </c>
      <c r="AE1456" s="3">
        <f>IF(Table1[[#This Row],[Ask Qty]]=0,0,Table1[[#This Row],[Gross Yield]]*365/Table1[[#This Row],[Days Left]])</f>
        <v>0</v>
      </c>
      <c r="AF1456" s="9">
        <f ca="1">+Table1[[#This Row],[Net Gain]]*Table1[[#This Row],[Ask Qty]]</f>
        <v>0</v>
      </c>
      <c r="AG1456" t="str">
        <f>IF(Table1[[#This Row],[YTM]]&gt;0.12,IF(Table1[[#This Row],[Gross Profit]]&gt;10000,"Invest","Review"),"Low YTM")</f>
        <v>Low YTM</v>
      </c>
    </row>
    <row r="1457" spans="1:33" x14ac:dyDescent="0.3">
      <c r="A1457" t="str">
        <f>RTD("nest.scriprtd",,"bse_cm|927MFL26","Symbol")</f>
        <v>927MFL26</v>
      </c>
      <c r="B1457" t="str">
        <f>RTD("nest.scriprtd",,"bse_cm|927MFL26","Trading Symbol")</f>
        <v>927MFL26</v>
      </c>
      <c r="C1457" t="str">
        <f>RTD("nest.scriprtd",,"bse_cm|927MFL26","Exchange")</f>
        <v>BSE</v>
      </c>
      <c r="D1457">
        <f>RTD("nest.scriprtd",,"bse_cm|927MFL26","Bid Qty")</f>
        <v>29</v>
      </c>
      <c r="E1457">
        <f>RTD("nest.scriprtd",,"bse_cm|927MFL26","Bid Rate")</f>
        <v>860.2</v>
      </c>
      <c r="F1457">
        <f>RTD("nest.scriprtd",,"bse_cm|927MFL26","Ask Rate")</f>
        <v>0</v>
      </c>
      <c r="G1457">
        <f>RTD("nest.scriprtd",,"bse_cm|927MFL26","Ask Qty")</f>
        <v>0</v>
      </c>
      <c r="H1457">
        <f>RTD("nest.scriprtd",,"bse_cm|927MFL26","LTP")</f>
        <v>0</v>
      </c>
      <c r="I1457" t="str">
        <f>RTD("nest.scriprtd",,"bse_cm|927MFL26","LTT")</f>
        <v>00:00:00</v>
      </c>
      <c r="J1457">
        <f>RTD("nest.scriprtd",,"bse_cm|927MFL26","% Change")</f>
        <v>-100</v>
      </c>
      <c r="K1457">
        <f>RTD("nest.scriprtd",,"bse_cm|927MFL26","ATP")</f>
        <v>0</v>
      </c>
      <c r="L1457">
        <f>RTD("nest.scriprtd",,"bse_cm|927MFL26","Volume Traded Today")</f>
        <v>0</v>
      </c>
      <c r="M1457">
        <f>RTD("nest.scriprtd",,"bse_cm|927MFL26","Open")</f>
        <v>0</v>
      </c>
      <c r="N1457">
        <f>RTD("nest.scriprtd",,"bse_cm|927MFL26","High")</f>
        <v>1035.8</v>
      </c>
      <c r="O1457">
        <f>RTD("nest.scriprtd",,"bse_cm|927MFL26","Low ")</f>
        <v>1010.2</v>
      </c>
      <c r="P1457">
        <f>RTD("nest.scriprtd",,"bse_cm|927MFL26","Prev Close")</f>
        <v>1035.8</v>
      </c>
      <c r="Q1457">
        <f>RTD("nest.scriprtd",,"bse_cm|927MFL26","Face Value")</f>
        <v>1000</v>
      </c>
      <c r="R1457" t="str">
        <f>RTD("nest.scriprtd",,"bse_cm|927MFL26","Isin code")</f>
        <v>INE549K07CV6</v>
      </c>
      <c r="S1457" s="9">
        <f>Table1[[#This Row],[Ask Rate]]*Table1[[#This Row],[Ask Qty]]</f>
        <v>0</v>
      </c>
      <c r="T1457">
        <f>VLOOKUP(Table1[[#This Row],[Isin code]],Table2[#All],7,FALSE)</f>
        <v>9.27</v>
      </c>
      <c r="U1457" s="17" t="str">
        <f>VLOOKUP(Table1[[#This Row],[Isin code]],Table2[#All],8,FALSE)</f>
        <v>01-Nov-2026</v>
      </c>
      <c r="V1457" s="10">
        <f ca="1">Table1[[#This Row],[Maturity]]-TODAY()</f>
        <v>746</v>
      </c>
      <c r="W1457" t="str">
        <f>VLOOKUP(Table1[[#This Row],[Isin code]],Table2[#All],10,FALSE)</f>
        <v>Yearly</v>
      </c>
      <c r="X1457">
        <f ca="1">_xlfn.DAYS(Table1[[#This Row],[Maturity]],TODAY())-15</f>
        <v>731</v>
      </c>
      <c r="Y145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457">
        <f>IF(Table1[[#This Row],[Ask Rate]]=0,0,Table1[[#This Row],[Face Value]]-Table1[[#This Row],[Ask Rate]])</f>
        <v>0</v>
      </c>
      <c r="AA1457">
        <f>IF(Table1[[#This Row],[Freq]]="Yearly",Table1[[#This Row],[Coupon_Rate]]/100,IF(Table1[[#This Row],[Freq]]="Monthly",Table1[[#This Row],[Coupon_Rate]]/1200,IF(Table1[[#This Row],[Freq]]="Quarterly",Table1[[#This Row],[Coupon_Rate]]/400,0)))</f>
        <v>9.2699999999999991E-2</v>
      </c>
      <c r="AB1457">
        <f ca="1">Table1[[#This Row],[Face Value]]*Table1[[#This Row],[Rate]]*Table1[[#This Row],[Time]]</f>
        <v>278.09999999999997</v>
      </c>
      <c r="AC1457">
        <f ca="1">Table1[[#This Row],[SI]]+Table1[[#This Row],[Disc/Prem]]</f>
        <v>278.09999999999997</v>
      </c>
      <c r="AD1457" s="3" t="e">
        <f ca="1">Table1[[#This Row],[Net Gain]]/Table1[[#This Row],[Ask Rate]]</f>
        <v>#DIV/0!</v>
      </c>
      <c r="AE1457" s="3">
        <f>IF(Table1[[#This Row],[Ask Qty]]=0,0,Table1[[#This Row],[Gross Yield]]*365/Table1[[#This Row],[Days Left]])</f>
        <v>0</v>
      </c>
      <c r="AF1457" s="9">
        <f ca="1">+Table1[[#This Row],[Net Gain]]*Table1[[#This Row],[Ask Qty]]</f>
        <v>0</v>
      </c>
      <c r="AG1457" t="str">
        <f>IF(Table1[[#This Row],[YTM]]&gt;0.12,IF(Table1[[#This Row],[Gross Profit]]&gt;10000,"Invest","Review"),"Low YTM")</f>
        <v>Low YTM</v>
      </c>
    </row>
    <row r="1458" spans="1:33" x14ac:dyDescent="0.3">
      <c r="A1458" t="str">
        <f>RTD("nest.scriprtd",,"bse_cm|IML28","Symbol")</f>
        <v>IML28</v>
      </c>
      <c r="B1458" t="str">
        <f>RTD("nest.scriprtd",,"bse_cm|IML28","Trading Symbol")</f>
        <v>IML28</v>
      </c>
      <c r="C1458" t="str">
        <f>RTD("nest.scriprtd",,"bse_cm|IML28","Exchange")</f>
        <v>BSE</v>
      </c>
      <c r="D1458">
        <f>RTD("nest.scriprtd",,"bse_cm|IML28","Bid Qty")</f>
        <v>25</v>
      </c>
      <c r="E1458">
        <f>RTD("nest.scriprtd",,"bse_cm|IML28","Bid Rate")</f>
        <v>895.2</v>
      </c>
      <c r="F1458">
        <f>RTD("nest.scriprtd",,"bse_cm|IML28","Ask Rate")</f>
        <v>0</v>
      </c>
      <c r="G1458">
        <f>RTD("nest.scriprtd",,"bse_cm|IML28","Ask Qty")</f>
        <v>0</v>
      </c>
      <c r="H1458">
        <f>RTD("nest.scriprtd",,"bse_cm|IML28","LTP")</f>
        <v>0</v>
      </c>
      <c r="I1458" t="str">
        <f>RTD("nest.scriprtd",,"bse_cm|IML28","LTT")</f>
        <v>00:00:00</v>
      </c>
      <c r="J1458">
        <f>RTD("nest.scriprtd",,"bse_cm|IML28","% Change")</f>
        <v>-100</v>
      </c>
      <c r="K1458">
        <f>RTD("nest.scriprtd",,"bse_cm|IML28","ATP")</f>
        <v>0</v>
      </c>
      <c r="L1458">
        <f>RTD("nest.scriprtd",,"bse_cm|IML28","Volume Traded Today")</f>
        <v>0</v>
      </c>
      <c r="M1458">
        <f>RTD("nest.scriprtd",,"bse_cm|IML28","Open")</f>
        <v>0</v>
      </c>
      <c r="N1458">
        <f>RTD("nest.scriprtd",,"bse_cm|IML28","High")</f>
        <v>895.2</v>
      </c>
      <c r="O1458">
        <f>RTD("nest.scriprtd",,"bse_cm|IML28","Low ")</f>
        <v>895.2</v>
      </c>
      <c r="P1458">
        <f>RTD("nest.scriprtd",,"bse_cm|IML28","Prev Close")</f>
        <v>895.2</v>
      </c>
      <c r="Q1458">
        <f>RTD("nest.scriprtd",,"bse_cm|IML28","Face Value")</f>
        <v>1000</v>
      </c>
      <c r="R1458" t="str">
        <f>RTD("nest.scriprtd",,"bse_cm|IML28","Isin code")</f>
        <v>INE0BUS07957</v>
      </c>
      <c r="S1458" s="9">
        <f>Table1[[#This Row],[Ask Rate]]*Table1[[#This Row],[Ask Qty]]</f>
        <v>0</v>
      </c>
      <c r="T1458" t="str">
        <f>VLOOKUP(Table1[[#This Row],[Isin code]],Table2[#All],7,FALSE)</f>
        <v>--</v>
      </c>
      <c r="U1458" s="17" t="str">
        <f>VLOOKUP(Table1[[#This Row],[Isin code]],Table2[#All],8,FALSE)</f>
        <v>23-Jul-2028</v>
      </c>
      <c r="V1458" s="10">
        <f ca="1">Table1[[#This Row],[Maturity]]-TODAY()</f>
        <v>1376</v>
      </c>
      <c r="W1458" t="str">
        <f>VLOOKUP(Table1[[#This Row],[Isin code]],Table2[#All],10,FALSE)</f>
        <v>At the End</v>
      </c>
      <c r="X1458">
        <f ca="1">_xlfn.DAYS(Table1[[#This Row],[Maturity]],TODAY())-15</f>
        <v>1361</v>
      </c>
      <c r="Y145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58">
        <f>IF(Table1[[#This Row],[Ask Rate]]=0,0,Table1[[#This Row],[Face Value]]-Table1[[#This Row],[Ask Rate]])</f>
        <v>0</v>
      </c>
      <c r="AA145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58">
        <f>Table1[[#This Row],[Face Value]]*Table1[[#This Row],[Rate]]*Table1[[#This Row],[Time]]</f>
        <v>0</v>
      </c>
      <c r="AC1458">
        <f>Table1[[#This Row],[SI]]+Table1[[#This Row],[Disc/Prem]]</f>
        <v>0</v>
      </c>
      <c r="AD1458" s="3" t="e">
        <f>Table1[[#This Row],[Net Gain]]/Table1[[#This Row],[Ask Rate]]</f>
        <v>#DIV/0!</v>
      </c>
      <c r="AE1458" s="3">
        <f>IF(Table1[[#This Row],[Ask Qty]]=0,0,Table1[[#This Row],[Gross Yield]]*365/Table1[[#This Row],[Days Left]])</f>
        <v>0</v>
      </c>
      <c r="AF1458" s="9">
        <f>+Table1[[#This Row],[Net Gain]]*Table1[[#This Row],[Ask Qty]]</f>
        <v>0</v>
      </c>
      <c r="AG1458" t="str">
        <f>IF(Table1[[#This Row],[YTM]]&gt;0.12,IF(Table1[[#This Row],[Gross Profit]]&gt;10000,"Invest","Review"),"Low YTM")</f>
        <v>Low YTM</v>
      </c>
    </row>
    <row r="1459" spans="1:33" x14ac:dyDescent="0.3">
      <c r="A1459" t="str">
        <f>RTD("nest.scriprtd",,"bse_cm|1010EFSL29","Symbol")</f>
        <v>1010EFSL29</v>
      </c>
      <c r="B1459" t="str">
        <f>RTD("nest.scriprtd",,"bse_cm|1010EFSL29","Trading Symbol")</f>
        <v>1010EFSL29</v>
      </c>
      <c r="C1459" t="str">
        <f>RTD("nest.scriprtd",,"bse_cm|1010EFSL29","Exchange")</f>
        <v>BSE</v>
      </c>
      <c r="D1459">
        <f>RTD("nest.scriprtd",,"bse_cm|1010EFSL29","Bid Qty")</f>
        <v>25</v>
      </c>
      <c r="E1459">
        <f>RTD("nest.scriprtd",,"bse_cm|1010EFSL29","Bid Rate")</f>
        <v>980</v>
      </c>
      <c r="F1459">
        <f>RTD("nest.scriprtd",,"bse_cm|1010EFSL29","Ask Rate")</f>
        <v>0</v>
      </c>
      <c r="G1459">
        <f>RTD("nest.scriprtd",,"bse_cm|1010EFSL29","Ask Qty")</f>
        <v>0</v>
      </c>
      <c r="H1459">
        <f>RTD("nest.scriprtd",,"bse_cm|1010EFSL29","LTP")</f>
        <v>0</v>
      </c>
      <c r="I1459" t="str">
        <f>RTD("nest.scriprtd",,"bse_cm|1010EFSL29","LTT")</f>
        <v>00:00:00</v>
      </c>
      <c r="J1459">
        <f>RTD("nest.scriprtd",,"bse_cm|1010EFSL29","% Change")</f>
        <v>-100</v>
      </c>
      <c r="K1459">
        <f>RTD("nest.scriprtd",,"bse_cm|1010EFSL29","ATP")</f>
        <v>0</v>
      </c>
      <c r="L1459">
        <f>RTD("nest.scriprtd",,"bse_cm|1010EFSL29","Volume Traded Today")</f>
        <v>0</v>
      </c>
      <c r="M1459">
        <f>RTD("nest.scriprtd",,"bse_cm|1010EFSL29","Open")</f>
        <v>0</v>
      </c>
      <c r="N1459">
        <f>RTD("nest.scriprtd",,"bse_cm|1010EFSL29","High")</f>
        <v>979</v>
      </c>
      <c r="O1459">
        <f>RTD("nest.scriprtd",,"bse_cm|1010EFSL29","Low ")</f>
        <v>979</v>
      </c>
      <c r="P1459">
        <f>RTD("nest.scriprtd",,"bse_cm|1010EFSL29","Prev Close")</f>
        <v>979</v>
      </c>
      <c r="Q1459">
        <f>RTD("nest.scriprtd",,"bse_cm|1010EFSL29","Face Value")</f>
        <v>1000</v>
      </c>
      <c r="R1459" t="str">
        <f>RTD("nest.scriprtd",,"bse_cm|1010EFSL29","Isin code")</f>
        <v>INE532F07EZ9</v>
      </c>
      <c r="S1459" s="9">
        <f>Table1[[#This Row],[Ask Rate]]*Table1[[#This Row],[Ask Qty]]</f>
        <v>0</v>
      </c>
      <c r="T1459">
        <f>VLOOKUP(Table1[[#This Row],[Isin code]],Table2[#All],7,FALSE)</f>
        <v>10.100000000000001</v>
      </c>
      <c r="U1459" s="17" t="str">
        <f>VLOOKUP(Table1[[#This Row],[Isin code]],Table2[#All],8,FALSE)</f>
        <v>29-Jan-2029</v>
      </c>
      <c r="V1459" s="10">
        <f ca="1">Table1[[#This Row],[Maturity]]-TODAY()</f>
        <v>1566</v>
      </c>
      <c r="W1459" t="str">
        <f>VLOOKUP(Table1[[#This Row],[Isin code]],Table2[#All],10,FALSE)</f>
        <v>Yearly</v>
      </c>
      <c r="X1459">
        <f ca="1">_xlfn.DAYS(Table1[[#This Row],[Maturity]],TODAY())-15</f>
        <v>1551</v>
      </c>
      <c r="Y14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59">
        <f>IF(Table1[[#This Row],[Ask Rate]]=0,0,Table1[[#This Row],[Face Value]]-Table1[[#This Row],[Ask Rate]])</f>
        <v>0</v>
      </c>
      <c r="AA1459">
        <f>IF(Table1[[#This Row],[Freq]]="Yearly",Table1[[#This Row],[Coupon_Rate]]/100,IF(Table1[[#This Row],[Freq]]="Monthly",Table1[[#This Row],[Coupon_Rate]]/1200,IF(Table1[[#This Row],[Freq]]="Quarterly",Table1[[#This Row],[Coupon_Rate]]/400,0)))</f>
        <v>0.10100000000000002</v>
      </c>
      <c r="AB1459">
        <f ca="1">Table1[[#This Row],[Face Value]]*Table1[[#This Row],[Rate]]*Table1[[#This Row],[Time]]</f>
        <v>505.00000000000006</v>
      </c>
      <c r="AC1459">
        <f ca="1">Table1[[#This Row],[SI]]+Table1[[#This Row],[Disc/Prem]]</f>
        <v>505.00000000000006</v>
      </c>
      <c r="AD1459" s="3" t="e">
        <f ca="1">Table1[[#This Row],[Net Gain]]/Table1[[#This Row],[Ask Rate]]</f>
        <v>#DIV/0!</v>
      </c>
      <c r="AE1459" s="3">
        <f>IF(Table1[[#This Row],[Ask Qty]]=0,0,Table1[[#This Row],[Gross Yield]]*365/Table1[[#This Row],[Days Left]])</f>
        <v>0</v>
      </c>
      <c r="AF1459" s="9">
        <f ca="1">+Table1[[#This Row],[Net Gain]]*Table1[[#This Row],[Ask Qty]]</f>
        <v>0</v>
      </c>
      <c r="AG1459" t="str">
        <f>IF(Table1[[#This Row],[YTM]]&gt;0.12,IF(Table1[[#This Row],[Gross Profit]]&gt;10000,"Invest","Review"),"Low YTM")</f>
        <v>Low YTM</v>
      </c>
    </row>
    <row r="1460" spans="1:33" x14ac:dyDescent="0.3">
      <c r="A1460" t="str">
        <f>RTD("nest.scriprtd",,"bse_cm|MFL30","Symbol")</f>
        <v>MFL30</v>
      </c>
      <c r="B1460" t="str">
        <f>RTD("nest.scriprtd",,"bse_cm|MFL30","Trading Symbol")</f>
        <v>MFL30</v>
      </c>
      <c r="C1460" t="str">
        <f>RTD("nest.scriprtd",,"bse_cm|MFL30","Exchange")</f>
        <v>BSE</v>
      </c>
      <c r="D1460">
        <f>RTD("nest.scriprtd",,"bse_cm|MFL30","Bid Qty")</f>
        <v>50</v>
      </c>
      <c r="E1460">
        <f>RTD("nest.scriprtd",,"bse_cm|MFL30","Bid Rate")</f>
        <v>1050.02</v>
      </c>
      <c r="F1460">
        <f>RTD("nest.scriprtd",,"bse_cm|MFL30","Ask Rate")</f>
        <v>0</v>
      </c>
      <c r="G1460">
        <f>RTD("nest.scriprtd",,"bse_cm|MFL30","Ask Qty")</f>
        <v>0</v>
      </c>
      <c r="H1460">
        <f>RTD("nest.scriprtd",,"bse_cm|MFL30","LTP")</f>
        <v>0</v>
      </c>
      <c r="I1460" t="str">
        <f>RTD("nest.scriprtd",,"bse_cm|MFL30","LTT")</f>
        <v>00:00:00</v>
      </c>
      <c r="J1460">
        <f>RTD("nest.scriprtd",,"bse_cm|MFL30","% Change")</f>
        <v>-100</v>
      </c>
      <c r="K1460">
        <f>RTD("nest.scriprtd",,"bse_cm|MFL30","ATP")</f>
        <v>0</v>
      </c>
      <c r="L1460">
        <f>RTD("nest.scriprtd",,"bse_cm|MFL30","Volume Traded Today")</f>
        <v>0</v>
      </c>
      <c r="M1460">
        <f>RTD("nest.scriprtd",,"bse_cm|MFL30","Open")</f>
        <v>0</v>
      </c>
      <c r="N1460">
        <f>RTD("nest.scriprtd",,"bse_cm|MFL30","High")</f>
        <v>1120</v>
      </c>
      <c r="O1460">
        <f>RTD("nest.scriprtd",,"bse_cm|MFL30","Low ")</f>
        <v>1120</v>
      </c>
      <c r="P1460">
        <f>RTD("nest.scriprtd",,"bse_cm|MFL30","Prev Close")</f>
        <v>1120</v>
      </c>
      <c r="Q1460">
        <f>RTD("nest.scriprtd",,"bse_cm|MFL30","Face Value")</f>
        <v>1000</v>
      </c>
      <c r="R1460" t="str">
        <f>RTD("nest.scriprtd",,"bse_cm|MFL30","Isin code")</f>
        <v>INE549K07BJ3</v>
      </c>
      <c r="S1460" s="9">
        <f>Table1[[#This Row],[Ask Rate]]*Table1[[#This Row],[Ask Qty]]</f>
        <v>0</v>
      </c>
      <c r="T1460" t="str">
        <f>VLOOKUP(Table1[[#This Row],[Isin code]],Table2[#All],7,FALSE)</f>
        <v>--</v>
      </c>
      <c r="U1460" s="17" t="str">
        <f>VLOOKUP(Table1[[#This Row],[Isin code]],Table2[#All],8,FALSE)</f>
        <v>06-Sep-2030</v>
      </c>
      <c r="V1460" s="10">
        <f ca="1">Table1[[#This Row],[Maturity]]-TODAY()</f>
        <v>2151</v>
      </c>
      <c r="W1460" t="str">
        <f>VLOOKUP(Table1[[#This Row],[Isin code]],Table2[#All],10,FALSE)</f>
        <v>At the End</v>
      </c>
      <c r="X1460">
        <f ca="1">_xlfn.DAYS(Table1[[#This Row],[Maturity]],TODAY())-15</f>
        <v>2136</v>
      </c>
      <c r="Y146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60">
        <f>IF(Table1[[#This Row],[Ask Rate]]=0,0,Table1[[#This Row],[Face Value]]-Table1[[#This Row],[Ask Rate]])</f>
        <v>0</v>
      </c>
      <c r="AA146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60">
        <f>Table1[[#This Row],[Face Value]]*Table1[[#This Row],[Rate]]*Table1[[#This Row],[Time]]</f>
        <v>0</v>
      </c>
      <c r="AC1460">
        <f>Table1[[#This Row],[SI]]+Table1[[#This Row],[Disc/Prem]]</f>
        <v>0</v>
      </c>
      <c r="AD1460" s="3" t="e">
        <f>Table1[[#This Row],[Net Gain]]/Table1[[#This Row],[Ask Rate]]</f>
        <v>#DIV/0!</v>
      </c>
      <c r="AE1460" s="3">
        <f>IF(Table1[[#This Row],[Ask Qty]]=0,0,Table1[[#This Row],[Gross Yield]]*365/Table1[[#This Row],[Days Left]])</f>
        <v>0</v>
      </c>
      <c r="AF1460" s="9">
        <f>+Table1[[#This Row],[Net Gain]]*Table1[[#This Row],[Ask Qty]]</f>
        <v>0</v>
      </c>
      <c r="AG1460" t="str">
        <f>IF(Table1[[#This Row],[YTM]]&gt;0.12,IF(Table1[[#This Row],[Gross Profit]]&gt;10000,"Invest","Review"),"Low YTM")</f>
        <v>Low YTM</v>
      </c>
    </row>
    <row r="1461" spans="1:33" x14ac:dyDescent="0.3">
      <c r="A1461" t="str">
        <f>RTD("nest.scriprtd",,"nse_cm|966ICCL25A-NI","Symbol")</f>
        <v>966ICCL25A</v>
      </c>
      <c r="B1461" t="str">
        <f>RTD("nest.scriprtd",,"nse_cm|966ICCL25A-NI","Trading Symbol")</f>
        <v>966ICCL25A-NI</v>
      </c>
      <c r="C1461" t="str">
        <f>RTD("nest.scriprtd",,"nse_cm|966ICCL25A-NI","Exchange")</f>
        <v>NSE</v>
      </c>
      <c r="D1461">
        <f>RTD("nest.scriprtd",,"nse_cm|966ICCL25A-NI","Bid Qty")</f>
        <v>0</v>
      </c>
      <c r="E1461">
        <f>RTD("nest.scriprtd",,"nse_cm|966ICCL25A-NI","Bid Rate")</f>
        <v>0</v>
      </c>
      <c r="F1461">
        <f>RTD("nest.scriprtd",,"nse_cm|966ICCL25A-NI","Ask Rate")</f>
        <v>0</v>
      </c>
      <c r="G1461">
        <f>RTD("nest.scriprtd",,"nse_cm|966ICCL25A-NI","Ask Qty")</f>
        <v>0</v>
      </c>
      <c r="H1461">
        <f>RTD("nest.scriprtd",,"nse_cm|966ICCL25A-NI","LTP")</f>
        <v>1019.83</v>
      </c>
      <c r="I1461" t="str">
        <f>RTD("nest.scriprtd",,"nse_cm|966ICCL25A-NI","LTT")</f>
        <v/>
      </c>
      <c r="J1461">
        <f>RTD("nest.scriprtd",,"nse_cm|966ICCL25A-NI","% Change")</f>
        <v>0</v>
      </c>
      <c r="K1461">
        <f>RTD("nest.scriprtd",,"nse_cm|966ICCL25A-NI","ATP")</f>
        <v>0</v>
      </c>
      <c r="L1461">
        <f>RTD("nest.scriprtd",,"nse_cm|966ICCL25A-NI","Volume Traded Today")</f>
        <v>0</v>
      </c>
      <c r="M1461">
        <f>RTD("nest.scriprtd",,"nse_cm|966ICCL25A-NI","Open")</f>
        <v>0</v>
      </c>
      <c r="N1461">
        <f>RTD("nest.scriprtd",,"nse_cm|966ICCL25A-NI","High")</f>
        <v>1019.83</v>
      </c>
      <c r="O1461">
        <f>RTD("nest.scriprtd",,"nse_cm|966ICCL25A-NI","Low ")</f>
        <v>995.62</v>
      </c>
      <c r="P1461">
        <f>RTD("nest.scriprtd",,"nse_cm|966ICCL25A-NI","Prev Close")</f>
        <v>1019.83</v>
      </c>
      <c r="Q1461">
        <f>RTD("nest.scriprtd",,"nse_cm|966ICCL25A-NI","Face Value")</f>
        <v>667</v>
      </c>
      <c r="R1461" t="str">
        <f>RTD("nest.scriprtd",,"nse_cm|966ICCL25A-NI","Isin code")</f>
        <v>INE244L07333</v>
      </c>
      <c r="S1461" s="9">
        <f>Table1[[#This Row],[Ask Rate]]*Table1[[#This Row],[Ask Qty]]</f>
        <v>0</v>
      </c>
      <c r="T1461">
        <f>VLOOKUP(Table1[[#This Row],[Isin code]],Table2[#All],7,FALSE)</f>
        <v>10.050000000000001</v>
      </c>
      <c r="U1461" s="17" t="str">
        <f>VLOOKUP(Table1[[#This Row],[Isin code]],Table2[#All],8,FALSE)</f>
        <v>02-Feb-2026</v>
      </c>
      <c r="V1461" s="10">
        <f ca="1">Table1[[#This Row],[Maturity]]-TODAY()</f>
        <v>474</v>
      </c>
      <c r="W1461" t="str">
        <f>VLOOKUP(Table1[[#This Row],[Isin code]],Table2[#All],10,FALSE)</f>
        <v>Yearly</v>
      </c>
      <c r="X1461">
        <f ca="1">_xlfn.DAYS(Table1[[#This Row],[Maturity]],TODAY())-15</f>
        <v>459</v>
      </c>
      <c r="Y146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461">
        <f>IF(Table1[[#This Row],[Ask Rate]]=0,0,Table1[[#This Row],[Face Value]]-Table1[[#This Row],[Ask Rate]])</f>
        <v>0</v>
      </c>
      <c r="AA1461">
        <f>IF(Table1[[#This Row],[Freq]]="Yearly",Table1[[#This Row],[Coupon_Rate]]/100,IF(Table1[[#This Row],[Freq]]="Monthly",Table1[[#This Row],[Coupon_Rate]]/1200,IF(Table1[[#This Row],[Freq]]="Quarterly",Table1[[#This Row],[Coupon_Rate]]/400,0)))</f>
        <v>0.10050000000000001</v>
      </c>
      <c r="AB1461">
        <f ca="1">Table1[[#This Row],[Face Value]]*Table1[[#This Row],[Rate]]*Table1[[#This Row],[Time]]</f>
        <v>134.06700000000001</v>
      </c>
      <c r="AC1461">
        <f ca="1">Table1[[#This Row],[SI]]+Table1[[#This Row],[Disc/Prem]]</f>
        <v>134.06700000000001</v>
      </c>
      <c r="AD1461" s="3" t="e">
        <f ca="1">Table1[[#This Row],[Net Gain]]/Table1[[#This Row],[Ask Rate]]</f>
        <v>#DIV/0!</v>
      </c>
      <c r="AE1461" s="3">
        <f>IF(Table1[[#This Row],[Ask Qty]]=0,0,Table1[[#This Row],[Gross Yield]]*365/Table1[[#This Row],[Days Left]])</f>
        <v>0</v>
      </c>
      <c r="AF1461" s="9">
        <f ca="1">+Table1[[#This Row],[Net Gain]]*Table1[[#This Row],[Ask Qty]]</f>
        <v>0</v>
      </c>
      <c r="AG1461" t="str">
        <f>IF(Table1[[#This Row],[YTM]]&gt;0.12,IF(Table1[[#This Row],[Gross Profit]]&gt;10000,"Invest","Review"),"Low YTM")</f>
        <v>Low YTM</v>
      </c>
    </row>
    <row r="1462" spans="1:33" x14ac:dyDescent="0.3">
      <c r="A1462" t="str">
        <f>RTD("nest.scriprtd",,"bse_cm|MMFLZC27","Symbol")</f>
        <v>MMFLZC27</v>
      </c>
      <c r="B1462" t="str">
        <f>RTD("nest.scriprtd",,"bse_cm|MMFLZC27","Trading Symbol")</f>
        <v>MMFLZC27</v>
      </c>
      <c r="C1462" t="str">
        <f>RTD("nest.scriprtd",,"bse_cm|MMFLZC27","Exchange")</f>
        <v>BSE</v>
      </c>
      <c r="D1462">
        <f>RTD("nest.scriprtd",,"bse_cm|MMFLZC27","Bid Qty")</f>
        <v>24</v>
      </c>
      <c r="E1462">
        <f>RTD("nest.scriprtd",,"bse_cm|MMFLZC27","Bid Rate")</f>
        <v>1185.4000000000001</v>
      </c>
      <c r="F1462">
        <f>RTD("nest.scriprtd",,"bse_cm|MMFLZC27","Ask Rate")</f>
        <v>0</v>
      </c>
      <c r="G1462">
        <f>RTD("nest.scriprtd",,"bse_cm|MMFLZC27","Ask Qty")</f>
        <v>0</v>
      </c>
      <c r="H1462">
        <f>RTD("nest.scriprtd",,"bse_cm|MMFLZC27","LTP")</f>
        <v>0</v>
      </c>
      <c r="I1462" t="str">
        <f>RTD("nest.scriprtd",,"bse_cm|MMFLZC27","LTT")</f>
        <v>00:00:00</v>
      </c>
      <c r="J1462">
        <f>RTD("nest.scriprtd",,"bse_cm|MMFLZC27","% Change")</f>
        <v>-100</v>
      </c>
      <c r="K1462">
        <f>RTD("nest.scriprtd",,"bse_cm|MMFLZC27","ATP")</f>
        <v>0</v>
      </c>
      <c r="L1462">
        <f>RTD("nest.scriprtd",,"bse_cm|MMFLZC27","Volume Traded Today")</f>
        <v>0</v>
      </c>
      <c r="M1462">
        <f>RTD("nest.scriprtd",,"bse_cm|MMFLZC27","Open")</f>
        <v>0</v>
      </c>
      <c r="N1462">
        <f>RTD("nest.scriprtd",,"bse_cm|MMFLZC27","High")</f>
        <v>1440</v>
      </c>
      <c r="O1462">
        <f>RTD("nest.scriprtd",,"bse_cm|MMFLZC27","Low ")</f>
        <v>1380</v>
      </c>
      <c r="P1462">
        <f>RTD("nest.scriprtd",,"bse_cm|MMFLZC27","Prev Close")</f>
        <v>1440</v>
      </c>
      <c r="Q1462">
        <f>RTD("nest.scriprtd",,"bse_cm|MMFLZC27","Face Value")</f>
        <v>1000</v>
      </c>
      <c r="R1462" t="str">
        <f>RTD("nest.scriprtd",,"bse_cm|MMFLZC27","Isin code")</f>
        <v>INE101Q07615</v>
      </c>
      <c r="S1462" s="9">
        <f>Table1[[#This Row],[Ask Rate]]*Table1[[#This Row],[Ask Qty]]</f>
        <v>0</v>
      </c>
      <c r="T1462" t="str">
        <f>VLOOKUP(Table1[[#This Row],[Isin code]],Table2[#All],7,FALSE)</f>
        <v>--</v>
      </c>
      <c r="U1462" s="17" t="str">
        <f>VLOOKUP(Table1[[#This Row],[Isin code]],Table2[#All],8,FALSE)</f>
        <v>17-Mar-2027</v>
      </c>
      <c r="V1462" s="10">
        <f ca="1">Table1[[#This Row],[Maturity]]-TODAY()</f>
        <v>882</v>
      </c>
      <c r="W1462" t="str">
        <f>VLOOKUP(Table1[[#This Row],[Isin code]],Table2[#All],10,FALSE)</f>
        <v>At the End</v>
      </c>
      <c r="X1462">
        <f ca="1">_xlfn.DAYS(Table1[[#This Row],[Maturity]],TODAY())-15</f>
        <v>867</v>
      </c>
      <c r="Y146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62">
        <f>IF(Table1[[#This Row],[Ask Rate]]=0,0,Table1[[#This Row],[Face Value]]-Table1[[#This Row],[Ask Rate]])</f>
        <v>0</v>
      </c>
      <c r="AA146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62">
        <f>Table1[[#This Row],[Face Value]]*Table1[[#This Row],[Rate]]*Table1[[#This Row],[Time]]</f>
        <v>0</v>
      </c>
      <c r="AC1462">
        <f>Table1[[#This Row],[SI]]+Table1[[#This Row],[Disc/Prem]]</f>
        <v>0</v>
      </c>
      <c r="AD1462" s="3" t="e">
        <f>Table1[[#This Row],[Net Gain]]/Table1[[#This Row],[Ask Rate]]</f>
        <v>#DIV/0!</v>
      </c>
      <c r="AE1462" s="3">
        <f>IF(Table1[[#This Row],[Ask Qty]]=0,0,Table1[[#This Row],[Gross Yield]]*365/Table1[[#This Row],[Days Left]])</f>
        <v>0</v>
      </c>
      <c r="AF1462" s="9">
        <f>+Table1[[#This Row],[Net Gain]]*Table1[[#This Row],[Ask Qty]]</f>
        <v>0</v>
      </c>
      <c r="AG1462" t="str">
        <f>IF(Table1[[#This Row],[YTM]]&gt;0.12,IF(Table1[[#This Row],[Gross Profit]]&gt;10000,"Invest","Review"),"Low YTM")</f>
        <v>Low YTM</v>
      </c>
    </row>
    <row r="1463" spans="1:33" x14ac:dyDescent="0.3">
      <c r="A1463" t="str">
        <f>RTD("nest.scriprtd",,"bse_cm|MMFLZC27C","Symbol")</f>
        <v>MMFLZC27C</v>
      </c>
      <c r="B1463" t="str">
        <f>RTD("nest.scriprtd",,"bse_cm|MMFLZC27C","Trading Symbol")</f>
        <v>MMFLZC27C</v>
      </c>
      <c r="C1463" t="str">
        <f>RTD("nest.scriprtd",,"bse_cm|MMFLZC27C","Exchange")</f>
        <v>BSE</v>
      </c>
      <c r="D1463">
        <f>RTD("nest.scriprtd",,"bse_cm|MMFLZC27C","Bid Qty")</f>
        <v>54</v>
      </c>
      <c r="E1463">
        <f>RTD("nest.scriprtd",,"bse_cm|MMFLZC27C","Bid Rate")</f>
        <v>1125.2</v>
      </c>
      <c r="F1463">
        <f>RTD("nest.scriprtd",,"bse_cm|MMFLZC27C","Ask Rate")</f>
        <v>0</v>
      </c>
      <c r="G1463">
        <f>RTD("nest.scriprtd",,"bse_cm|MMFLZC27C","Ask Qty")</f>
        <v>0</v>
      </c>
      <c r="H1463">
        <f>RTD("nest.scriprtd",,"bse_cm|MMFLZC27C","LTP")</f>
        <v>0</v>
      </c>
      <c r="I1463" t="str">
        <f>RTD("nest.scriprtd",,"bse_cm|MMFLZC27C","LTT")</f>
        <v>00:00:00</v>
      </c>
      <c r="J1463">
        <f>RTD("nest.scriprtd",,"bse_cm|MMFLZC27C","% Change")</f>
        <v>-100</v>
      </c>
      <c r="K1463">
        <f>RTD("nest.scriprtd",,"bse_cm|MMFLZC27C","ATP")</f>
        <v>0</v>
      </c>
      <c r="L1463">
        <f>RTD("nest.scriprtd",,"bse_cm|MMFLZC27C","Volume Traded Today")</f>
        <v>0</v>
      </c>
      <c r="M1463">
        <f>RTD("nest.scriprtd",,"bse_cm|MMFLZC27C","Open")</f>
        <v>0</v>
      </c>
      <c r="N1463">
        <f>RTD("nest.scriprtd",,"bse_cm|MMFLZC27C","High")</f>
        <v>1284</v>
      </c>
      <c r="O1463">
        <f>RTD("nest.scriprtd",,"bse_cm|MMFLZC27C","Low ")</f>
        <v>1284</v>
      </c>
      <c r="P1463">
        <f>RTD("nest.scriprtd",,"bse_cm|MMFLZC27C","Prev Close")</f>
        <v>1284</v>
      </c>
      <c r="Q1463">
        <f>RTD("nest.scriprtd",,"bse_cm|MMFLZC27C","Face Value")</f>
        <v>1000</v>
      </c>
      <c r="R1463" t="str">
        <f>RTD("nest.scriprtd",,"bse_cm|MMFLZC27C","Isin code")</f>
        <v>INE101Q07854</v>
      </c>
      <c r="S1463" s="9">
        <f>Table1[[#This Row],[Ask Rate]]*Table1[[#This Row],[Ask Qty]]</f>
        <v>0</v>
      </c>
      <c r="T1463" t="str">
        <f>VLOOKUP(Table1[[#This Row],[Isin code]],Table2[#All],7,FALSE)</f>
        <v>--</v>
      </c>
      <c r="U1463" s="17" t="str">
        <f>VLOOKUP(Table1[[#This Row],[Isin code]],Table2[#All],8,FALSE)</f>
        <v>23-Dec-2027</v>
      </c>
      <c r="V1463" s="10">
        <f ca="1">Table1[[#This Row],[Maturity]]-TODAY()</f>
        <v>1163</v>
      </c>
      <c r="W1463" t="str">
        <f>VLOOKUP(Table1[[#This Row],[Isin code]],Table2[#All],10,FALSE)</f>
        <v>At the End</v>
      </c>
      <c r="X1463">
        <f ca="1">_xlfn.DAYS(Table1[[#This Row],[Maturity]],TODAY())-15</f>
        <v>1148</v>
      </c>
      <c r="Y146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63">
        <f>IF(Table1[[#This Row],[Ask Rate]]=0,0,Table1[[#This Row],[Face Value]]-Table1[[#This Row],[Ask Rate]])</f>
        <v>0</v>
      </c>
      <c r="AA146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63">
        <f>Table1[[#This Row],[Face Value]]*Table1[[#This Row],[Rate]]*Table1[[#This Row],[Time]]</f>
        <v>0</v>
      </c>
      <c r="AC1463">
        <f>Table1[[#This Row],[SI]]+Table1[[#This Row],[Disc/Prem]]</f>
        <v>0</v>
      </c>
      <c r="AD1463" s="3" t="e">
        <f>Table1[[#This Row],[Net Gain]]/Table1[[#This Row],[Ask Rate]]</f>
        <v>#DIV/0!</v>
      </c>
      <c r="AE1463" s="3">
        <f>IF(Table1[[#This Row],[Ask Qty]]=0,0,Table1[[#This Row],[Gross Yield]]*365/Table1[[#This Row],[Days Left]])</f>
        <v>0</v>
      </c>
      <c r="AF1463" s="9">
        <f>+Table1[[#This Row],[Net Gain]]*Table1[[#This Row],[Ask Qty]]</f>
        <v>0</v>
      </c>
      <c r="AG1463" t="str">
        <f>IF(Table1[[#This Row],[YTM]]&gt;0.12,IF(Table1[[#This Row],[Gross Profit]]&gt;10000,"Invest","Review"),"Low YTM")</f>
        <v>Low YTM</v>
      </c>
    </row>
    <row r="1464" spans="1:33" x14ac:dyDescent="0.3">
      <c r="A1464" t="str">
        <f>RTD("nest.scriprtd",,"bse_cm|SCLZC26","Symbol")</f>
        <v>SCLZC26</v>
      </c>
      <c r="B1464" t="str">
        <f>RTD("nest.scriprtd",,"bse_cm|SCLZC26","Trading Symbol")</f>
        <v>SCLZC26</v>
      </c>
      <c r="C1464" t="str">
        <f>RTD("nest.scriprtd",,"bse_cm|SCLZC26","Exchange")</f>
        <v>BSE</v>
      </c>
      <c r="D1464">
        <f>RTD("nest.scriprtd",,"bse_cm|SCLZC26","Bid Qty")</f>
        <v>5</v>
      </c>
      <c r="E1464">
        <f>RTD("nest.scriprtd",,"bse_cm|SCLZC26","Bid Rate")</f>
        <v>1680.7</v>
      </c>
      <c r="F1464">
        <f>RTD("nest.scriprtd",,"bse_cm|SCLZC26","Ask Rate")</f>
        <v>0</v>
      </c>
      <c r="G1464">
        <f>RTD("nest.scriprtd",,"bse_cm|SCLZC26","Ask Qty")</f>
        <v>0</v>
      </c>
      <c r="H1464">
        <f>RTD("nest.scriprtd",,"bse_cm|SCLZC26","LTP")</f>
        <v>0</v>
      </c>
      <c r="I1464" t="str">
        <f>RTD("nest.scriprtd",,"bse_cm|SCLZC26","LTT")</f>
        <v>00:00:00</v>
      </c>
      <c r="J1464">
        <f>RTD("nest.scriprtd",,"bse_cm|SCLZC26","% Change")</f>
        <v>-100</v>
      </c>
      <c r="K1464">
        <f>RTD("nest.scriprtd",,"bse_cm|SCLZC26","ATP")</f>
        <v>0</v>
      </c>
      <c r="L1464">
        <f>RTD("nest.scriprtd",,"bse_cm|SCLZC26","Volume Traded Today")</f>
        <v>0</v>
      </c>
      <c r="M1464">
        <f>RTD("nest.scriprtd",,"bse_cm|SCLZC26","Open")</f>
        <v>0</v>
      </c>
      <c r="N1464">
        <f>RTD("nest.scriprtd",,"bse_cm|SCLZC26","High")</f>
        <v>1745</v>
      </c>
      <c r="O1464">
        <f>RTD("nest.scriprtd",,"bse_cm|SCLZC26","Low ")</f>
        <v>1680.55</v>
      </c>
      <c r="P1464">
        <f>RTD("nest.scriprtd",,"bse_cm|SCLZC26","Prev Close")</f>
        <v>1745</v>
      </c>
      <c r="Q1464">
        <f>RTD("nest.scriprtd",,"bse_cm|SCLZC26","Face Value")</f>
        <v>1000</v>
      </c>
      <c r="R1464" t="str">
        <f>RTD("nest.scriprtd",,"bse_cm|SCLZC26","Isin code")</f>
        <v>INE148I07GN9</v>
      </c>
      <c r="S1464" s="9">
        <f>Table1[[#This Row],[Ask Rate]]*Table1[[#This Row],[Ask Qty]]</f>
        <v>0</v>
      </c>
      <c r="T1464">
        <f>VLOOKUP(Table1[[#This Row],[Isin code]],Table2[#All],7,FALSE)</f>
        <v>0</v>
      </c>
      <c r="U1464" s="17" t="str">
        <f>VLOOKUP(Table1[[#This Row],[Isin code]],Table2[#All],8,FALSE)</f>
        <v>26-Sep-2026</v>
      </c>
      <c r="V1464" s="10">
        <f ca="1">Table1[[#This Row],[Maturity]]-TODAY()</f>
        <v>710</v>
      </c>
      <c r="W1464" t="str">
        <f>VLOOKUP(Table1[[#This Row],[Isin code]],Table2[#All],10,FALSE)</f>
        <v>0</v>
      </c>
      <c r="X1464">
        <f ca="1">_xlfn.DAYS(Table1[[#This Row],[Maturity]],TODAY())-15</f>
        <v>695</v>
      </c>
      <c r="Y146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64">
        <f>IF(Table1[[#This Row],[Ask Rate]]=0,0,Table1[[#This Row],[Face Value]]-Table1[[#This Row],[Ask Rate]])</f>
        <v>0</v>
      </c>
      <c r="AA146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64">
        <f>Table1[[#This Row],[Face Value]]*Table1[[#This Row],[Rate]]*Table1[[#This Row],[Time]]</f>
        <v>0</v>
      </c>
      <c r="AC1464">
        <f>Table1[[#This Row],[SI]]+Table1[[#This Row],[Disc/Prem]]</f>
        <v>0</v>
      </c>
      <c r="AD1464" s="3" t="e">
        <f>Table1[[#This Row],[Net Gain]]/Table1[[#This Row],[Ask Rate]]</f>
        <v>#DIV/0!</v>
      </c>
      <c r="AE1464" s="3">
        <f>IF(Table1[[#This Row],[Ask Qty]]=0,0,Table1[[#This Row],[Gross Yield]]*365/Table1[[#This Row],[Days Left]])</f>
        <v>0</v>
      </c>
      <c r="AF1464" s="9">
        <f>+Table1[[#This Row],[Net Gain]]*Table1[[#This Row],[Ask Qty]]</f>
        <v>0</v>
      </c>
      <c r="AG1464" t="str">
        <f>IF(Table1[[#This Row],[YTM]]&gt;0.12,IF(Table1[[#This Row],[Gross Profit]]&gt;10000,"Invest","Review"),"Low YTM")</f>
        <v>Low YTM</v>
      </c>
    </row>
    <row r="1465" spans="1:33" x14ac:dyDescent="0.3">
      <c r="A1465" t="str">
        <f>RTD("nest.scriprtd",,"bse_cm|96EFSL26","Symbol")</f>
        <v>96EFSL26</v>
      </c>
      <c r="B1465" t="str">
        <f>RTD("nest.scriprtd",,"bse_cm|96EFSL26","Trading Symbol")</f>
        <v>96EFSL26</v>
      </c>
      <c r="C1465" t="str">
        <f>RTD("nest.scriprtd",,"bse_cm|96EFSL26","Exchange")</f>
        <v>BSE</v>
      </c>
      <c r="D1465">
        <f>RTD("nest.scriprtd",,"bse_cm|96EFSL26","Bid Qty")</f>
        <v>50</v>
      </c>
      <c r="E1465">
        <f>RTD("nest.scriprtd",,"bse_cm|96EFSL26","Bid Rate")</f>
        <v>963.07</v>
      </c>
      <c r="F1465">
        <f>RTD("nest.scriprtd",,"bse_cm|96EFSL26","Ask Rate")</f>
        <v>0</v>
      </c>
      <c r="G1465">
        <f>RTD("nest.scriprtd",,"bse_cm|96EFSL26","Ask Qty")</f>
        <v>0</v>
      </c>
      <c r="H1465">
        <f>RTD("nest.scriprtd",,"bse_cm|96EFSL26","LTP")</f>
        <v>0</v>
      </c>
      <c r="I1465" t="str">
        <f>RTD("nest.scriprtd",,"bse_cm|96EFSL26","LTT")</f>
        <v>00:00:00</v>
      </c>
      <c r="J1465">
        <f>RTD("nest.scriprtd",,"bse_cm|96EFSL26","% Change")</f>
        <v>-100</v>
      </c>
      <c r="K1465">
        <f>RTD("nest.scriprtd",,"bse_cm|96EFSL26","ATP")</f>
        <v>0</v>
      </c>
      <c r="L1465">
        <f>RTD("nest.scriprtd",,"bse_cm|96EFSL26","Volume Traded Today")</f>
        <v>0</v>
      </c>
      <c r="M1465">
        <f>RTD("nest.scriprtd",,"bse_cm|96EFSL26","Open")</f>
        <v>0</v>
      </c>
      <c r="N1465">
        <f>RTD("nest.scriprtd",,"bse_cm|96EFSL26","High")</f>
        <v>970.52</v>
      </c>
      <c r="O1465">
        <f>RTD("nest.scriprtd",,"bse_cm|96EFSL26","Low ")</f>
        <v>960</v>
      </c>
      <c r="P1465">
        <f>RTD("nest.scriprtd",,"bse_cm|96EFSL26","Prev Close")</f>
        <v>970.52</v>
      </c>
      <c r="Q1465">
        <f>RTD("nest.scriprtd",,"bse_cm|96EFSL26","Face Value")</f>
        <v>1000</v>
      </c>
      <c r="R1465" t="str">
        <f>RTD("nest.scriprtd",,"bse_cm|96EFSL26","Isin code")</f>
        <v>INE532F07ED6</v>
      </c>
      <c r="S1465" s="9">
        <f>Table1[[#This Row],[Ask Rate]]*Table1[[#This Row],[Ask Qty]]</f>
        <v>0</v>
      </c>
      <c r="T1465">
        <f>VLOOKUP(Table1[[#This Row],[Isin code]],Table2[#All],7,FALSE)</f>
        <v>9.6</v>
      </c>
      <c r="U1465" s="17" t="str">
        <f>VLOOKUP(Table1[[#This Row],[Isin code]],Table2[#All],8,FALSE)</f>
        <v>21-Jul-2026</v>
      </c>
      <c r="V1465" s="10">
        <f ca="1">Table1[[#This Row],[Maturity]]-TODAY()</f>
        <v>643</v>
      </c>
      <c r="W1465" t="str">
        <f>VLOOKUP(Table1[[#This Row],[Isin code]],Table2[#All],10,FALSE)</f>
        <v>Yearly</v>
      </c>
      <c r="X1465">
        <f ca="1">_xlfn.DAYS(Table1[[#This Row],[Maturity]],TODAY())-15</f>
        <v>628</v>
      </c>
      <c r="Y14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465">
        <f>IF(Table1[[#This Row],[Ask Rate]]=0,0,Table1[[#This Row],[Face Value]]-Table1[[#This Row],[Ask Rate]])</f>
        <v>0</v>
      </c>
      <c r="AA1465">
        <f>IF(Table1[[#This Row],[Freq]]="Yearly",Table1[[#This Row],[Coupon_Rate]]/100,IF(Table1[[#This Row],[Freq]]="Monthly",Table1[[#This Row],[Coupon_Rate]]/1200,IF(Table1[[#This Row],[Freq]]="Quarterly",Table1[[#This Row],[Coupon_Rate]]/400,0)))</f>
        <v>9.6000000000000002E-2</v>
      </c>
      <c r="AB1465">
        <f ca="1">Table1[[#This Row],[Face Value]]*Table1[[#This Row],[Rate]]*Table1[[#This Row],[Time]]</f>
        <v>192</v>
      </c>
      <c r="AC1465">
        <f ca="1">Table1[[#This Row],[SI]]+Table1[[#This Row],[Disc/Prem]]</f>
        <v>192</v>
      </c>
      <c r="AD1465" s="3" t="e">
        <f ca="1">Table1[[#This Row],[Net Gain]]/Table1[[#This Row],[Ask Rate]]</f>
        <v>#DIV/0!</v>
      </c>
      <c r="AE1465" s="3">
        <f>IF(Table1[[#This Row],[Ask Qty]]=0,0,Table1[[#This Row],[Gross Yield]]*365/Table1[[#This Row],[Days Left]])</f>
        <v>0</v>
      </c>
      <c r="AF1465" s="9">
        <f ca="1">+Table1[[#This Row],[Net Gain]]*Table1[[#This Row],[Ask Qty]]</f>
        <v>0</v>
      </c>
      <c r="AG1465" t="str">
        <f>IF(Table1[[#This Row],[YTM]]&gt;0.12,IF(Table1[[#This Row],[Gross Profit]]&gt;10000,"Invest","Review"),"Low YTM")</f>
        <v>Low YTM</v>
      </c>
    </row>
    <row r="1466" spans="1:33" x14ac:dyDescent="0.3">
      <c r="A1466" t="str">
        <f>RTD("nest.scriprtd",,"bse_cm|925MFL25","Symbol")</f>
        <v>925MFL25</v>
      </c>
      <c r="B1466" t="str">
        <f>RTD("nest.scriprtd",,"bse_cm|925MFL25","Trading Symbol")</f>
        <v>925MFL25</v>
      </c>
      <c r="C1466" t="str">
        <f>RTD("nest.scriprtd",,"bse_cm|925MFL25","Exchange")</f>
        <v>BSE</v>
      </c>
      <c r="D1466">
        <f>RTD("nest.scriprtd",,"bse_cm|925MFL25","Bid Qty")</f>
        <v>27</v>
      </c>
      <c r="E1466">
        <f>RTD("nest.scriprtd",,"bse_cm|925MFL25","Bid Rate")</f>
        <v>963</v>
      </c>
      <c r="F1466">
        <f>RTD("nest.scriprtd",,"bse_cm|925MFL25","Ask Rate")</f>
        <v>0</v>
      </c>
      <c r="G1466">
        <f>RTD("nest.scriprtd",,"bse_cm|925MFL25","Ask Qty")</f>
        <v>0</v>
      </c>
      <c r="H1466">
        <f>RTD("nest.scriprtd",,"bse_cm|925MFL25","LTP")</f>
        <v>0</v>
      </c>
      <c r="I1466" t="str">
        <f>RTD("nest.scriprtd",,"bse_cm|925MFL25","LTT")</f>
        <v>00:00:00</v>
      </c>
      <c r="J1466">
        <f>RTD("nest.scriprtd",,"bse_cm|925MFL25","% Change")</f>
        <v>-100</v>
      </c>
      <c r="K1466">
        <f>RTD("nest.scriprtd",,"bse_cm|925MFL25","ATP")</f>
        <v>0</v>
      </c>
      <c r="L1466">
        <f>RTD("nest.scriprtd",,"bse_cm|925MFL25","Volume Traded Today")</f>
        <v>0</v>
      </c>
      <c r="M1466">
        <f>RTD("nest.scriprtd",,"bse_cm|925MFL25","Open")</f>
        <v>0</v>
      </c>
      <c r="N1466">
        <f>RTD("nest.scriprtd",,"bse_cm|925MFL25","High")</f>
        <v>962.2</v>
      </c>
      <c r="O1466">
        <f>RTD("nest.scriprtd",,"bse_cm|925MFL25","Low ")</f>
        <v>962.2</v>
      </c>
      <c r="P1466">
        <f>RTD("nest.scriprtd",,"bse_cm|925MFL25","Prev Close")</f>
        <v>962.2</v>
      </c>
      <c r="Q1466">
        <f>RTD("nest.scriprtd",,"bse_cm|925MFL25","Face Value")</f>
        <v>1000</v>
      </c>
      <c r="R1466" t="str">
        <f>RTD("nest.scriprtd",,"bse_cm|925MFL25","Isin code")</f>
        <v>INE549K07683</v>
      </c>
      <c r="S1466" s="9">
        <f>Table1[[#This Row],[Ask Rate]]*Table1[[#This Row],[Ask Qty]]</f>
        <v>0</v>
      </c>
      <c r="T1466">
        <f>VLOOKUP(Table1[[#This Row],[Isin code]],Table2[#All],7,FALSE)</f>
        <v>9.25</v>
      </c>
      <c r="U1466" s="17" t="str">
        <f>VLOOKUP(Table1[[#This Row],[Isin code]],Table2[#All],8,FALSE)</f>
        <v>17-Jul-2025</v>
      </c>
      <c r="V1466" s="10">
        <f ca="1">Table1[[#This Row],[Maturity]]-TODAY()</f>
        <v>274</v>
      </c>
      <c r="W1466" t="str">
        <f>VLOOKUP(Table1[[#This Row],[Isin code]],Table2[#All],10,FALSE)</f>
        <v>Monthly</v>
      </c>
      <c r="X1466">
        <f ca="1">_xlfn.DAYS(Table1[[#This Row],[Maturity]],TODAY())-15</f>
        <v>259</v>
      </c>
      <c r="Y146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1466">
        <f>IF(Table1[[#This Row],[Ask Rate]]=0,0,Table1[[#This Row],[Face Value]]-Table1[[#This Row],[Ask Rate]])</f>
        <v>0</v>
      </c>
      <c r="AA1466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466">
        <f ca="1">Table1[[#This Row],[Face Value]]*Table1[[#This Row],[Rate]]*Table1[[#This Row],[Time]]</f>
        <v>69.375</v>
      </c>
      <c r="AC1466">
        <f ca="1">Table1[[#This Row],[SI]]+Table1[[#This Row],[Disc/Prem]]</f>
        <v>69.375</v>
      </c>
      <c r="AD1466" s="3" t="e">
        <f ca="1">Table1[[#This Row],[Net Gain]]/Table1[[#This Row],[Ask Rate]]</f>
        <v>#DIV/0!</v>
      </c>
      <c r="AE1466" s="3">
        <f>IF(Table1[[#This Row],[Ask Qty]]=0,0,Table1[[#This Row],[Gross Yield]]*365/Table1[[#This Row],[Days Left]])</f>
        <v>0</v>
      </c>
      <c r="AF1466" s="9">
        <f ca="1">+Table1[[#This Row],[Net Gain]]*Table1[[#This Row],[Ask Qty]]</f>
        <v>0</v>
      </c>
      <c r="AG1466" t="str">
        <f>IF(Table1[[#This Row],[YTM]]&gt;0.12,IF(Table1[[#This Row],[Gross Profit]]&gt;10000,"Invest","Review"),"Low YTM")</f>
        <v>Low YTM</v>
      </c>
    </row>
    <row r="1467" spans="1:33" x14ac:dyDescent="0.3">
      <c r="A1467" t="str">
        <f>RTD("nest.scriprtd",,"bse_cm|926ONE29","Symbol")</f>
        <v>926ONE29</v>
      </c>
      <c r="B1467" t="str">
        <f>RTD("nest.scriprtd",,"bse_cm|926ONE29","Trading Symbol")</f>
        <v>926ONE29</v>
      </c>
      <c r="C1467" t="str">
        <f>RTD("nest.scriprtd",,"bse_cm|926ONE29","Exchange")</f>
        <v>BSE</v>
      </c>
      <c r="D1467">
        <f>RTD("nest.scriprtd",,"bse_cm|926ONE29","Bid Qty")</f>
        <v>10</v>
      </c>
      <c r="E1467">
        <f>RTD("nest.scriprtd",,"bse_cm|926ONE29","Bid Rate")</f>
        <v>990</v>
      </c>
      <c r="F1467">
        <f>RTD("nest.scriprtd",,"bse_cm|926ONE29","Ask Rate")</f>
        <v>0</v>
      </c>
      <c r="G1467">
        <f>RTD("nest.scriprtd",,"bse_cm|926ONE29","Ask Qty")</f>
        <v>0</v>
      </c>
      <c r="H1467">
        <f>RTD("nest.scriprtd",,"bse_cm|926ONE29","LTP")</f>
        <v>0</v>
      </c>
      <c r="I1467" t="str">
        <f>RTD("nest.scriprtd",,"bse_cm|926ONE29","LTT")</f>
        <v>00:00:00</v>
      </c>
      <c r="J1467">
        <f>RTD("nest.scriprtd",,"bse_cm|926ONE29","% Change")</f>
        <v>-100</v>
      </c>
      <c r="K1467">
        <f>RTD("nest.scriprtd",,"bse_cm|926ONE29","ATP")</f>
        <v>0</v>
      </c>
      <c r="L1467">
        <f>RTD("nest.scriprtd",,"bse_cm|926ONE29","Volume Traded Today")</f>
        <v>0</v>
      </c>
      <c r="M1467">
        <f>RTD("nest.scriprtd",,"bse_cm|926ONE29","Open")</f>
        <v>0</v>
      </c>
      <c r="N1467">
        <f>RTD("nest.scriprtd",,"bse_cm|926ONE29","High")</f>
        <v>990</v>
      </c>
      <c r="O1467">
        <f>RTD("nest.scriprtd",,"bse_cm|926ONE29","Low ")</f>
        <v>990</v>
      </c>
      <c r="P1467">
        <f>RTD("nest.scriprtd",,"bse_cm|926ONE29","Prev Close")</f>
        <v>990</v>
      </c>
      <c r="Q1467">
        <f>RTD("nest.scriprtd",,"bse_cm|926ONE29","Face Value")</f>
        <v>1000</v>
      </c>
      <c r="R1467" t="str">
        <f>RTD("nest.scriprtd",,"bse_cm|926ONE29","Isin code")</f>
        <v>INE248U07ES6</v>
      </c>
      <c r="S1467" s="9">
        <f>Table1[[#This Row],[Ask Rate]]*Table1[[#This Row],[Ask Qty]]</f>
        <v>0</v>
      </c>
      <c r="T1467">
        <f>VLOOKUP(Table1[[#This Row],[Isin code]],Table2[#All],7,FALSE)</f>
        <v>9.26</v>
      </c>
      <c r="U1467" s="17" t="str">
        <f>VLOOKUP(Table1[[#This Row],[Isin code]],Table2[#All],8,FALSE)</f>
        <v>18-Jan-2029</v>
      </c>
      <c r="V1467" s="10">
        <f ca="1">Table1[[#This Row],[Maturity]]-TODAY()</f>
        <v>1555</v>
      </c>
      <c r="W1467" t="str">
        <f>VLOOKUP(Table1[[#This Row],[Isin code]],Table2[#All],10,FALSE)</f>
        <v>Monthly</v>
      </c>
      <c r="X1467">
        <f ca="1">_xlfn.DAYS(Table1[[#This Row],[Maturity]],TODAY())-15</f>
        <v>1540</v>
      </c>
      <c r="Y146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52</v>
      </c>
      <c r="Z1467">
        <f>IF(Table1[[#This Row],[Ask Rate]]=0,0,Table1[[#This Row],[Face Value]]-Table1[[#This Row],[Ask Rate]])</f>
        <v>0</v>
      </c>
      <c r="AA1467">
        <f>IF(Table1[[#This Row],[Freq]]="Yearly",Table1[[#This Row],[Coupon_Rate]]/100,IF(Table1[[#This Row],[Freq]]="Monthly",Table1[[#This Row],[Coupon_Rate]]/1200,IF(Table1[[#This Row],[Freq]]="Quarterly",Table1[[#This Row],[Coupon_Rate]]/400,0)))</f>
        <v>7.7166666666666668E-3</v>
      </c>
      <c r="AB1467">
        <f ca="1">Table1[[#This Row],[Face Value]]*Table1[[#This Row],[Rate]]*Table1[[#This Row],[Time]]</f>
        <v>401.26666666666665</v>
      </c>
      <c r="AC1467">
        <f ca="1">Table1[[#This Row],[SI]]+Table1[[#This Row],[Disc/Prem]]</f>
        <v>401.26666666666665</v>
      </c>
      <c r="AD1467" s="3" t="e">
        <f ca="1">Table1[[#This Row],[Net Gain]]/Table1[[#This Row],[Ask Rate]]</f>
        <v>#DIV/0!</v>
      </c>
      <c r="AE1467" s="3">
        <f>IF(Table1[[#This Row],[Ask Qty]]=0,0,Table1[[#This Row],[Gross Yield]]*365/Table1[[#This Row],[Days Left]])</f>
        <v>0</v>
      </c>
      <c r="AF1467" s="9">
        <f ca="1">+Table1[[#This Row],[Net Gain]]*Table1[[#This Row],[Ask Qty]]</f>
        <v>0</v>
      </c>
      <c r="AG1467" t="str">
        <f>IF(Table1[[#This Row],[YTM]]&gt;0.12,IF(Table1[[#This Row],[Gross Profit]]&gt;10000,"Invest","Review"),"Low YTM")</f>
        <v>Low YTM</v>
      </c>
    </row>
    <row r="1468" spans="1:33" x14ac:dyDescent="0.3">
      <c r="A1468" t="str">
        <f>RTD("nest.scriprtd",,"bse_cm|EFSL26724A","Symbol")</f>
        <v>EFSL26724A</v>
      </c>
      <c r="B1468" t="str">
        <f>RTD("nest.scriprtd",,"bse_cm|EFSL26724A","Trading Symbol")</f>
        <v>EFSL26724A</v>
      </c>
      <c r="C1468" t="str">
        <f>RTD("nest.scriprtd",,"bse_cm|EFSL26724A","Exchange")</f>
        <v>BSE</v>
      </c>
      <c r="D1468">
        <f>RTD("nest.scriprtd",,"bse_cm|EFSL26724A","Bid Qty")</f>
        <v>50</v>
      </c>
      <c r="E1468">
        <f>RTD("nest.scriprtd",,"bse_cm|EFSL26724A","Bid Rate")</f>
        <v>851</v>
      </c>
      <c r="F1468">
        <f>RTD("nest.scriprtd",,"bse_cm|EFSL26724A","Ask Rate")</f>
        <v>0</v>
      </c>
      <c r="G1468">
        <f>RTD("nest.scriprtd",,"bse_cm|EFSL26724A","Ask Qty")</f>
        <v>0</v>
      </c>
      <c r="H1468">
        <f>RTD("nest.scriprtd",,"bse_cm|EFSL26724A","LTP")</f>
        <v>0</v>
      </c>
      <c r="I1468" t="str">
        <f>RTD("nest.scriprtd",,"bse_cm|EFSL26724A","LTT")</f>
        <v>00:00:00</v>
      </c>
      <c r="J1468">
        <f>RTD("nest.scriprtd",,"bse_cm|EFSL26724A","% Change")</f>
        <v>-100</v>
      </c>
      <c r="K1468">
        <f>RTD("nest.scriprtd",,"bse_cm|EFSL26724A","ATP")</f>
        <v>0</v>
      </c>
      <c r="L1468">
        <f>RTD("nest.scriprtd",,"bse_cm|EFSL26724A","Volume Traded Today")</f>
        <v>0</v>
      </c>
      <c r="M1468">
        <f>RTD("nest.scriprtd",,"bse_cm|EFSL26724A","Open")</f>
        <v>0</v>
      </c>
      <c r="N1468">
        <f>RTD("nest.scriprtd",,"bse_cm|EFSL26724A","High")</f>
        <v>970</v>
      </c>
      <c r="O1468">
        <f>RTD("nest.scriprtd",,"bse_cm|EFSL26724A","Low ")</f>
        <v>950</v>
      </c>
      <c r="P1468">
        <f>RTD("nest.scriprtd",,"bse_cm|EFSL26724A","Prev Close")</f>
        <v>950</v>
      </c>
      <c r="Q1468">
        <f>RTD("nest.scriprtd",,"bse_cm|EFSL26724A","Face Value")</f>
        <v>1000</v>
      </c>
      <c r="R1468" t="str">
        <f>RTD("nest.scriprtd",,"bse_cm|EFSL26724A","Isin code")</f>
        <v>INE532F07FW3</v>
      </c>
      <c r="S1468" s="9">
        <f>Table1[[#This Row],[Ask Rate]]*Table1[[#This Row],[Ask Qty]]</f>
        <v>0</v>
      </c>
      <c r="T1468" t="str">
        <f>VLOOKUP(Table1[[#This Row],[Isin code]],Table2[#All],7,FALSE)</f>
        <v>--</v>
      </c>
      <c r="U1468" s="17" t="str">
        <f>VLOOKUP(Table1[[#This Row],[Isin code]],Table2[#All],8,FALSE)</f>
        <v>26-Jul-2029</v>
      </c>
      <c r="V1468" s="10">
        <f ca="1">Table1[[#This Row],[Maturity]]-TODAY()</f>
        <v>1744</v>
      </c>
      <c r="W1468" t="str">
        <f>VLOOKUP(Table1[[#This Row],[Isin code]],Table2[#All],10,FALSE)</f>
        <v>--</v>
      </c>
      <c r="X1468">
        <f ca="1">_xlfn.DAYS(Table1[[#This Row],[Maturity]],TODAY())-15</f>
        <v>1729</v>
      </c>
      <c r="Y146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68">
        <f>IF(Table1[[#This Row],[Ask Rate]]=0,0,Table1[[#This Row],[Face Value]]-Table1[[#This Row],[Ask Rate]])</f>
        <v>0</v>
      </c>
      <c r="AA146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68">
        <f>Table1[[#This Row],[Face Value]]*Table1[[#This Row],[Rate]]*Table1[[#This Row],[Time]]</f>
        <v>0</v>
      </c>
      <c r="AC1468">
        <f>Table1[[#This Row],[SI]]+Table1[[#This Row],[Disc/Prem]]</f>
        <v>0</v>
      </c>
      <c r="AD1468" s="3" t="e">
        <f>Table1[[#This Row],[Net Gain]]/Table1[[#This Row],[Ask Rate]]</f>
        <v>#DIV/0!</v>
      </c>
      <c r="AE1468" s="3">
        <f>IF(Table1[[#This Row],[Ask Qty]]=0,0,Table1[[#This Row],[Gross Yield]]*365/Table1[[#This Row],[Days Left]])</f>
        <v>0</v>
      </c>
      <c r="AF1468" s="9">
        <f>+Table1[[#This Row],[Net Gain]]*Table1[[#This Row],[Ask Qty]]</f>
        <v>0</v>
      </c>
      <c r="AG1468" t="str">
        <f>IF(Table1[[#This Row],[YTM]]&gt;0.12,IF(Table1[[#This Row],[Gross Profit]]&gt;10000,"Invest","Review"),"Low YTM")</f>
        <v>Low YTM</v>
      </c>
    </row>
    <row r="1469" spans="1:33" x14ac:dyDescent="0.3">
      <c r="A1469" t="str">
        <f>RTD("nest.scriprtd",,"nse_cm|965IHFL25D-N7","Symbol")</f>
        <v>965IHFL25D</v>
      </c>
      <c r="B1469" t="str">
        <f>RTD("nest.scriprtd",,"nse_cm|965IHFL25D-N7","Trading Symbol")</f>
        <v>965IHFL25D-N7</v>
      </c>
      <c r="C1469" t="str">
        <f>RTD("nest.scriprtd",,"nse_cm|965IHFL25D-N7","Exchange")</f>
        <v>NSE</v>
      </c>
      <c r="D1469">
        <f>RTD("nest.scriprtd",,"nse_cm|965IHFL25D-N7","Bid Qty")</f>
        <v>12</v>
      </c>
      <c r="E1469">
        <f>RTD("nest.scriprtd",,"nse_cm|965IHFL25D-N7","Bid Rate")</f>
        <v>1051.2</v>
      </c>
      <c r="F1469">
        <f>RTD("nest.scriprtd",,"nse_cm|965IHFL25D-N7","Ask Rate")</f>
        <v>0</v>
      </c>
      <c r="G1469">
        <f>RTD("nest.scriprtd",,"nse_cm|965IHFL25D-N7","Ask Qty")</f>
        <v>0</v>
      </c>
      <c r="H1469">
        <f>RTD("nest.scriprtd",,"nse_cm|965IHFL25D-N7","LTP")</f>
        <v>1088</v>
      </c>
      <c r="I1469" t="str">
        <f>RTD("nest.scriprtd",,"nse_cm|965IHFL25D-N7","LTT")</f>
        <v/>
      </c>
      <c r="J1469">
        <f>RTD("nest.scriprtd",,"nse_cm|965IHFL25D-N7","% Change")</f>
        <v>0</v>
      </c>
      <c r="K1469">
        <f>RTD("nest.scriprtd",,"nse_cm|965IHFL25D-N7","ATP")</f>
        <v>0</v>
      </c>
      <c r="L1469">
        <f>RTD("nest.scriprtd",,"nse_cm|965IHFL25D-N7","Volume Traded Today")</f>
        <v>0</v>
      </c>
      <c r="M1469">
        <f>RTD("nest.scriprtd",,"nse_cm|965IHFL25D-N7","Open")</f>
        <v>0</v>
      </c>
      <c r="N1469">
        <f>RTD("nest.scriprtd",,"nse_cm|965IHFL25D-N7","High")</f>
        <v>1088</v>
      </c>
      <c r="O1469">
        <f>RTD("nest.scriprtd",,"nse_cm|965IHFL25D-N7","Low ")</f>
        <v>1088</v>
      </c>
      <c r="P1469">
        <f>RTD("nest.scriprtd",,"nse_cm|965IHFL25D-N7","Prev Close")</f>
        <v>1088</v>
      </c>
      <c r="Q1469">
        <f>RTD("nest.scriprtd",,"nse_cm|965IHFL25D-N7","Face Value")</f>
        <v>1000</v>
      </c>
      <c r="R1469" t="str">
        <f>RTD("nest.scriprtd",,"nse_cm|965IHFL25D-N7","Isin code")</f>
        <v>INE121A07RG4</v>
      </c>
      <c r="S1469" s="9">
        <f>Table1[[#This Row],[Ask Rate]]*Table1[[#This Row],[Ask Qty]]</f>
        <v>0</v>
      </c>
      <c r="T1469">
        <f>VLOOKUP(Table1[[#This Row],[Isin code]],Table2[#All],7,FALSE)</f>
        <v>0</v>
      </c>
      <c r="U1469" s="17" t="str">
        <f>VLOOKUP(Table1[[#This Row],[Isin code]],Table2[#All],8,FALSE)</f>
        <v>09-Jun-2025</v>
      </c>
      <c r="V1469" s="10">
        <f ca="1">Table1[[#This Row],[Maturity]]-TODAY()</f>
        <v>236</v>
      </c>
      <c r="W1469" t="str">
        <f>VLOOKUP(Table1[[#This Row],[Isin code]],Table2[#All],10,FALSE)</f>
        <v>Monthly</v>
      </c>
      <c r="X1469">
        <f ca="1">_xlfn.DAYS(Table1[[#This Row],[Maturity]],TODAY())-15</f>
        <v>221</v>
      </c>
      <c r="Y14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8</v>
      </c>
      <c r="Z1469">
        <f>IF(Table1[[#This Row],[Ask Rate]]=0,0,Table1[[#This Row],[Face Value]]-Table1[[#This Row],[Ask Rate]])</f>
        <v>0</v>
      </c>
      <c r="AA146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69">
        <f ca="1">Table1[[#This Row],[Face Value]]*Table1[[#This Row],[Rate]]*Table1[[#This Row],[Time]]</f>
        <v>0</v>
      </c>
      <c r="AC1469">
        <f ca="1">Table1[[#This Row],[SI]]+Table1[[#This Row],[Disc/Prem]]</f>
        <v>0</v>
      </c>
      <c r="AD1469" s="3" t="e">
        <f ca="1">Table1[[#This Row],[Net Gain]]/Table1[[#This Row],[Ask Rate]]</f>
        <v>#DIV/0!</v>
      </c>
      <c r="AE1469" s="3">
        <f>IF(Table1[[#This Row],[Ask Qty]]=0,0,Table1[[#This Row],[Gross Yield]]*365/Table1[[#This Row],[Days Left]])</f>
        <v>0</v>
      </c>
      <c r="AF1469" s="9">
        <f ca="1">+Table1[[#This Row],[Net Gain]]*Table1[[#This Row],[Ask Qty]]</f>
        <v>0</v>
      </c>
      <c r="AG1469" t="str">
        <f>IF(Table1[[#This Row],[YTM]]&gt;0.12,IF(Table1[[#This Row],[Gross Profit]]&gt;10000,"Invest","Review"),"Low YTM")</f>
        <v>Low YTM</v>
      </c>
    </row>
    <row r="1470" spans="1:33" x14ac:dyDescent="0.3">
      <c r="A1470" t="str">
        <f>RTD("nest.scriprtd",,"bse_cm|955IFSL25","Symbol")</f>
        <v>955IFSL25</v>
      </c>
      <c r="B1470" t="str">
        <f>RTD("nest.scriprtd",,"bse_cm|955IFSL25","Trading Symbol")</f>
        <v>955IFSL25</v>
      </c>
      <c r="C1470" t="str">
        <f>RTD("nest.scriprtd",,"bse_cm|955IFSL25","Exchange")</f>
        <v>BSE</v>
      </c>
      <c r="D1470">
        <f>RTD("nest.scriprtd",,"bse_cm|955IFSL25","Bid Qty")</f>
        <v>25</v>
      </c>
      <c r="E1470">
        <f>RTD("nest.scriprtd",,"bse_cm|955IFSL25","Bid Rate")</f>
        <v>590.20000000000005</v>
      </c>
      <c r="F1470">
        <f>RTD("nest.scriprtd",,"bse_cm|955IFSL25","Ask Rate")</f>
        <v>0</v>
      </c>
      <c r="G1470">
        <f>RTD("nest.scriprtd",,"bse_cm|955IFSL25","Ask Qty")</f>
        <v>0</v>
      </c>
      <c r="H1470">
        <f>RTD("nest.scriprtd",,"bse_cm|955IFSL25","LTP")</f>
        <v>0</v>
      </c>
      <c r="I1470" t="str">
        <f>RTD("nest.scriprtd",,"bse_cm|955IFSL25","LTT")</f>
        <v>00:00:00</v>
      </c>
      <c r="J1470">
        <f>RTD("nest.scriprtd",,"bse_cm|955IFSL25","% Change")</f>
        <v>-100</v>
      </c>
      <c r="K1470">
        <f>RTD("nest.scriprtd",,"bse_cm|955IFSL25","ATP")</f>
        <v>0</v>
      </c>
      <c r="L1470">
        <f>RTD("nest.scriprtd",,"bse_cm|955IFSL25","Volume Traded Today")</f>
        <v>0</v>
      </c>
      <c r="M1470">
        <f>RTD("nest.scriprtd",,"bse_cm|955IFSL25","Open")</f>
        <v>0</v>
      </c>
      <c r="N1470">
        <f>RTD("nest.scriprtd",,"bse_cm|955IFSL25","High")</f>
        <v>622</v>
      </c>
      <c r="O1470">
        <f>RTD("nest.scriprtd",,"bse_cm|955IFSL25","Low ")</f>
        <v>622</v>
      </c>
      <c r="P1470">
        <f>RTD("nest.scriprtd",,"bse_cm|955IFSL25","Prev Close")</f>
        <v>622</v>
      </c>
      <c r="Q1470">
        <f>RTD("nest.scriprtd",,"bse_cm|955IFSL25","Face Value")</f>
        <v>625</v>
      </c>
      <c r="R1470" t="str">
        <f>RTD("nest.scriprtd",,"bse_cm|955IFSL25","Isin code")</f>
        <v>INE321N07335</v>
      </c>
      <c r="S1470" s="9">
        <f>Table1[[#This Row],[Ask Rate]]*Table1[[#This Row],[Ask Qty]]</f>
        <v>0</v>
      </c>
      <c r="T1470">
        <f>VLOOKUP(Table1[[#This Row],[Isin code]],Table2[#All],7,FALSE)</f>
        <v>9.5500000000000007</v>
      </c>
      <c r="U1470" s="17" t="str">
        <f>VLOOKUP(Table1[[#This Row],[Isin code]],Table2[#All],8,FALSE)</f>
        <v>10-Nov-2025</v>
      </c>
      <c r="V1470" s="10">
        <f ca="1">Table1[[#This Row],[Maturity]]-TODAY()</f>
        <v>390</v>
      </c>
      <c r="W1470" t="str">
        <f>VLOOKUP(Table1[[#This Row],[Isin code]],Table2[#All],10,FALSE)</f>
        <v>Quarterly</v>
      </c>
      <c r="X1470">
        <f ca="1">_xlfn.DAYS(Table1[[#This Row],[Maturity]],TODAY())-15</f>
        <v>375</v>
      </c>
      <c r="Y14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70">
        <f>IF(Table1[[#This Row],[Ask Rate]]=0,0,Table1[[#This Row],[Face Value]]-Table1[[#This Row],[Ask Rate]])</f>
        <v>0</v>
      </c>
      <c r="AA1470">
        <f>IF(Table1[[#This Row],[Freq]]="Yearly",Table1[[#This Row],[Coupon_Rate]]/100,IF(Table1[[#This Row],[Freq]]="Monthly",Table1[[#This Row],[Coupon_Rate]]/1200,IF(Table1[[#This Row],[Freq]]="Quarterly",Table1[[#This Row],[Coupon_Rate]]/400,0)))</f>
        <v>2.3875E-2</v>
      </c>
      <c r="AB1470">
        <f ca="1">Table1[[#This Row],[Face Value]]*Table1[[#This Row],[Rate]]*Table1[[#This Row],[Time]]</f>
        <v>74.609375</v>
      </c>
      <c r="AC1470">
        <f ca="1">Table1[[#This Row],[SI]]+Table1[[#This Row],[Disc/Prem]]</f>
        <v>74.609375</v>
      </c>
      <c r="AD1470" s="3" t="e">
        <f ca="1">Table1[[#This Row],[Net Gain]]/Table1[[#This Row],[Ask Rate]]</f>
        <v>#DIV/0!</v>
      </c>
      <c r="AE1470" s="3">
        <f>IF(Table1[[#This Row],[Ask Qty]]=0,0,Table1[[#This Row],[Gross Yield]]*365/Table1[[#This Row],[Days Left]])</f>
        <v>0</v>
      </c>
      <c r="AF1470" s="9">
        <f ca="1">+Table1[[#This Row],[Net Gain]]*Table1[[#This Row],[Ask Qty]]</f>
        <v>0</v>
      </c>
      <c r="AG1470" t="str">
        <f>IF(Table1[[#This Row],[YTM]]&gt;0.12,IF(Table1[[#This Row],[Gross Profit]]&gt;10000,"Invest","Review"),"Low YTM")</f>
        <v>Low YTM</v>
      </c>
    </row>
    <row r="1471" spans="1:33" x14ac:dyDescent="0.3">
      <c r="A1471" t="str">
        <f>RTD("nest.scriprtd",,"bse_cm|971SCL28I","Symbol")</f>
        <v>971SCL28I</v>
      </c>
      <c r="B1471" t="str">
        <f>RTD("nest.scriprtd",,"bse_cm|971SCL28I","Trading Symbol")</f>
        <v>971SCL28I</v>
      </c>
      <c r="C1471" t="str">
        <f>RTD("nest.scriprtd",,"bse_cm|971SCL28I","Exchange")</f>
        <v>BSE</v>
      </c>
      <c r="D1471">
        <f>RTD("nest.scriprtd",,"bse_cm|971SCL28I","Bid Qty")</f>
        <v>5</v>
      </c>
      <c r="E1471">
        <f>RTD("nest.scriprtd",,"bse_cm|971SCL28I","Bid Rate")</f>
        <v>810.3</v>
      </c>
      <c r="F1471">
        <f>RTD("nest.scriprtd",,"bse_cm|971SCL28I","Ask Rate")</f>
        <v>0</v>
      </c>
      <c r="G1471">
        <f>RTD("nest.scriprtd",,"bse_cm|971SCL28I","Ask Qty")</f>
        <v>0</v>
      </c>
      <c r="H1471">
        <f>RTD("nest.scriprtd",,"bse_cm|971SCL28I","LTP")</f>
        <v>0</v>
      </c>
      <c r="I1471" t="str">
        <f>RTD("nest.scriprtd",,"bse_cm|971SCL28I","LTT")</f>
        <v>00:00:00</v>
      </c>
      <c r="J1471">
        <f>RTD("nest.scriprtd",,"bse_cm|971SCL28I","% Change")</f>
        <v>-100</v>
      </c>
      <c r="K1471">
        <f>RTD("nest.scriprtd",,"bse_cm|971SCL28I","ATP")</f>
        <v>0</v>
      </c>
      <c r="L1471">
        <f>RTD("nest.scriprtd",,"bse_cm|971SCL28I","Volume Traded Today")</f>
        <v>0</v>
      </c>
      <c r="M1471">
        <f>RTD("nest.scriprtd",,"bse_cm|971SCL28I","Open")</f>
        <v>0</v>
      </c>
      <c r="N1471">
        <f>RTD("nest.scriprtd",,"bse_cm|971SCL28I","High")</f>
        <v>930</v>
      </c>
      <c r="O1471">
        <f>RTD("nest.scriprtd",,"bse_cm|971SCL28I","Low ")</f>
        <v>930</v>
      </c>
      <c r="P1471">
        <f>RTD("nest.scriprtd",,"bse_cm|971SCL28I","Prev Close")</f>
        <v>930</v>
      </c>
      <c r="Q1471">
        <f>RTD("nest.scriprtd",,"bse_cm|971SCL28I","Face Value")</f>
        <v>800</v>
      </c>
      <c r="R1471" t="str">
        <f>RTD("nest.scriprtd",,"bse_cm|971SCL28I","Isin code")</f>
        <v>INE148I07OT0</v>
      </c>
      <c r="S1471" s="9">
        <f>Table1[[#This Row],[Ask Rate]]*Table1[[#This Row],[Ask Qty]]</f>
        <v>0</v>
      </c>
      <c r="T1471">
        <f>VLOOKUP(Table1[[#This Row],[Isin code]],Table2[#All],7,FALSE)</f>
        <v>9.7100000000000009</v>
      </c>
      <c r="U1471" s="17" t="str">
        <f>VLOOKUP(Table1[[#This Row],[Isin code]],Table2[#All],8,FALSE)</f>
        <v>27-Jul-2028</v>
      </c>
      <c r="V1471" s="10">
        <f ca="1">Table1[[#This Row],[Maturity]]-TODAY()</f>
        <v>1380</v>
      </c>
      <c r="W1471" t="str">
        <f>VLOOKUP(Table1[[#This Row],[Isin code]],Table2[#All],10,FALSE)</f>
        <v>Monthly</v>
      </c>
      <c r="X1471">
        <f ca="1">_xlfn.DAYS(Table1[[#This Row],[Maturity]],TODAY())-15</f>
        <v>1365</v>
      </c>
      <c r="Y14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46</v>
      </c>
      <c r="Z1471">
        <f>IF(Table1[[#This Row],[Ask Rate]]=0,0,Table1[[#This Row],[Face Value]]-Table1[[#This Row],[Ask Rate]])</f>
        <v>0</v>
      </c>
      <c r="AA1471">
        <f>IF(Table1[[#This Row],[Freq]]="Yearly",Table1[[#This Row],[Coupon_Rate]]/100,IF(Table1[[#This Row],[Freq]]="Monthly",Table1[[#This Row],[Coupon_Rate]]/1200,IF(Table1[[#This Row],[Freq]]="Quarterly",Table1[[#This Row],[Coupon_Rate]]/400,0)))</f>
        <v>8.0916666666666671E-3</v>
      </c>
      <c r="AB1471">
        <f ca="1">Table1[[#This Row],[Face Value]]*Table1[[#This Row],[Rate]]*Table1[[#This Row],[Time]]</f>
        <v>297.77333333333337</v>
      </c>
      <c r="AC1471">
        <f ca="1">Table1[[#This Row],[SI]]+Table1[[#This Row],[Disc/Prem]]</f>
        <v>297.77333333333337</v>
      </c>
      <c r="AD1471" s="3" t="e">
        <f ca="1">Table1[[#This Row],[Net Gain]]/Table1[[#This Row],[Ask Rate]]</f>
        <v>#DIV/0!</v>
      </c>
      <c r="AE1471" s="3">
        <f>IF(Table1[[#This Row],[Ask Qty]]=0,0,Table1[[#This Row],[Gross Yield]]*365/Table1[[#This Row],[Days Left]])</f>
        <v>0</v>
      </c>
      <c r="AF1471" s="9">
        <f ca="1">+Table1[[#This Row],[Net Gain]]*Table1[[#This Row],[Ask Qty]]</f>
        <v>0</v>
      </c>
      <c r="AG1471" t="str">
        <f>IF(Table1[[#This Row],[YTM]]&gt;0.12,IF(Table1[[#This Row],[Gross Profit]]&gt;10000,"Invest","Review"),"Low YTM")</f>
        <v>Low YTM</v>
      </c>
    </row>
    <row r="1472" spans="1:33" x14ac:dyDescent="0.3">
      <c r="A1472" t="str">
        <f>RTD("nest.scriprtd",,"bse_cm|915MFCL27","Symbol")</f>
        <v>915MFCL27</v>
      </c>
      <c r="B1472" t="str">
        <f>RTD("nest.scriprtd",,"bse_cm|915MFCL27","Trading Symbol")</f>
        <v>915MFCL27</v>
      </c>
      <c r="C1472" t="str">
        <f>RTD("nest.scriprtd",,"bse_cm|915MFCL27","Exchange")</f>
        <v>BSE</v>
      </c>
      <c r="D1472">
        <f>RTD("nest.scriprtd",,"bse_cm|915MFCL27","Bid Qty")</f>
        <v>12</v>
      </c>
      <c r="E1472">
        <f>RTD("nest.scriprtd",,"bse_cm|915MFCL27","Bid Rate")</f>
        <v>830.11</v>
      </c>
      <c r="F1472">
        <f>RTD("nest.scriprtd",,"bse_cm|915MFCL27","Ask Rate")</f>
        <v>0</v>
      </c>
      <c r="G1472">
        <f>RTD("nest.scriprtd",,"bse_cm|915MFCL27","Ask Qty")</f>
        <v>0</v>
      </c>
      <c r="H1472">
        <f>RTD("nest.scriprtd",,"bse_cm|915MFCL27","LTP")</f>
        <v>0</v>
      </c>
      <c r="I1472" t="str">
        <f>RTD("nest.scriprtd",,"bse_cm|915MFCL27","LTT")</f>
        <v>00:00:00</v>
      </c>
      <c r="J1472">
        <f>RTD("nest.scriprtd",,"bse_cm|915MFCL27","% Change")</f>
        <v>-100</v>
      </c>
      <c r="K1472">
        <f>RTD("nest.scriprtd",,"bse_cm|915MFCL27","ATP")</f>
        <v>0</v>
      </c>
      <c r="L1472">
        <f>RTD("nest.scriprtd",,"bse_cm|915MFCL27","Volume Traded Today")</f>
        <v>0</v>
      </c>
      <c r="M1472">
        <f>RTD("nest.scriprtd",,"bse_cm|915MFCL27","Open")</f>
        <v>0</v>
      </c>
      <c r="N1472">
        <f>RTD("nest.scriprtd",,"bse_cm|915MFCL27","High")</f>
        <v>978</v>
      </c>
      <c r="O1472">
        <f>RTD("nest.scriprtd",,"bse_cm|915MFCL27","Low ")</f>
        <v>978</v>
      </c>
      <c r="P1472">
        <f>RTD("nest.scriprtd",,"bse_cm|915MFCL27","Prev Close")</f>
        <v>978</v>
      </c>
      <c r="Q1472">
        <f>RTD("nest.scriprtd",,"bse_cm|915MFCL27","Face Value")</f>
        <v>1000</v>
      </c>
      <c r="R1472" t="str">
        <f>RTD("nest.scriprtd",,"bse_cm|915MFCL27","Isin code")</f>
        <v>INE549K07DY8</v>
      </c>
      <c r="S1472" s="9">
        <f>Table1[[#This Row],[Ask Rate]]*Table1[[#This Row],[Ask Qty]]</f>
        <v>0</v>
      </c>
      <c r="T1472">
        <f>VLOOKUP(Table1[[#This Row],[Isin code]],Table2[#All],7,FALSE)</f>
        <v>9.15</v>
      </c>
      <c r="U1472" s="17" t="str">
        <f>VLOOKUP(Table1[[#This Row],[Isin code]],Table2[#All],8,FALSE)</f>
        <v>30-Jun-2027</v>
      </c>
      <c r="V1472" s="10">
        <f ca="1">Table1[[#This Row],[Maturity]]-TODAY()</f>
        <v>987</v>
      </c>
      <c r="W1472" t="str">
        <f>VLOOKUP(Table1[[#This Row],[Isin code]],Table2[#All],10,FALSE)</f>
        <v>Monthly</v>
      </c>
      <c r="X1472">
        <f ca="1">_xlfn.DAYS(Table1[[#This Row],[Maturity]],TODAY())-15</f>
        <v>972</v>
      </c>
      <c r="Y14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33</v>
      </c>
      <c r="Z1472">
        <f>IF(Table1[[#This Row],[Ask Rate]]=0,0,Table1[[#This Row],[Face Value]]-Table1[[#This Row],[Ask Rate]])</f>
        <v>0</v>
      </c>
      <c r="AA1472">
        <f>IF(Table1[[#This Row],[Freq]]="Yearly",Table1[[#This Row],[Coupon_Rate]]/100,IF(Table1[[#This Row],[Freq]]="Monthly",Table1[[#This Row],[Coupon_Rate]]/1200,IF(Table1[[#This Row],[Freq]]="Quarterly",Table1[[#This Row],[Coupon_Rate]]/400,0)))</f>
        <v>7.6250000000000007E-3</v>
      </c>
      <c r="AB1472">
        <f ca="1">Table1[[#This Row],[Face Value]]*Table1[[#This Row],[Rate]]*Table1[[#This Row],[Time]]</f>
        <v>251.62500000000003</v>
      </c>
      <c r="AC1472">
        <f ca="1">Table1[[#This Row],[SI]]+Table1[[#This Row],[Disc/Prem]]</f>
        <v>251.62500000000003</v>
      </c>
      <c r="AD1472" s="3" t="e">
        <f ca="1">Table1[[#This Row],[Net Gain]]/Table1[[#This Row],[Ask Rate]]</f>
        <v>#DIV/0!</v>
      </c>
      <c r="AE1472" s="3">
        <f>IF(Table1[[#This Row],[Ask Qty]]=0,0,Table1[[#This Row],[Gross Yield]]*365/Table1[[#This Row],[Days Left]])</f>
        <v>0</v>
      </c>
      <c r="AF1472" s="9">
        <f ca="1">+Table1[[#This Row],[Net Gain]]*Table1[[#This Row],[Ask Qty]]</f>
        <v>0</v>
      </c>
      <c r="AG1472" t="str">
        <f>IF(Table1[[#This Row],[YTM]]&gt;0.12,IF(Table1[[#This Row],[Gross Profit]]&gt;10000,"Invest","Review"),"Low YTM")</f>
        <v>Low YTM</v>
      </c>
    </row>
    <row r="1473" spans="1:33" x14ac:dyDescent="0.3">
      <c r="A1473" t="str">
        <f>RTD("nest.scriprtd",,"bse_cm|9SFL2026","Symbol")</f>
        <v>9SFL2026</v>
      </c>
      <c r="B1473" t="str">
        <f>RTD("nest.scriprtd",,"bse_cm|9SFL2026","Trading Symbol")</f>
        <v>9SFL2026</v>
      </c>
      <c r="C1473" t="str">
        <f>RTD("nest.scriprtd",,"bse_cm|9SFL2026","Exchange")</f>
        <v>BSE</v>
      </c>
      <c r="D1473">
        <f>RTD("nest.scriprtd",,"bse_cm|9SFL2026","Bid Qty")</f>
        <v>15</v>
      </c>
      <c r="E1473">
        <f>RTD("nest.scriprtd",,"bse_cm|9SFL2026","Bid Rate")</f>
        <v>825.2</v>
      </c>
      <c r="F1473">
        <f>RTD("nest.scriprtd",,"bse_cm|9SFL2026","Ask Rate")</f>
        <v>0</v>
      </c>
      <c r="G1473">
        <f>RTD("nest.scriprtd",,"bse_cm|9SFL2026","Ask Qty")</f>
        <v>0</v>
      </c>
      <c r="H1473">
        <f>RTD("nest.scriprtd",,"bse_cm|9SFL2026","LTP")</f>
        <v>0</v>
      </c>
      <c r="I1473" t="str">
        <f>RTD("nest.scriprtd",,"bse_cm|9SFL2026","LTT")</f>
        <v>00:00:00</v>
      </c>
      <c r="J1473">
        <f>RTD("nest.scriprtd",,"bse_cm|9SFL2026","% Change")</f>
        <v>-100</v>
      </c>
      <c r="K1473">
        <f>RTD("nest.scriprtd",,"bse_cm|9SFL2026","ATP")</f>
        <v>0</v>
      </c>
      <c r="L1473">
        <f>RTD("nest.scriprtd",,"bse_cm|9SFL2026","Volume Traded Today")</f>
        <v>0</v>
      </c>
      <c r="M1473">
        <f>RTD("nest.scriprtd",,"bse_cm|9SFL2026","Open")</f>
        <v>0</v>
      </c>
      <c r="N1473">
        <f>RTD("nest.scriprtd",,"bse_cm|9SFL2026","High")</f>
        <v>971.5</v>
      </c>
      <c r="O1473">
        <f>RTD("nest.scriprtd",,"bse_cm|9SFL2026","Low ")</f>
        <v>971.5</v>
      </c>
      <c r="P1473">
        <f>RTD("nest.scriprtd",,"bse_cm|9SFL2026","Prev Close")</f>
        <v>971.5</v>
      </c>
      <c r="Q1473">
        <f>RTD("nest.scriprtd",,"bse_cm|9SFL2026","Face Value")</f>
        <v>1000</v>
      </c>
      <c r="R1473" t="str">
        <f>RTD("nest.scriprtd",,"bse_cm|9SFL2026","Isin code")</f>
        <v>INE302E07607</v>
      </c>
      <c r="S1473" s="9">
        <f>Table1[[#This Row],[Ask Rate]]*Table1[[#This Row],[Ask Qty]]</f>
        <v>0</v>
      </c>
      <c r="T1473">
        <f>VLOOKUP(Table1[[#This Row],[Isin code]],Table2[#All],7,FALSE)</f>
        <v>9</v>
      </c>
      <c r="U1473" s="17" t="str">
        <f>VLOOKUP(Table1[[#This Row],[Isin code]],Table2[#All],8,FALSE)</f>
        <v>27-Feb-2026</v>
      </c>
      <c r="V1473" s="10">
        <f ca="1">Table1[[#This Row],[Maturity]]-TODAY()</f>
        <v>499</v>
      </c>
      <c r="W1473" t="str">
        <f>VLOOKUP(Table1[[#This Row],[Isin code]],Table2[#All],10,FALSE)</f>
        <v>Monthly</v>
      </c>
      <c r="X1473">
        <f ca="1">_xlfn.DAYS(Table1[[#This Row],[Maturity]],TODAY())-15</f>
        <v>484</v>
      </c>
      <c r="Y147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17</v>
      </c>
      <c r="Z1473">
        <f>IF(Table1[[#This Row],[Ask Rate]]=0,0,Table1[[#This Row],[Face Value]]-Table1[[#This Row],[Ask Rate]])</f>
        <v>0</v>
      </c>
      <c r="AA1473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7.4999999999999997E-3</v>
      </c>
      <c r="AB1473">
        <f ca="1">Table1[[#This Row],[Face Value]]*Table1[[#This Row],[Rate]]*Table1[[#This Row],[Time]]</f>
        <v>127.5</v>
      </c>
      <c r="AC1473">
        <f ca="1">Table1[[#This Row],[SI]]+Table1[[#This Row],[Disc/Prem]]</f>
        <v>127.5</v>
      </c>
      <c r="AD1473" s="3" t="e">
        <f ca="1">Table1[[#This Row],[Net Gain]]/Table1[[#This Row],[Ask Rate]]</f>
        <v>#DIV/0!</v>
      </c>
      <c r="AE1473" s="3">
        <f>IF(Table1[[#This Row],[Ask Qty]]=0,0,Table1[[#This Row],[Gross Yield]]*365/Table1[[#This Row],[Days Left]])</f>
        <v>0</v>
      </c>
      <c r="AF1473" s="9">
        <f ca="1">+Table1[[#This Row],[Net Gain]]*Table1[[#This Row],[Ask Qty]]</f>
        <v>0</v>
      </c>
      <c r="AG1473" t="str">
        <f>IF(Table1[[#This Row],[YTM]]&gt;0.12,IF(Table1[[#This Row],[Gross Profit]]&gt;10000,"Invest","Review"),"Low YTM")</f>
        <v>Low YTM</v>
      </c>
    </row>
    <row r="1474" spans="1:33" x14ac:dyDescent="0.3">
      <c r="A1474" t="str">
        <f>RTD("nest.scriprtd",,"nse_cm|925SCL25-N5","Symbol")</f>
        <v>925SCL25</v>
      </c>
      <c r="B1474" t="str">
        <f>RTD("nest.scriprtd",,"nse_cm|925SCL25-N5","Trading Symbol")</f>
        <v>925SCL25-N5</v>
      </c>
      <c r="C1474" t="str">
        <f>RTD("nest.scriprtd",,"nse_cm|925SCL25-N5","Exchange")</f>
        <v>NSE</v>
      </c>
      <c r="D1474">
        <f>RTD("nest.scriprtd",,"nse_cm|925SCL25-N5","Bid Qty")</f>
        <v>11</v>
      </c>
      <c r="E1474">
        <f>RTD("nest.scriprtd",,"nse_cm|925SCL25-N5","Bid Rate")</f>
        <v>960</v>
      </c>
      <c r="F1474">
        <f>RTD("nest.scriprtd",,"nse_cm|925SCL25-N5","Ask Rate")</f>
        <v>0</v>
      </c>
      <c r="G1474">
        <f>RTD("nest.scriprtd",,"nse_cm|925SCL25-N5","Ask Qty")</f>
        <v>0</v>
      </c>
      <c r="H1474">
        <f>RTD("nest.scriprtd",,"nse_cm|925SCL25-N5","LTP")</f>
        <v>1001.43</v>
      </c>
      <c r="I1474" t="str">
        <f>RTD("nest.scriprtd",,"nse_cm|925SCL25-N5","LTT")</f>
        <v>10:01:40</v>
      </c>
      <c r="J1474">
        <f>RTD("nest.scriprtd",,"nse_cm|925SCL25-N5","% Change")</f>
        <v>2.5</v>
      </c>
      <c r="K1474">
        <f>RTD("nest.scriprtd",,"nse_cm|925SCL25-N5","ATP")</f>
        <v>1001.43</v>
      </c>
      <c r="L1474">
        <f>RTD("nest.scriprtd",,"nse_cm|925SCL25-N5","Volume Traded Today")</f>
        <v>4</v>
      </c>
      <c r="M1474">
        <f>RTD("nest.scriprtd",,"nse_cm|925SCL25-N5","Open")</f>
        <v>1001.43</v>
      </c>
      <c r="N1474">
        <f>RTD("nest.scriprtd",,"nse_cm|925SCL25-N5","High")</f>
        <v>1001.43</v>
      </c>
      <c r="O1474">
        <f>RTD("nest.scriprtd",,"nse_cm|925SCL25-N5","Low ")</f>
        <v>1001.43</v>
      </c>
      <c r="P1474">
        <f>RTD("nest.scriprtd",,"nse_cm|925SCL25-N5","Prev Close")</f>
        <v>977</v>
      </c>
      <c r="Q1474">
        <f>RTD("nest.scriprtd",,"nse_cm|925SCL25-N5","Face Value")</f>
        <v>1000</v>
      </c>
      <c r="R1474" t="str">
        <f>RTD("nest.scriprtd",,"nse_cm|925SCL25-N5","Isin code")</f>
        <v>INE148I07PA7</v>
      </c>
      <c r="S1474" s="9">
        <f>Table1[[#This Row],[Ask Rate]]*Table1[[#This Row],[Ask Qty]]</f>
        <v>0</v>
      </c>
      <c r="T1474">
        <f>VLOOKUP(Table1[[#This Row],[Isin code]],Table2[#All],7,FALSE)</f>
        <v>9.25</v>
      </c>
      <c r="U1474" s="17" t="str">
        <f>VLOOKUP(Table1[[#This Row],[Isin code]],Table2[#All],8,FALSE)</f>
        <v>26-Sep-2025</v>
      </c>
      <c r="V1474" s="10">
        <f ca="1">Table1[[#This Row],[Maturity]]-TODAY()</f>
        <v>345</v>
      </c>
      <c r="W1474" t="str">
        <f>VLOOKUP(Table1[[#This Row],[Isin code]],Table2[#All],10,FALSE)</f>
        <v>Monthly</v>
      </c>
      <c r="X1474">
        <f ca="1">_xlfn.DAYS(Table1[[#This Row],[Maturity]],TODAY())-15</f>
        <v>330</v>
      </c>
      <c r="Y14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1474">
        <f>IF(Table1[[#This Row],[Ask Rate]]=0,0,Table1[[#This Row],[Face Value]]-Table1[[#This Row],[Ask Rate]])</f>
        <v>0</v>
      </c>
      <c r="AA1474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474">
        <f ca="1">Table1[[#This Row],[Face Value]]*Table1[[#This Row],[Rate]]*Table1[[#This Row],[Time]]</f>
        <v>84.791666666666671</v>
      </c>
      <c r="AC1474">
        <f ca="1">Table1[[#This Row],[SI]]+Table1[[#This Row],[Disc/Prem]]</f>
        <v>84.791666666666671</v>
      </c>
      <c r="AD1474" s="3" t="e">
        <f ca="1">Table1[[#This Row],[Net Gain]]/Table1[[#This Row],[Ask Rate]]</f>
        <v>#DIV/0!</v>
      </c>
      <c r="AE1474" s="3">
        <f>IF(Table1[[#This Row],[Ask Qty]]=0,0,Table1[[#This Row],[Gross Yield]]*365/Table1[[#This Row],[Days Left]])</f>
        <v>0</v>
      </c>
      <c r="AF1474" s="9">
        <f ca="1">+Table1[[#This Row],[Net Gain]]*Table1[[#This Row],[Ask Qty]]</f>
        <v>0</v>
      </c>
      <c r="AG1474" t="str">
        <f>IF(Table1[[#This Row],[YTM]]&gt;0.12,IF(Table1[[#This Row],[Gross Profit]]&gt;10000,"Invest","Review"),"Low YTM")</f>
        <v>Low YTM</v>
      </c>
    </row>
    <row r="1475" spans="1:33" x14ac:dyDescent="0.3">
      <c r="A1475" t="str">
        <f>RTD("nest.scriprtd",,"nse_cm|915SCL27-Z7","Symbol")</f>
        <v>915SCL27</v>
      </c>
      <c r="B1475" t="str">
        <f>RTD("nest.scriprtd",,"nse_cm|915SCL27-Z7","Trading Symbol")</f>
        <v>915SCL27-Z7</v>
      </c>
      <c r="C1475" t="str">
        <f>RTD("nest.scriprtd",,"nse_cm|915SCL27-Z7","Exchange")</f>
        <v>NSE</v>
      </c>
      <c r="D1475">
        <f>RTD("nest.scriprtd",,"nse_cm|915SCL27-Z7","Bid Qty")</f>
        <v>14</v>
      </c>
      <c r="E1475">
        <f>RTD("nest.scriprtd",,"nse_cm|915SCL27-Z7","Bid Rate")</f>
        <v>815.4</v>
      </c>
      <c r="F1475">
        <f>RTD("nest.scriprtd",,"nse_cm|915SCL27-Z7","Ask Rate")</f>
        <v>0</v>
      </c>
      <c r="G1475">
        <f>RTD("nest.scriprtd",,"nse_cm|915SCL27-Z7","Ask Qty")</f>
        <v>0</v>
      </c>
      <c r="H1475">
        <f>RTD("nest.scriprtd",,"nse_cm|915SCL27-Z7","LTP")</f>
        <v>816.6</v>
      </c>
      <c r="I1475" t="str">
        <f>RTD("nest.scriprtd",,"nse_cm|915SCL27-Z7","LTT")</f>
        <v/>
      </c>
      <c r="J1475">
        <f>RTD("nest.scriprtd",,"nse_cm|915SCL27-Z7","% Change")</f>
        <v>0</v>
      </c>
      <c r="K1475">
        <f>RTD("nest.scriprtd",,"nse_cm|915SCL27-Z7","ATP")</f>
        <v>0</v>
      </c>
      <c r="L1475">
        <f>RTD("nest.scriprtd",,"nse_cm|915SCL27-Z7","Volume Traded Today")</f>
        <v>0</v>
      </c>
      <c r="M1475">
        <f>RTD("nest.scriprtd",,"nse_cm|915SCL27-Z7","Open")</f>
        <v>0</v>
      </c>
      <c r="N1475">
        <f>RTD("nest.scriprtd",,"nse_cm|915SCL27-Z7","High")</f>
        <v>816.6</v>
      </c>
      <c r="O1475">
        <f>RTD("nest.scriprtd",,"nse_cm|915SCL27-Z7","Low ")</f>
        <v>816.6</v>
      </c>
      <c r="P1475">
        <f>RTD("nest.scriprtd",,"nse_cm|915SCL27-Z7","Prev Close")</f>
        <v>816.6</v>
      </c>
      <c r="Q1475">
        <f>RTD("nest.scriprtd",,"nse_cm|915SCL27-Z7","Face Value")</f>
        <v>1000</v>
      </c>
      <c r="R1475" t="str">
        <f>RTD("nest.scriprtd",,"nse_cm|915SCL27-Z7","Isin code")</f>
        <v>INE148I07ME6</v>
      </c>
      <c r="S1475" s="9">
        <f>Table1[[#This Row],[Ask Rate]]*Table1[[#This Row],[Ask Qty]]</f>
        <v>0</v>
      </c>
      <c r="T1475">
        <f>VLOOKUP(Table1[[#This Row],[Isin code]],Table2[#All],7,FALSE)</f>
        <v>9.5500000000000007</v>
      </c>
      <c r="U1475" s="17" t="str">
        <f>VLOOKUP(Table1[[#This Row],[Isin code]],Table2[#All],8,FALSE)</f>
        <v>28-Sep-2027</v>
      </c>
      <c r="V1475" s="10">
        <f ca="1">Table1[[#This Row],[Maturity]]-TODAY()</f>
        <v>1077</v>
      </c>
      <c r="W1475" t="str">
        <f>VLOOKUP(Table1[[#This Row],[Isin code]],Table2[#All],10,FALSE)</f>
        <v>Yearly</v>
      </c>
      <c r="X1475">
        <f ca="1">_xlfn.DAYS(Table1[[#This Row],[Maturity]],TODAY())-15</f>
        <v>1062</v>
      </c>
      <c r="Y14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475">
        <f>IF(Table1[[#This Row],[Ask Rate]]=0,0,Table1[[#This Row],[Face Value]]-Table1[[#This Row],[Ask Rate]])</f>
        <v>0</v>
      </c>
      <c r="AA1475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1475">
        <f ca="1">Table1[[#This Row],[Face Value]]*Table1[[#This Row],[Rate]]*Table1[[#This Row],[Time]]</f>
        <v>286.5</v>
      </c>
      <c r="AC1475">
        <f ca="1">Table1[[#This Row],[SI]]+Table1[[#This Row],[Disc/Prem]]</f>
        <v>286.5</v>
      </c>
      <c r="AD1475" s="3" t="e">
        <f ca="1">Table1[[#This Row],[Net Gain]]/Table1[[#This Row],[Ask Rate]]</f>
        <v>#DIV/0!</v>
      </c>
      <c r="AE1475" s="3">
        <f>IF(Table1[[#This Row],[Ask Qty]]=0,0,Table1[[#This Row],[Gross Yield]]*365/Table1[[#This Row],[Days Left]])</f>
        <v>0</v>
      </c>
      <c r="AF1475" s="9">
        <f ca="1">+Table1[[#This Row],[Net Gain]]*Table1[[#This Row],[Ask Qty]]</f>
        <v>0</v>
      </c>
      <c r="AG1475" t="str">
        <f>IF(Table1[[#This Row],[YTM]]&gt;0.12,IF(Table1[[#This Row],[Gross Profit]]&gt;10000,"Invest","Review"),"Low YTM")</f>
        <v>Low YTM</v>
      </c>
    </row>
    <row r="1476" spans="1:33" x14ac:dyDescent="0.3">
      <c r="A1476" t="str">
        <f>RTD("nest.scriprtd",,"bse_cm|MFLTDI25","Symbol")</f>
        <v>MFLTDI25</v>
      </c>
      <c r="B1476" t="str">
        <f>RTD("nest.scriprtd",,"bse_cm|MFLTDI25","Trading Symbol")</f>
        <v>MFLTDI25</v>
      </c>
      <c r="C1476" t="str">
        <f>RTD("nest.scriprtd",,"bse_cm|MFLTDI25","Exchange")</f>
        <v>BSE</v>
      </c>
      <c r="D1476">
        <f>RTD("nest.scriprtd",,"bse_cm|MFLTDI25","Bid Qty")</f>
        <v>179</v>
      </c>
      <c r="E1476">
        <f>RTD("nest.scriprtd",,"bse_cm|MFLTDI25","Bid Rate")</f>
        <v>952.8</v>
      </c>
      <c r="F1476">
        <f>RTD("nest.scriprtd",,"bse_cm|MFLTDI25","Ask Rate")</f>
        <v>0</v>
      </c>
      <c r="G1476">
        <f>RTD("nest.scriprtd",,"bse_cm|MFLTDI25","Ask Qty")</f>
        <v>0</v>
      </c>
      <c r="H1476">
        <f>RTD("nest.scriprtd",,"bse_cm|MFLTDI25","LTP")</f>
        <v>0</v>
      </c>
      <c r="I1476" t="str">
        <f>RTD("nest.scriprtd",,"bse_cm|MFLTDI25","LTT")</f>
        <v>00:00:00</v>
      </c>
      <c r="J1476">
        <f>RTD("nest.scriprtd",,"bse_cm|MFLTDI25","% Change")</f>
        <v>-100</v>
      </c>
      <c r="K1476">
        <f>RTD("nest.scriprtd",,"bse_cm|MFLTDI25","ATP")</f>
        <v>0</v>
      </c>
      <c r="L1476">
        <f>RTD("nest.scriprtd",,"bse_cm|MFLTDI25","Volume Traded Today")</f>
        <v>0</v>
      </c>
      <c r="M1476">
        <f>RTD("nest.scriprtd",,"bse_cm|MFLTDI25","Open")</f>
        <v>0</v>
      </c>
      <c r="N1476">
        <f>RTD("nest.scriprtd",,"bse_cm|MFLTDI25","High")</f>
        <v>952.8</v>
      </c>
      <c r="O1476">
        <f>RTD("nest.scriprtd",,"bse_cm|MFLTDI25","Low ")</f>
        <v>952.8</v>
      </c>
      <c r="P1476">
        <f>RTD("nest.scriprtd",,"bse_cm|MFLTDI25","Prev Close")</f>
        <v>952.8</v>
      </c>
      <c r="Q1476">
        <f>RTD("nest.scriprtd",,"bse_cm|MFLTDI25","Face Value")</f>
        <v>1000</v>
      </c>
      <c r="R1476" t="str">
        <f>RTD("nest.scriprtd",,"bse_cm|MFLTDI25","Isin code")</f>
        <v>INE414G07GU4</v>
      </c>
      <c r="S1476" s="9">
        <f>Table1[[#This Row],[Ask Rate]]*Table1[[#This Row],[Ask Qty]]</f>
        <v>0</v>
      </c>
      <c r="T1476">
        <f>VLOOKUP(Table1[[#This Row],[Isin code]],Table2[#All],7,FALSE)</f>
        <v>7.0000000000000009</v>
      </c>
      <c r="U1476" s="17" t="str">
        <f>VLOOKUP(Table1[[#This Row],[Isin code]],Table2[#All],8,FALSE)</f>
        <v>03-Nov-2025</v>
      </c>
      <c r="V1476" s="10">
        <f ca="1">Table1[[#This Row],[Maturity]]-TODAY()</f>
        <v>383</v>
      </c>
      <c r="W1476" t="str">
        <f>VLOOKUP(Table1[[#This Row],[Isin code]],Table2[#All],10,FALSE)</f>
        <v>Monthly</v>
      </c>
      <c r="X1476">
        <f ca="1">_xlfn.DAYS(Table1[[#This Row],[Maturity]],TODAY())-15</f>
        <v>368</v>
      </c>
      <c r="Y14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1476">
        <f>IF(Table1[[#This Row],[Ask Rate]]=0,0,Table1[[#This Row],[Face Value]]-Table1[[#This Row],[Ask Rate]])</f>
        <v>0</v>
      </c>
      <c r="AA1476">
        <f>IF(Table1[[#This Row],[Freq]]="Yearly",Table1[[#This Row],[Coupon_Rate]]/100,IF(Table1[[#This Row],[Freq]]="Monthly",Table1[[#This Row],[Coupon_Rate]]/1200,IF(Table1[[#This Row],[Freq]]="Quarterly",Table1[[#This Row],[Coupon_Rate]]/400,0)))</f>
        <v>5.8333333333333345E-3</v>
      </c>
      <c r="AB1476">
        <f ca="1">Table1[[#This Row],[Face Value]]*Table1[[#This Row],[Rate]]*Table1[[#This Row],[Time]]</f>
        <v>75.833333333333357</v>
      </c>
      <c r="AC1476">
        <f ca="1">Table1[[#This Row],[SI]]+Table1[[#This Row],[Disc/Prem]]</f>
        <v>75.833333333333357</v>
      </c>
      <c r="AD1476" s="3" t="e">
        <f ca="1">Table1[[#This Row],[Net Gain]]/Table1[[#This Row],[Ask Rate]]</f>
        <v>#DIV/0!</v>
      </c>
      <c r="AE1476" s="3">
        <f>IF(Table1[[#This Row],[Ask Qty]]=0,0,Table1[[#This Row],[Gross Yield]]*365/Table1[[#This Row],[Days Left]])</f>
        <v>0</v>
      </c>
      <c r="AF1476" s="9">
        <f ca="1">+Table1[[#This Row],[Net Gain]]*Table1[[#This Row],[Ask Qty]]</f>
        <v>0</v>
      </c>
      <c r="AG1476" t="str">
        <f>IF(Table1[[#This Row],[YTM]]&gt;0.12,IF(Table1[[#This Row],[Gross Profit]]&gt;10000,"Invest","Review"),"Low YTM")</f>
        <v>Low YTM</v>
      </c>
    </row>
    <row r="1477" spans="1:33" x14ac:dyDescent="0.3">
      <c r="A1477" t="str">
        <f>RTD("nest.scriprtd",,"nse_cm|875SCL23A-YI","Symbol")</f>
        <v>875SCL23A</v>
      </c>
      <c r="B1477" t="str">
        <f>RTD("nest.scriprtd",,"nse_cm|875SCL23A-YI","Trading Symbol")</f>
        <v>875SCL23A-YI</v>
      </c>
      <c r="C1477" t="str">
        <f>RTD("nest.scriprtd",,"nse_cm|875SCL23A-YI","Exchange")</f>
        <v>NSE</v>
      </c>
      <c r="D1477">
        <f>RTD("nest.scriprtd",,"nse_cm|875SCL23A-YI","Bid Qty")</f>
        <v>11</v>
      </c>
      <c r="E1477">
        <f>RTD("nest.scriprtd",,"nse_cm|875SCL23A-YI","Bid Rate")</f>
        <v>815.85</v>
      </c>
      <c r="F1477">
        <f>RTD("nest.scriprtd",,"nse_cm|875SCL23A-YI","Ask Rate")</f>
        <v>0</v>
      </c>
      <c r="G1477">
        <f>RTD("nest.scriprtd",,"nse_cm|875SCL23A-YI","Ask Qty")</f>
        <v>0</v>
      </c>
      <c r="H1477">
        <f>RTD("nest.scriprtd",,"nse_cm|875SCL23A-YI","LTP")</f>
        <v>970</v>
      </c>
      <c r="I1477" t="str">
        <f>RTD("nest.scriprtd",,"nse_cm|875SCL23A-YI","LTT")</f>
        <v/>
      </c>
      <c r="J1477">
        <f>RTD("nest.scriprtd",,"nse_cm|875SCL23A-YI","% Change")</f>
        <v>0</v>
      </c>
      <c r="K1477">
        <f>RTD("nest.scriprtd",,"nse_cm|875SCL23A-YI","ATP")</f>
        <v>0</v>
      </c>
      <c r="L1477">
        <f>RTD("nest.scriprtd",,"nse_cm|875SCL23A-YI","Volume Traded Today")</f>
        <v>0</v>
      </c>
      <c r="M1477">
        <f>RTD("nest.scriprtd",,"nse_cm|875SCL23A-YI","Open")</f>
        <v>0</v>
      </c>
      <c r="N1477">
        <f>RTD("nest.scriprtd",,"nse_cm|875SCL23A-YI","High")</f>
        <v>970</v>
      </c>
      <c r="O1477">
        <f>RTD("nest.scriprtd",,"nse_cm|875SCL23A-YI","Low ")</f>
        <v>970</v>
      </c>
      <c r="P1477">
        <f>RTD("nest.scriprtd",,"nse_cm|875SCL23A-YI","Prev Close")</f>
        <v>970</v>
      </c>
      <c r="Q1477">
        <f>RTD("nest.scriprtd",,"nse_cm|875SCL23A-YI","Face Value")</f>
        <v>1000</v>
      </c>
      <c r="R1477" t="str">
        <f>RTD("nest.scriprtd",,"nse_cm|875SCL23A-YI","Isin code")</f>
        <v>INE148I07RU1</v>
      </c>
      <c r="S1477" s="9">
        <f>Table1[[#This Row],[Ask Rate]]*Table1[[#This Row],[Ask Qty]]</f>
        <v>0</v>
      </c>
      <c r="T1477">
        <f>VLOOKUP(Table1[[#This Row],[Isin code]],Table2[#All],7,FALSE)</f>
        <v>10.029999999999999</v>
      </c>
      <c r="U1477" s="17" t="str">
        <f>VLOOKUP(Table1[[#This Row],[Isin code]],Table2[#All],8,FALSE)</f>
        <v>27-Dec-2030</v>
      </c>
      <c r="V1477" s="10">
        <f ca="1">Table1[[#This Row],[Maturity]]-TODAY()</f>
        <v>2263</v>
      </c>
      <c r="W1477" t="str">
        <f>VLOOKUP(Table1[[#This Row],[Isin code]],Table2[#All],10,FALSE)</f>
        <v>Monthly</v>
      </c>
      <c r="X1477">
        <f ca="1">_xlfn.DAYS(Table1[[#This Row],[Maturity]],TODAY())-15</f>
        <v>2248</v>
      </c>
      <c r="Y147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75</v>
      </c>
      <c r="Z1477">
        <f>IF(Table1[[#This Row],[Ask Rate]]=0,0,Table1[[#This Row],[Face Value]]-Table1[[#This Row],[Ask Rate]])</f>
        <v>0</v>
      </c>
      <c r="AA1477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477">
        <f ca="1">Table1[[#This Row],[Face Value]]*Table1[[#This Row],[Rate]]*Table1[[#This Row],[Time]]</f>
        <v>626.87499999999989</v>
      </c>
      <c r="AC1477">
        <f ca="1">Table1[[#This Row],[SI]]+Table1[[#This Row],[Disc/Prem]]</f>
        <v>626.87499999999989</v>
      </c>
      <c r="AD1477" s="3" t="e">
        <f ca="1">Table1[[#This Row],[Net Gain]]/Table1[[#This Row],[Ask Rate]]</f>
        <v>#DIV/0!</v>
      </c>
      <c r="AE1477" s="3">
        <f>IF(Table1[[#This Row],[Ask Qty]]=0,0,Table1[[#This Row],[Gross Yield]]*365/Table1[[#This Row],[Days Left]])</f>
        <v>0</v>
      </c>
      <c r="AF1477" s="9">
        <f ca="1">+Table1[[#This Row],[Net Gain]]*Table1[[#This Row],[Ask Qty]]</f>
        <v>0</v>
      </c>
      <c r="AG1477" t="str">
        <f>IF(Table1[[#This Row],[YTM]]&gt;0.12,IF(Table1[[#This Row],[Gross Profit]]&gt;10000,"Invest","Review"),"Low YTM")</f>
        <v>Low YTM</v>
      </c>
    </row>
    <row r="1478" spans="1:33" x14ac:dyDescent="0.3">
      <c r="A1478" t="str">
        <f>RTD("nest.scriprtd",,"bse_cm|890MFL26","Symbol")</f>
        <v>890MFL26</v>
      </c>
      <c r="B1478" t="str">
        <f>RTD("nest.scriprtd",,"bse_cm|890MFL26","Trading Symbol")</f>
        <v>890MFL26</v>
      </c>
      <c r="C1478" t="str">
        <f>RTD("nest.scriprtd",,"bse_cm|890MFL26","Exchange")</f>
        <v>BSE</v>
      </c>
      <c r="D1478">
        <f>RTD("nest.scriprtd",,"bse_cm|890MFL26","Bid Qty")</f>
        <v>179</v>
      </c>
      <c r="E1478">
        <f>RTD("nest.scriprtd",,"bse_cm|890MFL26","Bid Rate")</f>
        <v>952.8</v>
      </c>
      <c r="F1478">
        <f>RTD("nest.scriprtd",,"bse_cm|890MFL26","Ask Rate")</f>
        <v>0</v>
      </c>
      <c r="G1478">
        <f>RTD("nest.scriprtd",,"bse_cm|890MFL26","Ask Qty")</f>
        <v>0</v>
      </c>
      <c r="H1478">
        <f>RTD("nest.scriprtd",,"bse_cm|890MFL26","LTP")</f>
        <v>0</v>
      </c>
      <c r="I1478" t="str">
        <f>RTD("nest.scriprtd",,"bse_cm|890MFL26","LTT")</f>
        <v>00:00:00</v>
      </c>
      <c r="J1478">
        <f>RTD("nest.scriprtd",,"bse_cm|890MFL26","% Change")</f>
        <v>-100</v>
      </c>
      <c r="K1478">
        <f>RTD("nest.scriprtd",,"bse_cm|890MFL26","ATP")</f>
        <v>0</v>
      </c>
      <c r="L1478">
        <f>RTD("nest.scriprtd",,"bse_cm|890MFL26","Volume Traded Today")</f>
        <v>0</v>
      </c>
      <c r="M1478">
        <f>RTD("nest.scriprtd",,"bse_cm|890MFL26","Open")</f>
        <v>0</v>
      </c>
      <c r="N1478">
        <f>RTD("nest.scriprtd",,"bse_cm|890MFL26","High")</f>
        <v>970</v>
      </c>
      <c r="O1478">
        <f>RTD("nest.scriprtd",,"bse_cm|890MFL26","Low ")</f>
        <v>970</v>
      </c>
      <c r="P1478">
        <f>RTD("nest.scriprtd",,"bse_cm|890MFL26","Prev Close")</f>
        <v>970</v>
      </c>
      <c r="Q1478">
        <f>RTD("nest.scriprtd",,"bse_cm|890MFL26","Face Value")</f>
        <v>1000</v>
      </c>
      <c r="R1478" t="str">
        <f>RTD("nest.scriprtd",,"bse_cm|890MFL26","Isin code")</f>
        <v>INE549K07DL5</v>
      </c>
      <c r="S1478" s="9">
        <f>Table1[[#This Row],[Ask Rate]]*Table1[[#This Row],[Ask Qty]]</f>
        <v>0</v>
      </c>
      <c r="T1478">
        <f>VLOOKUP(Table1[[#This Row],[Isin code]],Table2[#All],7,FALSE)</f>
        <v>8.9</v>
      </c>
      <c r="U1478" s="17" t="str">
        <f>VLOOKUP(Table1[[#This Row],[Isin code]],Table2[#All],8,FALSE)</f>
        <v>31-Jan-2026</v>
      </c>
      <c r="V1478" s="10">
        <f ca="1">Table1[[#This Row],[Maturity]]-TODAY()</f>
        <v>472</v>
      </c>
      <c r="W1478" t="str">
        <f>VLOOKUP(Table1[[#This Row],[Isin code]],Table2[#All],10,FALSE)</f>
        <v>Monthly</v>
      </c>
      <c r="X1478">
        <f ca="1">_xlfn.DAYS(Table1[[#This Row],[Maturity]],TODAY())-15</f>
        <v>457</v>
      </c>
      <c r="Y14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16</v>
      </c>
      <c r="Z1478">
        <f>IF(Table1[[#This Row],[Ask Rate]]=0,0,Table1[[#This Row],[Face Value]]-Table1[[#This Row],[Ask Rate]])</f>
        <v>0</v>
      </c>
      <c r="AA1478">
        <f>IF(Table1[[#This Row],[Freq]]="Yearly",Table1[[#This Row],[Coupon_Rate]]/100,IF(Table1[[#This Row],[Freq]]="Monthly",Table1[[#This Row],[Coupon_Rate]]/1200,IF(Table1[[#This Row],[Freq]]="Quarterly",Table1[[#This Row],[Coupon_Rate]]/400,0)))</f>
        <v>7.4166666666666669E-3</v>
      </c>
      <c r="AB1478">
        <f ca="1">Table1[[#This Row],[Face Value]]*Table1[[#This Row],[Rate]]*Table1[[#This Row],[Time]]</f>
        <v>118.66666666666667</v>
      </c>
      <c r="AC1478">
        <f ca="1">Table1[[#This Row],[SI]]+Table1[[#This Row],[Disc/Prem]]</f>
        <v>118.66666666666667</v>
      </c>
      <c r="AD1478" s="3" t="e">
        <f ca="1">Table1[[#This Row],[Net Gain]]/Table1[[#This Row],[Ask Rate]]</f>
        <v>#DIV/0!</v>
      </c>
      <c r="AE1478" s="3">
        <f>IF(Table1[[#This Row],[Ask Qty]]=0,0,Table1[[#This Row],[Gross Yield]]*365/Table1[[#This Row],[Days Left]])</f>
        <v>0</v>
      </c>
      <c r="AF1478" s="9">
        <f ca="1">+Table1[[#This Row],[Net Gain]]*Table1[[#This Row],[Ask Qty]]</f>
        <v>0</v>
      </c>
      <c r="AG1478" t="str">
        <f>IF(Table1[[#This Row],[YTM]]&gt;0.12,IF(Table1[[#This Row],[Gross Profit]]&gt;10000,"Invest","Review"),"Low YTM")</f>
        <v>Low YTM</v>
      </c>
    </row>
    <row r="1479" spans="1:33" x14ac:dyDescent="0.3">
      <c r="A1479" t="str">
        <f>RTD("nest.scriprtd",,"bse_cm|925KFL26A","Symbol")</f>
        <v>925KFL26A</v>
      </c>
      <c r="B1479" t="str">
        <f>RTD("nest.scriprtd",,"bse_cm|925KFL26A","Trading Symbol")</f>
        <v>925KFL26A</v>
      </c>
      <c r="C1479" t="str">
        <f>RTD("nest.scriprtd",,"bse_cm|925KFL26A","Exchange")</f>
        <v>BSE</v>
      </c>
      <c r="D1479">
        <f>RTD("nest.scriprtd",,"bse_cm|925KFL26A","Bid Qty")</f>
        <v>70</v>
      </c>
      <c r="E1479">
        <f>RTD("nest.scriprtd",,"bse_cm|925KFL26A","Bid Rate")</f>
        <v>900</v>
      </c>
      <c r="F1479">
        <f>RTD("nest.scriprtd",,"bse_cm|925KFL26A","Ask Rate")</f>
        <v>0</v>
      </c>
      <c r="G1479">
        <f>RTD("nest.scriprtd",,"bse_cm|925KFL26A","Ask Qty")</f>
        <v>0</v>
      </c>
      <c r="H1479">
        <f>RTD("nest.scriprtd",,"bse_cm|925KFL26A","LTP")</f>
        <v>0</v>
      </c>
      <c r="I1479" t="str">
        <f>RTD("nest.scriprtd",,"bse_cm|925KFL26A","LTT")</f>
        <v>00:00:00</v>
      </c>
      <c r="J1479">
        <f>RTD("nest.scriprtd",,"bse_cm|925KFL26A","% Change")</f>
        <v>-100</v>
      </c>
      <c r="K1479">
        <f>RTD("nest.scriprtd",,"bse_cm|925KFL26A","ATP")</f>
        <v>0</v>
      </c>
      <c r="L1479">
        <f>RTD("nest.scriprtd",,"bse_cm|925KFL26A","Volume Traded Today")</f>
        <v>0</v>
      </c>
      <c r="M1479">
        <f>RTD("nest.scriprtd",,"bse_cm|925KFL26A","Open")</f>
        <v>0</v>
      </c>
      <c r="N1479">
        <f>RTD("nest.scriprtd",,"bse_cm|925KFL26A","High")</f>
        <v>920</v>
      </c>
      <c r="O1479">
        <f>RTD("nest.scriprtd",,"bse_cm|925KFL26A","Low ")</f>
        <v>861.7</v>
      </c>
      <c r="P1479">
        <f>RTD("nest.scriprtd",,"bse_cm|925KFL26A","Prev Close")</f>
        <v>861.7</v>
      </c>
      <c r="Q1479">
        <f>RTD("nest.scriprtd",,"bse_cm|925KFL26A","Face Value")</f>
        <v>1000</v>
      </c>
      <c r="R1479" t="str">
        <f>RTD("nest.scriprtd",,"bse_cm|925KFL26A","Isin code")</f>
        <v>INE403Q07ES5</v>
      </c>
      <c r="S1479" s="9">
        <f>Table1[[#This Row],[Ask Rate]]*Table1[[#This Row],[Ask Qty]]</f>
        <v>0</v>
      </c>
      <c r="T1479">
        <f>VLOOKUP(Table1[[#This Row],[Isin code]],Table2[#All],7,FALSE)</f>
        <v>9.25</v>
      </c>
      <c r="U1479" s="17" t="str">
        <f>VLOOKUP(Table1[[#This Row],[Isin code]],Table2[#All],8,FALSE)</f>
        <v>06-Aug-2026</v>
      </c>
      <c r="V1479" s="10">
        <f ca="1">Table1[[#This Row],[Maturity]]-TODAY()</f>
        <v>659</v>
      </c>
      <c r="W1479" t="str">
        <f>VLOOKUP(Table1[[#This Row],[Isin code]],Table2[#All],10,FALSE)</f>
        <v>MONTHLY</v>
      </c>
      <c r="X1479">
        <f ca="1">_xlfn.DAYS(Table1[[#This Row],[Maturity]],TODAY())-15</f>
        <v>644</v>
      </c>
      <c r="Y147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1479">
        <f>IF(Table1[[#This Row],[Ask Rate]]=0,0,Table1[[#This Row],[Face Value]]-Table1[[#This Row],[Ask Rate]])</f>
        <v>0</v>
      </c>
      <c r="AA1479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479">
        <f ca="1">Table1[[#This Row],[Face Value]]*Table1[[#This Row],[Rate]]*Table1[[#This Row],[Time]]</f>
        <v>169.58333333333334</v>
      </c>
      <c r="AC1479">
        <f ca="1">Table1[[#This Row],[SI]]+Table1[[#This Row],[Disc/Prem]]</f>
        <v>169.58333333333334</v>
      </c>
      <c r="AD1479" s="3" t="e">
        <f ca="1">Table1[[#This Row],[Net Gain]]/Table1[[#This Row],[Ask Rate]]</f>
        <v>#DIV/0!</v>
      </c>
      <c r="AE1479" s="3">
        <f>IF(Table1[[#This Row],[Ask Qty]]=0,0,Table1[[#This Row],[Gross Yield]]*365/Table1[[#This Row],[Days Left]])</f>
        <v>0</v>
      </c>
      <c r="AF1479" s="9">
        <f ca="1">+Table1[[#This Row],[Net Gain]]*Table1[[#This Row],[Ask Qty]]</f>
        <v>0</v>
      </c>
      <c r="AG1479" t="str">
        <f>IF(Table1[[#This Row],[YTM]]&gt;0.12,IF(Table1[[#This Row],[Gross Profit]]&gt;10000,"Invest","Review"),"Low YTM")</f>
        <v>Low YTM</v>
      </c>
    </row>
    <row r="1480" spans="1:33" x14ac:dyDescent="0.3">
      <c r="A1480" t="str">
        <f>RTD("nest.scriprtd",,"bse_cm|955NWIL27","Symbol")</f>
        <v>955NWIL27</v>
      </c>
      <c r="B1480" t="str">
        <f>RTD("nest.scriprtd",,"bse_cm|955NWIL27","Trading Symbol")</f>
        <v>955NWIL27</v>
      </c>
      <c r="C1480" t="str">
        <f>RTD("nest.scriprtd",,"bse_cm|955NWIL27","Exchange")</f>
        <v>BSE</v>
      </c>
      <c r="D1480">
        <f>RTD("nest.scriprtd",,"bse_cm|955NWIL27","Bid Qty")</f>
        <v>9</v>
      </c>
      <c r="E1480">
        <f>RTD("nest.scriprtd",,"bse_cm|955NWIL27","Bid Rate")</f>
        <v>911</v>
      </c>
      <c r="F1480">
        <f>RTD("nest.scriprtd",,"bse_cm|955NWIL27","Ask Rate")</f>
        <v>0</v>
      </c>
      <c r="G1480">
        <f>RTD("nest.scriprtd",,"bse_cm|955NWIL27","Ask Qty")</f>
        <v>0</v>
      </c>
      <c r="H1480">
        <f>RTD("nest.scriprtd",,"bse_cm|955NWIL27","LTP")</f>
        <v>0</v>
      </c>
      <c r="I1480" t="str">
        <f>RTD("nest.scriprtd",,"bse_cm|955NWIL27","LTT")</f>
        <v>00:00:00</v>
      </c>
      <c r="J1480">
        <f>RTD("nest.scriprtd",,"bse_cm|955NWIL27","% Change")</f>
        <v>-100</v>
      </c>
      <c r="K1480">
        <f>RTD("nest.scriprtd",,"bse_cm|955NWIL27","ATP")</f>
        <v>0</v>
      </c>
      <c r="L1480">
        <f>RTD("nest.scriprtd",,"bse_cm|955NWIL27","Volume Traded Today")</f>
        <v>0</v>
      </c>
      <c r="M1480">
        <f>RTD("nest.scriprtd",,"bse_cm|955NWIL27","Open")</f>
        <v>0</v>
      </c>
      <c r="N1480">
        <f>RTD("nest.scriprtd",,"bse_cm|955NWIL27","High")</f>
        <v>990</v>
      </c>
      <c r="O1480">
        <f>RTD("nest.scriprtd",,"bse_cm|955NWIL27","Low ")</f>
        <v>985</v>
      </c>
      <c r="P1480">
        <f>RTD("nest.scriprtd",,"bse_cm|955NWIL27","Prev Close")</f>
        <v>989.62</v>
      </c>
      <c r="Q1480">
        <f>RTD("nest.scriprtd",,"bse_cm|955NWIL27","Face Value")</f>
        <v>1000</v>
      </c>
      <c r="R1480" t="str">
        <f>RTD("nest.scriprtd",,"bse_cm|955NWIL27","Isin code")</f>
        <v>INE523L07751</v>
      </c>
      <c r="S1480" s="9">
        <f>Table1[[#This Row],[Ask Rate]]*Table1[[#This Row],[Ask Qty]]</f>
        <v>0</v>
      </c>
      <c r="T1480">
        <f>VLOOKUP(Table1[[#This Row],[Isin code]],Table2[#All],7,FALSE)</f>
        <v>9.5500000000000007</v>
      </c>
      <c r="U1480" s="17" t="str">
        <f>VLOOKUP(Table1[[#This Row],[Isin code]],Table2[#All],8,FALSE)</f>
        <v>15-Jul-2027</v>
      </c>
      <c r="V1480" s="10">
        <f ca="1">Table1[[#This Row],[Maturity]]-TODAY()</f>
        <v>1002</v>
      </c>
      <c r="W1480" t="str">
        <f>VLOOKUP(Table1[[#This Row],[Isin code]],Table2[#All],10,FALSE)</f>
        <v>Yearly</v>
      </c>
      <c r="X1480">
        <f ca="1">_xlfn.DAYS(Table1[[#This Row],[Maturity]],TODAY())-15</f>
        <v>987</v>
      </c>
      <c r="Y14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480">
        <f>IF(Table1[[#This Row],[Ask Rate]]=0,0,Table1[[#This Row],[Face Value]]-Table1[[#This Row],[Ask Rate]])</f>
        <v>0</v>
      </c>
      <c r="AA1480">
        <f>IF(Table1[[#This Row],[Freq]]="Yearly",Table1[[#This Row],[Coupon_Rate]]/100,IF(Table1[[#This Row],[Freq]]="Monthly",Table1[[#This Row],[Coupon_Rate]]/1200,IF(Table1[[#This Row],[Freq]]="Quarterly",Table1[[#This Row],[Coupon_Rate]]/400,0)))</f>
        <v>9.5500000000000002E-2</v>
      </c>
      <c r="AB1480">
        <f ca="1">Table1[[#This Row],[Face Value]]*Table1[[#This Row],[Rate]]*Table1[[#This Row],[Time]]</f>
        <v>286.5</v>
      </c>
      <c r="AC1480">
        <f ca="1">Table1[[#This Row],[SI]]+Table1[[#This Row],[Disc/Prem]]</f>
        <v>286.5</v>
      </c>
      <c r="AD1480" s="3" t="e">
        <f ca="1">Table1[[#This Row],[Net Gain]]/Table1[[#This Row],[Ask Rate]]</f>
        <v>#DIV/0!</v>
      </c>
      <c r="AE1480" s="3">
        <f>IF(Table1[[#This Row],[Ask Qty]]=0,0,Table1[[#This Row],[Gross Yield]]*365/Table1[[#This Row],[Days Left]])</f>
        <v>0</v>
      </c>
      <c r="AF1480" s="9">
        <f ca="1">+Table1[[#This Row],[Net Gain]]*Table1[[#This Row],[Ask Qty]]</f>
        <v>0</v>
      </c>
      <c r="AG1480" t="str">
        <f>IF(Table1[[#This Row],[YTM]]&gt;0.12,IF(Table1[[#This Row],[Gross Profit]]&gt;10000,"Invest","Review"),"Low YTM")</f>
        <v>Low YTM</v>
      </c>
    </row>
    <row r="1481" spans="1:33" x14ac:dyDescent="0.3">
      <c r="A1481" t="str">
        <f>RTD("nest.scriprtd",,"bse_cm|965SCL26A","Symbol")</f>
        <v>965SCL26A</v>
      </c>
      <c r="B1481" t="str">
        <f>RTD("nest.scriprtd",,"bse_cm|965SCL26A","Trading Symbol")</f>
        <v>965SCL26A</v>
      </c>
      <c r="C1481" t="str">
        <f>RTD("nest.scriprtd",,"bse_cm|965SCL26A","Exchange")</f>
        <v>BSE</v>
      </c>
      <c r="D1481">
        <f>RTD("nest.scriprtd",,"bse_cm|965SCL26A","Bid Qty")</f>
        <v>9</v>
      </c>
      <c r="E1481">
        <f>RTD("nest.scriprtd",,"bse_cm|965SCL26A","Bid Rate")</f>
        <v>930.4</v>
      </c>
      <c r="F1481">
        <f>RTD("nest.scriprtd",,"bse_cm|965SCL26A","Ask Rate")</f>
        <v>0</v>
      </c>
      <c r="G1481">
        <f>RTD("nest.scriprtd",,"bse_cm|965SCL26A","Ask Qty")</f>
        <v>0</v>
      </c>
      <c r="H1481">
        <f>RTD("nest.scriprtd",,"bse_cm|965SCL26A","LTP")</f>
        <v>0</v>
      </c>
      <c r="I1481" t="str">
        <f>RTD("nest.scriprtd",,"bse_cm|965SCL26A","LTT")</f>
        <v>00:00:00</v>
      </c>
      <c r="J1481">
        <f>RTD("nest.scriprtd",,"bse_cm|965SCL26A","% Change")</f>
        <v>-100</v>
      </c>
      <c r="K1481">
        <f>RTD("nest.scriprtd",,"bse_cm|965SCL26A","ATP")</f>
        <v>0</v>
      </c>
      <c r="L1481">
        <f>RTD("nest.scriprtd",,"bse_cm|965SCL26A","Volume Traded Today")</f>
        <v>0</v>
      </c>
      <c r="M1481">
        <f>RTD("nest.scriprtd",,"bse_cm|965SCL26A","Open")</f>
        <v>0</v>
      </c>
      <c r="N1481">
        <f>RTD("nest.scriprtd",,"bse_cm|965SCL26A","High")</f>
        <v>988</v>
      </c>
      <c r="O1481">
        <f>RTD("nest.scriprtd",,"bse_cm|965SCL26A","Low ")</f>
        <v>978</v>
      </c>
      <c r="P1481">
        <f>RTD("nest.scriprtd",,"bse_cm|965SCL26A","Prev Close")</f>
        <v>988</v>
      </c>
      <c r="Q1481">
        <f>RTD("nest.scriprtd",,"bse_cm|965SCL26A","Face Value")</f>
        <v>1000</v>
      </c>
      <c r="R1481" t="str">
        <f>RTD("nest.scriprtd",,"bse_cm|965SCL26A","Isin code")</f>
        <v>INE148I07TE1</v>
      </c>
      <c r="S1481" s="9">
        <f>Table1[[#This Row],[Ask Rate]]*Table1[[#This Row],[Ask Qty]]</f>
        <v>0</v>
      </c>
      <c r="T1481">
        <f>VLOOKUP(Table1[[#This Row],[Isin code]],Table2[#All],7,FALSE)</f>
        <v>9.65</v>
      </c>
      <c r="U1481" s="17" t="str">
        <f>VLOOKUP(Table1[[#This Row],[Isin code]],Table2[#All],8,FALSE)</f>
        <v>31-May-2026</v>
      </c>
      <c r="V1481" s="10">
        <f ca="1">Table1[[#This Row],[Maturity]]-TODAY()</f>
        <v>592</v>
      </c>
      <c r="W1481" t="str">
        <f>VLOOKUP(Table1[[#This Row],[Isin code]],Table2[#All],10,FALSE)</f>
        <v>Yearly</v>
      </c>
      <c r="X1481">
        <f ca="1">_xlfn.DAYS(Table1[[#This Row],[Maturity]],TODAY())-15</f>
        <v>577</v>
      </c>
      <c r="Y14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481">
        <f>IF(Table1[[#This Row],[Ask Rate]]=0,0,Table1[[#This Row],[Face Value]]-Table1[[#This Row],[Ask Rate]])</f>
        <v>0</v>
      </c>
      <c r="AA1481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481">
        <f ca="1">Table1[[#This Row],[Face Value]]*Table1[[#This Row],[Rate]]*Table1[[#This Row],[Time]]</f>
        <v>193</v>
      </c>
      <c r="AC1481">
        <f ca="1">Table1[[#This Row],[SI]]+Table1[[#This Row],[Disc/Prem]]</f>
        <v>193</v>
      </c>
      <c r="AD1481" s="3" t="e">
        <f ca="1">Table1[[#This Row],[Net Gain]]/Table1[[#This Row],[Ask Rate]]</f>
        <v>#DIV/0!</v>
      </c>
      <c r="AE1481" s="3">
        <f>IF(Table1[[#This Row],[Ask Qty]]=0,0,Table1[[#This Row],[Gross Yield]]*365/Table1[[#This Row],[Days Left]])</f>
        <v>0</v>
      </c>
      <c r="AF1481" s="9">
        <f ca="1">+Table1[[#This Row],[Net Gain]]*Table1[[#This Row],[Ask Qty]]</f>
        <v>0</v>
      </c>
      <c r="AG1481" t="str">
        <f>IF(Table1[[#This Row],[YTM]]&gt;0.12,IF(Table1[[#This Row],[Gross Profit]]&gt;10000,"Invest","Review"),"Low YTM")</f>
        <v>Low YTM</v>
      </c>
    </row>
    <row r="1482" spans="1:33" x14ac:dyDescent="0.3">
      <c r="A1482" t="str">
        <f>RTD("nest.scriprtd",,"bse_cm|925SFCL25","Symbol")</f>
        <v>925SFCL25</v>
      </c>
      <c r="B1482" t="str">
        <f>RTD("nest.scriprtd",,"bse_cm|925SFCL25","Trading Symbol")</f>
        <v>925SFCL25</v>
      </c>
      <c r="C1482" t="str">
        <f>RTD("nest.scriprtd",,"bse_cm|925SFCL25","Exchange")</f>
        <v>BSE</v>
      </c>
      <c r="D1482">
        <f>RTD("nest.scriprtd",,"bse_cm|925SFCL25","Bid Qty")</f>
        <v>12</v>
      </c>
      <c r="E1482">
        <f>RTD("nest.scriprtd",,"bse_cm|925SFCL25","Bid Rate")</f>
        <v>950.2</v>
      </c>
      <c r="F1482">
        <f>RTD("nest.scriprtd",,"bse_cm|925SFCL25","Ask Rate")</f>
        <v>0</v>
      </c>
      <c r="G1482">
        <f>RTD("nest.scriprtd",,"bse_cm|925SFCL25","Ask Qty")</f>
        <v>0</v>
      </c>
      <c r="H1482">
        <f>RTD("nest.scriprtd",,"bse_cm|925SFCL25","LTP")</f>
        <v>0</v>
      </c>
      <c r="I1482" t="str">
        <f>RTD("nest.scriprtd",,"bse_cm|925SFCL25","LTT")</f>
        <v>00:00:00</v>
      </c>
      <c r="J1482">
        <f>RTD("nest.scriprtd",,"bse_cm|925SFCL25","% Change")</f>
        <v>-100</v>
      </c>
      <c r="K1482">
        <f>RTD("nest.scriprtd",,"bse_cm|925SFCL25","ATP")</f>
        <v>0</v>
      </c>
      <c r="L1482">
        <f>RTD("nest.scriprtd",,"bse_cm|925SFCL25","Volume Traded Today")</f>
        <v>0</v>
      </c>
      <c r="M1482">
        <f>RTD("nest.scriprtd",,"bse_cm|925SFCL25","Open")</f>
        <v>0</v>
      </c>
      <c r="N1482">
        <f>RTD("nest.scriprtd",,"bse_cm|925SFCL25","High")</f>
        <v>980</v>
      </c>
      <c r="O1482">
        <f>RTD("nest.scriprtd",,"bse_cm|925SFCL25","Low ")</f>
        <v>961.06</v>
      </c>
      <c r="P1482">
        <f>RTD("nest.scriprtd",,"bse_cm|925SFCL25","Prev Close")</f>
        <v>961.06</v>
      </c>
      <c r="Q1482">
        <f>RTD("nest.scriprtd",,"bse_cm|925SFCL25","Face Value")</f>
        <v>1000</v>
      </c>
      <c r="R1482" t="str">
        <f>RTD("nest.scriprtd",,"bse_cm|925SFCL25","Isin code")</f>
        <v>INE148I07OF9</v>
      </c>
      <c r="S1482" s="9">
        <f>Table1[[#This Row],[Ask Rate]]*Table1[[#This Row],[Ask Qty]]</f>
        <v>0</v>
      </c>
      <c r="T1482">
        <f>VLOOKUP(Table1[[#This Row],[Isin code]],Table2[#All],7,FALSE)</f>
        <v>9.25</v>
      </c>
      <c r="U1482" s="17" t="str">
        <f>VLOOKUP(Table1[[#This Row],[Isin code]],Table2[#All],8,FALSE)</f>
        <v>23-Mar-2025</v>
      </c>
      <c r="V1482" s="10">
        <f ca="1">Table1[[#This Row],[Maturity]]-TODAY()</f>
        <v>158</v>
      </c>
      <c r="W1482" t="str">
        <f>VLOOKUP(Table1[[#This Row],[Isin code]],Table2[#All],10,FALSE)</f>
        <v>Monthly</v>
      </c>
      <c r="X1482">
        <f ca="1">_xlfn.DAYS(Table1[[#This Row],[Maturity]],TODAY())-15</f>
        <v>143</v>
      </c>
      <c r="Y148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482">
        <f>IF(Table1[[#This Row],[Ask Rate]]=0,0,Table1[[#This Row],[Face Value]]-Table1[[#This Row],[Ask Rate]])</f>
        <v>0</v>
      </c>
      <c r="AA1482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482">
        <f ca="1">Table1[[#This Row],[Face Value]]*Table1[[#This Row],[Rate]]*Table1[[#This Row],[Time]]</f>
        <v>38.541666666666671</v>
      </c>
      <c r="AC1482">
        <f ca="1">Table1[[#This Row],[SI]]+Table1[[#This Row],[Disc/Prem]]</f>
        <v>38.541666666666671</v>
      </c>
      <c r="AD1482" s="3" t="e">
        <f ca="1">Table1[[#This Row],[Net Gain]]/Table1[[#This Row],[Ask Rate]]</f>
        <v>#DIV/0!</v>
      </c>
      <c r="AE1482" s="3">
        <f>IF(Table1[[#This Row],[Ask Qty]]=0,0,Table1[[#This Row],[Gross Yield]]*365/Table1[[#This Row],[Days Left]])</f>
        <v>0</v>
      </c>
      <c r="AF1482" s="9">
        <f ca="1">+Table1[[#This Row],[Net Gain]]*Table1[[#This Row],[Ask Qty]]</f>
        <v>0</v>
      </c>
      <c r="AG1482" t="str">
        <f>IF(Table1[[#This Row],[YTM]]&gt;0.12,IF(Table1[[#This Row],[Gross Profit]]&gt;10000,"Invest","Review"),"Low YTM")</f>
        <v>Low YTM</v>
      </c>
    </row>
    <row r="1483" spans="1:33" x14ac:dyDescent="0.3">
      <c r="A1483" t="str">
        <f>RTD("nest.scriprtd",,"bse_cm|985ICCL28","Symbol")</f>
        <v>985ICCL28</v>
      </c>
      <c r="B1483" t="str">
        <f>RTD("nest.scriprtd",,"bse_cm|985ICCL28","Trading Symbol")</f>
        <v>985ICCL28</v>
      </c>
      <c r="C1483" t="str">
        <f>RTD("nest.scriprtd",,"bse_cm|985ICCL28","Exchange")</f>
        <v>BSE</v>
      </c>
      <c r="D1483">
        <f>RTD("nest.scriprtd",,"bse_cm|985ICCL28","Bid Qty")</f>
        <v>1</v>
      </c>
      <c r="E1483">
        <f>RTD("nest.scriprtd",,"bse_cm|985ICCL28","Bid Rate")</f>
        <v>823</v>
      </c>
      <c r="F1483">
        <f>RTD("nest.scriprtd",,"bse_cm|985ICCL28","Ask Rate")</f>
        <v>0</v>
      </c>
      <c r="G1483">
        <f>RTD("nest.scriprtd",,"bse_cm|985ICCL28","Ask Qty")</f>
        <v>0</v>
      </c>
      <c r="H1483">
        <f>RTD("nest.scriprtd",,"bse_cm|985ICCL28","LTP")</f>
        <v>0</v>
      </c>
      <c r="I1483" t="str">
        <f>RTD("nest.scriprtd",,"bse_cm|985ICCL28","LTT")</f>
        <v>00:00:00</v>
      </c>
      <c r="J1483">
        <f>RTD("nest.scriprtd",,"bse_cm|985ICCL28","% Change")</f>
        <v>-100</v>
      </c>
      <c r="K1483">
        <f>RTD("nest.scriprtd",,"bse_cm|985ICCL28","ATP")</f>
        <v>0</v>
      </c>
      <c r="L1483">
        <f>RTD("nest.scriprtd",,"bse_cm|985ICCL28","Volume Traded Today")</f>
        <v>0</v>
      </c>
      <c r="M1483">
        <f>RTD("nest.scriprtd",,"bse_cm|985ICCL28","Open")</f>
        <v>0</v>
      </c>
      <c r="N1483">
        <f>RTD("nest.scriprtd",,"bse_cm|985ICCL28","High")</f>
        <v>875</v>
      </c>
      <c r="O1483">
        <f>RTD("nest.scriprtd",,"bse_cm|985ICCL28","Low ")</f>
        <v>830.1</v>
      </c>
      <c r="P1483">
        <f>RTD("nest.scriprtd",,"bse_cm|985ICCL28","Prev Close")</f>
        <v>830.1</v>
      </c>
      <c r="Q1483">
        <f>RTD("nest.scriprtd",,"bse_cm|985ICCL28","Face Value")</f>
        <v>800</v>
      </c>
      <c r="R1483" t="str">
        <f>RTD("nest.scriprtd",,"bse_cm|985ICCL28","Isin code")</f>
        <v>INE244L07416</v>
      </c>
      <c r="S1483" s="9">
        <f>Table1[[#This Row],[Ask Rate]]*Table1[[#This Row],[Ask Qty]]</f>
        <v>0</v>
      </c>
      <c r="T1483">
        <f>VLOOKUP(Table1[[#This Row],[Isin code]],Table2[#All],7,FALSE)</f>
        <v>9.85</v>
      </c>
      <c r="U1483" s="17" t="str">
        <f>VLOOKUP(Table1[[#This Row],[Isin code]],Table2[#All],8,FALSE)</f>
        <v>02-Feb-2028</v>
      </c>
      <c r="V1483" s="10">
        <f ca="1">Table1[[#This Row],[Maturity]]-TODAY()</f>
        <v>1204</v>
      </c>
      <c r="W1483" t="str">
        <f>VLOOKUP(Table1[[#This Row],[Isin code]],Table2[#All],10,FALSE)</f>
        <v>Monthly</v>
      </c>
      <c r="X1483">
        <f ca="1">_xlfn.DAYS(Table1[[#This Row],[Maturity]],TODAY())-15</f>
        <v>1189</v>
      </c>
      <c r="Y148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1483">
        <f>IF(Table1[[#This Row],[Ask Rate]]=0,0,Table1[[#This Row],[Face Value]]-Table1[[#This Row],[Ask Rate]])</f>
        <v>0</v>
      </c>
      <c r="AA1483">
        <f>IF(Table1[[#This Row],[Freq]]="Yearly",Table1[[#This Row],[Coupon_Rate]]/100,IF(Table1[[#This Row],[Freq]]="Monthly",Table1[[#This Row],[Coupon_Rate]]/1200,IF(Table1[[#This Row],[Freq]]="Quarterly",Table1[[#This Row],[Coupon_Rate]]/400,0)))</f>
        <v>8.2083333333333331E-3</v>
      </c>
      <c r="AB1483">
        <f ca="1">Table1[[#This Row],[Face Value]]*Table1[[#This Row],[Rate]]*Table1[[#This Row],[Time]]</f>
        <v>262.66666666666663</v>
      </c>
      <c r="AC1483">
        <f ca="1">Table1[[#This Row],[SI]]+Table1[[#This Row],[Disc/Prem]]</f>
        <v>262.66666666666663</v>
      </c>
      <c r="AD1483" s="3" t="e">
        <f ca="1">Table1[[#This Row],[Net Gain]]/Table1[[#This Row],[Ask Rate]]</f>
        <v>#DIV/0!</v>
      </c>
      <c r="AE1483" s="3">
        <f>IF(Table1[[#This Row],[Ask Qty]]=0,0,Table1[[#This Row],[Gross Yield]]*365/Table1[[#This Row],[Days Left]])</f>
        <v>0</v>
      </c>
      <c r="AF1483" s="9">
        <f ca="1">+Table1[[#This Row],[Net Gain]]*Table1[[#This Row],[Ask Qty]]</f>
        <v>0</v>
      </c>
      <c r="AG1483" t="str">
        <f>IF(Table1[[#This Row],[YTM]]&gt;0.12,IF(Table1[[#This Row],[Gross Profit]]&gt;10000,"Invest","Review"),"Low YTM")</f>
        <v>Low YTM</v>
      </c>
    </row>
    <row r="1484" spans="1:33" x14ac:dyDescent="0.3">
      <c r="A1484" t="str">
        <f>RTD("nest.scriprtd",,"bse_cm|1050EFSL29","Symbol")</f>
        <v>1050EFSL29</v>
      </c>
      <c r="B1484" t="str">
        <f>RTD("nest.scriprtd",,"bse_cm|1050EFSL29","Trading Symbol")</f>
        <v>1050EFSL29</v>
      </c>
      <c r="C1484" t="str">
        <f>RTD("nest.scriprtd",,"bse_cm|1050EFSL29","Exchange")</f>
        <v>BSE</v>
      </c>
      <c r="D1484">
        <f>RTD("nest.scriprtd",,"bse_cm|1050EFSL29","Bid Qty")</f>
        <v>10</v>
      </c>
      <c r="E1484">
        <f>RTD("nest.scriprtd",,"bse_cm|1050EFSL29","Bid Rate")</f>
        <v>823.65</v>
      </c>
      <c r="F1484">
        <f>RTD("nest.scriprtd",,"bse_cm|1050EFSL29","Ask Rate")</f>
        <v>0</v>
      </c>
      <c r="G1484">
        <f>RTD("nest.scriprtd",,"bse_cm|1050EFSL29","Ask Qty")</f>
        <v>0</v>
      </c>
      <c r="H1484">
        <f>RTD("nest.scriprtd",,"bse_cm|1050EFSL29","LTP")</f>
        <v>0</v>
      </c>
      <c r="I1484" t="str">
        <f>RTD("nest.scriprtd",,"bse_cm|1050EFSL29","LTT")</f>
        <v>00:00:00</v>
      </c>
      <c r="J1484">
        <f>RTD("nest.scriprtd",,"bse_cm|1050EFSL29","% Change")</f>
        <v>-100</v>
      </c>
      <c r="K1484">
        <f>RTD("nest.scriprtd",,"bse_cm|1050EFSL29","ATP")</f>
        <v>0</v>
      </c>
      <c r="L1484">
        <f>RTD("nest.scriprtd",,"bse_cm|1050EFSL29","Volume Traded Today")</f>
        <v>0</v>
      </c>
      <c r="M1484">
        <f>RTD("nest.scriprtd",,"bse_cm|1050EFSL29","Open")</f>
        <v>0</v>
      </c>
      <c r="N1484">
        <f>RTD("nest.scriprtd",,"bse_cm|1050EFSL29","High")</f>
        <v>950</v>
      </c>
      <c r="O1484">
        <f>RTD("nest.scriprtd",,"bse_cm|1050EFSL29","Low ")</f>
        <v>950</v>
      </c>
      <c r="P1484">
        <f>RTD("nest.scriprtd",,"bse_cm|1050EFSL29","Prev Close")</f>
        <v>950</v>
      </c>
      <c r="Q1484">
        <f>RTD("nest.scriprtd",,"bse_cm|1050EFSL29","Face Value")</f>
        <v>1000</v>
      </c>
      <c r="R1484" t="str">
        <f>RTD("nest.scriprtd",,"bse_cm|1050EFSL29","Isin code")</f>
        <v>INE532F07FV5</v>
      </c>
      <c r="S1484" s="9">
        <f>Table1[[#This Row],[Ask Rate]]*Table1[[#This Row],[Ask Qty]]</f>
        <v>0</v>
      </c>
      <c r="T1484">
        <f>VLOOKUP(Table1[[#This Row],[Isin code]],Table2[#All],7,FALSE)</f>
        <v>10.5</v>
      </c>
      <c r="U1484" s="17" t="str">
        <f>VLOOKUP(Table1[[#This Row],[Isin code]],Table2[#All],8,FALSE)</f>
        <v>26-Jul-2029</v>
      </c>
      <c r="V1484" s="10">
        <f ca="1">Table1[[#This Row],[Maturity]]-TODAY()</f>
        <v>1744</v>
      </c>
      <c r="W1484" t="str">
        <f>VLOOKUP(Table1[[#This Row],[Isin code]],Table2[#All],10,FALSE)</f>
        <v>--</v>
      </c>
      <c r="X1484">
        <f ca="1">_xlfn.DAYS(Table1[[#This Row],[Maturity]],TODAY())-15</f>
        <v>1729</v>
      </c>
      <c r="Y148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84">
        <f>IF(Table1[[#This Row],[Ask Rate]]=0,0,Table1[[#This Row],[Face Value]]-Table1[[#This Row],[Ask Rate]])</f>
        <v>0</v>
      </c>
      <c r="AA148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84">
        <f>Table1[[#This Row],[Face Value]]*Table1[[#This Row],[Rate]]*Table1[[#This Row],[Time]]</f>
        <v>0</v>
      </c>
      <c r="AC1484">
        <f>Table1[[#This Row],[SI]]+Table1[[#This Row],[Disc/Prem]]</f>
        <v>0</v>
      </c>
      <c r="AD1484" s="3" t="e">
        <f>Table1[[#This Row],[Net Gain]]/Table1[[#This Row],[Ask Rate]]</f>
        <v>#DIV/0!</v>
      </c>
      <c r="AE1484" s="3">
        <f>IF(Table1[[#This Row],[Ask Qty]]=0,0,Table1[[#This Row],[Gross Yield]]*365/Table1[[#This Row],[Days Left]])</f>
        <v>0</v>
      </c>
      <c r="AF1484" s="9">
        <f>+Table1[[#This Row],[Net Gain]]*Table1[[#This Row],[Ask Qty]]</f>
        <v>0</v>
      </c>
      <c r="AG1484" t="str">
        <f>IF(Table1[[#This Row],[YTM]]&gt;0.12,IF(Table1[[#This Row],[Gross Profit]]&gt;10000,"Invest","Review"),"Low YTM")</f>
        <v>Low YTM</v>
      </c>
    </row>
    <row r="1485" spans="1:33" x14ac:dyDescent="0.3">
      <c r="A1485" t="str">
        <f>RTD("nest.scriprtd",,"bse_cm|975SCL28","Symbol")</f>
        <v>975SCL28</v>
      </c>
      <c r="B1485" t="str">
        <f>RTD("nest.scriprtd",,"bse_cm|975SCL28","Trading Symbol")</f>
        <v>975SCL28</v>
      </c>
      <c r="C1485" t="str">
        <f>RTD("nest.scriprtd",,"bse_cm|975SCL28","Exchange")</f>
        <v>BSE</v>
      </c>
      <c r="D1485">
        <f>RTD("nest.scriprtd",,"bse_cm|975SCL28","Bid Qty")</f>
        <v>5</v>
      </c>
      <c r="E1485">
        <f>RTD("nest.scriprtd",,"bse_cm|975SCL28","Bid Rate")</f>
        <v>905.7</v>
      </c>
      <c r="F1485">
        <f>RTD("nest.scriprtd",,"bse_cm|975SCL28","Ask Rate")</f>
        <v>0</v>
      </c>
      <c r="G1485">
        <f>RTD("nest.scriprtd",,"bse_cm|975SCL28","Ask Qty")</f>
        <v>0</v>
      </c>
      <c r="H1485">
        <f>RTD("nest.scriprtd",,"bse_cm|975SCL28","LTP")</f>
        <v>0</v>
      </c>
      <c r="I1485" t="str">
        <f>RTD("nest.scriprtd",,"bse_cm|975SCL28","LTT")</f>
        <v>00:00:00</v>
      </c>
      <c r="J1485">
        <f>RTD("nest.scriprtd",,"bse_cm|975SCL28","% Change")</f>
        <v>-100</v>
      </c>
      <c r="K1485">
        <f>RTD("nest.scriprtd",,"bse_cm|975SCL28","ATP")</f>
        <v>0</v>
      </c>
      <c r="L1485">
        <f>RTD("nest.scriprtd",,"bse_cm|975SCL28","Volume Traded Today")</f>
        <v>0</v>
      </c>
      <c r="M1485">
        <f>RTD("nest.scriprtd",,"bse_cm|975SCL28","Open")</f>
        <v>0</v>
      </c>
      <c r="N1485">
        <f>RTD("nest.scriprtd",,"bse_cm|975SCL28","High")</f>
        <v>970</v>
      </c>
      <c r="O1485">
        <f>RTD("nest.scriprtd",,"bse_cm|975SCL28","Low ")</f>
        <v>917.13</v>
      </c>
      <c r="P1485">
        <f>RTD("nest.scriprtd",,"bse_cm|975SCL28","Prev Close")</f>
        <v>959</v>
      </c>
      <c r="Q1485">
        <f>RTD("nest.scriprtd",,"bse_cm|975SCL28","Face Value")</f>
        <v>1000</v>
      </c>
      <c r="R1485" t="str">
        <f>RTD("nest.scriprtd",,"bse_cm|975SCL28","Isin code")</f>
        <v>INE148I07KP6</v>
      </c>
      <c r="S1485" s="9">
        <f>Table1[[#This Row],[Ask Rate]]*Table1[[#This Row],[Ask Qty]]</f>
        <v>0</v>
      </c>
      <c r="T1485">
        <f>VLOOKUP(Table1[[#This Row],[Isin code]],Table2[#All],7,FALSE)</f>
        <v>8.89</v>
      </c>
      <c r="U1485" s="17" t="str">
        <f>VLOOKUP(Table1[[#This Row],[Isin code]],Table2[#All],8,FALSE)</f>
        <v>24-Sep-2026</v>
      </c>
      <c r="V1485" s="10">
        <f ca="1">Table1[[#This Row],[Maturity]]-TODAY()</f>
        <v>708</v>
      </c>
      <c r="W1485" t="str">
        <f>VLOOKUP(Table1[[#This Row],[Isin code]],Table2[#All],10,FALSE)</f>
        <v>Monthly</v>
      </c>
      <c r="X1485">
        <f ca="1">_xlfn.DAYS(Table1[[#This Row],[Maturity]],TODAY())-15</f>
        <v>693</v>
      </c>
      <c r="Y14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1485">
        <f>IF(Table1[[#This Row],[Ask Rate]]=0,0,Table1[[#This Row],[Face Value]]-Table1[[#This Row],[Ask Rate]])</f>
        <v>0</v>
      </c>
      <c r="AA1485">
        <f>IF(Table1[[#This Row],[Freq]]="Yearly",Table1[[#This Row],[Coupon_Rate]]/100,IF(Table1[[#This Row],[Freq]]="Monthly",Table1[[#This Row],[Coupon_Rate]]/1200,IF(Table1[[#This Row],[Freq]]="Quarterly",Table1[[#This Row],[Coupon_Rate]]/400,0)))</f>
        <v>7.4083333333333336E-3</v>
      </c>
      <c r="AB1485">
        <f ca="1">Table1[[#This Row],[Face Value]]*Table1[[#This Row],[Rate]]*Table1[[#This Row],[Time]]</f>
        <v>177.8</v>
      </c>
      <c r="AC1485">
        <f ca="1">Table1[[#This Row],[SI]]+Table1[[#This Row],[Disc/Prem]]</f>
        <v>177.8</v>
      </c>
      <c r="AD1485" s="3" t="e">
        <f ca="1">Table1[[#This Row],[Net Gain]]/Table1[[#This Row],[Ask Rate]]</f>
        <v>#DIV/0!</v>
      </c>
      <c r="AE1485" s="3">
        <f>IF(Table1[[#This Row],[Ask Qty]]=0,0,Table1[[#This Row],[Gross Yield]]*365/Table1[[#This Row],[Days Left]])</f>
        <v>0</v>
      </c>
      <c r="AF1485" s="9">
        <f ca="1">+Table1[[#This Row],[Net Gain]]*Table1[[#This Row],[Ask Qty]]</f>
        <v>0</v>
      </c>
      <c r="AG1485" t="str">
        <f>IF(Table1[[#This Row],[YTM]]&gt;0.12,IF(Table1[[#This Row],[Gross Profit]]&gt;10000,"Invest","Review"),"Low YTM")</f>
        <v>Low YTM</v>
      </c>
    </row>
    <row r="1486" spans="1:33" x14ac:dyDescent="0.3">
      <c r="A1486" t="str">
        <f>RTD("nest.scriprtd",,"bse_cm|890ICCL23A","Symbol")</f>
        <v>890ICCL23A</v>
      </c>
      <c r="B1486" t="str">
        <f>RTD("nest.scriprtd",,"bse_cm|890ICCL23A","Trading Symbol")</f>
        <v>890ICCL23A</v>
      </c>
      <c r="C1486" t="str">
        <f>RTD("nest.scriprtd",,"bse_cm|890ICCL23A","Exchange")</f>
        <v>BSE</v>
      </c>
      <c r="D1486">
        <f>RTD("nest.scriprtd",,"bse_cm|890ICCL23A","Bid Qty")</f>
        <v>130</v>
      </c>
      <c r="E1486">
        <f>RTD("nest.scriprtd",,"bse_cm|890ICCL23A","Bid Rate")</f>
        <v>902.2</v>
      </c>
      <c r="F1486">
        <f>RTD("nest.scriprtd",,"bse_cm|890ICCL23A","Ask Rate")</f>
        <v>0</v>
      </c>
      <c r="G1486">
        <f>RTD("nest.scriprtd",,"bse_cm|890ICCL23A","Ask Qty")</f>
        <v>0</v>
      </c>
      <c r="H1486">
        <f>RTD("nest.scriprtd",,"bse_cm|890ICCL23A","LTP")</f>
        <v>0</v>
      </c>
      <c r="I1486" t="str">
        <f>RTD("nest.scriprtd",,"bse_cm|890ICCL23A","LTT")</f>
        <v>00:00:00</v>
      </c>
      <c r="J1486">
        <f>RTD("nest.scriprtd",,"bse_cm|890ICCL23A","% Change")</f>
        <v>-100</v>
      </c>
      <c r="K1486">
        <f>RTD("nest.scriprtd",,"bse_cm|890ICCL23A","ATP")</f>
        <v>0</v>
      </c>
      <c r="L1486">
        <f>RTD("nest.scriprtd",,"bse_cm|890ICCL23A","Volume Traded Today")</f>
        <v>0</v>
      </c>
      <c r="M1486">
        <f>RTD("nest.scriprtd",,"bse_cm|890ICCL23A","Open")</f>
        <v>0</v>
      </c>
      <c r="N1486">
        <f>RTD("nest.scriprtd",,"bse_cm|890ICCL23A","High")</f>
        <v>920</v>
      </c>
      <c r="O1486">
        <f>RTD("nest.scriprtd",,"bse_cm|890ICCL23A","Low ")</f>
        <v>920</v>
      </c>
      <c r="P1486">
        <f>RTD("nest.scriprtd",,"bse_cm|890ICCL23A","Prev Close")</f>
        <v>920</v>
      </c>
      <c r="Q1486">
        <f>RTD("nest.scriprtd",,"bse_cm|890ICCL23A","Face Value")</f>
        <v>800</v>
      </c>
      <c r="R1486" t="str">
        <f>RTD("nest.scriprtd",,"bse_cm|890ICCL23A","Isin code")</f>
        <v>INE244L07523</v>
      </c>
      <c r="S1486" s="9">
        <f>Table1[[#This Row],[Ask Rate]]*Table1[[#This Row],[Ask Qty]]</f>
        <v>0</v>
      </c>
      <c r="T1486">
        <f>VLOOKUP(Table1[[#This Row],[Isin code]],Table2[#All],7,FALSE)</f>
        <v>10.029999999999999</v>
      </c>
      <c r="U1486" s="17" t="str">
        <f>VLOOKUP(Table1[[#This Row],[Isin code]],Table2[#All],8,FALSE)</f>
        <v>25-Apr-2028</v>
      </c>
      <c r="V1486" s="10">
        <f ca="1">Table1[[#This Row],[Maturity]]-TODAY()</f>
        <v>1287</v>
      </c>
      <c r="W1486" t="str">
        <f>VLOOKUP(Table1[[#This Row],[Isin code]],Table2[#All],10,FALSE)</f>
        <v>Monthly</v>
      </c>
      <c r="X1486">
        <f ca="1">_xlfn.DAYS(Table1[[#This Row],[Maturity]],TODAY())-15</f>
        <v>1272</v>
      </c>
      <c r="Y148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43</v>
      </c>
      <c r="Z1486">
        <f>IF(Table1[[#This Row],[Ask Rate]]=0,0,Table1[[#This Row],[Face Value]]-Table1[[#This Row],[Ask Rate]])</f>
        <v>0</v>
      </c>
      <c r="AA1486">
        <f>IF(Table1[[#This Row],[Freq]]="Yearly",Table1[[#This Row],[Coupon_Rate]]/100,IF(Table1[[#This Row],[Freq]]="Monthly",Table1[[#This Row],[Coupon_Rate]]/1200,IF(Table1[[#This Row],[Freq]]="Quarterly",Table1[[#This Row],[Coupon_Rate]]/400,0)))</f>
        <v>8.3583333333333322E-3</v>
      </c>
      <c r="AB1486">
        <f ca="1">Table1[[#This Row],[Face Value]]*Table1[[#This Row],[Rate]]*Table1[[#This Row],[Time]]</f>
        <v>287.52666666666664</v>
      </c>
      <c r="AC1486">
        <f ca="1">Table1[[#This Row],[SI]]+Table1[[#This Row],[Disc/Prem]]</f>
        <v>287.52666666666664</v>
      </c>
      <c r="AD1486" s="3" t="e">
        <f ca="1">Table1[[#This Row],[Net Gain]]/Table1[[#This Row],[Ask Rate]]</f>
        <v>#DIV/0!</v>
      </c>
      <c r="AE1486" s="3">
        <f>IF(Table1[[#This Row],[Ask Qty]]=0,0,Table1[[#This Row],[Gross Yield]]*365/Table1[[#This Row],[Days Left]])</f>
        <v>0</v>
      </c>
      <c r="AF1486" s="9">
        <f ca="1">+Table1[[#This Row],[Net Gain]]*Table1[[#This Row],[Ask Qty]]</f>
        <v>0</v>
      </c>
      <c r="AG1486" t="str">
        <f>IF(Table1[[#This Row],[YTM]]&gt;0.12,IF(Table1[[#This Row],[Gross Profit]]&gt;10000,"Invest","Review"),"Low YTM")</f>
        <v>Low YTM</v>
      </c>
    </row>
    <row r="1487" spans="1:33" x14ac:dyDescent="0.3">
      <c r="A1487" t="str">
        <f>RTD("nest.scriprtd",,"nse_cm|769IGT28-NH","Symbol")</f>
        <v>769IGT28</v>
      </c>
      <c r="B1487" t="str">
        <f>RTD("nest.scriprtd",,"nse_cm|769IGT28-NH","Trading Symbol")</f>
        <v>769IGT28-NH</v>
      </c>
      <c r="C1487" t="str">
        <f>RTD("nest.scriprtd",,"nse_cm|769IGT28-NH","Exchange")</f>
        <v>NSE</v>
      </c>
      <c r="D1487">
        <f>RTD("nest.scriprtd",,"nse_cm|769IGT28-NH","Bid Qty")</f>
        <v>500</v>
      </c>
      <c r="E1487">
        <f>RTD("nest.scriprtd",,"nse_cm|769IGT28-NH","Bid Rate")</f>
        <v>899</v>
      </c>
      <c r="F1487">
        <f>RTD("nest.scriprtd",,"nse_cm|769IGT28-NH","Ask Rate")</f>
        <v>0</v>
      </c>
      <c r="G1487">
        <f>RTD("nest.scriprtd",,"nse_cm|769IGT28-NH","Ask Qty")</f>
        <v>0</v>
      </c>
      <c r="H1487">
        <f>RTD("nest.scriprtd",,"nse_cm|769IGT28-NH","LTP")</f>
        <v>970</v>
      </c>
      <c r="I1487" t="str">
        <f>RTD("nest.scriprtd",,"nse_cm|769IGT28-NH","LTT")</f>
        <v/>
      </c>
      <c r="J1487">
        <f>RTD("nest.scriprtd",,"nse_cm|769IGT28-NH","% Change")</f>
        <v>0</v>
      </c>
      <c r="K1487">
        <f>RTD("nest.scriprtd",,"nse_cm|769IGT28-NH","ATP")</f>
        <v>0</v>
      </c>
      <c r="L1487">
        <f>RTD("nest.scriprtd",,"nse_cm|769IGT28-NH","Volume Traded Today")</f>
        <v>0</v>
      </c>
      <c r="M1487">
        <f>RTD("nest.scriprtd",,"nse_cm|769IGT28-NH","Open")</f>
        <v>0</v>
      </c>
      <c r="N1487">
        <f>RTD("nest.scriprtd",,"nse_cm|769IGT28-NH","High")</f>
        <v>970</v>
      </c>
      <c r="O1487">
        <f>RTD("nest.scriprtd",,"nse_cm|769IGT28-NH","Low ")</f>
        <v>970</v>
      </c>
      <c r="P1487">
        <f>RTD("nest.scriprtd",,"nse_cm|769IGT28-NH","Prev Close")</f>
        <v>970</v>
      </c>
      <c r="Q1487">
        <f>RTD("nest.scriprtd",,"nse_cm|769IGT28-NH","Face Value")</f>
        <v>1000</v>
      </c>
      <c r="R1487" t="str">
        <f>RTD("nest.scriprtd",,"nse_cm|769IGT28-NH","Isin code")</f>
        <v>INE219X07249</v>
      </c>
      <c r="S1487" s="9">
        <f>Table1[[#This Row],[Ask Rate]]*Table1[[#This Row],[Ask Qty]]</f>
        <v>0</v>
      </c>
      <c r="T1487">
        <f>VLOOKUP(Table1[[#This Row],[Isin code]],Table2[#All],7,FALSE)</f>
        <v>7.69</v>
      </c>
      <c r="U1487" s="17" t="str">
        <f>VLOOKUP(Table1[[#This Row],[Isin code]],Table2[#All],8,FALSE)</f>
        <v>06-May-2028</v>
      </c>
      <c r="V1487" s="10">
        <f ca="1">Table1[[#This Row],[Maturity]]-TODAY()</f>
        <v>1298</v>
      </c>
      <c r="W1487" t="str">
        <f>VLOOKUP(Table1[[#This Row],[Isin code]],Table2[#All],10,FALSE)</f>
        <v>Quarterly</v>
      </c>
      <c r="X1487">
        <f ca="1">_xlfn.DAYS(Table1[[#This Row],[Maturity]],TODAY())-15</f>
        <v>1283</v>
      </c>
      <c r="Y148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1487">
        <f>IF(Table1[[#This Row],[Ask Rate]]=0,0,Table1[[#This Row],[Face Value]]-Table1[[#This Row],[Ask Rate]])</f>
        <v>0</v>
      </c>
      <c r="AA1487">
        <f>IF(Table1[[#This Row],[Freq]]="Yearly",Table1[[#This Row],[Coupon_Rate]]/100,IF(Table1[[#This Row],[Freq]]="Monthly",Table1[[#This Row],[Coupon_Rate]]/1200,IF(Table1[[#This Row],[Freq]]="Quarterly",Table1[[#This Row],[Coupon_Rate]]/400,0)))</f>
        <v>1.9225000000000003E-2</v>
      </c>
      <c r="AB1487">
        <f ca="1">Table1[[#This Row],[Face Value]]*Table1[[#This Row],[Rate]]*Table1[[#This Row],[Time]]</f>
        <v>288.375</v>
      </c>
      <c r="AC1487">
        <f ca="1">Table1[[#This Row],[SI]]+Table1[[#This Row],[Disc/Prem]]</f>
        <v>288.375</v>
      </c>
      <c r="AD1487" s="3" t="e">
        <f ca="1">Table1[[#This Row],[Net Gain]]/Table1[[#This Row],[Ask Rate]]</f>
        <v>#DIV/0!</v>
      </c>
      <c r="AE1487" s="3">
        <f>IF(Table1[[#This Row],[Ask Qty]]=0,0,Table1[[#This Row],[Gross Yield]]*365/Table1[[#This Row],[Days Left]])</f>
        <v>0</v>
      </c>
      <c r="AF1487" s="9">
        <f ca="1">+Table1[[#This Row],[Net Gain]]*Table1[[#This Row],[Ask Qty]]</f>
        <v>0</v>
      </c>
      <c r="AG1487" t="str">
        <f>IF(Table1[[#This Row],[YTM]]&gt;0.12,IF(Table1[[#This Row],[Gross Profit]]&gt;10000,"Invest","Review"),"Low YTM")</f>
        <v>Low YTM</v>
      </c>
    </row>
    <row r="1488" spans="1:33" x14ac:dyDescent="0.3">
      <c r="A1488" t="str">
        <f>RTD("nest.scriprtd",,"nse_cm|1025NFL25-N5","Symbol")</f>
        <v>1025NFL25</v>
      </c>
      <c r="B1488" t="str">
        <f>RTD("nest.scriprtd",,"nse_cm|1025NFL25-N5","Trading Symbol")</f>
        <v>1025NFL25-N5</v>
      </c>
      <c r="C1488" t="str">
        <f>RTD("nest.scriprtd",,"nse_cm|1025NFL25-N5","Exchange")</f>
        <v>NSE</v>
      </c>
      <c r="D1488">
        <f>RTD("nest.scriprtd",,"nse_cm|1025NFL25-N5","Bid Qty")</f>
        <v>9</v>
      </c>
      <c r="E1488">
        <f>RTD("nest.scriprtd",,"nse_cm|1025NFL25-N5","Bid Rate")</f>
        <v>974.5</v>
      </c>
      <c r="F1488">
        <f>RTD("nest.scriprtd",,"nse_cm|1025NFL25-N5","Ask Rate")</f>
        <v>0</v>
      </c>
      <c r="G1488">
        <f>RTD("nest.scriprtd",,"nse_cm|1025NFL25-N5","Ask Qty")</f>
        <v>0</v>
      </c>
      <c r="H1488">
        <f>RTD("nest.scriprtd",,"nse_cm|1025NFL25-N5","LTP")</f>
        <v>999.8</v>
      </c>
      <c r="I1488" t="str">
        <f>RTD("nest.scriprtd",,"nse_cm|1025NFL25-N5","LTT")</f>
        <v/>
      </c>
      <c r="J1488">
        <f>RTD("nest.scriprtd",,"nse_cm|1025NFL25-N5","% Change")</f>
        <v>0</v>
      </c>
      <c r="K1488">
        <f>RTD("nest.scriprtd",,"nse_cm|1025NFL25-N5","ATP")</f>
        <v>0</v>
      </c>
      <c r="L1488">
        <f>RTD("nest.scriprtd",,"nse_cm|1025NFL25-N5","Volume Traded Today")</f>
        <v>0</v>
      </c>
      <c r="M1488">
        <f>RTD("nest.scriprtd",,"nse_cm|1025NFL25-N5","Open")</f>
        <v>0</v>
      </c>
      <c r="N1488">
        <f>RTD("nest.scriprtd",,"nse_cm|1025NFL25-N5","High")</f>
        <v>999.8</v>
      </c>
      <c r="O1488">
        <f>RTD("nest.scriprtd",,"nse_cm|1025NFL25-N5","Low ")</f>
        <v>999.8</v>
      </c>
      <c r="P1488">
        <f>RTD("nest.scriprtd",,"nse_cm|1025NFL25-N5","Prev Close")</f>
        <v>999.8</v>
      </c>
      <c r="Q1488">
        <f>RTD("nest.scriprtd",,"nse_cm|1025NFL25-N5","Face Value")</f>
        <v>1000</v>
      </c>
      <c r="R1488" t="str">
        <f>RTD("nest.scriprtd",,"nse_cm|1025NFL25-N5","Isin code")</f>
        <v>INE342T07379</v>
      </c>
      <c r="S1488" s="9">
        <f>Table1[[#This Row],[Ask Rate]]*Table1[[#This Row],[Ask Qty]]</f>
        <v>0</v>
      </c>
      <c r="T1488">
        <f>VLOOKUP(Table1[[#This Row],[Isin code]],Table2[#All],7,FALSE)</f>
        <v>10.25</v>
      </c>
      <c r="U1488" s="17" t="str">
        <f>VLOOKUP(Table1[[#This Row],[Isin code]],Table2[#All],8,FALSE)</f>
        <v>18-Oct-2025</v>
      </c>
      <c r="V1488" s="10">
        <f ca="1">Table1[[#This Row],[Maturity]]-TODAY()</f>
        <v>367</v>
      </c>
      <c r="W1488" t="str">
        <f>VLOOKUP(Table1[[#This Row],[Isin code]],Table2[#All],10,FALSE)</f>
        <v>Monthly</v>
      </c>
      <c r="X1488">
        <f ca="1">_xlfn.DAYS(Table1[[#This Row],[Maturity]],TODAY())-15</f>
        <v>352</v>
      </c>
      <c r="Y148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1488">
        <f>IF(Table1[[#This Row],[Ask Rate]]=0,0,Table1[[#This Row],[Face Value]]-Table1[[#This Row],[Ask Rate]])</f>
        <v>0</v>
      </c>
      <c r="AA1488">
        <f>IF(Table1[[#This Row],[Freq]]="Yearly",Table1[[#This Row],[Coupon_Rate]]/100,IF(Table1[[#This Row],[Freq]]="Monthly",Table1[[#This Row],[Coupon_Rate]]/1200,IF(Table1[[#This Row],[Freq]]="Quarterly",Table1[[#This Row],[Coupon_Rate]]/400,0)))</f>
        <v>8.5416666666666662E-3</v>
      </c>
      <c r="AB1488">
        <f ca="1">Table1[[#This Row],[Face Value]]*Table1[[#This Row],[Rate]]*Table1[[#This Row],[Time]]</f>
        <v>102.5</v>
      </c>
      <c r="AC1488">
        <f ca="1">Table1[[#This Row],[SI]]+Table1[[#This Row],[Disc/Prem]]</f>
        <v>102.5</v>
      </c>
      <c r="AD1488" s="3" t="e">
        <f ca="1">Table1[[#This Row],[Net Gain]]/Table1[[#This Row],[Ask Rate]]</f>
        <v>#DIV/0!</v>
      </c>
      <c r="AE1488" s="3">
        <f>IF(Table1[[#This Row],[Ask Qty]]=0,0,Table1[[#This Row],[Gross Yield]]*365/Table1[[#This Row],[Days Left]])</f>
        <v>0</v>
      </c>
      <c r="AF1488" s="9">
        <f ca="1">+Table1[[#This Row],[Net Gain]]*Table1[[#This Row],[Ask Qty]]</f>
        <v>0</v>
      </c>
      <c r="AG1488" t="str">
        <f>IF(Table1[[#This Row],[YTM]]&gt;0.12,IF(Table1[[#This Row],[Gross Profit]]&gt;10000,"Invest","Review"),"Low YTM")</f>
        <v>Low YTM</v>
      </c>
    </row>
    <row r="1489" spans="1:33" x14ac:dyDescent="0.3">
      <c r="A1489" t="str">
        <f>RTD("nest.scriprtd",,"nse_cm|960IIFLS26-N9","Symbol")</f>
        <v>960IIFLS26</v>
      </c>
      <c r="B1489" t="str">
        <f>RTD("nest.scriprtd",,"nse_cm|960IIFLS26-N9","Trading Symbol")</f>
        <v>960IIFLS26-N9</v>
      </c>
      <c r="C1489" t="str">
        <f>RTD("nest.scriprtd",,"nse_cm|960IIFLS26-N9","Exchange")</f>
        <v>NSE</v>
      </c>
      <c r="D1489">
        <f>RTD("nest.scriprtd",,"nse_cm|960IIFLS26-N9","Bid Qty")</f>
        <v>101</v>
      </c>
      <c r="E1489">
        <f>RTD("nest.scriprtd",,"nse_cm|960IIFLS26-N9","Bid Rate")</f>
        <v>901</v>
      </c>
      <c r="F1489">
        <f>RTD("nest.scriprtd",,"nse_cm|960IIFLS26-N9","Ask Rate")</f>
        <v>1000</v>
      </c>
      <c r="G1489">
        <f>RTD("nest.scriprtd",,"nse_cm|960IIFLS26-N9","Ask Qty")</f>
        <v>990</v>
      </c>
      <c r="H1489">
        <f>RTD("nest.scriprtd",,"nse_cm|960IIFLS26-N9","LTP")</f>
        <v>1001</v>
      </c>
      <c r="I1489" t="str">
        <f>RTD("nest.scriprtd",,"nse_cm|960IIFLS26-N9","LTT")</f>
        <v/>
      </c>
      <c r="J1489">
        <f>RTD("nest.scriprtd",,"nse_cm|960IIFLS26-N9","% Change")</f>
        <v>0</v>
      </c>
      <c r="K1489">
        <f>RTD("nest.scriprtd",,"nse_cm|960IIFLS26-N9","ATP")</f>
        <v>0</v>
      </c>
      <c r="L1489">
        <f>RTD("nest.scriprtd",,"nse_cm|960IIFLS26-N9","Volume Traded Today")</f>
        <v>0</v>
      </c>
      <c r="M1489">
        <f>RTD("nest.scriprtd",,"nse_cm|960IIFLS26-N9","Open")</f>
        <v>0</v>
      </c>
      <c r="N1489">
        <f>RTD("nest.scriprtd",,"nse_cm|960IIFLS26-N9","High")</f>
        <v>1001</v>
      </c>
      <c r="O1489">
        <f>RTD("nest.scriprtd",,"nse_cm|960IIFLS26-N9","Low ")</f>
        <v>1001</v>
      </c>
      <c r="P1489">
        <f>RTD("nest.scriprtd",,"nse_cm|960IIFLS26-N9","Prev Close")</f>
        <v>1001</v>
      </c>
      <c r="Q1489">
        <f>RTD("nest.scriprtd",,"nse_cm|960IIFLS26-N9","Face Value")</f>
        <v>1000</v>
      </c>
      <c r="R1489" t="str">
        <f>RTD("nest.scriprtd",,"nse_cm|960IIFLS26-N9","Isin code")</f>
        <v>INE413U07335</v>
      </c>
      <c r="S1489" s="9">
        <f>Table1[[#This Row],[Ask Rate]]*Table1[[#This Row],[Ask Qty]]</f>
        <v>990000</v>
      </c>
      <c r="T1489">
        <f>VLOOKUP(Table1[[#This Row],[Isin code]],Table2[#All],7,FALSE)</f>
        <v>9.6</v>
      </c>
      <c r="U1489" s="17" t="str">
        <f>VLOOKUP(Table1[[#This Row],[Isin code]],Table2[#All],8,FALSE)</f>
        <v>21-Jun-2026</v>
      </c>
      <c r="V1489" s="10">
        <f ca="1">Table1[[#This Row],[Maturity]]-TODAY()</f>
        <v>613</v>
      </c>
      <c r="W1489" t="str">
        <f>VLOOKUP(Table1[[#This Row],[Isin code]],Table2[#All],10,FALSE)</f>
        <v>Annual</v>
      </c>
      <c r="X1489">
        <f ca="1">_xlfn.DAYS(Table1[[#This Row],[Maturity]],TODAY())-15</f>
        <v>598</v>
      </c>
      <c r="Y148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89">
        <f>IF(Table1[[#This Row],[Ask Rate]]=0,0,Table1[[#This Row],[Face Value]]-Table1[[#This Row],[Ask Rate]])</f>
        <v>0</v>
      </c>
      <c r="AA148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89">
        <f>Table1[[#This Row],[Face Value]]*Table1[[#This Row],[Rate]]*Table1[[#This Row],[Time]]</f>
        <v>0</v>
      </c>
      <c r="AC1489">
        <f>Table1[[#This Row],[SI]]+Table1[[#This Row],[Disc/Prem]]</f>
        <v>0</v>
      </c>
      <c r="AD1489" s="3">
        <f>Table1[[#This Row],[Net Gain]]/Table1[[#This Row],[Ask Rate]]</f>
        <v>0</v>
      </c>
      <c r="AE1489" s="3">
        <f ca="1">IF(Table1[[#This Row],[Ask Qty]]=0,0,Table1[[#This Row],[Gross Yield]]*365/Table1[[#This Row],[Days Left]])</f>
        <v>0</v>
      </c>
      <c r="AF1489" s="9">
        <f>+Table1[[#This Row],[Net Gain]]*Table1[[#This Row],[Ask Qty]]</f>
        <v>0</v>
      </c>
      <c r="AG1489" t="str">
        <f ca="1">IF(Table1[[#This Row],[YTM]]&gt;0.12,IF(Table1[[#This Row],[Gross Profit]]&gt;10000,"Invest","Review"),"Low YTM")</f>
        <v>Low YTM</v>
      </c>
    </row>
    <row r="1490" spans="1:33" x14ac:dyDescent="0.3">
      <c r="A1490" t="str">
        <f>RTD("nest.scriprtd",,"bse_cm|925SCL25B","Symbol")</f>
        <v>925SCL25B</v>
      </c>
      <c r="B1490" t="str">
        <f>RTD("nest.scriprtd",,"bse_cm|925SCL25B","Trading Symbol")</f>
        <v>925SCL25B</v>
      </c>
      <c r="C1490" t="str">
        <f>RTD("nest.scriprtd",,"bse_cm|925SCL25B","Exchange")</f>
        <v>BSE</v>
      </c>
      <c r="D1490">
        <f>RTD("nest.scriprtd",,"bse_cm|925SCL25B","Bid Qty")</f>
        <v>9</v>
      </c>
      <c r="E1490">
        <f>RTD("nest.scriprtd",,"bse_cm|925SCL25B","Bid Rate")</f>
        <v>930.2</v>
      </c>
      <c r="F1490">
        <f>RTD("nest.scriprtd",,"bse_cm|925SCL25B","Ask Rate")</f>
        <v>0</v>
      </c>
      <c r="G1490">
        <f>RTD("nest.scriprtd",,"bse_cm|925SCL25B","Ask Qty")</f>
        <v>0</v>
      </c>
      <c r="H1490">
        <f>RTD("nest.scriprtd",,"bse_cm|925SCL25B","LTP")</f>
        <v>0</v>
      </c>
      <c r="I1490" t="str">
        <f>RTD("nest.scriprtd",,"bse_cm|925SCL25B","LTT")</f>
        <v>00:00:00</v>
      </c>
      <c r="J1490">
        <f>RTD("nest.scriprtd",,"bse_cm|925SCL25B","% Change")</f>
        <v>-100</v>
      </c>
      <c r="K1490">
        <f>RTD("nest.scriprtd",,"bse_cm|925SCL25B","ATP")</f>
        <v>0</v>
      </c>
      <c r="L1490">
        <f>RTD("nest.scriprtd",,"bse_cm|925SCL25B","Volume Traded Today")</f>
        <v>0</v>
      </c>
      <c r="M1490">
        <f>RTD("nest.scriprtd",,"bse_cm|925SCL25B","Open")</f>
        <v>0</v>
      </c>
      <c r="N1490">
        <f>RTD("nest.scriprtd",,"bse_cm|925SCL25B","High")</f>
        <v>957.51</v>
      </c>
      <c r="O1490">
        <f>RTD("nest.scriprtd",,"bse_cm|925SCL25B","Low ")</f>
        <v>957.51</v>
      </c>
      <c r="P1490">
        <f>RTD("nest.scriprtd",,"bse_cm|925SCL25B","Prev Close")</f>
        <v>957.51</v>
      </c>
      <c r="Q1490">
        <f>RTD("nest.scriprtd",,"bse_cm|925SCL25B","Face Value")</f>
        <v>1000</v>
      </c>
      <c r="R1490" t="str">
        <f>RTD("nest.scriprtd",,"bse_cm|925SCL25B","Isin code")</f>
        <v>INE148I07RI6</v>
      </c>
      <c r="S1490" s="9">
        <f>Table1[[#This Row],[Ask Rate]]*Table1[[#This Row],[Ask Qty]]</f>
        <v>0</v>
      </c>
      <c r="T1490">
        <f>VLOOKUP(Table1[[#This Row],[Isin code]],Table2[#All],7,FALSE)</f>
        <v>9.25</v>
      </c>
      <c r="U1490" s="17" t="str">
        <f>VLOOKUP(Table1[[#This Row],[Isin code]],Table2[#All],8,FALSE)</f>
        <v>27-Dec-2025</v>
      </c>
      <c r="V1490" s="10">
        <f ca="1">Table1[[#This Row],[Maturity]]-TODAY()</f>
        <v>437</v>
      </c>
      <c r="W1490" t="str">
        <f>VLOOKUP(Table1[[#This Row],[Isin code]],Table2[#All],10,FALSE)</f>
        <v>Monthly</v>
      </c>
      <c r="X1490">
        <f ca="1">_xlfn.DAYS(Table1[[#This Row],[Maturity]],TODAY())-15</f>
        <v>422</v>
      </c>
      <c r="Y14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1490">
        <f>IF(Table1[[#This Row],[Ask Rate]]=0,0,Table1[[#This Row],[Face Value]]-Table1[[#This Row],[Ask Rate]])</f>
        <v>0</v>
      </c>
      <c r="AA1490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490">
        <f ca="1">Table1[[#This Row],[Face Value]]*Table1[[#This Row],[Rate]]*Table1[[#This Row],[Time]]</f>
        <v>115.62500000000001</v>
      </c>
      <c r="AC1490">
        <f ca="1">Table1[[#This Row],[SI]]+Table1[[#This Row],[Disc/Prem]]</f>
        <v>115.62500000000001</v>
      </c>
      <c r="AD1490" s="3" t="e">
        <f ca="1">Table1[[#This Row],[Net Gain]]/Table1[[#This Row],[Ask Rate]]</f>
        <v>#DIV/0!</v>
      </c>
      <c r="AE1490" s="3">
        <f>IF(Table1[[#This Row],[Ask Qty]]=0,0,Table1[[#This Row],[Gross Yield]]*365/Table1[[#This Row],[Days Left]])</f>
        <v>0</v>
      </c>
      <c r="AF1490" s="9">
        <f ca="1">+Table1[[#This Row],[Net Gain]]*Table1[[#This Row],[Ask Qty]]</f>
        <v>0</v>
      </c>
      <c r="AG1490" t="str">
        <f>IF(Table1[[#This Row],[YTM]]&gt;0.12,IF(Table1[[#This Row],[Gross Profit]]&gt;10000,"Invest","Review"),"Low YTM")</f>
        <v>Low YTM</v>
      </c>
    </row>
    <row r="1491" spans="1:33" x14ac:dyDescent="0.3">
      <c r="A1491" t="str">
        <f>RTD("nest.scriprtd",,"nse_cm|IIFLZC28B-Y1","Symbol")</f>
        <v>IIFLZC28B</v>
      </c>
      <c r="B1491" t="str">
        <f>RTD("nest.scriprtd",,"nse_cm|IIFLZC28B-Y1","Trading Symbol")</f>
        <v>IIFLZC28B-Y1</v>
      </c>
      <c r="C1491" t="str">
        <f>RTD("nest.scriprtd",,"nse_cm|IIFLZC28B-Y1","Exchange")</f>
        <v>NSE</v>
      </c>
      <c r="D1491">
        <f>RTD("nest.scriprtd",,"nse_cm|IIFLZC28B-Y1","Bid Qty")</f>
        <v>15</v>
      </c>
      <c r="E1491">
        <f>RTD("nest.scriprtd",,"nse_cm|IIFLZC28B-Y1","Bid Rate")</f>
        <v>980</v>
      </c>
      <c r="F1491">
        <f>RTD("nest.scriprtd",,"nse_cm|IIFLZC28B-Y1","Ask Rate")</f>
        <v>1000</v>
      </c>
      <c r="G1491">
        <f>RTD("nest.scriprtd",,"nse_cm|IIFLZC28B-Y1","Ask Qty")</f>
        <v>840</v>
      </c>
      <c r="H1491">
        <f>RTD("nest.scriprtd",,"nse_cm|IIFLZC28B-Y1","LTP")</f>
        <v>1000</v>
      </c>
      <c r="I1491" t="str">
        <f>RTD("nest.scriprtd",,"nse_cm|IIFLZC28B-Y1","LTT")</f>
        <v>15:12:45</v>
      </c>
      <c r="J1491">
        <f>RTD("nest.scriprtd",,"nse_cm|IIFLZC28B-Y1","% Change")</f>
        <v>0</v>
      </c>
      <c r="K1491">
        <f>RTD("nest.scriprtd",,"nse_cm|IIFLZC28B-Y1","ATP")</f>
        <v>1000</v>
      </c>
      <c r="L1491">
        <f>RTD("nest.scriprtd",,"nse_cm|IIFLZC28B-Y1","Volume Traded Today")</f>
        <v>98</v>
      </c>
      <c r="M1491">
        <f>RTD("nest.scriprtd",,"nse_cm|IIFLZC28B-Y1","Open")</f>
        <v>1000</v>
      </c>
      <c r="N1491">
        <f>RTD("nest.scriprtd",,"nse_cm|IIFLZC28B-Y1","High")</f>
        <v>1000</v>
      </c>
      <c r="O1491">
        <f>RTD("nest.scriprtd",,"nse_cm|IIFLZC28B-Y1","Low ")</f>
        <v>1000</v>
      </c>
      <c r="P1491">
        <f>RTD("nest.scriprtd",,"nse_cm|IIFLZC28B-Y1","Prev Close")</f>
        <v>1000</v>
      </c>
      <c r="Q1491">
        <f>RTD("nest.scriprtd",,"nse_cm|IIFLZC28B-Y1","Face Value")</f>
        <v>1000</v>
      </c>
      <c r="R1491" t="str">
        <f>RTD("nest.scriprtd",,"nse_cm|IIFLZC28B-Y1","Isin code")</f>
        <v>INE530B07369</v>
      </c>
      <c r="S1491" s="9">
        <f>Table1[[#This Row],[Ask Rate]]*Table1[[#This Row],[Ask Qty]]</f>
        <v>840000</v>
      </c>
      <c r="T1491">
        <f>VLOOKUP(Table1[[#This Row],[Isin code]],Table2[#All],7,FALSE)</f>
        <v>0</v>
      </c>
      <c r="U1491" s="17" t="str">
        <f>VLOOKUP(Table1[[#This Row],[Isin code]],Table2[#All],8,FALSE)</f>
        <v>28-Jun-2028</v>
      </c>
      <c r="V1491" s="10">
        <f ca="1">Table1[[#This Row],[Maturity]]-TODAY()</f>
        <v>1351</v>
      </c>
      <c r="W1491" t="str">
        <f>VLOOKUP(Table1[[#This Row],[Isin code]],Table2[#All],10,FALSE)</f>
        <v>Yearly</v>
      </c>
      <c r="X1491">
        <f ca="1">_xlfn.DAYS(Table1[[#This Row],[Maturity]],TODAY())-15</f>
        <v>1336</v>
      </c>
      <c r="Y14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491">
        <f>IF(Table1[[#This Row],[Ask Rate]]=0,0,Table1[[#This Row],[Face Value]]-Table1[[#This Row],[Ask Rate]])</f>
        <v>0</v>
      </c>
      <c r="AA149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91">
        <f ca="1">Table1[[#This Row],[Face Value]]*Table1[[#This Row],[Rate]]*Table1[[#This Row],[Time]]</f>
        <v>0</v>
      </c>
      <c r="AC1491">
        <f ca="1">Table1[[#This Row],[SI]]+Table1[[#This Row],[Disc/Prem]]</f>
        <v>0</v>
      </c>
      <c r="AD1491" s="3">
        <f ca="1">Table1[[#This Row],[Net Gain]]/Table1[[#This Row],[Ask Rate]]</f>
        <v>0</v>
      </c>
      <c r="AE1491" s="3">
        <f ca="1">IF(Table1[[#This Row],[Ask Qty]]=0,0,Table1[[#This Row],[Gross Yield]]*365/Table1[[#This Row],[Days Left]])</f>
        <v>0</v>
      </c>
      <c r="AF1491" s="9">
        <f ca="1">+Table1[[#This Row],[Net Gain]]*Table1[[#This Row],[Ask Qty]]</f>
        <v>0</v>
      </c>
      <c r="AG1491" t="str">
        <f ca="1">IF(Table1[[#This Row],[YTM]]&gt;0.12,IF(Table1[[#This Row],[Gross Profit]]&gt;10000,"Invest","Review"),"Low YTM")</f>
        <v>Low YTM</v>
      </c>
    </row>
    <row r="1492" spans="1:33" x14ac:dyDescent="0.3">
      <c r="A1492" t="str">
        <f>RTD("nest.scriprtd",,"bse_cm|931SFL26","Symbol")</f>
        <v>931SFL26</v>
      </c>
      <c r="B1492" t="str">
        <f>RTD("nest.scriprtd",,"bse_cm|931SFL26","Trading Symbol")</f>
        <v>931SFL26</v>
      </c>
      <c r="C1492" t="str">
        <f>RTD("nest.scriprtd",,"bse_cm|931SFL26","Exchange")</f>
        <v>BSE</v>
      </c>
      <c r="D1492">
        <f>RTD("nest.scriprtd",,"bse_cm|931SFL26","Bid Qty")</f>
        <v>50</v>
      </c>
      <c r="E1492">
        <f>RTD("nest.scriprtd",,"bse_cm|931SFL26","Bid Rate")</f>
        <v>987.01</v>
      </c>
      <c r="F1492">
        <f>RTD("nest.scriprtd",,"bse_cm|931SFL26","Ask Rate")</f>
        <v>0</v>
      </c>
      <c r="G1492">
        <f>RTD("nest.scriprtd",,"bse_cm|931SFL26","Ask Qty")</f>
        <v>0</v>
      </c>
      <c r="H1492">
        <f>RTD("nest.scriprtd",,"bse_cm|931SFL26","LTP")</f>
        <v>0</v>
      </c>
      <c r="I1492" t="str">
        <f>RTD("nest.scriprtd",,"bse_cm|931SFL26","LTT")</f>
        <v>00:00:00</v>
      </c>
      <c r="J1492">
        <f>RTD("nest.scriprtd",,"bse_cm|931SFL26","% Change")</f>
        <v>-100</v>
      </c>
      <c r="K1492">
        <f>RTD("nest.scriprtd",,"bse_cm|931SFL26","ATP")</f>
        <v>0</v>
      </c>
      <c r="L1492">
        <f>RTD("nest.scriprtd",,"bse_cm|931SFL26","Volume Traded Today")</f>
        <v>0</v>
      </c>
      <c r="M1492">
        <f>RTD("nest.scriprtd",,"bse_cm|931SFL26","Open")</f>
        <v>0</v>
      </c>
      <c r="N1492">
        <f>RTD("nest.scriprtd",,"bse_cm|931SFL26","High")</f>
        <v>1019</v>
      </c>
      <c r="O1492">
        <f>RTD("nest.scriprtd",,"bse_cm|931SFL26","Low ")</f>
        <v>1019</v>
      </c>
      <c r="P1492">
        <f>RTD("nest.scriprtd",,"bse_cm|931SFL26","Prev Close")</f>
        <v>1019</v>
      </c>
      <c r="Q1492">
        <f>RTD("nest.scriprtd",,"bse_cm|931SFL26","Face Value")</f>
        <v>1000</v>
      </c>
      <c r="R1492" t="str">
        <f>RTD("nest.scriprtd",,"bse_cm|931SFL26","Isin code")</f>
        <v>INE721A07PA8</v>
      </c>
      <c r="S1492" s="9">
        <f>Table1[[#This Row],[Ask Rate]]*Table1[[#This Row],[Ask Qty]]</f>
        <v>0</v>
      </c>
      <c r="T1492">
        <f>VLOOKUP(Table1[[#This Row],[Isin code]],Table2[#All],7,FALSE)</f>
        <v>9.31</v>
      </c>
      <c r="U1492" s="17" t="str">
        <f>VLOOKUP(Table1[[#This Row],[Isin code]],Table2[#All],8,FALSE)</f>
        <v>22-Aug-2026</v>
      </c>
      <c r="V1492" s="10">
        <f ca="1">Table1[[#This Row],[Maturity]]-TODAY()</f>
        <v>675</v>
      </c>
      <c r="W1492" t="str">
        <f>VLOOKUP(Table1[[#This Row],[Isin code]],Table2[#All],10,FALSE)</f>
        <v>Monthly</v>
      </c>
      <c r="X1492">
        <f ca="1">_xlfn.DAYS(Table1[[#This Row],[Maturity]],TODAY())-15</f>
        <v>660</v>
      </c>
      <c r="Y149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1492">
        <f>IF(Table1[[#This Row],[Ask Rate]]=0,0,Table1[[#This Row],[Face Value]]-Table1[[#This Row],[Ask Rate]])</f>
        <v>0</v>
      </c>
      <c r="AA1492">
        <f>IF(Table1[[#This Row],[Freq]]="Yearly",Table1[[#This Row],[Coupon_Rate]]/100,IF(Table1[[#This Row],[Freq]]="Monthly",Table1[[#This Row],[Coupon_Rate]]/1200,IF(Table1[[#This Row],[Freq]]="Quarterly",Table1[[#This Row],[Coupon_Rate]]/400,0)))</f>
        <v>7.7583333333333341E-3</v>
      </c>
      <c r="AB1492">
        <f ca="1">Table1[[#This Row],[Face Value]]*Table1[[#This Row],[Rate]]*Table1[[#This Row],[Time]]</f>
        <v>170.68333333333334</v>
      </c>
      <c r="AC1492">
        <f ca="1">Table1[[#This Row],[SI]]+Table1[[#This Row],[Disc/Prem]]</f>
        <v>170.68333333333334</v>
      </c>
      <c r="AD1492" s="3" t="e">
        <f ca="1">Table1[[#This Row],[Net Gain]]/Table1[[#This Row],[Ask Rate]]</f>
        <v>#DIV/0!</v>
      </c>
      <c r="AE1492" s="3">
        <f>IF(Table1[[#This Row],[Ask Qty]]=0,0,Table1[[#This Row],[Gross Yield]]*365/Table1[[#This Row],[Days Left]])</f>
        <v>0</v>
      </c>
      <c r="AF1492" s="9">
        <f ca="1">+Table1[[#This Row],[Net Gain]]*Table1[[#This Row],[Ask Qty]]</f>
        <v>0</v>
      </c>
      <c r="AG1492" t="str">
        <f>IF(Table1[[#This Row],[YTM]]&gt;0.12,IF(Table1[[#This Row],[Gross Profit]]&gt;10000,"Invest","Review"),"Low YTM")</f>
        <v>Low YTM</v>
      </c>
    </row>
    <row r="1493" spans="1:33" x14ac:dyDescent="0.3">
      <c r="A1493" t="str">
        <f>RTD("nest.scriprtd",,"bse_cm|950EFSL26","Symbol")</f>
        <v>950EFSL26</v>
      </c>
      <c r="B1493" t="str">
        <f>RTD("nest.scriprtd",,"bse_cm|950EFSL26","Trading Symbol")</f>
        <v>950EFSL26</v>
      </c>
      <c r="C1493" t="str">
        <f>RTD("nest.scriprtd",,"bse_cm|950EFSL26","Exchange")</f>
        <v>BSE</v>
      </c>
      <c r="D1493">
        <f>RTD("nest.scriprtd",,"bse_cm|950EFSL26","Bid Qty")</f>
        <v>170</v>
      </c>
      <c r="E1493">
        <f>RTD("nest.scriprtd",,"bse_cm|950EFSL26","Bid Rate")</f>
        <v>943.8</v>
      </c>
      <c r="F1493">
        <f>RTD("nest.scriprtd",,"bse_cm|950EFSL26","Ask Rate")</f>
        <v>1000</v>
      </c>
      <c r="G1493">
        <f>RTD("nest.scriprtd",,"bse_cm|950EFSL26","Ask Qty")</f>
        <v>94</v>
      </c>
      <c r="H1493">
        <f>RTD("nest.scriprtd",,"bse_cm|950EFSL26","LTP")</f>
        <v>0</v>
      </c>
      <c r="I1493" t="str">
        <f>RTD("nest.scriprtd",,"bse_cm|950EFSL26","LTT")</f>
        <v>00:00:00</v>
      </c>
      <c r="J1493">
        <f>RTD("nest.scriprtd",,"bse_cm|950EFSL26","% Change")</f>
        <v>-100</v>
      </c>
      <c r="K1493">
        <f>RTD("nest.scriprtd",,"bse_cm|950EFSL26","ATP")</f>
        <v>0</v>
      </c>
      <c r="L1493">
        <f>RTD("nest.scriprtd",,"bse_cm|950EFSL26","Volume Traded Today")</f>
        <v>0</v>
      </c>
      <c r="M1493">
        <f>RTD("nest.scriprtd",,"bse_cm|950EFSL26","Open")</f>
        <v>0</v>
      </c>
      <c r="N1493">
        <f>RTD("nest.scriprtd",,"bse_cm|950EFSL26","High")</f>
        <v>960</v>
      </c>
      <c r="O1493">
        <f>RTD("nest.scriprtd",,"bse_cm|950EFSL26","Low ")</f>
        <v>960</v>
      </c>
      <c r="P1493">
        <f>RTD("nest.scriprtd",,"bse_cm|950EFSL26","Prev Close")</f>
        <v>960</v>
      </c>
      <c r="Q1493">
        <f>RTD("nest.scriprtd",,"bse_cm|950EFSL26","Face Value")</f>
        <v>1000</v>
      </c>
      <c r="R1493" t="str">
        <f>RTD("nest.scriprtd",,"bse_cm|950EFSL26","Isin code")</f>
        <v>INE532F07FP7</v>
      </c>
      <c r="S1493" s="9">
        <f>Table1[[#This Row],[Ask Rate]]*Table1[[#This Row],[Ask Qty]]</f>
        <v>94000</v>
      </c>
      <c r="T1493">
        <f>VLOOKUP(Table1[[#This Row],[Isin code]],Table2[#All],7,FALSE)</f>
        <v>9.5</v>
      </c>
      <c r="U1493" s="17" t="str">
        <f>VLOOKUP(Table1[[#This Row],[Isin code]],Table2[#All],8,FALSE)</f>
        <v>26-Jul-2026</v>
      </c>
      <c r="V1493" s="10">
        <f ca="1">Table1[[#This Row],[Maturity]]-TODAY()</f>
        <v>648</v>
      </c>
      <c r="W1493" t="str">
        <f>VLOOKUP(Table1[[#This Row],[Isin code]],Table2[#All],10,FALSE)</f>
        <v>--</v>
      </c>
      <c r="X1493">
        <f ca="1">_xlfn.DAYS(Table1[[#This Row],[Maturity]],TODAY())-15</f>
        <v>633</v>
      </c>
      <c r="Y149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93">
        <f>IF(Table1[[#This Row],[Ask Rate]]=0,0,Table1[[#This Row],[Face Value]]-Table1[[#This Row],[Ask Rate]])</f>
        <v>0</v>
      </c>
      <c r="AA149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93">
        <f>Table1[[#This Row],[Face Value]]*Table1[[#This Row],[Rate]]*Table1[[#This Row],[Time]]</f>
        <v>0</v>
      </c>
      <c r="AC1493">
        <f>Table1[[#This Row],[SI]]+Table1[[#This Row],[Disc/Prem]]</f>
        <v>0</v>
      </c>
      <c r="AD1493" s="3">
        <f>Table1[[#This Row],[Net Gain]]/Table1[[#This Row],[Ask Rate]]</f>
        <v>0</v>
      </c>
      <c r="AE1493" s="3">
        <f ca="1">IF(Table1[[#This Row],[Ask Qty]]=0,0,Table1[[#This Row],[Gross Yield]]*365/Table1[[#This Row],[Days Left]])</f>
        <v>0</v>
      </c>
      <c r="AF1493" s="9">
        <f>+Table1[[#This Row],[Net Gain]]*Table1[[#This Row],[Ask Qty]]</f>
        <v>0</v>
      </c>
      <c r="AG1493" t="str">
        <f ca="1">IF(Table1[[#This Row],[YTM]]&gt;0.12,IF(Table1[[#This Row],[Gross Profit]]&gt;10000,"Invest","Review"),"Low YTM")</f>
        <v>Low YTM</v>
      </c>
    </row>
    <row r="1494" spans="1:33" x14ac:dyDescent="0.3">
      <c r="A1494" t="str">
        <f>RTD("nest.scriprtd",,"bse_cm|12IML26","Symbol")</f>
        <v>12IML26</v>
      </c>
      <c r="B1494" t="str">
        <f>RTD("nest.scriprtd",,"bse_cm|12IML26","Trading Symbol")</f>
        <v>12IML26</v>
      </c>
      <c r="C1494" t="str">
        <f>RTD("nest.scriprtd",,"bse_cm|12IML26","Exchange")</f>
        <v>BSE</v>
      </c>
      <c r="D1494">
        <f>RTD("nest.scriprtd",,"bse_cm|12IML26","Bid Qty")</f>
        <v>4</v>
      </c>
      <c r="E1494">
        <f>RTD("nest.scriprtd",,"bse_cm|12IML26","Bid Rate")</f>
        <v>951.7</v>
      </c>
      <c r="F1494">
        <f>RTD("nest.scriprtd",,"bse_cm|12IML26","Ask Rate")</f>
        <v>0</v>
      </c>
      <c r="G1494">
        <f>RTD("nest.scriprtd",,"bse_cm|12IML26","Ask Qty")</f>
        <v>0</v>
      </c>
      <c r="H1494">
        <f>RTD("nest.scriprtd",,"bse_cm|12IML26","LTP")</f>
        <v>0</v>
      </c>
      <c r="I1494" t="str">
        <f>RTD("nest.scriprtd",,"bse_cm|12IML26","LTT")</f>
        <v>00:00:00</v>
      </c>
      <c r="J1494">
        <f>RTD("nest.scriprtd",,"bse_cm|12IML26","% Change")</f>
        <v>-100</v>
      </c>
      <c r="K1494">
        <f>RTD("nest.scriprtd",,"bse_cm|12IML26","ATP")</f>
        <v>0</v>
      </c>
      <c r="L1494">
        <f>RTD("nest.scriprtd",,"bse_cm|12IML26","Volume Traded Today")</f>
        <v>0</v>
      </c>
      <c r="M1494">
        <f>RTD("nest.scriprtd",,"bse_cm|12IML26","Open")</f>
        <v>0</v>
      </c>
      <c r="N1494">
        <f>RTD("nest.scriprtd",,"bse_cm|12IML26","High")</f>
        <v>1001</v>
      </c>
      <c r="O1494">
        <f>RTD("nest.scriprtd",,"bse_cm|12IML26","Low ")</f>
        <v>1000</v>
      </c>
      <c r="P1494">
        <f>RTD("nest.scriprtd",,"bse_cm|12IML26","Prev Close")</f>
        <v>1000.7</v>
      </c>
      <c r="Q1494">
        <f>RTD("nest.scriprtd",,"bse_cm|12IML26","Face Value")</f>
        <v>1000</v>
      </c>
      <c r="R1494" t="str">
        <f>RTD("nest.scriprtd",,"bse_cm|12IML26","Isin code")</f>
        <v>INE0BUS08013</v>
      </c>
      <c r="S1494" s="9">
        <f>Table1[[#This Row],[Ask Rate]]*Table1[[#This Row],[Ask Qty]]</f>
        <v>0</v>
      </c>
      <c r="T1494">
        <f>VLOOKUP(Table1[[#This Row],[Isin code]],Table2[#All],7,FALSE)</f>
        <v>12</v>
      </c>
      <c r="U1494" s="17" t="str">
        <f>VLOOKUP(Table1[[#This Row],[Isin code]],Table2[#All],8,FALSE)</f>
        <v>24-Nov-2026</v>
      </c>
      <c r="V1494" s="10">
        <f ca="1">Table1[[#This Row],[Maturity]]-TODAY()</f>
        <v>769</v>
      </c>
      <c r="W1494" t="str">
        <f>VLOOKUP(Table1[[#This Row],[Isin code]],Table2[#All],10,FALSE)</f>
        <v>Monthly</v>
      </c>
      <c r="X1494">
        <f ca="1">_xlfn.DAYS(Table1[[#This Row],[Maturity]],TODAY())-15</f>
        <v>754</v>
      </c>
      <c r="Y149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26</v>
      </c>
      <c r="Z1494">
        <f>IF(Table1[[#This Row],[Ask Rate]]=0,0,Table1[[#This Row],[Face Value]]-Table1[[#This Row],[Ask Rate]])</f>
        <v>0</v>
      </c>
      <c r="AA1494">
        <f>IF(Table1[[#This Row],[Freq]]="Yearly",Table1[[#This Row],[Coupon_Rate]]/100,IF(Table1[[#This Row],[Freq]]="Monthly",Table1[[#This Row],[Coupon_Rate]]/1200,IF(Table1[[#This Row],[Freq]]="Quarterly",Table1[[#This Row],[Coupon_Rate]]/400,0)))</f>
        <v>0.01</v>
      </c>
      <c r="AB1494">
        <f ca="1">Table1[[#This Row],[Face Value]]*Table1[[#This Row],[Rate]]*Table1[[#This Row],[Time]]</f>
        <v>260</v>
      </c>
      <c r="AC1494">
        <f ca="1">Table1[[#This Row],[SI]]+Table1[[#This Row],[Disc/Prem]]</f>
        <v>260</v>
      </c>
      <c r="AD1494" s="3" t="e">
        <f ca="1">Table1[[#This Row],[Net Gain]]/Table1[[#This Row],[Ask Rate]]</f>
        <v>#DIV/0!</v>
      </c>
      <c r="AE1494" s="3">
        <f>IF(Table1[[#This Row],[Ask Qty]]=0,0,Table1[[#This Row],[Gross Yield]]*365/Table1[[#This Row],[Days Left]])</f>
        <v>0</v>
      </c>
      <c r="AF1494" s="9">
        <f ca="1">+Table1[[#This Row],[Net Gain]]*Table1[[#This Row],[Ask Qty]]</f>
        <v>0</v>
      </c>
      <c r="AG1494" t="str">
        <f>IF(Table1[[#This Row],[YTM]]&gt;0.12,IF(Table1[[#This Row],[Gross Profit]]&gt;10000,"Invest","Review"),"Low YTM")</f>
        <v>Low YTM</v>
      </c>
    </row>
    <row r="1495" spans="1:33" x14ac:dyDescent="0.3">
      <c r="A1495" t="str">
        <f>RTD("nest.scriprtd",,"nse_cm|957IIFLS27-NA","Symbol")</f>
        <v>957IIFLS27</v>
      </c>
      <c r="B1495" t="str">
        <f>RTD("nest.scriprtd",,"nse_cm|957IIFLS27-NA","Trading Symbol")</f>
        <v>957IIFLS27-NA</v>
      </c>
      <c r="C1495" t="str">
        <f>RTD("nest.scriprtd",,"nse_cm|957IIFLS27-NA","Exchange")</f>
        <v>NSE</v>
      </c>
      <c r="D1495">
        <f>RTD("nest.scriprtd",,"nse_cm|957IIFLS27-NA","Bid Qty")</f>
        <v>20</v>
      </c>
      <c r="E1495">
        <f>RTD("nest.scriprtd",,"nse_cm|957IIFLS27-NA","Bid Rate")</f>
        <v>835.2</v>
      </c>
      <c r="F1495">
        <f>RTD("nest.scriprtd",,"nse_cm|957IIFLS27-NA","Ask Rate")</f>
        <v>0</v>
      </c>
      <c r="G1495">
        <f>RTD("nest.scriprtd",,"nse_cm|957IIFLS27-NA","Ask Qty")</f>
        <v>0</v>
      </c>
      <c r="H1495">
        <f>RTD("nest.scriprtd",,"nse_cm|957IIFLS27-NA","LTP")</f>
        <v>939</v>
      </c>
      <c r="I1495" t="str">
        <f>RTD("nest.scriprtd",,"nse_cm|957IIFLS27-NA","LTT")</f>
        <v/>
      </c>
      <c r="J1495">
        <f>RTD("nest.scriprtd",,"nse_cm|957IIFLS27-NA","% Change")</f>
        <v>0</v>
      </c>
      <c r="K1495">
        <f>RTD("nest.scriprtd",,"nse_cm|957IIFLS27-NA","ATP")</f>
        <v>0</v>
      </c>
      <c r="L1495">
        <f>RTD("nest.scriprtd",,"nse_cm|957IIFLS27-NA","Volume Traded Today")</f>
        <v>0</v>
      </c>
      <c r="M1495">
        <f>RTD("nest.scriprtd",,"nse_cm|957IIFLS27-NA","Open")</f>
        <v>0</v>
      </c>
      <c r="N1495">
        <f>RTD("nest.scriprtd",,"nse_cm|957IIFLS27-NA","High")</f>
        <v>940</v>
      </c>
      <c r="O1495">
        <f>RTD("nest.scriprtd",,"nse_cm|957IIFLS27-NA","Low ")</f>
        <v>939</v>
      </c>
      <c r="P1495">
        <f>RTD("nest.scriprtd",,"nse_cm|957IIFLS27-NA","Prev Close")</f>
        <v>939</v>
      </c>
      <c r="Q1495">
        <f>RTD("nest.scriprtd",,"nse_cm|957IIFLS27-NA","Face Value")</f>
        <v>1000</v>
      </c>
      <c r="R1495" t="str">
        <f>RTD("nest.scriprtd",,"nse_cm|957IIFLS27-NA","Isin code")</f>
        <v>INE413U07327</v>
      </c>
      <c r="S1495" s="9">
        <f>Table1[[#This Row],[Ask Rate]]*Table1[[#This Row],[Ask Qty]]</f>
        <v>0</v>
      </c>
      <c r="T1495">
        <f>VLOOKUP(Table1[[#This Row],[Isin code]],Table2[#All],7,FALSE)</f>
        <v>9.5699999999999985</v>
      </c>
      <c r="U1495" s="17" t="str">
        <f>VLOOKUP(Table1[[#This Row],[Isin code]],Table2[#All],8,FALSE)</f>
        <v>21-Jun-2027</v>
      </c>
      <c r="V1495" s="10">
        <f ca="1">Table1[[#This Row],[Maturity]]-TODAY()</f>
        <v>978</v>
      </c>
      <c r="W1495" t="str">
        <f>VLOOKUP(Table1[[#This Row],[Isin code]],Table2[#All],10,FALSE)</f>
        <v>Monthly</v>
      </c>
      <c r="X1495">
        <f ca="1">_xlfn.DAYS(Table1[[#This Row],[Maturity]],TODAY())-15</f>
        <v>963</v>
      </c>
      <c r="Y14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33</v>
      </c>
      <c r="Z1495">
        <f>IF(Table1[[#This Row],[Ask Rate]]=0,0,Table1[[#This Row],[Face Value]]-Table1[[#This Row],[Ask Rate]])</f>
        <v>0</v>
      </c>
      <c r="AA1495">
        <f>IF(Table1[[#This Row],[Freq]]="Yearly",Table1[[#This Row],[Coupon_Rate]]/100,IF(Table1[[#This Row],[Freq]]="Monthly",Table1[[#This Row],[Coupon_Rate]]/1200,IF(Table1[[#This Row],[Freq]]="Quarterly",Table1[[#This Row],[Coupon_Rate]]/400,0)))</f>
        <v>7.9749999999999995E-3</v>
      </c>
      <c r="AB1495">
        <f ca="1">Table1[[#This Row],[Face Value]]*Table1[[#This Row],[Rate]]*Table1[[#This Row],[Time]]</f>
        <v>263.17500000000001</v>
      </c>
      <c r="AC1495">
        <f ca="1">Table1[[#This Row],[SI]]+Table1[[#This Row],[Disc/Prem]]</f>
        <v>263.17500000000001</v>
      </c>
      <c r="AD1495" s="3" t="e">
        <f ca="1">Table1[[#This Row],[Net Gain]]/Table1[[#This Row],[Ask Rate]]</f>
        <v>#DIV/0!</v>
      </c>
      <c r="AE1495" s="3">
        <f>IF(Table1[[#This Row],[Ask Qty]]=0,0,Table1[[#This Row],[Gross Yield]]*365/Table1[[#This Row],[Days Left]])</f>
        <v>0</v>
      </c>
      <c r="AF1495" s="9">
        <f ca="1">+Table1[[#This Row],[Net Gain]]*Table1[[#This Row],[Ask Qty]]</f>
        <v>0</v>
      </c>
      <c r="AG1495" t="str">
        <f>IF(Table1[[#This Row],[YTM]]&gt;0.12,IF(Table1[[#This Row],[Gross Profit]]&gt;10000,"Invest","Review"),"Low YTM")</f>
        <v>Low YTM</v>
      </c>
    </row>
    <row r="1496" spans="1:33" x14ac:dyDescent="0.3">
      <c r="A1496" t="str">
        <f>RTD("nest.scriprtd",,"bse_cm|950MFCL27D","Symbol")</f>
        <v>950MFCL27D</v>
      </c>
      <c r="B1496" t="str">
        <f>RTD("nest.scriprtd",,"bse_cm|950MFCL27D","Trading Symbol")</f>
        <v>950MFCL27D</v>
      </c>
      <c r="C1496" t="str">
        <f>RTD("nest.scriprtd",,"bse_cm|950MFCL27D","Exchange")</f>
        <v>BSE</v>
      </c>
      <c r="D1496">
        <f>RTD("nest.scriprtd",,"bse_cm|950MFCL27D","Bid Qty")</f>
        <v>15</v>
      </c>
      <c r="E1496">
        <f>RTD("nest.scriprtd",,"bse_cm|950MFCL27D","Bid Rate")</f>
        <v>840</v>
      </c>
      <c r="F1496">
        <f>RTD("nest.scriprtd",,"bse_cm|950MFCL27D","Ask Rate")</f>
        <v>0</v>
      </c>
      <c r="G1496">
        <f>RTD("nest.scriprtd",,"bse_cm|950MFCL27D","Ask Qty")</f>
        <v>0</v>
      </c>
      <c r="H1496">
        <f>RTD("nest.scriprtd",,"bse_cm|950MFCL27D","LTP")</f>
        <v>0</v>
      </c>
      <c r="I1496" t="str">
        <f>RTD("nest.scriprtd",,"bse_cm|950MFCL27D","LTT")</f>
        <v>00:00:00</v>
      </c>
      <c r="J1496">
        <f>RTD("nest.scriprtd",,"bse_cm|950MFCL27D","% Change")</f>
        <v>-100</v>
      </c>
      <c r="K1496">
        <f>RTD("nest.scriprtd",,"bse_cm|950MFCL27D","ATP")</f>
        <v>0</v>
      </c>
      <c r="L1496">
        <f>RTD("nest.scriprtd",,"bse_cm|950MFCL27D","Volume Traded Today")</f>
        <v>0</v>
      </c>
      <c r="M1496">
        <f>RTD("nest.scriprtd",,"bse_cm|950MFCL27D","Open")</f>
        <v>0</v>
      </c>
      <c r="N1496">
        <f>RTD("nest.scriprtd",,"bse_cm|950MFCL27D","High")</f>
        <v>836.15</v>
      </c>
      <c r="O1496">
        <f>RTD("nest.scriprtd",,"bse_cm|950MFCL27D","Low ")</f>
        <v>836.15</v>
      </c>
      <c r="P1496">
        <f>RTD("nest.scriprtd",,"bse_cm|950MFCL27D","Prev Close")</f>
        <v>836.15</v>
      </c>
      <c r="Q1496">
        <f>RTD("nest.scriprtd",,"bse_cm|950MFCL27D","Face Value")</f>
        <v>1000</v>
      </c>
      <c r="R1496" t="str">
        <f>RTD("nest.scriprtd",,"bse_cm|950MFCL27D","Isin code")</f>
        <v>INE549K08236</v>
      </c>
      <c r="S1496" s="9">
        <f>Table1[[#This Row],[Ask Rate]]*Table1[[#This Row],[Ask Qty]]</f>
        <v>0</v>
      </c>
      <c r="T1496">
        <f>VLOOKUP(Table1[[#This Row],[Isin code]],Table2[#All],7,FALSE)</f>
        <v>9.5</v>
      </c>
      <c r="U1496" s="17" t="str">
        <f>VLOOKUP(Table1[[#This Row],[Isin code]],Table2[#All],8,FALSE)</f>
        <v>07-May-2027</v>
      </c>
      <c r="V1496" s="10">
        <f ca="1">Table1[[#This Row],[Maturity]]-TODAY()</f>
        <v>933</v>
      </c>
      <c r="W1496" t="str">
        <f>VLOOKUP(Table1[[#This Row],[Isin code]],Table2[#All],10,FALSE)</f>
        <v>Monthly</v>
      </c>
      <c r="X1496">
        <f ca="1">_xlfn.DAYS(Table1[[#This Row],[Maturity]],TODAY())-15</f>
        <v>918</v>
      </c>
      <c r="Y14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31</v>
      </c>
      <c r="Z1496">
        <f>IF(Table1[[#This Row],[Ask Rate]]=0,0,Table1[[#This Row],[Face Value]]-Table1[[#This Row],[Ask Rate]])</f>
        <v>0</v>
      </c>
      <c r="AA1496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1496">
        <f ca="1">Table1[[#This Row],[Face Value]]*Table1[[#This Row],[Rate]]*Table1[[#This Row],[Time]]</f>
        <v>245.41666666666669</v>
      </c>
      <c r="AC1496">
        <f ca="1">Table1[[#This Row],[SI]]+Table1[[#This Row],[Disc/Prem]]</f>
        <v>245.41666666666669</v>
      </c>
      <c r="AD1496" s="3" t="e">
        <f ca="1">Table1[[#This Row],[Net Gain]]/Table1[[#This Row],[Ask Rate]]</f>
        <v>#DIV/0!</v>
      </c>
      <c r="AE1496" s="3">
        <f>IF(Table1[[#This Row],[Ask Qty]]=0,0,Table1[[#This Row],[Gross Yield]]*365/Table1[[#This Row],[Days Left]])</f>
        <v>0</v>
      </c>
      <c r="AF1496" s="9">
        <f ca="1">+Table1[[#This Row],[Net Gain]]*Table1[[#This Row],[Ask Qty]]</f>
        <v>0</v>
      </c>
      <c r="AG1496" t="str">
        <f>IF(Table1[[#This Row],[YTM]]&gt;0.12,IF(Table1[[#This Row],[Gross Profit]]&gt;10000,"Invest","Review"),"Low YTM")</f>
        <v>Low YTM</v>
      </c>
    </row>
    <row r="1497" spans="1:33" x14ac:dyDescent="0.3">
      <c r="A1497" t="str">
        <f>RTD("nest.scriprtd",,"bse_cm|1050ISFL28","Symbol")</f>
        <v>1050ISFL28</v>
      </c>
      <c r="B1497" t="str">
        <f>RTD("nest.scriprtd",,"bse_cm|1050ISFL28","Trading Symbol")</f>
        <v>1050ISFL28</v>
      </c>
      <c r="C1497" t="str">
        <f>RTD("nest.scriprtd",,"bse_cm|1050ISFL28","Exchange")</f>
        <v>BSE</v>
      </c>
      <c r="D1497">
        <f>RTD("nest.scriprtd",,"bse_cm|1050ISFL28","Bid Qty")</f>
        <v>50</v>
      </c>
      <c r="E1497">
        <f>RTD("nest.scriprtd",,"bse_cm|1050ISFL28","Bid Rate")</f>
        <v>946</v>
      </c>
      <c r="F1497">
        <f>RTD("nest.scriprtd",,"bse_cm|1050ISFL28","Ask Rate")</f>
        <v>0</v>
      </c>
      <c r="G1497">
        <f>RTD("nest.scriprtd",,"bse_cm|1050ISFL28","Ask Qty")</f>
        <v>0</v>
      </c>
      <c r="H1497">
        <f>RTD("nest.scriprtd",,"bse_cm|1050ISFL28","LTP")</f>
        <v>0</v>
      </c>
      <c r="I1497" t="str">
        <f>RTD("nest.scriprtd",,"bse_cm|1050ISFL28","LTT")</f>
        <v>00:00:00</v>
      </c>
      <c r="J1497">
        <f>RTD("nest.scriprtd",,"bse_cm|1050ISFL28","% Change")</f>
        <v>-100</v>
      </c>
      <c r="K1497">
        <f>RTD("nest.scriprtd",,"bse_cm|1050ISFL28","ATP")</f>
        <v>0</v>
      </c>
      <c r="L1497">
        <f>RTD("nest.scriprtd",,"bse_cm|1050ISFL28","Volume Traded Today")</f>
        <v>0</v>
      </c>
      <c r="M1497">
        <f>RTD("nest.scriprtd",,"bse_cm|1050ISFL28","Open")</f>
        <v>0</v>
      </c>
      <c r="N1497">
        <f>RTD("nest.scriprtd",,"bse_cm|1050ISFL28","High")</f>
        <v>945.03</v>
      </c>
      <c r="O1497">
        <f>RTD("nest.scriprtd",,"bse_cm|1050ISFL28","Low ")</f>
        <v>945.03</v>
      </c>
      <c r="P1497">
        <f>RTD("nest.scriprtd",,"bse_cm|1050ISFL28","Prev Close")</f>
        <v>945.03</v>
      </c>
      <c r="Q1497">
        <f>RTD("nest.scriprtd",,"bse_cm|1050ISFL28","Face Value")</f>
        <v>1000</v>
      </c>
      <c r="R1497" t="str">
        <f>RTD("nest.scriprtd",,"bse_cm|1050ISFL28","Isin code")</f>
        <v>INE413U07251</v>
      </c>
      <c r="S1497" s="9">
        <f>Table1[[#This Row],[Ask Rate]]*Table1[[#This Row],[Ask Qty]]</f>
        <v>0</v>
      </c>
      <c r="T1497">
        <f>VLOOKUP(Table1[[#This Row],[Isin code]],Table2[#All],7,FALSE)</f>
        <v>10.5</v>
      </c>
      <c r="U1497" s="17" t="str">
        <f>VLOOKUP(Table1[[#This Row],[Isin code]],Table2[#All],8,FALSE)</f>
        <v>21-Dec-2028</v>
      </c>
      <c r="V1497" s="10">
        <f ca="1">Table1[[#This Row],[Maturity]]-TODAY()</f>
        <v>1527</v>
      </c>
      <c r="W1497" t="str">
        <f>VLOOKUP(Table1[[#This Row],[Isin code]],Table2[#All],10,FALSE)</f>
        <v>At the End</v>
      </c>
      <c r="X1497">
        <f ca="1">_xlfn.DAYS(Table1[[#This Row],[Maturity]],TODAY())-15</f>
        <v>1512</v>
      </c>
      <c r="Y149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97">
        <f>IF(Table1[[#This Row],[Ask Rate]]=0,0,Table1[[#This Row],[Face Value]]-Table1[[#This Row],[Ask Rate]])</f>
        <v>0</v>
      </c>
      <c r="AA149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97">
        <f>Table1[[#This Row],[Face Value]]*Table1[[#This Row],[Rate]]*Table1[[#This Row],[Time]]</f>
        <v>0</v>
      </c>
      <c r="AC1497">
        <f>Table1[[#This Row],[SI]]+Table1[[#This Row],[Disc/Prem]]</f>
        <v>0</v>
      </c>
      <c r="AD1497" s="3" t="e">
        <f>Table1[[#This Row],[Net Gain]]/Table1[[#This Row],[Ask Rate]]</f>
        <v>#DIV/0!</v>
      </c>
      <c r="AE1497" s="3">
        <f>IF(Table1[[#This Row],[Ask Qty]]=0,0,Table1[[#This Row],[Gross Yield]]*365/Table1[[#This Row],[Days Left]])</f>
        <v>0</v>
      </c>
      <c r="AF1497" s="9">
        <f>+Table1[[#This Row],[Net Gain]]*Table1[[#This Row],[Ask Qty]]</f>
        <v>0</v>
      </c>
      <c r="AG1497" t="str">
        <f>IF(Table1[[#This Row],[YTM]]&gt;0.12,IF(Table1[[#This Row],[Gross Profit]]&gt;10000,"Invest","Review"),"Low YTM")</f>
        <v>Low YTM</v>
      </c>
    </row>
    <row r="1498" spans="1:33" x14ac:dyDescent="0.3">
      <c r="A1498" t="str">
        <f>RTD("nest.scriprtd",,"bse_cm|MML25B","Symbol")</f>
        <v>MML25B</v>
      </c>
      <c r="B1498" t="str">
        <f>RTD("nest.scriprtd",,"bse_cm|MML25B","Trading Symbol")</f>
        <v>MML25B</v>
      </c>
      <c r="C1498" t="str">
        <f>RTD("nest.scriprtd",,"bse_cm|MML25B","Exchange")</f>
        <v>BSE</v>
      </c>
      <c r="D1498">
        <f>RTD("nest.scriprtd",,"bse_cm|MML25B","Bid Qty")</f>
        <v>30</v>
      </c>
      <c r="E1498">
        <f>RTD("nest.scriprtd",,"bse_cm|MML25B","Bid Rate")</f>
        <v>882.8</v>
      </c>
      <c r="F1498">
        <f>RTD("nest.scriprtd",,"bse_cm|MML25B","Ask Rate")</f>
        <v>0</v>
      </c>
      <c r="G1498">
        <f>RTD("nest.scriprtd",,"bse_cm|MML25B","Ask Qty")</f>
        <v>0</v>
      </c>
      <c r="H1498">
        <f>RTD("nest.scriprtd",,"bse_cm|MML25B","LTP")</f>
        <v>0</v>
      </c>
      <c r="I1498" t="str">
        <f>RTD("nest.scriprtd",,"bse_cm|MML25B","LTT")</f>
        <v>00:00:00</v>
      </c>
      <c r="J1498">
        <f>RTD("nest.scriprtd",,"bse_cm|MML25B","% Change")</f>
        <v>-100</v>
      </c>
      <c r="K1498">
        <f>RTD("nest.scriprtd",,"bse_cm|MML25B","ATP")</f>
        <v>0</v>
      </c>
      <c r="L1498">
        <f>RTD("nest.scriprtd",,"bse_cm|MML25B","Volume Traded Today")</f>
        <v>0</v>
      </c>
      <c r="M1498">
        <f>RTD("nest.scriprtd",,"bse_cm|MML25B","Open")</f>
        <v>0</v>
      </c>
      <c r="N1498">
        <f>RTD("nest.scriprtd",,"bse_cm|MML25B","High")</f>
        <v>1033</v>
      </c>
      <c r="O1498">
        <f>RTD("nest.scriprtd",,"bse_cm|MML25B","Low ")</f>
        <v>1033</v>
      </c>
      <c r="P1498">
        <f>RTD("nest.scriprtd",,"bse_cm|MML25B","Prev Close")</f>
        <v>1033</v>
      </c>
      <c r="Q1498">
        <f>RTD("nest.scriprtd",,"bse_cm|MML25B","Face Value")</f>
        <v>1000</v>
      </c>
      <c r="R1498" t="str">
        <f>RTD("nest.scriprtd",,"bse_cm|MML25B","Isin code")</f>
        <v>INE05F407BI1</v>
      </c>
      <c r="S1498" s="9">
        <f>Table1[[#This Row],[Ask Rate]]*Table1[[#This Row],[Ask Qty]]</f>
        <v>0</v>
      </c>
      <c r="T1498" t="str">
        <f>VLOOKUP(Table1[[#This Row],[Isin code]],Table2[#All],7,FALSE)</f>
        <v>--</v>
      </c>
      <c r="U1498" s="17" t="str">
        <f>VLOOKUP(Table1[[#This Row],[Isin code]],Table2[#All],8,FALSE)</f>
        <v>21-Dec-2025</v>
      </c>
      <c r="V1498" s="10">
        <f ca="1">Table1[[#This Row],[Maturity]]-TODAY()</f>
        <v>431</v>
      </c>
      <c r="W1498" t="str">
        <f>VLOOKUP(Table1[[#This Row],[Isin code]],Table2[#All],10,FALSE)</f>
        <v>At the End</v>
      </c>
      <c r="X1498">
        <f ca="1">_xlfn.DAYS(Table1[[#This Row],[Maturity]],TODAY())-15</f>
        <v>416</v>
      </c>
      <c r="Y149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98">
        <f>IF(Table1[[#This Row],[Ask Rate]]=0,0,Table1[[#This Row],[Face Value]]-Table1[[#This Row],[Ask Rate]])</f>
        <v>0</v>
      </c>
      <c r="AA149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98">
        <f>Table1[[#This Row],[Face Value]]*Table1[[#This Row],[Rate]]*Table1[[#This Row],[Time]]</f>
        <v>0</v>
      </c>
      <c r="AC1498">
        <f>Table1[[#This Row],[SI]]+Table1[[#This Row],[Disc/Prem]]</f>
        <v>0</v>
      </c>
      <c r="AD1498" s="3" t="e">
        <f>Table1[[#This Row],[Net Gain]]/Table1[[#This Row],[Ask Rate]]</f>
        <v>#DIV/0!</v>
      </c>
      <c r="AE1498" s="3">
        <f>IF(Table1[[#This Row],[Ask Qty]]=0,0,Table1[[#This Row],[Gross Yield]]*365/Table1[[#This Row],[Days Left]])</f>
        <v>0</v>
      </c>
      <c r="AF1498" s="9">
        <f>+Table1[[#This Row],[Net Gain]]*Table1[[#This Row],[Ask Qty]]</f>
        <v>0</v>
      </c>
      <c r="AG1498" t="str">
        <f>IF(Table1[[#This Row],[YTM]]&gt;0.12,IF(Table1[[#This Row],[Gross Profit]]&gt;10000,"Invest","Review"),"Low YTM")</f>
        <v>Low YTM</v>
      </c>
    </row>
    <row r="1499" spans="1:33" x14ac:dyDescent="0.3">
      <c r="A1499" t="str">
        <f>RTD("nest.scriprtd",,"bse_cm|IML16224","Symbol")</f>
        <v>IML16224</v>
      </c>
      <c r="B1499" t="str">
        <f>RTD("nest.scriprtd",,"bse_cm|IML16224","Trading Symbol")</f>
        <v>IML16224</v>
      </c>
      <c r="C1499" t="str">
        <f>RTD("nest.scriprtd",,"bse_cm|IML16224","Exchange")</f>
        <v>BSE</v>
      </c>
      <c r="D1499">
        <f>RTD("nest.scriprtd",,"bse_cm|IML16224","Bid Qty")</f>
        <v>16</v>
      </c>
      <c r="E1499">
        <f>RTD("nest.scriprtd",,"bse_cm|IML16224","Bid Rate")</f>
        <v>855.2</v>
      </c>
      <c r="F1499">
        <f>RTD("nest.scriprtd",,"bse_cm|IML16224","Ask Rate")</f>
        <v>0</v>
      </c>
      <c r="G1499">
        <f>RTD("nest.scriprtd",,"bse_cm|IML16224","Ask Qty")</f>
        <v>0</v>
      </c>
      <c r="H1499">
        <f>RTD("nest.scriprtd",,"bse_cm|IML16224","LTP")</f>
        <v>0</v>
      </c>
      <c r="I1499" t="str">
        <f>RTD("nest.scriprtd",,"bse_cm|IML16224","LTT")</f>
        <v>00:00:00</v>
      </c>
      <c r="J1499">
        <f>RTD("nest.scriprtd",,"bse_cm|IML16224","% Change")</f>
        <v>-100</v>
      </c>
      <c r="K1499">
        <f>RTD("nest.scriprtd",,"bse_cm|IML16224","ATP")</f>
        <v>0</v>
      </c>
      <c r="L1499">
        <f>RTD("nest.scriprtd",,"bse_cm|IML16224","Volume Traded Today")</f>
        <v>0</v>
      </c>
      <c r="M1499">
        <f>RTD("nest.scriprtd",,"bse_cm|IML16224","Open")</f>
        <v>0</v>
      </c>
      <c r="N1499">
        <f>RTD("nest.scriprtd",,"bse_cm|IML16224","High")</f>
        <v>1014.96</v>
      </c>
      <c r="O1499">
        <f>RTD("nest.scriprtd",,"bse_cm|IML16224","Low ")</f>
        <v>1000</v>
      </c>
      <c r="P1499">
        <f>RTD("nest.scriprtd",,"bse_cm|IML16224","Prev Close")</f>
        <v>1014.96</v>
      </c>
      <c r="Q1499">
        <f>RTD("nest.scriprtd",,"bse_cm|IML16224","Face Value")</f>
        <v>1000</v>
      </c>
      <c r="R1499" t="str">
        <f>RTD("nest.scriprtd",,"bse_cm|IML16224","Isin code")</f>
        <v>INE0BUS07AW9</v>
      </c>
      <c r="S1499" s="9">
        <f>Table1[[#This Row],[Ask Rate]]*Table1[[#This Row],[Ask Qty]]</f>
        <v>0</v>
      </c>
      <c r="T1499" t="str">
        <f>VLOOKUP(Table1[[#This Row],[Isin code]],Table2[#All],7,FALSE)</f>
        <v>--</v>
      </c>
      <c r="U1499" s="17" t="str">
        <f>VLOOKUP(Table1[[#This Row],[Isin code]],Table2[#All],8,FALSE)</f>
        <v>13-Feb-2026</v>
      </c>
      <c r="V1499" s="10">
        <f ca="1">Table1[[#This Row],[Maturity]]-TODAY()</f>
        <v>485</v>
      </c>
      <c r="W1499" t="str">
        <f>VLOOKUP(Table1[[#This Row],[Isin code]],Table2[#All],10,FALSE)</f>
        <v>At the End</v>
      </c>
      <c r="X1499">
        <f ca="1">_xlfn.DAYS(Table1[[#This Row],[Maturity]],TODAY())-15</f>
        <v>470</v>
      </c>
      <c r="Y149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499">
        <f>IF(Table1[[#This Row],[Ask Rate]]=0,0,Table1[[#This Row],[Face Value]]-Table1[[#This Row],[Ask Rate]])</f>
        <v>0</v>
      </c>
      <c r="AA149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499">
        <f>Table1[[#This Row],[Face Value]]*Table1[[#This Row],[Rate]]*Table1[[#This Row],[Time]]</f>
        <v>0</v>
      </c>
      <c r="AC1499">
        <f>Table1[[#This Row],[SI]]+Table1[[#This Row],[Disc/Prem]]</f>
        <v>0</v>
      </c>
      <c r="AD1499" s="3" t="e">
        <f>Table1[[#This Row],[Net Gain]]/Table1[[#This Row],[Ask Rate]]</f>
        <v>#DIV/0!</v>
      </c>
      <c r="AE1499" s="3">
        <f>IF(Table1[[#This Row],[Ask Qty]]=0,0,Table1[[#This Row],[Gross Yield]]*365/Table1[[#This Row],[Days Left]])</f>
        <v>0</v>
      </c>
      <c r="AF1499" s="9">
        <f>+Table1[[#This Row],[Net Gain]]*Table1[[#This Row],[Ask Qty]]</f>
        <v>0</v>
      </c>
      <c r="AG1499" t="str">
        <f>IF(Table1[[#This Row],[YTM]]&gt;0.12,IF(Table1[[#This Row],[Gross Profit]]&gt;10000,"Invest","Review"),"Low YTM")</f>
        <v>Low YTM</v>
      </c>
    </row>
    <row r="1500" spans="1:33" x14ac:dyDescent="0.3">
      <c r="A1500" t="str">
        <f>RTD("nest.scriprtd",,"bse_cm|MFLIV26","Symbol")</f>
        <v>MFLIV26</v>
      </c>
      <c r="B1500" t="str">
        <f>RTD("nest.scriprtd",,"bse_cm|MFLIV26","Trading Symbol")</f>
        <v>MFLIV26</v>
      </c>
      <c r="C1500" t="str">
        <f>RTD("nest.scriprtd",,"bse_cm|MFLIV26","Exchange")</f>
        <v>BSE</v>
      </c>
      <c r="D1500">
        <f>RTD("nest.scriprtd",,"bse_cm|MFLIV26","Bid Qty")</f>
        <v>190</v>
      </c>
      <c r="E1500">
        <f>RTD("nest.scriprtd",,"bse_cm|MFLIV26","Bid Rate")</f>
        <v>1017.8</v>
      </c>
      <c r="F1500">
        <f>RTD("nest.scriprtd",,"bse_cm|MFLIV26","Ask Rate")</f>
        <v>0</v>
      </c>
      <c r="G1500">
        <f>RTD("nest.scriprtd",,"bse_cm|MFLIV26","Ask Qty")</f>
        <v>0</v>
      </c>
      <c r="H1500">
        <f>RTD("nest.scriprtd",,"bse_cm|MFLIV26","LTP")</f>
        <v>0</v>
      </c>
      <c r="I1500" t="str">
        <f>RTD("nest.scriprtd",,"bse_cm|MFLIV26","LTT")</f>
        <v>00:00:00</v>
      </c>
      <c r="J1500">
        <f>RTD("nest.scriprtd",,"bse_cm|MFLIV26","% Change")</f>
        <v>-100</v>
      </c>
      <c r="K1500">
        <f>RTD("nest.scriprtd",,"bse_cm|MFLIV26","ATP")</f>
        <v>0</v>
      </c>
      <c r="L1500">
        <f>RTD("nest.scriprtd",,"bse_cm|MFLIV26","Volume Traded Today")</f>
        <v>0</v>
      </c>
      <c r="M1500">
        <f>RTD("nest.scriprtd",,"bse_cm|MFLIV26","Open")</f>
        <v>0</v>
      </c>
      <c r="N1500">
        <f>RTD("nest.scriprtd",,"bse_cm|MFLIV26","High")</f>
        <v>1019</v>
      </c>
      <c r="O1500">
        <f>RTD("nest.scriprtd",,"bse_cm|MFLIV26","Low ")</f>
        <v>1019</v>
      </c>
      <c r="P1500">
        <f>RTD("nest.scriprtd",,"bse_cm|MFLIV26","Prev Close")</f>
        <v>1019</v>
      </c>
      <c r="Q1500">
        <f>RTD("nest.scriprtd",,"bse_cm|MFLIV26","Face Value")</f>
        <v>1000</v>
      </c>
      <c r="R1500" t="str">
        <f>RTD("nest.scriprtd",,"bse_cm|MFLIV26","Isin code")</f>
        <v>INE414G07FM3</v>
      </c>
      <c r="S1500" s="9">
        <f>Table1[[#This Row],[Ask Rate]]*Table1[[#This Row],[Ask Qty]]</f>
        <v>0</v>
      </c>
      <c r="T1500">
        <f>VLOOKUP(Table1[[#This Row],[Isin code]],Table2[#All],7,FALSE)</f>
        <v>7.35</v>
      </c>
      <c r="U1500" s="17" t="str">
        <f>VLOOKUP(Table1[[#This Row],[Isin code]],Table2[#All],8,FALSE)</f>
        <v>11-Jan-2026</v>
      </c>
      <c r="V1500" s="10">
        <f ca="1">Table1[[#This Row],[Maturity]]-TODAY()</f>
        <v>452</v>
      </c>
      <c r="W1500" t="str">
        <f>VLOOKUP(Table1[[#This Row],[Isin code]],Table2[#All],10,FALSE)</f>
        <v>Yearly</v>
      </c>
      <c r="X1500">
        <f ca="1">_xlfn.DAYS(Table1[[#This Row],[Maturity]],TODAY())-15</f>
        <v>437</v>
      </c>
      <c r="Y150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00">
        <f>IF(Table1[[#This Row],[Ask Rate]]=0,0,Table1[[#This Row],[Face Value]]-Table1[[#This Row],[Ask Rate]])</f>
        <v>0</v>
      </c>
      <c r="AA1500">
        <f>IF(Table1[[#This Row],[Freq]]="Yearly",Table1[[#This Row],[Coupon_Rate]]/100,IF(Table1[[#This Row],[Freq]]="Monthly",Table1[[#This Row],[Coupon_Rate]]/1200,IF(Table1[[#This Row],[Freq]]="Quarterly",Table1[[#This Row],[Coupon_Rate]]/400,0)))</f>
        <v>7.3499999999999996E-2</v>
      </c>
      <c r="AB1500">
        <f ca="1">Table1[[#This Row],[Face Value]]*Table1[[#This Row],[Rate]]*Table1[[#This Row],[Time]]</f>
        <v>147</v>
      </c>
      <c r="AC1500">
        <f ca="1">Table1[[#This Row],[SI]]+Table1[[#This Row],[Disc/Prem]]</f>
        <v>147</v>
      </c>
      <c r="AD1500" s="3" t="e">
        <f ca="1">Table1[[#This Row],[Net Gain]]/Table1[[#This Row],[Ask Rate]]</f>
        <v>#DIV/0!</v>
      </c>
      <c r="AE1500" s="3">
        <f>IF(Table1[[#This Row],[Ask Qty]]=0,0,Table1[[#This Row],[Gross Yield]]*365/Table1[[#This Row],[Days Left]])</f>
        <v>0</v>
      </c>
      <c r="AF1500" s="9">
        <f ca="1">+Table1[[#This Row],[Net Gain]]*Table1[[#This Row],[Ask Qty]]</f>
        <v>0</v>
      </c>
      <c r="AG1500" t="str">
        <f>IF(Table1[[#This Row],[YTM]]&gt;0.12,IF(Table1[[#This Row],[Gross Profit]]&gt;10000,"Invest","Review"),"Low YTM")</f>
        <v>Low YTM</v>
      </c>
    </row>
    <row r="1501" spans="1:33" x14ac:dyDescent="0.3">
      <c r="A1501" t="str">
        <f>RTD("nest.scriprtd",,"bse_cm|MFLIII25","Symbol")</f>
        <v>MFLIII25</v>
      </c>
      <c r="B1501" t="str">
        <f>RTD("nest.scriprtd",,"bse_cm|MFLIII25","Trading Symbol")</f>
        <v>MFLIII25</v>
      </c>
      <c r="C1501" t="str">
        <f>RTD("nest.scriprtd",,"bse_cm|MFLIII25","Exchange")</f>
        <v>BSE</v>
      </c>
      <c r="D1501">
        <f>RTD("nest.scriprtd",,"bse_cm|MFLIII25","Bid Qty")</f>
        <v>180</v>
      </c>
      <c r="E1501">
        <f>RTD("nest.scriprtd",,"bse_cm|MFLIII25","Bid Rate")</f>
        <v>976.2</v>
      </c>
      <c r="F1501">
        <f>RTD("nest.scriprtd",,"bse_cm|MFLIII25","Ask Rate")</f>
        <v>0</v>
      </c>
      <c r="G1501">
        <f>RTD("nest.scriprtd",,"bse_cm|MFLIII25","Ask Qty")</f>
        <v>0</v>
      </c>
      <c r="H1501">
        <f>RTD("nest.scriprtd",,"bse_cm|MFLIII25","LTP")</f>
        <v>0</v>
      </c>
      <c r="I1501" t="str">
        <f>RTD("nest.scriprtd",,"bse_cm|MFLIII25","LTT")</f>
        <v>00:00:00</v>
      </c>
      <c r="J1501">
        <f>RTD("nest.scriprtd",,"bse_cm|MFLIII25","% Change")</f>
        <v>-100</v>
      </c>
      <c r="K1501">
        <f>RTD("nest.scriprtd",,"bse_cm|MFLIII25","ATP")</f>
        <v>0</v>
      </c>
      <c r="L1501">
        <f>RTD("nest.scriprtd",,"bse_cm|MFLIII25","Volume Traded Today")</f>
        <v>0</v>
      </c>
      <c r="M1501">
        <f>RTD("nest.scriprtd",,"bse_cm|MFLIII25","Open")</f>
        <v>0</v>
      </c>
      <c r="N1501">
        <f>RTD("nest.scriprtd",,"bse_cm|MFLIII25","High")</f>
        <v>976.21</v>
      </c>
      <c r="O1501">
        <f>RTD("nest.scriprtd",,"bse_cm|MFLIII25","Low ")</f>
        <v>976.21</v>
      </c>
      <c r="P1501">
        <f>RTD("nest.scriprtd",,"bse_cm|MFLIII25","Prev Close")</f>
        <v>976.21</v>
      </c>
      <c r="Q1501">
        <f>RTD("nest.scriprtd",,"bse_cm|MFLIII25","Face Value")</f>
        <v>1000</v>
      </c>
      <c r="R1501" t="str">
        <f>RTD("nest.scriprtd",,"bse_cm|MFLIII25","Isin code")</f>
        <v>INE414G07GN9</v>
      </c>
      <c r="S1501" s="9">
        <f>Table1[[#This Row],[Ask Rate]]*Table1[[#This Row],[Ask Qty]]</f>
        <v>0</v>
      </c>
      <c r="T1501">
        <f>VLOOKUP(Table1[[#This Row],[Isin code]],Table2[#All],7,FALSE)</f>
        <v>7.0000000000000009</v>
      </c>
      <c r="U1501" s="17" t="str">
        <f>VLOOKUP(Table1[[#This Row],[Isin code]],Table2[#All],8,FALSE)</f>
        <v>23-Jun-2025</v>
      </c>
      <c r="V1501" s="10">
        <f ca="1">Table1[[#This Row],[Maturity]]-TODAY()</f>
        <v>250</v>
      </c>
      <c r="W1501" t="str">
        <f>VLOOKUP(Table1[[#This Row],[Isin code]],Table2[#All],10,FALSE)</f>
        <v>Yearly</v>
      </c>
      <c r="X1501">
        <f ca="1">_xlfn.DAYS(Table1[[#This Row],[Maturity]],TODAY())-15</f>
        <v>235</v>
      </c>
      <c r="Y150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501">
        <f>IF(Table1[[#This Row],[Ask Rate]]=0,0,Table1[[#This Row],[Face Value]]-Table1[[#This Row],[Ask Rate]])</f>
        <v>0</v>
      </c>
      <c r="AA1501">
        <f>IF(Table1[[#This Row],[Freq]]="Yearly",Table1[[#This Row],[Coupon_Rate]]/100,IF(Table1[[#This Row],[Freq]]="Monthly",Table1[[#This Row],[Coupon_Rate]]/1200,IF(Table1[[#This Row],[Freq]]="Quarterly",Table1[[#This Row],[Coupon_Rate]]/400,0)))</f>
        <v>7.0000000000000007E-2</v>
      </c>
      <c r="AB1501">
        <f ca="1">Table1[[#This Row],[Face Value]]*Table1[[#This Row],[Rate]]*Table1[[#This Row],[Time]]</f>
        <v>70</v>
      </c>
      <c r="AC1501">
        <f ca="1">Table1[[#This Row],[SI]]+Table1[[#This Row],[Disc/Prem]]</f>
        <v>70</v>
      </c>
      <c r="AD1501" s="3" t="e">
        <f ca="1">Table1[[#This Row],[Net Gain]]/Table1[[#This Row],[Ask Rate]]</f>
        <v>#DIV/0!</v>
      </c>
      <c r="AE1501" s="3">
        <f>IF(Table1[[#This Row],[Ask Qty]]=0,0,Table1[[#This Row],[Gross Yield]]*365/Table1[[#This Row],[Days Left]])</f>
        <v>0</v>
      </c>
      <c r="AF1501" s="9">
        <f ca="1">+Table1[[#This Row],[Net Gain]]*Table1[[#This Row],[Ask Qty]]</f>
        <v>0</v>
      </c>
      <c r="AG1501" t="str">
        <f>IF(Table1[[#This Row],[YTM]]&gt;0.12,IF(Table1[[#This Row],[Gross Profit]]&gt;10000,"Invest","Review"),"Low YTM")</f>
        <v>Low YTM</v>
      </c>
    </row>
    <row r="1502" spans="1:33" x14ac:dyDescent="0.3">
      <c r="A1502" t="str">
        <f>RTD("nest.scriprtd",,"nse_cm|965SCL25B-Y1","Symbol")</f>
        <v>965SCL25B</v>
      </c>
      <c r="B1502" t="str">
        <f>RTD("nest.scriprtd",,"nse_cm|965SCL25B-Y1","Trading Symbol")</f>
        <v>965SCL25B-Y1</v>
      </c>
      <c r="C1502" t="str">
        <f>RTD("nest.scriprtd",,"nse_cm|965SCL25B-Y1","Exchange")</f>
        <v>NSE</v>
      </c>
      <c r="D1502">
        <f>RTD("nest.scriprtd",,"nse_cm|965SCL25B-Y1","Bid Qty")</f>
        <v>9</v>
      </c>
      <c r="E1502">
        <f>RTD("nest.scriprtd",,"nse_cm|965SCL25B-Y1","Bid Rate")</f>
        <v>1026</v>
      </c>
      <c r="F1502">
        <f>RTD("nest.scriprtd",,"nse_cm|965SCL25B-Y1","Ask Rate")</f>
        <v>0</v>
      </c>
      <c r="G1502">
        <f>RTD("nest.scriprtd",,"nse_cm|965SCL25B-Y1","Ask Qty")</f>
        <v>0</v>
      </c>
      <c r="H1502">
        <f>RTD("nest.scriprtd",,"nse_cm|965SCL25B-Y1","LTP")</f>
        <v>1035.5999999999999</v>
      </c>
      <c r="I1502" t="str">
        <f>RTD("nest.scriprtd",,"nse_cm|965SCL25B-Y1","LTT")</f>
        <v/>
      </c>
      <c r="J1502">
        <f>RTD("nest.scriprtd",,"nse_cm|965SCL25B-Y1","% Change")</f>
        <v>0</v>
      </c>
      <c r="K1502">
        <f>RTD("nest.scriprtd",,"nse_cm|965SCL25B-Y1","ATP")</f>
        <v>0</v>
      </c>
      <c r="L1502">
        <f>RTD("nest.scriprtd",,"nse_cm|965SCL25B-Y1","Volume Traded Today")</f>
        <v>0</v>
      </c>
      <c r="M1502">
        <f>RTD("nest.scriprtd",,"nse_cm|965SCL25B-Y1","Open")</f>
        <v>0</v>
      </c>
      <c r="N1502">
        <f>RTD("nest.scriprtd",,"nse_cm|965SCL25B-Y1","High")</f>
        <v>1035.5999999999999</v>
      </c>
      <c r="O1502">
        <f>RTD("nest.scriprtd",,"nse_cm|965SCL25B-Y1","Low ")</f>
        <v>1026</v>
      </c>
      <c r="P1502">
        <f>RTD("nest.scriprtd",,"nse_cm|965SCL25B-Y1","Prev Close")</f>
        <v>1035.5999999999999</v>
      </c>
      <c r="Q1502">
        <f>RTD("nest.scriprtd",,"nse_cm|965SCL25B-Y1","Face Value")</f>
        <v>1000</v>
      </c>
      <c r="R1502" t="str">
        <f>RTD("nest.scriprtd",,"nse_cm|965SCL25B-Y1","Isin code")</f>
        <v>INE148I07RD7</v>
      </c>
      <c r="S1502" s="9">
        <f>Table1[[#This Row],[Ask Rate]]*Table1[[#This Row],[Ask Qty]]</f>
        <v>0</v>
      </c>
      <c r="T1502">
        <f>VLOOKUP(Table1[[#This Row],[Isin code]],Table2[#All],7,FALSE)</f>
        <v>9.65</v>
      </c>
      <c r="U1502" s="17" t="str">
        <f>VLOOKUP(Table1[[#This Row],[Isin code]],Table2[#All],8,FALSE)</f>
        <v>27-Dec-2025</v>
      </c>
      <c r="V1502" s="10">
        <f ca="1">Table1[[#This Row],[Maturity]]-TODAY()</f>
        <v>437</v>
      </c>
      <c r="W1502" t="str">
        <f>VLOOKUP(Table1[[#This Row],[Isin code]],Table2[#All],10,FALSE)</f>
        <v>Yearly</v>
      </c>
      <c r="X1502">
        <f ca="1">_xlfn.DAYS(Table1[[#This Row],[Maturity]],TODAY())-15</f>
        <v>422</v>
      </c>
      <c r="Y15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02">
        <f>IF(Table1[[#This Row],[Ask Rate]]=0,0,Table1[[#This Row],[Face Value]]-Table1[[#This Row],[Ask Rate]])</f>
        <v>0</v>
      </c>
      <c r="AA1502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502">
        <f ca="1">Table1[[#This Row],[Face Value]]*Table1[[#This Row],[Rate]]*Table1[[#This Row],[Time]]</f>
        <v>193</v>
      </c>
      <c r="AC1502">
        <f ca="1">Table1[[#This Row],[SI]]+Table1[[#This Row],[Disc/Prem]]</f>
        <v>193</v>
      </c>
      <c r="AD1502" s="3" t="e">
        <f ca="1">Table1[[#This Row],[Net Gain]]/Table1[[#This Row],[Ask Rate]]</f>
        <v>#DIV/0!</v>
      </c>
      <c r="AE1502" s="3">
        <f>IF(Table1[[#This Row],[Ask Qty]]=0,0,Table1[[#This Row],[Gross Yield]]*365/Table1[[#This Row],[Days Left]])</f>
        <v>0</v>
      </c>
      <c r="AF1502" s="9">
        <f ca="1">+Table1[[#This Row],[Net Gain]]*Table1[[#This Row],[Ask Qty]]</f>
        <v>0</v>
      </c>
      <c r="AG1502" t="str">
        <f>IF(Table1[[#This Row],[YTM]]&gt;0.12,IF(Table1[[#This Row],[Gross Profit]]&gt;10000,"Invest","Review"),"Low YTM")</f>
        <v>Low YTM</v>
      </c>
    </row>
    <row r="1503" spans="1:33" x14ac:dyDescent="0.3">
      <c r="A1503" t="str">
        <f>RTD("nest.scriprtd",,"bse_cm|1050MML25","Symbol")</f>
        <v>1050MML25</v>
      </c>
      <c r="B1503" t="str">
        <f>RTD("nest.scriprtd",,"bse_cm|1050MML25","Trading Symbol")</f>
        <v>1050MML25</v>
      </c>
      <c r="C1503" t="str">
        <f>RTD("nest.scriprtd",,"bse_cm|1050MML25","Exchange")</f>
        <v>BSE</v>
      </c>
      <c r="D1503">
        <f>RTD("nest.scriprtd",,"bse_cm|1050MML25","Bid Qty")</f>
        <v>10</v>
      </c>
      <c r="E1503">
        <f>RTD("nest.scriprtd",,"bse_cm|1050MML25","Bid Rate")</f>
        <v>901</v>
      </c>
      <c r="F1503">
        <f>RTD("nest.scriprtd",,"bse_cm|1050MML25","Ask Rate")</f>
        <v>0</v>
      </c>
      <c r="G1503">
        <f>RTD("nest.scriprtd",,"bse_cm|1050MML25","Ask Qty")</f>
        <v>0</v>
      </c>
      <c r="H1503">
        <f>RTD("nest.scriprtd",,"bse_cm|1050MML25","LTP")</f>
        <v>0</v>
      </c>
      <c r="I1503" t="str">
        <f>RTD("nest.scriprtd",,"bse_cm|1050MML25","LTT")</f>
        <v>00:00:00</v>
      </c>
      <c r="J1503">
        <f>RTD("nest.scriprtd",,"bse_cm|1050MML25","% Change")</f>
        <v>-100</v>
      </c>
      <c r="K1503">
        <f>RTD("nest.scriprtd",,"bse_cm|1050MML25","ATP")</f>
        <v>0</v>
      </c>
      <c r="L1503">
        <f>RTD("nest.scriprtd",,"bse_cm|1050MML25","Volume Traded Today")</f>
        <v>0</v>
      </c>
      <c r="M1503">
        <f>RTD("nest.scriprtd",,"bse_cm|1050MML25","Open")</f>
        <v>0</v>
      </c>
      <c r="N1503">
        <f>RTD("nest.scriprtd",,"bse_cm|1050MML25","High")</f>
        <v>981</v>
      </c>
      <c r="O1503">
        <f>RTD("nest.scriprtd",,"bse_cm|1050MML25","Low ")</f>
        <v>825.2</v>
      </c>
      <c r="P1503">
        <f>RTD("nest.scriprtd",,"bse_cm|1050MML25","Prev Close")</f>
        <v>981</v>
      </c>
      <c r="Q1503">
        <f>RTD("nest.scriprtd",,"bse_cm|1050MML25","Face Value")</f>
        <v>1000</v>
      </c>
      <c r="R1503" t="str">
        <f>RTD("nest.scriprtd",,"bse_cm|1050MML25","Isin code")</f>
        <v>INE05F407BZ5</v>
      </c>
      <c r="S1503" s="9">
        <f>Table1[[#This Row],[Ask Rate]]*Table1[[#This Row],[Ask Qty]]</f>
        <v>0</v>
      </c>
      <c r="T1503">
        <f>VLOOKUP(Table1[[#This Row],[Isin code]],Table2[#All],7,FALSE)</f>
        <v>10.5</v>
      </c>
      <c r="U1503" s="17" t="str">
        <f>VLOOKUP(Table1[[#This Row],[Isin code]],Table2[#All],8,FALSE)</f>
        <v>29-May-2025</v>
      </c>
      <c r="V1503" s="10">
        <f ca="1">Table1[[#This Row],[Maturity]]-TODAY()</f>
        <v>225</v>
      </c>
      <c r="W1503" t="str">
        <f>VLOOKUP(Table1[[#This Row],[Isin code]],Table2[#All],10,FALSE)</f>
        <v>Monthly</v>
      </c>
      <c r="X1503">
        <f ca="1">_xlfn.DAYS(Table1[[#This Row],[Maturity]],TODAY())-15</f>
        <v>210</v>
      </c>
      <c r="Y150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503">
        <f>IF(Table1[[#This Row],[Ask Rate]]=0,0,Table1[[#This Row],[Face Value]]-Table1[[#This Row],[Ask Rate]])</f>
        <v>0</v>
      </c>
      <c r="AA1503">
        <f>IF(Table1[[#This Row],[Freq]]="Yearly",Table1[[#This Row],[Coupon_Rate]]/100,IF(Table1[[#This Row],[Freq]]="Monthly",Table1[[#This Row],[Coupon_Rate]]/1200,IF(Table1[[#This Row],[Freq]]="Quarterly",Table1[[#This Row],[Coupon_Rate]]/400,0)))</f>
        <v>8.7500000000000008E-3</v>
      </c>
      <c r="AB1503">
        <f ca="1">Table1[[#This Row],[Face Value]]*Table1[[#This Row],[Rate]]*Table1[[#This Row],[Time]]</f>
        <v>61.25</v>
      </c>
      <c r="AC1503">
        <f ca="1">Table1[[#This Row],[SI]]+Table1[[#This Row],[Disc/Prem]]</f>
        <v>61.25</v>
      </c>
      <c r="AD1503" s="3" t="e">
        <f ca="1">Table1[[#This Row],[Net Gain]]/Table1[[#This Row],[Ask Rate]]</f>
        <v>#DIV/0!</v>
      </c>
      <c r="AE1503" s="3">
        <f>IF(Table1[[#This Row],[Ask Qty]]=0,0,Table1[[#This Row],[Gross Yield]]*365/Table1[[#This Row],[Days Left]])</f>
        <v>0</v>
      </c>
      <c r="AF1503" s="9">
        <f ca="1">+Table1[[#This Row],[Net Gain]]*Table1[[#This Row],[Ask Qty]]</f>
        <v>0</v>
      </c>
      <c r="AG1503" t="str">
        <f>IF(Table1[[#This Row],[YTM]]&gt;0.12,IF(Table1[[#This Row],[Gross Profit]]&gt;10000,"Invest","Review"),"Low YTM")</f>
        <v>Low YTM</v>
      </c>
    </row>
    <row r="1504" spans="1:33" x14ac:dyDescent="0.3">
      <c r="A1504" t="str">
        <f>RTD("nest.scriprtd",,"bse_cm|1070MML25","Symbol")</f>
        <v>1070MML25</v>
      </c>
      <c r="B1504" t="str">
        <f>RTD("nest.scriprtd",,"bse_cm|1070MML25","Trading Symbol")</f>
        <v>1070MML25</v>
      </c>
      <c r="C1504" t="str">
        <f>RTD("nest.scriprtd",,"bse_cm|1070MML25","Exchange")</f>
        <v>BSE</v>
      </c>
      <c r="D1504">
        <f>RTD("nest.scriprtd",,"bse_cm|1070MML25","Bid Qty")</f>
        <v>25</v>
      </c>
      <c r="E1504">
        <f>RTD("nest.scriprtd",,"bse_cm|1070MML25","Bid Rate")</f>
        <v>950</v>
      </c>
      <c r="F1504">
        <f>RTD("nest.scriprtd",,"bse_cm|1070MML25","Ask Rate")</f>
        <v>0</v>
      </c>
      <c r="G1504">
        <f>RTD("nest.scriprtd",,"bse_cm|1070MML25","Ask Qty")</f>
        <v>0</v>
      </c>
      <c r="H1504">
        <f>RTD("nest.scriprtd",,"bse_cm|1070MML25","LTP")</f>
        <v>0</v>
      </c>
      <c r="I1504" t="str">
        <f>RTD("nest.scriprtd",,"bse_cm|1070MML25","LTT")</f>
        <v>00:00:00</v>
      </c>
      <c r="J1504">
        <f>RTD("nest.scriprtd",,"bse_cm|1070MML25","% Change")</f>
        <v>-100</v>
      </c>
      <c r="K1504">
        <f>RTD("nest.scriprtd",,"bse_cm|1070MML25","ATP")</f>
        <v>0</v>
      </c>
      <c r="L1504">
        <f>RTD("nest.scriprtd",,"bse_cm|1070MML25","Volume Traded Today")</f>
        <v>0</v>
      </c>
      <c r="M1504">
        <f>RTD("nest.scriprtd",,"bse_cm|1070MML25","Open")</f>
        <v>0</v>
      </c>
      <c r="N1504">
        <f>RTD("nest.scriprtd",,"bse_cm|1070MML25","High")</f>
        <v>952</v>
      </c>
      <c r="O1504">
        <f>RTD("nest.scriprtd",,"bse_cm|1070MML25","Low ")</f>
        <v>952</v>
      </c>
      <c r="P1504">
        <f>RTD("nest.scriprtd",,"bse_cm|1070MML25","Prev Close")</f>
        <v>952</v>
      </c>
      <c r="Q1504">
        <f>RTD("nest.scriprtd",,"bse_cm|1070MML25","Face Value")</f>
        <v>1000</v>
      </c>
      <c r="R1504" t="str">
        <f>RTD("nest.scriprtd",,"bse_cm|1070MML25","Isin code")</f>
        <v>INE05F407CS8</v>
      </c>
      <c r="S1504" s="9">
        <f>Table1[[#This Row],[Ask Rate]]*Table1[[#This Row],[Ask Qty]]</f>
        <v>0</v>
      </c>
      <c r="T1504">
        <f>VLOOKUP(Table1[[#This Row],[Isin code]],Table2[#All],7,FALSE)</f>
        <v>10.7</v>
      </c>
      <c r="U1504" s="17" t="str">
        <f>VLOOKUP(Table1[[#This Row],[Isin code]],Table2[#All],8,FALSE)</f>
        <v>16-Oct-2025</v>
      </c>
      <c r="V1504" s="10">
        <f ca="1">Table1[[#This Row],[Maturity]]-TODAY()</f>
        <v>365</v>
      </c>
      <c r="W1504" t="str">
        <f>VLOOKUP(Table1[[#This Row],[Isin code]],Table2[#All],10,FALSE)</f>
        <v>Monthly</v>
      </c>
      <c r="X1504">
        <f ca="1">_xlfn.DAYS(Table1[[#This Row],[Maturity]],TODAY())-15</f>
        <v>350</v>
      </c>
      <c r="Y15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12</v>
      </c>
      <c r="Z1504">
        <f>IF(Table1[[#This Row],[Ask Rate]]=0,0,Table1[[#This Row],[Face Value]]-Table1[[#This Row],[Ask Rate]])</f>
        <v>0</v>
      </c>
      <c r="AA1504">
        <f>IF(Table1[[#This Row],[Freq]]="Yearly",Table1[[#This Row],[Coupon_Rate]]/100,IF(Table1[[#This Row],[Freq]]="Monthly",Table1[[#This Row],[Coupon_Rate]]/1200,IF(Table1[[#This Row],[Freq]]="Quarterly",Table1[[#This Row],[Coupon_Rate]]/400,0)))</f>
        <v>8.9166666666666665E-3</v>
      </c>
      <c r="AB1504">
        <f ca="1">Table1[[#This Row],[Face Value]]*Table1[[#This Row],[Rate]]*Table1[[#This Row],[Time]]</f>
        <v>107</v>
      </c>
      <c r="AC1504">
        <f ca="1">Table1[[#This Row],[SI]]+Table1[[#This Row],[Disc/Prem]]</f>
        <v>107</v>
      </c>
      <c r="AD1504" s="3" t="e">
        <f ca="1">Table1[[#This Row],[Net Gain]]/Table1[[#This Row],[Ask Rate]]</f>
        <v>#DIV/0!</v>
      </c>
      <c r="AE1504" s="3">
        <f>IF(Table1[[#This Row],[Ask Qty]]=0,0,Table1[[#This Row],[Gross Yield]]*365/Table1[[#This Row],[Days Left]])</f>
        <v>0</v>
      </c>
      <c r="AF1504" s="9">
        <f ca="1">+Table1[[#This Row],[Net Gain]]*Table1[[#This Row],[Ask Qty]]</f>
        <v>0</v>
      </c>
      <c r="AG1504" t="str">
        <f>IF(Table1[[#This Row],[YTM]]&gt;0.12,IF(Table1[[#This Row],[Gross Profit]]&gt;10000,"Invest","Review"),"Low YTM")</f>
        <v>Low YTM</v>
      </c>
    </row>
    <row r="1505" spans="1:33" hidden="1" x14ac:dyDescent="0.3">
      <c r="A1505" t="str">
        <f>RTD("nest.scriprtd",,"bse_cm|9SCFL25","Symbol")</f>
        <v>9SCFL25</v>
      </c>
      <c r="B1505" t="str">
        <f>RTD("nest.scriprtd",,"bse_cm|9SCFL25","Trading Symbol")</f>
        <v>9SCFL25</v>
      </c>
      <c r="C1505" t="str">
        <f>RTD("nest.scriprtd",,"bse_cm|9SCFL25","Exchange")</f>
        <v>BSE</v>
      </c>
      <c r="D1505">
        <f>RTD("nest.scriprtd",,"bse_cm|9SCFL25","Bid Qty")</f>
        <v>150</v>
      </c>
      <c r="E1505">
        <f>RTD("nest.scriprtd",,"bse_cm|9SCFL25","Bid Rate")</f>
        <v>1046.2</v>
      </c>
      <c r="F1505">
        <f>RTD("nest.scriprtd",,"bse_cm|9SCFL25","Ask Rate")</f>
        <v>0</v>
      </c>
      <c r="G1505">
        <f>RTD("nest.scriprtd",,"bse_cm|9SCFL25","Ask Qty")</f>
        <v>0</v>
      </c>
      <c r="H1505">
        <f>RTD("nest.scriprtd",,"bse_cm|9SCFL25","LTP")</f>
        <v>0</v>
      </c>
      <c r="I1505" t="str">
        <f>RTD("nest.scriprtd",,"bse_cm|9SCFL25","LTT")</f>
        <v>00:00:00</v>
      </c>
      <c r="J1505">
        <f>RTD("nest.scriprtd",,"bse_cm|9SCFL25","% Change")</f>
        <v>-100</v>
      </c>
      <c r="K1505">
        <f>RTD("nest.scriprtd",,"bse_cm|9SCFL25","ATP")</f>
        <v>0</v>
      </c>
      <c r="L1505">
        <f>RTD("nest.scriprtd",,"bse_cm|9SCFL25","Volume Traded Today")</f>
        <v>0</v>
      </c>
      <c r="M1505">
        <f>RTD("nest.scriprtd",,"bse_cm|9SCFL25","Open")</f>
        <v>0</v>
      </c>
      <c r="N1505">
        <f>RTD("nest.scriprtd",,"bse_cm|9SCFL25","High")</f>
        <v>1059.8</v>
      </c>
      <c r="O1505">
        <f>RTD("nest.scriprtd",,"bse_cm|9SCFL25","Low ")</f>
        <v>1059.8</v>
      </c>
      <c r="P1505">
        <f>RTD("nest.scriprtd",,"bse_cm|9SCFL25","Prev Close")</f>
        <v>1059.8</v>
      </c>
      <c r="Q1505">
        <f>RTD("nest.scriprtd",,"bse_cm|9SCFL25","Face Value")</f>
        <v>1000</v>
      </c>
      <c r="R1505" t="str">
        <f>RTD("nest.scriprtd",,"bse_cm|9SCFL25","Isin code")</f>
        <v>INE148I07KX0</v>
      </c>
      <c r="S1505" s="9">
        <f>Table1[[#This Row],[Ask Rate]]*Table1[[#This Row],[Ask Qty]]</f>
        <v>0</v>
      </c>
      <c r="T1505">
        <f>VLOOKUP(Table1[[#This Row],[Isin code]],Table2[#All],7,FALSE)</f>
        <v>9</v>
      </c>
      <c r="U1505" s="17" t="str">
        <f>VLOOKUP(Table1[[#This Row],[Isin code]],Table2[#All],8,FALSE)</f>
        <v>06-Jan-2025</v>
      </c>
      <c r="V1505" s="10">
        <f ca="1">Table1[[#This Row],[Maturity]]-TODAY()</f>
        <v>82</v>
      </c>
      <c r="W1505" t="str">
        <f>VLOOKUP(Table1[[#This Row],[Isin code]],Table2[#All],10,FALSE)</f>
        <v>Yearly</v>
      </c>
      <c r="X1505">
        <f ca="1">_xlfn.DAYS(Table1[[#This Row],[Maturity]],TODAY())-15</f>
        <v>67</v>
      </c>
      <c r="Y15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505">
        <f>IF(Table1[[#This Row],[Ask Rate]]=0,0,Table1[[#This Row],[Face Value]]-Table1[[#This Row],[Ask Rate]])</f>
        <v>0</v>
      </c>
      <c r="AA1505">
        <f>IF(Table1[[#This Row],[Freq]]="Yearly",Table1[[#This Row],[Coupon_Rate]]/100,IF(Table1[[#This Row],[Freq]]="Monthly",Table1[[#This Row],[Coupon_Rate]]/1200,IF(Table1[[#This Row],[Freq]]="Quarterly",Table1[[#This Row],[Coupon_Rate]]/400,0)))</f>
        <v>0.09</v>
      </c>
      <c r="AB1505">
        <f ca="1">Table1[[#This Row],[Face Value]]*Table1[[#This Row],[Rate]]*Table1[[#This Row],[Time]]</f>
        <v>90</v>
      </c>
      <c r="AC1505">
        <f ca="1">Table1[[#This Row],[SI]]+Table1[[#This Row],[Disc/Prem]]</f>
        <v>90</v>
      </c>
      <c r="AD1505" s="3" t="e">
        <f ca="1">Table1[[#This Row],[Net Gain]]/Table1[[#This Row],[Ask Rate]]</f>
        <v>#DIV/0!</v>
      </c>
      <c r="AE1505" s="3">
        <f>IF(Table1[[#This Row],[Ask Qty]]=0,0,Table1[[#This Row],[Gross Yield]]*365/Table1[[#This Row],[Days Left]])</f>
        <v>0</v>
      </c>
      <c r="AF1505" s="9">
        <f ca="1">+Table1[[#This Row],[Net Gain]]*Table1[[#This Row],[Ask Qty]]</f>
        <v>0</v>
      </c>
      <c r="AG1505" t="str">
        <f>IF(Table1[[#This Row],[YTM]]&gt;0.12,IF(Table1[[#This Row],[Gross Profit]]&gt;10000,"Invest","Review"),"Low YTM")</f>
        <v>Low YTM</v>
      </c>
    </row>
    <row r="1506" spans="1:33" hidden="1" x14ac:dyDescent="0.3">
      <c r="A1506" t="str">
        <f>RTD("nest.scriprtd",,"nse_cm|93SCL24-ZP","Symbol")</f>
        <v>93SCL24</v>
      </c>
      <c r="B1506" t="str">
        <f>RTD("nest.scriprtd",,"nse_cm|93SCL24-ZP","Trading Symbol")</f>
        <v>93SCL24-ZP</v>
      </c>
      <c r="C1506" t="str">
        <f>RTD("nest.scriprtd",,"nse_cm|93SCL24-ZP","Exchange")</f>
        <v>NSE</v>
      </c>
      <c r="D1506">
        <f>RTD("nest.scriprtd",,"nse_cm|93SCL24-ZP","Bid Qty")</f>
        <v>157</v>
      </c>
      <c r="E1506">
        <f>RTD("nest.scriprtd",,"nse_cm|93SCL24-ZP","Bid Rate")</f>
        <v>1050.2</v>
      </c>
      <c r="F1506">
        <f>RTD("nest.scriprtd",,"nse_cm|93SCL24-ZP","Ask Rate")</f>
        <v>0</v>
      </c>
      <c r="G1506">
        <f>RTD("nest.scriprtd",,"nse_cm|93SCL24-ZP","Ask Qty")</f>
        <v>0</v>
      </c>
      <c r="H1506">
        <f>RTD("nest.scriprtd",,"nse_cm|93SCL24-ZP","LTP")</f>
        <v>1050.2</v>
      </c>
      <c r="I1506" t="str">
        <f>RTD("nest.scriprtd",,"nse_cm|93SCL24-ZP","LTT")</f>
        <v/>
      </c>
      <c r="J1506">
        <f>RTD("nest.scriprtd",,"nse_cm|93SCL24-ZP","% Change")</f>
        <v>0</v>
      </c>
      <c r="K1506">
        <f>RTD("nest.scriprtd",,"nse_cm|93SCL24-ZP","ATP")</f>
        <v>0</v>
      </c>
      <c r="L1506">
        <f>RTD("nest.scriprtd",,"nse_cm|93SCL24-ZP","Volume Traded Today")</f>
        <v>0</v>
      </c>
      <c r="M1506">
        <f>RTD("nest.scriprtd",,"nse_cm|93SCL24-ZP","Open")</f>
        <v>0</v>
      </c>
      <c r="N1506">
        <f>RTD("nest.scriprtd",,"nse_cm|93SCL24-ZP","High")</f>
        <v>1050.2</v>
      </c>
      <c r="O1506">
        <f>RTD("nest.scriprtd",,"nse_cm|93SCL24-ZP","Low ")</f>
        <v>1050.2</v>
      </c>
      <c r="P1506">
        <f>RTD("nest.scriprtd",,"nse_cm|93SCL24-ZP","Prev Close")</f>
        <v>1050.2</v>
      </c>
      <c r="Q1506">
        <f>RTD("nest.scriprtd",,"nse_cm|93SCL24-ZP","Face Value")</f>
        <v>1000</v>
      </c>
      <c r="R1506" t="str">
        <f>RTD("nest.scriprtd",,"nse_cm|93SCL24-ZP","Isin code")</f>
        <v>INE148I07NC8</v>
      </c>
      <c r="S1506" s="9">
        <f>Table1[[#This Row],[Ask Rate]]*Table1[[#This Row],[Ask Qty]]</f>
        <v>0</v>
      </c>
      <c r="T1506">
        <f>VLOOKUP(Table1[[#This Row],[Isin code]],Table2[#All],7,FALSE)</f>
        <v>9.3000000000000007</v>
      </c>
      <c r="U1506" s="17" t="str">
        <f>VLOOKUP(Table1[[#This Row],[Isin code]],Table2[#All],8,FALSE)</f>
        <v>28-Dec-2024</v>
      </c>
      <c r="V1506" s="10">
        <f ca="1">Table1[[#This Row],[Maturity]]-TODAY()</f>
        <v>73</v>
      </c>
      <c r="W1506" t="str">
        <f>VLOOKUP(Table1[[#This Row],[Isin code]],Table2[#All],10,FALSE)</f>
        <v>Yearly</v>
      </c>
      <c r="X1506">
        <f ca="1">_xlfn.DAYS(Table1[[#This Row],[Maturity]],TODAY())-15</f>
        <v>58</v>
      </c>
      <c r="Y150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506">
        <f>IF(Table1[[#This Row],[Ask Rate]]=0,0,Table1[[#This Row],[Face Value]]-Table1[[#This Row],[Ask Rate]])</f>
        <v>0</v>
      </c>
      <c r="AA1506">
        <f>IF(Table1[[#This Row],[Freq]]="Yearly",Table1[[#This Row],[Coupon_Rate]]/100,IF(Table1[[#This Row],[Freq]]="Monthly",Table1[[#This Row],[Coupon_Rate]]/1200,IF(Table1[[#This Row],[Freq]]="Quarterly",Table1[[#This Row],[Coupon_Rate]]/400,0)))</f>
        <v>9.3000000000000013E-2</v>
      </c>
      <c r="AB1506">
        <f ca="1">Table1[[#This Row],[Face Value]]*Table1[[#This Row],[Rate]]*Table1[[#This Row],[Time]]</f>
        <v>93.000000000000014</v>
      </c>
      <c r="AC1506">
        <f ca="1">Table1[[#This Row],[SI]]+Table1[[#This Row],[Disc/Prem]]</f>
        <v>93.000000000000014</v>
      </c>
      <c r="AD1506" s="3" t="e">
        <f ca="1">Table1[[#This Row],[Net Gain]]/Table1[[#This Row],[Ask Rate]]</f>
        <v>#DIV/0!</v>
      </c>
      <c r="AE1506" s="3">
        <f>IF(Table1[[#This Row],[Ask Qty]]=0,0,Table1[[#This Row],[Gross Yield]]*365/Table1[[#This Row],[Days Left]])</f>
        <v>0</v>
      </c>
      <c r="AF1506" s="9">
        <f ca="1">+Table1[[#This Row],[Net Gain]]*Table1[[#This Row],[Ask Qty]]</f>
        <v>0</v>
      </c>
      <c r="AG1506" t="str">
        <f>IF(Table1[[#This Row],[YTM]]&gt;0.12,IF(Table1[[#This Row],[Gross Profit]]&gt;10000,"Invest","Review"),"Low YTM")</f>
        <v>Low YTM</v>
      </c>
    </row>
    <row r="1507" spans="1:33" x14ac:dyDescent="0.3">
      <c r="A1507" t="str">
        <f>RTD("nest.scriprtd",,"bse_cm|965SCL25B","Symbol")</f>
        <v>965SCL25B</v>
      </c>
      <c r="B1507" t="str">
        <f>RTD("nest.scriprtd",,"bse_cm|965SCL25B","Trading Symbol")</f>
        <v>965SCL25B</v>
      </c>
      <c r="C1507" t="str">
        <f>RTD("nest.scriprtd",,"bse_cm|965SCL25B","Exchange")</f>
        <v>BSE</v>
      </c>
      <c r="D1507">
        <f>RTD("nest.scriprtd",,"bse_cm|965SCL25B","Bid Qty")</f>
        <v>6</v>
      </c>
      <c r="E1507">
        <f>RTD("nest.scriprtd",,"bse_cm|965SCL25B","Bid Rate")</f>
        <v>835.2</v>
      </c>
      <c r="F1507">
        <f>RTD("nest.scriprtd",,"bse_cm|965SCL25B","Ask Rate")</f>
        <v>0</v>
      </c>
      <c r="G1507">
        <f>RTD("nest.scriprtd",,"bse_cm|965SCL25B","Ask Qty")</f>
        <v>0</v>
      </c>
      <c r="H1507">
        <f>RTD("nest.scriprtd",,"bse_cm|965SCL25B","LTP")</f>
        <v>0</v>
      </c>
      <c r="I1507" t="str">
        <f>RTD("nest.scriprtd",,"bse_cm|965SCL25B","LTT")</f>
        <v>00:00:00</v>
      </c>
      <c r="J1507">
        <f>RTD("nest.scriprtd",,"bse_cm|965SCL25B","% Change")</f>
        <v>-100</v>
      </c>
      <c r="K1507">
        <f>RTD("nest.scriprtd",,"bse_cm|965SCL25B","ATP")</f>
        <v>0</v>
      </c>
      <c r="L1507">
        <f>RTD("nest.scriprtd",,"bse_cm|965SCL25B","Volume Traded Today")</f>
        <v>0</v>
      </c>
      <c r="M1507">
        <f>RTD("nest.scriprtd",,"bse_cm|965SCL25B","Open")</f>
        <v>0</v>
      </c>
      <c r="N1507">
        <f>RTD("nest.scriprtd",,"bse_cm|965SCL25B","High")</f>
        <v>1030</v>
      </c>
      <c r="O1507">
        <f>RTD("nest.scriprtd",,"bse_cm|965SCL25B","Low ")</f>
        <v>1030</v>
      </c>
      <c r="P1507">
        <f>RTD("nest.scriprtd",,"bse_cm|965SCL25B","Prev Close")</f>
        <v>1030</v>
      </c>
      <c r="Q1507">
        <f>RTD("nest.scriprtd",,"bse_cm|965SCL25B","Face Value")</f>
        <v>1000</v>
      </c>
      <c r="R1507" t="str">
        <f>RTD("nest.scriprtd",,"bse_cm|965SCL25B","Isin code")</f>
        <v>INE148I07RD7</v>
      </c>
      <c r="S1507" s="9">
        <f>Table1[[#This Row],[Ask Rate]]*Table1[[#This Row],[Ask Qty]]</f>
        <v>0</v>
      </c>
      <c r="T1507">
        <f>VLOOKUP(Table1[[#This Row],[Isin code]],Table2[#All],7,FALSE)</f>
        <v>9.65</v>
      </c>
      <c r="U1507" s="17" t="str">
        <f>VLOOKUP(Table1[[#This Row],[Isin code]],Table2[#All],8,FALSE)</f>
        <v>27-Dec-2025</v>
      </c>
      <c r="V1507" s="10">
        <f ca="1">Table1[[#This Row],[Maturity]]-TODAY()</f>
        <v>437</v>
      </c>
      <c r="W1507" t="str">
        <f>VLOOKUP(Table1[[#This Row],[Isin code]],Table2[#All],10,FALSE)</f>
        <v>Yearly</v>
      </c>
      <c r="X1507">
        <f ca="1">_xlfn.DAYS(Table1[[#This Row],[Maturity]],TODAY())-15</f>
        <v>422</v>
      </c>
      <c r="Y15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07">
        <f>IF(Table1[[#This Row],[Ask Rate]]=0,0,Table1[[#This Row],[Face Value]]-Table1[[#This Row],[Ask Rate]])</f>
        <v>0</v>
      </c>
      <c r="AA1507">
        <f>IF(Table1[[#This Row],[Freq]]="Yearly",Table1[[#This Row],[Coupon_Rate]]/100,IF(Table1[[#This Row],[Freq]]="Monthly",Table1[[#This Row],[Coupon_Rate]]/1200,IF(Table1[[#This Row],[Freq]]="Quarterly",Table1[[#This Row],[Coupon_Rate]]/400,0)))</f>
        <v>9.6500000000000002E-2</v>
      </c>
      <c r="AB1507">
        <f ca="1">Table1[[#This Row],[Face Value]]*Table1[[#This Row],[Rate]]*Table1[[#This Row],[Time]]</f>
        <v>193</v>
      </c>
      <c r="AC1507">
        <f ca="1">Table1[[#This Row],[SI]]+Table1[[#This Row],[Disc/Prem]]</f>
        <v>193</v>
      </c>
      <c r="AD1507" s="3" t="e">
        <f ca="1">Table1[[#This Row],[Net Gain]]/Table1[[#This Row],[Ask Rate]]</f>
        <v>#DIV/0!</v>
      </c>
      <c r="AE1507" s="3">
        <f>IF(Table1[[#This Row],[Ask Qty]]=0,0,Table1[[#This Row],[Gross Yield]]*365/Table1[[#This Row],[Days Left]])</f>
        <v>0</v>
      </c>
      <c r="AF1507" s="9">
        <f ca="1">+Table1[[#This Row],[Net Gain]]*Table1[[#This Row],[Ask Qty]]</f>
        <v>0</v>
      </c>
      <c r="AG1507" t="str">
        <f>IF(Table1[[#This Row],[YTM]]&gt;0.12,IF(Table1[[#This Row],[Gross Profit]]&gt;10000,"Invest","Review"),"Low YTM")</f>
        <v>Low YTM</v>
      </c>
    </row>
    <row r="1508" spans="1:33" x14ac:dyDescent="0.3">
      <c r="A1508" t="str">
        <f>RTD("nest.scriprtd",,"bse_cm|MFLV27","Symbol")</f>
        <v>MFLV27</v>
      </c>
      <c r="B1508" t="str">
        <f>RTD("nest.scriprtd",,"bse_cm|MFLV27","Trading Symbol")</f>
        <v>MFLV27</v>
      </c>
      <c r="C1508" t="str">
        <f>RTD("nest.scriprtd",,"bse_cm|MFLV27","Exchange")</f>
        <v>BSE</v>
      </c>
      <c r="D1508">
        <f>RTD("nest.scriprtd",,"bse_cm|MFLV27","Bid Qty")</f>
        <v>180</v>
      </c>
      <c r="E1508">
        <f>RTD("nest.scriprtd",,"bse_cm|MFLV27","Bid Rate")</f>
        <v>1007.5</v>
      </c>
      <c r="F1508">
        <f>RTD("nest.scriprtd",,"bse_cm|MFLV27","Ask Rate")</f>
        <v>0</v>
      </c>
      <c r="G1508">
        <f>RTD("nest.scriprtd",,"bse_cm|MFLV27","Ask Qty")</f>
        <v>0</v>
      </c>
      <c r="H1508">
        <f>RTD("nest.scriprtd",,"bse_cm|MFLV27","LTP")</f>
        <v>0</v>
      </c>
      <c r="I1508" t="str">
        <f>RTD("nest.scriprtd",,"bse_cm|MFLV27","LTT")</f>
        <v>00:00:00</v>
      </c>
      <c r="J1508">
        <f>RTD("nest.scriprtd",,"bse_cm|MFLV27","% Change")</f>
        <v>-100</v>
      </c>
      <c r="K1508">
        <f>RTD("nest.scriprtd",,"bse_cm|MFLV27","ATP")</f>
        <v>0</v>
      </c>
      <c r="L1508">
        <f>RTD("nest.scriprtd",,"bse_cm|MFLV27","Volume Traded Today")</f>
        <v>0</v>
      </c>
      <c r="M1508">
        <f>RTD("nest.scriprtd",,"bse_cm|MFLV27","Open")</f>
        <v>0</v>
      </c>
      <c r="N1508">
        <f>RTD("nest.scriprtd",,"bse_cm|MFLV27","High")</f>
        <v>1005</v>
      </c>
      <c r="O1508">
        <f>RTD("nest.scriprtd",,"bse_cm|MFLV27","Low ")</f>
        <v>1005</v>
      </c>
      <c r="P1508">
        <f>RTD("nest.scriprtd",,"bse_cm|MFLV27","Prev Close")</f>
        <v>1005</v>
      </c>
      <c r="Q1508">
        <f>RTD("nest.scriprtd",,"bse_cm|MFLV27","Face Value")</f>
        <v>1000</v>
      </c>
      <c r="R1508" t="str">
        <f>RTD("nest.scriprtd",,"bse_cm|MFLV27","Isin code")</f>
        <v>INE414G07GY6</v>
      </c>
      <c r="S1508" s="9">
        <f>Table1[[#This Row],[Ask Rate]]*Table1[[#This Row],[Ask Qty]]</f>
        <v>0</v>
      </c>
      <c r="T1508">
        <f>VLOOKUP(Table1[[#This Row],[Isin code]],Table2[#All],7,FALSE)</f>
        <v>7.5</v>
      </c>
      <c r="U1508" s="17" t="str">
        <f>VLOOKUP(Table1[[#This Row],[Isin code]],Table2[#All],8,FALSE)</f>
        <v>03-Nov-2027</v>
      </c>
      <c r="V1508" s="10">
        <f ca="1">Table1[[#This Row],[Maturity]]-TODAY()</f>
        <v>1113</v>
      </c>
      <c r="W1508" t="str">
        <f>VLOOKUP(Table1[[#This Row],[Isin code]],Table2[#All],10,FALSE)</f>
        <v>Yearly</v>
      </c>
      <c r="X1508">
        <f ca="1">_xlfn.DAYS(Table1[[#This Row],[Maturity]],TODAY())-15</f>
        <v>1098</v>
      </c>
      <c r="Y15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508">
        <f>IF(Table1[[#This Row],[Ask Rate]]=0,0,Table1[[#This Row],[Face Value]]-Table1[[#This Row],[Ask Rate]])</f>
        <v>0</v>
      </c>
      <c r="AA1508">
        <f>IF(Table1[[#This Row],[Freq]]="Yearly",Table1[[#This Row],[Coupon_Rate]]/100,IF(Table1[[#This Row],[Freq]]="Monthly",Table1[[#This Row],[Coupon_Rate]]/1200,IF(Table1[[#This Row],[Freq]]="Quarterly",Table1[[#This Row],[Coupon_Rate]]/400,0)))</f>
        <v>7.4999999999999997E-2</v>
      </c>
      <c r="AB1508">
        <f ca="1">Table1[[#This Row],[Face Value]]*Table1[[#This Row],[Rate]]*Table1[[#This Row],[Time]]</f>
        <v>300</v>
      </c>
      <c r="AC1508">
        <f ca="1">Table1[[#This Row],[SI]]+Table1[[#This Row],[Disc/Prem]]</f>
        <v>300</v>
      </c>
      <c r="AD1508" s="3" t="e">
        <f ca="1">Table1[[#This Row],[Net Gain]]/Table1[[#This Row],[Ask Rate]]</f>
        <v>#DIV/0!</v>
      </c>
      <c r="AE1508" s="3">
        <f>IF(Table1[[#This Row],[Ask Qty]]=0,0,Table1[[#This Row],[Gross Yield]]*365/Table1[[#This Row],[Days Left]])</f>
        <v>0</v>
      </c>
      <c r="AF1508" s="9">
        <f ca="1">+Table1[[#This Row],[Net Gain]]*Table1[[#This Row],[Ask Qty]]</f>
        <v>0</v>
      </c>
      <c r="AG1508" t="str">
        <f>IF(Table1[[#This Row],[YTM]]&gt;0.12,IF(Table1[[#This Row],[Gross Profit]]&gt;10000,"Invest","Review"),"Low YTM")</f>
        <v>Low YTM</v>
      </c>
    </row>
    <row r="1509" spans="1:33" x14ac:dyDescent="0.3">
      <c r="A1509" t="str">
        <f>RTD("nest.scriprtd",,"bse_cm|10ISFL26","Symbol")</f>
        <v>10ISFL26</v>
      </c>
      <c r="B1509" t="str">
        <f>RTD("nest.scriprtd",,"bse_cm|10ISFL26","Trading Symbol")</f>
        <v>10ISFL26</v>
      </c>
      <c r="C1509" t="str">
        <f>RTD("nest.scriprtd",,"bse_cm|10ISFL26","Exchange")</f>
        <v>BSE</v>
      </c>
      <c r="D1509">
        <f>RTD("nest.scriprtd",,"bse_cm|10ISFL26","Bid Qty")</f>
        <v>10</v>
      </c>
      <c r="E1509">
        <f>RTD("nest.scriprtd",,"bse_cm|10ISFL26","Bid Rate")</f>
        <v>1016.3</v>
      </c>
      <c r="F1509">
        <f>RTD("nest.scriprtd",,"bse_cm|10ISFL26","Ask Rate")</f>
        <v>0</v>
      </c>
      <c r="G1509">
        <f>RTD("nest.scriprtd",,"bse_cm|10ISFL26","Ask Qty")</f>
        <v>0</v>
      </c>
      <c r="H1509">
        <f>RTD("nest.scriprtd",,"bse_cm|10ISFL26","LTP")</f>
        <v>0</v>
      </c>
      <c r="I1509" t="str">
        <f>RTD("nest.scriprtd",,"bse_cm|10ISFL26","LTT")</f>
        <v>00:00:00</v>
      </c>
      <c r="J1509">
        <f>RTD("nest.scriprtd",,"bse_cm|10ISFL26","% Change")</f>
        <v>-100</v>
      </c>
      <c r="K1509">
        <f>RTD("nest.scriprtd",,"bse_cm|10ISFL26","ATP")</f>
        <v>0</v>
      </c>
      <c r="L1509">
        <f>RTD("nest.scriprtd",,"bse_cm|10ISFL26","Volume Traded Today")</f>
        <v>0</v>
      </c>
      <c r="M1509">
        <f>RTD("nest.scriprtd",,"bse_cm|10ISFL26","Open")</f>
        <v>0</v>
      </c>
      <c r="N1509">
        <f>RTD("nest.scriprtd",,"bse_cm|10ISFL26","High")</f>
        <v>1000</v>
      </c>
      <c r="O1509">
        <f>RTD("nest.scriprtd",,"bse_cm|10ISFL26","Low ")</f>
        <v>1000</v>
      </c>
      <c r="P1509">
        <f>RTD("nest.scriprtd",,"bse_cm|10ISFL26","Prev Close")</f>
        <v>1000</v>
      </c>
      <c r="Q1509">
        <f>RTD("nest.scriprtd",,"bse_cm|10ISFL26","Face Value")</f>
        <v>1000</v>
      </c>
      <c r="R1509" t="str">
        <f>RTD("nest.scriprtd",,"bse_cm|10ISFL26","Isin code")</f>
        <v>INE413U07277</v>
      </c>
      <c r="S1509" s="9">
        <f>Table1[[#This Row],[Ask Rate]]*Table1[[#This Row],[Ask Qty]]</f>
        <v>0</v>
      </c>
      <c r="T1509">
        <f>VLOOKUP(Table1[[#This Row],[Isin code]],Table2[#All],7,FALSE)</f>
        <v>10</v>
      </c>
      <c r="U1509" s="17" t="str">
        <f>VLOOKUP(Table1[[#This Row],[Isin code]],Table2[#All],8,FALSE)</f>
        <v>21-Dec-2026</v>
      </c>
      <c r="V1509" s="10">
        <f ca="1">Table1[[#This Row],[Maturity]]-TODAY()</f>
        <v>796</v>
      </c>
      <c r="W1509" t="str">
        <f>VLOOKUP(Table1[[#This Row],[Isin code]],Table2[#All],10,FALSE)</f>
        <v>At the End</v>
      </c>
      <c r="X1509">
        <f ca="1">_xlfn.DAYS(Table1[[#This Row],[Maturity]],TODAY())-15</f>
        <v>781</v>
      </c>
      <c r="Y150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09">
        <f>IF(Table1[[#This Row],[Ask Rate]]=0,0,Table1[[#This Row],[Face Value]]-Table1[[#This Row],[Ask Rate]])</f>
        <v>0</v>
      </c>
      <c r="AA150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09">
        <f>Table1[[#This Row],[Face Value]]*Table1[[#This Row],[Rate]]*Table1[[#This Row],[Time]]</f>
        <v>0</v>
      </c>
      <c r="AC1509">
        <f>Table1[[#This Row],[SI]]+Table1[[#This Row],[Disc/Prem]]</f>
        <v>0</v>
      </c>
      <c r="AD1509" s="3" t="e">
        <f>Table1[[#This Row],[Net Gain]]/Table1[[#This Row],[Ask Rate]]</f>
        <v>#DIV/0!</v>
      </c>
      <c r="AE1509" s="3">
        <f>IF(Table1[[#This Row],[Ask Qty]]=0,0,Table1[[#This Row],[Gross Yield]]*365/Table1[[#This Row],[Days Left]])</f>
        <v>0</v>
      </c>
      <c r="AF1509" s="9">
        <f>+Table1[[#This Row],[Net Gain]]*Table1[[#This Row],[Ask Qty]]</f>
        <v>0</v>
      </c>
      <c r="AG1509" t="str">
        <f>IF(Table1[[#This Row],[YTM]]&gt;0.12,IF(Table1[[#This Row],[Gross Profit]]&gt;10000,"Invest","Review"),"Low YTM")</f>
        <v>Low YTM</v>
      </c>
    </row>
    <row r="1510" spans="1:33" x14ac:dyDescent="0.3">
      <c r="A1510" t="str">
        <f>RTD("nest.scriprtd",,"bse_cm|1075MML27","Symbol")</f>
        <v>1075MML27</v>
      </c>
      <c r="B1510" t="str">
        <f>RTD("nest.scriprtd",,"bse_cm|1075MML27","Trading Symbol")</f>
        <v>1075MML27</v>
      </c>
      <c r="C1510" t="str">
        <f>RTD("nest.scriprtd",,"bse_cm|1075MML27","Exchange")</f>
        <v>BSE</v>
      </c>
      <c r="D1510">
        <f>RTD("nest.scriprtd",,"bse_cm|1075MML27","Bid Qty")</f>
        <v>10</v>
      </c>
      <c r="E1510">
        <f>RTD("nest.scriprtd",,"bse_cm|1075MML27","Bid Rate")</f>
        <v>961</v>
      </c>
      <c r="F1510">
        <f>RTD("nest.scriprtd",,"bse_cm|1075MML27","Ask Rate")</f>
        <v>0</v>
      </c>
      <c r="G1510">
        <f>RTD("nest.scriprtd",,"bse_cm|1075MML27","Ask Qty")</f>
        <v>0</v>
      </c>
      <c r="H1510">
        <f>RTD("nest.scriprtd",,"bse_cm|1075MML27","LTP")</f>
        <v>0</v>
      </c>
      <c r="I1510" t="str">
        <f>RTD("nest.scriprtd",,"bse_cm|1075MML27","LTT")</f>
        <v>00:00:00</v>
      </c>
      <c r="J1510">
        <f>RTD("nest.scriprtd",,"bse_cm|1075MML27","% Change")</f>
        <v>-100</v>
      </c>
      <c r="K1510">
        <f>RTD("nest.scriprtd",,"bse_cm|1075MML27","ATP")</f>
        <v>0</v>
      </c>
      <c r="L1510">
        <f>RTD("nest.scriprtd",,"bse_cm|1075MML27","Volume Traded Today")</f>
        <v>0</v>
      </c>
      <c r="M1510">
        <f>RTD("nest.scriprtd",,"bse_cm|1075MML27","Open")</f>
        <v>0</v>
      </c>
      <c r="N1510">
        <f>RTD("nest.scriprtd",,"bse_cm|1075MML27","High")</f>
        <v>960</v>
      </c>
      <c r="O1510">
        <f>RTD("nest.scriprtd",,"bse_cm|1075MML27","Low ")</f>
        <v>960</v>
      </c>
      <c r="P1510">
        <f>RTD("nest.scriprtd",,"bse_cm|1075MML27","Prev Close")</f>
        <v>960</v>
      </c>
      <c r="Q1510">
        <f>RTD("nest.scriprtd",,"bse_cm|1075MML27","Face Value")</f>
        <v>1000</v>
      </c>
      <c r="R1510" t="str">
        <f>RTD("nest.scriprtd",,"bse_cm|1075MML27","Isin code")</f>
        <v>INE05F407CB4</v>
      </c>
      <c r="S1510" s="9">
        <f>Table1[[#This Row],[Ask Rate]]*Table1[[#This Row],[Ask Qty]]</f>
        <v>0</v>
      </c>
      <c r="T1510">
        <f>VLOOKUP(Table1[[#This Row],[Isin code]],Table2[#All],7,FALSE)</f>
        <v>10.75</v>
      </c>
      <c r="U1510" s="17" t="str">
        <f>VLOOKUP(Table1[[#This Row],[Isin code]],Table2[#All],8,FALSE)</f>
        <v>27-May-2027</v>
      </c>
      <c r="V1510" s="10">
        <f ca="1">Table1[[#This Row],[Maturity]]-TODAY()</f>
        <v>953</v>
      </c>
      <c r="W1510" t="str">
        <f>VLOOKUP(Table1[[#This Row],[Isin code]],Table2[#All],10,FALSE)</f>
        <v>Monthly</v>
      </c>
      <c r="X1510">
        <f ca="1">_xlfn.DAYS(Table1[[#This Row],[Maturity]],TODAY())-15</f>
        <v>938</v>
      </c>
      <c r="Y151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32</v>
      </c>
      <c r="Z1510">
        <f>IF(Table1[[#This Row],[Ask Rate]]=0,0,Table1[[#This Row],[Face Value]]-Table1[[#This Row],[Ask Rate]])</f>
        <v>0</v>
      </c>
      <c r="AA1510">
        <f>IF(Table1[[#This Row],[Freq]]="Yearly",Table1[[#This Row],[Coupon_Rate]]/100,IF(Table1[[#This Row],[Freq]]="Monthly",Table1[[#This Row],[Coupon_Rate]]/1200,IF(Table1[[#This Row],[Freq]]="Quarterly",Table1[[#This Row],[Coupon_Rate]]/400,0)))</f>
        <v>8.9583333333333338E-3</v>
      </c>
      <c r="AB1510">
        <f ca="1">Table1[[#This Row],[Face Value]]*Table1[[#This Row],[Rate]]*Table1[[#This Row],[Time]]</f>
        <v>286.66666666666669</v>
      </c>
      <c r="AC1510">
        <f ca="1">Table1[[#This Row],[SI]]+Table1[[#This Row],[Disc/Prem]]</f>
        <v>286.66666666666669</v>
      </c>
      <c r="AD1510" s="3" t="e">
        <f ca="1">Table1[[#This Row],[Net Gain]]/Table1[[#This Row],[Ask Rate]]</f>
        <v>#DIV/0!</v>
      </c>
      <c r="AE1510" s="3">
        <f>IF(Table1[[#This Row],[Ask Qty]]=0,0,Table1[[#This Row],[Gross Yield]]*365/Table1[[#This Row],[Days Left]])</f>
        <v>0</v>
      </c>
      <c r="AF1510" s="9">
        <f ca="1">+Table1[[#This Row],[Net Gain]]*Table1[[#This Row],[Ask Qty]]</f>
        <v>0</v>
      </c>
      <c r="AG1510" t="str">
        <f>IF(Table1[[#This Row],[YTM]]&gt;0.12,IF(Table1[[#This Row],[Gross Profit]]&gt;10000,"Invest","Review"),"Low YTM")</f>
        <v>Low YTM</v>
      </c>
    </row>
    <row r="1511" spans="1:33" x14ac:dyDescent="0.3">
      <c r="A1511" t="str">
        <f>RTD("nest.scriprtd",,"bse_cm|MML27524","Symbol")</f>
        <v>MML27524</v>
      </c>
      <c r="B1511" t="str">
        <f>RTD("nest.scriprtd",,"bse_cm|MML27524","Trading Symbol")</f>
        <v>MML27524</v>
      </c>
      <c r="C1511" t="str">
        <f>RTD("nest.scriprtd",,"bse_cm|MML27524","Exchange")</f>
        <v>BSE</v>
      </c>
      <c r="D1511">
        <f>RTD("nest.scriprtd",,"bse_cm|MML27524","Bid Qty")</f>
        <v>10</v>
      </c>
      <c r="E1511">
        <f>RTD("nest.scriprtd",,"bse_cm|MML27524","Bid Rate")</f>
        <v>901</v>
      </c>
      <c r="F1511">
        <f>RTD("nest.scriprtd",,"bse_cm|MML27524","Ask Rate")</f>
        <v>0</v>
      </c>
      <c r="G1511">
        <f>RTD("nest.scriprtd",,"bse_cm|MML27524","Ask Qty")</f>
        <v>0</v>
      </c>
      <c r="H1511">
        <f>RTD("nest.scriprtd",,"bse_cm|MML27524","LTP")</f>
        <v>0</v>
      </c>
      <c r="I1511" t="str">
        <f>RTD("nest.scriprtd",,"bse_cm|MML27524","LTT")</f>
        <v>00:00:00</v>
      </c>
      <c r="J1511">
        <f>RTD("nest.scriprtd",,"bse_cm|MML27524","% Change")</f>
        <v>-100</v>
      </c>
      <c r="K1511">
        <f>RTD("nest.scriprtd",,"bse_cm|MML27524","ATP")</f>
        <v>0</v>
      </c>
      <c r="L1511">
        <f>RTD("nest.scriprtd",,"bse_cm|MML27524","Volume Traded Today")</f>
        <v>0</v>
      </c>
      <c r="M1511">
        <f>RTD("nest.scriprtd",,"bse_cm|MML27524","Open")</f>
        <v>0</v>
      </c>
      <c r="N1511">
        <f>RTD("nest.scriprtd",,"bse_cm|MML27524","High")</f>
        <v>901</v>
      </c>
      <c r="O1511">
        <f>RTD("nest.scriprtd",,"bse_cm|MML27524","Low ")</f>
        <v>901</v>
      </c>
      <c r="P1511">
        <f>RTD("nest.scriprtd",,"bse_cm|MML27524","Prev Close")</f>
        <v>901</v>
      </c>
      <c r="Q1511">
        <f>RTD("nest.scriprtd",,"bse_cm|MML27524","Face Value")</f>
        <v>1000</v>
      </c>
      <c r="R1511" t="str">
        <f>RTD("nest.scriprtd",,"bse_cm|MML27524","Isin code")</f>
        <v>INE05F407CA6</v>
      </c>
      <c r="S1511" s="9">
        <f>Table1[[#This Row],[Ask Rate]]*Table1[[#This Row],[Ask Qty]]</f>
        <v>0</v>
      </c>
      <c r="T1511" t="str">
        <f>VLOOKUP(Table1[[#This Row],[Isin code]],Table2[#All],7,FALSE)</f>
        <v>--</v>
      </c>
      <c r="U1511" s="17" t="str">
        <f>VLOOKUP(Table1[[#This Row],[Isin code]],Table2[#All],8,FALSE)</f>
        <v>29-May-2025</v>
      </c>
      <c r="V1511" s="10">
        <f ca="1">Table1[[#This Row],[Maturity]]-TODAY()</f>
        <v>225</v>
      </c>
      <c r="W1511" t="str">
        <f>VLOOKUP(Table1[[#This Row],[Isin code]],Table2[#All],10,FALSE)</f>
        <v>At the End</v>
      </c>
      <c r="X1511">
        <f ca="1">_xlfn.DAYS(Table1[[#This Row],[Maturity]],TODAY())-15</f>
        <v>210</v>
      </c>
      <c r="Y151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11">
        <f>IF(Table1[[#This Row],[Ask Rate]]=0,0,Table1[[#This Row],[Face Value]]-Table1[[#This Row],[Ask Rate]])</f>
        <v>0</v>
      </c>
      <c r="AA151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11">
        <f>Table1[[#This Row],[Face Value]]*Table1[[#This Row],[Rate]]*Table1[[#This Row],[Time]]</f>
        <v>0</v>
      </c>
      <c r="AC1511">
        <f>Table1[[#This Row],[SI]]+Table1[[#This Row],[Disc/Prem]]</f>
        <v>0</v>
      </c>
      <c r="AD1511" s="3" t="e">
        <f>Table1[[#This Row],[Net Gain]]/Table1[[#This Row],[Ask Rate]]</f>
        <v>#DIV/0!</v>
      </c>
      <c r="AE1511" s="3">
        <f>IF(Table1[[#This Row],[Ask Qty]]=0,0,Table1[[#This Row],[Gross Yield]]*365/Table1[[#This Row],[Days Left]])</f>
        <v>0</v>
      </c>
      <c r="AF1511" s="9">
        <f>+Table1[[#This Row],[Net Gain]]*Table1[[#This Row],[Ask Qty]]</f>
        <v>0</v>
      </c>
      <c r="AG1511" t="str">
        <f>IF(Table1[[#This Row],[YTM]]&gt;0.12,IF(Table1[[#This Row],[Gross Profit]]&gt;10000,"Invest","Review"),"Low YTM")</f>
        <v>Low YTM</v>
      </c>
    </row>
    <row r="1512" spans="1:33" x14ac:dyDescent="0.3">
      <c r="A1512" t="str">
        <f>RTD("nest.scriprtd",,"nse_cm|SCLZC25F-Y5","Symbol")</f>
        <v>SCLZC25F</v>
      </c>
      <c r="B1512" t="str">
        <f>RTD("nest.scriprtd",,"nse_cm|SCLZC25F-Y5","Trading Symbol")</f>
        <v>SCLZC25F-Y5</v>
      </c>
      <c r="C1512" t="str">
        <f>RTD("nest.scriprtd",,"nse_cm|SCLZC25F-Y5","Exchange")</f>
        <v>NSE</v>
      </c>
      <c r="D1512">
        <f>RTD("nest.scriprtd",,"nse_cm|SCLZC25F-Y5","Bid Qty")</f>
        <v>1</v>
      </c>
      <c r="E1512">
        <f>RTD("nest.scriprtd",,"nse_cm|SCLZC25F-Y5","Bid Rate")</f>
        <v>1017</v>
      </c>
      <c r="F1512">
        <f>RTD("nest.scriprtd",,"nse_cm|SCLZC25F-Y5","Ask Rate")</f>
        <v>0</v>
      </c>
      <c r="G1512">
        <f>RTD("nest.scriprtd",,"nse_cm|SCLZC25F-Y5","Ask Qty")</f>
        <v>0</v>
      </c>
      <c r="H1512">
        <f>RTD("nest.scriprtd",,"nse_cm|SCLZC25F-Y5","LTP")</f>
        <v>1017</v>
      </c>
      <c r="I1512" t="str">
        <f>RTD("nest.scriprtd",,"nse_cm|SCLZC25F-Y5","LTT")</f>
        <v/>
      </c>
      <c r="J1512">
        <f>RTD("nest.scriprtd",,"nse_cm|SCLZC25F-Y5","% Change")</f>
        <v>0</v>
      </c>
      <c r="K1512">
        <f>RTD("nest.scriprtd",,"nse_cm|SCLZC25F-Y5","ATP")</f>
        <v>0</v>
      </c>
      <c r="L1512">
        <f>RTD("nest.scriprtd",,"nse_cm|SCLZC25F-Y5","Volume Traded Today")</f>
        <v>0</v>
      </c>
      <c r="M1512">
        <f>RTD("nest.scriprtd",,"nse_cm|SCLZC25F-Y5","Open")</f>
        <v>0</v>
      </c>
      <c r="N1512">
        <f>RTD("nest.scriprtd",,"nse_cm|SCLZC25F-Y5","High")</f>
        <v>1026</v>
      </c>
      <c r="O1512">
        <f>RTD("nest.scriprtd",,"nse_cm|SCLZC25F-Y5","Low ")</f>
        <v>1017</v>
      </c>
      <c r="P1512">
        <f>RTD("nest.scriprtd",,"nse_cm|SCLZC25F-Y5","Prev Close")</f>
        <v>1017</v>
      </c>
      <c r="Q1512">
        <f>RTD("nest.scriprtd",,"nse_cm|SCLZC25F-Y5","Face Value")</f>
        <v>1000</v>
      </c>
      <c r="R1512" t="str">
        <f>RTD("nest.scriprtd",,"nse_cm|SCLZC25F-Y5","Isin code")</f>
        <v>INE148I07RK2</v>
      </c>
      <c r="S1512" s="9">
        <f>Table1[[#This Row],[Ask Rate]]*Table1[[#This Row],[Ask Qty]]</f>
        <v>0</v>
      </c>
      <c r="T1512">
        <f>VLOOKUP(Table1[[#This Row],[Isin code]],Table2[#All],7,FALSE)</f>
        <v>0</v>
      </c>
      <c r="U1512" s="17" t="str">
        <f>VLOOKUP(Table1[[#This Row],[Isin code]],Table2[#All],8,FALSE)</f>
        <v>27-Dec-2025</v>
      </c>
      <c r="V1512" s="10">
        <f ca="1">Table1[[#This Row],[Maturity]]-TODAY()</f>
        <v>437</v>
      </c>
      <c r="W1512" t="str">
        <f>VLOOKUP(Table1[[#This Row],[Isin code]],Table2[#All],10,FALSE)</f>
        <v>Yearly</v>
      </c>
      <c r="X1512">
        <f ca="1">_xlfn.DAYS(Table1[[#This Row],[Maturity]],TODAY())-15</f>
        <v>422</v>
      </c>
      <c r="Y15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12">
        <f>IF(Table1[[#This Row],[Ask Rate]]=0,0,Table1[[#This Row],[Face Value]]-Table1[[#This Row],[Ask Rate]])</f>
        <v>0</v>
      </c>
      <c r="AA151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12">
        <f ca="1">Table1[[#This Row],[Face Value]]*Table1[[#This Row],[Rate]]*Table1[[#This Row],[Time]]</f>
        <v>0</v>
      </c>
      <c r="AC1512">
        <f ca="1">Table1[[#This Row],[SI]]+Table1[[#This Row],[Disc/Prem]]</f>
        <v>0</v>
      </c>
      <c r="AD1512" s="3" t="e">
        <f ca="1">Table1[[#This Row],[Net Gain]]/Table1[[#This Row],[Ask Rate]]</f>
        <v>#DIV/0!</v>
      </c>
      <c r="AE1512" s="3">
        <f>IF(Table1[[#This Row],[Ask Qty]]=0,0,Table1[[#This Row],[Gross Yield]]*365/Table1[[#This Row],[Days Left]])</f>
        <v>0</v>
      </c>
      <c r="AF1512" s="9">
        <f ca="1">+Table1[[#This Row],[Net Gain]]*Table1[[#This Row],[Ask Qty]]</f>
        <v>0</v>
      </c>
      <c r="AG1512" t="str">
        <f>IF(Table1[[#This Row],[YTM]]&gt;0.12,IF(Table1[[#This Row],[Gross Profit]]&gt;10000,"Invest","Review"),"Low YTM")</f>
        <v>Low YTM</v>
      </c>
    </row>
    <row r="1513" spans="1:33" x14ac:dyDescent="0.3">
      <c r="A1513" t="str">
        <f>RTD("nest.scriprtd",,"bse_cm|MMFL27","Symbol")</f>
        <v>MMFL27</v>
      </c>
      <c r="B1513" t="str">
        <f>RTD("nest.scriprtd",,"bse_cm|MMFL27","Trading Symbol")</f>
        <v>MMFL27</v>
      </c>
      <c r="C1513" t="str">
        <f>RTD("nest.scriprtd",,"bse_cm|MMFL27","Exchange")</f>
        <v>BSE</v>
      </c>
      <c r="D1513">
        <f>RTD("nest.scriprtd",,"bse_cm|MMFL27","Bid Qty")</f>
        <v>22</v>
      </c>
      <c r="E1513">
        <f>RTD("nest.scriprtd",,"bse_cm|MMFL27","Bid Rate")</f>
        <v>975.2</v>
      </c>
      <c r="F1513">
        <f>RTD("nest.scriprtd",,"bse_cm|MMFL27","Ask Rate")</f>
        <v>0</v>
      </c>
      <c r="G1513">
        <f>RTD("nest.scriprtd",,"bse_cm|MMFL27","Ask Qty")</f>
        <v>0</v>
      </c>
      <c r="H1513">
        <f>RTD("nest.scriprtd",,"bse_cm|MMFL27","LTP")</f>
        <v>0</v>
      </c>
      <c r="I1513" t="str">
        <f>RTD("nest.scriprtd",,"bse_cm|MMFL27","LTT")</f>
        <v>00:00:00</v>
      </c>
      <c r="J1513">
        <f>RTD("nest.scriprtd",,"bse_cm|MMFL27","% Change")</f>
        <v>-100</v>
      </c>
      <c r="K1513">
        <f>RTD("nest.scriprtd",,"bse_cm|MMFL27","ATP")</f>
        <v>0</v>
      </c>
      <c r="L1513">
        <f>RTD("nest.scriprtd",,"bse_cm|MMFL27","Volume Traded Today")</f>
        <v>0</v>
      </c>
      <c r="M1513">
        <f>RTD("nest.scriprtd",,"bse_cm|MMFL27","Open")</f>
        <v>0</v>
      </c>
      <c r="N1513">
        <f>RTD("nest.scriprtd",,"bse_cm|MMFL27","High")</f>
        <v>1132.98</v>
      </c>
      <c r="O1513">
        <f>RTD("nest.scriprtd",,"bse_cm|MMFL27","Low ")</f>
        <v>1132.98</v>
      </c>
      <c r="P1513">
        <f>RTD("nest.scriprtd",,"bse_cm|MMFL27","Prev Close")</f>
        <v>1132.98</v>
      </c>
      <c r="Q1513">
        <f>RTD("nest.scriprtd",,"bse_cm|MMFL27","Face Value")</f>
        <v>1000</v>
      </c>
      <c r="R1513" t="str">
        <f>RTD("nest.scriprtd",,"bse_cm|MMFL27","Isin code")</f>
        <v>INE101Q07AM6</v>
      </c>
      <c r="S1513" s="9">
        <f>Table1[[#This Row],[Ask Rate]]*Table1[[#This Row],[Ask Qty]]</f>
        <v>0</v>
      </c>
      <c r="T1513" t="str">
        <f>VLOOKUP(Table1[[#This Row],[Isin code]],Table2[#All],7,FALSE)</f>
        <v>--</v>
      </c>
      <c r="U1513" s="17" t="str">
        <f>VLOOKUP(Table1[[#This Row],[Isin code]],Table2[#All],8,FALSE)</f>
        <v>22-Nov-2027</v>
      </c>
      <c r="V1513" s="10">
        <f ca="1">Table1[[#This Row],[Maturity]]-TODAY()</f>
        <v>1132</v>
      </c>
      <c r="W1513" t="str">
        <f>VLOOKUP(Table1[[#This Row],[Isin code]],Table2[#All],10,FALSE)</f>
        <v>At the End</v>
      </c>
      <c r="X1513">
        <f ca="1">_xlfn.DAYS(Table1[[#This Row],[Maturity]],TODAY())-15</f>
        <v>1117</v>
      </c>
      <c r="Y151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13">
        <f>IF(Table1[[#This Row],[Ask Rate]]=0,0,Table1[[#This Row],[Face Value]]-Table1[[#This Row],[Ask Rate]])</f>
        <v>0</v>
      </c>
      <c r="AA151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13">
        <f>Table1[[#This Row],[Face Value]]*Table1[[#This Row],[Rate]]*Table1[[#This Row],[Time]]</f>
        <v>0</v>
      </c>
      <c r="AC1513">
        <f>Table1[[#This Row],[SI]]+Table1[[#This Row],[Disc/Prem]]</f>
        <v>0</v>
      </c>
      <c r="AD1513" s="3" t="e">
        <f>Table1[[#This Row],[Net Gain]]/Table1[[#This Row],[Ask Rate]]</f>
        <v>#DIV/0!</v>
      </c>
      <c r="AE1513" s="3">
        <f>IF(Table1[[#This Row],[Ask Qty]]=0,0,Table1[[#This Row],[Gross Yield]]*365/Table1[[#This Row],[Days Left]])</f>
        <v>0</v>
      </c>
      <c r="AF1513" s="9">
        <f>+Table1[[#This Row],[Net Gain]]*Table1[[#This Row],[Ask Qty]]</f>
        <v>0</v>
      </c>
      <c r="AG1513" t="str">
        <f>IF(Table1[[#This Row],[YTM]]&gt;0.12,IF(Table1[[#This Row],[Gross Profit]]&gt;10000,"Invest","Review"),"Low YTM")</f>
        <v>Low YTM</v>
      </c>
    </row>
    <row r="1514" spans="1:33" x14ac:dyDescent="0.3">
      <c r="A1514" t="str">
        <f>RTD("nest.scriprtd",,"nse_cm|1030ICC26-NJ","Symbol")</f>
        <v>1030ICC26</v>
      </c>
      <c r="B1514" t="str">
        <f>RTD("nest.scriprtd",,"nse_cm|1030ICC26-NJ","Trading Symbol")</f>
        <v>1030ICC26-NJ</v>
      </c>
      <c r="C1514" t="str">
        <f>RTD("nest.scriprtd",,"nse_cm|1030ICC26-NJ","Exchange")</f>
        <v>NSE</v>
      </c>
      <c r="D1514">
        <f>RTD("nest.scriprtd",,"nse_cm|1030ICC26-NJ","Bid Qty")</f>
        <v>10</v>
      </c>
      <c r="E1514">
        <f>RTD("nest.scriprtd",,"nse_cm|1030ICC26-NJ","Bid Rate")</f>
        <v>1077</v>
      </c>
      <c r="F1514">
        <f>RTD("nest.scriprtd",,"nse_cm|1030ICC26-NJ","Ask Rate")</f>
        <v>0</v>
      </c>
      <c r="G1514">
        <f>RTD("nest.scriprtd",,"nse_cm|1030ICC26-NJ","Ask Qty")</f>
        <v>0</v>
      </c>
      <c r="H1514">
        <f>RTD("nest.scriprtd",,"nse_cm|1030ICC26-NJ","LTP")</f>
        <v>1115.71</v>
      </c>
      <c r="I1514" t="str">
        <f>RTD("nest.scriprtd",,"nse_cm|1030ICC26-NJ","LTT")</f>
        <v/>
      </c>
      <c r="J1514">
        <f>RTD("nest.scriprtd",,"nse_cm|1030ICC26-NJ","% Change")</f>
        <v>0</v>
      </c>
      <c r="K1514">
        <f>RTD("nest.scriprtd",,"nse_cm|1030ICC26-NJ","ATP")</f>
        <v>0</v>
      </c>
      <c r="L1514">
        <f>RTD("nest.scriprtd",,"nse_cm|1030ICC26-NJ","Volume Traded Today")</f>
        <v>0</v>
      </c>
      <c r="M1514">
        <f>RTD("nest.scriprtd",,"nse_cm|1030ICC26-NJ","Open")</f>
        <v>0</v>
      </c>
      <c r="N1514">
        <f>RTD("nest.scriprtd",,"nse_cm|1030ICC26-NJ","High")</f>
        <v>1116.97</v>
      </c>
      <c r="O1514">
        <f>RTD("nest.scriprtd",,"nse_cm|1030ICC26-NJ","Low ")</f>
        <v>1115.71</v>
      </c>
      <c r="P1514">
        <f>RTD("nest.scriprtd",,"nse_cm|1030ICC26-NJ","Prev Close")</f>
        <v>1115.71</v>
      </c>
      <c r="Q1514">
        <f>RTD("nest.scriprtd",,"nse_cm|1030ICC26-NJ","Face Value")</f>
        <v>1000</v>
      </c>
      <c r="R1514" t="str">
        <f>RTD("nest.scriprtd",,"nse_cm|1030ICC26-NJ","Isin code")</f>
        <v>INE244L07309</v>
      </c>
      <c r="S1514" s="9">
        <f>Table1[[#This Row],[Ask Rate]]*Table1[[#This Row],[Ask Qty]]</f>
        <v>0</v>
      </c>
      <c r="T1514">
        <f>VLOOKUP(Table1[[#This Row],[Isin code]],Table2[#All],7,FALSE)</f>
        <v>0</v>
      </c>
      <c r="U1514" s="17" t="str">
        <f>VLOOKUP(Table1[[#This Row],[Isin code]],Table2[#All],8,FALSE)</f>
        <v>02-Feb-2026</v>
      </c>
      <c r="V1514" s="10">
        <f ca="1">Table1[[#This Row],[Maturity]]-TODAY()</f>
        <v>474</v>
      </c>
      <c r="W1514" t="str">
        <f>VLOOKUP(Table1[[#This Row],[Isin code]],Table2[#All],10,FALSE)</f>
        <v>0</v>
      </c>
      <c r="X1514">
        <f ca="1">_xlfn.DAYS(Table1[[#This Row],[Maturity]],TODAY())-15</f>
        <v>459</v>
      </c>
      <c r="Y151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14">
        <f>IF(Table1[[#This Row],[Ask Rate]]=0,0,Table1[[#This Row],[Face Value]]-Table1[[#This Row],[Ask Rate]])</f>
        <v>0</v>
      </c>
      <c r="AA151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14">
        <f>Table1[[#This Row],[Face Value]]*Table1[[#This Row],[Rate]]*Table1[[#This Row],[Time]]</f>
        <v>0</v>
      </c>
      <c r="AC1514">
        <f>Table1[[#This Row],[SI]]+Table1[[#This Row],[Disc/Prem]]</f>
        <v>0</v>
      </c>
      <c r="AD1514" s="3" t="e">
        <f>Table1[[#This Row],[Net Gain]]/Table1[[#This Row],[Ask Rate]]</f>
        <v>#DIV/0!</v>
      </c>
      <c r="AE1514" s="3">
        <f>IF(Table1[[#This Row],[Ask Qty]]=0,0,Table1[[#This Row],[Gross Yield]]*365/Table1[[#This Row],[Days Left]])</f>
        <v>0</v>
      </c>
      <c r="AF1514" s="9">
        <f>+Table1[[#This Row],[Net Gain]]*Table1[[#This Row],[Ask Qty]]</f>
        <v>0</v>
      </c>
      <c r="AG1514" t="str">
        <f>IF(Table1[[#This Row],[YTM]]&gt;0.12,IF(Table1[[#This Row],[Gross Profit]]&gt;10000,"Invest","Review"),"Low YTM")</f>
        <v>Low YTM</v>
      </c>
    </row>
    <row r="1515" spans="1:33" x14ac:dyDescent="0.3">
      <c r="A1515" t="str">
        <f>RTD("nest.scriprtd",,"bse_cm|925SCL25A","Symbol")</f>
        <v>925SCL25A</v>
      </c>
      <c r="B1515" t="str">
        <f>RTD("nest.scriprtd",,"bse_cm|925SCL25A","Trading Symbol")</f>
        <v>925SCL25A</v>
      </c>
      <c r="C1515" t="str">
        <f>RTD("nest.scriprtd",,"bse_cm|925SCL25A","Exchange")</f>
        <v>BSE</v>
      </c>
      <c r="D1515">
        <f>RTD("nest.scriprtd",,"bse_cm|925SCL25A","Bid Qty")</f>
        <v>20</v>
      </c>
      <c r="E1515">
        <f>RTD("nest.scriprtd",,"bse_cm|925SCL25A","Bid Rate")</f>
        <v>940</v>
      </c>
      <c r="F1515">
        <f>RTD("nest.scriprtd",,"bse_cm|925SCL25A","Ask Rate")</f>
        <v>0</v>
      </c>
      <c r="G1515">
        <f>RTD("nest.scriprtd",,"bse_cm|925SCL25A","Ask Qty")</f>
        <v>0</v>
      </c>
      <c r="H1515">
        <f>RTD("nest.scriprtd",,"bse_cm|925SCL25A","LTP")</f>
        <v>0</v>
      </c>
      <c r="I1515" t="str">
        <f>RTD("nest.scriprtd",,"bse_cm|925SCL25A","LTT")</f>
        <v>00:00:00</v>
      </c>
      <c r="J1515">
        <f>RTD("nest.scriprtd",,"bse_cm|925SCL25A","% Change")</f>
        <v>-100</v>
      </c>
      <c r="K1515">
        <f>RTD("nest.scriprtd",,"bse_cm|925SCL25A","ATP")</f>
        <v>0</v>
      </c>
      <c r="L1515">
        <f>RTD("nest.scriprtd",,"bse_cm|925SCL25A","Volume Traded Today")</f>
        <v>0</v>
      </c>
      <c r="M1515">
        <f>RTD("nest.scriprtd",,"bse_cm|925SCL25A","Open")</f>
        <v>0</v>
      </c>
      <c r="N1515">
        <f>RTD("nest.scriprtd",,"bse_cm|925SCL25A","High")</f>
        <v>975</v>
      </c>
      <c r="O1515">
        <f>RTD("nest.scriprtd",,"bse_cm|925SCL25A","Low ")</f>
        <v>975</v>
      </c>
      <c r="P1515">
        <f>RTD("nest.scriprtd",,"bse_cm|925SCL25A","Prev Close")</f>
        <v>975</v>
      </c>
      <c r="Q1515">
        <f>RTD("nest.scriprtd",,"bse_cm|925SCL25A","Face Value")</f>
        <v>1000</v>
      </c>
      <c r="R1515" t="str">
        <f>RTD("nest.scriprtd",,"bse_cm|925SCL25A","Isin code")</f>
        <v>INE148I07QG2</v>
      </c>
      <c r="S1515" s="9">
        <f>Table1[[#This Row],[Ask Rate]]*Table1[[#This Row],[Ask Qty]]</f>
        <v>0</v>
      </c>
      <c r="T1515">
        <f>VLOOKUP(Table1[[#This Row],[Isin code]],Table2[#All],7,FALSE)</f>
        <v>9.25</v>
      </c>
      <c r="U1515" s="17" t="str">
        <f>VLOOKUP(Table1[[#This Row],[Isin code]],Table2[#All],8,FALSE)</f>
        <v>09-Nov-2025</v>
      </c>
      <c r="V1515" s="10">
        <f ca="1">Table1[[#This Row],[Maturity]]-TODAY()</f>
        <v>389</v>
      </c>
      <c r="W1515" t="str">
        <f>VLOOKUP(Table1[[#This Row],[Isin code]],Table2[#All],10,FALSE)</f>
        <v>Monthly</v>
      </c>
      <c r="X1515">
        <f ca="1">_xlfn.DAYS(Table1[[#This Row],[Maturity]],TODAY())-15</f>
        <v>374</v>
      </c>
      <c r="Y15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13</v>
      </c>
      <c r="Z1515">
        <f>IF(Table1[[#This Row],[Ask Rate]]=0,0,Table1[[#This Row],[Face Value]]-Table1[[#This Row],[Ask Rate]])</f>
        <v>0</v>
      </c>
      <c r="AA1515">
        <f>IF(Table1[[#This Row],[Freq]]="Yearly",Table1[[#This Row],[Coupon_Rate]]/100,IF(Table1[[#This Row],[Freq]]="Monthly",Table1[[#This Row],[Coupon_Rate]]/1200,IF(Table1[[#This Row],[Freq]]="Quarterly",Table1[[#This Row],[Coupon_Rate]]/400,0)))</f>
        <v>7.7083333333333335E-3</v>
      </c>
      <c r="AB1515">
        <f ca="1">Table1[[#This Row],[Face Value]]*Table1[[#This Row],[Rate]]*Table1[[#This Row],[Time]]</f>
        <v>100.20833333333334</v>
      </c>
      <c r="AC1515">
        <f ca="1">Table1[[#This Row],[SI]]+Table1[[#This Row],[Disc/Prem]]</f>
        <v>100.20833333333334</v>
      </c>
      <c r="AD1515" s="3" t="e">
        <f ca="1">Table1[[#This Row],[Net Gain]]/Table1[[#This Row],[Ask Rate]]</f>
        <v>#DIV/0!</v>
      </c>
      <c r="AE1515" s="3">
        <f>IF(Table1[[#This Row],[Ask Qty]]=0,0,Table1[[#This Row],[Gross Yield]]*365/Table1[[#This Row],[Days Left]])</f>
        <v>0</v>
      </c>
      <c r="AF1515" s="9">
        <f ca="1">+Table1[[#This Row],[Net Gain]]*Table1[[#This Row],[Ask Qty]]</f>
        <v>0</v>
      </c>
      <c r="AG1515" t="str">
        <f>IF(Table1[[#This Row],[YTM]]&gt;0.12,IF(Table1[[#This Row],[Gross Profit]]&gt;10000,"Invest","Review"),"Low YTM")</f>
        <v>Low YTM</v>
      </c>
    </row>
    <row r="1516" spans="1:33" x14ac:dyDescent="0.3">
      <c r="A1516" t="str">
        <f>RTD("nest.scriprtd",,"bse_cm|IIFLHFZC27","Symbol")</f>
        <v>IIFLHFZC27</v>
      </c>
      <c r="B1516" t="str">
        <f>RTD("nest.scriprtd",,"bse_cm|IIFLHFZC27","Trading Symbol")</f>
        <v>IIFLHFZC27</v>
      </c>
      <c r="C1516" t="str">
        <f>RTD("nest.scriprtd",,"bse_cm|IIFLHFZC27","Exchange")</f>
        <v>BSE</v>
      </c>
      <c r="D1516">
        <f>RTD("nest.scriprtd",,"bse_cm|IIFLHFZC27","Bid Qty")</f>
        <v>5</v>
      </c>
      <c r="E1516">
        <f>RTD("nest.scriprtd",,"bse_cm|IIFLHFZC27","Bid Rate")</f>
        <v>1081.25</v>
      </c>
      <c r="F1516">
        <f>RTD("nest.scriprtd",,"bse_cm|IIFLHFZC27","Ask Rate")</f>
        <v>0</v>
      </c>
      <c r="G1516">
        <f>RTD("nest.scriprtd",,"bse_cm|IIFLHFZC27","Ask Qty")</f>
        <v>0</v>
      </c>
      <c r="H1516">
        <f>RTD("nest.scriprtd",,"bse_cm|IIFLHFZC27","LTP")</f>
        <v>0</v>
      </c>
      <c r="I1516" t="str">
        <f>RTD("nest.scriprtd",,"bse_cm|IIFLHFZC27","LTT")</f>
        <v>00:00:00</v>
      </c>
      <c r="J1516">
        <f>RTD("nest.scriprtd",,"bse_cm|IIFLHFZC27","% Change")</f>
        <v>-100</v>
      </c>
      <c r="K1516">
        <f>RTD("nest.scriprtd",,"bse_cm|IIFLHFZC27","ATP")</f>
        <v>0</v>
      </c>
      <c r="L1516">
        <f>RTD("nest.scriprtd",,"bse_cm|IIFLHFZC27","Volume Traded Today")</f>
        <v>0</v>
      </c>
      <c r="M1516">
        <f>RTD("nest.scriprtd",,"bse_cm|IIFLHFZC27","Open")</f>
        <v>0</v>
      </c>
      <c r="N1516">
        <f>RTD("nest.scriprtd",,"bse_cm|IIFLHFZC27","High")</f>
        <v>995.45</v>
      </c>
      <c r="O1516">
        <f>RTD("nest.scriprtd",,"bse_cm|IIFLHFZC27","Low ")</f>
        <v>995.45</v>
      </c>
      <c r="P1516">
        <f>RTD("nest.scriprtd",,"bse_cm|IIFLHFZC27","Prev Close")</f>
        <v>995.45</v>
      </c>
      <c r="Q1516">
        <f>RTD("nest.scriprtd",,"bse_cm|IIFLHFZC27","Face Value")</f>
        <v>1000</v>
      </c>
      <c r="R1516" t="str">
        <f>RTD("nest.scriprtd",,"bse_cm|IIFLHFZC27","Isin code")</f>
        <v>INE477L07AP4</v>
      </c>
      <c r="S1516" s="9">
        <f>Table1[[#This Row],[Ask Rate]]*Table1[[#This Row],[Ask Qty]]</f>
        <v>0</v>
      </c>
      <c r="T1516">
        <f>VLOOKUP(Table1[[#This Row],[Isin code]],Table2[#All],7,FALSE)</f>
        <v>0</v>
      </c>
      <c r="U1516" s="17" t="str">
        <f>VLOOKUP(Table1[[#This Row],[Isin code]],Table2[#All],8,FALSE)</f>
        <v>03-Jan-2027</v>
      </c>
      <c r="V1516" s="10">
        <f ca="1">Table1[[#This Row],[Maturity]]-TODAY()</f>
        <v>809</v>
      </c>
      <c r="W1516" t="str">
        <f>VLOOKUP(Table1[[#This Row],[Isin code]],Table2[#All],10,FALSE)</f>
        <v>0</v>
      </c>
      <c r="X1516">
        <f ca="1">_xlfn.DAYS(Table1[[#This Row],[Maturity]],TODAY())-15</f>
        <v>794</v>
      </c>
      <c r="Y151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16">
        <f>IF(Table1[[#This Row],[Ask Rate]]=0,0,Table1[[#This Row],[Face Value]]-Table1[[#This Row],[Ask Rate]])</f>
        <v>0</v>
      </c>
      <c r="AA151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16">
        <f>Table1[[#This Row],[Face Value]]*Table1[[#This Row],[Rate]]*Table1[[#This Row],[Time]]</f>
        <v>0</v>
      </c>
      <c r="AC1516">
        <f>Table1[[#This Row],[SI]]+Table1[[#This Row],[Disc/Prem]]</f>
        <v>0</v>
      </c>
      <c r="AD1516" s="3" t="e">
        <f>Table1[[#This Row],[Net Gain]]/Table1[[#This Row],[Ask Rate]]</f>
        <v>#DIV/0!</v>
      </c>
      <c r="AE1516" s="3">
        <f>IF(Table1[[#This Row],[Ask Qty]]=0,0,Table1[[#This Row],[Gross Yield]]*365/Table1[[#This Row],[Days Left]])</f>
        <v>0</v>
      </c>
      <c r="AF1516" s="9">
        <f>+Table1[[#This Row],[Net Gain]]*Table1[[#This Row],[Ask Qty]]</f>
        <v>0</v>
      </c>
      <c r="AG1516" t="str">
        <f>IF(Table1[[#This Row],[YTM]]&gt;0.12,IF(Table1[[#This Row],[Gross Profit]]&gt;10000,"Invest","Review"),"Low YTM")</f>
        <v>Low YTM</v>
      </c>
    </row>
    <row r="1517" spans="1:33" x14ac:dyDescent="0.3">
      <c r="A1517" t="str">
        <f>RTD("nest.scriprtd",,"bse_cm|894SCL25","Symbol")</f>
        <v>894SCL25</v>
      </c>
      <c r="B1517" t="str">
        <f>RTD("nest.scriprtd",,"bse_cm|894SCL25","Trading Symbol")</f>
        <v>894SCL25</v>
      </c>
      <c r="C1517" t="str">
        <f>RTD("nest.scriprtd",,"bse_cm|894SCL25","Exchange")</f>
        <v>BSE</v>
      </c>
      <c r="D1517">
        <f>RTD("nest.scriprtd",,"bse_cm|894SCL25","Bid Qty")</f>
        <v>75</v>
      </c>
      <c r="E1517">
        <f>RTD("nest.scriprtd",,"bse_cm|894SCL25","Bid Rate")</f>
        <v>1075</v>
      </c>
      <c r="F1517">
        <f>RTD("nest.scriprtd",,"bse_cm|894SCL25","Ask Rate")</f>
        <v>0</v>
      </c>
      <c r="G1517">
        <f>RTD("nest.scriprtd",,"bse_cm|894SCL25","Ask Qty")</f>
        <v>0</v>
      </c>
      <c r="H1517">
        <f>RTD("nest.scriprtd",,"bse_cm|894SCL25","LTP")</f>
        <v>0</v>
      </c>
      <c r="I1517" t="str">
        <f>RTD("nest.scriprtd",,"bse_cm|894SCL25","LTT")</f>
        <v>00:00:00</v>
      </c>
      <c r="J1517">
        <f>RTD("nest.scriprtd",,"bse_cm|894SCL25","% Change")</f>
        <v>-100</v>
      </c>
      <c r="K1517">
        <f>RTD("nest.scriprtd",,"bse_cm|894SCL25","ATP")</f>
        <v>0</v>
      </c>
      <c r="L1517">
        <f>RTD("nest.scriprtd",,"bse_cm|894SCL25","Volume Traded Today")</f>
        <v>0</v>
      </c>
      <c r="M1517">
        <f>RTD("nest.scriprtd",,"bse_cm|894SCL25","Open")</f>
        <v>0</v>
      </c>
      <c r="N1517">
        <f>RTD("nest.scriprtd",,"bse_cm|894SCL25","High")</f>
        <v>1151.57</v>
      </c>
      <c r="O1517">
        <f>RTD("nest.scriprtd",,"bse_cm|894SCL25","Low ")</f>
        <v>1151.57</v>
      </c>
      <c r="P1517">
        <f>RTD("nest.scriprtd",,"bse_cm|894SCL25","Prev Close")</f>
        <v>1151.57</v>
      </c>
      <c r="Q1517">
        <f>RTD("nest.scriprtd",,"bse_cm|894SCL25","Face Value")</f>
        <v>1000</v>
      </c>
      <c r="R1517" t="str">
        <f>RTD("nest.scriprtd",,"bse_cm|894SCL25","Isin code")</f>
        <v>INE148I07MF3</v>
      </c>
      <c r="S1517" s="9">
        <f>Table1[[#This Row],[Ask Rate]]*Table1[[#This Row],[Ask Qty]]</f>
        <v>0</v>
      </c>
      <c r="T1517">
        <f>VLOOKUP(Table1[[#This Row],[Isin code]],Table2[#All],7,FALSE)</f>
        <v>0</v>
      </c>
      <c r="U1517" s="17">
        <f>VLOOKUP(Table1[[#This Row],[Isin code]],Table2[#All],8,FALSE)</f>
        <v>45928</v>
      </c>
      <c r="V1517" s="10">
        <f ca="1">Table1[[#This Row],[Maturity]]-TODAY()</f>
        <v>347</v>
      </c>
      <c r="W1517" t="str">
        <f>VLOOKUP(Table1[[#This Row],[Isin code]],Table2[#All],10,FALSE)</f>
        <v>At the End</v>
      </c>
      <c r="X1517">
        <f ca="1">_xlfn.DAYS(Table1[[#This Row],[Maturity]],TODAY())-15</f>
        <v>332</v>
      </c>
      <c r="Y151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17">
        <f>IF(Table1[[#This Row],[Ask Rate]]=0,0,Table1[[#This Row],[Face Value]]-Table1[[#This Row],[Ask Rate]])</f>
        <v>0</v>
      </c>
      <c r="AA151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17">
        <f>Table1[[#This Row],[Face Value]]*Table1[[#This Row],[Rate]]*Table1[[#This Row],[Time]]</f>
        <v>0</v>
      </c>
      <c r="AC1517">
        <f>Table1[[#This Row],[SI]]+Table1[[#This Row],[Disc/Prem]]</f>
        <v>0</v>
      </c>
      <c r="AD1517" s="3" t="e">
        <f>Table1[[#This Row],[Net Gain]]/Table1[[#This Row],[Ask Rate]]</f>
        <v>#DIV/0!</v>
      </c>
      <c r="AE1517" s="3">
        <f>IF(Table1[[#This Row],[Ask Qty]]=0,0,Table1[[#This Row],[Gross Yield]]*365/Table1[[#This Row],[Days Left]])</f>
        <v>0</v>
      </c>
      <c r="AF1517" s="9">
        <f>+Table1[[#This Row],[Net Gain]]*Table1[[#This Row],[Ask Qty]]</f>
        <v>0</v>
      </c>
      <c r="AG1517" t="str">
        <f>IF(Table1[[#This Row],[YTM]]&gt;0.12,IF(Table1[[#This Row],[Gross Profit]]&gt;10000,"Invest","Review"),"Low YTM")</f>
        <v>Low YTM</v>
      </c>
    </row>
    <row r="1518" spans="1:33" x14ac:dyDescent="0.3">
      <c r="A1518" t="str">
        <f>RTD("nest.scriprtd",,"bse_cm|905PEL26","Symbol")</f>
        <v>905PEL26</v>
      </c>
      <c r="B1518" t="str">
        <f>RTD("nest.scriprtd",,"bse_cm|905PEL26","Trading Symbol")</f>
        <v>905PEL26</v>
      </c>
      <c r="C1518" t="str">
        <f>RTD("nest.scriprtd",,"bse_cm|905PEL26","Exchange")</f>
        <v>BSE</v>
      </c>
      <c r="D1518">
        <f>RTD("nest.scriprtd",,"bse_cm|905PEL26","Bid Qty")</f>
        <v>60</v>
      </c>
      <c r="E1518">
        <f>RTD("nest.scriprtd",,"bse_cm|905PEL26","Bid Rate")</f>
        <v>902</v>
      </c>
      <c r="F1518">
        <f>RTD("nest.scriprtd",,"bse_cm|905PEL26","Ask Rate")</f>
        <v>0</v>
      </c>
      <c r="G1518">
        <f>RTD("nest.scriprtd",,"bse_cm|905PEL26","Ask Qty")</f>
        <v>0</v>
      </c>
      <c r="H1518">
        <f>RTD("nest.scriprtd",,"bse_cm|905PEL26","LTP")</f>
        <v>0</v>
      </c>
      <c r="I1518" t="str">
        <f>RTD("nest.scriprtd",,"bse_cm|905PEL26","LTT")</f>
        <v>00:00:00</v>
      </c>
      <c r="J1518">
        <f>RTD("nest.scriprtd",,"bse_cm|905PEL26","% Change")</f>
        <v>-100</v>
      </c>
      <c r="K1518">
        <f>RTD("nest.scriprtd",,"bse_cm|905PEL26","ATP")</f>
        <v>0</v>
      </c>
      <c r="L1518">
        <f>RTD("nest.scriprtd",,"bse_cm|905PEL26","Volume Traded Today")</f>
        <v>0</v>
      </c>
      <c r="M1518">
        <f>RTD("nest.scriprtd",,"bse_cm|905PEL26","Open")</f>
        <v>0</v>
      </c>
      <c r="N1518">
        <f>RTD("nest.scriprtd",,"bse_cm|905PEL26","High")</f>
        <v>1060.01</v>
      </c>
      <c r="O1518">
        <f>RTD("nest.scriprtd",,"bse_cm|905PEL26","Low ")</f>
        <v>1059</v>
      </c>
      <c r="P1518">
        <f>RTD("nest.scriprtd",,"bse_cm|905PEL26","Prev Close")</f>
        <v>1060.01</v>
      </c>
      <c r="Q1518">
        <f>RTD("nest.scriprtd",,"bse_cm|905PEL26","Face Value")</f>
        <v>1000</v>
      </c>
      <c r="R1518" t="str">
        <f>RTD("nest.scriprtd",,"bse_cm|905PEL26","Isin code")</f>
        <v>INE140A07740</v>
      </c>
      <c r="S1518" s="9">
        <f>Table1[[#This Row],[Ask Rate]]*Table1[[#This Row],[Ask Qty]]</f>
        <v>0</v>
      </c>
      <c r="T1518">
        <f>VLOOKUP(Table1[[#This Row],[Isin code]],Table2[#All],7,FALSE)</f>
        <v>9.0500000000000007</v>
      </c>
      <c r="U1518" s="17" t="str">
        <f>VLOOKUP(Table1[[#This Row],[Isin code]],Table2[#All],8,FALSE)</f>
        <v>03-Nov-2026</v>
      </c>
      <c r="V1518" s="10">
        <f ca="1">Table1[[#This Row],[Maturity]]-TODAY()</f>
        <v>748</v>
      </c>
      <c r="W1518" t="str">
        <f>VLOOKUP(Table1[[#This Row],[Isin code]],Table2[#All],10,FALSE)</f>
        <v>Yearly</v>
      </c>
      <c r="X1518">
        <f ca="1">_xlfn.DAYS(Table1[[#This Row],[Maturity]],TODAY())-15</f>
        <v>733</v>
      </c>
      <c r="Y15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518">
        <f>IF(Table1[[#This Row],[Ask Rate]]=0,0,Table1[[#This Row],[Face Value]]-Table1[[#This Row],[Ask Rate]])</f>
        <v>0</v>
      </c>
      <c r="AA1518">
        <f>IF(Table1[[#This Row],[Freq]]="Yearly",Table1[[#This Row],[Coupon_Rate]]/100,IF(Table1[[#This Row],[Freq]]="Monthly",Table1[[#This Row],[Coupon_Rate]]/1200,IF(Table1[[#This Row],[Freq]]="Quarterly",Table1[[#This Row],[Coupon_Rate]]/400,0)))</f>
        <v>9.0500000000000011E-2</v>
      </c>
      <c r="AB1518">
        <f ca="1">Table1[[#This Row],[Face Value]]*Table1[[#This Row],[Rate]]*Table1[[#This Row],[Time]]</f>
        <v>271.50000000000006</v>
      </c>
      <c r="AC1518">
        <f ca="1">Table1[[#This Row],[SI]]+Table1[[#This Row],[Disc/Prem]]</f>
        <v>271.50000000000006</v>
      </c>
      <c r="AD1518" s="3" t="e">
        <f ca="1">Table1[[#This Row],[Net Gain]]/Table1[[#This Row],[Ask Rate]]</f>
        <v>#DIV/0!</v>
      </c>
      <c r="AE1518" s="3">
        <f>IF(Table1[[#This Row],[Ask Qty]]=0,0,Table1[[#This Row],[Gross Yield]]*365/Table1[[#This Row],[Days Left]])</f>
        <v>0</v>
      </c>
      <c r="AF1518" s="9">
        <f ca="1">+Table1[[#This Row],[Net Gain]]*Table1[[#This Row],[Ask Qty]]</f>
        <v>0</v>
      </c>
      <c r="AG1518" t="str">
        <f>IF(Table1[[#This Row],[YTM]]&gt;0.12,IF(Table1[[#This Row],[Gross Profit]]&gt;10000,"Invest","Review"),"Low YTM")</f>
        <v>Low YTM</v>
      </c>
    </row>
    <row r="1519" spans="1:33" x14ac:dyDescent="0.3">
      <c r="A1519" t="str">
        <f>RTD("nest.scriprtd",,"nse_cm|85PFL26A-N7","Symbol")</f>
        <v>85PFL26A</v>
      </c>
      <c r="B1519" t="str">
        <f>RTD("nest.scriprtd",,"nse_cm|85PFL26A-N7","Trading Symbol")</f>
        <v>85PFL26A-N7</v>
      </c>
      <c r="C1519" t="str">
        <f>RTD("nest.scriprtd",,"nse_cm|85PFL26A-N7","Exchange")</f>
        <v>NSE</v>
      </c>
      <c r="D1519">
        <f>RTD("nest.scriprtd",,"nse_cm|85PFL26A-N7","Bid Qty")</f>
        <v>0</v>
      </c>
      <c r="E1519">
        <f>RTD("nest.scriprtd",,"nse_cm|85PFL26A-N7","Bid Rate")</f>
        <v>0</v>
      </c>
      <c r="F1519">
        <f>RTD("nest.scriprtd",,"nse_cm|85PFL26A-N7","Ask Rate")</f>
        <v>0</v>
      </c>
      <c r="G1519">
        <f>RTD("nest.scriprtd",,"nse_cm|85PFL26A-N7","Ask Qty")</f>
        <v>0</v>
      </c>
      <c r="H1519">
        <f>RTD("nest.scriprtd",,"nse_cm|85PFL26A-N7","LTP")</f>
        <v>1280</v>
      </c>
      <c r="I1519" t="str">
        <f>RTD("nest.scriprtd",,"nse_cm|85PFL26A-N7","LTT")</f>
        <v/>
      </c>
      <c r="J1519">
        <f>RTD("nest.scriprtd",,"nse_cm|85PFL26A-N7","% Change")</f>
        <v>0</v>
      </c>
      <c r="K1519">
        <f>RTD("nest.scriprtd",,"nse_cm|85PFL26A-N7","ATP")</f>
        <v>0</v>
      </c>
      <c r="L1519">
        <f>RTD("nest.scriprtd",,"nse_cm|85PFL26A-N7","Volume Traded Today")</f>
        <v>0</v>
      </c>
      <c r="M1519">
        <f>RTD("nest.scriprtd",,"nse_cm|85PFL26A-N7","Open")</f>
        <v>0</v>
      </c>
      <c r="N1519">
        <f>RTD("nest.scriprtd",,"nse_cm|85PFL26A-N7","High")</f>
        <v>1280</v>
      </c>
      <c r="O1519">
        <f>RTD("nest.scriprtd",,"nse_cm|85PFL26A-N7","Low ")</f>
        <v>1280</v>
      </c>
      <c r="P1519">
        <f>RTD("nest.scriprtd",,"nse_cm|85PFL26A-N7","Prev Close")</f>
        <v>1280</v>
      </c>
      <c r="Q1519">
        <f>RTD("nest.scriprtd",,"nse_cm|85PFL26A-N7","Face Value")</f>
        <v>1000</v>
      </c>
      <c r="R1519" t="str">
        <f>RTD("nest.scriprtd",,"nse_cm|85PFL26A-N7","Isin code")</f>
        <v>INE511C07714</v>
      </c>
      <c r="S1519" s="9">
        <f>Table1[[#This Row],[Ask Rate]]*Table1[[#This Row],[Ask Qty]]</f>
        <v>0</v>
      </c>
      <c r="T1519">
        <f>VLOOKUP(Table1[[#This Row],[Isin code]],Table2[#All],7,FALSE)</f>
        <v>10.75</v>
      </c>
      <c r="U1519" s="17" t="str">
        <f>VLOOKUP(Table1[[#This Row],[Isin code]],Table2[#All],8,FALSE)</f>
        <v>06-May-2029</v>
      </c>
      <c r="V1519" s="10">
        <f ca="1">Table1[[#This Row],[Maturity]]-TODAY()</f>
        <v>1663</v>
      </c>
      <c r="W1519" t="str">
        <f>VLOOKUP(Table1[[#This Row],[Isin code]],Table2[#All],10,FALSE)</f>
        <v>Yearly</v>
      </c>
      <c r="X1519">
        <f ca="1">_xlfn.DAYS(Table1[[#This Row],[Maturity]],TODAY())-15</f>
        <v>1648</v>
      </c>
      <c r="Y151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519">
        <f>IF(Table1[[#This Row],[Ask Rate]]=0,0,Table1[[#This Row],[Face Value]]-Table1[[#This Row],[Ask Rate]])</f>
        <v>0</v>
      </c>
      <c r="AA1519">
        <f>IF(Table1[[#This Row],[Freq]]="Yearly",Table1[[#This Row],[Coupon_Rate]]/100,IF(Table1[[#This Row],[Freq]]="Monthly",Table1[[#This Row],[Coupon_Rate]]/1200,IF(Table1[[#This Row],[Freq]]="Quarterly",Table1[[#This Row],[Coupon_Rate]]/400,0)))</f>
        <v>0.1075</v>
      </c>
      <c r="AB1519">
        <f ca="1">Table1[[#This Row],[Face Value]]*Table1[[#This Row],[Rate]]*Table1[[#This Row],[Time]]</f>
        <v>537.5</v>
      </c>
      <c r="AC1519">
        <f ca="1">Table1[[#This Row],[SI]]+Table1[[#This Row],[Disc/Prem]]</f>
        <v>537.5</v>
      </c>
      <c r="AD1519" s="3" t="e">
        <f ca="1">Table1[[#This Row],[Net Gain]]/Table1[[#This Row],[Ask Rate]]</f>
        <v>#DIV/0!</v>
      </c>
      <c r="AE1519" s="3">
        <f>IF(Table1[[#This Row],[Ask Qty]]=0,0,Table1[[#This Row],[Gross Yield]]*365/Table1[[#This Row],[Days Left]])</f>
        <v>0</v>
      </c>
      <c r="AF1519" s="9">
        <f ca="1">+Table1[[#This Row],[Net Gain]]*Table1[[#This Row],[Ask Qty]]</f>
        <v>0</v>
      </c>
      <c r="AG1519" t="str">
        <f>IF(Table1[[#This Row],[YTM]]&gt;0.12,IF(Table1[[#This Row],[Gross Profit]]&gt;10000,"Invest","Review"),"Low YTM")</f>
        <v>Low YTM</v>
      </c>
    </row>
    <row r="1520" spans="1:33" x14ac:dyDescent="0.3">
      <c r="A1520" t="str">
        <f>RTD("nest.scriprtd",,"bse_cm|MFLZC25D","Symbol")</f>
        <v>MFLZC25D</v>
      </c>
      <c r="B1520" t="str">
        <f>RTD("nest.scriprtd",,"bse_cm|MFLZC25D","Trading Symbol")</f>
        <v>MFLZC25D</v>
      </c>
      <c r="C1520" t="str">
        <f>RTD("nest.scriprtd",,"bse_cm|MFLZC25D","Exchange")</f>
        <v>BSE</v>
      </c>
      <c r="D1520">
        <f>RTD("nest.scriprtd",,"bse_cm|MFLZC25D","Bid Qty")</f>
        <v>50</v>
      </c>
      <c r="E1520">
        <f>RTD("nest.scriprtd",,"bse_cm|MFLZC25D","Bid Rate")</f>
        <v>1365.22</v>
      </c>
      <c r="F1520">
        <f>RTD("nest.scriprtd",,"bse_cm|MFLZC25D","Ask Rate")</f>
        <v>0</v>
      </c>
      <c r="G1520">
        <f>RTD("nest.scriprtd",,"bse_cm|MFLZC25D","Ask Qty")</f>
        <v>0</v>
      </c>
      <c r="H1520">
        <f>RTD("nest.scriprtd",,"bse_cm|MFLZC25D","LTP")</f>
        <v>0</v>
      </c>
      <c r="I1520" t="str">
        <f>RTD("nest.scriprtd",,"bse_cm|MFLZC25D","LTT")</f>
        <v>00:00:00</v>
      </c>
      <c r="J1520">
        <f>RTD("nest.scriprtd",,"bse_cm|MFLZC25D","% Change")</f>
        <v>-100</v>
      </c>
      <c r="K1520">
        <f>RTD("nest.scriprtd",,"bse_cm|MFLZC25D","ATP")</f>
        <v>0</v>
      </c>
      <c r="L1520">
        <f>RTD("nest.scriprtd",,"bse_cm|MFLZC25D","Volume Traded Today")</f>
        <v>0</v>
      </c>
      <c r="M1520">
        <f>RTD("nest.scriprtd",,"bse_cm|MFLZC25D","Open")</f>
        <v>0</v>
      </c>
      <c r="N1520">
        <f>RTD("nest.scriprtd",,"bse_cm|MFLZC25D","High")</f>
        <v>1387.8</v>
      </c>
      <c r="O1520">
        <f>RTD("nest.scriprtd",,"bse_cm|MFLZC25D","Low ")</f>
        <v>1387.8</v>
      </c>
      <c r="P1520">
        <f>RTD("nest.scriprtd",,"bse_cm|MFLZC25D","Prev Close")</f>
        <v>1387.8</v>
      </c>
      <c r="Q1520">
        <f>RTD("nest.scriprtd",,"bse_cm|MFLZC25D","Face Value")</f>
        <v>1000</v>
      </c>
      <c r="R1520" t="str">
        <f>RTD("nest.scriprtd",,"bse_cm|MFLZC25D","Isin code")</f>
        <v>INE549K07881</v>
      </c>
      <c r="S1520" s="9">
        <f>Table1[[#This Row],[Ask Rate]]*Table1[[#This Row],[Ask Qty]]</f>
        <v>0</v>
      </c>
      <c r="T1520" t="str">
        <f>VLOOKUP(Table1[[#This Row],[Isin code]],Table2[#All],7,FALSE)</f>
        <v>--</v>
      </c>
      <c r="U1520" s="17" t="str">
        <f>VLOOKUP(Table1[[#This Row],[Isin code]],Table2[#All],8,FALSE)</f>
        <v>29-Oct-2025</v>
      </c>
      <c r="V1520" s="10">
        <f ca="1">Table1[[#This Row],[Maturity]]-TODAY()</f>
        <v>378</v>
      </c>
      <c r="W1520" t="str">
        <f>VLOOKUP(Table1[[#This Row],[Isin code]],Table2[#All],10,FALSE)</f>
        <v>At the End</v>
      </c>
      <c r="X1520">
        <f ca="1">_xlfn.DAYS(Table1[[#This Row],[Maturity]],TODAY())-15</f>
        <v>363</v>
      </c>
      <c r="Y152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20">
        <f>IF(Table1[[#This Row],[Ask Rate]]=0,0,Table1[[#This Row],[Face Value]]-Table1[[#This Row],[Ask Rate]])</f>
        <v>0</v>
      </c>
      <c r="AA152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20">
        <f>Table1[[#This Row],[Face Value]]*Table1[[#This Row],[Rate]]*Table1[[#This Row],[Time]]</f>
        <v>0</v>
      </c>
      <c r="AC1520">
        <f>Table1[[#This Row],[SI]]+Table1[[#This Row],[Disc/Prem]]</f>
        <v>0</v>
      </c>
      <c r="AD1520" s="3" t="e">
        <f>Table1[[#This Row],[Net Gain]]/Table1[[#This Row],[Ask Rate]]</f>
        <v>#DIV/0!</v>
      </c>
      <c r="AE1520" s="3">
        <f>IF(Table1[[#This Row],[Ask Qty]]=0,0,Table1[[#This Row],[Gross Yield]]*365/Table1[[#This Row],[Days Left]])</f>
        <v>0</v>
      </c>
      <c r="AF1520" s="9">
        <f>+Table1[[#This Row],[Net Gain]]*Table1[[#This Row],[Ask Qty]]</f>
        <v>0</v>
      </c>
      <c r="AG1520" t="str">
        <f>IF(Table1[[#This Row],[YTM]]&gt;0.12,IF(Table1[[#This Row],[Gross Profit]]&gt;10000,"Invest","Review"),"Low YTM")</f>
        <v>Low YTM</v>
      </c>
    </row>
    <row r="1521" spans="1:33" x14ac:dyDescent="0.3">
      <c r="A1521" t="str">
        <f>RTD("nest.scriprtd",,"bse_cm|1030ICCL28","Symbol")</f>
        <v>1030ICCL28</v>
      </c>
      <c r="B1521" t="str">
        <f>RTD("nest.scriprtd",,"bse_cm|1030ICCL28","Trading Symbol")</f>
        <v>1030ICCL28</v>
      </c>
      <c r="C1521" t="str">
        <f>RTD("nest.scriprtd",,"bse_cm|1030ICCL28","Exchange")</f>
        <v>BSE</v>
      </c>
      <c r="D1521">
        <f>RTD("nest.scriprtd",,"bse_cm|1030ICCL28","Bid Qty")</f>
        <v>12</v>
      </c>
      <c r="E1521">
        <f>RTD("nest.scriprtd",,"bse_cm|1030ICCL28","Bid Rate")</f>
        <v>920.2</v>
      </c>
      <c r="F1521">
        <f>RTD("nest.scriprtd",,"bse_cm|1030ICCL28","Ask Rate")</f>
        <v>0</v>
      </c>
      <c r="G1521">
        <f>RTD("nest.scriprtd",,"bse_cm|1030ICCL28","Ask Qty")</f>
        <v>0</v>
      </c>
      <c r="H1521">
        <f>RTD("nest.scriprtd",,"bse_cm|1030ICCL28","LTP")</f>
        <v>0</v>
      </c>
      <c r="I1521" t="str">
        <f>RTD("nest.scriprtd",,"bse_cm|1030ICCL28","LTT")</f>
        <v>00:00:00</v>
      </c>
      <c r="J1521">
        <f>RTD("nest.scriprtd",,"bse_cm|1030ICCL28","% Change")</f>
        <v>-100</v>
      </c>
      <c r="K1521">
        <f>RTD("nest.scriprtd",,"bse_cm|1030ICCL28","ATP")</f>
        <v>0</v>
      </c>
      <c r="L1521">
        <f>RTD("nest.scriprtd",,"bse_cm|1030ICCL28","Volume Traded Today")</f>
        <v>0</v>
      </c>
      <c r="M1521">
        <f>RTD("nest.scriprtd",,"bse_cm|1030ICCL28","Open")</f>
        <v>0</v>
      </c>
      <c r="N1521">
        <f>RTD("nest.scriprtd",,"bse_cm|1030ICCL28","High")</f>
        <v>986</v>
      </c>
      <c r="O1521">
        <f>RTD("nest.scriprtd",,"bse_cm|1030ICCL28","Low ")</f>
        <v>986</v>
      </c>
      <c r="P1521">
        <f>RTD("nest.scriprtd",,"bse_cm|1030ICCL28","Prev Close")</f>
        <v>986</v>
      </c>
      <c r="Q1521">
        <f>RTD("nest.scriprtd",,"bse_cm|1030ICCL28","Face Value")</f>
        <v>800</v>
      </c>
      <c r="R1521" t="str">
        <f>RTD("nest.scriprtd",,"bse_cm|1030ICCL28","Isin code")</f>
        <v>INE244L07283</v>
      </c>
      <c r="S1521" s="9">
        <f>Table1[[#This Row],[Ask Rate]]*Table1[[#This Row],[Ask Qty]]</f>
        <v>0</v>
      </c>
      <c r="T1521">
        <f>VLOOKUP(Table1[[#This Row],[Isin code]],Table2[#All],7,FALSE)</f>
        <v>10.3</v>
      </c>
      <c r="U1521" s="17" t="str">
        <f>VLOOKUP(Table1[[#This Row],[Isin code]],Table2[#All],8,FALSE)</f>
        <v>02-Feb-2028</v>
      </c>
      <c r="V1521" s="10">
        <f ca="1">Table1[[#This Row],[Maturity]]-TODAY()</f>
        <v>1204</v>
      </c>
      <c r="W1521" t="str">
        <f>VLOOKUP(Table1[[#This Row],[Isin code]],Table2[#All],10,FALSE)</f>
        <v>Yearly</v>
      </c>
      <c r="X1521">
        <f ca="1">_xlfn.DAYS(Table1[[#This Row],[Maturity]],TODAY())-15</f>
        <v>1189</v>
      </c>
      <c r="Y15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521">
        <f>IF(Table1[[#This Row],[Ask Rate]]=0,0,Table1[[#This Row],[Face Value]]-Table1[[#This Row],[Ask Rate]])</f>
        <v>0</v>
      </c>
      <c r="AA1521">
        <f>IF(Table1[[#This Row],[Freq]]="Yearly",Table1[[#This Row],[Coupon_Rate]]/100,IF(Table1[[#This Row],[Freq]]="Monthly",Table1[[#This Row],[Coupon_Rate]]/1200,IF(Table1[[#This Row],[Freq]]="Quarterly",Table1[[#This Row],[Coupon_Rate]]/400,0)))</f>
        <v>0.10300000000000001</v>
      </c>
      <c r="AB1521">
        <f ca="1">Table1[[#This Row],[Face Value]]*Table1[[#This Row],[Rate]]*Table1[[#This Row],[Time]]</f>
        <v>329.6</v>
      </c>
      <c r="AC1521">
        <f ca="1">Table1[[#This Row],[SI]]+Table1[[#This Row],[Disc/Prem]]</f>
        <v>329.6</v>
      </c>
      <c r="AD1521" s="3" t="e">
        <f ca="1">Table1[[#This Row],[Net Gain]]/Table1[[#This Row],[Ask Rate]]</f>
        <v>#DIV/0!</v>
      </c>
      <c r="AE1521" s="3">
        <f>IF(Table1[[#This Row],[Ask Qty]]=0,0,Table1[[#This Row],[Gross Yield]]*365/Table1[[#This Row],[Days Left]])</f>
        <v>0</v>
      </c>
      <c r="AF1521" s="9">
        <f ca="1">+Table1[[#This Row],[Net Gain]]*Table1[[#This Row],[Ask Qty]]</f>
        <v>0</v>
      </c>
      <c r="AG1521" t="str">
        <f>IF(Table1[[#This Row],[YTM]]&gt;0.12,IF(Table1[[#This Row],[Gross Profit]]&gt;10000,"Invest","Review"),"Low YTM")</f>
        <v>Low YTM</v>
      </c>
    </row>
    <row r="1522" spans="1:33" x14ac:dyDescent="0.3">
      <c r="A1522" t="str">
        <f>RTD("nest.scriprtd",,"bse_cm|MHLZC26","Symbol")</f>
        <v>MHLZC26</v>
      </c>
      <c r="B1522" t="str">
        <f>RTD("nest.scriprtd",,"bse_cm|MHLZC26","Trading Symbol")</f>
        <v>MHLZC26</v>
      </c>
      <c r="C1522" t="str">
        <f>RTD("nest.scriprtd",,"bse_cm|MHLZC26","Exchange")</f>
        <v>BSE</v>
      </c>
      <c r="D1522">
        <f>RTD("nest.scriprtd",,"bse_cm|MHLZC26","Bid Qty")</f>
        <v>170</v>
      </c>
      <c r="E1522">
        <f>RTD("nest.scriprtd",,"bse_cm|MHLZC26","Bid Rate")</f>
        <v>1561.2</v>
      </c>
      <c r="F1522">
        <f>RTD("nest.scriprtd",,"bse_cm|MHLZC26","Ask Rate")</f>
        <v>0</v>
      </c>
      <c r="G1522">
        <f>RTD("nest.scriprtd",,"bse_cm|MHLZC26","Ask Qty")</f>
        <v>0</v>
      </c>
      <c r="H1522">
        <f>RTD("nest.scriprtd",,"bse_cm|MHLZC26","LTP")</f>
        <v>0</v>
      </c>
      <c r="I1522" t="str">
        <f>RTD("nest.scriprtd",,"bse_cm|MHLZC26","LTT")</f>
        <v>00:00:00</v>
      </c>
      <c r="J1522">
        <f>RTD("nest.scriprtd",,"bse_cm|MHLZC26","% Change")</f>
        <v>-100</v>
      </c>
      <c r="K1522">
        <f>RTD("nest.scriprtd",,"bse_cm|MHLZC26","ATP")</f>
        <v>0</v>
      </c>
      <c r="L1522">
        <f>RTD("nest.scriprtd",,"bse_cm|MHLZC26","Volume Traded Today")</f>
        <v>0</v>
      </c>
      <c r="M1522">
        <f>RTD("nest.scriprtd",,"bse_cm|MHLZC26","Open")</f>
        <v>0</v>
      </c>
      <c r="N1522">
        <f>RTD("nest.scriprtd",,"bse_cm|MHLZC26","High")</f>
        <v>1655</v>
      </c>
      <c r="O1522">
        <f>RTD("nest.scriprtd",,"bse_cm|MHLZC26","Low ")</f>
        <v>1655</v>
      </c>
      <c r="P1522">
        <f>RTD("nest.scriprtd",,"bse_cm|MHLZC26","Prev Close")</f>
        <v>1655</v>
      </c>
      <c r="Q1522">
        <f>RTD("nest.scriprtd",,"bse_cm|MHLZC26","Face Value")</f>
        <v>1000</v>
      </c>
      <c r="R1522" t="str">
        <f>RTD("nest.scriprtd",,"bse_cm|MHLZC26","Isin code")</f>
        <v>INE652X07100</v>
      </c>
      <c r="S1522" s="9">
        <f>Table1[[#This Row],[Ask Rate]]*Table1[[#This Row],[Ask Qty]]</f>
        <v>0</v>
      </c>
      <c r="T1522" t="str">
        <f>VLOOKUP(Table1[[#This Row],[Isin code]],Table2[#All],7,FALSE)</f>
        <v>--</v>
      </c>
      <c r="U1522" s="17" t="str">
        <f>VLOOKUP(Table1[[#This Row],[Isin code]],Table2[#All],8,FALSE)</f>
        <v>13-Nov-2026</v>
      </c>
      <c r="V1522" s="10">
        <f ca="1">Table1[[#This Row],[Maturity]]-TODAY()</f>
        <v>758</v>
      </c>
      <c r="W1522" t="str">
        <f>VLOOKUP(Table1[[#This Row],[Isin code]],Table2[#All],10,FALSE)</f>
        <v>At the End</v>
      </c>
      <c r="X1522">
        <f ca="1">_xlfn.DAYS(Table1[[#This Row],[Maturity]],TODAY())-15</f>
        <v>743</v>
      </c>
      <c r="Y152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22">
        <f>IF(Table1[[#This Row],[Ask Rate]]=0,0,Table1[[#This Row],[Face Value]]-Table1[[#This Row],[Ask Rate]])</f>
        <v>0</v>
      </c>
      <c r="AA152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22">
        <f>Table1[[#This Row],[Face Value]]*Table1[[#This Row],[Rate]]*Table1[[#This Row],[Time]]</f>
        <v>0</v>
      </c>
      <c r="AC1522">
        <f>Table1[[#This Row],[SI]]+Table1[[#This Row],[Disc/Prem]]</f>
        <v>0</v>
      </c>
      <c r="AD1522" s="3" t="e">
        <f>Table1[[#This Row],[Net Gain]]/Table1[[#This Row],[Ask Rate]]</f>
        <v>#DIV/0!</v>
      </c>
      <c r="AE1522" s="3">
        <f>IF(Table1[[#This Row],[Ask Qty]]=0,0,Table1[[#This Row],[Gross Yield]]*365/Table1[[#This Row],[Days Left]])</f>
        <v>0</v>
      </c>
      <c r="AF1522" s="9">
        <f>+Table1[[#This Row],[Net Gain]]*Table1[[#This Row],[Ask Qty]]</f>
        <v>0</v>
      </c>
      <c r="AG1522" t="str">
        <f>IF(Table1[[#This Row],[YTM]]&gt;0.12,IF(Table1[[#This Row],[Gross Profit]]&gt;10000,"Invest","Review"),"Low YTM")</f>
        <v>Low YTM</v>
      </c>
    </row>
    <row r="1523" spans="1:33" x14ac:dyDescent="0.3">
      <c r="A1523" t="str">
        <f>RTD("nest.scriprtd",,"nse_cm|990SCFL26-AJ","Symbol")</f>
        <v>990SCFL26</v>
      </c>
      <c r="B1523" t="str">
        <f>RTD("nest.scriprtd",,"nse_cm|990SCFL26-AJ","Trading Symbol")</f>
        <v>990SCFL26-AJ</v>
      </c>
      <c r="C1523" t="str">
        <f>RTD("nest.scriprtd",,"nse_cm|990SCFL26-AJ","Exchange")</f>
        <v>NSE</v>
      </c>
      <c r="D1523">
        <f>RTD("nest.scriprtd",,"nse_cm|990SCFL26-AJ","Bid Qty")</f>
        <v>0</v>
      </c>
      <c r="E1523">
        <f>RTD("nest.scriprtd",,"nse_cm|990SCFL26-AJ","Bid Rate")</f>
        <v>0</v>
      </c>
      <c r="F1523">
        <f>RTD("nest.scriprtd",,"nse_cm|990SCFL26-AJ","Ask Rate")</f>
        <v>0</v>
      </c>
      <c r="G1523">
        <f>RTD("nest.scriprtd",,"nse_cm|990SCFL26-AJ","Ask Qty")</f>
        <v>0</v>
      </c>
      <c r="H1523">
        <f>RTD("nest.scriprtd",,"nse_cm|990SCFL26-AJ","LTP")</f>
        <v>1105</v>
      </c>
      <c r="I1523" t="str">
        <f>RTD("nest.scriprtd",,"nse_cm|990SCFL26-AJ","LTT")</f>
        <v/>
      </c>
      <c r="J1523">
        <f>RTD("nest.scriprtd",,"nse_cm|990SCFL26-AJ","% Change")</f>
        <v>0</v>
      </c>
      <c r="K1523">
        <f>RTD("nest.scriprtd",,"nse_cm|990SCFL26-AJ","ATP")</f>
        <v>0</v>
      </c>
      <c r="L1523">
        <f>RTD("nest.scriprtd",,"nse_cm|990SCFL26-AJ","Volume Traded Today")</f>
        <v>0</v>
      </c>
      <c r="M1523">
        <f>RTD("nest.scriprtd",,"nse_cm|990SCFL26-AJ","Open")</f>
        <v>0</v>
      </c>
      <c r="N1523">
        <f>RTD("nest.scriprtd",,"nse_cm|990SCFL26-AJ","High")</f>
        <v>1105</v>
      </c>
      <c r="O1523">
        <f>RTD("nest.scriprtd",,"nse_cm|990SCFL26-AJ","Low ")</f>
        <v>1105</v>
      </c>
      <c r="P1523">
        <f>RTD("nest.scriprtd",,"nse_cm|990SCFL26-AJ","Prev Close")</f>
        <v>1105</v>
      </c>
      <c r="Q1523">
        <f>RTD("nest.scriprtd",,"nse_cm|990SCFL26-AJ","Face Value")</f>
        <v>1000</v>
      </c>
      <c r="R1523" t="str">
        <f>RTD("nest.scriprtd",,"nse_cm|990SCFL26-AJ","Isin code")</f>
        <v>INE148I07NY2</v>
      </c>
      <c r="S1523" s="9">
        <f>Table1[[#This Row],[Ask Rate]]*Table1[[#This Row],[Ask Qty]]</f>
        <v>0</v>
      </c>
      <c r="T1523" t="str">
        <f>VLOOKUP(Table1[[#This Row],[Isin code]],Table2[#All],7,FALSE)</f>
        <v>--</v>
      </c>
      <c r="U1523" s="17" t="str">
        <f>VLOOKUP(Table1[[#This Row],[Isin code]],Table2[#All],8,FALSE)</f>
        <v>23-Mar-2026</v>
      </c>
      <c r="V1523" s="10">
        <f ca="1">Table1[[#This Row],[Maturity]]-TODAY()</f>
        <v>523</v>
      </c>
      <c r="W1523" t="str">
        <f>VLOOKUP(Table1[[#This Row],[Isin code]],Table2[#All],10,FALSE)</f>
        <v>At the End</v>
      </c>
      <c r="X1523">
        <f ca="1">_xlfn.DAYS(Table1[[#This Row],[Maturity]],TODAY())-15</f>
        <v>508</v>
      </c>
      <c r="Y152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23">
        <f>IF(Table1[[#This Row],[Ask Rate]]=0,0,Table1[[#This Row],[Face Value]]-Table1[[#This Row],[Ask Rate]])</f>
        <v>0</v>
      </c>
      <c r="AA152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23">
        <f>Table1[[#This Row],[Face Value]]*Table1[[#This Row],[Rate]]*Table1[[#This Row],[Time]]</f>
        <v>0</v>
      </c>
      <c r="AC1523">
        <f>Table1[[#This Row],[SI]]+Table1[[#This Row],[Disc/Prem]]</f>
        <v>0</v>
      </c>
      <c r="AD1523" s="3" t="e">
        <f>Table1[[#This Row],[Net Gain]]/Table1[[#This Row],[Ask Rate]]</f>
        <v>#DIV/0!</v>
      </c>
      <c r="AE1523" s="3">
        <f>IF(Table1[[#This Row],[Ask Qty]]=0,0,Table1[[#This Row],[Gross Yield]]*365/Table1[[#This Row],[Days Left]])</f>
        <v>0</v>
      </c>
      <c r="AF1523" s="9">
        <f>+Table1[[#This Row],[Net Gain]]*Table1[[#This Row],[Ask Qty]]</f>
        <v>0</v>
      </c>
      <c r="AG1523" t="str">
        <f>IF(Table1[[#This Row],[YTM]]&gt;0.12,IF(Table1[[#This Row],[Gross Profit]]&gt;10000,"Invest","Review"),"Low YTM")</f>
        <v>Low YTM</v>
      </c>
    </row>
    <row r="1524" spans="1:33" x14ac:dyDescent="0.3">
      <c r="A1524" t="str">
        <f>RTD("nest.scriprtd",,"bse_cm|AEL120924A","Symbol")</f>
        <v>AEL120924A</v>
      </c>
      <c r="B1524" t="str">
        <f>RTD("nest.scriprtd",,"bse_cm|AEL120924A","Trading Symbol")</f>
        <v>AEL120924A</v>
      </c>
      <c r="C1524" t="str">
        <f>RTD("nest.scriprtd",,"bse_cm|AEL120924A","Exchange")</f>
        <v>BSE</v>
      </c>
      <c r="D1524">
        <f>RTD("nest.scriprtd",,"bse_cm|AEL120924A","Bid Qty")</f>
        <v>100</v>
      </c>
      <c r="E1524">
        <f>RTD("nest.scriprtd",,"bse_cm|AEL120924A","Bid Rate")</f>
        <v>1010</v>
      </c>
      <c r="F1524">
        <f>RTD("nest.scriprtd",,"bse_cm|AEL120924A","Ask Rate")</f>
        <v>1040</v>
      </c>
      <c r="G1524">
        <f>RTD("nest.scriprtd",,"bse_cm|AEL120924A","Ask Qty")</f>
        <v>0</v>
      </c>
      <c r="H1524">
        <f>RTD("nest.scriprtd",,"bse_cm|AEL120924A","LTP")</f>
        <v>0</v>
      </c>
      <c r="I1524" t="str">
        <f>RTD("nest.scriprtd",,"bse_cm|AEL120924A","LTT")</f>
        <v>00:00:00</v>
      </c>
      <c r="J1524">
        <f>RTD("nest.scriprtd",,"bse_cm|AEL120924A","% Change")</f>
        <v>-100</v>
      </c>
      <c r="K1524">
        <f>RTD("nest.scriprtd",,"bse_cm|AEL120924A","ATP")</f>
        <v>0</v>
      </c>
      <c r="L1524">
        <f>RTD("nest.scriprtd",,"bse_cm|AEL120924A","Volume Traded Today")</f>
        <v>0</v>
      </c>
      <c r="M1524">
        <f>RTD("nest.scriprtd",,"bse_cm|AEL120924A","Open")</f>
        <v>0</v>
      </c>
      <c r="N1524">
        <f>RTD("nest.scriprtd",,"bse_cm|AEL120924A","High")</f>
        <v>1010</v>
      </c>
      <c r="O1524">
        <f>RTD("nest.scriprtd",,"bse_cm|AEL120924A","Low ")</f>
        <v>1010</v>
      </c>
      <c r="P1524">
        <f>RTD("nest.scriprtd",,"bse_cm|AEL120924A","Prev Close")</f>
        <v>1010</v>
      </c>
      <c r="Q1524">
        <f>RTD("nest.scriprtd",,"bse_cm|AEL120924A","Face Value")</f>
        <v>1000</v>
      </c>
      <c r="R1524" t="str">
        <f>RTD("nest.scriprtd",,"bse_cm|AEL120924A","Isin code")</f>
        <v>INE423A07377</v>
      </c>
      <c r="S1524" s="9">
        <f>Table1[[#This Row],[Ask Rate]]*Table1[[#This Row],[Ask Qty]]</f>
        <v>0</v>
      </c>
      <c r="T1524" t="str">
        <f>VLOOKUP(Table1[[#This Row],[Isin code]],Table2[#All],7,FALSE)</f>
        <v>--</v>
      </c>
      <c r="U1524" s="17" t="str">
        <f>VLOOKUP(Table1[[#This Row],[Isin code]],Table2[#All],8,FALSE)</f>
        <v>12-Sep-2027</v>
      </c>
      <c r="V1524" s="10">
        <f ca="1">Table1[[#This Row],[Maturity]]-TODAY()</f>
        <v>1061</v>
      </c>
      <c r="W1524" t="str">
        <f>VLOOKUP(Table1[[#This Row],[Isin code]],Table2[#All],10,FALSE)</f>
        <v>At the End</v>
      </c>
      <c r="X1524">
        <f ca="1">_xlfn.DAYS(Table1[[#This Row],[Maturity]],TODAY())-15</f>
        <v>1046</v>
      </c>
      <c r="Y152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24">
        <f>IF(Table1[[#This Row],[Ask Rate]]=0,0,Table1[[#This Row],[Face Value]]-Table1[[#This Row],[Ask Rate]])</f>
        <v>-40</v>
      </c>
      <c r="AA152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24">
        <f>Table1[[#This Row],[Face Value]]*Table1[[#This Row],[Rate]]*Table1[[#This Row],[Time]]</f>
        <v>0</v>
      </c>
      <c r="AC1524">
        <f>Table1[[#This Row],[SI]]+Table1[[#This Row],[Disc/Prem]]</f>
        <v>-40</v>
      </c>
      <c r="AD1524" s="3">
        <f>Table1[[#This Row],[Net Gain]]/Table1[[#This Row],[Ask Rate]]</f>
        <v>-3.8461538461538464E-2</v>
      </c>
      <c r="AE1524" s="3">
        <f>IF(Table1[[#This Row],[Ask Qty]]=0,0,Table1[[#This Row],[Gross Yield]]*365/Table1[[#This Row],[Days Left]])</f>
        <v>0</v>
      </c>
      <c r="AF1524" s="9">
        <f>+Table1[[#This Row],[Net Gain]]*Table1[[#This Row],[Ask Qty]]</f>
        <v>0</v>
      </c>
      <c r="AG1524" t="str">
        <f>IF(Table1[[#This Row],[YTM]]&gt;0.12,IF(Table1[[#This Row],[Gross Profit]]&gt;10000,"Invest","Review"),"Low YTM")</f>
        <v>Low YTM</v>
      </c>
    </row>
    <row r="1525" spans="1:33" x14ac:dyDescent="0.3">
      <c r="A1525" t="str">
        <f>RTD("nest.scriprtd",,"bse_cm|MML30","Symbol")</f>
        <v>MML30</v>
      </c>
      <c r="B1525" t="str">
        <f>RTD("nest.scriprtd",,"bse_cm|MML30","Trading Symbol")</f>
        <v>MML30</v>
      </c>
      <c r="C1525" t="str">
        <f>RTD("nest.scriprtd",,"bse_cm|MML30","Exchange")</f>
        <v>BSE</v>
      </c>
      <c r="D1525">
        <f>RTD("nest.scriprtd",,"bse_cm|MML30","Bid Qty")</f>
        <v>20</v>
      </c>
      <c r="E1525">
        <f>RTD("nest.scriprtd",,"bse_cm|MML30","Bid Rate")</f>
        <v>854.2</v>
      </c>
      <c r="F1525">
        <f>RTD("nest.scriprtd",,"bse_cm|MML30","Ask Rate")</f>
        <v>0</v>
      </c>
      <c r="G1525">
        <f>RTD("nest.scriprtd",,"bse_cm|MML30","Ask Qty")</f>
        <v>0</v>
      </c>
      <c r="H1525">
        <f>RTD("nest.scriprtd",,"bse_cm|MML30","LTP")</f>
        <v>0</v>
      </c>
      <c r="I1525" t="str">
        <f>RTD("nest.scriprtd",,"bse_cm|MML30","LTT")</f>
        <v>00:00:00</v>
      </c>
      <c r="J1525">
        <f>RTD("nest.scriprtd",,"bse_cm|MML30","% Change")</f>
        <v>-100</v>
      </c>
      <c r="K1525">
        <f>RTD("nest.scriprtd",,"bse_cm|MML30","ATP")</f>
        <v>0</v>
      </c>
      <c r="L1525">
        <f>RTD("nest.scriprtd",,"bse_cm|MML30","Volume Traded Today")</f>
        <v>0</v>
      </c>
      <c r="M1525">
        <f>RTD("nest.scriprtd",,"bse_cm|MML30","Open")</f>
        <v>0</v>
      </c>
      <c r="N1525">
        <f>RTD("nest.scriprtd",,"bse_cm|MML30","High")</f>
        <v>1010.55</v>
      </c>
      <c r="O1525">
        <f>RTD("nest.scriprtd",,"bse_cm|MML30","Low ")</f>
        <v>990</v>
      </c>
      <c r="P1525">
        <f>RTD("nest.scriprtd",,"bse_cm|MML30","Prev Close")</f>
        <v>990</v>
      </c>
      <c r="Q1525">
        <f>RTD("nest.scriprtd",,"bse_cm|MML30","Face Value")</f>
        <v>1000</v>
      </c>
      <c r="R1525" t="str">
        <f>RTD("nest.scriprtd",,"bse_cm|MML30","Isin code")</f>
        <v>INE05F407AZ7</v>
      </c>
      <c r="S1525" s="9">
        <f>Table1[[#This Row],[Ask Rate]]*Table1[[#This Row],[Ask Qty]]</f>
        <v>0</v>
      </c>
      <c r="T1525" t="str">
        <f>VLOOKUP(Table1[[#This Row],[Isin code]],Table2[#All],7,FALSE)</f>
        <v>--</v>
      </c>
      <c r="U1525" s="17" t="str">
        <f>VLOOKUP(Table1[[#This Row],[Isin code]],Table2[#All],8,FALSE)</f>
        <v>21-Dec-2030</v>
      </c>
      <c r="V1525" s="10">
        <f ca="1">Table1[[#This Row],[Maturity]]-TODAY()</f>
        <v>2257</v>
      </c>
      <c r="W1525" t="str">
        <f>VLOOKUP(Table1[[#This Row],[Isin code]],Table2[#All],10,FALSE)</f>
        <v>At the End</v>
      </c>
      <c r="X1525">
        <f ca="1">_xlfn.DAYS(Table1[[#This Row],[Maturity]],TODAY())-15</f>
        <v>2242</v>
      </c>
      <c r="Y152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25">
        <f>IF(Table1[[#This Row],[Ask Rate]]=0,0,Table1[[#This Row],[Face Value]]-Table1[[#This Row],[Ask Rate]])</f>
        <v>0</v>
      </c>
      <c r="AA152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25">
        <f>Table1[[#This Row],[Face Value]]*Table1[[#This Row],[Rate]]*Table1[[#This Row],[Time]]</f>
        <v>0</v>
      </c>
      <c r="AC1525">
        <f>Table1[[#This Row],[SI]]+Table1[[#This Row],[Disc/Prem]]</f>
        <v>0</v>
      </c>
      <c r="AD1525" s="3" t="e">
        <f>Table1[[#This Row],[Net Gain]]/Table1[[#This Row],[Ask Rate]]</f>
        <v>#DIV/0!</v>
      </c>
      <c r="AE1525" s="3">
        <f>IF(Table1[[#This Row],[Ask Qty]]=0,0,Table1[[#This Row],[Gross Yield]]*365/Table1[[#This Row],[Days Left]])</f>
        <v>0</v>
      </c>
      <c r="AF1525" s="9">
        <f>+Table1[[#This Row],[Net Gain]]*Table1[[#This Row],[Ask Qty]]</f>
        <v>0</v>
      </c>
      <c r="AG1525" t="str">
        <f>IF(Table1[[#This Row],[YTM]]&gt;0.12,IF(Table1[[#This Row],[Gross Profit]]&gt;10000,"Invest","Review"),"Low YTM")</f>
        <v>Low YTM</v>
      </c>
    </row>
    <row r="1526" spans="1:33" hidden="1" x14ac:dyDescent="0.3">
      <c r="A1526" t="str">
        <f>RTD("nest.scriprtd",,"bse_cm|950MMFL25","Symbol")</f>
        <v>950MMFL25</v>
      </c>
      <c r="B1526" t="str">
        <f>RTD("nest.scriprtd",,"bse_cm|950MMFL25","Trading Symbol")</f>
        <v>950MMFL25</v>
      </c>
      <c r="C1526" t="str">
        <f>RTD("nest.scriprtd",,"bse_cm|950MMFL25","Exchange")</f>
        <v>BSE</v>
      </c>
      <c r="D1526">
        <f>RTD("nest.scriprtd",,"bse_cm|950MMFL25","Bid Qty")</f>
        <v>20</v>
      </c>
      <c r="E1526">
        <f>RTD("nest.scriprtd",,"bse_cm|950MMFL25","Bid Rate")</f>
        <v>840.21</v>
      </c>
      <c r="F1526">
        <f>RTD("nest.scriprtd",,"bse_cm|950MMFL25","Ask Rate")</f>
        <v>0</v>
      </c>
      <c r="G1526">
        <f>RTD("nest.scriprtd",,"bse_cm|950MMFL25","Ask Qty")</f>
        <v>0</v>
      </c>
      <c r="H1526">
        <f>RTD("nest.scriprtd",,"bse_cm|950MMFL25","LTP")</f>
        <v>0</v>
      </c>
      <c r="I1526" t="str">
        <f>RTD("nest.scriprtd",,"bse_cm|950MMFL25","LTT")</f>
        <v>00:00:00</v>
      </c>
      <c r="J1526">
        <f>RTD("nest.scriprtd",,"bse_cm|950MMFL25","% Change")</f>
        <v>-100</v>
      </c>
      <c r="K1526">
        <f>RTD("nest.scriprtd",,"bse_cm|950MMFL25","ATP")</f>
        <v>0</v>
      </c>
      <c r="L1526">
        <f>RTD("nest.scriprtd",,"bse_cm|950MMFL25","Volume Traded Today")</f>
        <v>0</v>
      </c>
      <c r="M1526">
        <f>RTD("nest.scriprtd",,"bse_cm|950MMFL25","Open")</f>
        <v>0</v>
      </c>
      <c r="N1526">
        <f>RTD("nest.scriprtd",,"bse_cm|950MMFL25","High")</f>
        <v>1010</v>
      </c>
      <c r="O1526">
        <f>RTD("nest.scriprtd",,"bse_cm|950MMFL25","Low ")</f>
        <v>1010</v>
      </c>
      <c r="P1526">
        <f>RTD("nest.scriprtd",,"bse_cm|950MMFL25","Prev Close")</f>
        <v>1010</v>
      </c>
      <c r="Q1526">
        <f>RTD("nest.scriprtd",,"bse_cm|950MMFL25","Face Value")</f>
        <v>1000</v>
      </c>
      <c r="R1526" t="str">
        <f>RTD("nest.scriprtd",,"bse_cm|950MMFL25","Isin code")</f>
        <v>INE101Q07995</v>
      </c>
      <c r="S1526" s="9">
        <f>Table1[[#This Row],[Ask Rate]]*Table1[[#This Row],[Ask Qty]]</f>
        <v>0</v>
      </c>
      <c r="T1526">
        <f>VLOOKUP(Table1[[#This Row],[Isin code]],Table2[#All],7,FALSE)</f>
        <v>9.5</v>
      </c>
      <c r="U1526" s="17" t="str">
        <f>VLOOKUP(Table1[[#This Row],[Isin code]],Table2[#All],8,FALSE)</f>
        <v>15-Mar-2025</v>
      </c>
      <c r="V1526" s="10">
        <f ca="1">Table1[[#This Row],[Maturity]]-TODAY()</f>
        <v>150</v>
      </c>
      <c r="W1526" t="str">
        <f>VLOOKUP(Table1[[#This Row],[Isin code]],Table2[#All],10,FALSE)</f>
        <v>Monthly</v>
      </c>
      <c r="X1526">
        <f ca="1">_xlfn.DAYS(Table1[[#This Row],[Maturity]],TODAY())-15</f>
        <v>135</v>
      </c>
      <c r="Y15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526">
        <f>IF(Table1[[#This Row],[Ask Rate]]=0,0,Table1[[#This Row],[Face Value]]-Table1[[#This Row],[Ask Rate]])</f>
        <v>0</v>
      </c>
      <c r="AA1526">
        <f>IF(Table1[[#This Row],[Freq]]="Yearly",Table1[[#This Row],[Coupon_Rate]]/100,IF(Table1[[#This Row],[Freq]]="Monthly",Table1[[#This Row],[Coupon_Rate]]/1200,IF(Table1[[#This Row],[Freq]]="Quarterly",Table1[[#This Row],[Coupon_Rate]]/400,0)))</f>
        <v>7.9166666666666673E-3</v>
      </c>
      <c r="AB1526">
        <f ca="1">Table1[[#This Row],[Face Value]]*Table1[[#This Row],[Rate]]*Table1[[#This Row],[Time]]</f>
        <v>39.583333333333336</v>
      </c>
      <c r="AC1526">
        <f ca="1">Table1[[#This Row],[SI]]+Table1[[#This Row],[Disc/Prem]]</f>
        <v>39.583333333333336</v>
      </c>
      <c r="AD1526" s="3" t="e">
        <f ca="1">Table1[[#This Row],[Net Gain]]/Table1[[#This Row],[Ask Rate]]</f>
        <v>#DIV/0!</v>
      </c>
      <c r="AE1526" s="3">
        <f>IF(Table1[[#This Row],[Ask Qty]]=0,0,Table1[[#This Row],[Gross Yield]]*365/Table1[[#This Row],[Days Left]])</f>
        <v>0</v>
      </c>
      <c r="AF1526" s="9">
        <f ca="1">+Table1[[#This Row],[Net Gain]]*Table1[[#This Row],[Ask Qty]]</f>
        <v>0</v>
      </c>
      <c r="AG1526" t="str">
        <f>IF(Table1[[#This Row],[YTM]]&gt;0.12,IF(Table1[[#This Row],[Gross Profit]]&gt;10000,"Invest","Review"),"Low YTM")</f>
        <v>Low YTM</v>
      </c>
    </row>
    <row r="1527" spans="1:33" x14ac:dyDescent="0.3">
      <c r="A1527" t="str">
        <f>RTD("nest.scriprtd",,"nse_cm|10ISFL26-N3","Symbol")</f>
        <v>10ISFL26</v>
      </c>
      <c r="B1527" t="str">
        <f>RTD("nest.scriprtd",,"nse_cm|10ISFL26-N3","Trading Symbol")</f>
        <v>10ISFL26-N3</v>
      </c>
      <c r="C1527" t="str">
        <f>RTD("nest.scriprtd",,"nse_cm|10ISFL26-N3","Exchange")</f>
        <v>NSE</v>
      </c>
      <c r="D1527">
        <f>RTD("nest.scriprtd",,"nse_cm|10ISFL26-N3","Bid Qty")</f>
        <v>50</v>
      </c>
      <c r="E1527">
        <f>RTD("nest.scriprtd",,"nse_cm|10ISFL26-N3","Bid Rate")</f>
        <v>1021</v>
      </c>
      <c r="F1527">
        <f>RTD("nest.scriprtd",,"nse_cm|10ISFL26-N3","Ask Rate")</f>
        <v>0</v>
      </c>
      <c r="G1527">
        <f>RTD("nest.scriprtd",,"nse_cm|10ISFL26-N3","Ask Qty")</f>
        <v>0</v>
      </c>
      <c r="H1527">
        <f>RTD("nest.scriprtd",,"nse_cm|10ISFL26-N3","LTP")</f>
        <v>1050</v>
      </c>
      <c r="I1527" t="str">
        <f>RTD("nest.scriprtd",,"nse_cm|10ISFL26-N3","LTT")</f>
        <v/>
      </c>
      <c r="J1527">
        <f>RTD("nest.scriprtd",,"nse_cm|10ISFL26-N3","% Change")</f>
        <v>0</v>
      </c>
      <c r="K1527">
        <f>RTD("nest.scriprtd",,"nse_cm|10ISFL26-N3","ATP")</f>
        <v>0</v>
      </c>
      <c r="L1527">
        <f>RTD("nest.scriprtd",,"nse_cm|10ISFL26-N3","Volume Traded Today")</f>
        <v>0</v>
      </c>
      <c r="M1527">
        <f>RTD("nest.scriprtd",,"nse_cm|10ISFL26-N3","Open")</f>
        <v>0</v>
      </c>
      <c r="N1527">
        <f>RTD("nest.scriprtd",,"nse_cm|10ISFL26-N3","High")</f>
        <v>1050</v>
      </c>
      <c r="O1527">
        <f>RTD("nest.scriprtd",,"nse_cm|10ISFL26-N3","Low ")</f>
        <v>1049.9000000000001</v>
      </c>
      <c r="P1527">
        <f>RTD("nest.scriprtd",,"nse_cm|10ISFL26-N3","Prev Close")</f>
        <v>1050</v>
      </c>
      <c r="Q1527">
        <f>RTD("nest.scriprtd",,"nse_cm|10ISFL26-N3","Face Value")</f>
        <v>1000</v>
      </c>
      <c r="R1527" t="str">
        <f>RTD("nest.scriprtd",,"nse_cm|10ISFL26-N3","Isin code")</f>
        <v>INE413U07277</v>
      </c>
      <c r="S1527" s="9">
        <f>Table1[[#This Row],[Ask Rate]]*Table1[[#This Row],[Ask Qty]]</f>
        <v>0</v>
      </c>
      <c r="T1527">
        <f>VLOOKUP(Table1[[#This Row],[Isin code]],Table2[#All],7,FALSE)</f>
        <v>10</v>
      </c>
      <c r="U1527" s="17" t="str">
        <f>VLOOKUP(Table1[[#This Row],[Isin code]],Table2[#All],8,FALSE)</f>
        <v>21-Dec-2026</v>
      </c>
      <c r="V1527" s="10">
        <f ca="1">Table1[[#This Row],[Maturity]]-TODAY()</f>
        <v>796</v>
      </c>
      <c r="W1527" t="str">
        <f>VLOOKUP(Table1[[#This Row],[Isin code]],Table2[#All],10,FALSE)</f>
        <v>At the End</v>
      </c>
      <c r="X1527">
        <f ca="1">_xlfn.DAYS(Table1[[#This Row],[Maturity]],TODAY())-15</f>
        <v>781</v>
      </c>
      <c r="Y152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27">
        <f>IF(Table1[[#This Row],[Ask Rate]]=0,0,Table1[[#This Row],[Face Value]]-Table1[[#This Row],[Ask Rate]])</f>
        <v>0</v>
      </c>
      <c r="AA152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27">
        <f>Table1[[#This Row],[Face Value]]*Table1[[#This Row],[Rate]]*Table1[[#This Row],[Time]]</f>
        <v>0</v>
      </c>
      <c r="AC1527">
        <f>Table1[[#This Row],[SI]]+Table1[[#This Row],[Disc/Prem]]</f>
        <v>0</v>
      </c>
      <c r="AD1527" s="3" t="e">
        <f>Table1[[#This Row],[Net Gain]]/Table1[[#This Row],[Ask Rate]]</f>
        <v>#DIV/0!</v>
      </c>
      <c r="AE1527" s="3">
        <f>IF(Table1[[#This Row],[Ask Qty]]=0,0,Table1[[#This Row],[Gross Yield]]*365/Table1[[#This Row],[Days Left]])</f>
        <v>0</v>
      </c>
      <c r="AF1527" s="9">
        <f>+Table1[[#This Row],[Net Gain]]*Table1[[#This Row],[Ask Qty]]</f>
        <v>0</v>
      </c>
      <c r="AG1527" t="str">
        <f>IF(Table1[[#This Row],[YTM]]&gt;0.12,IF(Table1[[#This Row],[Gross Profit]]&gt;10000,"Invest","Review"),"Low YTM")</f>
        <v>Low YTM</v>
      </c>
    </row>
    <row r="1528" spans="1:33" x14ac:dyDescent="0.3">
      <c r="A1528" t="str">
        <f>RTD("nest.scriprtd",,"bse_cm|IML29","Symbol")</f>
        <v>IML29</v>
      </c>
      <c r="B1528" t="str">
        <f>RTD("nest.scriprtd",,"bse_cm|IML29","Trading Symbol")</f>
        <v>IML29</v>
      </c>
      <c r="C1528" t="str">
        <f>RTD("nest.scriprtd",,"bse_cm|IML29","Exchange")</f>
        <v>BSE</v>
      </c>
      <c r="D1528">
        <f>RTD("nest.scriprtd",,"bse_cm|IML29","Bid Qty")</f>
        <v>186</v>
      </c>
      <c r="E1528">
        <f>RTD("nest.scriprtd",,"bse_cm|IML29","Bid Rate")</f>
        <v>1070</v>
      </c>
      <c r="F1528">
        <f>RTD("nest.scriprtd",,"bse_cm|IML29","Ask Rate")</f>
        <v>0</v>
      </c>
      <c r="G1528">
        <f>RTD("nest.scriprtd",,"bse_cm|IML29","Ask Qty")</f>
        <v>0</v>
      </c>
      <c r="H1528">
        <f>RTD("nest.scriprtd",,"bse_cm|IML29","LTP")</f>
        <v>0</v>
      </c>
      <c r="I1528" t="str">
        <f>RTD("nest.scriprtd",,"bse_cm|IML29","LTT")</f>
        <v>00:00:00</v>
      </c>
      <c r="J1528">
        <f>RTD("nest.scriprtd",,"bse_cm|IML29","% Change")</f>
        <v>-100</v>
      </c>
      <c r="K1528">
        <f>RTD("nest.scriprtd",,"bse_cm|IML29","ATP")</f>
        <v>0</v>
      </c>
      <c r="L1528">
        <f>RTD("nest.scriprtd",,"bse_cm|IML29","Volume Traded Today")</f>
        <v>0</v>
      </c>
      <c r="M1528">
        <f>RTD("nest.scriprtd",,"bse_cm|IML29","Open")</f>
        <v>0</v>
      </c>
      <c r="N1528">
        <f>RTD("nest.scriprtd",,"bse_cm|IML29","High")</f>
        <v>1071</v>
      </c>
      <c r="O1528">
        <f>RTD("nest.scriprtd",,"bse_cm|IML29","Low ")</f>
        <v>1070</v>
      </c>
      <c r="P1528">
        <f>RTD("nest.scriprtd",,"bse_cm|IML29","Prev Close")</f>
        <v>1071</v>
      </c>
      <c r="Q1528">
        <f>RTD("nest.scriprtd",,"bse_cm|IML29","Face Value")</f>
        <v>1000</v>
      </c>
      <c r="R1528" t="str">
        <f>RTD("nest.scriprtd",,"bse_cm|IML29","Isin code")</f>
        <v>INE0BUS07965</v>
      </c>
      <c r="S1528" s="9">
        <f>Table1[[#This Row],[Ask Rate]]*Table1[[#This Row],[Ask Qty]]</f>
        <v>0</v>
      </c>
      <c r="T1528" t="str">
        <f>VLOOKUP(Table1[[#This Row],[Isin code]],Table2[#All],7,FALSE)</f>
        <v>--</v>
      </c>
      <c r="U1528" s="17" t="str">
        <f>VLOOKUP(Table1[[#This Row],[Isin code]],Table2[#All],8,FALSE)</f>
        <v>23-Jun-2029</v>
      </c>
      <c r="V1528" s="10">
        <f ca="1">Table1[[#This Row],[Maturity]]-TODAY()</f>
        <v>1711</v>
      </c>
      <c r="W1528" t="str">
        <f>VLOOKUP(Table1[[#This Row],[Isin code]],Table2[#All],10,FALSE)</f>
        <v>At the End</v>
      </c>
      <c r="X1528">
        <f ca="1">_xlfn.DAYS(Table1[[#This Row],[Maturity]],TODAY())-15</f>
        <v>1696</v>
      </c>
      <c r="Y152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28">
        <f>IF(Table1[[#This Row],[Ask Rate]]=0,0,Table1[[#This Row],[Face Value]]-Table1[[#This Row],[Ask Rate]])</f>
        <v>0</v>
      </c>
      <c r="AA152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28">
        <f>Table1[[#This Row],[Face Value]]*Table1[[#This Row],[Rate]]*Table1[[#This Row],[Time]]</f>
        <v>0</v>
      </c>
      <c r="AC1528">
        <f>Table1[[#This Row],[SI]]+Table1[[#This Row],[Disc/Prem]]</f>
        <v>0</v>
      </c>
      <c r="AD1528" s="3" t="e">
        <f>Table1[[#This Row],[Net Gain]]/Table1[[#This Row],[Ask Rate]]</f>
        <v>#DIV/0!</v>
      </c>
      <c r="AE1528" s="3">
        <f>IF(Table1[[#This Row],[Ask Qty]]=0,0,Table1[[#This Row],[Gross Yield]]*365/Table1[[#This Row],[Days Left]])</f>
        <v>0</v>
      </c>
      <c r="AF1528" s="9">
        <f>+Table1[[#This Row],[Net Gain]]*Table1[[#This Row],[Ask Qty]]</f>
        <v>0</v>
      </c>
      <c r="AG1528" t="str">
        <f>IF(Table1[[#This Row],[YTM]]&gt;0.12,IF(Table1[[#This Row],[Gross Profit]]&gt;10000,"Invest","Review"),"Low YTM")</f>
        <v>Low YTM</v>
      </c>
    </row>
    <row r="1529" spans="1:33" x14ac:dyDescent="0.3">
      <c r="A1529" t="str">
        <f>RTD("nest.scriprtd",,"bse_cm|CIFC28","Symbol")</f>
        <v>CIFC28</v>
      </c>
      <c r="B1529" t="str">
        <f>RTD("nest.scriprtd",,"bse_cm|CIFC28","Trading Symbol")</f>
        <v>CIFC28</v>
      </c>
      <c r="C1529" t="str">
        <f>RTD("nest.scriprtd",,"bse_cm|CIFC28","Exchange")</f>
        <v>BSE</v>
      </c>
      <c r="D1529">
        <f>RTD("nest.scriprtd",,"bse_cm|CIFC28","Bid Qty")</f>
        <v>3</v>
      </c>
      <c r="E1529">
        <f>RTD("nest.scriprtd",,"bse_cm|CIFC28","Bid Rate")</f>
        <v>1010.1</v>
      </c>
      <c r="F1529">
        <f>RTD("nest.scriprtd",,"bse_cm|CIFC28","Ask Rate")</f>
        <v>0</v>
      </c>
      <c r="G1529">
        <f>RTD("nest.scriprtd",,"bse_cm|CIFC28","Ask Qty")</f>
        <v>0</v>
      </c>
      <c r="H1529">
        <f>RTD("nest.scriprtd",,"bse_cm|CIFC28","LTP")</f>
        <v>0</v>
      </c>
      <c r="I1529" t="str">
        <f>RTD("nest.scriprtd",,"bse_cm|CIFC28","LTT")</f>
        <v>00:00:00</v>
      </c>
      <c r="J1529">
        <f>RTD("nest.scriprtd",,"bse_cm|CIFC28","% Change")</f>
        <v>-100</v>
      </c>
      <c r="K1529">
        <f>RTD("nest.scriprtd",,"bse_cm|CIFC28","ATP")</f>
        <v>0</v>
      </c>
      <c r="L1529">
        <f>RTD("nest.scriprtd",,"bse_cm|CIFC28","Volume Traded Today")</f>
        <v>0</v>
      </c>
      <c r="M1529">
        <f>RTD("nest.scriprtd",,"bse_cm|CIFC28","Open")</f>
        <v>0</v>
      </c>
      <c r="N1529">
        <f>RTD("nest.scriprtd",,"bse_cm|CIFC28","High")</f>
        <v>1083</v>
      </c>
      <c r="O1529">
        <f>RTD("nest.scriprtd",,"bse_cm|CIFC28","Low ")</f>
        <v>1083</v>
      </c>
      <c r="P1529">
        <f>RTD("nest.scriprtd",,"bse_cm|CIFC28","Prev Close")</f>
        <v>1083</v>
      </c>
      <c r="Q1529">
        <f>RTD("nest.scriprtd",,"bse_cm|CIFC28","Face Value")</f>
        <v>1000</v>
      </c>
      <c r="R1529" t="str">
        <f>RTD("nest.scriprtd",,"bse_cm|CIFC28","Isin code")</f>
        <v>INE121A07RI0</v>
      </c>
      <c r="S1529" s="9">
        <f>Table1[[#This Row],[Ask Rate]]*Table1[[#This Row],[Ask Qty]]</f>
        <v>0</v>
      </c>
      <c r="T1529">
        <f>VLOOKUP(Table1[[#This Row],[Isin code]],Table2[#All],7,FALSE)</f>
        <v>0</v>
      </c>
      <c r="U1529" s="17" t="str">
        <f>VLOOKUP(Table1[[#This Row],[Isin code]],Table2[#All],8,FALSE)</f>
        <v>09-Aug-2028</v>
      </c>
      <c r="V1529" s="10">
        <f ca="1">Table1[[#This Row],[Maturity]]-TODAY()</f>
        <v>1393</v>
      </c>
      <c r="W1529" t="str">
        <f>VLOOKUP(Table1[[#This Row],[Isin code]],Table2[#All],10,FALSE)</f>
        <v>0</v>
      </c>
      <c r="X1529">
        <f ca="1">_xlfn.DAYS(Table1[[#This Row],[Maturity]],TODAY())-15</f>
        <v>1378</v>
      </c>
      <c r="Y152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29">
        <f>IF(Table1[[#This Row],[Ask Rate]]=0,0,Table1[[#This Row],[Face Value]]-Table1[[#This Row],[Ask Rate]])</f>
        <v>0</v>
      </c>
      <c r="AA152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29">
        <f>Table1[[#This Row],[Face Value]]*Table1[[#This Row],[Rate]]*Table1[[#This Row],[Time]]</f>
        <v>0</v>
      </c>
      <c r="AC1529">
        <f>Table1[[#This Row],[SI]]+Table1[[#This Row],[Disc/Prem]]</f>
        <v>0</v>
      </c>
      <c r="AD1529" s="3" t="e">
        <f>Table1[[#This Row],[Net Gain]]/Table1[[#This Row],[Ask Rate]]</f>
        <v>#DIV/0!</v>
      </c>
      <c r="AE1529" s="3">
        <f>IF(Table1[[#This Row],[Ask Qty]]=0,0,Table1[[#This Row],[Gross Yield]]*365/Table1[[#This Row],[Days Left]])</f>
        <v>0</v>
      </c>
      <c r="AF1529" s="9">
        <f>+Table1[[#This Row],[Net Gain]]*Table1[[#This Row],[Ask Qty]]</f>
        <v>0</v>
      </c>
      <c r="AG1529" t="str">
        <f>IF(Table1[[#This Row],[YTM]]&gt;0.12,IF(Table1[[#This Row],[Gross Profit]]&gt;10000,"Invest","Review"),"Low YTM")</f>
        <v>Low YTM</v>
      </c>
    </row>
    <row r="1530" spans="1:33" x14ac:dyDescent="0.3">
      <c r="A1530" t="str">
        <f>RTD("nest.scriprtd",,"bse_cm|KFLZC25E","Symbol")</f>
        <v>KFLZC25E</v>
      </c>
      <c r="B1530" t="str">
        <f>RTD("nest.scriprtd",,"bse_cm|KFLZC25E","Trading Symbol")</f>
        <v>KFLZC25E</v>
      </c>
      <c r="C1530" t="str">
        <f>RTD("nest.scriprtd",,"bse_cm|KFLZC25E","Exchange")</f>
        <v>BSE</v>
      </c>
      <c r="D1530">
        <f>RTD("nest.scriprtd",,"bse_cm|KFLZC25E","Bid Qty")</f>
        <v>30</v>
      </c>
      <c r="E1530">
        <f>RTD("nest.scriprtd",,"bse_cm|KFLZC25E","Bid Rate")</f>
        <v>926</v>
      </c>
      <c r="F1530">
        <f>RTD("nest.scriprtd",,"bse_cm|KFLZC25E","Ask Rate")</f>
        <v>0</v>
      </c>
      <c r="G1530">
        <f>RTD("nest.scriprtd",,"bse_cm|KFLZC25E","Ask Qty")</f>
        <v>0</v>
      </c>
      <c r="H1530">
        <f>RTD("nest.scriprtd",,"bse_cm|KFLZC25E","LTP")</f>
        <v>0</v>
      </c>
      <c r="I1530" t="str">
        <f>RTD("nest.scriprtd",,"bse_cm|KFLZC25E","LTT")</f>
        <v>00:00:00</v>
      </c>
      <c r="J1530">
        <f>RTD("nest.scriprtd",,"bse_cm|KFLZC25E","% Change")</f>
        <v>-100</v>
      </c>
      <c r="K1530">
        <f>RTD("nest.scriprtd",,"bse_cm|KFLZC25E","ATP")</f>
        <v>0</v>
      </c>
      <c r="L1530">
        <f>RTD("nest.scriprtd",,"bse_cm|KFLZC25E","Volume Traded Today")</f>
        <v>0</v>
      </c>
      <c r="M1530">
        <f>RTD("nest.scriprtd",,"bse_cm|KFLZC25E","Open")</f>
        <v>0</v>
      </c>
      <c r="N1530">
        <f>RTD("nest.scriprtd",,"bse_cm|KFLZC25E","High")</f>
        <v>1039</v>
      </c>
      <c r="O1530">
        <f>RTD("nest.scriprtd",,"bse_cm|KFLZC25E","Low ")</f>
        <v>1039</v>
      </c>
      <c r="P1530">
        <f>RTD("nest.scriprtd",,"bse_cm|KFLZC25E","Prev Close")</f>
        <v>1039</v>
      </c>
      <c r="Q1530">
        <f>RTD("nest.scriprtd",,"bse_cm|KFLZC25E","Face Value")</f>
        <v>1000</v>
      </c>
      <c r="R1530" t="str">
        <f>RTD("nest.scriprtd",,"bse_cm|KFLZC25E","Isin code")</f>
        <v>INE403Q07DX7</v>
      </c>
      <c r="S1530" s="9">
        <f>Table1[[#This Row],[Ask Rate]]*Table1[[#This Row],[Ask Qty]]</f>
        <v>0</v>
      </c>
      <c r="T1530" t="str">
        <f>VLOOKUP(Table1[[#This Row],[Isin code]],Table2[#All],7,FALSE)</f>
        <v>--</v>
      </c>
      <c r="U1530" s="17" t="str">
        <f>VLOOKUP(Table1[[#This Row],[Isin code]],Table2[#All],8,FALSE)</f>
        <v>17-Jul-2025</v>
      </c>
      <c r="V1530" s="10">
        <f ca="1">Table1[[#This Row],[Maturity]]-TODAY()</f>
        <v>274</v>
      </c>
      <c r="W1530" t="str">
        <f>VLOOKUP(Table1[[#This Row],[Isin code]],Table2[#All],10,FALSE)</f>
        <v>At the End</v>
      </c>
      <c r="X1530">
        <f ca="1">_xlfn.DAYS(Table1[[#This Row],[Maturity]],TODAY())-15</f>
        <v>259</v>
      </c>
      <c r="Y153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30">
        <f>IF(Table1[[#This Row],[Ask Rate]]=0,0,Table1[[#This Row],[Face Value]]-Table1[[#This Row],[Ask Rate]])</f>
        <v>0</v>
      </c>
      <c r="AA153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30">
        <f>Table1[[#This Row],[Face Value]]*Table1[[#This Row],[Rate]]*Table1[[#This Row],[Time]]</f>
        <v>0</v>
      </c>
      <c r="AC1530">
        <f>Table1[[#This Row],[SI]]+Table1[[#This Row],[Disc/Prem]]</f>
        <v>0</v>
      </c>
      <c r="AD1530" s="3" t="e">
        <f>Table1[[#This Row],[Net Gain]]/Table1[[#This Row],[Ask Rate]]</f>
        <v>#DIV/0!</v>
      </c>
      <c r="AE1530" s="3">
        <f>IF(Table1[[#This Row],[Ask Qty]]=0,0,Table1[[#This Row],[Gross Yield]]*365/Table1[[#This Row],[Days Left]])</f>
        <v>0</v>
      </c>
      <c r="AF1530" s="9">
        <f>+Table1[[#This Row],[Net Gain]]*Table1[[#This Row],[Ask Qty]]</f>
        <v>0</v>
      </c>
      <c r="AG1530" t="str">
        <f>IF(Table1[[#This Row],[YTM]]&gt;0.12,IF(Table1[[#This Row],[Gross Profit]]&gt;10000,"Invest","Review"),"Low YTM")</f>
        <v>Low YTM</v>
      </c>
    </row>
    <row r="1531" spans="1:33" x14ac:dyDescent="0.3">
      <c r="A1531" t="str">
        <f>RTD("nest.scriprtd",,"bse_cm|EFSL27","Symbol")</f>
        <v>EFSL27</v>
      </c>
      <c r="B1531" t="str">
        <f>RTD("nest.scriprtd",,"bse_cm|EFSL27","Trading Symbol")</f>
        <v>EFSL27</v>
      </c>
      <c r="C1531" t="str">
        <f>RTD("nest.scriprtd",,"bse_cm|EFSL27","Exchange")</f>
        <v>BSE</v>
      </c>
      <c r="D1531">
        <f>RTD("nest.scriprtd",,"bse_cm|EFSL27","Bid Qty")</f>
        <v>5</v>
      </c>
      <c r="E1531">
        <f>RTD("nest.scriprtd",,"bse_cm|EFSL27","Bid Rate")</f>
        <v>1022.55</v>
      </c>
      <c r="F1531">
        <f>RTD("nest.scriprtd",,"bse_cm|EFSL27","Ask Rate")</f>
        <v>0</v>
      </c>
      <c r="G1531">
        <f>RTD("nest.scriprtd",,"bse_cm|EFSL27","Ask Qty")</f>
        <v>0</v>
      </c>
      <c r="H1531">
        <f>RTD("nest.scriprtd",,"bse_cm|EFSL27","LTP")</f>
        <v>0</v>
      </c>
      <c r="I1531" t="str">
        <f>RTD("nest.scriprtd",,"bse_cm|EFSL27","LTT")</f>
        <v>00:00:00</v>
      </c>
      <c r="J1531">
        <f>RTD("nest.scriprtd",,"bse_cm|EFSL27","% Change")</f>
        <v>-100</v>
      </c>
      <c r="K1531">
        <f>RTD("nest.scriprtd",,"bse_cm|EFSL27","ATP")</f>
        <v>0</v>
      </c>
      <c r="L1531">
        <f>RTD("nest.scriprtd",,"bse_cm|EFSL27","Volume Traded Today")</f>
        <v>0</v>
      </c>
      <c r="M1531">
        <f>RTD("nest.scriprtd",,"bse_cm|EFSL27","Open")</f>
        <v>0</v>
      </c>
      <c r="N1531">
        <f>RTD("nest.scriprtd",,"bse_cm|EFSL27","High")</f>
        <v>1050.55</v>
      </c>
      <c r="O1531">
        <f>RTD("nest.scriprtd",,"bse_cm|EFSL27","Low ")</f>
        <v>1050.55</v>
      </c>
      <c r="P1531">
        <f>RTD("nest.scriprtd",,"bse_cm|EFSL27","Prev Close")</f>
        <v>1050.55</v>
      </c>
      <c r="Q1531">
        <f>RTD("nest.scriprtd",,"bse_cm|EFSL27","Face Value")</f>
        <v>1000</v>
      </c>
      <c r="R1531" t="str">
        <f>RTD("nest.scriprtd",,"bse_cm|EFSL27","Isin code")</f>
        <v>INE532F07DA4</v>
      </c>
      <c r="S1531" s="9">
        <f>Table1[[#This Row],[Ask Rate]]*Table1[[#This Row],[Ask Qty]]</f>
        <v>0</v>
      </c>
      <c r="T1531" t="str">
        <f>VLOOKUP(Table1[[#This Row],[Isin code]],Table2[#All],7,FALSE)</f>
        <v>--</v>
      </c>
      <c r="U1531" s="17" t="str">
        <f>VLOOKUP(Table1[[#This Row],[Isin code]],Table2[#All],8,FALSE)</f>
        <v>20-Oct-2027</v>
      </c>
      <c r="V1531" s="10">
        <f ca="1">Table1[[#This Row],[Maturity]]-TODAY()</f>
        <v>1099</v>
      </c>
      <c r="W1531" t="str">
        <f>VLOOKUP(Table1[[#This Row],[Isin code]],Table2[#All],10,FALSE)</f>
        <v>At the End</v>
      </c>
      <c r="X1531">
        <f ca="1">_xlfn.DAYS(Table1[[#This Row],[Maturity]],TODAY())-15</f>
        <v>1084</v>
      </c>
      <c r="Y153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31">
        <f>IF(Table1[[#This Row],[Ask Rate]]=0,0,Table1[[#This Row],[Face Value]]-Table1[[#This Row],[Ask Rate]])</f>
        <v>0</v>
      </c>
      <c r="AA153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31">
        <f>Table1[[#This Row],[Face Value]]*Table1[[#This Row],[Rate]]*Table1[[#This Row],[Time]]</f>
        <v>0</v>
      </c>
      <c r="AC1531">
        <f>Table1[[#This Row],[SI]]+Table1[[#This Row],[Disc/Prem]]</f>
        <v>0</v>
      </c>
      <c r="AD1531" s="3" t="e">
        <f>Table1[[#This Row],[Net Gain]]/Table1[[#This Row],[Ask Rate]]</f>
        <v>#DIV/0!</v>
      </c>
      <c r="AE1531" s="3">
        <f>IF(Table1[[#This Row],[Ask Qty]]=0,0,Table1[[#This Row],[Gross Yield]]*365/Table1[[#This Row],[Days Left]])</f>
        <v>0</v>
      </c>
      <c r="AF1531" s="9">
        <f>+Table1[[#This Row],[Net Gain]]*Table1[[#This Row],[Ask Qty]]</f>
        <v>0</v>
      </c>
      <c r="AG1531" t="str">
        <f>IF(Table1[[#This Row],[YTM]]&gt;0.12,IF(Table1[[#This Row],[Gross Profit]]&gt;10000,"Invest","Review"),"Low YTM")</f>
        <v>Low YTM</v>
      </c>
    </row>
    <row r="1532" spans="1:33" x14ac:dyDescent="0.3">
      <c r="A1532" t="str">
        <f>RTD("nest.scriprtd",,"bse_cm|0SMCGSL27","Symbol")</f>
        <v>0SMCGSL27</v>
      </c>
      <c r="B1532" t="str">
        <f>RTD("nest.scriprtd",,"bse_cm|0SMCGSL27","Trading Symbol")</f>
        <v>0SMCGSL27</v>
      </c>
      <c r="C1532" t="str">
        <f>RTD("nest.scriprtd",,"bse_cm|0SMCGSL27","Exchange")</f>
        <v>BSE</v>
      </c>
      <c r="D1532">
        <f>RTD("nest.scriprtd",,"bse_cm|0SMCGSL27","Bid Qty")</f>
        <v>17</v>
      </c>
      <c r="E1532">
        <f>RTD("nest.scriprtd",,"bse_cm|0SMCGSL27","Bid Rate")</f>
        <v>861.1</v>
      </c>
      <c r="F1532">
        <f>RTD("nest.scriprtd",,"bse_cm|0SMCGSL27","Ask Rate")</f>
        <v>0</v>
      </c>
      <c r="G1532">
        <f>RTD("nest.scriprtd",,"bse_cm|0SMCGSL27","Ask Qty")</f>
        <v>0</v>
      </c>
      <c r="H1532">
        <f>RTD("nest.scriprtd",,"bse_cm|0SMCGSL27","LTP")</f>
        <v>0</v>
      </c>
      <c r="I1532" t="str">
        <f>RTD("nest.scriprtd",,"bse_cm|0SMCGSL27","LTT")</f>
        <v>00:00:00</v>
      </c>
      <c r="J1532">
        <f>RTD("nest.scriprtd",,"bse_cm|0SMCGSL27","% Change")</f>
        <v>-100</v>
      </c>
      <c r="K1532">
        <f>RTD("nest.scriprtd",,"bse_cm|0SMCGSL27","ATP")</f>
        <v>0</v>
      </c>
      <c r="L1532">
        <f>RTD("nest.scriprtd",,"bse_cm|0SMCGSL27","Volume Traded Today")</f>
        <v>0</v>
      </c>
      <c r="M1532">
        <f>RTD("nest.scriprtd",,"bse_cm|0SMCGSL27","Open")</f>
        <v>0</v>
      </c>
      <c r="N1532">
        <f>RTD("nest.scriprtd",,"bse_cm|0SMCGSL27","High")</f>
        <v>1000</v>
      </c>
      <c r="O1532">
        <f>RTD("nest.scriprtd",,"bse_cm|0SMCGSL27","Low ")</f>
        <v>1000</v>
      </c>
      <c r="P1532">
        <f>RTD("nest.scriprtd",,"bse_cm|0SMCGSL27","Prev Close")</f>
        <v>1000</v>
      </c>
      <c r="Q1532">
        <f>RTD("nest.scriprtd",,"bse_cm|0SMCGSL27","Face Value")</f>
        <v>1000</v>
      </c>
      <c r="R1532" t="str">
        <f>RTD("nest.scriprtd",,"bse_cm|0SMCGSL27","Isin code")</f>
        <v>INE103C07058</v>
      </c>
      <c r="S1532" s="9">
        <f>Table1[[#This Row],[Ask Rate]]*Table1[[#This Row],[Ask Qty]]</f>
        <v>0</v>
      </c>
      <c r="T1532" t="str">
        <f>VLOOKUP(Table1[[#This Row],[Isin code]],Table2[#All],7,FALSE)</f>
        <v>--</v>
      </c>
      <c r="U1532" s="17" t="str">
        <f>VLOOKUP(Table1[[#This Row],[Isin code]],Table2[#All],8,FALSE)</f>
        <v>07-Aug-2027</v>
      </c>
      <c r="V1532" s="10">
        <f ca="1">Table1[[#This Row],[Maturity]]-TODAY()</f>
        <v>1025</v>
      </c>
      <c r="W1532" t="str">
        <f>VLOOKUP(Table1[[#This Row],[Isin code]],Table2[#All],10,FALSE)</f>
        <v>CUMULATIVE</v>
      </c>
      <c r="X1532">
        <f ca="1">_xlfn.DAYS(Table1[[#This Row],[Maturity]],TODAY())-15</f>
        <v>1010</v>
      </c>
      <c r="Y153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32">
        <f>IF(Table1[[#This Row],[Ask Rate]]=0,0,Table1[[#This Row],[Face Value]]-Table1[[#This Row],[Ask Rate]])</f>
        <v>0</v>
      </c>
      <c r="AA153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32">
        <f>Table1[[#This Row],[Face Value]]*Table1[[#This Row],[Rate]]*Table1[[#This Row],[Time]]</f>
        <v>0</v>
      </c>
      <c r="AC1532">
        <f>Table1[[#This Row],[SI]]+Table1[[#This Row],[Disc/Prem]]</f>
        <v>0</v>
      </c>
      <c r="AD1532" s="3" t="e">
        <f>Table1[[#This Row],[Net Gain]]/Table1[[#This Row],[Ask Rate]]</f>
        <v>#DIV/0!</v>
      </c>
      <c r="AE1532" s="3">
        <f>IF(Table1[[#This Row],[Ask Qty]]=0,0,Table1[[#This Row],[Gross Yield]]*365/Table1[[#This Row],[Days Left]])</f>
        <v>0</v>
      </c>
      <c r="AF1532" s="9">
        <f>+Table1[[#This Row],[Net Gain]]*Table1[[#This Row],[Ask Qty]]</f>
        <v>0</v>
      </c>
      <c r="AG1532" t="str">
        <f>IF(Table1[[#This Row],[YTM]]&gt;0.12,IF(Table1[[#This Row],[Gross Profit]]&gt;10000,"Invest","Review"),"Low YTM")</f>
        <v>Low YTM</v>
      </c>
    </row>
    <row r="1533" spans="1:33" x14ac:dyDescent="0.3">
      <c r="A1533" t="str">
        <f>RTD("nest.scriprtd",,"bse_cm|MFL26E","Symbol")</f>
        <v>MFL26E</v>
      </c>
      <c r="B1533" t="str">
        <f>RTD("nest.scriprtd",,"bse_cm|MFL26E","Trading Symbol")</f>
        <v>MFL26E</v>
      </c>
      <c r="C1533" t="str">
        <f>RTD("nest.scriprtd",,"bse_cm|MFL26E","Exchange")</f>
        <v>BSE</v>
      </c>
      <c r="D1533">
        <f>RTD("nest.scriprtd",,"bse_cm|MFL26E","Bid Qty")</f>
        <v>5</v>
      </c>
      <c r="E1533">
        <f>RTD("nest.scriprtd",,"bse_cm|MFL26E","Bid Rate")</f>
        <v>1100.0999999999999</v>
      </c>
      <c r="F1533">
        <f>RTD("nest.scriprtd",,"bse_cm|MFL26E","Ask Rate")</f>
        <v>0</v>
      </c>
      <c r="G1533">
        <f>RTD("nest.scriprtd",,"bse_cm|MFL26E","Ask Qty")</f>
        <v>0</v>
      </c>
      <c r="H1533">
        <f>RTD("nest.scriprtd",,"bse_cm|MFL26E","LTP")</f>
        <v>0</v>
      </c>
      <c r="I1533" t="str">
        <f>RTD("nest.scriprtd",,"bse_cm|MFL26E","LTT")</f>
        <v>00:00:00</v>
      </c>
      <c r="J1533">
        <f>RTD("nest.scriprtd",,"bse_cm|MFL26E","% Change")</f>
        <v>-100</v>
      </c>
      <c r="K1533">
        <f>RTD("nest.scriprtd",,"bse_cm|MFL26E","ATP")</f>
        <v>0</v>
      </c>
      <c r="L1533">
        <f>RTD("nest.scriprtd",,"bse_cm|MFL26E","Volume Traded Today")</f>
        <v>0</v>
      </c>
      <c r="M1533">
        <f>RTD("nest.scriprtd",,"bse_cm|MFL26E","Open")</f>
        <v>0</v>
      </c>
      <c r="N1533">
        <f>RTD("nest.scriprtd",,"bse_cm|MFL26E","High")</f>
        <v>1134</v>
      </c>
      <c r="O1533">
        <f>RTD("nest.scriprtd",,"bse_cm|MFL26E","Low ")</f>
        <v>1134</v>
      </c>
      <c r="P1533">
        <f>RTD("nest.scriprtd",,"bse_cm|MFL26E","Prev Close")</f>
        <v>1134</v>
      </c>
      <c r="Q1533">
        <f>RTD("nest.scriprtd",,"bse_cm|MFL26E","Face Value")</f>
        <v>1000</v>
      </c>
      <c r="R1533" t="str">
        <f>RTD("nest.scriprtd",,"bse_cm|MFL26E","Isin code")</f>
        <v>INE549K07BK1</v>
      </c>
      <c r="S1533" s="9">
        <f>Table1[[#This Row],[Ask Rate]]*Table1[[#This Row],[Ask Qty]]</f>
        <v>0</v>
      </c>
      <c r="T1533" t="str">
        <f>VLOOKUP(Table1[[#This Row],[Isin code]],Table2[#All],7,FALSE)</f>
        <v>--</v>
      </c>
      <c r="U1533" s="17" t="str">
        <f>VLOOKUP(Table1[[#This Row],[Isin code]],Table2[#All],8,FALSE)</f>
        <v>06-Sep-2026</v>
      </c>
      <c r="V1533" s="10">
        <f ca="1">Table1[[#This Row],[Maturity]]-TODAY()</f>
        <v>690</v>
      </c>
      <c r="W1533" t="str">
        <f>VLOOKUP(Table1[[#This Row],[Isin code]],Table2[#All],10,FALSE)</f>
        <v>At the End</v>
      </c>
      <c r="X1533">
        <f ca="1">_xlfn.DAYS(Table1[[#This Row],[Maturity]],TODAY())-15</f>
        <v>675</v>
      </c>
      <c r="Y153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33">
        <f>IF(Table1[[#This Row],[Ask Rate]]=0,0,Table1[[#This Row],[Face Value]]-Table1[[#This Row],[Ask Rate]])</f>
        <v>0</v>
      </c>
      <c r="AA153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33">
        <f>Table1[[#This Row],[Face Value]]*Table1[[#This Row],[Rate]]*Table1[[#This Row],[Time]]</f>
        <v>0</v>
      </c>
      <c r="AC1533">
        <f>Table1[[#This Row],[SI]]+Table1[[#This Row],[Disc/Prem]]</f>
        <v>0</v>
      </c>
      <c r="AD1533" s="3" t="e">
        <f>Table1[[#This Row],[Net Gain]]/Table1[[#This Row],[Ask Rate]]</f>
        <v>#DIV/0!</v>
      </c>
      <c r="AE1533" s="3">
        <f>IF(Table1[[#This Row],[Ask Qty]]=0,0,Table1[[#This Row],[Gross Yield]]*365/Table1[[#This Row],[Days Left]])</f>
        <v>0</v>
      </c>
      <c r="AF1533" s="9">
        <f>+Table1[[#This Row],[Net Gain]]*Table1[[#This Row],[Ask Qty]]</f>
        <v>0</v>
      </c>
      <c r="AG1533" t="str">
        <f>IF(Table1[[#This Row],[YTM]]&gt;0.12,IF(Table1[[#This Row],[Gross Profit]]&gt;10000,"Invest","Review"),"Low YTM")</f>
        <v>Low YTM</v>
      </c>
    </row>
    <row r="1534" spans="1:33" x14ac:dyDescent="0.3">
      <c r="A1534" t="str">
        <f>RTD("nest.scriprtd",,"bse_cm|990SCL26D","Symbol")</f>
        <v>990SCL26D</v>
      </c>
      <c r="B1534" t="str">
        <f>RTD("nest.scriprtd",,"bse_cm|990SCL26D","Trading Symbol")</f>
        <v>990SCL26D</v>
      </c>
      <c r="C1534" t="str">
        <f>RTD("nest.scriprtd",,"bse_cm|990SCL26D","Exchange")</f>
        <v>BSE</v>
      </c>
      <c r="D1534">
        <f>RTD("nest.scriprtd",,"bse_cm|990SCL26D","Bid Qty")</f>
        <v>20</v>
      </c>
      <c r="E1534">
        <f>RTD("nest.scriprtd",,"bse_cm|990SCL26D","Bid Rate")</f>
        <v>797</v>
      </c>
      <c r="F1534">
        <f>RTD("nest.scriprtd",,"bse_cm|990SCL26D","Ask Rate")</f>
        <v>0</v>
      </c>
      <c r="G1534">
        <f>RTD("nest.scriprtd",,"bse_cm|990SCL26D","Ask Qty")</f>
        <v>0</v>
      </c>
      <c r="H1534">
        <f>RTD("nest.scriprtd",,"bse_cm|990SCL26D","LTP")</f>
        <v>0</v>
      </c>
      <c r="I1534" t="str">
        <f>RTD("nest.scriprtd",,"bse_cm|990SCL26D","LTT")</f>
        <v>00:00:00</v>
      </c>
      <c r="J1534">
        <f>RTD("nest.scriprtd",,"bse_cm|990SCL26D","% Change")</f>
        <v>-100</v>
      </c>
      <c r="K1534">
        <f>RTD("nest.scriprtd",,"bse_cm|990SCL26D","ATP")</f>
        <v>0</v>
      </c>
      <c r="L1534">
        <f>RTD("nest.scriprtd",,"bse_cm|990SCL26D","Volume Traded Today")</f>
        <v>0</v>
      </c>
      <c r="M1534">
        <f>RTD("nest.scriprtd",,"bse_cm|990SCL26D","Open")</f>
        <v>0</v>
      </c>
      <c r="N1534">
        <f>RTD("nest.scriprtd",,"bse_cm|990SCL26D","High")</f>
        <v>840</v>
      </c>
      <c r="O1534">
        <f>RTD("nest.scriprtd",,"bse_cm|990SCL26D","Low ")</f>
        <v>804</v>
      </c>
      <c r="P1534">
        <f>RTD("nest.scriprtd",,"bse_cm|990SCL26D","Prev Close")</f>
        <v>840</v>
      </c>
      <c r="Q1534">
        <f>RTD("nest.scriprtd",,"bse_cm|990SCL26D","Face Value")</f>
        <v>667</v>
      </c>
      <c r="R1534" t="str">
        <f>RTD("nest.scriprtd",,"bse_cm|990SCL26D","Isin code")</f>
        <v>INE148I07OB8</v>
      </c>
      <c r="S1534" s="9">
        <f>Table1[[#This Row],[Ask Rate]]*Table1[[#This Row],[Ask Qty]]</f>
        <v>0</v>
      </c>
      <c r="T1534">
        <f>VLOOKUP(Table1[[#This Row],[Isin code]],Table2[#All],7,FALSE)</f>
        <v>9.9</v>
      </c>
      <c r="U1534" s="17" t="str">
        <f>VLOOKUP(Table1[[#This Row],[Isin code]],Table2[#All],8,FALSE)</f>
        <v>23-Mar-2026</v>
      </c>
      <c r="V1534" s="10">
        <f ca="1">Table1[[#This Row],[Maturity]]-TODAY()</f>
        <v>523</v>
      </c>
      <c r="W1534" t="str">
        <f>VLOOKUP(Table1[[#This Row],[Isin code]],Table2[#All],10,FALSE)</f>
        <v>Yearly</v>
      </c>
      <c r="X1534">
        <f ca="1">_xlfn.DAYS(Table1[[#This Row],[Maturity]],TODAY())-15</f>
        <v>508</v>
      </c>
      <c r="Y15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34">
        <f>IF(Table1[[#This Row],[Ask Rate]]=0,0,Table1[[#This Row],[Face Value]]-Table1[[#This Row],[Ask Rate]])</f>
        <v>0</v>
      </c>
      <c r="AA1534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534">
        <f ca="1">Table1[[#This Row],[Face Value]]*Table1[[#This Row],[Rate]]*Table1[[#This Row],[Time]]</f>
        <v>132.066</v>
      </c>
      <c r="AC1534">
        <f ca="1">Table1[[#This Row],[SI]]+Table1[[#This Row],[Disc/Prem]]</f>
        <v>132.066</v>
      </c>
      <c r="AD1534" s="3" t="e">
        <f ca="1">Table1[[#This Row],[Net Gain]]/Table1[[#This Row],[Ask Rate]]</f>
        <v>#DIV/0!</v>
      </c>
      <c r="AE1534" s="3">
        <f>IF(Table1[[#This Row],[Ask Qty]]=0,0,Table1[[#This Row],[Gross Yield]]*365/Table1[[#This Row],[Days Left]])</f>
        <v>0</v>
      </c>
      <c r="AF1534" s="9">
        <f ca="1">+Table1[[#This Row],[Net Gain]]*Table1[[#This Row],[Ask Qty]]</f>
        <v>0</v>
      </c>
      <c r="AG1534" t="str">
        <f>IF(Table1[[#This Row],[YTM]]&gt;0.12,IF(Table1[[#This Row],[Gross Profit]]&gt;10000,"Invest","Review"),"Low YTM")</f>
        <v>Low YTM</v>
      </c>
    </row>
    <row r="1535" spans="1:33" x14ac:dyDescent="0.3">
      <c r="A1535" t="str">
        <f>RTD("nest.scriprtd",,"bse_cm|MMFLZC28B","Symbol")</f>
        <v>MMFLZC28B</v>
      </c>
      <c r="B1535" t="str">
        <f>RTD("nest.scriprtd",,"bse_cm|MMFLZC28B","Trading Symbol")</f>
        <v>MMFLZC28B</v>
      </c>
      <c r="C1535" t="str">
        <f>RTD("nest.scriprtd",,"bse_cm|MMFLZC28B","Exchange")</f>
        <v>BSE</v>
      </c>
      <c r="D1535">
        <f>RTD("nest.scriprtd",,"bse_cm|MMFLZC28B","Bid Qty")</f>
        <v>54</v>
      </c>
      <c r="E1535">
        <f>RTD("nest.scriprtd",,"bse_cm|MMFLZC28B","Bid Rate")</f>
        <v>1050.2</v>
      </c>
      <c r="F1535">
        <f>RTD("nest.scriprtd",,"bse_cm|MMFLZC28B","Ask Rate")</f>
        <v>0</v>
      </c>
      <c r="G1535">
        <f>RTD("nest.scriprtd",,"bse_cm|MMFLZC28B","Ask Qty")</f>
        <v>0</v>
      </c>
      <c r="H1535">
        <f>RTD("nest.scriprtd",,"bse_cm|MMFLZC28B","LTP")</f>
        <v>0</v>
      </c>
      <c r="I1535" t="str">
        <f>RTD("nest.scriprtd",,"bse_cm|MMFLZC28B","LTT")</f>
        <v>00:00:00</v>
      </c>
      <c r="J1535">
        <f>RTD("nest.scriprtd",,"bse_cm|MMFLZC28B","% Change")</f>
        <v>-100</v>
      </c>
      <c r="K1535">
        <f>RTD("nest.scriprtd",,"bse_cm|MMFLZC28B","ATP")</f>
        <v>0</v>
      </c>
      <c r="L1535">
        <f>RTD("nest.scriprtd",,"bse_cm|MMFLZC28B","Volume Traded Today")</f>
        <v>0</v>
      </c>
      <c r="M1535">
        <f>RTD("nest.scriprtd",,"bse_cm|MMFLZC28B","Open")</f>
        <v>0</v>
      </c>
      <c r="N1535">
        <f>RTD("nest.scriprtd",,"bse_cm|MMFLZC28B","High")</f>
        <v>1204</v>
      </c>
      <c r="O1535">
        <f>RTD("nest.scriprtd",,"bse_cm|MMFLZC28B","Low ")</f>
        <v>1204</v>
      </c>
      <c r="P1535">
        <f>RTD("nest.scriprtd",,"bse_cm|MMFLZC28B","Prev Close")</f>
        <v>1204</v>
      </c>
      <c r="Q1535">
        <f>RTD("nest.scriprtd",,"bse_cm|MMFLZC28B","Face Value")</f>
        <v>1000</v>
      </c>
      <c r="R1535" t="str">
        <f>RTD("nest.scriprtd",,"bse_cm|MMFLZC28B","Isin code")</f>
        <v>INE101Q08167</v>
      </c>
      <c r="S1535" s="9">
        <f>Table1[[#This Row],[Ask Rate]]*Table1[[#This Row],[Ask Qty]]</f>
        <v>0</v>
      </c>
      <c r="T1535" t="str">
        <f>VLOOKUP(Table1[[#This Row],[Isin code]],Table2[#All],7,FALSE)</f>
        <v>--</v>
      </c>
      <c r="U1535" s="17" t="str">
        <f>VLOOKUP(Table1[[#This Row],[Isin code]],Table2[#All],8,FALSE)</f>
        <v>15-Sep-2028</v>
      </c>
      <c r="V1535" s="10">
        <f ca="1">Table1[[#This Row],[Maturity]]-TODAY()</f>
        <v>1430</v>
      </c>
      <c r="W1535" t="str">
        <f>VLOOKUP(Table1[[#This Row],[Isin code]],Table2[#All],10,FALSE)</f>
        <v>At the End</v>
      </c>
      <c r="X1535">
        <f ca="1">_xlfn.DAYS(Table1[[#This Row],[Maturity]],TODAY())-15</f>
        <v>1415</v>
      </c>
      <c r="Y153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35">
        <f>IF(Table1[[#This Row],[Ask Rate]]=0,0,Table1[[#This Row],[Face Value]]-Table1[[#This Row],[Ask Rate]])</f>
        <v>0</v>
      </c>
      <c r="AA153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35">
        <f>Table1[[#This Row],[Face Value]]*Table1[[#This Row],[Rate]]*Table1[[#This Row],[Time]]</f>
        <v>0</v>
      </c>
      <c r="AC1535">
        <f>Table1[[#This Row],[SI]]+Table1[[#This Row],[Disc/Prem]]</f>
        <v>0</v>
      </c>
      <c r="AD1535" s="3" t="e">
        <f>Table1[[#This Row],[Net Gain]]/Table1[[#This Row],[Ask Rate]]</f>
        <v>#DIV/0!</v>
      </c>
      <c r="AE1535" s="3">
        <f>IF(Table1[[#This Row],[Ask Qty]]=0,0,Table1[[#This Row],[Gross Yield]]*365/Table1[[#This Row],[Days Left]])</f>
        <v>0</v>
      </c>
      <c r="AF1535" s="9">
        <f>+Table1[[#This Row],[Net Gain]]*Table1[[#This Row],[Ask Qty]]</f>
        <v>0</v>
      </c>
      <c r="AG1535" t="str">
        <f>IF(Table1[[#This Row],[YTM]]&gt;0.12,IF(Table1[[#This Row],[Gross Profit]]&gt;10000,"Invest","Review"),"Low YTM")</f>
        <v>Low YTM</v>
      </c>
    </row>
    <row r="1536" spans="1:33" x14ac:dyDescent="0.3">
      <c r="A1536" t="str">
        <f>RTD("nest.scriprtd",,"bse_cm|MML11924","Symbol")</f>
        <v>MML11924</v>
      </c>
      <c r="B1536" t="str">
        <f>RTD("nest.scriprtd",,"bse_cm|MML11924","Trading Symbol")</f>
        <v>MML11924</v>
      </c>
      <c r="C1536" t="str">
        <f>RTD("nest.scriprtd",,"bse_cm|MML11924","Exchange")</f>
        <v>BSE</v>
      </c>
      <c r="D1536">
        <f>RTD("nest.scriprtd",,"bse_cm|MML11924","Bid Qty")</f>
        <v>10</v>
      </c>
      <c r="E1536">
        <f>RTD("nest.scriprtd",,"bse_cm|MML11924","Bid Rate")</f>
        <v>851</v>
      </c>
      <c r="F1536">
        <f>RTD("nest.scriprtd",,"bse_cm|MML11924","Ask Rate")</f>
        <v>0</v>
      </c>
      <c r="G1536">
        <f>RTD("nest.scriprtd",,"bse_cm|MML11924","Ask Qty")</f>
        <v>0</v>
      </c>
      <c r="H1536">
        <f>RTD("nest.scriprtd",,"bse_cm|MML11924","LTP")</f>
        <v>0</v>
      </c>
      <c r="I1536" t="str">
        <f>RTD("nest.scriprtd",,"bse_cm|MML11924","LTT")</f>
        <v>00:00:00</v>
      </c>
      <c r="J1536">
        <f>RTD("nest.scriprtd",,"bse_cm|MML11924","% Change")</f>
        <v>-100</v>
      </c>
      <c r="K1536">
        <f>RTD("nest.scriprtd",,"bse_cm|MML11924","ATP")</f>
        <v>0</v>
      </c>
      <c r="L1536">
        <f>RTD("nest.scriprtd",,"bse_cm|MML11924","Volume Traded Today")</f>
        <v>0</v>
      </c>
      <c r="M1536">
        <f>RTD("nest.scriprtd",,"bse_cm|MML11924","Open")</f>
        <v>0</v>
      </c>
      <c r="N1536">
        <f>RTD("nest.scriprtd",,"bse_cm|MML11924","High")</f>
        <v>0</v>
      </c>
      <c r="O1536">
        <f>RTD("nest.scriprtd",,"bse_cm|MML11924","Low ")</f>
        <v>0</v>
      </c>
      <c r="P1536">
        <f>RTD("nest.scriprtd",,"bse_cm|MML11924","Prev Close")</f>
        <v>1000</v>
      </c>
      <c r="Q1536">
        <f>RTD("nest.scriprtd",,"bse_cm|MML11924","Face Value")</f>
        <v>1000</v>
      </c>
      <c r="R1536" t="str">
        <f>RTD("nest.scriprtd",,"bse_cm|MML11924","Isin code")</f>
        <v>INE05F407CK5</v>
      </c>
      <c r="S1536" s="9">
        <f>Table1[[#This Row],[Ask Rate]]*Table1[[#This Row],[Ask Qty]]</f>
        <v>0</v>
      </c>
      <c r="T1536" t="str">
        <f>VLOOKUP(Table1[[#This Row],[Isin code]],Table2[#All],7,FALSE)</f>
        <v>--</v>
      </c>
      <c r="U1536" s="17" t="str">
        <f>VLOOKUP(Table1[[#This Row],[Isin code]],Table2[#All],8,FALSE)</f>
        <v>16-Oct-2025</v>
      </c>
      <c r="V1536" s="10">
        <f ca="1">Table1[[#This Row],[Maturity]]-TODAY()</f>
        <v>365</v>
      </c>
      <c r="W1536" t="str">
        <f>VLOOKUP(Table1[[#This Row],[Isin code]],Table2[#All],10,FALSE)</f>
        <v>At the End</v>
      </c>
      <c r="X1536">
        <f ca="1">_xlfn.DAYS(Table1[[#This Row],[Maturity]],TODAY())-15</f>
        <v>350</v>
      </c>
      <c r="Y153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36">
        <f>IF(Table1[[#This Row],[Ask Rate]]=0,0,Table1[[#This Row],[Face Value]]-Table1[[#This Row],[Ask Rate]])</f>
        <v>0</v>
      </c>
      <c r="AA153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36">
        <f>Table1[[#This Row],[Face Value]]*Table1[[#This Row],[Rate]]*Table1[[#This Row],[Time]]</f>
        <v>0</v>
      </c>
      <c r="AC1536">
        <f>Table1[[#This Row],[SI]]+Table1[[#This Row],[Disc/Prem]]</f>
        <v>0</v>
      </c>
      <c r="AD1536" s="3" t="e">
        <f>Table1[[#This Row],[Net Gain]]/Table1[[#This Row],[Ask Rate]]</f>
        <v>#DIV/0!</v>
      </c>
      <c r="AE1536" s="3">
        <f>IF(Table1[[#This Row],[Ask Qty]]=0,0,Table1[[#This Row],[Gross Yield]]*365/Table1[[#This Row],[Days Left]])</f>
        <v>0</v>
      </c>
      <c r="AF1536" s="9">
        <f>+Table1[[#This Row],[Net Gain]]*Table1[[#This Row],[Ask Qty]]</f>
        <v>0</v>
      </c>
      <c r="AG1536" t="str">
        <f>IF(Table1[[#This Row],[YTM]]&gt;0.12,IF(Table1[[#This Row],[Gross Profit]]&gt;10000,"Invest","Review"),"Low YTM")</f>
        <v>Low YTM</v>
      </c>
    </row>
    <row r="1537" spans="1:33" x14ac:dyDescent="0.3">
      <c r="A1537" t="str">
        <f>RTD("nest.scriprtd",,"nse_cm|SCLZC26C-NB","Symbol")</f>
        <v>SCLZC26C</v>
      </c>
      <c r="B1537" t="str">
        <f>RTD("nest.scriprtd",,"nse_cm|SCLZC26C-NB","Trading Symbol")</f>
        <v>SCLZC26C-NB</v>
      </c>
      <c r="C1537" t="str">
        <f>RTD("nest.scriprtd",,"nse_cm|SCLZC26C-NB","Exchange")</f>
        <v>NSE</v>
      </c>
      <c r="D1537">
        <f>RTD("nest.scriprtd",,"nse_cm|SCLZC26C-NB","Bid Qty")</f>
        <v>0</v>
      </c>
      <c r="E1537">
        <f>RTD("nest.scriprtd",,"nse_cm|SCLZC26C-NB","Bid Rate")</f>
        <v>0</v>
      </c>
      <c r="F1537">
        <f>RTD("nest.scriprtd",,"nse_cm|SCLZC26C-NB","Ask Rate")</f>
        <v>0</v>
      </c>
      <c r="G1537">
        <f>RTD("nest.scriprtd",,"nse_cm|SCLZC26C-NB","Ask Qty")</f>
        <v>0</v>
      </c>
      <c r="H1537">
        <f>RTD("nest.scriprtd",,"nse_cm|SCLZC26C-NB","LTP")</f>
        <v>1010</v>
      </c>
      <c r="I1537" t="str">
        <f>RTD("nest.scriprtd",,"nse_cm|SCLZC26C-NB","LTT")</f>
        <v/>
      </c>
      <c r="J1537">
        <f>RTD("nest.scriprtd",,"nse_cm|SCLZC26C-NB","% Change")</f>
        <v>0</v>
      </c>
      <c r="K1537">
        <f>RTD("nest.scriprtd",,"nse_cm|SCLZC26C-NB","ATP")</f>
        <v>0</v>
      </c>
      <c r="L1537">
        <f>RTD("nest.scriprtd",,"nse_cm|SCLZC26C-NB","Volume Traded Today")</f>
        <v>0</v>
      </c>
      <c r="M1537">
        <f>RTD("nest.scriprtd",,"nse_cm|SCLZC26C-NB","Open")</f>
        <v>0</v>
      </c>
      <c r="N1537">
        <f>RTD("nest.scriprtd",,"nse_cm|SCLZC26C-NB","High")</f>
        <v>1010</v>
      </c>
      <c r="O1537">
        <f>RTD("nest.scriprtd",,"nse_cm|SCLZC26C-NB","Low ")</f>
        <v>1010</v>
      </c>
      <c r="P1537">
        <f>RTD("nest.scriprtd",,"nse_cm|SCLZC26C-NB","Prev Close")</f>
        <v>1010</v>
      </c>
      <c r="Q1537">
        <f>RTD("nest.scriprtd",,"nse_cm|SCLZC26C-NB","Face Value")</f>
        <v>1000</v>
      </c>
      <c r="R1537" t="str">
        <f>RTD("nest.scriprtd",,"nse_cm|SCLZC26C-NB","Isin code")</f>
        <v>INE148I07QB3</v>
      </c>
      <c r="S1537" s="9">
        <f>Table1[[#This Row],[Ask Rate]]*Table1[[#This Row],[Ask Qty]]</f>
        <v>0</v>
      </c>
      <c r="T1537">
        <f>VLOOKUP(Table1[[#This Row],[Isin code]],Table2[#All],7,FALSE)</f>
        <v>0</v>
      </c>
      <c r="U1537" s="17" t="str">
        <f>VLOOKUP(Table1[[#This Row],[Isin code]],Table2[#All],8,FALSE)</f>
        <v>26-Sep-2026</v>
      </c>
      <c r="V1537" s="10">
        <f ca="1">Table1[[#This Row],[Maturity]]-TODAY()</f>
        <v>710</v>
      </c>
      <c r="W1537" t="str">
        <f>VLOOKUP(Table1[[#This Row],[Isin code]],Table2[#All],10,FALSE)</f>
        <v>0</v>
      </c>
      <c r="X1537">
        <f ca="1">_xlfn.DAYS(Table1[[#This Row],[Maturity]],TODAY())-15</f>
        <v>695</v>
      </c>
      <c r="Y153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37">
        <f>IF(Table1[[#This Row],[Ask Rate]]=0,0,Table1[[#This Row],[Face Value]]-Table1[[#This Row],[Ask Rate]])</f>
        <v>0</v>
      </c>
      <c r="AA153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37">
        <f>Table1[[#This Row],[Face Value]]*Table1[[#This Row],[Rate]]*Table1[[#This Row],[Time]]</f>
        <v>0</v>
      </c>
      <c r="AC1537">
        <f>Table1[[#This Row],[SI]]+Table1[[#This Row],[Disc/Prem]]</f>
        <v>0</v>
      </c>
      <c r="AD1537" s="3" t="e">
        <f>Table1[[#This Row],[Net Gain]]/Table1[[#This Row],[Ask Rate]]</f>
        <v>#DIV/0!</v>
      </c>
      <c r="AE1537" s="3">
        <f>IF(Table1[[#This Row],[Ask Qty]]=0,0,Table1[[#This Row],[Gross Yield]]*365/Table1[[#This Row],[Days Left]])</f>
        <v>0</v>
      </c>
      <c r="AF1537" s="9">
        <f>+Table1[[#This Row],[Net Gain]]*Table1[[#This Row],[Ask Qty]]</f>
        <v>0</v>
      </c>
      <c r="AG1537" t="str">
        <f>IF(Table1[[#This Row],[YTM]]&gt;0.12,IF(Table1[[#This Row],[Gross Profit]]&gt;10000,"Invest","Review"),"Low YTM")</f>
        <v>Low YTM</v>
      </c>
    </row>
    <row r="1538" spans="1:33" x14ac:dyDescent="0.3">
      <c r="A1538" t="str">
        <f>RTD("nest.scriprtd",,"bse_cm|1030ICC26","Symbol")</f>
        <v>1030ICC26</v>
      </c>
      <c r="B1538" t="str">
        <f>RTD("nest.scriprtd",,"bse_cm|1030ICC26","Trading Symbol")</f>
        <v>1030ICC26</v>
      </c>
      <c r="C1538" t="str">
        <f>RTD("nest.scriprtd",,"bse_cm|1030ICC26","Exchange")</f>
        <v>BSE</v>
      </c>
      <c r="D1538">
        <f>RTD("nest.scriprtd",,"bse_cm|1030ICC26","Bid Qty")</f>
        <v>25</v>
      </c>
      <c r="E1538">
        <f>RTD("nest.scriprtd",,"bse_cm|1030ICC26","Bid Rate")</f>
        <v>932.8</v>
      </c>
      <c r="F1538">
        <f>RTD("nest.scriprtd",,"bse_cm|1030ICC26","Ask Rate")</f>
        <v>0</v>
      </c>
      <c r="G1538">
        <f>RTD("nest.scriprtd",,"bse_cm|1030ICC26","Ask Qty")</f>
        <v>0</v>
      </c>
      <c r="H1538">
        <f>RTD("nest.scriprtd",,"bse_cm|1030ICC26","LTP")</f>
        <v>0</v>
      </c>
      <c r="I1538" t="str">
        <f>RTD("nest.scriprtd",,"bse_cm|1030ICC26","LTT")</f>
        <v>00:00:00</v>
      </c>
      <c r="J1538">
        <f>RTD("nest.scriprtd",,"bse_cm|1030ICC26","% Change")</f>
        <v>-100</v>
      </c>
      <c r="K1538">
        <f>RTD("nest.scriprtd",,"bse_cm|1030ICC26","ATP")</f>
        <v>0</v>
      </c>
      <c r="L1538">
        <f>RTD("nest.scriprtd",,"bse_cm|1030ICC26","Volume Traded Today")</f>
        <v>0</v>
      </c>
      <c r="M1538">
        <f>RTD("nest.scriprtd",,"bse_cm|1030ICC26","Open")</f>
        <v>0</v>
      </c>
      <c r="N1538">
        <f>RTD("nest.scriprtd",,"bse_cm|1030ICC26","High")</f>
        <v>1134</v>
      </c>
      <c r="O1538">
        <f>RTD("nest.scriprtd",,"bse_cm|1030ICC26","Low ")</f>
        <v>1134</v>
      </c>
      <c r="P1538">
        <f>RTD("nest.scriprtd",,"bse_cm|1030ICC26","Prev Close")</f>
        <v>1134</v>
      </c>
      <c r="Q1538">
        <f>RTD("nest.scriprtd",,"bse_cm|1030ICC26","Face Value")</f>
        <v>1000</v>
      </c>
      <c r="R1538" t="str">
        <f>RTD("nest.scriprtd",,"bse_cm|1030ICC26","Isin code")</f>
        <v>INE244L07309</v>
      </c>
      <c r="S1538" s="9">
        <f>Table1[[#This Row],[Ask Rate]]*Table1[[#This Row],[Ask Qty]]</f>
        <v>0</v>
      </c>
      <c r="T1538">
        <f>VLOOKUP(Table1[[#This Row],[Isin code]],Table2[#All],7,FALSE)</f>
        <v>0</v>
      </c>
      <c r="U1538" s="17" t="str">
        <f>VLOOKUP(Table1[[#This Row],[Isin code]],Table2[#All],8,FALSE)</f>
        <v>02-Feb-2026</v>
      </c>
      <c r="V1538" s="10">
        <f ca="1">Table1[[#This Row],[Maturity]]-TODAY()</f>
        <v>474</v>
      </c>
      <c r="W1538" t="str">
        <f>VLOOKUP(Table1[[#This Row],[Isin code]],Table2[#All],10,FALSE)</f>
        <v>0</v>
      </c>
      <c r="X1538">
        <f ca="1">_xlfn.DAYS(Table1[[#This Row],[Maturity]],TODAY())-15</f>
        <v>459</v>
      </c>
      <c r="Y153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38">
        <f>IF(Table1[[#This Row],[Ask Rate]]=0,0,Table1[[#This Row],[Face Value]]-Table1[[#This Row],[Ask Rate]])</f>
        <v>0</v>
      </c>
      <c r="AA153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38">
        <f>Table1[[#This Row],[Face Value]]*Table1[[#This Row],[Rate]]*Table1[[#This Row],[Time]]</f>
        <v>0</v>
      </c>
      <c r="AC1538">
        <f>Table1[[#This Row],[SI]]+Table1[[#This Row],[Disc/Prem]]</f>
        <v>0</v>
      </c>
      <c r="AD1538" s="3" t="e">
        <f>Table1[[#This Row],[Net Gain]]/Table1[[#This Row],[Ask Rate]]</f>
        <v>#DIV/0!</v>
      </c>
      <c r="AE1538" s="3">
        <f>IF(Table1[[#This Row],[Ask Qty]]=0,0,Table1[[#This Row],[Gross Yield]]*365/Table1[[#This Row],[Days Left]])</f>
        <v>0</v>
      </c>
      <c r="AF1538" s="9">
        <f>+Table1[[#This Row],[Net Gain]]*Table1[[#This Row],[Ask Qty]]</f>
        <v>0</v>
      </c>
      <c r="AG1538" t="str">
        <f>IF(Table1[[#This Row],[YTM]]&gt;0.12,IF(Table1[[#This Row],[Gross Profit]]&gt;10000,"Invest","Review"),"Low YTM")</f>
        <v>Low YTM</v>
      </c>
    </row>
    <row r="1539" spans="1:33" hidden="1" x14ac:dyDescent="0.3">
      <c r="A1539" t="str">
        <f>RTD("nest.scriprtd",,"bse_cm|11DLSL25","Symbol")</f>
        <v>11DLSL25</v>
      </c>
      <c r="B1539" t="str">
        <f>RTD("nest.scriprtd",,"bse_cm|11DLSL25","Trading Symbol")</f>
        <v>11DLSL25</v>
      </c>
      <c r="C1539" t="str">
        <f>RTD("nest.scriprtd",,"bse_cm|11DLSL25","Exchange")</f>
        <v>BSE</v>
      </c>
      <c r="D1539">
        <f>RTD("nest.scriprtd",,"bse_cm|11DLSL25","Bid Qty")</f>
        <v>5</v>
      </c>
      <c r="E1539">
        <f>RTD("nest.scriprtd",,"bse_cm|11DLSL25","Bid Rate")</f>
        <v>1047.55</v>
      </c>
      <c r="F1539">
        <f>RTD("nest.scriprtd",,"bse_cm|11DLSL25","Ask Rate")</f>
        <v>0</v>
      </c>
      <c r="G1539">
        <f>RTD("nest.scriprtd",,"bse_cm|11DLSL25","Ask Qty")</f>
        <v>0</v>
      </c>
      <c r="H1539">
        <f>RTD("nest.scriprtd",,"bse_cm|11DLSL25","LTP")</f>
        <v>0</v>
      </c>
      <c r="I1539" t="str">
        <f>RTD("nest.scriprtd",,"bse_cm|11DLSL25","LTT")</f>
        <v>00:00:00</v>
      </c>
      <c r="J1539">
        <f>RTD("nest.scriprtd",,"bse_cm|11DLSL25","% Change")</f>
        <v>-100</v>
      </c>
      <c r="K1539">
        <f>RTD("nest.scriprtd",,"bse_cm|11DLSL25","ATP")</f>
        <v>0</v>
      </c>
      <c r="L1539">
        <f>RTD("nest.scriprtd",,"bse_cm|11DLSL25","Volume Traded Today")</f>
        <v>0</v>
      </c>
      <c r="M1539">
        <f>RTD("nest.scriprtd",,"bse_cm|11DLSL25","Open")</f>
        <v>0</v>
      </c>
      <c r="N1539">
        <f>RTD("nest.scriprtd",,"bse_cm|11DLSL25","High")</f>
        <v>1056.7</v>
      </c>
      <c r="O1539">
        <f>RTD("nest.scriprtd",,"bse_cm|11DLSL25","Low ")</f>
        <v>1056.7</v>
      </c>
      <c r="P1539">
        <f>RTD("nest.scriprtd",,"bse_cm|11DLSL25","Prev Close")</f>
        <v>1056.7</v>
      </c>
      <c r="Q1539">
        <f>RTD("nest.scriprtd",,"bse_cm|11DLSL25","Face Value")</f>
        <v>1000</v>
      </c>
      <c r="R1539" t="str">
        <f>RTD("nest.scriprtd",,"bse_cm|11DLSL25","Isin code")</f>
        <v>INE614X07365</v>
      </c>
      <c r="S1539" s="9">
        <f>Table1[[#This Row],[Ask Rate]]*Table1[[#This Row],[Ask Qty]]</f>
        <v>0</v>
      </c>
      <c r="T1539">
        <f>VLOOKUP(Table1[[#This Row],[Isin code]],Table2[#All],7,FALSE)</f>
        <v>11</v>
      </c>
      <c r="U1539" s="17" t="str">
        <f>VLOOKUP(Table1[[#This Row],[Isin code]],Table2[#All],8,FALSE)</f>
        <v>31-Jan-2025</v>
      </c>
      <c r="V1539" s="10">
        <f ca="1">Table1[[#This Row],[Maturity]]-TODAY()</f>
        <v>107</v>
      </c>
      <c r="W1539" t="str">
        <f>VLOOKUP(Table1[[#This Row],[Isin code]],Table2[#All],10,FALSE)</f>
        <v>Yearly</v>
      </c>
      <c r="X1539">
        <f ca="1">_xlfn.DAYS(Table1[[#This Row],[Maturity]],TODAY())-15</f>
        <v>92</v>
      </c>
      <c r="Y153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539">
        <f>IF(Table1[[#This Row],[Ask Rate]]=0,0,Table1[[#This Row],[Face Value]]-Table1[[#This Row],[Ask Rate]])</f>
        <v>0</v>
      </c>
      <c r="AA1539">
        <f>IF(Table1[[#This Row],[Freq]]="Yearly",Table1[[#This Row],[Coupon_Rate]]/100,IF(Table1[[#This Row],[Freq]]="Monthly",Table1[[#This Row],[Coupon_Rate]]/1200,IF(Table1[[#This Row],[Freq]]="Quarterly",Table1[[#This Row],[Coupon_Rate]]/400,0)))</f>
        <v>0.11</v>
      </c>
      <c r="AB1539">
        <f ca="1">Table1[[#This Row],[Face Value]]*Table1[[#This Row],[Rate]]*Table1[[#This Row],[Time]]</f>
        <v>110</v>
      </c>
      <c r="AC1539">
        <f ca="1">Table1[[#This Row],[SI]]+Table1[[#This Row],[Disc/Prem]]</f>
        <v>110</v>
      </c>
      <c r="AD1539" s="3" t="e">
        <f ca="1">Table1[[#This Row],[Net Gain]]/Table1[[#This Row],[Ask Rate]]</f>
        <v>#DIV/0!</v>
      </c>
      <c r="AE1539" s="3">
        <f>IF(Table1[[#This Row],[Ask Qty]]=0,0,Table1[[#This Row],[Gross Yield]]*365/Table1[[#This Row],[Days Left]])</f>
        <v>0</v>
      </c>
      <c r="AF1539" s="9">
        <f ca="1">+Table1[[#This Row],[Net Gain]]*Table1[[#This Row],[Ask Qty]]</f>
        <v>0</v>
      </c>
      <c r="AG1539" t="str">
        <f>IF(Table1[[#This Row],[YTM]]&gt;0.12,IF(Table1[[#This Row],[Gross Profit]]&gt;10000,"Invest","Review"),"Low YTM")</f>
        <v>Low YTM</v>
      </c>
    </row>
    <row r="1540" spans="1:33" x14ac:dyDescent="0.3">
      <c r="A1540" t="str">
        <f>RTD("nest.scriprtd",,"bse_cm|SCLZC25B","Symbol")</f>
        <v>SCLZC25B</v>
      </c>
      <c r="B1540" t="str">
        <f>RTD("nest.scriprtd",,"bse_cm|SCLZC25B","Trading Symbol")</f>
        <v>SCLZC25B</v>
      </c>
      <c r="C1540" t="str">
        <f>RTD("nest.scriprtd",,"bse_cm|SCLZC25B","Exchange")</f>
        <v>BSE</v>
      </c>
      <c r="D1540">
        <f>RTD("nest.scriprtd",,"bse_cm|SCLZC25B","Bid Qty")</f>
        <v>12</v>
      </c>
      <c r="E1540">
        <f>RTD("nest.scriprtd",,"bse_cm|SCLZC25B","Bid Rate")</f>
        <v>1040.2</v>
      </c>
      <c r="F1540">
        <f>RTD("nest.scriprtd",,"bse_cm|SCLZC25B","Ask Rate")</f>
        <v>0</v>
      </c>
      <c r="G1540">
        <f>RTD("nest.scriprtd",,"bse_cm|SCLZC25B","Ask Qty")</f>
        <v>0</v>
      </c>
      <c r="H1540">
        <f>RTD("nest.scriprtd",,"bse_cm|SCLZC25B","LTP")</f>
        <v>0</v>
      </c>
      <c r="I1540" t="str">
        <f>RTD("nest.scriprtd",,"bse_cm|SCLZC25B","LTT")</f>
        <v>00:00:00</v>
      </c>
      <c r="J1540">
        <f>RTD("nest.scriprtd",,"bse_cm|SCLZC25B","% Change")</f>
        <v>-100</v>
      </c>
      <c r="K1540">
        <f>RTD("nest.scriprtd",,"bse_cm|SCLZC25B","ATP")</f>
        <v>0</v>
      </c>
      <c r="L1540">
        <f>RTD("nest.scriprtd",,"bse_cm|SCLZC25B","Volume Traded Today")</f>
        <v>0</v>
      </c>
      <c r="M1540">
        <f>RTD("nest.scriprtd",,"bse_cm|SCLZC25B","Open")</f>
        <v>0</v>
      </c>
      <c r="N1540">
        <f>RTD("nest.scriprtd",,"bse_cm|SCLZC25B","High")</f>
        <v>1089.8499999999999</v>
      </c>
      <c r="O1540">
        <f>RTD("nest.scriprtd",,"bse_cm|SCLZC25B","Low ")</f>
        <v>1089.8499999999999</v>
      </c>
      <c r="P1540">
        <f>RTD("nest.scriprtd",,"bse_cm|SCLZC25B","Prev Close")</f>
        <v>1089.8499999999999</v>
      </c>
      <c r="Q1540">
        <f>RTD("nest.scriprtd",,"bse_cm|SCLZC25B","Face Value")</f>
        <v>1000</v>
      </c>
      <c r="R1540" t="str">
        <f>RTD("nest.scriprtd",,"bse_cm|SCLZC25B","Isin code")</f>
        <v>INE148I07OO1</v>
      </c>
      <c r="S1540" s="9">
        <f>Table1[[#This Row],[Ask Rate]]*Table1[[#This Row],[Ask Qty]]</f>
        <v>0</v>
      </c>
      <c r="T1540" t="str">
        <f>VLOOKUP(Table1[[#This Row],[Isin code]],Table2[#All],7,FALSE)</f>
        <v>--</v>
      </c>
      <c r="U1540" s="17" t="str">
        <f>VLOOKUP(Table1[[#This Row],[Isin code]],Table2[#All],8,FALSE)</f>
        <v>27-Jul-2025</v>
      </c>
      <c r="V1540" s="10">
        <f ca="1">Table1[[#This Row],[Maturity]]-TODAY()</f>
        <v>284</v>
      </c>
      <c r="W1540" t="str">
        <f>VLOOKUP(Table1[[#This Row],[Isin code]],Table2[#All],10,FALSE)</f>
        <v>At the End</v>
      </c>
      <c r="X1540">
        <f ca="1">_xlfn.DAYS(Table1[[#This Row],[Maturity]],TODAY())-15</f>
        <v>269</v>
      </c>
      <c r="Y154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40">
        <f>IF(Table1[[#This Row],[Ask Rate]]=0,0,Table1[[#This Row],[Face Value]]-Table1[[#This Row],[Ask Rate]])</f>
        <v>0</v>
      </c>
      <c r="AA154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40">
        <f>Table1[[#This Row],[Face Value]]*Table1[[#This Row],[Rate]]*Table1[[#This Row],[Time]]</f>
        <v>0</v>
      </c>
      <c r="AC1540">
        <f>Table1[[#This Row],[SI]]+Table1[[#This Row],[Disc/Prem]]</f>
        <v>0</v>
      </c>
      <c r="AD1540" s="3" t="e">
        <f>Table1[[#This Row],[Net Gain]]/Table1[[#This Row],[Ask Rate]]</f>
        <v>#DIV/0!</v>
      </c>
      <c r="AE1540" s="3">
        <f>IF(Table1[[#This Row],[Ask Qty]]=0,0,Table1[[#This Row],[Gross Yield]]*365/Table1[[#This Row],[Days Left]])</f>
        <v>0</v>
      </c>
      <c r="AF1540" s="9">
        <f>+Table1[[#This Row],[Net Gain]]*Table1[[#This Row],[Ask Qty]]</f>
        <v>0</v>
      </c>
      <c r="AG1540" t="str">
        <f>IF(Table1[[#This Row],[YTM]]&gt;0.12,IF(Table1[[#This Row],[Gross Profit]]&gt;10000,"Invest","Review"),"Low YTM")</f>
        <v>Low YTM</v>
      </c>
    </row>
    <row r="1541" spans="1:33" x14ac:dyDescent="0.3">
      <c r="A1541" t="str">
        <f>RTD("nest.scriprtd",,"nse_cm|SCLZC25B-AT","Symbol")</f>
        <v>SCLZC25B</v>
      </c>
      <c r="B1541" t="str">
        <f>RTD("nest.scriprtd",,"nse_cm|SCLZC25B-AT","Trading Symbol")</f>
        <v>SCLZC25B-AT</v>
      </c>
      <c r="C1541" t="str">
        <f>RTD("nest.scriprtd",,"nse_cm|SCLZC25B-AT","Exchange")</f>
        <v>NSE</v>
      </c>
      <c r="D1541">
        <f>RTD("nest.scriprtd",,"nse_cm|SCLZC25B-AT","Bid Qty")</f>
        <v>12</v>
      </c>
      <c r="E1541">
        <f>RTD("nest.scriprtd",,"nse_cm|SCLZC25B-AT","Bid Rate")</f>
        <v>1040.2</v>
      </c>
      <c r="F1541">
        <f>RTD("nest.scriprtd",,"nse_cm|SCLZC25B-AT","Ask Rate")</f>
        <v>0</v>
      </c>
      <c r="G1541">
        <f>RTD("nest.scriprtd",,"nse_cm|SCLZC25B-AT","Ask Qty")</f>
        <v>0</v>
      </c>
      <c r="H1541">
        <f>RTD("nest.scriprtd",,"nse_cm|SCLZC25B-AT","LTP")</f>
        <v>1079</v>
      </c>
      <c r="I1541" t="str">
        <f>RTD("nest.scriprtd",,"nse_cm|SCLZC25B-AT","LTT")</f>
        <v/>
      </c>
      <c r="J1541">
        <f>RTD("nest.scriprtd",,"nse_cm|SCLZC25B-AT","% Change")</f>
        <v>0</v>
      </c>
      <c r="K1541">
        <f>RTD("nest.scriprtd",,"nse_cm|SCLZC25B-AT","ATP")</f>
        <v>0</v>
      </c>
      <c r="L1541">
        <f>RTD("nest.scriprtd",,"nse_cm|SCLZC25B-AT","Volume Traded Today")</f>
        <v>0</v>
      </c>
      <c r="M1541">
        <f>RTD("nest.scriprtd",,"nse_cm|SCLZC25B-AT","Open")</f>
        <v>0</v>
      </c>
      <c r="N1541">
        <f>RTD("nest.scriprtd",,"nse_cm|SCLZC25B-AT","High")</f>
        <v>1079</v>
      </c>
      <c r="O1541">
        <f>RTD("nest.scriprtd",,"nse_cm|SCLZC25B-AT","Low ")</f>
        <v>1079</v>
      </c>
      <c r="P1541">
        <f>RTD("nest.scriprtd",,"nse_cm|SCLZC25B-AT","Prev Close")</f>
        <v>1079</v>
      </c>
      <c r="Q1541">
        <f>RTD("nest.scriprtd",,"nse_cm|SCLZC25B-AT","Face Value")</f>
        <v>1000</v>
      </c>
      <c r="R1541" t="str">
        <f>RTD("nest.scriprtd",,"nse_cm|SCLZC25B-AT","Isin code")</f>
        <v>INE148I07OO1</v>
      </c>
      <c r="S1541" s="9">
        <f>Table1[[#This Row],[Ask Rate]]*Table1[[#This Row],[Ask Qty]]</f>
        <v>0</v>
      </c>
      <c r="T1541" t="str">
        <f>VLOOKUP(Table1[[#This Row],[Isin code]],Table2[#All],7,FALSE)</f>
        <v>--</v>
      </c>
      <c r="U1541" s="17" t="str">
        <f>VLOOKUP(Table1[[#This Row],[Isin code]],Table2[#All],8,FALSE)</f>
        <v>27-Jul-2025</v>
      </c>
      <c r="V1541" s="10">
        <f ca="1">Table1[[#This Row],[Maturity]]-TODAY()</f>
        <v>284</v>
      </c>
      <c r="W1541" t="str">
        <f>VLOOKUP(Table1[[#This Row],[Isin code]],Table2[#All],10,FALSE)</f>
        <v>At the End</v>
      </c>
      <c r="X1541">
        <f ca="1">_xlfn.DAYS(Table1[[#This Row],[Maturity]],TODAY())-15</f>
        <v>269</v>
      </c>
      <c r="Y154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41">
        <f>IF(Table1[[#This Row],[Ask Rate]]=0,0,Table1[[#This Row],[Face Value]]-Table1[[#This Row],[Ask Rate]])</f>
        <v>0</v>
      </c>
      <c r="AA154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41">
        <f>Table1[[#This Row],[Face Value]]*Table1[[#This Row],[Rate]]*Table1[[#This Row],[Time]]</f>
        <v>0</v>
      </c>
      <c r="AC1541">
        <f>Table1[[#This Row],[SI]]+Table1[[#This Row],[Disc/Prem]]</f>
        <v>0</v>
      </c>
      <c r="AD1541" s="3" t="e">
        <f>Table1[[#This Row],[Net Gain]]/Table1[[#This Row],[Ask Rate]]</f>
        <v>#DIV/0!</v>
      </c>
      <c r="AE1541" s="3">
        <f>IF(Table1[[#This Row],[Ask Qty]]=0,0,Table1[[#This Row],[Gross Yield]]*365/Table1[[#This Row],[Days Left]])</f>
        <v>0</v>
      </c>
      <c r="AF1541" s="9">
        <f>+Table1[[#This Row],[Net Gain]]*Table1[[#This Row],[Ask Qty]]</f>
        <v>0</v>
      </c>
      <c r="AG1541" t="str">
        <f>IF(Table1[[#This Row],[YTM]]&gt;0.12,IF(Table1[[#This Row],[Gross Profit]]&gt;10000,"Invest","Review"),"Low YTM")</f>
        <v>Low YTM</v>
      </c>
    </row>
    <row r="1542" spans="1:33" x14ac:dyDescent="0.3">
      <c r="A1542" t="str">
        <f>RTD("nest.scriprtd",,"bse_cm|SCLZC25F","Symbol")</f>
        <v>SCLZC25F</v>
      </c>
      <c r="B1542" t="str">
        <f>RTD("nest.scriprtd",,"bse_cm|SCLZC25F","Trading Symbol")</f>
        <v>SCLZC25F</v>
      </c>
      <c r="C1542" t="str">
        <f>RTD("nest.scriprtd",,"bse_cm|SCLZC25F","Exchange")</f>
        <v>BSE</v>
      </c>
      <c r="D1542">
        <f>RTD("nest.scriprtd",,"bse_cm|SCLZC25F","Bid Qty")</f>
        <v>14</v>
      </c>
      <c r="E1542">
        <f>RTD("nest.scriprtd",,"bse_cm|SCLZC25F","Bid Rate")</f>
        <v>860.25</v>
      </c>
      <c r="F1542">
        <f>RTD("nest.scriprtd",,"bse_cm|SCLZC25F","Ask Rate")</f>
        <v>0</v>
      </c>
      <c r="G1542">
        <f>RTD("nest.scriprtd",,"bse_cm|SCLZC25F","Ask Qty")</f>
        <v>0</v>
      </c>
      <c r="H1542">
        <f>RTD("nest.scriprtd",,"bse_cm|SCLZC25F","LTP")</f>
        <v>0</v>
      </c>
      <c r="I1542" t="str">
        <f>RTD("nest.scriprtd",,"bse_cm|SCLZC25F","LTT")</f>
        <v>00:00:00</v>
      </c>
      <c r="J1542">
        <f>RTD("nest.scriprtd",,"bse_cm|SCLZC25F","% Change")</f>
        <v>-100</v>
      </c>
      <c r="K1542">
        <f>RTD("nest.scriprtd",,"bse_cm|SCLZC25F","ATP")</f>
        <v>0</v>
      </c>
      <c r="L1542">
        <f>RTD("nest.scriprtd",,"bse_cm|SCLZC25F","Volume Traded Today")</f>
        <v>0</v>
      </c>
      <c r="M1542">
        <f>RTD("nest.scriprtd",,"bse_cm|SCLZC25F","Open")</f>
        <v>0</v>
      </c>
      <c r="N1542">
        <f>RTD("nest.scriprtd",,"bse_cm|SCLZC25F","High")</f>
        <v>1031.5999999999999</v>
      </c>
      <c r="O1542">
        <f>RTD("nest.scriprtd",,"bse_cm|SCLZC25F","Low ")</f>
        <v>1031.5999999999999</v>
      </c>
      <c r="P1542">
        <f>RTD("nest.scriprtd",,"bse_cm|SCLZC25F","Prev Close")</f>
        <v>1031.5999999999999</v>
      </c>
      <c r="Q1542">
        <f>RTD("nest.scriprtd",,"bse_cm|SCLZC25F","Face Value")</f>
        <v>1000</v>
      </c>
      <c r="R1542" t="str">
        <f>RTD("nest.scriprtd",,"bse_cm|SCLZC25F","Isin code")</f>
        <v>INE148I07RK2</v>
      </c>
      <c r="S1542" s="9">
        <f>Table1[[#This Row],[Ask Rate]]*Table1[[#This Row],[Ask Qty]]</f>
        <v>0</v>
      </c>
      <c r="T1542">
        <f>VLOOKUP(Table1[[#This Row],[Isin code]],Table2[#All],7,FALSE)</f>
        <v>0</v>
      </c>
      <c r="U1542" s="17" t="str">
        <f>VLOOKUP(Table1[[#This Row],[Isin code]],Table2[#All],8,FALSE)</f>
        <v>27-Dec-2025</v>
      </c>
      <c r="V1542" s="10">
        <f ca="1">Table1[[#This Row],[Maturity]]-TODAY()</f>
        <v>437</v>
      </c>
      <c r="W1542" t="str">
        <f>VLOOKUP(Table1[[#This Row],[Isin code]],Table2[#All],10,FALSE)</f>
        <v>Yearly</v>
      </c>
      <c r="X1542">
        <f ca="1">_xlfn.DAYS(Table1[[#This Row],[Maturity]],TODAY())-15</f>
        <v>422</v>
      </c>
      <c r="Y154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42">
        <f>IF(Table1[[#This Row],[Ask Rate]]=0,0,Table1[[#This Row],[Face Value]]-Table1[[#This Row],[Ask Rate]])</f>
        <v>0</v>
      </c>
      <c r="AA154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42">
        <f ca="1">Table1[[#This Row],[Face Value]]*Table1[[#This Row],[Rate]]*Table1[[#This Row],[Time]]</f>
        <v>0</v>
      </c>
      <c r="AC1542">
        <f ca="1">Table1[[#This Row],[SI]]+Table1[[#This Row],[Disc/Prem]]</f>
        <v>0</v>
      </c>
      <c r="AD1542" s="3" t="e">
        <f ca="1">Table1[[#This Row],[Net Gain]]/Table1[[#This Row],[Ask Rate]]</f>
        <v>#DIV/0!</v>
      </c>
      <c r="AE1542" s="3">
        <f>IF(Table1[[#This Row],[Ask Qty]]=0,0,Table1[[#This Row],[Gross Yield]]*365/Table1[[#This Row],[Days Left]])</f>
        <v>0</v>
      </c>
      <c r="AF1542" s="9">
        <f ca="1">+Table1[[#This Row],[Net Gain]]*Table1[[#This Row],[Ask Qty]]</f>
        <v>0</v>
      </c>
      <c r="AG1542" t="str">
        <f>IF(Table1[[#This Row],[YTM]]&gt;0.12,IF(Table1[[#This Row],[Gross Profit]]&gt;10000,"Invest","Review"),"Low YTM")</f>
        <v>Low YTM</v>
      </c>
    </row>
    <row r="1543" spans="1:33" x14ac:dyDescent="0.3">
      <c r="A1543" t="str">
        <f>RTD("nest.scriprtd",,"bse_cm|965VCL25","Symbol")</f>
        <v>965VCL25</v>
      </c>
      <c r="B1543" t="str">
        <f>RTD("nest.scriprtd",,"bse_cm|965VCL25","Trading Symbol")</f>
        <v>965VCL25</v>
      </c>
      <c r="C1543" t="str">
        <f>RTD("nest.scriprtd",,"bse_cm|965VCL25","Exchange")</f>
        <v>BSE</v>
      </c>
      <c r="D1543">
        <f>RTD("nest.scriprtd",,"bse_cm|965VCL25","Bid Qty")</f>
        <v>0</v>
      </c>
      <c r="E1543">
        <f>RTD("nest.scriprtd",,"bse_cm|965VCL25","Bid Rate")</f>
        <v>0</v>
      </c>
      <c r="F1543">
        <f>RTD("nest.scriprtd",,"bse_cm|965VCL25","Ask Rate")</f>
        <v>0</v>
      </c>
      <c r="G1543">
        <f>RTD("nest.scriprtd",,"bse_cm|965VCL25","Ask Qty")</f>
        <v>0</v>
      </c>
      <c r="H1543">
        <f>RTD("nest.scriprtd",,"bse_cm|965VCL25","LTP")</f>
        <v>0</v>
      </c>
      <c r="I1543" t="str">
        <f>RTD("nest.scriprtd",,"bse_cm|965VCL25","LTT")</f>
        <v>00:00:00</v>
      </c>
      <c r="J1543">
        <f>RTD("nest.scriprtd",,"bse_cm|965VCL25","% Change")</f>
        <v>-100</v>
      </c>
      <c r="K1543">
        <f>RTD("nest.scriprtd",,"bse_cm|965VCL25","ATP")</f>
        <v>0</v>
      </c>
      <c r="L1543">
        <f>RTD("nest.scriprtd",,"bse_cm|965VCL25","Volume Traded Today")</f>
        <v>0</v>
      </c>
      <c r="M1543">
        <f>RTD("nest.scriprtd",,"bse_cm|965VCL25","Open")</f>
        <v>0</v>
      </c>
      <c r="N1543">
        <f>RTD("nest.scriprtd",,"bse_cm|965VCL25","High")</f>
        <v>628</v>
      </c>
      <c r="O1543">
        <f>RTD("nest.scriprtd",,"bse_cm|965VCL25","Low ")</f>
        <v>628</v>
      </c>
      <c r="P1543">
        <f>RTD("nest.scriprtd",,"bse_cm|965VCL25","Prev Close")</f>
        <v>628</v>
      </c>
      <c r="Q1543">
        <f>RTD("nest.scriprtd",,"bse_cm|965VCL25","Face Value")</f>
        <v>500</v>
      </c>
      <c r="R1543" t="str">
        <f>RTD("nest.scriprtd",,"bse_cm|965VCL25","Isin code")</f>
        <v>INE01HV07429</v>
      </c>
      <c r="S1543" s="9">
        <f>Table1[[#This Row],[Ask Rate]]*Table1[[#This Row],[Ask Qty]]</f>
        <v>0</v>
      </c>
      <c r="T1543">
        <f>VLOOKUP(Table1[[#This Row],[Isin code]],Table2[#All],7,FALSE)</f>
        <v>9.65</v>
      </c>
      <c r="U1543" s="17">
        <f>VLOOKUP(Table1[[#This Row],[Isin code]],Table2[#All],8,FALSE)</f>
        <v>45906</v>
      </c>
      <c r="V1543" s="10">
        <f ca="1">Table1[[#This Row],[Maturity]]-TODAY()</f>
        <v>325</v>
      </c>
      <c r="W1543" t="str">
        <f>VLOOKUP(Table1[[#This Row],[Isin code]],Table2[#All],10,FALSE)</f>
        <v>QUARTERLY</v>
      </c>
      <c r="X1543">
        <f ca="1">_xlfn.DAYS(Table1[[#This Row],[Maturity]],TODAY())-15</f>
        <v>310</v>
      </c>
      <c r="Y154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543">
        <f>IF(Table1[[#This Row],[Ask Rate]]=0,0,Table1[[#This Row],[Face Value]]-Table1[[#This Row],[Ask Rate]])</f>
        <v>0</v>
      </c>
      <c r="AA1543">
        <f>IF(Table1[[#This Row],[Freq]]="Yearly",Table1[[#This Row],[Coupon_Rate]]/100,IF(Table1[[#This Row],[Freq]]="Monthly",Table1[[#This Row],[Coupon_Rate]]/1200,IF(Table1[[#This Row],[Freq]]="Quarterly",Table1[[#This Row],[Coupon_Rate]]/400,0)))</f>
        <v>2.4125000000000001E-2</v>
      </c>
      <c r="AB1543">
        <f ca="1">Table1[[#This Row],[Face Value]]*Table1[[#This Row],[Rate]]*Table1[[#This Row],[Time]]</f>
        <v>48.25</v>
      </c>
      <c r="AC1543">
        <f ca="1">Table1[[#This Row],[SI]]+Table1[[#This Row],[Disc/Prem]]</f>
        <v>48.25</v>
      </c>
      <c r="AD1543" s="3" t="e">
        <f ca="1">Table1[[#This Row],[Net Gain]]/Table1[[#This Row],[Ask Rate]]</f>
        <v>#DIV/0!</v>
      </c>
      <c r="AE1543" s="3">
        <f>IF(Table1[[#This Row],[Ask Qty]]=0,0,Table1[[#This Row],[Gross Yield]]*365/Table1[[#This Row],[Days Left]])</f>
        <v>0</v>
      </c>
      <c r="AF1543" s="9">
        <f ca="1">+Table1[[#This Row],[Net Gain]]*Table1[[#This Row],[Ask Qty]]</f>
        <v>0</v>
      </c>
      <c r="AG1543" t="str">
        <f>IF(Table1[[#This Row],[YTM]]&gt;0.12,IF(Table1[[#This Row],[Gross Profit]]&gt;10000,"Invest","Review"),"Low YTM")</f>
        <v>Low YTM</v>
      </c>
    </row>
    <row r="1544" spans="1:33" x14ac:dyDescent="0.3">
      <c r="A1544" t="str">
        <f>RTD("nest.scriprtd",,"bse_cm|SCL25B","Symbol")</f>
        <v>SCL25B</v>
      </c>
      <c r="B1544" t="str">
        <f>RTD("nest.scriprtd",,"bse_cm|SCL25B","Trading Symbol")</f>
        <v>SCL25B</v>
      </c>
      <c r="C1544" t="str">
        <f>RTD("nest.scriprtd",,"bse_cm|SCL25B","Exchange")</f>
        <v>BSE</v>
      </c>
      <c r="D1544">
        <f>RTD("nest.scriprtd",,"bse_cm|SCL25B","Bid Qty")</f>
        <v>12</v>
      </c>
      <c r="E1544">
        <f>RTD("nest.scriprtd",,"bse_cm|SCL25B","Bid Rate")</f>
        <v>1015</v>
      </c>
      <c r="F1544">
        <f>RTD("nest.scriprtd",,"bse_cm|SCL25B","Ask Rate")</f>
        <v>0</v>
      </c>
      <c r="G1544">
        <f>RTD("nest.scriprtd",,"bse_cm|SCL25B","Ask Qty")</f>
        <v>0</v>
      </c>
      <c r="H1544">
        <f>RTD("nest.scriprtd",,"bse_cm|SCL25B","LTP")</f>
        <v>0</v>
      </c>
      <c r="I1544" t="str">
        <f>RTD("nest.scriprtd",,"bse_cm|SCL25B","LTT")</f>
        <v>00:00:00</v>
      </c>
      <c r="J1544">
        <f>RTD("nest.scriprtd",,"bse_cm|SCL25B","% Change")</f>
        <v>-100</v>
      </c>
      <c r="K1544">
        <f>RTD("nest.scriprtd",,"bse_cm|SCL25B","ATP")</f>
        <v>0</v>
      </c>
      <c r="L1544">
        <f>RTD("nest.scriprtd",,"bse_cm|SCL25B","Volume Traded Today")</f>
        <v>0</v>
      </c>
      <c r="M1544">
        <f>RTD("nest.scriprtd",,"bse_cm|SCL25B","Open")</f>
        <v>0</v>
      </c>
      <c r="N1544">
        <f>RTD("nest.scriprtd",,"bse_cm|SCL25B","High")</f>
        <v>1058.21</v>
      </c>
      <c r="O1544">
        <f>RTD("nest.scriprtd",,"bse_cm|SCL25B","Low ")</f>
        <v>1058.21</v>
      </c>
      <c r="P1544">
        <f>RTD("nest.scriprtd",,"bse_cm|SCL25B","Prev Close")</f>
        <v>1058.21</v>
      </c>
      <c r="Q1544">
        <f>RTD("nest.scriprtd",,"bse_cm|SCL25B","Face Value")</f>
        <v>1000</v>
      </c>
      <c r="R1544" t="str">
        <f>RTD("nest.scriprtd",,"bse_cm|SCL25B","Isin code")</f>
        <v>INE148I07PF6</v>
      </c>
      <c r="S1544" s="9">
        <f>Table1[[#This Row],[Ask Rate]]*Table1[[#This Row],[Ask Qty]]</f>
        <v>0</v>
      </c>
      <c r="T1544" t="str">
        <f>VLOOKUP(Table1[[#This Row],[Isin code]],Table2[#All],7,FALSE)</f>
        <v>--</v>
      </c>
      <c r="U1544" s="17" t="str">
        <f>VLOOKUP(Table1[[#This Row],[Isin code]],Table2[#All],8,FALSE)</f>
        <v>26-Sep-2025</v>
      </c>
      <c r="V1544" s="10">
        <f ca="1">Table1[[#This Row],[Maturity]]-TODAY()</f>
        <v>345</v>
      </c>
      <c r="W1544" t="str">
        <f>VLOOKUP(Table1[[#This Row],[Isin code]],Table2[#All],10,FALSE)</f>
        <v>At the End</v>
      </c>
      <c r="X1544">
        <f ca="1">_xlfn.DAYS(Table1[[#This Row],[Maturity]],TODAY())-15</f>
        <v>330</v>
      </c>
      <c r="Y154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44">
        <f>IF(Table1[[#This Row],[Ask Rate]]=0,0,Table1[[#This Row],[Face Value]]-Table1[[#This Row],[Ask Rate]])</f>
        <v>0</v>
      </c>
      <c r="AA154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44">
        <f>Table1[[#This Row],[Face Value]]*Table1[[#This Row],[Rate]]*Table1[[#This Row],[Time]]</f>
        <v>0</v>
      </c>
      <c r="AC1544">
        <f>Table1[[#This Row],[SI]]+Table1[[#This Row],[Disc/Prem]]</f>
        <v>0</v>
      </c>
      <c r="AD1544" s="3" t="e">
        <f>Table1[[#This Row],[Net Gain]]/Table1[[#This Row],[Ask Rate]]</f>
        <v>#DIV/0!</v>
      </c>
      <c r="AE1544" s="3">
        <f>IF(Table1[[#This Row],[Ask Qty]]=0,0,Table1[[#This Row],[Gross Yield]]*365/Table1[[#This Row],[Days Left]])</f>
        <v>0</v>
      </c>
      <c r="AF1544" s="9">
        <f>+Table1[[#This Row],[Net Gain]]*Table1[[#This Row],[Ask Qty]]</f>
        <v>0</v>
      </c>
      <c r="AG1544" t="str">
        <f>IF(Table1[[#This Row],[YTM]]&gt;0.12,IF(Table1[[#This Row],[Gross Profit]]&gt;10000,"Invest","Review"),"Low YTM")</f>
        <v>Low YTM</v>
      </c>
    </row>
    <row r="1545" spans="1:33" x14ac:dyDescent="0.3">
      <c r="A1545" t="str">
        <f>RTD("nest.scriprtd",,"bse_cm|98SCL27","Symbol")</f>
        <v>98SCL27</v>
      </c>
      <c r="B1545" t="str">
        <f>RTD("nest.scriprtd",,"bse_cm|98SCL27","Trading Symbol")</f>
        <v>98SCL27</v>
      </c>
      <c r="C1545" t="str">
        <f>RTD("nest.scriprtd",,"bse_cm|98SCL27","Exchange")</f>
        <v>BSE</v>
      </c>
      <c r="D1545">
        <f>RTD("nest.scriprtd",,"bse_cm|98SCL27","Bid Qty")</f>
        <v>10</v>
      </c>
      <c r="E1545">
        <f>RTD("nest.scriprtd",,"bse_cm|98SCL27","Bid Rate")</f>
        <v>940.2</v>
      </c>
      <c r="F1545">
        <f>RTD("nest.scriprtd",,"bse_cm|98SCL27","Ask Rate")</f>
        <v>0</v>
      </c>
      <c r="G1545">
        <f>RTD("nest.scriprtd",,"bse_cm|98SCL27","Ask Qty")</f>
        <v>0</v>
      </c>
      <c r="H1545">
        <f>RTD("nest.scriprtd",,"bse_cm|98SCL27","LTP")</f>
        <v>0</v>
      </c>
      <c r="I1545" t="str">
        <f>RTD("nest.scriprtd",,"bse_cm|98SCL27","LTT")</f>
        <v>00:00:00</v>
      </c>
      <c r="J1545">
        <f>RTD("nest.scriprtd",,"bse_cm|98SCL27","% Change")</f>
        <v>-100</v>
      </c>
      <c r="K1545">
        <f>RTD("nest.scriprtd",,"bse_cm|98SCL27","ATP")</f>
        <v>0</v>
      </c>
      <c r="L1545">
        <f>RTD("nest.scriprtd",,"bse_cm|98SCL27","Volume Traded Today")</f>
        <v>0</v>
      </c>
      <c r="M1545">
        <f>RTD("nest.scriprtd",,"bse_cm|98SCL27","Open")</f>
        <v>0</v>
      </c>
      <c r="N1545">
        <f>RTD("nest.scriprtd",,"bse_cm|98SCL27","High")</f>
        <v>1096.6400000000001</v>
      </c>
      <c r="O1545">
        <f>RTD("nest.scriprtd",,"bse_cm|98SCL27","Low ")</f>
        <v>1096.6400000000001</v>
      </c>
      <c r="P1545">
        <f>RTD("nest.scriprtd",,"bse_cm|98SCL27","Prev Close")</f>
        <v>1096.6400000000001</v>
      </c>
      <c r="Q1545">
        <f>RTD("nest.scriprtd",,"bse_cm|98SCL27","Face Value")</f>
        <v>1000</v>
      </c>
      <c r="R1545" t="str">
        <f>RTD("nest.scriprtd",,"bse_cm|98SCL27","Isin code")</f>
        <v>INE148I07NL9</v>
      </c>
      <c r="S1545" s="9">
        <f>Table1[[#This Row],[Ask Rate]]*Table1[[#This Row],[Ask Qty]]</f>
        <v>0</v>
      </c>
      <c r="T1545" t="str">
        <f>VLOOKUP(Table1[[#This Row],[Isin code]],Table2[#All],7,FALSE)</f>
        <v>--</v>
      </c>
      <c r="U1545" s="17" t="str">
        <f>VLOOKUP(Table1[[#This Row],[Isin code]],Table2[#All],8,FALSE)</f>
        <v>28-Dec-2025</v>
      </c>
      <c r="V1545" s="10">
        <f ca="1">Table1[[#This Row],[Maturity]]-TODAY()</f>
        <v>438</v>
      </c>
      <c r="W1545" t="str">
        <f>VLOOKUP(Table1[[#This Row],[Isin code]],Table2[#All],10,FALSE)</f>
        <v>At the End</v>
      </c>
      <c r="X1545">
        <f ca="1">_xlfn.DAYS(Table1[[#This Row],[Maturity]],TODAY())-15</f>
        <v>423</v>
      </c>
      <c r="Y154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45">
        <f>IF(Table1[[#This Row],[Ask Rate]]=0,0,Table1[[#This Row],[Face Value]]-Table1[[#This Row],[Ask Rate]])</f>
        <v>0</v>
      </c>
      <c r="AA154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45">
        <f>Table1[[#This Row],[Face Value]]*Table1[[#This Row],[Rate]]*Table1[[#This Row],[Time]]</f>
        <v>0</v>
      </c>
      <c r="AC1545">
        <f>Table1[[#This Row],[SI]]+Table1[[#This Row],[Disc/Prem]]</f>
        <v>0</v>
      </c>
      <c r="AD1545" s="3" t="e">
        <f>Table1[[#This Row],[Net Gain]]/Table1[[#This Row],[Ask Rate]]</f>
        <v>#DIV/0!</v>
      </c>
      <c r="AE1545" s="3">
        <f>IF(Table1[[#This Row],[Ask Qty]]=0,0,Table1[[#This Row],[Gross Yield]]*365/Table1[[#This Row],[Days Left]])</f>
        <v>0</v>
      </c>
      <c r="AF1545" s="9">
        <f>+Table1[[#This Row],[Net Gain]]*Table1[[#This Row],[Ask Qty]]</f>
        <v>0</v>
      </c>
      <c r="AG1545" t="str">
        <f>IF(Table1[[#This Row],[YTM]]&gt;0.12,IF(Table1[[#This Row],[Gross Profit]]&gt;10000,"Invest","Review"),"Low YTM")</f>
        <v>Low YTM</v>
      </c>
    </row>
    <row r="1546" spans="1:33" x14ac:dyDescent="0.3">
      <c r="A1546" t="str">
        <f>RTD("nest.scriprtd",,"bse_cm|NWIL25","Symbol")</f>
        <v>NWIL25</v>
      </c>
      <c r="B1546" t="str">
        <f>RTD("nest.scriprtd",,"bse_cm|NWIL25","Trading Symbol")</f>
        <v>NWIL25</v>
      </c>
      <c r="C1546" t="str">
        <f>RTD("nest.scriprtd",,"bse_cm|NWIL25","Exchange")</f>
        <v>BSE</v>
      </c>
      <c r="D1546">
        <f>RTD("nest.scriprtd",,"bse_cm|NWIL25","Bid Qty")</f>
        <v>5</v>
      </c>
      <c r="E1546">
        <f>RTD("nest.scriprtd",,"bse_cm|NWIL25","Bid Rate")</f>
        <v>1158.8499999999999</v>
      </c>
      <c r="F1546">
        <f>RTD("nest.scriprtd",,"bse_cm|NWIL25","Ask Rate")</f>
        <v>0</v>
      </c>
      <c r="G1546">
        <f>RTD("nest.scriprtd",,"bse_cm|NWIL25","Ask Qty")</f>
        <v>0</v>
      </c>
      <c r="H1546">
        <f>RTD("nest.scriprtd",,"bse_cm|NWIL25","LTP")</f>
        <v>0</v>
      </c>
      <c r="I1546" t="str">
        <f>RTD("nest.scriprtd",,"bse_cm|NWIL25","LTT")</f>
        <v>00:00:00</v>
      </c>
      <c r="J1546">
        <f>RTD("nest.scriprtd",,"bse_cm|NWIL25","% Change")</f>
        <v>-100</v>
      </c>
      <c r="K1546">
        <f>RTD("nest.scriprtd",,"bse_cm|NWIL25","ATP")</f>
        <v>0</v>
      </c>
      <c r="L1546">
        <f>RTD("nest.scriprtd",,"bse_cm|NWIL25","Volume Traded Today")</f>
        <v>0</v>
      </c>
      <c r="M1546">
        <f>RTD("nest.scriprtd",,"bse_cm|NWIL25","Open")</f>
        <v>0</v>
      </c>
      <c r="N1546">
        <f>RTD("nest.scriprtd",,"bse_cm|NWIL25","High")</f>
        <v>1190.6500000000001</v>
      </c>
      <c r="O1546">
        <f>RTD("nest.scriprtd",,"bse_cm|NWIL25","Low ")</f>
        <v>1190</v>
      </c>
      <c r="P1546">
        <f>RTD("nest.scriprtd",,"bse_cm|NWIL25","Prev Close")</f>
        <v>1190</v>
      </c>
      <c r="Q1546">
        <f>RTD("nest.scriprtd",,"bse_cm|NWIL25","Face Value")</f>
        <v>1000</v>
      </c>
      <c r="R1546" t="str">
        <f>RTD("nest.scriprtd",,"bse_cm|NWIL25","Isin code")</f>
        <v>INE523L07702</v>
      </c>
      <c r="S1546" s="9">
        <f>Table1[[#This Row],[Ask Rate]]*Table1[[#This Row],[Ask Qty]]</f>
        <v>0</v>
      </c>
      <c r="T1546" t="str">
        <f>VLOOKUP(Table1[[#This Row],[Isin code]],Table2[#All],7,FALSE)</f>
        <v>--</v>
      </c>
      <c r="U1546" s="17" t="str">
        <f>VLOOKUP(Table1[[#This Row],[Isin code]],Table2[#All],8,FALSE)</f>
        <v>15-Jul-2025</v>
      </c>
      <c r="V1546" s="10">
        <f ca="1">Table1[[#This Row],[Maturity]]-TODAY()</f>
        <v>272</v>
      </c>
      <c r="W1546" t="str">
        <f>VLOOKUP(Table1[[#This Row],[Isin code]],Table2[#All],10,FALSE)</f>
        <v>At the End</v>
      </c>
      <c r="X1546">
        <f ca="1">_xlfn.DAYS(Table1[[#This Row],[Maturity]],TODAY())-15</f>
        <v>257</v>
      </c>
      <c r="Y154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46">
        <f>IF(Table1[[#This Row],[Ask Rate]]=0,0,Table1[[#This Row],[Face Value]]-Table1[[#This Row],[Ask Rate]])</f>
        <v>0</v>
      </c>
      <c r="AA154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46">
        <f>Table1[[#This Row],[Face Value]]*Table1[[#This Row],[Rate]]*Table1[[#This Row],[Time]]</f>
        <v>0</v>
      </c>
      <c r="AC1546">
        <f>Table1[[#This Row],[SI]]+Table1[[#This Row],[Disc/Prem]]</f>
        <v>0</v>
      </c>
      <c r="AD1546" s="3" t="e">
        <f>Table1[[#This Row],[Net Gain]]/Table1[[#This Row],[Ask Rate]]</f>
        <v>#DIV/0!</v>
      </c>
      <c r="AE1546" s="3">
        <f>IF(Table1[[#This Row],[Ask Qty]]=0,0,Table1[[#This Row],[Gross Yield]]*365/Table1[[#This Row],[Days Left]])</f>
        <v>0</v>
      </c>
      <c r="AF1546" s="9">
        <f>+Table1[[#This Row],[Net Gain]]*Table1[[#This Row],[Ask Qty]]</f>
        <v>0</v>
      </c>
      <c r="AG1546" t="str">
        <f>IF(Table1[[#This Row],[YTM]]&gt;0.12,IF(Table1[[#This Row],[Gross Profit]]&gt;10000,"Invest","Review"),"Low YTM")</f>
        <v>Low YTM</v>
      </c>
    </row>
    <row r="1547" spans="1:33" x14ac:dyDescent="0.3">
      <c r="A1547" t="str">
        <f>RTD("nest.scriprtd",,"bse_cm|MFOPTVI24","Symbol")</f>
        <v>MFOPTVI24</v>
      </c>
      <c r="B1547" t="str">
        <f>RTD("nest.scriprtd",,"bse_cm|MFOPTVI24","Trading Symbol")</f>
        <v>MFOPTVI24</v>
      </c>
      <c r="C1547" t="str">
        <f>RTD("nest.scriprtd",,"bse_cm|MFOPTVI24","Exchange")</f>
        <v>BSE</v>
      </c>
      <c r="D1547">
        <f>RTD("nest.scriprtd",,"bse_cm|MFOPTVI24","Bid Qty")</f>
        <v>190</v>
      </c>
      <c r="E1547">
        <f>RTD("nest.scriprtd",,"bse_cm|MFOPTVI24","Bid Rate")</f>
        <v>1286.2</v>
      </c>
      <c r="F1547">
        <f>RTD("nest.scriprtd",,"bse_cm|MFOPTVI24","Ask Rate")</f>
        <v>0</v>
      </c>
      <c r="G1547">
        <f>RTD("nest.scriprtd",,"bse_cm|MFOPTVI24","Ask Qty")</f>
        <v>0</v>
      </c>
      <c r="H1547">
        <f>RTD("nest.scriprtd",,"bse_cm|MFOPTVI24","LTP")</f>
        <v>0</v>
      </c>
      <c r="I1547" t="str">
        <f>RTD("nest.scriprtd",,"bse_cm|MFOPTVI24","LTT")</f>
        <v>00:00:00</v>
      </c>
      <c r="J1547">
        <f>RTD("nest.scriprtd",,"bse_cm|MFOPTVI24","% Change")</f>
        <v>-100</v>
      </c>
      <c r="K1547">
        <f>RTD("nest.scriprtd",,"bse_cm|MFOPTVI24","ATP")</f>
        <v>0</v>
      </c>
      <c r="L1547">
        <f>RTD("nest.scriprtd",,"bse_cm|MFOPTVI24","Volume Traded Today")</f>
        <v>0</v>
      </c>
      <c r="M1547">
        <f>RTD("nest.scriprtd",,"bse_cm|MFOPTVI24","Open")</f>
        <v>0</v>
      </c>
      <c r="N1547">
        <f>RTD("nest.scriprtd",,"bse_cm|MFOPTVI24","High")</f>
        <v>1340</v>
      </c>
      <c r="O1547">
        <f>RTD("nest.scriprtd",,"bse_cm|MFOPTVI24","Low ")</f>
        <v>1339.95</v>
      </c>
      <c r="P1547">
        <f>RTD("nest.scriprtd",,"bse_cm|MFOPTVI24","Prev Close")</f>
        <v>1339.95</v>
      </c>
      <c r="Q1547">
        <f>RTD("nest.scriprtd",,"bse_cm|MFOPTVI24","Face Value")</f>
        <v>1000</v>
      </c>
      <c r="R1547" t="str">
        <f>RTD("nest.scriprtd",,"bse_cm|MFOPTVI24","Isin code")</f>
        <v>INE414G07FI1</v>
      </c>
      <c r="S1547" s="9">
        <f>Table1[[#This Row],[Ask Rate]]*Table1[[#This Row],[Ask Qty]]</f>
        <v>0</v>
      </c>
      <c r="T1547" t="str">
        <f>VLOOKUP(Table1[[#This Row],[Isin code]],Table2[#All],7,FALSE)</f>
        <v>--</v>
      </c>
      <c r="U1547" s="17" t="str">
        <f>VLOOKUP(Table1[[#This Row],[Isin code]],Table2[#All],8,FALSE)</f>
        <v>05-Nov-2025</v>
      </c>
      <c r="V1547" s="10">
        <f ca="1">Table1[[#This Row],[Maturity]]-TODAY()</f>
        <v>385</v>
      </c>
      <c r="W1547" t="str">
        <f>VLOOKUP(Table1[[#This Row],[Isin code]],Table2[#All],10,FALSE)</f>
        <v>At the End</v>
      </c>
      <c r="X1547">
        <f ca="1">_xlfn.DAYS(Table1[[#This Row],[Maturity]],TODAY())-15</f>
        <v>370</v>
      </c>
      <c r="Y154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47">
        <f>IF(Table1[[#This Row],[Ask Rate]]=0,0,Table1[[#This Row],[Face Value]]-Table1[[#This Row],[Ask Rate]])</f>
        <v>0</v>
      </c>
      <c r="AA154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47">
        <f>Table1[[#This Row],[Face Value]]*Table1[[#This Row],[Rate]]*Table1[[#This Row],[Time]]</f>
        <v>0</v>
      </c>
      <c r="AC1547">
        <f>Table1[[#This Row],[SI]]+Table1[[#This Row],[Disc/Prem]]</f>
        <v>0</v>
      </c>
      <c r="AD1547" s="3" t="e">
        <f>Table1[[#This Row],[Net Gain]]/Table1[[#This Row],[Ask Rate]]</f>
        <v>#DIV/0!</v>
      </c>
      <c r="AE1547" s="3">
        <f>IF(Table1[[#This Row],[Ask Qty]]=0,0,Table1[[#This Row],[Gross Yield]]*365/Table1[[#This Row],[Days Left]])</f>
        <v>0</v>
      </c>
      <c r="AF1547" s="9">
        <f>+Table1[[#This Row],[Net Gain]]*Table1[[#This Row],[Ask Qty]]</f>
        <v>0</v>
      </c>
      <c r="AG1547" t="str">
        <f>IF(Table1[[#This Row],[YTM]]&gt;0.12,IF(Table1[[#This Row],[Gross Profit]]&gt;10000,"Invest","Review"),"Low YTM")</f>
        <v>Low YTM</v>
      </c>
    </row>
    <row r="1548" spans="1:33" hidden="1" x14ac:dyDescent="0.3">
      <c r="A1548" t="str">
        <f>RTD("nest.scriprtd",,"bse_cm|115ICFL25","Symbol")</f>
        <v>115ICFL25</v>
      </c>
      <c r="B1548" t="str">
        <f>RTD("nest.scriprtd",,"bse_cm|115ICFL25","Trading Symbol")</f>
        <v>115ICFL25</v>
      </c>
      <c r="C1548" t="str">
        <f>RTD("nest.scriprtd",,"bse_cm|115ICFL25","Exchange")</f>
        <v>BSE</v>
      </c>
      <c r="D1548">
        <f>RTD("nest.scriprtd",,"bse_cm|115ICFL25","Bid Qty")</f>
        <v>30</v>
      </c>
      <c r="E1548">
        <f>RTD("nest.scriprtd",,"bse_cm|115ICFL25","Bid Rate")</f>
        <v>1025</v>
      </c>
      <c r="F1548">
        <f>RTD("nest.scriprtd",,"bse_cm|115ICFL25","Ask Rate")</f>
        <v>0</v>
      </c>
      <c r="G1548">
        <f>RTD("nest.scriprtd",,"bse_cm|115ICFL25","Ask Qty")</f>
        <v>0</v>
      </c>
      <c r="H1548">
        <f>RTD("nest.scriprtd",,"bse_cm|115ICFL25","LTP")</f>
        <v>0</v>
      </c>
      <c r="I1548" t="str">
        <f>RTD("nest.scriprtd",,"bse_cm|115ICFL25","LTT")</f>
        <v>00:00:00</v>
      </c>
      <c r="J1548">
        <f>RTD("nest.scriprtd",,"bse_cm|115ICFL25","% Change")</f>
        <v>-100</v>
      </c>
      <c r="K1548">
        <f>RTD("nest.scriprtd",,"bse_cm|115ICFL25","ATP")</f>
        <v>0</v>
      </c>
      <c r="L1548">
        <f>RTD("nest.scriprtd",,"bse_cm|115ICFL25","Volume Traded Today")</f>
        <v>0</v>
      </c>
      <c r="M1548">
        <f>RTD("nest.scriprtd",,"bse_cm|115ICFL25","Open")</f>
        <v>0</v>
      </c>
      <c r="N1548">
        <f>RTD("nest.scriprtd",,"bse_cm|115ICFL25","High")</f>
        <v>1052.54</v>
      </c>
      <c r="O1548">
        <f>RTD("nest.scriprtd",,"bse_cm|115ICFL25","Low ")</f>
        <v>1052.54</v>
      </c>
      <c r="P1548">
        <f>RTD("nest.scriprtd",,"bse_cm|115ICFL25","Prev Close")</f>
        <v>1052.54</v>
      </c>
      <c r="Q1548">
        <f>RTD("nest.scriprtd",,"bse_cm|115ICFL25","Face Value")</f>
        <v>1000</v>
      </c>
      <c r="R1548" t="str">
        <f>RTD("nest.scriprtd",,"bse_cm|115ICFL25","Isin code")</f>
        <v>INE01CY077H4</v>
      </c>
      <c r="S1548" s="9">
        <f>Table1[[#This Row],[Ask Rate]]*Table1[[#This Row],[Ask Qty]]</f>
        <v>0</v>
      </c>
      <c r="T1548">
        <f>VLOOKUP(Table1[[#This Row],[Isin code]],Table2[#All],7,FALSE)</f>
        <v>11.5</v>
      </c>
      <c r="U1548" s="17" t="str">
        <f>VLOOKUP(Table1[[#This Row],[Isin code]],Table2[#All],8,FALSE)</f>
        <v>14-Jan-2025</v>
      </c>
      <c r="V1548" s="10">
        <f ca="1">Table1[[#This Row],[Maturity]]-TODAY()</f>
        <v>90</v>
      </c>
      <c r="W1548" t="str">
        <f>VLOOKUP(Table1[[#This Row],[Isin code]],Table2[#All],10,FALSE)</f>
        <v>At the End</v>
      </c>
      <c r="X1548">
        <f ca="1">_xlfn.DAYS(Table1[[#This Row],[Maturity]],TODAY())-15</f>
        <v>75</v>
      </c>
      <c r="Y154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48">
        <f>IF(Table1[[#This Row],[Ask Rate]]=0,0,Table1[[#This Row],[Face Value]]-Table1[[#This Row],[Ask Rate]])</f>
        <v>0</v>
      </c>
      <c r="AA154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48">
        <f>Table1[[#This Row],[Face Value]]*Table1[[#This Row],[Rate]]*Table1[[#This Row],[Time]]</f>
        <v>0</v>
      </c>
      <c r="AC1548">
        <f>Table1[[#This Row],[SI]]+Table1[[#This Row],[Disc/Prem]]</f>
        <v>0</v>
      </c>
      <c r="AD1548" s="3" t="e">
        <f>Table1[[#This Row],[Net Gain]]/Table1[[#This Row],[Ask Rate]]</f>
        <v>#DIV/0!</v>
      </c>
      <c r="AE1548" s="3">
        <f>IF(Table1[[#This Row],[Ask Qty]]=0,0,Table1[[#This Row],[Gross Yield]]*365/Table1[[#This Row],[Days Left]])</f>
        <v>0</v>
      </c>
      <c r="AF1548" s="9">
        <f>+Table1[[#This Row],[Net Gain]]*Table1[[#This Row],[Ask Qty]]</f>
        <v>0</v>
      </c>
      <c r="AG1548" t="str">
        <f>IF(Table1[[#This Row],[YTM]]&gt;0.12,IF(Table1[[#This Row],[Gross Profit]]&gt;10000,"Invest","Review"),"Low YTM")</f>
        <v>Low YTM</v>
      </c>
    </row>
    <row r="1549" spans="1:33" hidden="1" x14ac:dyDescent="0.3">
      <c r="A1549" t="str">
        <f>RTD("nest.scriprtd",,"bse_cm|8MFL24A","Symbol")</f>
        <v>8MFL24A</v>
      </c>
      <c r="B1549" t="str">
        <f>RTD("nest.scriprtd",,"bse_cm|8MFL24A","Trading Symbol")</f>
        <v>8MFL24A</v>
      </c>
      <c r="C1549" t="str">
        <f>RTD("nest.scriprtd",,"bse_cm|8MFL24A","Exchange")</f>
        <v>BSE</v>
      </c>
      <c r="D1549">
        <f>RTD("nest.scriprtd",,"bse_cm|8MFL24A","Bid Qty")</f>
        <v>180</v>
      </c>
      <c r="E1549">
        <f>RTD("nest.scriprtd",,"bse_cm|8MFL24A","Bid Rate")</f>
        <v>983.2</v>
      </c>
      <c r="F1549">
        <f>RTD("nest.scriprtd",,"bse_cm|8MFL24A","Ask Rate")</f>
        <v>0</v>
      </c>
      <c r="G1549">
        <f>RTD("nest.scriprtd",,"bse_cm|8MFL24A","Ask Qty")</f>
        <v>0</v>
      </c>
      <c r="H1549">
        <f>RTD("nest.scriprtd",,"bse_cm|8MFL24A","LTP")</f>
        <v>0</v>
      </c>
      <c r="I1549" t="str">
        <f>RTD("nest.scriprtd",,"bse_cm|8MFL24A","LTT")</f>
        <v>00:00:00</v>
      </c>
      <c r="J1549">
        <f>RTD("nest.scriprtd",,"bse_cm|8MFL24A","% Change")</f>
        <v>-100</v>
      </c>
      <c r="K1549">
        <f>RTD("nest.scriprtd",,"bse_cm|8MFL24A","ATP")</f>
        <v>0</v>
      </c>
      <c r="L1549">
        <f>RTD("nest.scriprtd",,"bse_cm|8MFL24A","Volume Traded Today")</f>
        <v>0</v>
      </c>
      <c r="M1549">
        <f>RTD("nest.scriprtd",,"bse_cm|8MFL24A","Open")</f>
        <v>0</v>
      </c>
      <c r="N1549">
        <f>RTD("nest.scriprtd",,"bse_cm|8MFL24A","High")</f>
        <v>991</v>
      </c>
      <c r="O1549">
        <f>RTD("nest.scriprtd",,"bse_cm|8MFL24A","Low ")</f>
        <v>990</v>
      </c>
      <c r="P1549">
        <f>RTD("nest.scriprtd",,"bse_cm|8MFL24A","Prev Close")</f>
        <v>990</v>
      </c>
      <c r="Q1549">
        <f>RTD("nest.scriprtd",,"bse_cm|8MFL24A","Face Value")</f>
        <v>1000</v>
      </c>
      <c r="R1549" t="str">
        <f>RTD("nest.scriprtd",,"bse_cm|8MFL24A","Isin code")</f>
        <v>INE549K07BP0</v>
      </c>
      <c r="S1549" s="9">
        <f>Table1[[#This Row],[Ask Rate]]*Table1[[#This Row],[Ask Qty]]</f>
        <v>0</v>
      </c>
      <c r="T1549">
        <f>VLOOKUP(Table1[[#This Row],[Isin code]],Table2[#All],7,FALSE)</f>
        <v>8</v>
      </c>
      <c r="U1549" s="17" t="str">
        <f>VLOOKUP(Table1[[#This Row],[Isin code]],Table2[#All],8,FALSE)</f>
        <v>05-Dec-2024</v>
      </c>
      <c r="V1549" s="10">
        <f ca="1">Table1[[#This Row],[Maturity]]-TODAY()</f>
        <v>50</v>
      </c>
      <c r="W1549" t="str">
        <f>VLOOKUP(Table1[[#This Row],[Isin code]],Table2[#All],10,FALSE)</f>
        <v>Monthly</v>
      </c>
      <c r="X1549">
        <f ca="1">_xlfn.DAYS(Table1[[#This Row],[Maturity]],TODAY())-15</f>
        <v>35</v>
      </c>
      <c r="Y154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49">
        <f>IF(Table1[[#This Row],[Ask Rate]]=0,0,Table1[[#This Row],[Face Value]]-Table1[[#This Row],[Ask Rate]])</f>
        <v>0</v>
      </c>
      <c r="AA1549">
        <f>IF(Table1[[#This Row],[Freq]]="Yearly",Table1[[#This Row],[Coupon_Rate]]/100,IF(Table1[[#This Row],[Freq]]="Monthly",Table1[[#This Row],[Coupon_Rate]]/1200,IF(Table1[[#This Row],[Freq]]="Quarterly",Table1[[#This Row],[Coupon_Rate]]/400,0)))</f>
        <v>6.6666666666666671E-3</v>
      </c>
      <c r="AB1549">
        <f ca="1">Table1[[#This Row],[Face Value]]*Table1[[#This Row],[Rate]]*Table1[[#This Row],[Time]]</f>
        <v>13.333333333333334</v>
      </c>
      <c r="AC1549">
        <f ca="1">Table1[[#This Row],[SI]]+Table1[[#This Row],[Disc/Prem]]</f>
        <v>13.333333333333334</v>
      </c>
      <c r="AD1549" s="3" t="e">
        <f ca="1">Table1[[#This Row],[Net Gain]]/Table1[[#This Row],[Ask Rate]]</f>
        <v>#DIV/0!</v>
      </c>
      <c r="AE1549" s="3">
        <f>IF(Table1[[#This Row],[Ask Qty]]=0,0,Table1[[#This Row],[Gross Yield]]*365/Table1[[#This Row],[Days Left]])</f>
        <v>0</v>
      </c>
      <c r="AF1549" s="9">
        <f ca="1">+Table1[[#This Row],[Net Gain]]*Table1[[#This Row],[Ask Qty]]</f>
        <v>0</v>
      </c>
      <c r="AG1549" t="str">
        <f>IF(Table1[[#This Row],[YTM]]&gt;0.12,IF(Table1[[#This Row],[Gross Profit]]&gt;10000,"Invest","Review"),"Low YTM")</f>
        <v>Low YTM</v>
      </c>
    </row>
    <row r="1550" spans="1:33" hidden="1" x14ac:dyDescent="0.3">
      <c r="A1550" t="str">
        <f>RTD("nest.scriprtd",,"bse_cm|MFLZC24D","Symbol")</f>
        <v>MFLZC24D</v>
      </c>
      <c r="B1550" t="str">
        <f>RTD("nest.scriprtd",,"bse_cm|MFLZC24D","Trading Symbol")</f>
        <v>MFLZC24D</v>
      </c>
      <c r="C1550" t="str">
        <f>RTD("nest.scriprtd",,"bse_cm|MFLZC24D","Exchange")</f>
        <v>BSE</v>
      </c>
      <c r="D1550">
        <f>RTD("nest.scriprtd",,"bse_cm|MFLZC24D","Bid Qty")</f>
        <v>25</v>
      </c>
      <c r="E1550">
        <f>RTD("nest.scriprtd",,"bse_cm|MFLZC24D","Bid Rate")</f>
        <v>1535</v>
      </c>
      <c r="F1550">
        <f>RTD("nest.scriprtd",,"bse_cm|MFLZC24D","Ask Rate")</f>
        <v>1560</v>
      </c>
      <c r="G1550">
        <f>RTD("nest.scriprtd",,"bse_cm|MFLZC24D","Ask Qty")</f>
        <v>70</v>
      </c>
      <c r="H1550">
        <f>RTD("nest.scriprtd",,"bse_cm|MFLZC24D","LTP")</f>
        <v>1589</v>
      </c>
      <c r="I1550" t="str">
        <f>RTD("nest.scriprtd",,"bse_cm|MFLZC24D","LTT")</f>
        <v>00:00:00</v>
      </c>
      <c r="J1550">
        <f>RTD("nest.scriprtd",,"bse_cm|MFLZC24D","% Change")</f>
        <v>2.5299999999999998</v>
      </c>
      <c r="K1550">
        <f>RTD("nest.scriprtd",,"bse_cm|MFLZC24D","ATP")</f>
        <v>0</v>
      </c>
      <c r="L1550">
        <f>RTD("nest.scriprtd",,"bse_cm|MFLZC24D","Volume Traded Today")</f>
        <v>0</v>
      </c>
      <c r="M1550">
        <f>RTD("nest.scriprtd",,"bse_cm|MFLZC24D","Open")</f>
        <v>0</v>
      </c>
      <c r="N1550">
        <f>RTD("nest.scriprtd",,"bse_cm|MFLZC24D","High")</f>
        <v>1589</v>
      </c>
      <c r="O1550">
        <f>RTD("nest.scriprtd",,"bse_cm|MFLZC24D","Low ")</f>
        <v>1589</v>
      </c>
      <c r="P1550">
        <f>RTD("nest.scriprtd",,"bse_cm|MFLZC24D","Prev Close")</f>
        <v>1549.8</v>
      </c>
      <c r="Q1550">
        <f>RTD("nest.scriprtd",,"bse_cm|MFLZC24D","Face Value")</f>
        <v>1000</v>
      </c>
      <c r="R1550" t="str">
        <f>RTD("nest.scriprtd",,"bse_cm|MFLZC24D","Isin code")</f>
        <v>INE414G07EF0</v>
      </c>
      <c r="S1550" s="9">
        <f>Table1[[#This Row],[Ask Rate]]*Table1[[#This Row],[Ask Qty]]</f>
        <v>109200</v>
      </c>
      <c r="T1550" t="str">
        <f>VLOOKUP(Table1[[#This Row],[Isin code]],Table2[#All],7,FALSE)</f>
        <v>--</v>
      </c>
      <c r="U1550" s="17" t="str">
        <f>VLOOKUP(Table1[[#This Row],[Isin code]],Table2[#All],8,FALSE)</f>
        <v>27-Dec-2024</v>
      </c>
      <c r="V1550" s="10">
        <f ca="1">Table1[[#This Row],[Maturity]]-TODAY()</f>
        <v>72</v>
      </c>
      <c r="W1550" t="str">
        <f>VLOOKUP(Table1[[#This Row],[Isin code]],Table2[#All],10,FALSE)</f>
        <v>At the End</v>
      </c>
      <c r="X1550">
        <f ca="1">_xlfn.DAYS(Table1[[#This Row],[Maturity]],TODAY())-15</f>
        <v>57</v>
      </c>
      <c r="Y155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50">
        <f>IF(Table1[[#This Row],[Ask Rate]]=0,0,Table1[[#This Row],[Face Value]]-Table1[[#This Row],[Ask Rate]])</f>
        <v>-560</v>
      </c>
      <c r="AA155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50">
        <f>Table1[[#This Row],[Face Value]]*Table1[[#This Row],[Rate]]*Table1[[#This Row],[Time]]</f>
        <v>0</v>
      </c>
      <c r="AC1550">
        <f>Table1[[#This Row],[SI]]+Table1[[#This Row],[Disc/Prem]]</f>
        <v>-560</v>
      </c>
      <c r="AD1550" s="3">
        <f>Table1[[#This Row],[Net Gain]]/Table1[[#This Row],[Ask Rate]]</f>
        <v>-0.35897435897435898</v>
      </c>
      <c r="AE1550" s="3">
        <f ca="1">IF(Table1[[#This Row],[Ask Qty]]=0,0,Table1[[#This Row],[Gross Yield]]*365/Table1[[#This Row],[Days Left]])</f>
        <v>-1.8198005698005697</v>
      </c>
      <c r="AF1550" s="9">
        <f>+Table1[[#This Row],[Net Gain]]*Table1[[#This Row],[Ask Qty]]</f>
        <v>-39200</v>
      </c>
      <c r="AG1550" t="str">
        <f ca="1">IF(Table1[[#This Row],[YTM]]&gt;0.12,IF(Table1[[#This Row],[Gross Profit]]&gt;10000,"Invest","Review"),"Low YTM")</f>
        <v>Low YTM</v>
      </c>
    </row>
    <row r="1551" spans="1:33" hidden="1" x14ac:dyDescent="0.3">
      <c r="A1551" t="str">
        <f>RTD("nest.scriprtd",,"bse_cm|MFLZC24C","Symbol")</f>
        <v>MFLZC24C</v>
      </c>
      <c r="B1551" t="str">
        <f>RTD("nest.scriprtd",,"bse_cm|MFLZC24C","Trading Symbol")</f>
        <v>MFLZC24C</v>
      </c>
      <c r="C1551" t="str">
        <f>RTD("nest.scriprtd",,"bse_cm|MFLZC24C","Exchange")</f>
        <v>BSE</v>
      </c>
      <c r="D1551">
        <f>RTD("nest.scriprtd",,"bse_cm|MFLZC24C","Bid Qty")</f>
        <v>50</v>
      </c>
      <c r="E1551">
        <f>RTD("nest.scriprtd",,"bse_cm|MFLZC24C","Bid Rate")</f>
        <v>1475.27</v>
      </c>
      <c r="F1551">
        <f>RTD("nest.scriprtd",,"bse_cm|MFLZC24C","Ask Rate")</f>
        <v>0</v>
      </c>
      <c r="G1551">
        <f>RTD("nest.scriprtd",,"bse_cm|MFLZC24C","Ask Qty")</f>
        <v>0</v>
      </c>
      <c r="H1551">
        <f>RTD("nest.scriprtd",,"bse_cm|MFLZC24C","LTP")</f>
        <v>0</v>
      </c>
      <c r="I1551" t="str">
        <f>RTD("nest.scriprtd",,"bse_cm|MFLZC24C","LTT")</f>
        <v>00:00:00</v>
      </c>
      <c r="J1551">
        <f>RTD("nest.scriprtd",,"bse_cm|MFLZC24C","% Change")</f>
        <v>-100</v>
      </c>
      <c r="K1551">
        <f>RTD("nest.scriprtd",,"bse_cm|MFLZC24C","ATP")</f>
        <v>0</v>
      </c>
      <c r="L1551">
        <f>RTD("nest.scriprtd",,"bse_cm|MFLZC24C","Volume Traded Today")</f>
        <v>0</v>
      </c>
      <c r="M1551">
        <f>RTD("nest.scriprtd",,"bse_cm|MFLZC24C","Open")</f>
        <v>0</v>
      </c>
      <c r="N1551">
        <f>RTD("nest.scriprtd",,"bse_cm|MFLZC24C","High")</f>
        <v>1576.68</v>
      </c>
      <c r="O1551">
        <f>RTD("nest.scriprtd",,"bse_cm|MFLZC24C","Low ")</f>
        <v>1560</v>
      </c>
      <c r="P1551">
        <f>RTD("nest.scriprtd",,"bse_cm|MFLZC24C","Prev Close")</f>
        <v>1560</v>
      </c>
      <c r="Q1551">
        <f>RTD("nest.scriprtd",,"bse_cm|MFLZC24C","Face Value")</f>
        <v>1000</v>
      </c>
      <c r="R1551" t="str">
        <f>RTD("nest.scriprtd",,"bse_cm|MFLZC24C","Isin code")</f>
        <v>INE414G07EB9</v>
      </c>
      <c r="S1551" s="9">
        <f>Table1[[#This Row],[Ask Rate]]*Table1[[#This Row],[Ask Qty]]</f>
        <v>0</v>
      </c>
      <c r="T1551" t="str">
        <f>VLOOKUP(Table1[[#This Row],[Isin code]],Table2[#All],7,FALSE)</f>
        <v>--</v>
      </c>
      <c r="U1551" s="17" t="str">
        <f>VLOOKUP(Table1[[#This Row],[Isin code]],Table2[#All],8,FALSE)</f>
        <v>01-Nov-2024</v>
      </c>
      <c r="V1551" s="10">
        <f ca="1">Table1[[#This Row],[Maturity]]-TODAY()</f>
        <v>16</v>
      </c>
      <c r="W1551" t="str">
        <f>VLOOKUP(Table1[[#This Row],[Isin code]],Table2[#All],10,FALSE)</f>
        <v>At the End</v>
      </c>
      <c r="X1551">
        <f ca="1">_xlfn.DAYS(Table1[[#This Row],[Maturity]],TODAY())-15</f>
        <v>1</v>
      </c>
      <c r="Y155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51">
        <f>IF(Table1[[#This Row],[Ask Rate]]=0,0,Table1[[#This Row],[Face Value]]-Table1[[#This Row],[Ask Rate]])</f>
        <v>0</v>
      </c>
      <c r="AA155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51">
        <f>Table1[[#This Row],[Face Value]]*Table1[[#This Row],[Rate]]*Table1[[#This Row],[Time]]</f>
        <v>0</v>
      </c>
      <c r="AC1551">
        <f>Table1[[#This Row],[SI]]+Table1[[#This Row],[Disc/Prem]]</f>
        <v>0</v>
      </c>
      <c r="AD1551" s="3" t="e">
        <f>Table1[[#This Row],[Net Gain]]/Table1[[#This Row],[Ask Rate]]</f>
        <v>#DIV/0!</v>
      </c>
      <c r="AE1551" s="3">
        <f>IF(Table1[[#This Row],[Ask Qty]]=0,0,Table1[[#This Row],[Gross Yield]]*365/Table1[[#This Row],[Days Left]])</f>
        <v>0</v>
      </c>
      <c r="AF1551" s="9">
        <f>+Table1[[#This Row],[Net Gain]]*Table1[[#This Row],[Ask Qty]]</f>
        <v>0</v>
      </c>
      <c r="AG1551" t="str">
        <f>IF(Table1[[#This Row],[YTM]]&gt;0.12,IF(Table1[[#This Row],[Gross Profit]]&gt;10000,"Invest","Review"),"Low YTM")</f>
        <v>Low YTM</v>
      </c>
    </row>
    <row r="1552" spans="1:33" x14ac:dyDescent="0.3">
      <c r="A1552" t="str">
        <f>RTD("nest.scriprtd",,"bse_cm|MFCL30424C","Symbol")</f>
        <v>MFCL30424C</v>
      </c>
      <c r="B1552" t="str">
        <f>RTD("nest.scriprtd",,"bse_cm|MFCL30424C","Trading Symbol")</f>
        <v>MFCL30424C</v>
      </c>
      <c r="C1552" t="str">
        <f>RTD("nest.scriprtd",,"bse_cm|MFCL30424C","Exchange")</f>
        <v>BSE</v>
      </c>
      <c r="D1552">
        <f>RTD("nest.scriprtd",,"bse_cm|MFCL30424C","Bid Qty")</f>
        <v>50</v>
      </c>
      <c r="E1552">
        <f>RTD("nest.scriprtd",,"bse_cm|MFCL30424C","Bid Rate")</f>
        <v>976</v>
      </c>
      <c r="F1552">
        <f>RTD("nest.scriprtd",,"bse_cm|MFCL30424C","Ask Rate")</f>
        <v>0</v>
      </c>
      <c r="G1552">
        <f>RTD("nest.scriprtd",,"bse_cm|MFCL30424C","Ask Qty")</f>
        <v>0</v>
      </c>
      <c r="H1552">
        <f>RTD("nest.scriprtd",,"bse_cm|MFCL30424C","LTP")</f>
        <v>0</v>
      </c>
      <c r="I1552" t="str">
        <f>RTD("nest.scriprtd",,"bse_cm|MFCL30424C","LTT")</f>
        <v>00:00:00</v>
      </c>
      <c r="J1552">
        <f>RTD("nest.scriprtd",,"bse_cm|MFCL30424C","% Change")</f>
        <v>-100</v>
      </c>
      <c r="K1552">
        <f>RTD("nest.scriprtd",,"bse_cm|MFCL30424C","ATP")</f>
        <v>0</v>
      </c>
      <c r="L1552">
        <f>RTD("nest.scriprtd",,"bse_cm|MFCL30424C","Volume Traded Today")</f>
        <v>0</v>
      </c>
      <c r="M1552">
        <f>RTD("nest.scriprtd",,"bse_cm|MFCL30424C","Open")</f>
        <v>0</v>
      </c>
      <c r="N1552">
        <f>RTD("nest.scriprtd",,"bse_cm|MFCL30424C","High")</f>
        <v>1006</v>
      </c>
      <c r="O1552">
        <f>RTD("nest.scriprtd",,"bse_cm|MFCL30424C","Low ")</f>
        <v>1006</v>
      </c>
      <c r="P1552">
        <f>RTD("nest.scriprtd",,"bse_cm|MFCL30424C","Prev Close")</f>
        <v>1006</v>
      </c>
      <c r="Q1552">
        <f>RTD("nest.scriprtd",,"bse_cm|MFCL30424C","Face Value")</f>
        <v>1000</v>
      </c>
      <c r="R1552" t="str">
        <f>RTD("nest.scriprtd",,"bse_cm|MFCL30424C","Isin code")</f>
        <v>INE549K07DM3</v>
      </c>
      <c r="S1552" s="9">
        <f>Table1[[#This Row],[Ask Rate]]*Table1[[#This Row],[Ask Qty]]</f>
        <v>0</v>
      </c>
      <c r="T1552" t="str">
        <f>VLOOKUP(Table1[[#This Row],[Isin code]],Table2[#All],7,FALSE)</f>
        <v>--</v>
      </c>
      <c r="U1552" s="17" t="str">
        <f>VLOOKUP(Table1[[#This Row],[Isin code]],Table2[#All],8,FALSE)</f>
        <v>30-Apr-2030</v>
      </c>
      <c r="V1552" s="10">
        <f ca="1">Table1[[#This Row],[Maturity]]-TODAY()</f>
        <v>2022</v>
      </c>
      <c r="W1552" t="str">
        <f>VLOOKUP(Table1[[#This Row],[Isin code]],Table2[#All],10,FALSE)</f>
        <v>At the End</v>
      </c>
      <c r="X1552">
        <f ca="1">_xlfn.DAYS(Table1[[#This Row],[Maturity]],TODAY())-15</f>
        <v>2007</v>
      </c>
      <c r="Y155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52">
        <f>IF(Table1[[#This Row],[Ask Rate]]=0,0,Table1[[#This Row],[Face Value]]-Table1[[#This Row],[Ask Rate]])</f>
        <v>0</v>
      </c>
      <c r="AA155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52">
        <f>Table1[[#This Row],[Face Value]]*Table1[[#This Row],[Rate]]*Table1[[#This Row],[Time]]</f>
        <v>0</v>
      </c>
      <c r="AC1552">
        <f>Table1[[#This Row],[SI]]+Table1[[#This Row],[Disc/Prem]]</f>
        <v>0</v>
      </c>
      <c r="AD1552" s="3" t="e">
        <f>Table1[[#This Row],[Net Gain]]/Table1[[#This Row],[Ask Rate]]</f>
        <v>#DIV/0!</v>
      </c>
      <c r="AE1552" s="3">
        <f>IF(Table1[[#This Row],[Ask Qty]]=0,0,Table1[[#This Row],[Gross Yield]]*365/Table1[[#This Row],[Days Left]])</f>
        <v>0</v>
      </c>
      <c r="AF1552" s="9">
        <f>+Table1[[#This Row],[Net Gain]]*Table1[[#This Row],[Ask Qty]]</f>
        <v>0</v>
      </c>
      <c r="AG1552" t="str">
        <f>IF(Table1[[#This Row],[YTM]]&gt;0.12,IF(Table1[[#This Row],[Gross Profit]]&gt;10000,"Invest","Review"),"Low YTM")</f>
        <v>Low YTM</v>
      </c>
    </row>
    <row r="1553" spans="1:33" x14ac:dyDescent="0.3">
      <c r="A1553" t="str">
        <f>RTD("nest.scriprtd",,"bse_cm|1075NHFL34","Symbol")</f>
        <v>1075NHFL34</v>
      </c>
      <c r="B1553" t="str">
        <f>RTD("nest.scriprtd",,"bse_cm|1075NHFL34","Trading Symbol")</f>
        <v>1075NHFL34</v>
      </c>
      <c r="C1553" t="str">
        <f>RTD("nest.scriprtd",,"bse_cm|1075NHFL34","Exchange")</f>
        <v>BSE</v>
      </c>
      <c r="D1553">
        <f>RTD("nest.scriprtd",,"bse_cm|1075NHFL34","Bid Qty")</f>
        <v>19</v>
      </c>
      <c r="E1553">
        <f>RTD("nest.scriprtd",,"bse_cm|1075NHFL34","Bid Rate")</f>
        <v>840.25</v>
      </c>
      <c r="F1553">
        <f>RTD("nest.scriprtd",,"bse_cm|1075NHFL34","Ask Rate")</f>
        <v>0</v>
      </c>
      <c r="G1553">
        <f>RTD("nest.scriprtd",,"bse_cm|1075NHFL34","Ask Qty")</f>
        <v>0</v>
      </c>
      <c r="H1553">
        <f>RTD("nest.scriprtd",,"bse_cm|1075NHFL34","LTP")</f>
        <v>0</v>
      </c>
      <c r="I1553" t="str">
        <f>RTD("nest.scriprtd",,"bse_cm|1075NHFL34","LTT")</f>
        <v>00:00:00</v>
      </c>
      <c r="J1553">
        <f>RTD("nest.scriprtd",,"bse_cm|1075NHFL34","% Change")</f>
        <v>-100</v>
      </c>
      <c r="K1553">
        <f>RTD("nest.scriprtd",,"bse_cm|1075NHFL34","ATP")</f>
        <v>0</v>
      </c>
      <c r="L1553">
        <f>RTD("nest.scriprtd",,"bse_cm|1075NHFL34","Volume Traded Today")</f>
        <v>0</v>
      </c>
      <c r="M1553">
        <f>RTD("nest.scriprtd",,"bse_cm|1075NHFL34","Open")</f>
        <v>0</v>
      </c>
      <c r="N1553">
        <f>RTD("nest.scriprtd",,"bse_cm|1075NHFL34","High")</f>
        <v>950</v>
      </c>
      <c r="O1553">
        <f>RTD("nest.scriprtd",,"bse_cm|1075NHFL34","Low ")</f>
        <v>950</v>
      </c>
      <c r="P1553">
        <f>RTD("nest.scriprtd",,"bse_cm|1075NHFL34","Prev Close")</f>
        <v>950</v>
      </c>
      <c r="Q1553">
        <f>RTD("nest.scriprtd",,"bse_cm|1075NHFL34","Face Value")</f>
        <v>1000</v>
      </c>
      <c r="R1553" t="str">
        <f>RTD("nest.scriprtd",,"bse_cm|1075NHFL34","Isin code")</f>
        <v>INE530L07798</v>
      </c>
      <c r="S1553" s="9">
        <f>Table1[[#This Row],[Ask Rate]]*Table1[[#This Row],[Ask Qty]]</f>
        <v>0</v>
      </c>
      <c r="T1553">
        <f>VLOOKUP(Table1[[#This Row],[Isin code]],Table2[#All],7,FALSE)</f>
        <v>10.75</v>
      </c>
      <c r="U1553" s="17" t="str">
        <f>VLOOKUP(Table1[[#This Row],[Isin code]],Table2[#All],8,FALSE)</f>
        <v>03-Jul-2034</v>
      </c>
      <c r="V1553" s="10">
        <f ca="1">Table1[[#This Row],[Maturity]]-TODAY()</f>
        <v>3547</v>
      </c>
      <c r="W1553" t="str">
        <f>VLOOKUP(Table1[[#This Row],[Isin code]],Table2[#All],10,FALSE)</f>
        <v>Annual</v>
      </c>
      <c r="X1553">
        <f ca="1">_xlfn.DAYS(Table1[[#This Row],[Maturity]],TODAY())-15</f>
        <v>3532</v>
      </c>
      <c r="Y155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53">
        <f>IF(Table1[[#This Row],[Ask Rate]]=0,0,Table1[[#This Row],[Face Value]]-Table1[[#This Row],[Ask Rate]])</f>
        <v>0</v>
      </c>
      <c r="AA155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53">
        <f>Table1[[#This Row],[Face Value]]*Table1[[#This Row],[Rate]]*Table1[[#This Row],[Time]]</f>
        <v>0</v>
      </c>
      <c r="AC1553">
        <f>Table1[[#This Row],[SI]]+Table1[[#This Row],[Disc/Prem]]</f>
        <v>0</v>
      </c>
      <c r="AD1553" s="3" t="e">
        <f>Table1[[#This Row],[Net Gain]]/Table1[[#This Row],[Ask Rate]]</f>
        <v>#DIV/0!</v>
      </c>
      <c r="AE1553" s="3">
        <f>IF(Table1[[#This Row],[Ask Qty]]=0,0,Table1[[#This Row],[Gross Yield]]*365/Table1[[#This Row],[Days Left]])</f>
        <v>0</v>
      </c>
      <c r="AF1553" s="9">
        <f>+Table1[[#This Row],[Net Gain]]*Table1[[#This Row],[Ask Qty]]</f>
        <v>0</v>
      </c>
      <c r="AG1553" t="str">
        <f>IF(Table1[[#This Row],[YTM]]&gt;0.12,IF(Table1[[#This Row],[Gross Profit]]&gt;10000,"Invest","Review"),"Low YTM")</f>
        <v>Low YTM</v>
      </c>
    </row>
    <row r="1554" spans="1:33" x14ac:dyDescent="0.3">
      <c r="A1554" t="str">
        <f>RTD("nest.scriprtd",,"bse_cm|MFLZC29A","Symbol")</f>
        <v>MFLZC29A</v>
      </c>
      <c r="B1554" t="str">
        <f>RTD("nest.scriprtd",,"bse_cm|MFLZC29A","Trading Symbol")</f>
        <v>MFLZC29A</v>
      </c>
      <c r="C1554" t="str">
        <f>RTD("nest.scriprtd",,"bse_cm|MFLZC29A","Exchange")</f>
        <v>BSE</v>
      </c>
      <c r="D1554">
        <f>RTD("nest.scriprtd",,"bse_cm|MFLZC29A","Bid Qty")</f>
        <v>50</v>
      </c>
      <c r="E1554">
        <f>RTD("nest.scriprtd",,"bse_cm|MFLZC29A","Bid Rate")</f>
        <v>999.02</v>
      </c>
      <c r="F1554">
        <f>RTD("nest.scriprtd",,"bse_cm|MFLZC29A","Ask Rate")</f>
        <v>0</v>
      </c>
      <c r="G1554">
        <f>RTD("nest.scriprtd",,"bse_cm|MFLZC29A","Ask Qty")</f>
        <v>0</v>
      </c>
      <c r="H1554">
        <f>RTD("nest.scriprtd",,"bse_cm|MFLZC29A","LTP")</f>
        <v>0</v>
      </c>
      <c r="I1554" t="str">
        <f>RTD("nest.scriprtd",,"bse_cm|MFLZC29A","LTT")</f>
        <v>00:00:00</v>
      </c>
      <c r="J1554">
        <f>RTD("nest.scriprtd",,"bse_cm|MFLZC29A","% Change")</f>
        <v>-100</v>
      </c>
      <c r="K1554">
        <f>RTD("nest.scriprtd",,"bse_cm|MFLZC29A","ATP")</f>
        <v>0</v>
      </c>
      <c r="L1554">
        <f>RTD("nest.scriprtd",,"bse_cm|MFLZC29A","Volume Traded Today")</f>
        <v>0</v>
      </c>
      <c r="M1554">
        <f>RTD("nest.scriprtd",,"bse_cm|MFLZC29A","Open")</f>
        <v>0</v>
      </c>
      <c r="N1554">
        <f>RTD("nest.scriprtd",,"bse_cm|MFLZC29A","High")</f>
        <v>1025</v>
      </c>
      <c r="O1554">
        <f>RTD("nest.scriprtd",,"bse_cm|MFLZC29A","Low ")</f>
        <v>1025</v>
      </c>
      <c r="P1554">
        <f>RTD("nest.scriprtd",,"bse_cm|MFLZC29A","Prev Close")</f>
        <v>1025</v>
      </c>
      <c r="Q1554">
        <f>RTD("nest.scriprtd",,"bse_cm|MFLZC29A","Face Value")</f>
        <v>1000</v>
      </c>
      <c r="R1554" t="str">
        <f>RTD("nest.scriprtd",,"bse_cm|MFLZC29A","Isin code")</f>
        <v>INE549K07DK7</v>
      </c>
      <c r="S1554" s="9">
        <f>Table1[[#This Row],[Ask Rate]]*Table1[[#This Row],[Ask Qty]]</f>
        <v>0</v>
      </c>
      <c r="T1554" t="str">
        <f>VLOOKUP(Table1[[#This Row],[Isin code]],Table2[#All],7,FALSE)</f>
        <v>--</v>
      </c>
      <c r="U1554" s="17" t="str">
        <f>VLOOKUP(Table1[[#This Row],[Isin code]],Table2[#All],8,FALSE)</f>
        <v>31-Jan-2029</v>
      </c>
      <c r="V1554" s="10">
        <f ca="1">Table1[[#This Row],[Maturity]]-TODAY()</f>
        <v>1568</v>
      </c>
      <c r="W1554" t="str">
        <f>VLOOKUP(Table1[[#This Row],[Isin code]],Table2[#All],10,FALSE)</f>
        <v>At the End</v>
      </c>
      <c r="X1554">
        <f ca="1">_xlfn.DAYS(Table1[[#This Row],[Maturity]],TODAY())-15</f>
        <v>1553</v>
      </c>
      <c r="Y155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54">
        <f>IF(Table1[[#This Row],[Ask Rate]]=0,0,Table1[[#This Row],[Face Value]]-Table1[[#This Row],[Ask Rate]])</f>
        <v>0</v>
      </c>
      <c r="AA155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54">
        <f>Table1[[#This Row],[Face Value]]*Table1[[#This Row],[Rate]]*Table1[[#This Row],[Time]]</f>
        <v>0</v>
      </c>
      <c r="AC1554">
        <f>Table1[[#This Row],[SI]]+Table1[[#This Row],[Disc/Prem]]</f>
        <v>0</v>
      </c>
      <c r="AD1554" s="3" t="e">
        <f>Table1[[#This Row],[Net Gain]]/Table1[[#This Row],[Ask Rate]]</f>
        <v>#DIV/0!</v>
      </c>
      <c r="AE1554" s="3">
        <f>IF(Table1[[#This Row],[Ask Qty]]=0,0,Table1[[#This Row],[Gross Yield]]*365/Table1[[#This Row],[Days Left]])</f>
        <v>0</v>
      </c>
      <c r="AF1554" s="9">
        <f>+Table1[[#This Row],[Net Gain]]*Table1[[#This Row],[Ask Qty]]</f>
        <v>0</v>
      </c>
      <c r="AG1554" t="str">
        <f>IF(Table1[[#This Row],[YTM]]&gt;0.12,IF(Table1[[#This Row],[Gross Profit]]&gt;10000,"Invest","Review"),"Low YTM")</f>
        <v>Low YTM</v>
      </c>
    </row>
    <row r="1555" spans="1:33" x14ac:dyDescent="0.3">
      <c r="A1555" t="str">
        <f>RTD("nest.scriprtd",,"nse_cm|AEL120924A-N5","Symbol")</f>
        <v>AEL120924A</v>
      </c>
      <c r="B1555" t="str">
        <f>RTD("nest.scriprtd",,"nse_cm|AEL120924A-N5","Trading Symbol")</f>
        <v>AEL120924A-N5</v>
      </c>
      <c r="C1555" t="str">
        <f>RTD("nest.scriprtd",,"nse_cm|AEL120924A-N5","Exchange")</f>
        <v>NSE</v>
      </c>
      <c r="D1555">
        <f>RTD("nest.scriprtd",,"nse_cm|AEL120924A-N5","Bid Qty")</f>
        <v>100</v>
      </c>
      <c r="E1555">
        <f>RTD("nest.scriprtd",,"nse_cm|AEL120924A-N5","Bid Rate")</f>
        <v>985</v>
      </c>
      <c r="F1555">
        <f>RTD("nest.scriprtd",,"nse_cm|AEL120924A-N5","Ask Rate")</f>
        <v>0</v>
      </c>
      <c r="G1555">
        <f>RTD("nest.scriprtd",,"nse_cm|AEL120924A-N5","Ask Qty")</f>
        <v>0</v>
      </c>
      <c r="H1555">
        <f>RTD("nest.scriprtd",,"nse_cm|AEL120924A-N5","LTP")</f>
        <v>1025</v>
      </c>
      <c r="I1555" t="str">
        <f>RTD("nest.scriprtd",,"nse_cm|AEL120924A-N5","LTT")</f>
        <v/>
      </c>
      <c r="J1555">
        <f>RTD("nest.scriprtd",,"nse_cm|AEL120924A-N5","% Change")</f>
        <v>0</v>
      </c>
      <c r="K1555">
        <f>RTD("nest.scriprtd",,"nse_cm|AEL120924A-N5","ATP")</f>
        <v>0</v>
      </c>
      <c r="L1555">
        <f>RTD("nest.scriprtd",,"nse_cm|AEL120924A-N5","Volume Traded Today")</f>
        <v>0</v>
      </c>
      <c r="M1555">
        <f>RTD("nest.scriprtd",,"nse_cm|AEL120924A-N5","Open")</f>
        <v>0</v>
      </c>
      <c r="N1555">
        <f>RTD("nest.scriprtd",,"nse_cm|AEL120924A-N5","High")</f>
        <v>1025</v>
      </c>
      <c r="O1555">
        <f>RTD("nest.scriprtd",,"nse_cm|AEL120924A-N5","Low ")</f>
        <v>1025</v>
      </c>
      <c r="P1555">
        <f>RTD("nest.scriprtd",,"nse_cm|AEL120924A-N5","Prev Close")</f>
        <v>1025</v>
      </c>
      <c r="Q1555">
        <f>RTD("nest.scriprtd",,"nse_cm|AEL120924A-N5","Face Value")</f>
        <v>1000</v>
      </c>
      <c r="R1555" t="str">
        <f>RTD("nest.scriprtd",,"nse_cm|AEL120924A-N5","Isin code")</f>
        <v>INE423A07377</v>
      </c>
      <c r="S1555" s="9">
        <f>Table1[[#This Row],[Ask Rate]]*Table1[[#This Row],[Ask Qty]]</f>
        <v>0</v>
      </c>
      <c r="T1555" t="str">
        <f>VLOOKUP(Table1[[#This Row],[Isin code]],Table2[#All],7,FALSE)</f>
        <v>--</v>
      </c>
      <c r="U1555" s="17" t="str">
        <f>VLOOKUP(Table1[[#This Row],[Isin code]],Table2[#All],8,FALSE)</f>
        <v>12-Sep-2027</v>
      </c>
      <c r="V1555" s="10">
        <f ca="1">Table1[[#This Row],[Maturity]]-TODAY()</f>
        <v>1061</v>
      </c>
      <c r="W1555" t="str">
        <f>VLOOKUP(Table1[[#This Row],[Isin code]],Table2[#All],10,FALSE)</f>
        <v>At the End</v>
      </c>
      <c r="X1555">
        <f ca="1">_xlfn.DAYS(Table1[[#This Row],[Maturity]],TODAY())-15</f>
        <v>1046</v>
      </c>
      <c r="Y155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55">
        <f>IF(Table1[[#This Row],[Ask Rate]]=0,0,Table1[[#This Row],[Face Value]]-Table1[[#This Row],[Ask Rate]])</f>
        <v>0</v>
      </c>
      <c r="AA155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55">
        <f>Table1[[#This Row],[Face Value]]*Table1[[#This Row],[Rate]]*Table1[[#This Row],[Time]]</f>
        <v>0</v>
      </c>
      <c r="AC1555">
        <f>Table1[[#This Row],[SI]]+Table1[[#This Row],[Disc/Prem]]</f>
        <v>0</v>
      </c>
      <c r="AD1555" s="3" t="e">
        <f>Table1[[#This Row],[Net Gain]]/Table1[[#This Row],[Ask Rate]]</f>
        <v>#DIV/0!</v>
      </c>
      <c r="AE1555" s="3">
        <f>IF(Table1[[#This Row],[Ask Qty]]=0,0,Table1[[#This Row],[Gross Yield]]*365/Table1[[#This Row],[Days Left]])</f>
        <v>0</v>
      </c>
      <c r="AF1555" s="9">
        <f>+Table1[[#This Row],[Net Gain]]*Table1[[#This Row],[Ask Qty]]</f>
        <v>0</v>
      </c>
      <c r="AG1555" t="str">
        <f>IF(Table1[[#This Row],[YTM]]&gt;0.12,IF(Table1[[#This Row],[Gross Profit]]&gt;10000,"Invest","Review"),"Low YTM")</f>
        <v>Low YTM</v>
      </c>
    </row>
    <row r="1556" spans="1:33" x14ac:dyDescent="0.3">
      <c r="A1556" t="str">
        <f>RTD("nest.scriprtd",,"nse_cm|990SCL26D-AH","Symbol")</f>
        <v>990SCL26D</v>
      </c>
      <c r="B1556" t="str">
        <f>RTD("nest.scriprtd",,"nse_cm|990SCL26D-AH","Trading Symbol")</f>
        <v>990SCL26D-AH</v>
      </c>
      <c r="C1556" t="str">
        <f>RTD("nest.scriprtd",,"nse_cm|990SCL26D-AH","Exchange")</f>
        <v>NSE</v>
      </c>
      <c r="D1556">
        <f>RTD("nest.scriprtd",,"nse_cm|990SCL26D-AH","Bid Qty")</f>
        <v>10</v>
      </c>
      <c r="E1556">
        <f>RTD("nest.scriprtd",,"nse_cm|990SCL26D-AH","Bid Rate")</f>
        <v>835</v>
      </c>
      <c r="F1556">
        <f>RTD("nest.scriprtd",,"nse_cm|990SCL26D-AH","Ask Rate")</f>
        <v>0</v>
      </c>
      <c r="G1556">
        <f>RTD("nest.scriprtd",,"nse_cm|990SCL26D-AH","Ask Qty")</f>
        <v>0</v>
      </c>
      <c r="H1556">
        <f>RTD("nest.scriprtd",,"nse_cm|990SCL26D-AH","LTP")</f>
        <v>840</v>
      </c>
      <c r="I1556" t="str">
        <f>RTD("nest.scriprtd",,"nse_cm|990SCL26D-AH","LTT")</f>
        <v>10:14:33</v>
      </c>
      <c r="J1556">
        <f>RTD("nest.scriprtd",,"nse_cm|990SCL26D-AH","% Change")</f>
        <v>-0.23</v>
      </c>
      <c r="K1556">
        <f>RTD("nest.scriprtd",,"nse_cm|990SCL26D-AH","ATP")</f>
        <v>840</v>
      </c>
      <c r="L1556">
        <f>RTD("nest.scriprtd",,"nse_cm|990SCL26D-AH","Volume Traded Today")</f>
        <v>25</v>
      </c>
      <c r="M1556">
        <f>RTD("nest.scriprtd",,"nse_cm|990SCL26D-AH","Open")</f>
        <v>840</v>
      </c>
      <c r="N1556">
        <f>RTD("nest.scriprtd",,"nse_cm|990SCL26D-AH","High")</f>
        <v>840</v>
      </c>
      <c r="O1556">
        <f>RTD("nest.scriprtd",,"nse_cm|990SCL26D-AH","Low ")</f>
        <v>840</v>
      </c>
      <c r="P1556">
        <f>RTD("nest.scriprtd",,"nse_cm|990SCL26D-AH","Prev Close")</f>
        <v>841.93</v>
      </c>
      <c r="Q1556">
        <f>RTD("nest.scriprtd",,"nse_cm|990SCL26D-AH","Face Value")</f>
        <v>667</v>
      </c>
      <c r="R1556" t="str">
        <f>RTD("nest.scriprtd",,"nse_cm|990SCL26D-AH","Isin code")</f>
        <v>INE148I07OB8</v>
      </c>
      <c r="S1556" s="9">
        <f>Table1[[#This Row],[Ask Rate]]*Table1[[#This Row],[Ask Qty]]</f>
        <v>0</v>
      </c>
      <c r="T1556">
        <f>VLOOKUP(Table1[[#This Row],[Isin code]],Table2[#All],7,FALSE)</f>
        <v>9.9</v>
      </c>
      <c r="U1556" s="17" t="str">
        <f>VLOOKUP(Table1[[#This Row],[Isin code]],Table2[#All],8,FALSE)</f>
        <v>23-Mar-2026</v>
      </c>
      <c r="V1556" s="10">
        <f ca="1">Table1[[#This Row],[Maturity]]-TODAY()</f>
        <v>523</v>
      </c>
      <c r="W1556" t="str">
        <f>VLOOKUP(Table1[[#This Row],[Isin code]],Table2[#All],10,FALSE)</f>
        <v>Yearly</v>
      </c>
      <c r="X1556">
        <f ca="1">_xlfn.DAYS(Table1[[#This Row],[Maturity]],TODAY())-15</f>
        <v>508</v>
      </c>
      <c r="Y15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56">
        <f>IF(Table1[[#This Row],[Ask Rate]]=0,0,Table1[[#This Row],[Face Value]]-Table1[[#This Row],[Ask Rate]])</f>
        <v>0</v>
      </c>
      <c r="AA1556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556">
        <f ca="1">Table1[[#This Row],[Face Value]]*Table1[[#This Row],[Rate]]*Table1[[#This Row],[Time]]</f>
        <v>132.066</v>
      </c>
      <c r="AC1556">
        <f ca="1">Table1[[#This Row],[SI]]+Table1[[#This Row],[Disc/Prem]]</f>
        <v>132.066</v>
      </c>
      <c r="AD1556" s="3" t="e">
        <f ca="1">Table1[[#This Row],[Net Gain]]/Table1[[#This Row],[Ask Rate]]</f>
        <v>#DIV/0!</v>
      </c>
      <c r="AE1556" s="3">
        <f>IF(Table1[[#This Row],[Ask Qty]]=0,0,Table1[[#This Row],[Gross Yield]]*365/Table1[[#This Row],[Days Left]])</f>
        <v>0</v>
      </c>
      <c r="AF1556" s="9">
        <f ca="1">+Table1[[#This Row],[Net Gain]]*Table1[[#This Row],[Ask Qty]]</f>
        <v>0</v>
      </c>
      <c r="AG1556" t="str">
        <f>IF(Table1[[#This Row],[YTM]]&gt;0.12,IF(Table1[[#This Row],[Gross Profit]]&gt;10000,"Invest","Review"),"Low YTM")</f>
        <v>Low YTM</v>
      </c>
    </row>
    <row r="1557" spans="1:33" x14ac:dyDescent="0.3">
      <c r="A1557" t="str">
        <f>RTD("nest.scriprtd",,"bse_cm|MFL26A","Symbol")</f>
        <v>MFL26A</v>
      </c>
      <c r="B1557" t="str">
        <f>RTD("nest.scriprtd",,"bse_cm|MFL26A","Trading Symbol")</f>
        <v>MFL26A</v>
      </c>
      <c r="C1557" t="str">
        <f>RTD("nest.scriprtd",,"bse_cm|MFL26A","Exchange")</f>
        <v>BSE</v>
      </c>
      <c r="D1557">
        <f>RTD("nest.scriprtd",,"bse_cm|MFL26A","Bid Qty")</f>
        <v>10</v>
      </c>
      <c r="E1557">
        <f>RTD("nest.scriprtd",,"bse_cm|MFL26A","Bid Rate")</f>
        <v>1050</v>
      </c>
      <c r="F1557">
        <f>RTD("nest.scriprtd",,"bse_cm|MFL26A","Ask Rate")</f>
        <v>0</v>
      </c>
      <c r="G1557">
        <f>RTD("nest.scriprtd",,"bse_cm|MFL26A","Ask Qty")</f>
        <v>0</v>
      </c>
      <c r="H1557">
        <f>RTD("nest.scriprtd",,"bse_cm|MFL26A","LTP")</f>
        <v>0</v>
      </c>
      <c r="I1557" t="str">
        <f>RTD("nest.scriprtd",,"bse_cm|MFL26A","LTT")</f>
        <v>00:00:00</v>
      </c>
      <c r="J1557">
        <f>RTD("nest.scriprtd",,"bse_cm|MFL26A","% Change")</f>
        <v>-100</v>
      </c>
      <c r="K1557">
        <f>RTD("nest.scriprtd",,"bse_cm|MFL26A","ATP")</f>
        <v>0</v>
      </c>
      <c r="L1557">
        <f>RTD("nest.scriprtd",,"bse_cm|MFL26A","Volume Traded Today")</f>
        <v>0</v>
      </c>
      <c r="M1557">
        <f>RTD("nest.scriprtd",,"bse_cm|MFL26A","Open")</f>
        <v>0</v>
      </c>
      <c r="N1557">
        <f>RTD("nest.scriprtd",,"bse_cm|MFL26A","High")</f>
        <v>1075</v>
      </c>
      <c r="O1557">
        <f>RTD("nest.scriprtd",,"bse_cm|MFL26A","Low ")</f>
        <v>1075</v>
      </c>
      <c r="P1557">
        <f>RTD("nest.scriprtd",,"bse_cm|MFL26A","Prev Close")</f>
        <v>1075</v>
      </c>
      <c r="Q1557">
        <f>RTD("nest.scriprtd",,"bse_cm|MFL26A","Face Value")</f>
        <v>1000</v>
      </c>
      <c r="R1557" t="str">
        <f>RTD("nest.scriprtd",,"bse_cm|MFL26A","Isin code")</f>
        <v>INE414G07IP0</v>
      </c>
      <c r="S1557" s="9">
        <f>Table1[[#This Row],[Ask Rate]]*Table1[[#This Row],[Ask Qty]]</f>
        <v>0</v>
      </c>
      <c r="T1557" t="str">
        <f>VLOOKUP(Table1[[#This Row],[Isin code]],Table2[#All],7,FALSE)</f>
        <v>--</v>
      </c>
      <c r="U1557" s="17" t="str">
        <f>VLOOKUP(Table1[[#This Row],[Isin code]],Table2[#All],8,FALSE)</f>
        <v>04-Oct-2026</v>
      </c>
      <c r="V1557" s="10">
        <f ca="1">Table1[[#This Row],[Maturity]]-TODAY()</f>
        <v>718</v>
      </c>
      <c r="W1557" t="str">
        <f>VLOOKUP(Table1[[#This Row],[Isin code]],Table2[#All],10,FALSE)</f>
        <v>At the End</v>
      </c>
      <c r="X1557">
        <f ca="1">_xlfn.DAYS(Table1[[#This Row],[Maturity]],TODAY())-15</f>
        <v>703</v>
      </c>
      <c r="Y155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57">
        <f>IF(Table1[[#This Row],[Ask Rate]]=0,0,Table1[[#This Row],[Face Value]]-Table1[[#This Row],[Ask Rate]])</f>
        <v>0</v>
      </c>
      <c r="AA155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57">
        <f>Table1[[#This Row],[Face Value]]*Table1[[#This Row],[Rate]]*Table1[[#This Row],[Time]]</f>
        <v>0</v>
      </c>
      <c r="AC1557">
        <f>Table1[[#This Row],[SI]]+Table1[[#This Row],[Disc/Prem]]</f>
        <v>0</v>
      </c>
      <c r="AD1557" s="3" t="e">
        <f>Table1[[#This Row],[Net Gain]]/Table1[[#This Row],[Ask Rate]]</f>
        <v>#DIV/0!</v>
      </c>
      <c r="AE1557" s="3">
        <f>IF(Table1[[#This Row],[Ask Qty]]=0,0,Table1[[#This Row],[Gross Yield]]*365/Table1[[#This Row],[Days Left]])</f>
        <v>0</v>
      </c>
      <c r="AF1557" s="9">
        <f>+Table1[[#This Row],[Net Gain]]*Table1[[#This Row],[Ask Qty]]</f>
        <v>0</v>
      </c>
      <c r="AG1557" t="str">
        <f>IF(Table1[[#This Row],[YTM]]&gt;0.12,IF(Table1[[#This Row],[Gross Profit]]&gt;10000,"Invest","Review"),"Low YTM")</f>
        <v>Low YTM</v>
      </c>
    </row>
    <row r="1558" spans="1:33" x14ac:dyDescent="0.3">
      <c r="A1558" t="str">
        <f>RTD("nest.scriprtd",,"bse_cm|91MOFSL27","Symbol")</f>
        <v>91MOFSL27</v>
      </c>
      <c r="B1558" t="str">
        <f>RTD("nest.scriprtd",,"bse_cm|91MOFSL27","Trading Symbol")</f>
        <v>91MOFSL27</v>
      </c>
      <c r="C1558" t="str">
        <f>RTD("nest.scriprtd",,"bse_cm|91MOFSL27","Exchange")</f>
        <v>BSE</v>
      </c>
      <c r="D1558">
        <f>RTD("nest.scriprtd",,"bse_cm|91MOFSL27","Bid Qty")</f>
        <v>100</v>
      </c>
      <c r="E1558">
        <f>RTD("nest.scriprtd",,"bse_cm|91MOFSL27","Bid Rate")</f>
        <v>1000</v>
      </c>
      <c r="F1558">
        <f>RTD("nest.scriprtd",,"bse_cm|91MOFSL27","Ask Rate")</f>
        <v>0</v>
      </c>
      <c r="G1558">
        <f>RTD("nest.scriprtd",,"bse_cm|91MOFSL27","Ask Qty")</f>
        <v>0</v>
      </c>
      <c r="H1558">
        <f>RTD("nest.scriprtd",,"bse_cm|91MOFSL27","LTP")</f>
        <v>0</v>
      </c>
      <c r="I1558" t="str">
        <f>RTD("nest.scriprtd",,"bse_cm|91MOFSL27","LTT")</f>
        <v>00:00:00</v>
      </c>
      <c r="J1558">
        <f>RTD("nest.scriprtd",,"bse_cm|91MOFSL27","% Change")</f>
        <v>-100</v>
      </c>
      <c r="K1558">
        <f>RTD("nest.scriprtd",,"bse_cm|91MOFSL27","ATP")</f>
        <v>0</v>
      </c>
      <c r="L1558">
        <f>RTD("nest.scriprtd",,"bse_cm|91MOFSL27","Volume Traded Today")</f>
        <v>0</v>
      </c>
      <c r="M1558">
        <f>RTD("nest.scriprtd",,"bse_cm|91MOFSL27","Open")</f>
        <v>0</v>
      </c>
      <c r="N1558">
        <f>RTD("nest.scriprtd",,"bse_cm|91MOFSL27","High")</f>
        <v>1036.71</v>
      </c>
      <c r="O1558">
        <f>RTD("nest.scriprtd",,"bse_cm|91MOFSL27","Low ")</f>
        <v>1036.71</v>
      </c>
      <c r="P1558">
        <f>RTD("nest.scriprtd",,"bse_cm|91MOFSL27","Prev Close")</f>
        <v>1036.71</v>
      </c>
      <c r="Q1558">
        <f>RTD("nest.scriprtd",,"bse_cm|91MOFSL27","Face Value")</f>
        <v>1000</v>
      </c>
      <c r="R1558" t="str">
        <f>RTD("nest.scriprtd",,"bse_cm|91MOFSL27","Isin code")</f>
        <v>INE338I07149</v>
      </c>
      <c r="S1558" s="9">
        <f>Table1[[#This Row],[Ask Rate]]*Table1[[#This Row],[Ask Qty]]</f>
        <v>0</v>
      </c>
      <c r="T1558">
        <f>VLOOKUP(Table1[[#This Row],[Isin code]],Table2[#All],7,FALSE)</f>
        <v>9.1</v>
      </c>
      <c r="U1558" s="17" t="str">
        <f>VLOOKUP(Table1[[#This Row],[Isin code]],Table2[#All],8,FALSE)</f>
        <v>09-May-2027</v>
      </c>
      <c r="V1558" s="10">
        <f ca="1">Table1[[#This Row],[Maturity]]-TODAY()</f>
        <v>935</v>
      </c>
      <c r="W1558" t="str">
        <f>VLOOKUP(Table1[[#This Row],[Isin code]],Table2[#All],10,FALSE)</f>
        <v>Annual</v>
      </c>
      <c r="X1558">
        <f ca="1">_xlfn.DAYS(Table1[[#This Row],[Maturity]],TODAY())-15</f>
        <v>920</v>
      </c>
      <c r="Y155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58">
        <f>IF(Table1[[#This Row],[Ask Rate]]=0,0,Table1[[#This Row],[Face Value]]-Table1[[#This Row],[Ask Rate]])</f>
        <v>0</v>
      </c>
      <c r="AA155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58">
        <f>Table1[[#This Row],[Face Value]]*Table1[[#This Row],[Rate]]*Table1[[#This Row],[Time]]</f>
        <v>0</v>
      </c>
      <c r="AC1558">
        <f>Table1[[#This Row],[SI]]+Table1[[#This Row],[Disc/Prem]]</f>
        <v>0</v>
      </c>
      <c r="AD1558" s="3" t="e">
        <f>Table1[[#This Row],[Net Gain]]/Table1[[#This Row],[Ask Rate]]</f>
        <v>#DIV/0!</v>
      </c>
      <c r="AE1558" s="3">
        <f>IF(Table1[[#This Row],[Ask Qty]]=0,0,Table1[[#This Row],[Gross Yield]]*365/Table1[[#This Row],[Days Left]])</f>
        <v>0</v>
      </c>
      <c r="AF1558" s="9">
        <f>+Table1[[#This Row],[Net Gain]]*Table1[[#This Row],[Ask Qty]]</f>
        <v>0</v>
      </c>
      <c r="AG1558" t="str">
        <f>IF(Table1[[#This Row],[YTM]]&gt;0.12,IF(Table1[[#This Row],[Gross Profit]]&gt;10000,"Invest","Review"),"Low YTM")</f>
        <v>Low YTM</v>
      </c>
    </row>
    <row r="1559" spans="1:33" x14ac:dyDescent="0.3">
      <c r="A1559" t="str">
        <f>RTD("nest.scriprtd",,"nse_cm|CIFCZC28A-N5","Symbol")</f>
        <v>CIFCZC28A</v>
      </c>
      <c r="B1559" t="str">
        <f>RTD("nest.scriprtd",,"nse_cm|CIFCZC28A-N5","Trading Symbol")</f>
        <v>CIFCZC28A-N5</v>
      </c>
      <c r="C1559" t="str">
        <f>RTD("nest.scriprtd",,"nse_cm|CIFCZC28A-N5","Exchange")</f>
        <v>NSE</v>
      </c>
      <c r="D1559">
        <f>RTD("nest.scriprtd",,"nse_cm|CIFCZC28A-N5","Bid Qty")</f>
        <v>5</v>
      </c>
      <c r="E1559">
        <f>RTD("nest.scriprtd",,"nse_cm|CIFCZC28A-N5","Bid Rate")</f>
        <v>1050</v>
      </c>
      <c r="F1559">
        <f>RTD("nest.scriprtd",,"nse_cm|CIFCZC28A-N5","Ask Rate")</f>
        <v>0</v>
      </c>
      <c r="G1559">
        <f>RTD("nest.scriprtd",,"nse_cm|CIFCZC28A-N5","Ask Qty")</f>
        <v>0</v>
      </c>
      <c r="H1559">
        <f>RTD("nest.scriprtd",,"nse_cm|CIFCZC28A-N5","LTP")</f>
        <v>1060</v>
      </c>
      <c r="I1559" t="str">
        <f>RTD("nest.scriprtd",,"nse_cm|CIFCZC28A-N5","LTT")</f>
        <v/>
      </c>
      <c r="J1559">
        <f>RTD("nest.scriprtd",,"nse_cm|CIFCZC28A-N5","% Change")</f>
        <v>0</v>
      </c>
      <c r="K1559">
        <f>RTD("nest.scriprtd",,"nse_cm|CIFCZC28A-N5","ATP")</f>
        <v>0</v>
      </c>
      <c r="L1559">
        <f>RTD("nest.scriprtd",,"nse_cm|CIFCZC28A-N5","Volume Traded Today")</f>
        <v>0</v>
      </c>
      <c r="M1559">
        <f>RTD("nest.scriprtd",,"nse_cm|CIFCZC28A-N5","Open")</f>
        <v>0</v>
      </c>
      <c r="N1559">
        <f>RTD("nest.scriprtd",,"nse_cm|CIFCZC28A-N5","High")</f>
        <v>1060</v>
      </c>
      <c r="O1559">
        <f>RTD("nest.scriprtd",,"nse_cm|CIFCZC28A-N5","Low ")</f>
        <v>1060</v>
      </c>
      <c r="P1559">
        <f>RTD("nest.scriprtd",,"nse_cm|CIFCZC28A-N5","Prev Close")</f>
        <v>1060</v>
      </c>
      <c r="Q1559">
        <f>RTD("nest.scriprtd",,"nse_cm|CIFCZC28A-N5","Face Value")</f>
        <v>1000</v>
      </c>
      <c r="R1559" t="str">
        <f>RTD("nest.scriprtd",,"nse_cm|CIFCZC28A-N5","Isin code")</f>
        <v>INE121A07QX1</v>
      </c>
      <c r="S1559" s="9">
        <f>Table1[[#This Row],[Ask Rate]]*Table1[[#This Row],[Ask Qty]]</f>
        <v>0</v>
      </c>
      <c r="T1559">
        <f>VLOOKUP(Table1[[#This Row],[Isin code]],Table2[#All],7,FALSE)</f>
        <v>0</v>
      </c>
      <c r="U1559" s="17" t="str">
        <f>VLOOKUP(Table1[[#This Row],[Isin code]],Table2[#All],8,FALSE)</f>
        <v>04-May-2028</v>
      </c>
      <c r="V1559" s="10">
        <f ca="1">Table1[[#This Row],[Maturity]]-TODAY()</f>
        <v>1296</v>
      </c>
      <c r="W1559" t="str">
        <f>VLOOKUP(Table1[[#This Row],[Isin code]],Table2[#All],10,FALSE)</f>
        <v>Yearly</v>
      </c>
      <c r="X1559">
        <f ca="1">_xlfn.DAYS(Table1[[#This Row],[Maturity]],TODAY())-15</f>
        <v>1281</v>
      </c>
      <c r="Y155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559">
        <f>IF(Table1[[#This Row],[Ask Rate]]=0,0,Table1[[#This Row],[Face Value]]-Table1[[#This Row],[Ask Rate]])</f>
        <v>0</v>
      </c>
      <c r="AA155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59">
        <f ca="1">Table1[[#This Row],[Face Value]]*Table1[[#This Row],[Rate]]*Table1[[#This Row],[Time]]</f>
        <v>0</v>
      </c>
      <c r="AC1559">
        <f ca="1">Table1[[#This Row],[SI]]+Table1[[#This Row],[Disc/Prem]]</f>
        <v>0</v>
      </c>
      <c r="AD1559" s="3" t="e">
        <f ca="1">Table1[[#This Row],[Net Gain]]/Table1[[#This Row],[Ask Rate]]</f>
        <v>#DIV/0!</v>
      </c>
      <c r="AE1559" s="3">
        <f>IF(Table1[[#This Row],[Ask Qty]]=0,0,Table1[[#This Row],[Gross Yield]]*365/Table1[[#This Row],[Days Left]])</f>
        <v>0</v>
      </c>
      <c r="AF1559" s="9">
        <f ca="1">+Table1[[#This Row],[Net Gain]]*Table1[[#This Row],[Ask Qty]]</f>
        <v>0</v>
      </c>
      <c r="AG1559" t="str">
        <f>IF(Table1[[#This Row],[YTM]]&gt;0.12,IF(Table1[[#This Row],[Gross Profit]]&gt;10000,"Invest","Review"),"Low YTM")</f>
        <v>Low YTM</v>
      </c>
    </row>
    <row r="1560" spans="1:33" x14ac:dyDescent="0.3">
      <c r="A1560" t="str">
        <f>RTD("nest.scriprtd",,"bse_cm|MFL23A","Symbol")</f>
        <v>MFL23A</v>
      </c>
      <c r="B1560" t="str">
        <f>RTD("nest.scriprtd",,"bse_cm|MFL23A","Trading Symbol")</f>
        <v>MFL23A</v>
      </c>
      <c r="C1560" t="str">
        <f>RTD("nest.scriprtd",,"bse_cm|MFL23A","Exchange")</f>
        <v>BSE</v>
      </c>
      <c r="D1560">
        <f>RTD("nest.scriprtd",,"bse_cm|MFL23A","Bid Qty")</f>
        <v>52</v>
      </c>
      <c r="E1560">
        <f>RTD("nest.scriprtd",,"bse_cm|MFL23A","Bid Rate")</f>
        <v>1067</v>
      </c>
      <c r="F1560">
        <f>RTD("nest.scriprtd",,"bse_cm|MFL23A","Ask Rate")</f>
        <v>0</v>
      </c>
      <c r="G1560">
        <f>RTD("nest.scriprtd",,"bse_cm|MFL23A","Ask Qty")</f>
        <v>0</v>
      </c>
      <c r="H1560">
        <f>RTD("nest.scriprtd",,"bse_cm|MFL23A","LTP")</f>
        <v>0</v>
      </c>
      <c r="I1560" t="str">
        <f>RTD("nest.scriprtd",,"bse_cm|MFL23A","LTT")</f>
        <v>00:00:00</v>
      </c>
      <c r="J1560">
        <f>RTD("nest.scriprtd",,"bse_cm|MFL23A","% Change")</f>
        <v>-100</v>
      </c>
      <c r="K1560">
        <f>RTD("nest.scriprtd",,"bse_cm|MFL23A","ATP")</f>
        <v>0</v>
      </c>
      <c r="L1560">
        <f>RTD("nest.scriprtd",,"bse_cm|MFL23A","Volume Traded Today")</f>
        <v>0</v>
      </c>
      <c r="M1560">
        <f>RTD("nest.scriprtd",,"bse_cm|MFL23A","Open")</f>
        <v>0</v>
      </c>
      <c r="N1560">
        <f>RTD("nest.scriprtd",,"bse_cm|MFL23A","High")</f>
        <v>1076.8</v>
      </c>
      <c r="O1560">
        <f>RTD("nest.scriprtd",,"bse_cm|MFL23A","Low ")</f>
        <v>1050.2</v>
      </c>
      <c r="P1560">
        <f>RTD("nest.scriprtd",,"bse_cm|MFL23A","Prev Close")</f>
        <v>1076.8</v>
      </c>
      <c r="Q1560">
        <f>RTD("nest.scriprtd",,"bse_cm|MFL23A","Face Value")</f>
        <v>1000</v>
      </c>
      <c r="R1560" t="str">
        <f>RTD("nest.scriprtd",,"bse_cm|MFL23A","Isin code")</f>
        <v>INE414G07HO5</v>
      </c>
      <c r="S1560" s="9">
        <f>Table1[[#This Row],[Ask Rate]]*Table1[[#This Row],[Ask Qty]]</f>
        <v>0</v>
      </c>
      <c r="T1560" t="str">
        <f>VLOOKUP(Table1[[#This Row],[Isin code]],Table2[#All],7,FALSE)</f>
        <v>--</v>
      </c>
      <c r="U1560" s="17" t="str">
        <f>VLOOKUP(Table1[[#This Row],[Isin code]],Table2[#All],8,FALSE)</f>
        <v>10-Apr-2028</v>
      </c>
      <c r="V1560" s="10">
        <f ca="1">Table1[[#This Row],[Maturity]]-TODAY()</f>
        <v>1272</v>
      </c>
      <c r="W1560" t="str">
        <f>VLOOKUP(Table1[[#This Row],[Isin code]],Table2[#All],10,FALSE)</f>
        <v>At the End</v>
      </c>
      <c r="X1560">
        <f ca="1">_xlfn.DAYS(Table1[[#This Row],[Maturity]],TODAY())-15</f>
        <v>1257</v>
      </c>
      <c r="Y156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60">
        <f>IF(Table1[[#This Row],[Ask Rate]]=0,0,Table1[[#This Row],[Face Value]]-Table1[[#This Row],[Ask Rate]])</f>
        <v>0</v>
      </c>
      <c r="AA156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60">
        <f>Table1[[#This Row],[Face Value]]*Table1[[#This Row],[Rate]]*Table1[[#This Row],[Time]]</f>
        <v>0</v>
      </c>
      <c r="AC1560">
        <f>Table1[[#This Row],[SI]]+Table1[[#This Row],[Disc/Prem]]</f>
        <v>0</v>
      </c>
      <c r="AD1560" s="3" t="e">
        <f>Table1[[#This Row],[Net Gain]]/Table1[[#This Row],[Ask Rate]]</f>
        <v>#DIV/0!</v>
      </c>
      <c r="AE1560" s="3">
        <f>IF(Table1[[#This Row],[Ask Qty]]=0,0,Table1[[#This Row],[Gross Yield]]*365/Table1[[#This Row],[Days Left]])</f>
        <v>0</v>
      </c>
      <c r="AF1560" s="9">
        <f>+Table1[[#This Row],[Net Gain]]*Table1[[#This Row],[Ask Qty]]</f>
        <v>0</v>
      </c>
      <c r="AG1560" t="str">
        <f>IF(Table1[[#This Row],[YTM]]&gt;0.12,IF(Table1[[#This Row],[Gross Profit]]&gt;10000,"Invest","Review"),"Low YTM")</f>
        <v>Low YTM</v>
      </c>
    </row>
    <row r="1561" spans="1:33" x14ac:dyDescent="0.3">
      <c r="A1561" t="str">
        <f>RTD("nest.scriprtd",,"nse_cm|CIFCZC26-NF","Symbol")</f>
        <v>CIFCZC26</v>
      </c>
      <c r="B1561" t="str">
        <f>RTD("nest.scriprtd",,"nse_cm|CIFCZC26-NF","Trading Symbol")</f>
        <v>CIFCZC26-NF</v>
      </c>
      <c r="C1561" t="str">
        <f>RTD("nest.scriprtd",,"nse_cm|CIFCZC26-NF","Exchange")</f>
        <v>NSE</v>
      </c>
      <c r="D1561">
        <f>RTD("nest.scriprtd",,"nse_cm|CIFCZC26-NF","Bid Qty")</f>
        <v>18</v>
      </c>
      <c r="E1561">
        <f>RTD("nest.scriprtd",,"nse_cm|CIFCZC26-NF","Bid Rate")</f>
        <v>921.2</v>
      </c>
      <c r="F1561">
        <f>RTD("nest.scriprtd",,"nse_cm|CIFCZC26-NF","Ask Rate")</f>
        <v>0</v>
      </c>
      <c r="G1561">
        <f>RTD("nest.scriprtd",,"nse_cm|CIFCZC26-NF","Ask Qty")</f>
        <v>0</v>
      </c>
      <c r="H1561">
        <f>RTD("nest.scriprtd",,"nse_cm|CIFCZC26-NF","LTP")</f>
        <v>1099</v>
      </c>
      <c r="I1561" t="str">
        <f>RTD("nest.scriprtd",,"nse_cm|CIFCZC26-NF","LTT")</f>
        <v/>
      </c>
      <c r="J1561">
        <f>RTD("nest.scriprtd",,"nse_cm|CIFCZC26-NF","% Change")</f>
        <v>0</v>
      </c>
      <c r="K1561">
        <f>RTD("nest.scriprtd",,"nse_cm|CIFCZC26-NF","ATP")</f>
        <v>0</v>
      </c>
      <c r="L1561">
        <f>RTD("nest.scriprtd",,"nse_cm|CIFCZC26-NF","Volume Traded Today")</f>
        <v>0</v>
      </c>
      <c r="M1561">
        <f>RTD("nest.scriprtd",,"nse_cm|CIFCZC26-NF","Open")</f>
        <v>0</v>
      </c>
      <c r="N1561">
        <f>RTD("nest.scriprtd",,"nse_cm|CIFCZC26-NF","High")</f>
        <v>1099</v>
      </c>
      <c r="O1561">
        <f>RTD("nest.scriprtd",,"nse_cm|CIFCZC26-NF","Low ")</f>
        <v>1099</v>
      </c>
      <c r="P1561">
        <f>RTD("nest.scriprtd",,"nse_cm|CIFCZC26-NF","Prev Close")</f>
        <v>1099</v>
      </c>
      <c r="Q1561">
        <f>RTD("nest.scriprtd",,"nse_cm|CIFCZC26-NF","Face Value")</f>
        <v>1000</v>
      </c>
      <c r="R1561" t="str">
        <f>RTD("nest.scriprtd",,"nse_cm|CIFCZC26-NF","Isin code")</f>
        <v>INE121A07RK6</v>
      </c>
      <c r="S1561" s="9">
        <f>Table1[[#This Row],[Ask Rate]]*Table1[[#This Row],[Ask Qty]]</f>
        <v>0</v>
      </c>
      <c r="T1561">
        <f>VLOOKUP(Table1[[#This Row],[Isin code]],Table2[#All],7,FALSE)</f>
        <v>0</v>
      </c>
      <c r="U1561" s="17" t="str">
        <f>VLOOKUP(Table1[[#This Row],[Isin code]],Table2[#All],8,FALSE)</f>
        <v>07-Dec-2026</v>
      </c>
      <c r="V1561" s="10">
        <f ca="1">Table1[[#This Row],[Maturity]]-TODAY()</f>
        <v>782</v>
      </c>
      <c r="W1561" t="str">
        <f>VLOOKUP(Table1[[#This Row],[Isin code]],Table2[#All],10,FALSE)</f>
        <v>0</v>
      </c>
      <c r="X1561">
        <f ca="1">_xlfn.DAYS(Table1[[#This Row],[Maturity]],TODAY())-15</f>
        <v>767</v>
      </c>
      <c r="Y156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61">
        <f>IF(Table1[[#This Row],[Ask Rate]]=0,0,Table1[[#This Row],[Face Value]]-Table1[[#This Row],[Ask Rate]])</f>
        <v>0</v>
      </c>
      <c r="AA156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61">
        <f>Table1[[#This Row],[Face Value]]*Table1[[#This Row],[Rate]]*Table1[[#This Row],[Time]]</f>
        <v>0</v>
      </c>
      <c r="AC1561">
        <f>Table1[[#This Row],[SI]]+Table1[[#This Row],[Disc/Prem]]</f>
        <v>0</v>
      </c>
      <c r="AD1561" s="3" t="e">
        <f>Table1[[#This Row],[Net Gain]]/Table1[[#This Row],[Ask Rate]]</f>
        <v>#DIV/0!</v>
      </c>
      <c r="AE1561" s="3">
        <f>IF(Table1[[#This Row],[Ask Qty]]=0,0,Table1[[#This Row],[Gross Yield]]*365/Table1[[#This Row],[Days Left]])</f>
        <v>0</v>
      </c>
      <c r="AF1561" s="9">
        <f>+Table1[[#This Row],[Net Gain]]*Table1[[#This Row],[Ask Qty]]</f>
        <v>0</v>
      </c>
      <c r="AG1561" t="str">
        <f>IF(Table1[[#This Row],[YTM]]&gt;0.12,IF(Table1[[#This Row],[Gross Profit]]&gt;10000,"Invest","Review"),"Low YTM")</f>
        <v>Low YTM</v>
      </c>
    </row>
    <row r="1562" spans="1:33" x14ac:dyDescent="0.3">
      <c r="A1562" t="str">
        <f>RTD("nest.scriprtd",,"bse_cm|MFLTDVII27","Symbol")</f>
        <v>MFLTDVII27</v>
      </c>
      <c r="B1562" t="str">
        <f>RTD("nest.scriprtd",,"bse_cm|MFLTDVII27","Trading Symbol")</f>
        <v>MFLTDVII27</v>
      </c>
      <c r="C1562" t="str">
        <f>RTD("nest.scriprtd",,"bse_cm|MFLTDVII27","Exchange")</f>
        <v>BSE</v>
      </c>
      <c r="D1562">
        <f>RTD("nest.scriprtd",,"bse_cm|MFLTDVII27","Bid Qty")</f>
        <v>112</v>
      </c>
      <c r="E1562">
        <f>RTD("nest.scriprtd",,"bse_cm|MFLTDVII27","Bid Rate")</f>
        <v>1074</v>
      </c>
      <c r="F1562">
        <f>RTD("nest.scriprtd",,"bse_cm|MFLTDVII27","Ask Rate")</f>
        <v>0</v>
      </c>
      <c r="G1562">
        <f>RTD("nest.scriprtd",,"bse_cm|MFLTDVII27","Ask Qty")</f>
        <v>0</v>
      </c>
      <c r="H1562">
        <f>RTD("nest.scriprtd",,"bse_cm|MFLTDVII27","LTP")</f>
        <v>0</v>
      </c>
      <c r="I1562" t="str">
        <f>RTD("nest.scriprtd",,"bse_cm|MFLTDVII27","LTT")</f>
        <v>00:00:00</v>
      </c>
      <c r="J1562">
        <f>RTD("nest.scriprtd",,"bse_cm|MFLTDVII27","% Change")</f>
        <v>-100</v>
      </c>
      <c r="K1562">
        <f>RTD("nest.scriprtd",,"bse_cm|MFLTDVII27","ATP")</f>
        <v>0</v>
      </c>
      <c r="L1562">
        <f>RTD("nest.scriprtd",,"bse_cm|MFLTDVII27","Volume Traded Today")</f>
        <v>0</v>
      </c>
      <c r="M1562">
        <f>RTD("nest.scriprtd",,"bse_cm|MFLTDVII27","Open")</f>
        <v>0</v>
      </c>
      <c r="N1562">
        <f>RTD("nest.scriprtd",,"bse_cm|MFLTDVII27","High")</f>
        <v>1090</v>
      </c>
      <c r="O1562">
        <f>RTD("nest.scriprtd",,"bse_cm|MFLTDVII27","Low ")</f>
        <v>1090</v>
      </c>
      <c r="P1562">
        <f>RTD("nest.scriprtd",,"bse_cm|MFLTDVII27","Prev Close")</f>
        <v>1090</v>
      </c>
      <c r="Q1562">
        <f>RTD("nest.scriprtd",,"bse_cm|MFLTDVII27","Face Value")</f>
        <v>1000</v>
      </c>
      <c r="R1562" t="str">
        <f>RTD("nest.scriprtd",,"bse_cm|MFLTDVII27","Isin code")</f>
        <v>INE414G07GZ3</v>
      </c>
      <c r="S1562" s="9">
        <f>Table1[[#This Row],[Ask Rate]]*Table1[[#This Row],[Ask Qty]]</f>
        <v>0</v>
      </c>
      <c r="T1562" t="str">
        <f>VLOOKUP(Table1[[#This Row],[Isin code]],Table2[#All],7,FALSE)</f>
        <v>--</v>
      </c>
      <c r="U1562" s="17" t="str">
        <f>VLOOKUP(Table1[[#This Row],[Isin code]],Table2[#All],8,FALSE)</f>
        <v>03-Nov-2027</v>
      </c>
      <c r="V1562" s="10">
        <f ca="1">Table1[[#This Row],[Maturity]]-TODAY()</f>
        <v>1113</v>
      </c>
      <c r="W1562" t="str">
        <f>VLOOKUP(Table1[[#This Row],[Isin code]],Table2[#All],10,FALSE)</f>
        <v>At the End</v>
      </c>
      <c r="X1562">
        <f ca="1">_xlfn.DAYS(Table1[[#This Row],[Maturity]],TODAY())-15</f>
        <v>1098</v>
      </c>
      <c r="Y156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62">
        <f>IF(Table1[[#This Row],[Ask Rate]]=0,0,Table1[[#This Row],[Face Value]]-Table1[[#This Row],[Ask Rate]])</f>
        <v>0</v>
      </c>
      <c r="AA156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62">
        <f>Table1[[#This Row],[Face Value]]*Table1[[#This Row],[Rate]]*Table1[[#This Row],[Time]]</f>
        <v>0</v>
      </c>
      <c r="AC1562">
        <f>Table1[[#This Row],[SI]]+Table1[[#This Row],[Disc/Prem]]</f>
        <v>0</v>
      </c>
      <c r="AD1562" s="3" t="e">
        <f>Table1[[#This Row],[Net Gain]]/Table1[[#This Row],[Ask Rate]]</f>
        <v>#DIV/0!</v>
      </c>
      <c r="AE1562" s="3">
        <f>IF(Table1[[#This Row],[Ask Qty]]=0,0,Table1[[#This Row],[Gross Yield]]*365/Table1[[#This Row],[Days Left]])</f>
        <v>0</v>
      </c>
      <c r="AF1562" s="9">
        <f>+Table1[[#This Row],[Net Gain]]*Table1[[#This Row],[Ask Qty]]</f>
        <v>0</v>
      </c>
      <c r="AG1562" t="str">
        <f>IF(Table1[[#This Row],[YTM]]&gt;0.12,IF(Table1[[#This Row],[Gross Profit]]&gt;10000,"Invest","Review"),"Low YTM")</f>
        <v>Low YTM</v>
      </c>
    </row>
    <row r="1563" spans="1:33" x14ac:dyDescent="0.3">
      <c r="A1563" t="str">
        <f>RTD("nest.scriprtd",,"bse_cm|MFL27","Symbol")</f>
        <v>MFL27</v>
      </c>
      <c r="B1563" t="str">
        <f>RTD("nest.scriprtd",,"bse_cm|MFL27","Trading Symbol")</f>
        <v>MFL27</v>
      </c>
      <c r="C1563" t="str">
        <f>RTD("nest.scriprtd",,"bse_cm|MFL27","Exchange")</f>
        <v>BSE</v>
      </c>
      <c r="D1563">
        <f>RTD("nest.scriprtd",,"bse_cm|MFL27","Bid Qty")</f>
        <v>10</v>
      </c>
      <c r="E1563">
        <f>RTD("nest.scriprtd",,"bse_cm|MFL27","Bid Rate")</f>
        <v>1015</v>
      </c>
      <c r="F1563">
        <f>RTD("nest.scriprtd",,"bse_cm|MFL27","Ask Rate")</f>
        <v>0</v>
      </c>
      <c r="G1563">
        <f>RTD("nest.scriprtd",,"bse_cm|MFL27","Ask Qty")</f>
        <v>0</v>
      </c>
      <c r="H1563">
        <f>RTD("nest.scriprtd",,"bse_cm|MFL27","LTP")</f>
        <v>0</v>
      </c>
      <c r="I1563" t="str">
        <f>RTD("nest.scriprtd",,"bse_cm|MFL27","LTT")</f>
        <v>00:00:00</v>
      </c>
      <c r="J1563">
        <f>RTD("nest.scriprtd",,"bse_cm|MFL27","% Change")</f>
        <v>-100</v>
      </c>
      <c r="K1563">
        <f>RTD("nest.scriprtd",,"bse_cm|MFL27","ATP")</f>
        <v>0</v>
      </c>
      <c r="L1563">
        <f>RTD("nest.scriprtd",,"bse_cm|MFL27","Volume Traded Today")</f>
        <v>0</v>
      </c>
      <c r="M1563">
        <f>RTD("nest.scriprtd",,"bse_cm|MFL27","Open")</f>
        <v>0</v>
      </c>
      <c r="N1563">
        <f>RTD("nest.scriprtd",,"bse_cm|MFL27","High")</f>
        <v>1040</v>
      </c>
      <c r="O1563">
        <f>RTD("nest.scriprtd",,"bse_cm|MFL27","Low ")</f>
        <v>1040</v>
      </c>
      <c r="P1563">
        <f>RTD("nest.scriprtd",,"bse_cm|MFL27","Prev Close")</f>
        <v>1040</v>
      </c>
      <c r="Q1563">
        <f>RTD("nest.scriprtd",,"bse_cm|MFL27","Face Value")</f>
        <v>1000</v>
      </c>
      <c r="R1563" t="str">
        <f>RTD("nest.scriprtd",,"bse_cm|MFL27","Isin code")</f>
        <v>INE414G07IY2</v>
      </c>
      <c r="S1563" s="9">
        <f>Table1[[#This Row],[Ask Rate]]*Table1[[#This Row],[Ask Qty]]</f>
        <v>0</v>
      </c>
      <c r="T1563" t="str">
        <f>VLOOKUP(Table1[[#This Row],[Isin code]],Table2[#All],7,FALSE)</f>
        <v>--</v>
      </c>
      <c r="U1563" s="17" t="str">
        <f>VLOOKUP(Table1[[#This Row],[Isin code]],Table2[#All],8,FALSE)</f>
        <v>25-Jan-2027</v>
      </c>
      <c r="V1563" s="10">
        <f ca="1">Table1[[#This Row],[Maturity]]-TODAY()</f>
        <v>831</v>
      </c>
      <c r="W1563" t="str">
        <f>VLOOKUP(Table1[[#This Row],[Isin code]],Table2[#All],10,FALSE)</f>
        <v>At the End</v>
      </c>
      <c r="X1563">
        <f ca="1">_xlfn.DAYS(Table1[[#This Row],[Maturity]],TODAY())-15</f>
        <v>816</v>
      </c>
      <c r="Y156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63">
        <f>IF(Table1[[#This Row],[Ask Rate]]=0,0,Table1[[#This Row],[Face Value]]-Table1[[#This Row],[Ask Rate]])</f>
        <v>0</v>
      </c>
      <c r="AA156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63">
        <f>Table1[[#This Row],[Face Value]]*Table1[[#This Row],[Rate]]*Table1[[#This Row],[Time]]</f>
        <v>0</v>
      </c>
      <c r="AC1563">
        <f>Table1[[#This Row],[SI]]+Table1[[#This Row],[Disc/Prem]]</f>
        <v>0</v>
      </c>
      <c r="AD1563" s="3" t="e">
        <f>Table1[[#This Row],[Net Gain]]/Table1[[#This Row],[Ask Rate]]</f>
        <v>#DIV/0!</v>
      </c>
      <c r="AE1563" s="3">
        <f>IF(Table1[[#This Row],[Ask Qty]]=0,0,Table1[[#This Row],[Gross Yield]]*365/Table1[[#This Row],[Days Left]])</f>
        <v>0</v>
      </c>
      <c r="AF1563" s="9">
        <f>+Table1[[#This Row],[Net Gain]]*Table1[[#This Row],[Ask Qty]]</f>
        <v>0</v>
      </c>
      <c r="AG1563" t="str">
        <f>IF(Table1[[#This Row],[YTM]]&gt;0.12,IF(Table1[[#This Row],[Gross Profit]]&gt;10000,"Invest","Review"),"Low YTM")</f>
        <v>Low YTM</v>
      </c>
    </row>
    <row r="1564" spans="1:33" x14ac:dyDescent="0.3">
      <c r="A1564" t="str">
        <f>RTD("nest.scriprtd",,"bse_cm|EFSL26B","Symbol")</f>
        <v>EFSL26B</v>
      </c>
      <c r="B1564" t="str">
        <f>RTD("nest.scriprtd",,"bse_cm|EFSL26B","Trading Symbol")</f>
        <v>EFSL26B</v>
      </c>
      <c r="C1564" t="str">
        <f>RTD("nest.scriprtd",,"bse_cm|EFSL26B","Exchange")</f>
        <v>BSE</v>
      </c>
      <c r="D1564">
        <f>RTD("nest.scriprtd",,"bse_cm|EFSL26B","Bid Qty")</f>
        <v>180</v>
      </c>
      <c r="E1564">
        <f>RTD("nest.scriprtd",,"bse_cm|EFSL26B","Bid Rate")</f>
        <v>1051.2</v>
      </c>
      <c r="F1564">
        <f>RTD("nest.scriprtd",,"bse_cm|EFSL26B","Ask Rate")</f>
        <v>0</v>
      </c>
      <c r="G1564">
        <f>RTD("nest.scriprtd",,"bse_cm|EFSL26B","Ask Qty")</f>
        <v>0</v>
      </c>
      <c r="H1564">
        <f>RTD("nest.scriprtd",,"bse_cm|EFSL26B","LTP")</f>
        <v>0</v>
      </c>
      <c r="I1564" t="str">
        <f>RTD("nest.scriprtd",,"bse_cm|EFSL26B","LTT")</f>
        <v>00:00:00</v>
      </c>
      <c r="J1564">
        <f>RTD("nest.scriprtd",,"bse_cm|EFSL26B","% Change")</f>
        <v>-100</v>
      </c>
      <c r="K1564">
        <f>RTD("nest.scriprtd",,"bse_cm|EFSL26B","ATP")</f>
        <v>0</v>
      </c>
      <c r="L1564">
        <f>RTD("nest.scriprtd",,"bse_cm|EFSL26B","Volume Traded Today")</f>
        <v>0</v>
      </c>
      <c r="M1564">
        <f>RTD("nest.scriprtd",,"bse_cm|EFSL26B","Open")</f>
        <v>0</v>
      </c>
      <c r="N1564">
        <f>RTD("nest.scriprtd",,"bse_cm|EFSL26B","High")</f>
        <v>1105.25</v>
      </c>
      <c r="O1564">
        <f>RTD("nest.scriprtd",,"bse_cm|EFSL26B","Low ")</f>
        <v>1105.25</v>
      </c>
      <c r="P1564">
        <f>RTD("nest.scriprtd",,"bse_cm|EFSL26B","Prev Close")</f>
        <v>1105.25</v>
      </c>
      <c r="Q1564">
        <f>RTD("nest.scriprtd",,"bse_cm|EFSL26B","Face Value")</f>
        <v>1000</v>
      </c>
      <c r="R1564" t="str">
        <f>RTD("nest.scriprtd",,"bse_cm|EFSL26B","Isin code")</f>
        <v>INE532F07DU2</v>
      </c>
      <c r="S1564" s="9">
        <f>Table1[[#This Row],[Ask Rate]]*Table1[[#This Row],[Ask Qty]]</f>
        <v>0</v>
      </c>
      <c r="T1564" t="str">
        <f>VLOOKUP(Table1[[#This Row],[Isin code]],Table2[#All],7,FALSE)</f>
        <v>--</v>
      </c>
      <c r="U1564" s="17" t="str">
        <f>VLOOKUP(Table1[[#This Row],[Isin code]],Table2[#All],8,FALSE)</f>
        <v>27-Apr-2026</v>
      </c>
      <c r="V1564" s="10">
        <f ca="1">Table1[[#This Row],[Maturity]]-TODAY()</f>
        <v>558</v>
      </c>
      <c r="W1564" t="str">
        <f>VLOOKUP(Table1[[#This Row],[Isin code]],Table2[#All],10,FALSE)</f>
        <v>At the End</v>
      </c>
      <c r="X1564">
        <f ca="1">_xlfn.DAYS(Table1[[#This Row],[Maturity]],TODAY())-15</f>
        <v>543</v>
      </c>
      <c r="Y156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64">
        <f>IF(Table1[[#This Row],[Ask Rate]]=0,0,Table1[[#This Row],[Face Value]]-Table1[[#This Row],[Ask Rate]])</f>
        <v>0</v>
      </c>
      <c r="AA156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64">
        <f>Table1[[#This Row],[Face Value]]*Table1[[#This Row],[Rate]]*Table1[[#This Row],[Time]]</f>
        <v>0</v>
      </c>
      <c r="AC1564">
        <f>Table1[[#This Row],[SI]]+Table1[[#This Row],[Disc/Prem]]</f>
        <v>0</v>
      </c>
      <c r="AD1564" s="3" t="e">
        <f>Table1[[#This Row],[Net Gain]]/Table1[[#This Row],[Ask Rate]]</f>
        <v>#DIV/0!</v>
      </c>
      <c r="AE1564" s="3">
        <f>IF(Table1[[#This Row],[Ask Qty]]=0,0,Table1[[#This Row],[Gross Yield]]*365/Table1[[#This Row],[Days Left]])</f>
        <v>0</v>
      </c>
      <c r="AF1564" s="9">
        <f>+Table1[[#This Row],[Net Gain]]*Table1[[#This Row],[Ask Qty]]</f>
        <v>0</v>
      </c>
      <c r="AG1564" t="str">
        <f>IF(Table1[[#This Row],[YTM]]&gt;0.12,IF(Table1[[#This Row],[Gross Profit]]&gt;10000,"Invest","Review"),"Low YTM")</f>
        <v>Low YTM</v>
      </c>
    </row>
    <row r="1565" spans="1:33" x14ac:dyDescent="0.3">
      <c r="A1565" t="str">
        <f>RTD("nest.scriprtd",,"nse_cm|CIFCZC26A-N3","Symbol")</f>
        <v>CIFCZC26A</v>
      </c>
      <c r="B1565" t="str">
        <f>RTD("nest.scriprtd",,"nse_cm|CIFCZC26A-N3","Trading Symbol")</f>
        <v>CIFCZC26A-N3</v>
      </c>
      <c r="C1565" t="str">
        <f>RTD("nest.scriprtd",,"nse_cm|CIFCZC26A-N3","Exchange")</f>
        <v>NSE</v>
      </c>
      <c r="D1565">
        <f>RTD("nest.scriprtd",,"nse_cm|CIFCZC26A-N3","Bid Qty")</f>
        <v>10</v>
      </c>
      <c r="E1565">
        <f>RTD("nest.scriprtd",,"nse_cm|CIFCZC26A-N3","Bid Rate")</f>
        <v>1090</v>
      </c>
      <c r="F1565">
        <f>RTD("nest.scriprtd",,"nse_cm|CIFCZC26A-N3","Ask Rate")</f>
        <v>0</v>
      </c>
      <c r="G1565">
        <f>RTD("nest.scriprtd",,"nse_cm|CIFCZC26A-N3","Ask Qty")</f>
        <v>0</v>
      </c>
      <c r="H1565">
        <f>RTD("nest.scriprtd",,"nse_cm|CIFCZC26A-N3","LTP")</f>
        <v>1076</v>
      </c>
      <c r="I1565" t="str">
        <f>RTD("nest.scriprtd",,"nse_cm|CIFCZC26A-N3","LTT")</f>
        <v/>
      </c>
      <c r="J1565">
        <f>RTD("nest.scriprtd",,"nse_cm|CIFCZC26A-N3","% Change")</f>
        <v>0</v>
      </c>
      <c r="K1565">
        <f>RTD("nest.scriprtd",,"nse_cm|CIFCZC26A-N3","ATP")</f>
        <v>0</v>
      </c>
      <c r="L1565">
        <f>RTD("nest.scriprtd",,"nse_cm|CIFCZC26A-N3","Volume Traded Today")</f>
        <v>0</v>
      </c>
      <c r="M1565">
        <f>RTD("nest.scriprtd",,"nse_cm|CIFCZC26A-N3","Open")</f>
        <v>0</v>
      </c>
      <c r="N1565">
        <f>RTD("nest.scriprtd",,"nse_cm|CIFCZC26A-N3","High")</f>
        <v>1076</v>
      </c>
      <c r="O1565">
        <f>RTD("nest.scriprtd",,"nse_cm|CIFCZC26A-N3","Low ")</f>
        <v>1076</v>
      </c>
      <c r="P1565">
        <f>RTD("nest.scriprtd",,"nse_cm|CIFCZC26A-N3","Prev Close")</f>
        <v>1076</v>
      </c>
      <c r="Q1565">
        <f>RTD("nest.scriprtd",,"nse_cm|CIFCZC26A-N3","Face Value")</f>
        <v>1000</v>
      </c>
      <c r="R1565" t="str">
        <f>RTD("nest.scriprtd",,"nse_cm|CIFCZC26A-N3","Isin code")</f>
        <v>INE121A07QZ6</v>
      </c>
      <c r="S1565" s="9">
        <f>Table1[[#This Row],[Ask Rate]]*Table1[[#This Row],[Ask Qty]]</f>
        <v>0</v>
      </c>
      <c r="T1565">
        <f>VLOOKUP(Table1[[#This Row],[Isin code]],Table2[#All],7,FALSE)</f>
        <v>0</v>
      </c>
      <c r="U1565" s="17" t="str">
        <f>VLOOKUP(Table1[[#This Row],[Isin code]],Table2[#All],8,FALSE)</f>
        <v>04-Jun-2026</v>
      </c>
      <c r="V1565" s="10">
        <f ca="1">Table1[[#This Row],[Maturity]]-TODAY()</f>
        <v>596</v>
      </c>
      <c r="W1565" t="str">
        <f>VLOOKUP(Table1[[#This Row],[Isin code]],Table2[#All],10,FALSE)</f>
        <v>Yearly</v>
      </c>
      <c r="X1565">
        <f ca="1">_xlfn.DAYS(Table1[[#This Row],[Maturity]],TODAY())-15</f>
        <v>581</v>
      </c>
      <c r="Y156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65">
        <f>IF(Table1[[#This Row],[Ask Rate]]=0,0,Table1[[#This Row],[Face Value]]-Table1[[#This Row],[Ask Rate]])</f>
        <v>0</v>
      </c>
      <c r="AA156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65">
        <f ca="1">Table1[[#This Row],[Face Value]]*Table1[[#This Row],[Rate]]*Table1[[#This Row],[Time]]</f>
        <v>0</v>
      </c>
      <c r="AC1565">
        <f ca="1">Table1[[#This Row],[SI]]+Table1[[#This Row],[Disc/Prem]]</f>
        <v>0</v>
      </c>
      <c r="AD1565" s="3" t="e">
        <f ca="1">Table1[[#This Row],[Net Gain]]/Table1[[#This Row],[Ask Rate]]</f>
        <v>#DIV/0!</v>
      </c>
      <c r="AE1565" s="3">
        <f>IF(Table1[[#This Row],[Ask Qty]]=0,0,Table1[[#This Row],[Gross Yield]]*365/Table1[[#This Row],[Days Left]])</f>
        <v>0</v>
      </c>
      <c r="AF1565" s="9">
        <f ca="1">+Table1[[#This Row],[Net Gain]]*Table1[[#This Row],[Ask Qty]]</f>
        <v>0</v>
      </c>
      <c r="AG1565" t="str">
        <f>IF(Table1[[#This Row],[YTM]]&gt;0.12,IF(Table1[[#This Row],[Gross Profit]]&gt;10000,"Invest","Review"),"Low YTM")</f>
        <v>Low YTM</v>
      </c>
    </row>
    <row r="1566" spans="1:33" x14ac:dyDescent="0.3">
      <c r="A1566" t="str">
        <f>RTD("nest.scriprtd",,"bse_cm|MFLZC27F","Symbol")</f>
        <v>MFLZC27F</v>
      </c>
      <c r="B1566" t="str">
        <f>RTD("nest.scriprtd",,"bse_cm|MFLZC27F","Trading Symbol")</f>
        <v>MFLZC27F</v>
      </c>
      <c r="C1566" t="str">
        <f>RTD("nest.scriprtd",,"bse_cm|MFLZC27F","Exchange")</f>
        <v>BSE</v>
      </c>
      <c r="D1566">
        <f>RTD("nest.scriprtd",,"bse_cm|MFLZC27F","Bid Qty")</f>
        <v>18</v>
      </c>
      <c r="E1566">
        <f>RTD("nest.scriprtd",,"bse_cm|MFLZC27F","Bid Rate")</f>
        <v>865.9</v>
      </c>
      <c r="F1566">
        <f>RTD("nest.scriprtd",,"bse_cm|MFLZC27F","Ask Rate")</f>
        <v>0</v>
      </c>
      <c r="G1566">
        <f>RTD("nest.scriprtd",,"bse_cm|MFLZC27F","Ask Qty")</f>
        <v>0</v>
      </c>
      <c r="H1566">
        <f>RTD("nest.scriprtd",,"bse_cm|MFLZC27F","LTP")</f>
        <v>0</v>
      </c>
      <c r="I1566" t="str">
        <f>RTD("nest.scriprtd",,"bse_cm|MFLZC27F","LTT")</f>
        <v>00:00:00</v>
      </c>
      <c r="J1566">
        <f>RTD("nest.scriprtd",,"bse_cm|MFLZC27F","% Change")</f>
        <v>-100</v>
      </c>
      <c r="K1566">
        <f>RTD("nest.scriprtd",,"bse_cm|MFLZC27F","ATP")</f>
        <v>0</v>
      </c>
      <c r="L1566">
        <f>RTD("nest.scriprtd",,"bse_cm|MFLZC27F","Volume Traded Today")</f>
        <v>0</v>
      </c>
      <c r="M1566">
        <f>RTD("nest.scriprtd",,"bse_cm|MFLZC27F","Open")</f>
        <v>0</v>
      </c>
      <c r="N1566">
        <f>RTD("nest.scriprtd",,"bse_cm|MFLZC27F","High")</f>
        <v>1010</v>
      </c>
      <c r="O1566">
        <f>RTD("nest.scriprtd",,"bse_cm|MFLZC27F","Low ")</f>
        <v>1010</v>
      </c>
      <c r="P1566">
        <f>RTD("nest.scriprtd",,"bse_cm|MFLZC27F","Prev Close")</f>
        <v>1010</v>
      </c>
      <c r="Q1566">
        <f>RTD("nest.scriprtd",,"bse_cm|MFLZC27F","Face Value")</f>
        <v>1000</v>
      </c>
      <c r="R1566" t="str">
        <f>RTD("nest.scriprtd",,"bse_cm|MFLZC27F","Isin code")</f>
        <v>INE549K07DJ9</v>
      </c>
      <c r="S1566" s="9">
        <f>Table1[[#This Row],[Ask Rate]]*Table1[[#This Row],[Ask Qty]]</f>
        <v>0</v>
      </c>
      <c r="T1566" t="str">
        <f>VLOOKUP(Table1[[#This Row],[Isin code]],Table2[#All],7,FALSE)</f>
        <v>--</v>
      </c>
      <c r="U1566" s="17" t="str">
        <f>VLOOKUP(Table1[[#This Row],[Isin code]],Table2[#All],8,FALSE)</f>
        <v>31-Jan-2027</v>
      </c>
      <c r="V1566" s="10">
        <f ca="1">Table1[[#This Row],[Maturity]]-TODAY()</f>
        <v>837</v>
      </c>
      <c r="W1566" t="str">
        <f>VLOOKUP(Table1[[#This Row],[Isin code]],Table2[#All],10,FALSE)</f>
        <v>At the End</v>
      </c>
      <c r="X1566">
        <f ca="1">_xlfn.DAYS(Table1[[#This Row],[Maturity]],TODAY())-15</f>
        <v>822</v>
      </c>
      <c r="Y156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66">
        <f>IF(Table1[[#This Row],[Ask Rate]]=0,0,Table1[[#This Row],[Face Value]]-Table1[[#This Row],[Ask Rate]])</f>
        <v>0</v>
      </c>
      <c r="AA156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66">
        <f>Table1[[#This Row],[Face Value]]*Table1[[#This Row],[Rate]]*Table1[[#This Row],[Time]]</f>
        <v>0</v>
      </c>
      <c r="AC1566">
        <f>Table1[[#This Row],[SI]]+Table1[[#This Row],[Disc/Prem]]</f>
        <v>0</v>
      </c>
      <c r="AD1566" s="3" t="e">
        <f>Table1[[#This Row],[Net Gain]]/Table1[[#This Row],[Ask Rate]]</f>
        <v>#DIV/0!</v>
      </c>
      <c r="AE1566" s="3">
        <f>IF(Table1[[#This Row],[Ask Qty]]=0,0,Table1[[#This Row],[Gross Yield]]*365/Table1[[#This Row],[Days Left]])</f>
        <v>0</v>
      </c>
      <c r="AF1566" s="9">
        <f>+Table1[[#This Row],[Net Gain]]*Table1[[#This Row],[Ask Qty]]</f>
        <v>0</v>
      </c>
      <c r="AG1566" t="str">
        <f>IF(Table1[[#This Row],[YTM]]&gt;0.12,IF(Table1[[#This Row],[Gross Profit]]&gt;10000,"Invest","Review"),"Low YTM")</f>
        <v>Low YTM</v>
      </c>
    </row>
    <row r="1567" spans="1:33" x14ac:dyDescent="0.3">
      <c r="A1567" t="str">
        <f>RTD("nest.scriprtd",,"bse_cm|EFSL26A","Symbol")</f>
        <v>EFSL26A</v>
      </c>
      <c r="B1567" t="str">
        <f>RTD("nest.scriprtd",,"bse_cm|EFSL26A","Trading Symbol")</f>
        <v>EFSL26A</v>
      </c>
      <c r="C1567" t="str">
        <f>RTD("nest.scriprtd",,"bse_cm|EFSL26A","Exchange")</f>
        <v>BSE</v>
      </c>
      <c r="D1567">
        <f>RTD("nest.scriprtd",,"bse_cm|EFSL26A","Bid Qty")</f>
        <v>3</v>
      </c>
      <c r="E1567">
        <f>RTD("nest.scriprtd",,"bse_cm|EFSL26A","Bid Rate")</f>
        <v>1180.2</v>
      </c>
      <c r="F1567">
        <f>RTD("nest.scriprtd",,"bse_cm|EFSL26A","Ask Rate")</f>
        <v>0</v>
      </c>
      <c r="G1567">
        <f>RTD("nest.scriprtd",,"bse_cm|EFSL26A","Ask Qty")</f>
        <v>0</v>
      </c>
      <c r="H1567">
        <f>RTD("nest.scriprtd",,"bse_cm|EFSL26A","LTP")</f>
        <v>0</v>
      </c>
      <c r="I1567" t="str">
        <f>RTD("nest.scriprtd",,"bse_cm|EFSL26A","LTT")</f>
        <v>00:00:00</v>
      </c>
      <c r="J1567">
        <f>RTD("nest.scriprtd",,"bse_cm|EFSL26A","% Change")</f>
        <v>-100</v>
      </c>
      <c r="K1567">
        <f>RTD("nest.scriprtd",,"bse_cm|EFSL26A","ATP")</f>
        <v>0</v>
      </c>
      <c r="L1567">
        <f>RTD("nest.scriprtd",,"bse_cm|EFSL26A","Volume Traded Today")</f>
        <v>0</v>
      </c>
      <c r="M1567">
        <f>RTD("nest.scriprtd",,"bse_cm|EFSL26A","Open")</f>
        <v>0</v>
      </c>
      <c r="N1567">
        <f>RTD("nest.scriprtd",,"bse_cm|EFSL26A","High")</f>
        <v>1200</v>
      </c>
      <c r="O1567">
        <f>RTD("nest.scriprtd",,"bse_cm|EFSL26A","Low ")</f>
        <v>1200</v>
      </c>
      <c r="P1567">
        <f>RTD("nest.scriprtd",,"bse_cm|EFSL26A","Prev Close")</f>
        <v>1200</v>
      </c>
      <c r="Q1567">
        <f>RTD("nest.scriprtd",,"bse_cm|EFSL26A","Face Value")</f>
        <v>1000</v>
      </c>
      <c r="R1567" t="str">
        <f>RTD("nest.scriprtd",,"bse_cm|EFSL26A","Isin code")</f>
        <v>INE532F07CS8</v>
      </c>
      <c r="S1567" s="9">
        <f>Table1[[#This Row],[Ask Rate]]*Table1[[#This Row],[Ask Qty]]</f>
        <v>0</v>
      </c>
      <c r="T1567" t="str">
        <f>VLOOKUP(Table1[[#This Row],[Isin code]],Table2[#All],7,FALSE)</f>
        <v>--</v>
      </c>
      <c r="U1567" s="17" t="str">
        <f>VLOOKUP(Table1[[#This Row],[Isin code]],Table2[#All],8,FALSE)</f>
        <v>28-Dec-2026</v>
      </c>
      <c r="V1567" s="10">
        <f ca="1">Table1[[#This Row],[Maturity]]-TODAY()</f>
        <v>803</v>
      </c>
      <c r="W1567" t="str">
        <f>VLOOKUP(Table1[[#This Row],[Isin code]],Table2[#All],10,FALSE)</f>
        <v>At the End</v>
      </c>
      <c r="X1567">
        <f ca="1">_xlfn.DAYS(Table1[[#This Row],[Maturity]],TODAY())-15</f>
        <v>788</v>
      </c>
      <c r="Y156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67">
        <f>IF(Table1[[#This Row],[Ask Rate]]=0,0,Table1[[#This Row],[Face Value]]-Table1[[#This Row],[Ask Rate]])</f>
        <v>0</v>
      </c>
      <c r="AA156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67">
        <f>Table1[[#This Row],[Face Value]]*Table1[[#This Row],[Rate]]*Table1[[#This Row],[Time]]</f>
        <v>0</v>
      </c>
      <c r="AC1567">
        <f>Table1[[#This Row],[SI]]+Table1[[#This Row],[Disc/Prem]]</f>
        <v>0</v>
      </c>
      <c r="AD1567" s="3" t="e">
        <f>Table1[[#This Row],[Net Gain]]/Table1[[#This Row],[Ask Rate]]</f>
        <v>#DIV/0!</v>
      </c>
      <c r="AE1567" s="3">
        <f>IF(Table1[[#This Row],[Ask Qty]]=0,0,Table1[[#This Row],[Gross Yield]]*365/Table1[[#This Row],[Days Left]])</f>
        <v>0</v>
      </c>
      <c r="AF1567" s="9">
        <f>+Table1[[#This Row],[Net Gain]]*Table1[[#This Row],[Ask Qty]]</f>
        <v>0</v>
      </c>
      <c r="AG1567" t="str">
        <f>IF(Table1[[#This Row],[YTM]]&gt;0.12,IF(Table1[[#This Row],[Gross Profit]]&gt;10000,"Invest","Review"),"Low YTM")</f>
        <v>Low YTM</v>
      </c>
    </row>
    <row r="1568" spans="1:33" x14ac:dyDescent="0.3">
      <c r="A1568" t="str">
        <f>RTD("nest.scriprtd",,"bse_cm|10NFL25","Symbol")</f>
        <v>10NFL25</v>
      </c>
      <c r="B1568" t="str">
        <f>RTD("nest.scriprtd",,"bse_cm|10NFL25","Trading Symbol")</f>
        <v>10NFL25</v>
      </c>
      <c r="C1568" t="str">
        <f>RTD("nest.scriprtd",,"bse_cm|10NFL25","Exchange")</f>
        <v>BSE</v>
      </c>
      <c r="D1568">
        <f>RTD("nest.scriprtd",,"bse_cm|10NFL25","Bid Qty")</f>
        <v>50</v>
      </c>
      <c r="E1568">
        <f>RTD("nest.scriprtd",,"bse_cm|10NFL25","Bid Rate")</f>
        <v>989</v>
      </c>
      <c r="F1568">
        <f>RTD("nest.scriprtd",,"bse_cm|10NFL25","Ask Rate")</f>
        <v>0</v>
      </c>
      <c r="G1568">
        <f>RTD("nest.scriprtd",,"bse_cm|10NFL25","Ask Qty")</f>
        <v>0</v>
      </c>
      <c r="H1568">
        <f>RTD("nest.scriprtd",,"bse_cm|10NFL25","LTP")</f>
        <v>0</v>
      </c>
      <c r="I1568" t="str">
        <f>RTD("nest.scriprtd",,"bse_cm|10NFL25","LTT")</f>
        <v>00:00:00</v>
      </c>
      <c r="J1568">
        <f>RTD("nest.scriprtd",,"bse_cm|10NFL25","% Change")</f>
        <v>-100</v>
      </c>
      <c r="K1568">
        <f>RTD("nest.scriprtd",,"bse_cm|10NFL25","ATP")</f>
        <v>0</v>
      </c>
      <c r="L1568">
        <f>RTD("nest.scriprtd",,"bse_cm|10NFL25","Volume Traded Today")</f>
        <v>0</v>
      </c>
      <c r="M1568">
        <f>RTD("nest.scriprtd",,"bse_cm|10NFL25","Open")</f>
        <v>0</v>
      </c>
      <c r="N1568">
        <f>RTD("nest.scriprtd",,"bse_cm|10NFL25","High")</f>
        <v>993</v>
      </c>
      <c r="O1568">
        <f>RTD("nest.scriprtd",,"bse_cm|10NFL25","Low ")</f>
        <v>993</v>
      </c>
      <c r="P1568">
        <f>RTD("nest.scriprtd",,"bse_cm|10NFL25","Prev Close")</f>
        <v>993</v>
      </c>
      <c r="Q1568">
        <f>RTD("nest.scriprtd",,"bse_cm|10NFL25","Face Value")</f>
        <v>1000</v>
      </c>
      <c r="R1568" t="str">
        <f>RTD("nest.scriprtd",,"bse_cm|10NFL25","Isin code")</f>
        <v>INE342T07478</v>
      </c>
      <c r="S1568" s="9">
        <f>Table1[[#This Row],[Ask Rate]]*Table1[[#This Row],[Ask Qty]]</f>
        <v>0</v>
      </c>
      <c r="T1568">
        <f>VLOOKUP(Table1[[#This Row],[Isin code]],Table2[#All],7,FALSE)</f>
        <v>10</v>
      </c>
      <c r="U1568" s="17" t="str">
        <f>VLOOKUP(Table1[[#This Row],[Isin code]],Table2[#All],8,FALSE)</f>
        <v>13-Sep-2025</v>
      </c>
      <c r="V1568" s="10">
        <f ca="1">Table1[[#This Row],[Maturity]]-TODAY()</f>
        <v>332</v>
      </c>
      <c r="W1568" t="str">
        <f>VLOOKUP(Table1[[#This Row],[Isin code]],Table2[#All],10,FALSE)</f>
        <v>Monthly</v>
      </c>
      <c r="X1568">
        <f ca="1">_xlfn.DAYS(Table1[[#This Row],[Maturity]],TODAY())-15</f>
        <v>317</v>
      </c>
      <c r="Y156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1568">
        <f>IF(Table1[[#This Row],[Ask Rate]]=0,0,Table1[[#This Row],[Face Value]]-Table1[[#This Row],[Ask Rate]])</f>
        <v>0</v>
      </c>
      <c r="AA1568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568">
        <f ca="1">Table1[[#This Row],[Face Value]]*Table1[[#This Row],[Rate]]*Table1[[#This Row],[Time]]</f>
        <v>91.666666666666671</v>
      </c>
      <c r="AC1568">
        <f ca="1">Table1[[#This Row],[SI]]+Table1[[#This Row],[Disc/Prem]]</f>
        <v>91.666666666666671</v>
      </c>
      <c r="AD1568" s="3" t="e">
        <f ca="1">Table1[[#This Row],[Net Gain]]/Table1[[#This Row],[Ask Rate]]</f>
        <v>#DIV/0!</v>
      </c>
      <c r="AE1568" s="3">
        <f>IF(Table1[[#This Row],[Ask Qty]]=0,0,Table1[[#This Row],[Gross Yield]]*365/Table1[[#This Row],[Days Left]])</f>
        <v>0</v>
      </c>
      <c r="AF1568" s="9">
        <f ca="1">+Table1[[#This Row],[Net Gain]]*Table1[[#This Row],[Ask Qty]]</f>
        <v>0</v>
      </c>
      <c r="AG1568" t="str">
        <f>IF(Table1[[#This Row],[YTM]]&gt;0.12,IF(Table1[[#This Row],[Gross Profit]]&gt;10000,"Invest","Review"),"Low YTM")</f>
        <v>Low YTM</v>
      </c>
    </row>
    <row r="1569" spans="1:33" x14ac:dyDescent="0.3">
      <c r="A1569" t="str">
        <f>RTD("nest.scriprtd",,"nse_cm|98ICCL26-NU","Symbol")</f>
        <v>98ICCL26</v>
      </c>
      <c r="B1569" t="str">
        <f>RTD("nest.scriprtd",,"nse_cm|98ICCL26-NU","Trading Symbol")</f>
        <v>98ICCL26-NU</v>
      </c>
      <c r="C1569" t="str">
        <f>RTD("nest.scriprtd",,"nse_cm|98ICCL26-NU","Exchange")</f>
        <v>NSE</v>
      </c>
      <c r="D1569">
        <f>RTD("nest.scriprtd",,"nse_cm|98ICCL26-NU","Bid Qty")</f>
        <v>0</v>
      </c>
      <c r="E1569">
        <f>RTD("nest.scriprtd",,"nse_cm|98ICCL26-NU","Bid Rate")</f>
        <v>0</v>
      </c>
      <c r="F1569">
        <f>RTD("nest.scriprtd",,"nse_cm|98ICCL26-NU","Ask Rate")</f>
        <v>0</v>
      </c>
      <c r="G1569">
        <f>RTD("nest.scriprtd",,"nse_cm|98ICCL26-NU","Ask Qty")</f>
        <v>0</v>
      </c>
      <c r="H1569">
        <f>RTD("nest.scriprtd",,"nse_cm|98ICCL26-NU","LTP")</f>
        <v>900.66</v>
      </c>
      <c r="I1569" t="str">
        <f>RTD("nest.scriprtd",,"nse_cm|98ICCL26-NU","LTT")</f>
        <v/>
      </c>
      <c r="J1569">
        <f>RTD("nest.scriprtd",,"nse_cm|98ICCL26-NU","% Change")</f>
        <v>0</v>
      </c>
      <c r="K1569">
        <f>RTD("nest.scriprtd",,"nse_cm|98ICCL26-NU","ATP")</f>
        <v>0</v>
      </c>
      <c r="L1569">
        <f>RTD("nest.scriprtd",,"nse_cm|98ICCL26-NU","Volume Traded Today")</f>
        <v>0</v>
      </c>
      <c r="M1569">
        <f>RTD("nest.scriprtd",,"nse_cm|98ICCL26-NU","Open")</f>
        <v>900</v>
      </c>
      <c r="N1569">
        <f>RTD("nest.scriprtd",,"nse_cm|98ICCL26-NU","High")</f>
        <v>905</v>
      </c>
      <c r="O1569">
        <f>RTD("nest.scriprtd",,"nse_cm|98ICCL26-NU","Low ")</f>
        <v>900</v>
      </c>
      <c r="P1569">
        <f>RTD("nest.scriprtd",,"nse_cm|98ICCL26-NU","Prev Close")</f>
        <v>900.66</v>
      </c>
      <c r="Q1569">
        <f>RTD("nest.scriprtd",,"nse_cm|98ICCL26-NU","Face Value")</f>
        <v>667</v>
      </c>
      <c r="R1569" t="str">
        <f>RTD("nest.scriprtd",,"nse_cm|98ICCL26-NU","Isin code")</f>
        <v>INE244L07499</v>
      </c>
      <c r="S1569" s="9">
        <f>Table1[[#This Row],[Ask Rate]]*Table1[[#This Row],[Ask Qty]]</f>
        <v>0</v>
      </c>
      <c r="T1569">
        <f>VLOOKUP(Table1[[#This Row],[Isin code]],Table2[#All],7,FALSE)</f>
        <v>9.8000000000000007</v>
      </c>
      <c r="U1569" s="17" t="str">
        <f>VLOOKUP(Table1[[#This Row],[Isin code]],Table2[#All],8,FALSE)</f>
        <v>25-Apr-2026</v>
      </c>
      <c r="V1569" s="10">
        <f ca="1">Table1[[#This Row],[Maturity]]-TODAY()</f>
        <v>556</v>
      </c>
      <c r="W1569" t="str">
        <f>VLOOKUP(Table1[[#This Row],[Isin code]],Table2[#All],10,FALSE)</f>
        <v>Monthly</v>
      </c>
      <c r="X1569">
        <f ca="1">_xlfn.DAYS(Table1[[#This Row],[Maturity]],TODAY())-15</f>
        <v>541</v>
      </c>
      <c r="Y1569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19</v>
      </c>
      <c r="Z1569">
        <f>IF(Table1[[#This Row],[Ask Rate]]=0,0,Table1[[#This Row],[Face Value]]-Table1[[#This Row],[Ask Rate]])</f>
        <v>0</v>
      </c>
      <c r="AA1569">
        <f>IF(Table1[[#This Row],[Freq]]="Yearly",Table1[[#This Row],[Coupon_Rate]]/100,IF(Table1[[#This Row],[Freq]]="Monthly",Table1[[#This Row],[Coupon_Rate]]/1200,IF(Table1[[#This Row],[Freq]]="Quarterly",Table1[[#This Row],[Coupon_Rate]]/400,0)))</f>
        <v>8.1666666666666676E-3</v>
      </c>
      <c r="AB1569">
        <f ca="1">Table1[[#This Row],[Face Value]]*Table1[[#This Row],[Rate]]*Table1[[#This Row],[Time]]</f>
        <v>103.49616666666667</v>
      </c>
      <c r="AC1569">
        <f ca="1">Table1[[#This Row],[SI]]+Table1[[#This Row],[Disc/Prem]]</f>
        <v>103.49616666666667</v>
      </c>
      <c r="AD1569" s="3" t="e">
        <f ca="1">Table1[[#This Row],[Net Gain]]/Table1[[#This Row],[Ask Rate]]</f>
        <v>#DIV/0!</v>
      </c>
      <c r="AE1569" s="3">
        <f>IF(Table1[[#This Row],[Ask Qty]]=0,0,Table1[[#This Row],[Gross Yield]]*365/Table1[[#This Row],[Days Left]])</f>
        <v>0</v>
      </c>
      <c r="AF1569" s="9">
        <f ca="1">+Table1[[#This Row],[Net Gain]]*Table1[[#This Row],[Ask Qty]]</f>
        <v>0</v>
      </c>
      <c r="AG1569" t="str">
        <f>IF(Table1[[#This Row],[YTM]]&gt;0.12,IF(Table1[[#This Row],[Gross Profit]]&gt;10000,"Invest","Review"),"Low YTM")</f>
        <v>Low YTM</v>
      </c>
    </row>
    <row r="1570" spans="1:33" x14ac:dyDescent="0.3">
      <c r="A1570" t="str">
        <f>RTD("nest.scriprtd",,"bse_cm|MMFLZC27B","Symbol")</f>
        <v>MMFLZC27B</v>
      </c>
      <c r="B1570" t="str">
        <f>RTD("nest.scriprtd",,"bse_cm|MMFLZC27B","Trading Symbol")</f>
        <v>MMFLZC27B</v>
      </c>
      <c r="C1570" t="str">
        <f>RTD("nest.scriprtd",,"bse_cm|MMFLZC27B","Exchange")</f>
        <v>BSE</v>
      </c>
      <c r="D1570">
        <f>RTD("nest.scriprtd",,"bse_cm|MMFLZC27B","Bid Qty")</f>
        <v>48</v>
      </c>
      <c r="E1570">
        <f>RTD("nest.scriprtd",,"bse_cm|MMFLZC27B","Bid Rate")</f>
        <v>1195.2</v>
      </c>
      <c r="F1570">
        <f>RTD("nest.scriprtd",,"bse_cm|MMFLZC27B","Ask Rate")</f>
        <v>0</v>
      </c>
      <c r="G1570">
        <f>RTD("nest.scriprtd",,"bse_cm|MMFLZC27B","Ask Qty")</f>
        <v>0</v>
      </c>
      <c r="H1570">
        <f>RTD("nest.scriprtd",,"bse_cm|MMFLZC27B","LTP")</f>
        <v>0</v>
      </c>
      <c r="I1570" t="str">
        <f>RTD("nest.scriprtd",,"bse_cm|MMFLZC27B","LTT")</f>
        <v>00:00:00</v>
      </c>
      <c r="J1570">
        <f>RTD("nest.scriprtd",,"bse_cm|MMFLZC27B","% Change")</f>
        <v>-100</v>
      </c>
      <c r="K1570">
        <f>RTD("nest.scriprtd",,"bse_cm|MMFLZC27B","ATP")</f>
        <v>0</v>
      </c>
      <c r="L1570">
        <f>RTD("nest.scriprtd",,"bse_cm|MMFLZC27B","Volume Traded Today")</f>
        <v>0</v>
      </c>
      <c r="M1570">
        <f>RTD("nest.scriprtd",,"bse_cm|MMFLZC27B","Open")</f>
        <v>0</v>
      </c>
      <c r="N1570">
        <f>RTD("nest.scriprtd",,"bse_cm|MMFLZC27B","High")</f>
        <v>1303.78</v>
      </c>
      <c r="O1570">
        <f>RTD("nest.scriprtd",,"bse_cm|MMFLZC27B","Low ")</f>
        <v>1285</v>
      </c>
      <c r="P1570">
        <f>RTD("nest.scriprtd",,"bse_cm|MMFLZC27B","Prev Close")</f>
        <v>1303.78</v>
      </c>
      <c r="Q1570">
        <f>RTD("nest.scriprtd",,"bse_cm|MMFLZC27B","Face Value")</f>
        <v>1000</v>
      </c>
      <c r="R1570" t="str">
        <f>RTD("nest.scriprtd",,"bse_cm|MMFLZC27B","Isin code")</f>
        <v>INE101Q07789</v>
      </c>
      <c r="S1570" s="9">
        <f>Table1[[#This Row],[Ask Rate]]*Table1[[#This Row],[Ask Qty]]</f>
        <v>0</v>
      </c>
      <c r="T1570" t="str">
        <f>VLOOKUP(Table1[[#This Row],[Isin code]],Table2[#All],7,FALSE)</f>
        <v>--</v>
      </c>
      <c r="U1570" s="17" t="str">
        <f>VLOOKUP(Table1[[#This Row],[Isin code]],Table2[#All],8,FALSE)</f>
        <v>29-Oct-2027</v>
      </c>
      <c r="V1570" s="10">
        <f ca="1">Table1[[#This Row],[Maturity]]-TODAY()</f>
        <v>1108</v>
      </c>
      <c r="W1570" t="str">
        <f>VLOOKUP(Table1[[#This Row],[Isin code]],Table2[#All],10,FALSE)</f>
        <v>At the End</v>
      </c>
      <c r="X1570">
        <f ca="1">_xlfn.DAYS(Table1[[#This Row],[Maturity]],TODAY())-15</f>
        <v>1093</v>
      </c>
      <c r="Y157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70">
        <f>IF(Table1[[#This Row],[Ask Rate]]=0,0,Table1[[#This Row],[Face Value]]-Table1[[#This Row],[Ask Rate]])</f>
        <v>0</v>
      </c>
      <c r="AA157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70">
        <f>Table1[[#This Row],[Face Value]]*Table1[[#This Row],[Rate]]*Table1[[#This Row],[Time]]</f>
        <v>0</v>
      </c>
      <c r="AC1570">
        <f>Table1[[#This Row],[SI]]+Table1[[#This Row],[Disc/Prem]]</f>
        <v>0</v>
      </c>
      <c r="AD1570" s="3" t="e">
        <f>Table1[[#This Row],[Net Gain]]/Table1[[#This Row],[Ask Rate]]</f>
        <v>#DIV/0!</v>
      </c>
      <c r="AE1570" s="3">
        <f>IF(Table1[[#This Row],[Ask Qty]]=0,0,Table1[[#This Row],[Gross Yield]]*365/Table1[[#This Row],[Days Left]])</f>
        <v>0</v>
      </c>
      <c r="AF1570" s="9">
        <f>+Table1[[#This Row],[Net Gain]]*Table1[[#This Row],[Ask Qty]]</f>
        <v>0</v>
      </c>
      <c r="AG1570" t="str">
        <f>IF(Table1[[#This Row],[YTM]]&gt;0.12,IF(Table1[[#This Row],[Gross Profit]]&gt;10000,"Invest","Review"),"Low YTM")</f>
        <v>Low YTM</v>
      </c>
    </row>
    <row r="1571" spans="1:33" x14ac:dyDescent="0.3">
      <c r="A1571" t="str">
        <f>RTD("nest.scriprtd",,"bse_cm|MFL25C","Symbol")</f>
        <v>MFL25C</v>
      </c>
      <c r="B1571" t="str">
        <f>RTD("nest.scriprtd",,"bse_cm|MFL25C","Trading Symbol")</f>
        <v>MFL25C</v>
      </c>
      <c r="C1571" t="str">
        <f>RTD("nest.scriprtd",,"bse_cm|MFL25C","Exchange")</f>
        <v>BSE</v>
      </c>
      <c r="D1571">
        <f>RTD("nest.scriprtd",,"bse_cm|MFL25C","Bid Qty")</f>
        <v>5</v>
      </c>
      <c r="E1571">
        <f>RTD("nest.scriprtd",,"bse_cm|MFL25C","Bid Rate")</f>
        <v>1119</v>
      </c>
      <c r="F1571">
        <f>RTD("nest.scriprtd",,"bse_cm|MFL25C","Ask Rate")</f>
        <v>0</v>
      </c>
      <c r="G1571">
        <f>RTD("nest.scriprtd",,"bse_cm|MFL25C","Ask Qty")</f>
        <v>0</v>
      </c>
      <c r="H1571">
        <f>RTD("nest.scriprtd",,"bse_cm|MFL25C","LTP")</f>
        <v>0</v>
      </c>
      <c r="I1571" t="str">
        <f>RTD("nest.scriprtd",,"bse_cm|MFL25C","LTT")</f>
        <v>00:00:00</v>
      </c>
      <c r="J1571">
        <f>RTD("nest.scriprtd",,"bse_cm|MFL25C","% Change")</f>
        <v>-100</v>
      </c>
      <c r="K1571">
        <f>RTD("nest.scriprtd",,"bse_cm|MFL25C","ATP")</f>
        <v>0</v>
      </c>
      <c r="L1571">
        <f>RTD("nest.scriprtd",,"bse_cm|MFL25C","Volume Traded Today")</f>
        <v>0</v>
      </c>
      <c r="M1571">
        <f>RTD("nest.scriprtd",,"bse_cm|MFL25C","Open")</f>
        <v>0</v>
      </c>
      <c r="N1571">
        <f>RTD("nest.scriprtd",,"bse_cm|MFL25C","High")</f>
        <v>1150</v>
      </c>
      <c r="O1571">
        <f>RTD("nest.scriprtd",,"bse_cm|MFL25C","Low ")</f>
        <v>1102.2</v>
      </c>
      <c r="P1571">
        <f>RTD("nest.scriprtd",,"bse_cm|MFL25C","Prev Close")</f>
        <v>1139.9000000000001</v>
      </c>
      <c r="Q1571">
        <f>RTD("nest.scriprtd",,"bse_cm|MFL25C","Face Value")</f>
        <v>1000</v>
      </c>
      <c r="R1571" t="str">
        <f>RTD("nest.scriprtd",,"bse_cm|MFL25C","Isin code")</f>
        <v>INE549K07BL9</v>
      </c>
      <c r="S1571" s="9">
        <f>Table1[[#This Row],[Ask Rate]]*Table1[[#This Row],[Ask Qty]]</f>
        <v>0</v>
      </c>
      <c r="T1571" t="str">
        <f>VLOOKUP(Table1[[#This Row],[Isin code]],Table2[#All],7,FALSE)</f>
        <v>--</v>
      </c>
      <c r="U1571" s="17" t="str">
        <f>VLOOKUP(Table1[[#This Row],[Isin code]],Table2[#All],8,FALSE)</f>
        <v>05-Nov-2025</v>
      </c>
      <c r="V1571" s="10">
        <f ca="1">Table1[[#This Row],[Maturity]]-TODAY()</f>
        <v>385</v>
      </c>
      <c r="W1571" t="str">
        <f>VLOOKUP(Table1[[#This Row],[Isin code]],Table2[#All],10,FALSE)</f>
        <v>At the End</v>
      </c>
      <c r="X1571">
        <f ca="1">_xlfn.DAYS(Table1[[#This Row],[Maturity]],TODAY())-15</f>
        <v>370</v>
      </c>
      <c r="Y157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71">
        <f>IF(Table1[[#This Row],[Ask Rate]]=0,0,Table1[[#This Row],[Face Value]]-Table1[[#This Row],[Ask Rate]])</f>
        <v>0</v>
      </c>
      <c r="AA157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71">
        <f>Table1[[#This Row],[Face Value]]*Table1[[#This Row],[Rate]]*Table1[[#This Row],[Time]]</f>
        <v>0</v>
      </c>
      <c r="AC1571">
        <f>Table1[[#This Row],[SI]]+Table1[[#This Row],[Disc/Prem]]</f>
        <v>0</v>
      </c>
      <c r="AD1571" s="3" t="e">
        <f>Table1[[#This Row],[Net Gain]]/Table1[[#This Row],[Ask Rate]]</f>
        <v>#DIV/0!</v>
      </c>
      <c r="AE1571" s="3">
        <f>IF(Table1[[#This Row],[Ask Qty]]=0,0,Table1[[#This Row],[Gross Yield]]*365/Table1[[#This Row],[Days Left]])</f>
        <v>0</v>
      </c>
      <c r="AF1571" s="9">
        <f>+Table1[[#This Row],[Net Gain]]*Table1[[#This Row],[Ask Qty]]</f>
        <v>0</v>
      </c>
      <c r="AG1571" t="str">
        <f>IF(Table1[[#This Row],[YTM]]&gt;0.12,IF(Table1[[#This Row],[Gross Profit]]&gt;10000,"Invest","Review"),"Low YTM")</f>
        <v>Low YTM</v>
      </c>
    </row>
    <row r="1572" spans="1:33" x14ac:dyDescent="0.3">
      <c r="A1572" t="str">
        <f>RTD("nest.scriprtd",,"bse_cm|957ICCL28","Symbol")</f>
        <v>957ICCL28</v>
      </c>
      <c r="B1572" t="str">
        <f>RTD("nest.scriprtd",,"bse_cm|957ICCL28","Trading Symbol")</f>
        <v>957ICCL28</v>
      </c>
      <c r="C1572" t="str">
        <f>RTD("nest.scriprtd",,"bse_cm|957ICCL28","Exchange")</f>
        <v>BSE</v>
      </c>
      <c r="D1572">
        <f>RTD("nest.scriprtd",,"bse_cm|957ICCL28","Bid Qty")</f>
        <v>10</v>
      </c>
      <c r="E1572">
        <f>RTD("nest.scriprtd",,"bse_cm|957ICCL28","Bid Rate")</f>
        <v>880.2</v>
      </c>
      <c r="F1572">
        <f>RTD("nest.scriprtd",,"bse_cm|957ICCL28","Ask Rate")</f>
        <v>0</v>
      </c>
      <c r="G1572">
        <f>RTD("nest.scriprtd",,"bse_cm|957ICCL28","Ask Qty")</f>
        <v>0</v>
      </c>
      <c r="H1572">
        <f>RTD("nest.scriprtd",,"bse_cm|957ICCL28","LTP")</f>
        <v>0</v>
      </c>
      <c r="I1572" t="str">
        <f>RTD("nest.scriprtd",,"bse_cm|957ICCL28","LTT")</f>
        <v>00:00:00</v>
      </c>
      <c r="J1572">
        <f>RTD("nest.scriprtd",,"bse_cm|957ICCL28","% Change")</f>
        <v>-100</v>
      </c>
      <c r="K1572">
        <f>RTD("nest.scriprtd",,"bse_cm|957ICCL28","ATP")</f>
        <v>0</v>
      </c>
      <c r="L1572">
        <f>RTD("nest.scriprtd",,"bse_cm|957ICCL28","Volume Traded Today")</f>
        <v>0</v>
      </c>
      <c r="M1572">
        <f>RTD("nest.scriprtd",,"bse_cm|957ICCL28","Open")</f>
        <v>0</v>
      </c>
      <c r="N1572">
        <f>RTD("nest.scriprtd",,"bse_cm|957ICCL28","High")</f>
        <v>1100</v>
      </c>
      <c r="O1572">
        <f>RTD("nest.scriprtd",,"bse_cm|957ICCL28","Low ")</f>
        <v>1094.52</v>
      </c>
      <c r="P1572">
        <f>RTD("nest.scriprtd",,"bse_cm|957ICCL28","Prev Close")</f>
        <v>1095.8</v>
      </c>
      <c r="Q1572">
        <f>RTD("nest.scriprtd",,"bse_cm|957ICCL28","Face Value")</f>
        <v>1000</v>
      </c>
      <c r="R1572" t="str">
        <f>RTD("nest.scriprtd",,"bse_cm|957ICCL28","Isin code")</f>
        <v>INE244L07549</v>
      </c>
      <c r="S1572" s="9">
        <f>Table1[[#This Row],[Ask Rate]]*Table1[[#This Row],[Ask Qty]]</f>
        <v>0</v>
      </c>
      <c r="T1572">
        <f>VLOOKUP(Table1[[#This Row],[Isin code]],Table2[#All],7,FALSE)</f>
        <v>0</v>
      </c>
      <c r="U1572" s="17" t="str">
        <f>VLOOKUP(Table1[[#This Row],[Isin code]],Table2[#All],8,FALSE)</f>
        <v>25-Apr-2026</v>
      </c>
      <c r="V1572" s="10">
        <f ca="1">Table1[[#This Row],[Maturity]]-TODAY()</f>
        <v>556</v>
      </c>
      <c r="W1572" t="str">
        <f>VLOOKUP(Table1[[#This Row],[Isin code]],Table2[#All],10,FALSE)</f>
        <v>Yearly</v>
      </c>
      <c r="X1572">
        <f ca="1">_xlfn.DAYS(Table1[[#This Row],[Maturity]],TODAY())-15</f>
        <v>541</v>
      </c>
      <c r="Y157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572">
        <f>IF(Table1[[#This Row],[Ask Rate]]=0,0,Table1[[#This Row],[Face Value]]-Table1[[#This Row],[Ask Rate]])</f>
        <v>0</v>
      </c>
      <c r="AA157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72">
        <f ca="1">Table1[[#This Row],[Face Value]]*Table1[[#This Row],[Rate]]*Table1[[#This Row],[Time]]</f>
        <v>0</v>
      </c>
      <c r="AC1572">
        <f ca="1">Table1[[#This Row],[SI]]+Table1[[#This Row],[Disc/Prem]]</f>
        <v>0</v>
      </c>
      <c r="AD1572" s="3" t="e">
        <f ca="1">Table1[[#This Row],[Net Gain]]/Table1[[#This Row],[Ask Rate]]</f>
        <v>#DIV/0!</v>
      </c>
      <c r="AE1572" s="3">
        <f>IF(Table1[[#This Row],[Ask Qty]]=0,0,Table1[[#This Row],[Gross Yield]]*365/Table1[[#This Row],[Days Left]])</f>
        <v>0</v>
      </c>
      <c r="AF1572" s="9">
        <f ca="1">+Table1[[#This Row],[Net Gain]]*Table1[[#This Row],[Ask Qty]]</f>
        <v>0</v>
      </c>
      <c r="AG1572" t="str">
        <f>IF(Table1[[#This Row],[YTM]]&gt;0.12,IF(Table1[[#This Row],[Gross Profit]]&gt;10000,"Invest","Review"),"Low YTM")</f>
        <v>Low YTM</v>
      </c>
    </row>
    <row r="1573" spans="1:33" x14ac:dyDescent="0.3">
      <c r="A1573" t="str">
        <f>RTD("nest.scriprtd",,"bse_cm|SCLZC25D","Symbol")</f>
        <v>SCLZC25D</v>
      </c>
      <c r="B1573" t="str">
        <f>RTD("nest.scriprtd",,"bse_cm|SCLZC25D","Trading Symbol")</f>
        <v>SCLZC25D</v>
      </c>
      <c r="C1573" t="str">
        <f>RTD("nest.scriprtd",,"bse_cm|SCLZC25D","Exchange")</f>
        <v>BSE</v>
      </c>
      <c r="D1573">
        <f>RTD("nest.scriprtd",,"bse_cm|SCLZC25D","Bid Qty")</f>
        <v>15</v>
      </c>
      <c r="E1573">
        <f>RTD("nest.scriprtd",,"bse_cm|SCLZC25D","Bid Rate")</f>
        <v>872.8</v>
      </c>
      <c r="F1573">
        <f>RTD("nest.scriprtd",,"bse_cm|SCLZC25D","Ask Rate")</f>
        <v>0</v>
      </c>
      <c r="G1573">
        <f>RTD("nest.scriprtd",,"bse_cm|SCLZC25D","Ask Qty")</f>
        <v>0</v>
      </c>
      <c r="H1573">
        <f>RTD("nest.scriprtd",,"bse_cm|SCLZC25D","LTP")</f>
        <v>0</v>
      </c>
      <c r="I1573" t="str">
        <f>RTD("nest.scriprtd",,"bse_cm|SCLZC25D","LTT")</f>
        <v>00:00:00</v>
      </c>
      <c r="J1573">
        <f>RTD("nest.scriprtd",,"bse_cm|SCLZC25D","% Change")</f>
        <v>-100</v>
      </c>
      <c r="K1573">
        <f>RTD("nest.scriprtd",,"bse_cm|SCLZC25D","ATP")</f>
        <v>0</v>
      </c>
      <c r="L1573">
        <f>RTD("nest.scriprtd",,"bse_cm|SCLZC25D","Volume Traded Today")</f>
        <v>0</v>
      </c>
      <c r="M1573">
        <f>RTD("nest.scriprtd",,"bse_cm|SCLZC25D","Open")</f>
        <v>0</v>
      </c>
      <c r="N1573">
        <f>RTD("nest.scriprtd",,"bse_cm|SCLZC25D","High")</f>
        <v>1037.3800000000001</v>
      </c>
      <c r="O1573">
        <f>RTD("nest.scriprtd",,"bse_cm|SCLZC25D","Low ")</f>
        <v>1035.58</v>
      </c>
      <c r="P1573">
        <f>RTD("nest.scriprtd",,"bse_cm|SCLZC25D","Prev Close")</f>
        <v>1035.58</v>
      </c>
      <c r="Q1573">
        <f>RTD("nest.scriprtd",,"bse_cm|SCLZC25D","Face Value")</f>
        <v>1000</v>
      </c>
      <c r="R1573" t="str">
        <f>RTD("nest.scriprtd",,"bse_cm|SCLZC25D","Isin code")</f>
        <v>INE148I07QL2</v>
      </c>
      <c r="S1573" s="9">
        <f>Table1[[#This Row],[Ask Rate]]*Table1[[#This Row],[Ask Qty]]</f>
        <v>0</v>
      </c>
      <c r="T1573">
        <f>VLOOKUP(Table1[[#This Row],[Isin code]],Table2[#All],7,FALSE)</f>
        <v>0</v>
      </c>
      <c r="U1573" s="17" t="str">
        <f>VLOOKUP(Table1[[#This Row],[Isin code]],Table2[#All],8,FALSE)</f>
        <v>09-Nov-2025</v>
      </c>
      <c r="V1573" s="10">
        <f ca="1">Table1[[#This Row],[Maturity]]-TODAY()</f>
        <v>389</v>
      </c>
      <c r="W1573" t="str">
        <f>VLOOKUP(Table1[[#This Row],[Isin code]],Table2[#All],10,FALSE)</f>
        <v>0</v>
      </c>
      <c r="X1573">
        <f ca="1">_xlfn.DAYS(Table1[[#This Row],[Maturity]],TODAY())-15</f>
        <v>374</v>
      </c>
      <c r="Y157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73">
        <f>IF(Table1[[#This Row],[Ask Rate]]=0,0,Table1[[#This Row],[Face Value]]-Table1[[#This Row],[Ask Rate]])</f>
        <v>0</v>
      </c>
      <c r="AA157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73">
        <f>Table1[[#This Row],[Face Value]]*Table1[[#This Row],[Rate]]*Table1[[#This Row],[Time]]</f>
        <v>0</v>
      </c>
      <c r="AC1573">
        <f>Table1[[#This Row],[SI]]+Table1[[#This Row],[Disc/Prem]]</f>
        <v>0</v>
      </c>
      <c r="AD1573" s="3" t="e">
        <f>Table1[[#This Row],[Net Gain]]/Table1[[#This Row],[Ask Rate]]</f>
        <v>#DIV/0!</v>
      </c>
      <c r="AE1573" s="3">
        <f>IF(Table1[[#This Row],[Ask Qty]]=0,0,Table1[[#This Row],[Gross Yield]]*365/Table1[[#This Row],[Days Left]])</f>
        <v>0</v>
      </c>
      <c r="AF1573" s="9">
        <f>+Table1[[#This Row],[Net Gain]]*Table1[[#This Row],[Ask Qty]]</f>
        <v>0</v>
      </c>
      <c r="AG1573" t="str">
        <f>IF(Table1[[#This Row],[YTM]]&gt;0.12,IF(Table1[[#This Row],[Gross Profit]]&gt;10000,"Invest","Review"),"Low YTM")</f>
        <v>Low YTM</v>
      </c>
    </row>
    <row r="1574" spans="1:33" x14ac:dyDescent="0.3">
      <c r="A1574" t="str">
        <f>RTD("nest.scriprtd",,"bse_cm|EFSLZC26A","Symbol")</f>
        <v>EFSLZC26A</v>
      </c>
      <c r="B1574" t="str">
        <f>RTD("nest.scriprtd",,"bse_cm|EFSLZC26A","Trading Symbol")</f>
        <v>EFSLZC26A</v>
      </c>
      <c r="C1574" t="str">
        <f>RTD("nest.scriprtd",,"bse_cm|EFSLZC26A","Exchange")</f>
        <v>BSE</v>
      </c>
      <c r="D1574">
        <f>RTD("nest.scriprtd",,"bse_cm|EFSLZC26A","Bid Qty")</f>
        <v>170</v>
      </c>
      <c r="E1574">
        <f>RTD("nest.scriprtd",,"bse_cm|EFSLZC26A","Bid Rate")</f>
        <v>1265.2</v>
      </c>
      <c r="F1574">
        <f>RTD("nest.scriprtd",,"bse_cm|EFSLZC26A","Ask Rate")</f>
        <v>0</v>
      </c>
      <c r="G1574">
        <f>RTD("nest.scriprtd",,"bse_cm|EFSLZC26A","Ask Qty")</f>
        <v>0</v>
      </c>
      <c r="H1574">
        <f>RTD("nest.scriprtd",,"bse_cm|EFSLZC26A","LTP")</f>
        <v>0</v>
      </c>
      <c r="I1574" t="str">
        <f>RTD("nest.scriprtd",,"bse_cm|EFSLZC26A","LTT")</f>
        <v>00:00:00</v>
      </c>
      <c r="J1574">
        <f>RTD("nest.scriprtd",,"bse_cm|EFSLZC26A","% Change")</f>
        <v>-100</v>
      </c>
      <c r="K1574">
        <f>RTD("nest.scriprtd",,"bse_cm|EFSLZC26A","ATP")</f>
        <v>0</v>
      </c>
      <c r="L1574">
        <f>RTD("nest.scriprtd",,"bse_cm|EFSLZC26A","Volume Traded Today")</f>
        <v>0</v>
      </c>
      <c r="M1574">
        <f>RTD("nest.scriprtd",,"bse_cm|EFSLZC26A","Open")</f>
        <v>0</v>
      </c>
      <c r="N1574">
        <f>RTD("nest.scriprtd",,"bse_cm|EFSLZC26A","High")</f>
        <v>1290.8</v>
      </c>
      <c r="O1574">
        <f>RTD("nest.scriprtd",,"bse_cm|EFSLZC26A","Low ")</f>
        <v>1290.8</v>
      </c>
      <c r="P1574">
        <f>RTD("nest.scriprtd",,"bse_cm|EFSLZC26A","Prev Close")</f>
        <v>1290.8</v>
      </c>
      <c r="Q1574">
        <f>RTD("nest.scriprtd",,"bse_cm|EFSLZC26A","Face Value")</f>
        <v>1000</v>
      </c>
      <c r="R1574" t="str">
        <f>RTD("nest.scriprtd",,"bse_cm|EFSLZC26A","Isin code")</f>
        <v>INE532F07BZ5</v>
      </c>
      <c r="S1574" s="9">
        <f>Table1[[#This Row],[Ask Rate]]*Table1[[#This Row],[Ask Qty]]</f>
        <v>0</v>
      </c>
      <c r="T1574" t="str">
        <f>VLOOKUP(Table1[[#This Row],[Isin code]],Table2[#All],7,FALSE)</f>
        <v>--</v>
      </c>
      <c r="U1574" s="17" t="str">
        <f>VLOOKUP(Table1[[#This Row],[Isin code]],Table2[#All],8,FALSE)</f>
        <v>29-Apr-2026</v>
      </c>
      <c r="V1574" s="10">
        <f ca="1">Table1[[#This Row],[Maturity]]-TODAY()</f>
        <v>560</v>
      </c>
      <c r="W1574" t="str">
        <f>VLOOKUP(Table1[[#This Row],[Isin code]],Table2[#All],10,FALSE)</f>
        <v>At the End</v>
      </c>
      <c r="X1574">
        <f ca="1">_xlfn.DAYS(Table1[[#This Row],[Maturity]],TODAY())-15</f>
        <v>545</v>
      </c>
      <c r="Y157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74">
        <f>IF(Table1[[#This Row],[Ask Rate]]=0,0,Table1[[#This Row],[Face Value]]-Table1[[#This Row],[Ask Rate]])</f>
        <v>0</v>
      </c>
      <c r="AA157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74">
        <f>Table1[[#This Row],[Face Value]]*Table1[[#This Row],[Rate]]*Table1[[#This Row],[Time]]</f>
        <v>0</v>
      </c>
      <c r="AC1574">
        <f>Table1[[#This Row],[SI]]+Table1[[#This Row],[Disc/Prem]]</f>
        <v>0</v>
      </c>
      <c r="AD1574" s="3" t="e">
        <f>Table1[[#This Row],[Net Gain]]/Table1[[#This Row],[Ask Rate]]</f>
        <v>#DIV/0!</v>
      </c>
      <c r="AE1574" s="3">
        <f>IF(Table1[[#This Row],[Ask Qty]]=0,0,Table1[[#This Row],[Gross Yield]]*365/Table1[[#This Row],[Days Left]])</f>
        <v>0</v>
      </c>
      <c r="AF1574" s="9">
        <f>+Table1[[#This Row],[Net Gain]]*Table1[[#This Row],[Ask Qty]]</f>
        <v>0</v>
      </c>
      <c r="AG1574" t="str">
        <f>IF(Table1[[#This Row],[YTM]]&gt;0.12,IF(Table1[[#This Row],[Gross Profit]]&gt;10000,"Invest","Review"),"Low YTM")</f>
        <v>Low YTM</v>
      </c>
    </row>
    <row r="1575" spans="1:33" x14ac:dyDescent="0.3">
      <c r="A1575" t="str">
        <f>RTD("nest.scriprtd",,"bse_cm|MFLVIII26H","Symbol")</f>
        <v>MFLVIII26H</v>
      </c>
      <c r="B1575" t="str">
        <f>RTD("nest.scriprtd",,"bse_cm|MFLVIII26H","Trading Symbol")</f>
        <v>MFLVIII26H</v>
      </c>
      <c r="C1575" t="str">
        <f>RTD("nest.scriprtd",,"bse_cm|MFLVIII26H","Exchange")</f>
        <v>BSE</v>
      </c>
      <c r="D1575">
        <f>RTD("nest.scriprtd",,"bse_cm|MFLVIII26H","Bid Qty")</f>
        <v>100</v>
      </c>
      <c r="E1575">
        <f>RTD("nest.scriprtd",,"bse_cm|MFLVIII26H","Bid Rate")</f>
        <v>1234</v>
      </c>
      <c r="F1575">
        <f>RTD("nest.scriprtd",,"bse_cm|MFLVIII26H","Ask Rate")</f>
        <v>0</v>
      </c>
      <c r="G1575">
        <f>RTD("nest.scriprtd",,"bse_cm|MFLVIII26H","Ask Qty")</f>
        <v>0</v>
      </c>
      <c r="H1575">
        <f>RTD("nest.scriprtd",,"bse_cm|MFLVIII26H","LTP")</f>
        <v>0</v>
      </c>
      <c r="I1575" t="str">
        <f>RTD("nest.scriprtd",,"bse_cm|MFLVIII26H","LTT")</f>
        <v>00:00:00</v>
      </c>
      <c r="J1575">
        <f>RTD("nest.scriprtd",,"bse_cm|MFLVIII26H","% Change")</f>
        <v>-100</v>
      </c>
      <c r="K1575">
        <f>RTD("nest.scriprtd",,"bse_cm|MFLVIII26H","ATP")</f>
        <v>0</v>
      </c>
      <c r="L1575">
        <f>RTD("nest.scriprtd",,"bse_cm|MFLVIII26H","Volume Traded Today")</f>
        <v>0</v>
      </c>
      <c r="M1575">
        <f>RTD("nest.scriprtd",,"bse_cm|MFLVIII26H","Open")</f>
        <v>0</v>
      </c>
      <c r="N1575">
        <f>RTD("nest.scriprtd",,"bse_cm|MFLVIII26H","High")</f>
        <v>1459</v>
      </c>
      <c r="O1575">
        <f>RTD("nest.scriprtd",,"bse_cm|MFLVIII26H","Low ")</f>
        <v>1234</v>
      </c>
      <c r="P1575">
        <f>RTD("nest.scriprtd",,"bse_cm|MFLVIII26H","Prev Close")</f>
        <v>1234</v>
      </c>
      <c r="Q1575">
        <f>RTD("nest.scriprtd",,"bse_cm|MFLVIII26H","Face Value")</f>
        <v>1000</v>
      </c>
      <c r="R1575" t="str">
        <f>RTD("nest.scriprtd",,"bse_cm|MFLVIII26H","Isin code")</f>
        <v>INE414G07FX0</v>
      </c>
      <c r="S1575" s="9">
        <f>Table1[[#This Row],[Ask Rate]]*Table1[[#This Row],[Ask Qty]]</f>
        <v>0</v>
      </c>
      <c r="T1575" t="str">
        <f>VLOOKUP(Table1[[#This Row],[Isin code]],Table2[#All],7,FALSE)</f>
        <v>--</v>
      </c>
      <c r="U1575" s="17" t="str">
        <f>VLOOKUP(Table1[[#This Row],[Isin code]],Table2[#All],8,FALSE)</f>
        <v>20-Apr-2026</v>
      </c>
      <c r="V1575" s="10">
        <f ca="1">Table1[[#This Row],[Maturity]]-TODAY()</f>
        <v>551</v>
      </c>
      <c r="W1575" t="str">
        <f>VLOOKUP(Table1[[#This Row],[Isin code]],Table2[#All],10,FALSE)</f>
        <v>At the End</v>
      </c>
      <c r="X1575">
        <f ca="1">_xlfn.DAYS(Table1[[#This Row],[Maturity]],TODAY())-15</f>
        <v>536</v>
      </c>
      <c r="Y157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75">
        <f>IF(Table1[[#This Row],[Ask Rate]]=0,0,Table1[[#This Row],[Face Value]]-Table1[[#This Row],[Ask Rate]])</f>
        <v>0</v>
      </c>
      <c r="AA157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75">
        <f>Table1[[#This Row],[Face Value]]*Table1[[#This Row],[Rate]]*Table1[[#This Row],[Time]]</f>
        <v>0</v>
      </c>
      <c r="AC1575">
        <f>Table1[[#This Row],[SI]]+Table1[[#This Row],[Disc/Prem]]</f>
        <v>0</v>
      </c>
      <c r="AD1575" s="3" t="e">
        <f>Table1[[#This Row],[Net Gain]]/Table1[[#This Row],[Ask Rate]]</f>
        <v>#DIV/0!</v>
      </c>
      <c r="AE1575" s="3">
        <f>IF(Table1[[#This Row],[Ask Qty]]=0,0,Table1[[#This Row],[Gross Yield]]*365/Table1[[#This Row],[Days Left]])</f>
        <v>0</v>
      </c>
      <c r="AF1575" s="9">
        <f>+Table1[[#This Row],[Net Gain]]*Table1[[#This Row],[Ask Qty]]</f>
        <v>0</v>
      </c>
      <c r="AG1575" t="str">
        <f>IF(Table1[[#This Row],[YTM]]&gt;0.12,IF(Table1[[#This Row],[Gross Profit]]&gt;10000,"Invest","Review"),"Low YTM")</f>
        <v>Low YTM</v>
      </c>
    </row>
    <row r="1576" spans="1:33" x14ac:dyDescent="0.3">
      <c r="A1576" t="str">
        <f>RTD("nest.scriprtd",,"nse_cm|916SCL25-ZW","Symbol")</f>
        <v>916SCL25</v>
      </c>
      <c r="B1576" t="str">
        <f>RTD("nest.scriprtd",,"nse_cm|916SCL25-ZW","Trading Symbol")</f>
        <v>916SCL25-ZW</v>
      </c>
      <c r="C1576" t="str">
        <f>RTD("nest.scriprtd",,"nse_cm|916SCL25-ZW","Exchange")</f>
        <v>NSE</v>
      </c>
      <c r="D1576">
        <f>RTD("nest.scriprtd",,"nse_cm|916SCL25-ZW","Bid Qty")</f>
        <v>12</v>
      </c>
      <c r="E1576">
        <f>RTD("nest.scriprtd",,"nse_cm|916SCL25-ZW","Bid Rate")</f>
        <v>700.2</v>
      </c>
      <c r="F1576">
        <f>RTD("nest.scriprtd",,"nse_cm|916SCL25-ZW","Ask Rate")</f>
        <v>0</v>
      </c>
      <c r="G1576">
        <f>RTD("nest.scriprtd",,"nse_cm|916SCL25-ZW","Ask Qty")</f>
        <v>0</v>
      </c>
      <c r="H1576">
        <f>RTD("nest.scriprtd",,"nse_cm|916SCL25-ZW","LTP")</f>
        <v>850</v>
      </c>
      <c r="I1576" t="str">
        <f>RTD("nest.scriprtd",,"nse_cm|916SCL25-ZW","LTT")</f>
        <v/>
      </c>
      <c r="J1576">
        <f>RTD("nest.scriprtd",,"nse_cm|916SCL25-ZW","% Change")</f>
        <v>0</v>
      </c>
      <c r="K1576">
        <f>RTD("nest.scriprtd",,"nse_cm|916SCL25-ZW","ATP")</f>
        <v>0</v>
      </c>
      <c r="L1576">
        <f>RTD("nest.scriprtd",,"nse_cm|916SCL25-ZW","Volume Traded Today")</f>
        <v>0</v>
      </c>
      <c r="M1576">
        <f>RTD("nest.scriprtd",,"nse_cm|916SCL25-ZW","Open")</f>
        <v>0</v>
      </c>
      <c r="N1576">
        <f>RTD("nest.scriprtd",,"nse_cm|916SCL25-ZW","High")</f>
        <v>850</v>
      </c>
      <c r="O1576">
        <f>RTD("nest.scriprtd",,"nse_cm|916SCL25-ZW","Low ")</f>
        <v>850</v>
      </c>
      <c r="P1576">
        <f>RTD("nest.scriprtd",,"nse_cm|916SCL25-ZW","Prev Close")</f>
        <v>850</v>
      </c>
      <c r="Q1576">
        <f>RTD("nest.scriprtd",,"nse_cm|916SCL25-ZW","Face Value")</f>
        <v>667</v>
      </c>
      <c r="R1576" t="str">
        <f>RTD("nest.scriprtd",,"nse_cm|916SCL25-ZW","Isin code")</f>
        <v>INE148I07NM7</v>
      </c>
      <c r="S1576" s="9">
        <f>Table1[[#This Row],[Ask Rate]]*Table1[[#This Row],[Ask Qty]]</f>
        <v>0</v>
      </c>
      <c r="T1576">
        <f>VLOOKUP(Table1[[#This Row],[Isin code]],Table2[#All],7,FALSE)</f>
        <v>9.16</v>
      </c>
      <c r="U1576" s="17">
        <f>VLOOKUP(Table1[[#This Row],[Isin code]],Table2[#All],8,FALSE)</f>
        <v>46019</v>
      </c>
      <c r="V1576" s="10">
        <f ca="1">Table1[[#This Row],[Maturity]]-TODAY()</f>
        <v>438</v>
      </c>
      <c r="W1576" t="str">
        <f>VLOOKUP(Table1[[#This Row],[Isin code]],Table2[#All],10,FALSE)</f>
        <v>Monthly</v>
      </c>
      <c r="X1576">
        <f ca="1">_xlfn.DAYS(Table1[[#This Row],[Maturity]],TODAY())-15</f>
        <v>423</v>
      </c>
      <c r="Y157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15</v>
      </c>
      <c r="Z1576">
        <f>IF(Table1[[#This Row],[Ask Rate]]=0,0,Table1[[#This Row],[Face Value]]-Table1[[#This Row],[Ask Rate]])</f>
        <v>0</v>
      </c>
      <c r="AA1576">
        <f>IF(Table1[[#This Row],[Freq]]="Yearly",Table1[[#This Row],[Coupon_Rate]]/100,IF(Table1[[#This Row],[Freq]]="Monthly",Table1[[#This Row],[Coupon_Rate]]/1200,IF(Table1[[#This Row],[Freq]]="Quarterly",Table1[[#This Row],[Coupon_Rate]]/400,0)))</f>
        <v>7.6333333333333331E-3</v>
      </c>
      <c r="AB1576">
        <f ca="1">Table1[[#This Row],[Face Value]]*Table1[[#This Row],[Rate]]*Table1[[#This Row],[Time]]</f>
        <v>76.371499999999997</v>
      </c>
      <c r="AC1576">
        <f ca="1">Table1[[#This Row],[SI]]+Table1[[#This Row],[Disc/Prem]]</f>
        <v>76.371499999999997</v>
      </c>
      <c r="AD1576" s="3" t="e">
        <f ca="1">Table1[[#This Row],[Net Gain]]/Table1[[#This Row],[Ask Rate]]</f>
        <v>#DIV/0!</v>
      </c>
      <c r="AE1576" s="3">
        <f>IF(Table1[[#This Row],[Ask Qty]]=0,0,Table1[[#This Row],[Gross Yield]]*365/Table1[[#This Row],[Days Left]])</f>
        <v>0</v>
      </c>
      <c r="AF1576" s="9">
        <f ca="1">+Table1[[#This Row],[Net Gain]]*Table1[[#This Row],[Ask Qty]]</f>
        <v>0</v>
      </c>
      <c r="AG1576" t="str">
        <f>IF(Table1[[#This Row],[YTM]]&gt;0.12,IF(Table1[[#This Row],[Gross Profit]]&gt;10000,"Invest","Review"),"Low YTM")</f>
        <v>Low YTM</v>
      </c>
    </row>
    <row r="1577" spans="1:33" x14ac:dyDescent="0.3">
      <c r="A1577" t="str">
        <f>RTD("nest.scriprtd",,"nse_cm|965SCL25-AG","Symbol")</f>
        <v>965SCL25</v>
      </c>
      <c r="B1577" t="str">
        <f>RTD("nest.scriprtd",,"nse_cm|965SCL25-AG","Trading Symbol")</f>
        <v>965SCL25-AG</v>
      </c>
      <c r="C1577" t="str">
        <f>RTD("nest.scriprtd",,"nse_cm|965SCL25-AG","Exchange")</f>
        <v>NSE</v>
      </c>
      <c r="D1577">
        <f>RTD("nest.scriprtd",,"nse_cm|965SCL25-AG","Bid Qty")</f>
        <v>12</v>
      </c>
      <c r="E1577">
        <f>RTD("nest.scriprtd",,"nse_cm|965SCL25-AG","Bid Rate")</f>
        <v>1100.0999999999999</v>
      </c>
      <c r="F1577">
        <f>RTD("nest.scriprtd",,"nse_cm|965SCL25-AG","Ask Rate")</f>
        <v>0</v>
      </c>
      <c r="G1577">
        <f>RTD("nest.scriprtd",,"nse_cm|965SCL25-AG","Ask Qty")</f>
        <v>0</v>
      </c>
      <c r="H1577">
        <f>RTD("nest.scriprtd",,"nse_cm|965SCL25-AG","LTP")</f>
        <v>1134</v>
      </c>
      <c r="I1577" t="str">
        <f>RTD("nest.scriprtd",,"nse_cm|965SCL25-AG","LTT")</f>
        <v/>
      </c>
      <c r="J1577">
        <f>RTD("nest.scriprtd",,"nse_cm|965SCL25-AG","% Change")</f>
        <v>0</v>
      </c>
      <c r="K1577">
        <f>RTD("nest.scriprtd",,"nse_cm|965SCL25-AG","ATP")</f>
        <v>0</v>
      </c>
      <c r="L1577">
        <f>RTD("nest.scriprtd",,"nse_cm|965SCL25-AG","Volume Traded Today")</f>
        <v>0</v>
      </c>
      <c r="M1577">
        <f>RTD("nest.scriprtd",,"nse_cm|965SCL25-AG","Open")</f>
        <v>0</v>
      </c>
      <c r="N1577">
        <f>RTD("nest.scriprtd",,"nse_cm|965SCL25-AG","High")</f>
        <v>1134</v>
      </c>
      <c r="O1577">
        <f>RTD("nest.scriprtd",,"nse_cm|965SCL25-AG","Low ")</f>
        <v>1134</v>
      </c>
      <c r="P1577">
        <f>RTD("nest.scriprtd",,"nse_cm|965SCL25-AG","Prev Close")</f>
        <v>1134</v>
      </c>
      <c r="Q1577">
        <f>RTD("nest.scriprtd",,"nse_cm|965SCL25-AG","Face Value")</f>
        <v>1000</v>
      </c>
      <c r="R1577" t="str">
        <f>RTD("nest.scriprtd",,"nse_cm|965SCL25-AG","Isin code")</f>
        <v>INE148I07OD4</v>
      </c>
      <c r="S1577" s="9">
        <f>Table1[[#This Row],[Ask Rate]]*Table1[[#This Row],[Ask Qty]]</f>
        <v>0</v>
      </c>
      <c r="T1577" t="str">
        <f>VLOOKUP(Table1[[#This Row],[Isin code]],Table2[#All],7,FALSE)</f>
        <v>--</v>
      </c>
      <c r="U1577" s="17" t="str">
        <f>VLOOKUP(Table1[[#This Row],[Isin code]],Table2[#All],8,FALSE)</f>
        <v>23-Mar-2025</v>
      </c>
      <c r="V1577" s="10">
        <f ca="1">Table1[[#This Row],[Maturity]]-TODAY()</f>
        <v>158</v>
      </c>
      <c r="W1577" t="str">
        <f>VLOOKUP(Table1[[#This Row],[Isin code]],Table2[#All],10,FALSE)</f>
        <v>At the End</v>
      </c>
      <c r="X1577">
        <f ca="1">_xlfn.DAYS(Table1[[#This Row],[Maturity]],TODAY())-15</f>
        <v>143</v>
      </c>
      <c r="Y157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77">
        <f>IF(Table1[[#This Row],[Ask Rate]]=0,0,Table1[[#This Row],[Face Value]]-Table1[[#This Row],[Ask Rate]])</f>
        <v>0</v>
      </c>
      <c r="AA157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77">
        <f>Table1[[#This Row],[Face Value]]*Table1[[#This Row],[Rate]]*Table1[[#This Row],[Time]]</f>
        <v>0</v>
      </c>
      <c r="AC1577">
        <f>Table1[[#This Row],[SI]]+Table1[[#This Row],[Disc/Prem]]</f>
        <v>0</v>
      </c>
      <c r="AD1577" s="3" t="e">
        <f>Table1[[#This Row],[Net Gain]]/Table1[[#This Row],[Ask Rate]]</f>
        <v>#DIV/0!</v>
      </c>
      <c r="AE1577" s="3">
        <f>IF(Table1[[#This Row],[Ask Qty]]=0,0,Table1[[#This Row],[Gross Yield]]*365/Table1[[#This Row],[Days Left]])</f>
        <v>0</v>
      </c>
      <c r="AF1577" s="9">
        <f>+Table1[[#This Row],[Net Gain]]*Table1[[#This Row],[Ask Qty]]</f>
        <v>0</v>
      </c>
      <c r="AG1577" t="str">
        <f>IF(Table1[[#This Row],[YTM]]&gt;0.12,IF(Table1[[#This Row],[Gross Profit]]&gt;10000,"Invest","Review"),"Low YTM")</f>
        <v>Low YTM</v>
      </c>
    </row>
    <row r="1578" spans="1:33" hidden="1" x14ac:dyDescent="0.3">
      <c r="A1578" t="str">
        <f>RTD("nest.scriprtd",,"nse_cm|IIFLZC25A-NP","Symbol")</f>
        <v>IIFLZC25A</v>
      </c>
      <c r="B1578" t="str">
        <f>RTD("nest.scriprtd",,"nse_cm|IIFLZC25A-NP","Trading Symbol")</f>
        <v>IIFLZC25A-NP</v>
      </c>
      <c r="C1578" t="str">
        <f>RTD("nest.scriprtd",,"nse_cm|IIFLZC25A-NP","Exchange")</f>
        <v>NSE</v>
      </c>
      <c r="D1578">
        <f>RTD("nest.scriprtd",,"nse_cm|IIFLZC25A-NP","Bid Qty")</f>
        <v>10</v>
      </c>
      <c r="E1578">
        <f>RTD("nest.scriprtd",,"nse_cm|IIFLZC25A-NP","Bid Rate")</f>
        <v>1121</v>
      </c>
      <c r="F1578">
        <f>RTD("nest.scriprtd",,"nse_cm|IIFLZC25A-NP","Ask Rate")</f>
        <v>0</v>
      </c>
      <c r="G1578">
        <f>RTD("nest.scriprtd",,"nse_cm|IIFLZC25A-NP","Ask Qty")</f>
        <v>0</v>
      </c>
      <c r="H1578">
        <f>RTD("nest.scriprtd",,"nse_cm|IIFLZC25A-NP","LTP")</f>
        <v>1140.22</v>
      </c>
      <c r="I1578" t="str">
        <f>RTD("nest.scriprtd",,"nse_cm|IIFLZC25A-NP","LTT")</f>
        <v/>
      </c>
      <c r="J1578">
        <f>RTD("nest.scriprtd",,"nse_cm|IIFLZC25A-NP","% Change")</f>
        <v>0</v>
      </c>
      <c r="K1578">
        <f>RTD("nest.scriprtd",,"nse_cm|IIFLZC25A-NP","ATP")</f>
        <v>0</v>
      </c>
      <c r="L1578">
        <f>RTD("nest.scriprtd",,"nse_cm|IIFLZC25A-NP","Volume Traded Today")</f>
        <v>0</v>
      </c>
      <c r="M1578">
        <f>RTD("nest.scriprtd",,"nse_cm|IIFLZC25A-NP","Open")</f>
        <v>0</v>
      </c>
      <c r="N1578">
        <f>RTD("nest.scriprtd",,"nse_cm|IIFLZC25A-NP","High")</f>
        <v>1143.98</v>
      </c>
      <c r="O1578">
        <f>RTD("nest.scriprtd",,"nse_cm|IIFLZC25A-NP","Low ")</f>
        <v>1124</v>
      </c>
      <c r="P1578">
        <f>RTD("nest.scriprtd",,"nse_cm|IIFLZC25A-NP","Prev Close")</f>
        <v>1140.22</v>
      </c>
      <c r="Q1578">
        <f>RTD("nest.scriprtd",,"nse_cm|IIFLZC25A-NP","Face Value")</f>
        <v>1000</v>
      </c>
      <c r="R1578" t="str">
        <f>RTD("nest.scriprtd",,"nse_cm|IIFLZC25A-NP","Isin code")</f>
        <v>INE530B07302</v>
      </c>
      <c r="S1578" s="9">
        <f>Table1[[#This Row],[Ask Rate]]*Table1[[#This Row],[Ask Qty]]</f>
        <v>0</v>
      </c>
      <c r="T1578">
        <f>VLOOKUP(Table1[[#This Row],[Isin code]],Table2[#All],7,FALSE)</f>
        <v>0</v>
      </c>
      <c r="U1578" s="17" t="str">
        <f>VLOOKUP(Table1[[#This Row],[Isin code]],Table2[#All],8,FALSE)</f>
        <v>24-Jan-2025</v>
      </c>
      <c r="V1578" s="10">
        <f ca="1">Table1[[#This Row],[Maturity]]-TODAY()</f>
        <v>100</v>
      </c>
      <c r="W1578" t="str">
        <f>VLOOKUP(Table1[[#This Row],[Isin code]],Table2[#All],10,FALSE)</f>
        <v>Monthly</v>
      </c>
      <c r="X1578">
        <f ca="1">_xlfn.DAYS(Table1[[#This Row],[Maturity]],TODAY())-15</f>
        <v>85</v>
      </c>
      <c r="Y157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578">
        <f>IF(Table1[[#This Row],[Ask Rate]]=0,0,Table1[[#This Row],[Face Value]]-Table1[[#This Row],[Ask Rate]])</f>
        <v>0</v>
      </c>
      <c r="AA157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78">
        <f ca="1">Table1[[#This Row],[Face Value]]*Table1[[#This Row],[Rate]]*Table1[[#This Row],[Time]]</f>
        <v>0</v>
      </c>
      <c r="AC1578">
        <f ca="1">Table1[[#This Row],[SI]]+Table1[[#This Row],[Disc/Prem]]</f>
        <v>0</v>
      </c>
      <c r="AD1578" s="3" t="e">
        <f ca="1">Table1[[#This Row],[Net Gain]]/Table1[[#This Row],[Ask Rate]]</f>
        <v>#DIV/0!</v>
      </c>
      <c r="AE1578" s="3">
        <f>IF(Table1[[#This Row],[Ask Qty]]=0,0,Table1[[#This Row],[Gross Yield]]*365/Table1[[#This Row],[Days Left]])</f>
        <v>0</v>
      </c>
      <c r="AF1578" s="9">
        <f ca="1">+Table1[[#This Row],[Net Gain]]*Table1[[#This Row],[Ask Qty]]</f>
        <v>0</v>
      </c>
      <c r="AG1578" t="str">
        <f>IF(Table1[[#This Row],[YTM]]&gt;0.12,IF(Table1[[#This Row],[Gross Profit]]&gt;10000,"Invest","Review"),"Low YTM")</f>
        <v>Low YTM</v>
      </c>
    </row>
    <row r="1579" spans="1:33" x14ac:dyDescent="0.3">
      <c r="A1579" t="str">
        <f>RTD("nest.scriprtd",,"bse_cm|MFLZC25C","Symbol")</f>
        <v>MFLZC25C</v>
      </c>
      <c r="B1579" t="str">
        <f>RTD("nest.scriprtd",,"bse_cm|MFLZC25C","Trading Symbol")</f>
        <v>MFLZC25C</v>
      </c>
      <c r="C1579" t="str">
        <f>RTD("nest.scriprtd",,"bse_cm|MFLZC25C","Exchange")</f>
        <v>BSE</v>
      </c>
      <c r="D1579">
        <f>RTD("nest.scriprtd",,"bse_cm|MFLZC25C","Bid Qty")</f>
        <v>180</v>
      </c>
      <c r="E1579">
        <f>RTD("nest.scriprtd",,"bse_cm|MFLZC25C","Bid Rate")</f>
        <v>1206.2</v>
      </c>
      <c r="F1579">
        <f>RTD("nest.scriprtd",,"bse_cm|MFLZC25C","Ask Rate")</f>
        <v>0</v>
      </c>
      <c r="G1579">
        <f>RTD("nest.scriprtd",,"bse_cm|MFLZC25C","Ask Qty")</f>
        <v>0</v>
      </c>
      <c r="H1579">
        <f>RTD("nest.scriprtd",,"bse_cm|MFLZC25C","LTP")</f>
        <v>0</v>
      </c>
      <c r="I1579" t="str">
        <f>RTD("nest.scriprtd",,"bse_cm|MFLZC25C","LTT")</f>
        <v>00:00:00</v>
      </c>
      <c r="J1579">
        <f>RTD("nest.scriprtd",,"bse_cm|MFLZC25C","% Change")</f>
        <v>-100</v>
      </c>
      <c r="K1579">
        <f>RTD("nest.scriprtd",,"bse_cm|MFLZC25C","ATP")</f>
        <v>0</v>
      </c>
      <c r="L1579">
        <f>RTD("nest.scriprtd",,"bse_cm|MFLZC25C","Volume Traded Today")</f>
        <v>0</v>
      </c>
      <c r="M1579">
        <f>RTD("nest.scriprtd",,"bse_cm|MFLZC25C","Open")</f>
        <v>0</v>
      </c>
      <c r="N1579">
        <f>RTD("nest.scriprtd",,"bse_cm|MFLZC25C","High")</f>
        <v>1271</v>
      </c>
      <c r="O1579">
        <f>RTD("nest.scriprtd",,"bse_cm|MFLZC25C","Low ")</f>
        <v>1271</v>
      </c>
      <c r="P1579">
        <f>RTD("nest.scriprtd",,"bse_cm|MFLZC25C","Prev Close")</f>
        <v>1271</v>
      </c>
      <c r="Q1579">
        <f>RTD("nest.scriprtd",,"bse_cm|MFLZC25C","Face Value")</f>
        <v>1000</v>
      </c>
      <c r="R1579" t="str">
        <f>RTD("nest.scriprtd",,"bse_cm|MFLZC25C","Isin code")</f>
        <v>INE549K07BF1</v>
      </c>
      <c r="S1579" s="9">
        <f>Table1[[#This Row],[Ask Rate]]*Table1[[#This Row],[Ask Qty]]</f>
        <v>0</v>
      </c>
      <c r="T1579" t="str">
        <f>VLOOKUP(Table1[[#This Row],[Isin code]],Table2[#All],7,FALSE)</f>
        <v>--</v>
      </c>
      <c r="U1579" s="17" t="str">
        <f>VLOOKUP(Table1[[#This Row],[Isin code]],Table2[#All],8,FALSE)</f>
        <v>03-Apr-2025</v>
      </c>
      <c r="V1579" s="10">
        <f ca="1">Table1[[#This Row],[Maturity]]-TODAY()</f>
        <v>169</v>
      </c>
      <c r="W1579" t="str">
        <f>VLOOKUP(Table1[[#This Row],[Isin code]],Table2[#All],10,FALSE)</f>
        <v>At the End</v>
      </c>
      <c r="X1579">
        <f ca="1">_xlfn.DAYS(Table1[[#This Row],[Maturity]],TODAY())-15</f>
        <v>154</v>
      </c>
      <c r="Y157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79">
        <f>IF(Table1[[#This Row],[Ask Rate]]=0,0,Table1[[#This Row],[Face Value]]-Table1[[#This Row],[Ask Rate]])</f>
        <v>0</v>
      </c>
      <c r="AA157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79">
        <f>Table1[[#This Row],[Face Value]]*Table1[[#This Row],[Rate]]*Table1[[#This Row],[Time]]</f>
        <v>0</v>
      </c>
      <c r="AC1579">
        <f>Table1[[#This Row],[SI]]+Table1[[#This Row],[Disc/Prem]]</f>
        <v>0</v>
      </c>
      <c r="AD1579" s="3" t="e">
        <f>Table1[[#This Row],[Net Gain]]/Table1[[#This Row],[Ask Rate]]</f>
        <v>#DIV/0!</v>
      </c>
      <c r="AE1579" s="3">
        <f>IF(Table1[[#This Row],[Ask Qty]]=0,0,Table1[[#This Row],[Gross Yield]]*365/Table1[[#This Row],[Days Left]])</f>
        <v>0</v>
      </c>
      <c r="AF1579" s="9">
        <f>+Table1[[#This Row],[Net Gain]]*Table1[[#This Row],[Ask Qty]]</f>
        <v>0</v>
      </c>
      <c r="AG1579" t="str">
        <f>IF(Table1[[#This Row],[YTM]]&gt;0.12,IF(Table1[[#This Row],[Gross Profit]]&gt;10000,"Invest","Review"),"Low YTM")</f>
        <v>Low YTM</v>
      </c>
    </row>
    <row r="1580" spans="1:33" hidden="1" x14ac:dyDescent="0.3">
      <c r="A1580" t="str">
        <f>RTD("nest.scriprtd",,"bse_cm|1035UCL24","Symbol")</f>
        <v>1035UCL24</v>
      </c>
      <c r="B1580" t="str">
        <f>RTD("nest.scriprtd",,"bse_cm|1035UCL24","Trading Symbol")</f>
        <v>1035UCL24</v>
      </c>
      <c r="C1580" t="str">
        <f>RTD("nest.scriprtd",,"bse_cm|1035UCL24","Exchange")</f>
        <v>BSE</v>
      </c>
      <c r="D1580">
        <f>RTD("nest.scriprtd",,"bse_cm|1035UCL24","Bid Qty")</f>
        <v>15</v>
      </c>
      <c r="E1580">
        <f>RTD("nest.scriprtd",,"bse_cm|1035UCL24","Bid Rate")</f>
        <v>972</v>
      </c>
      <c r="F1580">
        <f>RTD("nest.scriprtd",,"bse_cm|1035UCL24","Ask Rate")</f>
        <v>0</v>
      </c>
      <c r="G1580">
        <f>RTD("nest.scriprtd",,"bse_cm|1035UCL24","Ask Qty")</f>
        <v>0</v>
      </c>
      <c r="H1580">
        <f>RTD("nest.scriprtd",,"bse_cm|1035UCL24","LTP")</f>
        <v>0</v>
      </c>
      <c r="I1580" t="str">
        <f>RTD("nest.scriprtd",,"bse_cm|1035UCL24","LTT")</f>
        <v>00:00:00</v>
      </c>
      <c r="J1580">
        <f>RTD("nest.scriprtd",,"bse_cm|1035UCL24","% Change")</f>
        <v>-100</v>
      </c>
      <c r="K1580">
        <f>RTD("nest.scriprtd",,"bse_cm|1035UCL24","ATP")</f>
        <v>0</v>
      </c>
      <c r="L1580">
        <f>RTD("nest.scriprtd",,"bse_cm|1035UCL24","Volume Traded Today")</f>
        <v>0</v>
      </c>
      <c r="M1580">
        <f>RTD("nest.scriprtd",,"bse_cm|1035UCL24","Open")</f>
        <v>0</v>
      </c>
      <c r="N1580">
        <f>RTD("nest.scriprtd",,"bse_cm|1035UCL24","High")</f>
        <v>987.03</v>
      </c>
      <c r="O1580">
        <f>RTD("nest.scriprtd",,"bse_cm|1035UCL24","Low ")</f>
        <v>987.03</v>
      </c>
      <c r="P1580">
        <f>RTD("nest.scriprtd",,"bse_cm|1035UCL24","Prev Close")</f>
        <v>987.03</v>
      </c>
      <c r="Q1580">
        <f>RTD("nest.scriprtd",,"bse_cm|1035UCL24","Face Value")</f>
        <v>1000</v>
      </c>
      <c r="R1580" t="str">
        <f>RTD("nest.scriprtd",,"bse_cm|1035UCL24","Isin code")</f>
        <v>INE583D07307</v>
      </c>
      <c r="S1580" s="9">
        <f>Table1[[#This Row],[Ask Rate]]*Table1[[#This Row],[Ask Qty]]</f>
        <v>0</v>
      </c>
      <c r="T1580">
        <f>VLOOKUP(Table1[[#This Row],[Isin code]],Table2[#All],7,FALSE)</f>
        <v>10.35</v>
      </c>
      <c r="U1580" s="17" t="str">
        <f>VLOOKUP(Table1[[#This Row],[Isin code]],Table2[#All],8,FALSE)</f>
        <v>26-Dec-2024</v>
      </c>
      <c r="V1580" s="10">
        <f ca="1">Table1[[#This Row],[Maturity]]-TODAY()</f>
        <v>71</v>
      </c>
      <c r="W1580" t="str">
        <f>VLOOKUP(Table1[[#This Row],[Isin code]],Table2[#All],10,FALSE)</f>
        <v>Quarterly</v>
      </c>
      <c r="X1580">
        <f ca="1">_xlfn.DAYS(Table1[[#This Row],[Maturity]],TODAY())-15</f>
        <v>56</v>
      </c>
      <c r="Y15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580">
        <f>IF(Table1[[#This Row],[Ask Rate]]=0,0,Table1[[#This Row],[Face Value]]-Table1[[#This Row],[Ask Rate]])</f>
        <v>0</v>
      </c>
      <c r="AA1580">
        <f>IF(Table1[[#This Row],[Freq]]="Yearly",Table1[[#This Row],[Coupon_Rate]]/100,IF(Table1[[#This Row],[Freq]]="Monthly",Table1[[#This Row],[Coupon_Rate]]/1200,IF(Table1[[#This Row],[Freq]]="Quarterly",Table1[[#This Row],[Coupon_Rate]]/400,0)))</f>
        <v>2.5874999999999999E-2</v>
      </c>
      <c r="AB1580">
        <f ca="1">Table1[[#This Row],[Face Value]]*Table1[[#This Row],[Rate]]*Table1[[#This Row],[Time]]</f>
        <v>25.875</v>
      </c>
      <c r="AC1580">
        <f ca="1">Table1[[#This Row],[SI]]+Table1[[#This Row],[Disc/Prem]]</f>
        <v>25.875</v>
      </c>
      <c r="AD1580" s="3" t="e">
        <f ca="1">Table1[[#This Row],[Net Gain]]/Table1[[#This Row],[Ask Rate]]</f>
        <v>#DIV/0!</v>
      </c>
      <c r="AE1580" s="3">
        <f>IF(Table1[[#This Row],[Ask Qty]]=0,0,Table1[[#This Row],[Gross Yield]]*365/Table1[[#This Row],[Days Left]])</f>
        <v>0</v>
      </c>
      <c r="AF1580" s="9">
        <f ca="1">+Table1[[#This Row],[Net Gain]]*Table1[[#This Row],[Ask Qty]]</f>
        <v>0</v>
      </c>
      <c r="AG1580" t="str">
        <f>IF(Table1[[#This Row],[YTM]]&gt;0.12,IF(Table1[[#This Row],[Gross Profit]]&gt;10000,"Invest","Review"),"Low YTM")</f>
        <v>Low YTM</v>
      </c>
    </row>
    <row r="1581" spans="1:33" hidden="1" x14ac:dyDescent="0.3">
      <c r="A1581" t="str">
        <f>RTD("nest.scriprtd",,"bse_cm|MMFLZC25B","Symbol")</f>
        <v>MMFLZC25B</v>
      </c>
      <c r="B1581" t="str">
        <f>RTD("nest.scriprtd",,"bse_cm|MMFLZC25B","Trading Symbol")</f>
        <v>MMFLZC25B</v>
      </c>
      <c r="C1581" t="str">
        <f>RTD("nest.scriprtd",,"bse_cm|MMFLZC25B","Exchange")</f>
        <v>BSE</v>
      </c>
      <c r="D1581">
        <f>RTD("nest.scriprtd",,"bse_cm|MMFLZC25B","Bid Qty")</f>
        <v>45</v>
      </c>
      <c r="E1581">
        <f>RTD("nest.scriprtd",,"bse_cm|MMFLZC25B","Bid Rate")</f>
        <v>1150.2</v>
      </c>
      <c r="F1581">
        <f>RTD("nest.scriprtd",,"bse_cm|MMFLZC25B","Ask Rate")</f>
        <v>0</v>
      </c>
      <c r="G1581">
        <f>RTD("nest.scriprtd",,"bse_cm|MMFLZC25B","Ask Qty")</f>
        <v>0</v>
      </c>
      <c r="H1581">
        <f>RTD("nest.scriprtd",,"bse_cm|MMFLZC25B","LTP")</f>
        <v>0</v>
      </c>
      <c r="I1581" t="str">
        <f>RTD("nest.scriprtd",,"bse_cm|MMFLZC25B","LTT")</f>
        <v>00:00:00</v>
      </c>
      <c r="J1581">
        <f>RTD("nest.scriprtd",,"bse_cm|MMFLZC25B","% Change")</f>
        <v>-100</v>
      </c>
      <c r="K1581">
        <f>RTD("nest.scriprtd",,"bse_cm|MMFLZC25B","ATP")</f>
        <v>0</v>
      </c>
      <c r="L1581">
        <f>RTD("nest.scriprtd",,"bse_cm|MMFLZC25B","Volume Traded Today")</f>
        <v>0</v>
      </c>
      <c r="M1581">
        <f>RTD("nest.scriprtd",,"bse_cm|MMFLZC25B","Open")</f>
        <v>0</v>
      </c>
      <c r="N1581">
        <f>RTD("nest.scriprtd",,"bse_cm|MMFLZC25B","High")</f>
        <v>1290</v>
      </c>
      <c r="O1581">
        <f>RTD("nest.scriprtd",,"bse_cm|MMFLZC25B","Low ")</f>
        <v>1289</v>
      </c>
      <c r="P1581">
        <f>RTD("nest.scriprtd",,"bse_cm|MMFLZC25B","Prev Close")</f>
        <v>1289</v>
      </c>
      <c r="Q1581">
        <f>RTD("nest.scriprtd",,"bse_cm|MMFLZC25B","Face Value")</f>
        <v>1000</v>
      </c>
      <c r="R1581" t="str">
        <f>RTD("nest.scriprtd",,"bse_cm|MMFLZC25B","Isin code")</f>
        <v>INE101Q07AE3</v>
      </c>
      <c r="S1581" s="9">
        <f>Table1[[#This Row],[Ask Rate]]*Table1[[#This Row],[Ask Qty]]</f>
        <v>0</v>
      </c>
      <c r="T1581" t="str">
        <f>VLOOKUP(Table1[[#This Row],[Isin code]],Table2[#All],7,FALSE)</f>
        <v>--</v>
      </c>
      <c r="U1581" s="17" t="str">
        <f>VLOOKUP(Table1[[#This Row],[Isin code]],Table2[#All],8,FALSE)</f>
        <v>02-Jan-2025</v>
      </c>
      <c r="V1581" s="10">
        <f ca="1">Table1[[#This Row],[Maturity]]-TODAY()</f>
        <v>78</v>
      </c>
      <c r="W1581" t="str">
        <f>VLOOKUP(Table1[[#This Row],[Isin code]],Table2[#All],10,FALSE)</f>
        <v>At the End</v>
      </c>
      <c r="X1581">
        <f ca="1">_xlfn.DAYS(Table1[[#This Row],[Maturity]],TODAY())-15</f>
        <v>63</v>
      </c>
      <c r="Y158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81">
        <f>IF(Table1[[#This Row],[Ask Rate]]=0,0,Table1[[#This Row],[Face Value]]-Table1[[#This Row],[Ask Rate]])</f>
        <v>0</v>
      </c>
      <c r="AA158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81">
        <f>Table1[[#This Row],[Face Value]]*Table1[[#This Row],[Rate]]*Table1[[#This Row],[Time]]</f>
        <v>0</v>
      </c>
      <c r="AC1581">
        <f>Table1[[#This Row],[SI]]+Table1[[#This Row],[Disc/Prem]]</f>
        <v>0</v>
      </c>
      <c r="AD1581" s="3" t="e">
        <f>Table1[[#This Row],[Net Gain]]/Table1[[#This Row],[Ask Rate]]</f>
        <v>#DIV/0!</v>
      </c>
      <c r="AE1581" s="3">
        <f>IF(Table1[[#This Row],[Ask Qty]]=0,0,Table1[[#This Row],[Gross Yield]]*365/Table1[[#This Row],[Days Left]])</f>
        <v>0</v>
      </c>
      <c r="AF1581" s="9">
        <f>+Table1[[#This Row],[Net Gain]]*Table1[[#This Row],[Ask Qty]]</f>
        <v>0</v>
      </c>
      <c r="AG1581" t="str">
        <f>IF(Table1[[#This Row],[YTM]]&gt;0.12,IF(Table1[[#This Row],[Gross Profit]]&gt;10000,"Invest","Review"),"Low YTM")</f>
        <v>Low YTM</v>
      </c>
    </row>
    <row r="1582" spans="1:33" hidden="1" x14ac:dyDescent="0.3">
      <c r="A1582" t="str">
        <f>RTD("nest.scriprtd",,"nse_cm|SFLZC25A-ZK","Symbol")</f>
        <v>SFLZC25A</v>
      </c>
      <c r="B1582" t="str">
        <f>RTD("nest.scriprtd",,"nse_cm|SFLZC25A-ZK","Trading Symbol")</f>
        <v>SFLZC25A-ZK</v>
      </c>
      <c r="C1582" t="str">
        <f>RTD("nest.scriprtd",,"nse_cm|SFLZC25A-ZK","Exchange")</f>
        <v>NSE</v>
      </c>
      <c r="D1582">
        <f>RTD("nest.scriprtd",,"nse_cm|SFLZC25A-ZK","Bid Qty")</f>
        <v>120</v>
      </c>
      <c r="E1582">
        <f>RTD("nest.scriprtd",,"nse_cm|SFLZC25A-ZK","Bid Rate")</f>
        <v>1473.3</v>
      </c>
      <c r="F1582">
        <f>RTD("nest.scriprtd",,"nse_cm|SFLZC25A-ZK","Ask Rate")</f>
        <v>0</v>
      </c>
      <c r="G1582">
        <f>RTD("nest.scriprtd",,"nse_cm|SFLZC25A-ZK","Ask Qty")</f>
        <v>0</v>
      </c>
      <c r="H1582">
        <f>RTD("nest.scriprtd",,"nse_cm|SFLZC25A-ZK","LTP")</f>
        <v>1492</v>
      </c>
      <c r="I1582" t="str">
        <f>RTD("nest.scriprtd",,"nse_cm|SFLZC25A-ZK","LTT")</f>
        <v/>
      </c>
      <c r="J1582">
        <f>RTD("nest.scriprtd",,"nse_cm|SFLZC25A-ZK","% Change")</f>
        <v>0</v>
      </c>
      <c r="K1582">
        <f>RTD("nest.scriprtd",,"nse_cm|SFLZC25A-ZK","ATP")</f>
        <v>0</v>
      </c>
      <c r="L1582">
        <f>RTD("nest.scriprtd",,"nse_cm|SFLZC25A-ZK","Volume Traded Today")</f>
        <v>0</v>
      </c>
      <c r="M1582">
        <f>RTD("nest.scriprtd",,"nse_cm|SFLZC25A-ZK","Open")</f>
        <v>0</v>
      </c>
      <c r="N1582">
        <f>RTD("nest.scriprtd",,"nse_cm|SFLZC25A-ZK","High")</f>
        <v>1492</v>
      </c>
      <c r="O1582">
        <f>RTD("nest.scriprtd",,"nse_cm|SFLZC25A-ZK","Low ")</f>
        <v>1492</v>
      </c>
      <c r="P1582">
        <f>RTD("nest.scriprtd",,"nse_cm|SFLZC25A-ZK","Prev Close")</f>
        <v>1492</v>
      </c>
      <c r="Q1582">
        <f>RTD("nest.scriprtd",,"nse_cm|SFLZC25A-ZK","Face Value")</f>
        <v>1000</v>
      </c>
      <c r="R1582" t="str">
        <f>RTD("nest.scriprtd",,"nse_cm|SFLZC25A-ZK","Isin code")</f>
        <v>INE721A07PP6</v>
      </c>
      <c r="S1582" s="9">
        <f>Table1[[#This Row],[Ask Rate]]*Table1[[#This Row],[Ask Qty]]</f>
        <v>0</v>
      </c>
      <c r="T1582" t="str">
        <f>VLOOKUP(Table1[[#This Row],[Isin code]],Table2[#All],7,FALSE)</f>
        <v>--</v>
      </c>
      <c r="U1582" s="17" t="str">
        <f>VLOOKUP(Table1[[#This Row],[Isin code]],Table2[#All],8,FALSE)</f>
        <v>28-Jan-2025</v>
      </c>
      <c r="V1582" s="10">
        <f ca="1">Table1[[#This Row],[Maturity]]-TODAY()</f>
        <v>104</v>
      </c>
      <c r="W1582" t="str">
        <f>VLOOKUP(Table1[[#This Row],[Isin code]],Table2[#All],10,FALSE)</f>
        <v>At the End</v>
      </c>
      <c r="X1582">
        <f ca="1">_xlfn.DAYS(Table1[[#This Row],[Maturity]],TODAY())-15</f>
        <v>89</v>
      </c>
      <c r="Y158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82">
        <f>IF(Table1[[#This Row],[Ask Rate]]=0,0,Table1[[#This Row],[Face Value]]-Table1[[#This Row],[Ask Rate]])</f>
        <v>0</v>
      </c>
      <c r="AA158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82">
        <f>Table1[[#This Row],[Face Value]]*Table1[[#This Row],[Rate]]*Table1[[#This Row],[Time]]</f>
        <v>0</v>
      </c>
      <c r="AC1582">
        <f>Table1[[#This Row],[SI]]+Table1[[#This Row],[Disc/Prem]]</f>
        <v>0</v>
      </c>
      <c r="AD1582" s="3" t="e">
        <f>Table1[[#This Row],[Net Gain]]/Table1[[#This Row],[Ask Rate]]</f>
        <v>#DIV/0!</v>
      </c>
      <c r="AE1582" s="3">
        <f>IF(Table1[[#This Row],[Ask Qty]]=0,0,Table1[[#This Row],[Gross Yield]]*365/Table1[[#This Row],[Days Left]])</f>
        <v>0</v>
      </c>
      <c r="AF1582" s="9">
        <f>+Table1[[#This Row],[Net Gain]]*Table1[[#This Row],[Ask Qty]]</f>
        <v>0</v>
      </c>
      <c r="AG1582" t="str">
        <f>IF(Table1[[#This Row],[YTM]]&gt;0.12,IF(Table1[[#This Row],[Gross Profit]]&gt;10000,"Invest","Review"),"Low YTM")</f>
        <v>Low YTM</v>
      </c>
    </row>
    <row r="1583" spans="1:33" hidden="1" x14ac:dyDescent="0.3">
      <c r="A1583" t="str">
        <f>RTD("nest.scriprtd",,"bse_cm|SFLZC25A","Symbol")</f>
        <v>SFLZC25A</v>
      </c>
      <c r="B1583" t="str">
        <f>RTD("nest.scriprtd",,"bse_cm|SFLZC25A","Trading Symbol")</f>
        <v>SFLZC25A</v>
      </c>
      <c r="C1583" t="str">
        <f>RTD("nest.scriprtd",,"bse_cm|SFLZC25A","Exchange")</f>
        <v>BSE</v>
      </c>
      <c r="D1583">
        <f>RTD("nest.scriprtd",,"bse_cm|SFLZC25A","Bid Qty")</f>
        <v>120</v>
      </c>
      <c r="E1583">
        <f>RTD("nest.scriprtd",,"bse_cm|SFLZC25A","Bid Rate")</f>
        <v>1472.3</v>
      </c>
      <c r="F1583">
        <f>RTD("nest.scriprtd",,"bse_cm|SFLZC25A","Ask Rate")</f>
        <v>0</v>
      </c>
      <c r="G1583">
        <f>RTD("nest.scriprtd",,"bse_cm|SFLZC25A","Ask Qty")</f>
        <v>0</v>
      </c>
      <c r="H1583">
        <f>RTD("nest.scriprtd",,"bse_cm|SFLZC25A","LTP")</f>
        <v>0</v>
      </c>
      <c r="I1583" t="str">
        <f>RTD("nest.scriprtd",,"bse_cm|SFLZC25A","LTT")</f>
        <v>00:00:00</v>
      </c>
      <c r="J1583">
        <f>RTD("nest.scriprtd",,"bse_cm|SFLZC25A","% Change")</f>
        <v>-100</v>
      </c>
      <c r="K1583">
        <f>RTD("nest.scriprtd",,"bse_cm|SFLZC25A","ATP")</f>
        <v>0</v>
      </c>
      <c r="L1583">
        <f>RTD("nest.scriprtd",,"bse_cm|SFLZC25A","Volume Traded Today")</f>
        <v>0</v>
      </c>
      <c r="M1583">
        <f>RTD("nest.scriprtd",,"bse_cm|SFLZC25A","Open")</f>
        <v>0</v>
      </c>
      <c r="N1583">
        <f>RTD("nest.scriprtd",,"bse_cm|SFLZC25A","High")</f>
        <v>1472.3</v>
      </c>
      <c r="O1583">
        <f>RTD("nest.scriprtd",,"bse_cm|SFLZC25A","Low ")</f>
        <v>1472.3</v>
      </c>
      <c r="P1583">
        <f>RTD("nest.scriprtd",,"bse_cm|SFLZC25A","Prev Close")</f>
        <v>1472.3</v>
      </c>
      <c r="Q1583">
        <f>RTD("nest.scriprtd",,"bse_cm|SFLZC25A","Face Value")</f>
        <v>1000</v>
      </c>
      <c r="R1583" t="str">
        <f>RTD("nest.scriprtd",,"bse_cm|SFLZC25A","Isin code")</f>
        <v>INE721A07PP6</v>
      </c>
      <c r="S1583" s="9">
        <f>Table1[[#This Row],[Ask Rate]]*Table1[[#This Row],[Ask Qty]]</f>
        <v>0</v>
      </c>
      <c r="T1583" t="str">
        <f>VLOOKUP(Table1[[#This Row],[Isin code]],Table2[#All],7,FALSE)</f>
        <v>--</v>
      </c>
      <c r="U1583" s="17" t="str">
        <f>VLOOKUP(Table1[[#This Row],[Isin code]],Table2[#All],8,FALSE)</f>
        <v>28-Jan-2025</v>
      </c>
      <c r="V1583" s="10">
        <f ca="1">Table1[[#This Row],[Maturity]]-TODAY()</f>
        <v>104</v>
      </c>
      <c r="W1583" t="str">
        <f>VLOOKUP(Table1[[#This Row],[Isin code]],Table2[#All],10,FALSE)</f>
        <v>At the End</v>
      </c>
      <c r="X1583">
        <f ca="1">_xlfn.DAYS(Table1[[#This Row],[Maturity]],TODAY())-15</f>
        <v>89</v>
      </c>
      <c r="Y158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83">
        <f>IF(Table1[[#This Row],[Ask Rate]]=0,0,Table1[[#This Row],[Face Value]]-Table1[[#This Row],[Ask Rate]])</f>
        <v>0</v>
      </c>
      <c r="AA158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83">
        <f>Table1[[#This Row],[Face Value]]*Table1[[#This Row],[Rate]]*Table1[[#This Row],[Time]]</f>
        <v>0</v>
      </c>
      <c r="AC1583">
        <f>Table1[[#This Row],[SI]]+Table1[[#This Row],[Disc/Prem]]</f>
        <v>0</v>
      </c>
      <c r="AD1583" s="3" t="e">
        <f>Table1[[#This Row],[Net Gain]]/Table1[[#This Row],[Ask Rate]]</f>
        <v>#DIV/0!</v>
      </c>
      <c r="AE1583" s="3">
        <f>IF(Table1[[#This Row],[Ask Qty]]=0,0,Table1[[#This Row],[Gross Yield]]*365/Table1[[#This Row],[Days Left]])</f>
        <v>0</v>
      </c>
      <c r="AF1583" s="9">
        <f>+Table1[[#This Row],[Net Gain]]*Table1[[#This Row],[Ask Qty]]</f>
        <v>0</v>
      </c>
      <c r="AG1583" t="str">
        <f>IF(Table1[[#This Row],[YTM]]&gt;0.12,IF(Table1[[#This Row],[Gross Profit]]&gt;10000,"Invest","Review"),"Low YTM")</f>
        <v>Low YTM</v>
      </c>
    </row>
    <row r="1584" spans="1:33" x14ac:dyDescent="0.3">
      <c r="A1584" t="str">
        <f>RTD("nest.scriprtd",,"bse_cm|1049EFSL34","Symbol")</f>
        <v>1049EFSL34</v>
      </c>
      <c r="B1584" t="str">
        <f>RTD("nest.scriprtd",,"bse_cm|1049EFSL34","Trading Symbol")</f>
        <v>1049EFSL34</v>
      </c>
      <c r="C1584" t="str">
        <f>RTD("nest.scriprtd",,"bse_cm|1049EFSL34","Exchange")</f>
        <v>BSE</v>
      </c>
      <c r="D1584">
        <f>RTD("nest.scriprtd",,"bse_cm|1049EFSL34","Bid Qty")</f>
        <v>100</v>
      </c>
      <c r="E1584">
        <f>RTD("nest.scriprtd",,"bse_cm|1049EFSL34","Bid Rate")</f>
        <v>960</v>
      </c>
      <c r="F1584">
        <f>RTD("nest.scriprtd",,"bse_cm|1049EFSL34","Ask Rate")</f>
        <v>1004.99</v>
      </c>
      <c r="G1584">
        <f>RTD("nest.scriprtd",,"bse_cm|1049EFSL34","Ask Qty")</f>
        <v>25</v>
      </c>
      <c r="H1584">
        <f>RTD("nest.scriprtd",,"bse_cm|1049EFSL34","LTP")</f>
        <v>995</v>
      </c>
      <c r="I1584" t="str">
        <f>RTD("nest.scriprtd",,"bse_cm|1049EFSL34","LTT")</f>
        <v>11:27:42</v>
      </c>
      <c r="J1584">
        <f>RTD("nest.scriprtd",,"bse_cm|1049EFSL34","% Change")</f>
        <v>-1</v>
      </c>
      <c r="K1584">
        <f>RTD("nest.scriprtd",,"bse_cm|1049EFSL34","ATP")</f>
        <v>995</v>
      </c>
      <c r="L1584">
        <f>RTD("nest.scriprtd",,"bse_cm|1049EFSL34","Volume Traded Today")</f>
        <v>100</v>
      </c>
      <c r="M1584">
        <f>RTD("nest.scriprtd",,"bse_cm|1049EFSL34","Open")</f>
        <v>995</v>
      </c>
      <c r="N1584">
        <f>RTD("nest.scriprtd",,"bse_cm|1049EFSL34","High")</f>
        <v>995</v>
      </c>
      <c r="O1584">
        <f>RTD("nest.scriprtd",,"bse_cm|1049EFSL34","Low ")</f>
        <v>995</v>
      </c>
      <c r="P1584">
        <f>RTD("nest.scriprtd",,"bse_cm|1049EFSL34","Prev Close")</f>
        <v>1005</v>
      </c>
      <c r="Q1584">
        <f>RTD("nest.scriprtd",,"bse_cm|1049EFSL34","Face Value")</f>
        <v>1000</v>
      </c>
      <c r="R1584" t="str">
        <f>RTD("nest.scriprtd",,"bse_cm|1049EFSL34","Isin code")</f>
        <v>INE532F07FZ6</v>
      </c>
      <c r="S1584" s="9">
        <f>Table1[[#This Row],[Ask Rate]]*Table1[[#This Row],[Ask Qty]]</f>
        <v>25124.75</v>
      </c>
      <c r="T1584">
        <f>VLOOKUP(Table1[[#This Row],[Isin code]],Table2[#All],7,FALSE)</f>
        <v>10.489999999999998</v>
      </c>
      <c r="U1584" s="17" t="str">
        <f>VLOOKUP(Table1[[#This Row],[Isin code]],Table2[#All],8,FALSE)</f>
        <v>26-Jul-2034</v>
      </c>
      <c r="V1584" s="10">
        <f ca="1">Table1[[#This Row],[Maturity]]-TODAY()</f>
        <v>3570</v>
      </c>
      <c r="W1584" t="str">
        <f>VLOOKUP(Table1[[#This Row],[Isin code]],Table2[#All],10,FALSE)</f>
        <v>--</v>
      </c>
      <c r="X1584">
        <f ca="1">_xlfn.DAYS(Table1[[#This Row],[Maturity]],TODAY())-15</f>
        <v>3555</v>
      </c>
      <c r="Y158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84">
        <f>IF(Table1[[#This Row],[Ask Rate]]=0,0,Table1[[#This Row],[Face Value]]-Table1[[#This Row],[Ask Rate]])</f>
        <v>-4.9900000000000091</v>
      </c>
      <c r="AA158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84">
        <f>Table1[[#This Row],[Face Value]]*Table1[[#This Row],[Rate]]*Table1[[#This Row],[Time]]</f>
        <v>0</v>
      </c>
      <c r="AC1584">
        <f>Table1[[#This Row],[SI]]+Table1[[#This Row],[Disc/Prem]]</f>
        <v>-4.9900000000000091</v>
      </c>
      <c r="AD1584" s="3">
        <f>Table1[[#This Row],[Net Gain]]/Table1[[#This Row],[Ask Rate]]</f>
        <v>-4.9652235345625422E-3</v>
      </c>
      <c r="AE1584" s="3">
        <f ca="1">IF(Table1[[#This Row],[Ask Qty]]=0,0,Table1[[#This Row],[Gross Yield]]*365/Table1[[#This Row],[Days Left]])</f>
        <v>-5.0764890479420947E-4</v>
      </c>
      <c r="AF1584" s="9">
        <f>+Table1[[#This Row],[Net Gain]]*Table1[[#This Row],[Ask Qty]]</f>
        <v>-124.75000000000023</v>
      </c>
      <c r="AG1584" t="str">
        <f ca="1">IF(Table1[[#This Row],[YTM]]&gt;0.12,IF(Table1[[#This Row],[Gross Profit]]&gt;10000,"Invest","Review"),"Low YTM")</f>
        <v>Low YTM</v>
      </c>
    </row>
    <row r="1585" spans="1:33" x14ac:dyDescent="0.3">
      <c r="A1585" t="str">
        <f>RTD("nest.scriprtd",,"nse_cm|79NHIT47-N3","Symbol")</f>
        <v>79NHIT47</v>
      </c>
      <c r="B1585" t="str">
        <f>RTD("nest.scriprtd",,"nse_cm|79NHIT47-N3","Trading Symbol")</f>
        <v>79NHIT47-N3</v>
      </c>
      <c r="C1585" t="str">
        <f>RTD("nest.scriprtd",,"nse_cm|79NHIT47-N3","Exchange")</f>
        <v>NSE</v>
      </c>
      <c r="D1585">
        <f>RTD("nest.scriprtd",,"nse_cm|79NHIT47-N3","Bid Qty")</f>
        <v>5</v>
      </c>
      <c r="E1585">
        <f>RTD("nest.scriprtd",,"nse_cm|79NHIT47-N3","Bid Rate")</f>
        <v>403.23</v>
      </c>
      <c r="F1585">
        <f>RTD("nest.scriprtd",,"nse_cm|79NHIT47-N3","Ask Rate")</f>
        <v>406.45</v>
      </c>
      <c r="G1585">
        <f>RTD("nest.scriprtd",,"nse_cm|79NHIT47-N3","Ask Qty")</f>
        <v>50</v>
      </c>
      <c r="H1585">
        <f>RTD("nest.scriprtd",,"nse_cm|79NHIT47-N3","LTP")</f>
        <v>406.9</v>
      </c>
      <c r="I1585" t="str">
        <f>RTD("nest.scriprtd",,"nse_cm|79NHIT47-N3","LTT")</f>
        <v>09:35:57</v>
      </c>
      <c r="J1585">
        <f>RTD("nest.scriprtd",,"nse_cm|79NHIT47-N3","% Change")</f>
        <v>0.97</v>
      </c>
      <c r="K1585">
        <f>RTD("nest.scriprtd",,"nse_cm|79NHIT47-N3","ATP")</f>
        <v>404.33</v>
      </c>
      <c r="L1585">
        <f>RTD("nest.scriprtd",,"nse_cm|79NHIT47-N3","Volume Traded Today")</f>
        <v>27</v>
      </c>
      <c r="M1585">
        <f>RTD("nest.scriprtd",,"nse_cm|79NHIT47-N3","Open")</f>
        <v>400.38</v>
      </c>
      <c r="N1585">
        <f>RTD("nest.scriprtd",,"nse_cm|79NHIT47-N3","High")</f>
        <v>406.9</v>
      </c>
      <c r="O1585">
        <f>RTD("nest.scriprtd",,"nse_cm|79NHIT47-N3","Low ")</f>
        <v>400.38</v>
      </c>
      <c r="P1585">
        <f>RTD("nest.scriprtd",,"nse_cm|79NHIT47-N3","Prev Close")</f>
        <v>403</v>
      </c>
      <c r="Q1585">
        <f>RTD("nest.scriprtd",,"nse_cm|79NHIT47-N3","Face Value")</f>
        <v>400</v>
      </c>
      <c r="R1585" t="str">
        <f>RTD("nest.scriprtd",,"nse_cm|79NHIT47-N3","Isin code")</f>
        <v>INE0H7R07033</v>
      </c>
      <c r="S1585" s="9">
        <f>Table1[[#This Row],[Ask Rate]]*Table1[[#This Row],[Ask Qty]]</f>
        <v>20322.5</v>
      </c>
      <c r="T1585">
        <f>VLOOKUP(Table1[[#This Row],[Isin code]],Table2[#All],7,FALSE)</f>
        <v>7.9</v>
      </c>
      <c r="U1585" s="17" t="str">
        <f>VLOOKUP(Table1[[#This Row],[Isin code]],Table2[#All],8,FALSE)</f>
        <v>14-Nov-2047</v>
      </c>
      <c r="V1585" s="10">
        <f ca="1">Table1[[#This Row],[Maturity]]-TODAY()</f>
        <v>8429</v>
      </c>
      <c r="W1585" t="str">
        <f>VLOOKUP(Table1[[#This Row],[Isin code]],Table2[#All],10,FALSE)</f>
        <v>Half Yearly</v>
      </c>
      <c r="X1585">
        <f ca="1">_xlfn.DAYS(Table1[[#This Row],[Maturity]],TODAY())-15</f>
        <v>8414</v>
      </c>
      <c r="Y158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85">
        <f>IF(Table1[[#This Row],[Ask Rate]]=0,0,Table1[[#This Row],[Face Value]]-Table1[[#This Row],[Ask Rate]])</f>
        <v>-6.4499999999999886</v>
      </c>
      <c r="AA158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85">
        <f>Table1[[#This Row],[Face Value]]*Table1[[#This Row],[Rate]]*Table1[[#This Row],[Time]]</f>
        <v>0</v>
      </c>
      <c r="AC1585">
        <f>Table1[[#This Row],[SI]]+Table1[[#This Row],[Disc/Prem]]</f>
        <v>-6.4499999999999886</v>
      </c>
      <c r="AD1585" s="3">
        <f>Table1[[#This Row],[Net Gain]]/Table1[[#This Row],[Ask Rate]]</f>
        <v>-1.586911059170867E-2</v>
      </c>
      <c r="AE1585" s="3">
        <f ca="1">IF(Table1[[#This Row],[Ask Qty]]=0,0,Table1[[#This Row],[Gross Yield]]*365/Table1[[#This Row],[Days Left]])</f>
        <v>-6.8717823774749854E-4</v>
      </c>
      <c r="AF1585" s="9">
        <f>+Table1[[#This Row],[Net Gain]]*Table1[[#This Row],[Ask Qty]]</f>
        <v>-322.49999999999943</v>
      </c>
      <c r="AG1585" t="str">
        <f ca="1">IF(Table1[[#This Row],[YTM]]&gt;0.12,IF(Table1[[#This Row],[Gross Profit]]&gt;10000,"Invest","Review"),"Low YTM")</f>
        <v>Low YTM</v>
      </c>
    </row>
    <row r="1586" spans="1:33" x14ac:dyDescent="0.3">
      <c r="A1586" t="str">
        <f>RTD("nest.scriprtd",,"bse_cm|1004EFSL29","Symbol")</f>
        <v>1004EFSL29</v>
      </c>
      <c r="B1586" t="str">
        <f>RTD("nest.scriprtd",,"bse_cm|1004EFSL29","Trading Symbol")</f>
        <v>1004EFSL29</v>
      </c>
      <c r="C1586" t="str">
        <f>RTD("nest.scriprtd",,"bse_cm|1004EFSL29","Exchange")</f>
        <v>BSE</v>
      </c>
      <c r="D1586">
        <f>RTD("nest.scriprtd",,"bse_cm|1004EFSL29","Bid Qty")</f>
        <v>50</v>
      </c>
      <c r="E1586">
        <f>RTD("nest.scriprtd",,"bse_cm|1004EFSL29","Bid Rate")</f>
        <v>902</v>
      </c>
      <c r="F1586">
        <f>RTD("nest.scriprtd",,"bse_cm|1004EFSL29","Ask Rate")</f>
        <v>951</v>
      </c>
      <c r="G1586">
        <f>RTD("nest.scriprtd",,"bse_cm|1004EFSL29","Ask Qty")</f>
        <v>1</v>
      </c>
      <c r="H1586">
        <f>RTD("nest.scriprtd",,"bse_cm|1004EFSL29","LTP")</f>
        <v>951</v>
      </c>
      <c r="I1586" t="str">
        <f>RTD("nest.scriprtd",,"bse_cm|1004EFSL29","LTT")</f>
        <v>15:13:42</v>
      </c>
      <c r="J1586">
        <f>RTD("nest.scriprtd",,"bse_cm|1004EFSL29","% Change")</f>
        <v>-4.8</v>
      </c>
      <c r="K1586">
        <f>RTD("nest.scriprtd",,"bse_cm|1004EFSL29","ATP")</f>
        <v>951</v>
      </c>
      <c r="L1586">
        <f>RTD("nest.scriprtd",,"bse_cm|1004EFSL29","Volume Traded Today")</f>
        <v>15</v>
      </c>
      <c r="M1586">
        <f>RTD("nest.scriprtd",,"bse_cm|1004EFSL29","Open")</f>
        <v>951</v>
      </c>
      <c r="N1586">
        <f>RTD("nest.scriprtd",,"bse_cm|1004EFSL29","High")</f>
        <v>951</v>
      </c>
      <c r="O1586">
        <f>RTD("nest.scriprtd",,"bse_cm|1004EFSL29","Low ")</f>
        <v>951</v>
      </c>
      <c r="P1586">
        <f>RTD("nest.scriprtd",,"bse_cm|1004EFSL29","Prev Close")</f>
        <v>999</v>
      </c>
      <c r="Q1586">
        <f>RTD("nest.scriprtd",,"bse_cm|1004EFSL29","Face Value")</f>
        <v>1000</v>
      </c>
      <c r="R1586" t="str">
        <f>RTD("nest.scriprtd",,"bse_cm|1004EFSL29","Isin code")</f>
        <v>INE532F07FU7</v>
      </c>
      <c r="S1586" s="9">
        <f>Table1[[#This Row],[Ask Rate]]*Table1[[#This Row],[Ask Qty]]</f>
        <v>951</v>
      </c>
      <c r="T1586">
        <f>VLOOKUP(Table1[[#This Row],[Isin code]],Table2[#All],7,FALSE)</f>
        <v>10.040000000000001</v>
      </c>
      <c r="U1586" s="17" t="str">
        <f>VLOOKUP(Table1[[#This Row],[Isin code]],Table2[#All],8,FALSE)</f>
        <v>26-Jul-2029</v>
      </c>
      <c r="V1586" s="10">
        <f ca="1">Table1[[#This Row],[Maturity]]-TODAY()</f>
        <v>1744</v>
      </c>
      <c r="W1586" t="str">
        <f>VLOOKUP(Table1[[#This Row],[Isin code]],Table2[#All],10,FALSE)</f>
        <v>--</v>
      </c>
      <c r="X1586">
        <f ca="1">_xlfn.DAYS(Table1[[#This Row],[Maturity]],TODAY())-15</f>
        <v>1729</v>
      </c>
      <c r="Y158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86">
        <f>IF(Table1[[#This Row],[Ask Rate]]=0,0,Table1[[#This Row],[Face Value]]-Table1[[#This Row],[Ask Rate]])</f>
        <v>49</v>
      </c>
      <c r="AA158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86">
        <f>Table1[[#This Row],[Face Value]]*Table1[[#This Row],[Rate]]*Table1[[#This Row],[Time]]</f>
        <v>0</v>
      </c>
      <c r="AC1586">
        <f>Table1[[#This Row],[SI]]+Table1[[#This Row],[Disc/Prem]]</f>
        <v>49</v>
      </c>
      <c r="AD1586" s="3">
        <f>Table1[[#This Row],[Net Gain]]/Table1[[#This Row],[Ask Rate]]</f>
        <v>5.152471083070452E-2</v>
      </c>
      <c r="AE1586" s="3">
        <f ca="1">IF(Table1[[#This Row],[Ask Qty]]=0,0,Table1[[#This Row],[Gross Yield]]*365/Table1[[#This Row],[Days Left]])</f>
        <v>1.0783554732343549E-2</v>
      </c>
      <c r="AF1586" s="9">
        <f>+Table1[[#This Row],[Net Gain]]*Table1[[#This Row],[Ask Qty]]</f>
        <v>49</v>
      </c>
      <c r="AG1586" t="str">
        <f ca="1">IF(Table1[[#This Row],[YTM]]&gt;0.12,IF(Table1[[#This Row],[Gross Profit]]&gt;10000,"Invest","Review"),"Low YTM")</f>
        <v>Low YTM</v>
      </c>
    </row>
    <row r="1587" spans="1:33" x14ac:dyDescent="0.3">
      <c r="A1587" t="str">
        <f>RTD("nest.scriprtd",,"nse_cm|79NHIT40-N2","Symbol")</f>
        <v>79NHIT40</v>
      </c>
      <c r="B1587" t="str">
        <f>RTD("nest.scriprtd",,"nse_cm|79NHIT40-N2","Trading Symbol")</f>
        <v>79NHIT40-N2</v>
      </c>
      <c r="C1587" t="str">
        <f>RTD("nest.scriprtd",,"nse_cm|79NHIT40-N2","Exchange")</f>
        <v>NSE</v>
      </c>
      <c r="D1587">
        <f>RTD("nest.scriprtd",,"nse_cm|79NHIT40-N2","Bid Qty")</f>
        <v>30</v>
      </c>
      <c r="E1587">
        <f>RTD("nest.scriprtd",,"nse_cm|79NHIT40-N2","Bid Rate")</f>
        <v>301.2</v>
      </c>
      <c r="F1587">
        <f>RTD("nest.scriprtd",,"nse_cm|79NHIT40-N2","Ask Rate")</f>
        <v>306.56</v>
      </c>
      <c r="G1587">
        <f>RTD("nest.scriprtd",,"nse_cm|79NHIT40-N2","Ask Qty")</f>
        <v>20</v>
      </c>
      <c r="H1587">
        <f>RTD("nest.scriprtd",,"nse_cm|79NHIT40-N2","LTP")</f>
        <v>307.8</v>
      </c>
      <c r="I1587" t="str">
        <f>RTD("nest.scriprtd",,"nse_cm|79NHIT40-N2","LTT")</f>
        <v>09:43:33</v>
      </c>
      <c r="J1587">
        <f>RTD("nest.scriprtd",,"nse_cm|79NHIT40-N2","% Change")</f>
        <v>1.75</v>
      </c>
      <c r="K1587">
        <f>RTD("nest.scriprtd",,"nse_cm|79NHIT40-N2","ATP")</f>
        <v>306.33</v>
      </c>
      <c r="L1587">
        <f>RTD("nest.scriprtd",,"nse_cm|79NHIT40-N2","Volume Traded Today")</f>
        <v>83</v>
      </c>
      <c r="M1587">
        <f>RTD("nest.scriprtd",,"nse_cm|79NHIT40-N2","Open")</f>
        <v>300.24</v>
      </c>
      <c r="N1587">
        <f>RTD("nest.scriprtd",,"nse_cm|79NHIT40-N2","High")</f>
        <v>307.8</v>
      </c>
      <c r="O1587">
        <f>RTD("nest.scriprtd",,"nse_cm|79NHIT40-N2","Low ")</f>
        <v>300.24</v>
      </c>
      <c r="P1587">
        <f>RTD("nest.scriprtd",,"nse_cm|79NHIT40-N2","Prev Close")</f>
        <v>302.5</v>
      </c>
      <c r="Q1587">
        <f>RTD("nest.scriprtd",,"nse_cm|79NHIT40-N2","Face Value")</f>
        <v>300</v>
      </c>
      <c r="R1587" t="str">
        <f>RTD("nest.scriprtd",,"nse_cm|79NHIT40-N2","Isin code")</f>
        <v>INE0H7R07025</v>
      </c>
      <c r="S1587" s="9">
        <f>Table1[[#This Row],[Ask Rate]]*Table1[[#This Row],[Ask Qty]]</f>
        <v>6131.2</v>
      </c>
      <c r="T1587">
        <f>VLOOKUP(Table1[[#This Row],[Isin code]],Table2[#All],7,FALSE)</f>
        <v>7.9</v>
      </c>
      <c r="U1587" s="17" t="str">
        <f>VLOOKUP(Table1[[#This Row],[Isin code]],Table2[#All],8,FALSE)</f>
        <v>14-Nov-2040</v>
      </c>
      <c r="V1587" s="10">
        <f ca="1">Table1[[#This Row],[Maturity]]-TODAY()</f>
        <v>5873</v>
      </c>
      <c r="W1587" t="str">
        <f>VLOOKUP(Table1[[#This Row],[Isin code]],Table2[#All],10,FALSE)</f>
        <v>Half Yearly</v>
      </c>
      <c r="X1587">
        <f ca="1">_xlfn.DAYS(Table1[[#This Row],[Maturity]],TODAY())-15</f>
        <v>5858</v>
      </c>
      <c r="Y158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87">
        <f>IF(Table1[[#This Row],[Ask Rate]]=0,0,Table1[[#This Row],[Face Value]]-Table1[[#This Row],[Ask Rate]])</f>
        <v>-6.5600000000000023</v>
      </c>
      <c r="AA158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87">
        <f>Table1[[#This Row],[Face Value]]*Table1[[#This Row],[Rate]]*Table1[[#This Row],[Time]]</f>
        <v>0</v>
      </c>
      <c r="AC1587">
        <f>Table1[[#This Row],[SI]]+Table1[[#This Row],[Disc/Prem]]</f>
        <v>-6.5600000000000023</v>
      </c>
      <c r="AD1587" s="3">
        <f>Table1[[#This Row],[Net Gain]]/Table1[[#This Row],[Ask Rate]]</f>
        <v>-2.1398747390396666E-2</v>
      </c>
      <c r="AE1587" s="3">
        <f ca="1">IF(Table1[[#This Row],[Ask Qty]]=0,0,Table1[[#This Row],[Gross Yield]]*365/Table1[[#This Row],[Days Left]])</f>
        <v>-1.3299068274297264E-3</v>
      </c>
      <c r="AF1587" s="9">
        <f>+Table1[[#This Row],[Net Gain]]*Table1[[#This Row],[Ask Qty]]</f>
        <v>-131.20000000000005</v>
      </c>
      <c r="AG1587" t="str">
        <f ca="1">IF(Table1[[#This Row],[YTM]]&gt;0.12,IF(Table1[[#This Row],[Gross Profit]]&gt;10000,"Invest","Review"),"Low YTM")</f>
        <v>Low YTM</v>
      </c>
    </row>
    <row r="1588" spans="1:33" x14ac:dyDescent="0.3">
      <c r="A1588" t="str">
        <f>RTD("nest.scriprtd",,"nse_cm|81ABFL33-N5","Symbol")</f>
        <v>81ABFL33</v>
      </c>
      <c r="B1588" t="str">
        <f>RTD("nest.scriprtd",,"nse_cm|81ABFL33-N5","Trading Symbol")</f>
        <v>81ABFL33-N5</v>
      </c>
      <c r="C1588" t="str">
        <f>RTD("nest.scriprtd",,"nse_cm|81ABFL33-N5","Exchange")</f>
        <v>NSE</v>
      </c>
      <c r="D1588">
        <f>RTD("nest.scriprtd",,"nse_cm|81ABFL33-N5","Bid Qty")</f>
        <v>90</v>
      </c>
      <c r="E1588">
        <f>RTD("nest.scriprtd",,"nse_cm|81ABFL33-N5","Bid Rate")</f>
        <v>1001</v>
      </c>
      <c r="F1588">
        <f>RTD("nest.scriprtd",,"nse_cm|81ABFL33-N5","Ask Rate")</f>
        <v>1015</v>
      </c>
      <c r="G1588">
        <f>RTD("nest.scriprtd",,"nse_cm|81ABFL33-N5","Ask Qty")</f>
        <v>10</v>
      </c>
      <c r="H1588">
        <f>RTD("nest.scriprtd",,"nse_cm|81ABFL33-N5","LTP")</f>
        <v>1001</v>
      </c>
      <c r="I1588" t="str">
        <f>RTD("nest.scriprtd",,"nse_cm|81ABFL33-N5","LTT")</f>
        <v>15:14:43</v>
      </c>
      <c r="J1588">
        <f>RTD("nest.scriprtd",,"nse_cm|81ABFL33-N5","% Change")</f>
        <v>1.1100000000000001</v>
      </c>
      <c r="K1588">
        <f>RTD("nest.scriprtd",,"nse_cm|81ABFL33-N5","ATP")</f>
        <v>996</v>
      </c>
      <c r="L1588">
        <f>RTD("nest.scriprtd",,"nse_cm|81ABFL33-N5","Volume Traded Today")</f>
        <v>20</v>
      </c>
      <c r="M1588">
        <f>RTD("nest.scriprtd",,"nse_cm|81ABFL33-N5","Open")</f>
        <v>991</v>
      </c>
      <c r="N1588">
        <f>RTD("nest.scriprtd",,"nse_cm|81ABFL33-N5","High")</f>
        <v>1001</v>
      </c>
      <c r="O1588">
        <f>RTD("nest.scriprtd",,"nse_cm|81ABFL33-N5","Low ")</f>
        <v>991</v>
      </c>
      <c r="P1588">
        <f>RTD("nest.scriprtd",,"nse_cm|81ABFL33-N5","Prev Close")</f>
        <v>990</v>
      </c>
      <c r="Q1588">
        <f>RTD("nest.scriprtd",,"nse_cm|81ABFL33-N5","Face Value")</f>
        <v>1000</v>
      </c>
      <c r="R1588" t="str">
        <f>RTD("nest.scriprtd",,"nse_cm|81ABFL33-N5","Isin code")</f>
        <v>INE860H07IS6</v>
      </c>
      <c r="S1588" s="9">
        <f>Table1[[#This Row],[Ask Rate]]*Table1[[#This Row],[Ask Qty]]</f>
        <v>10150</v>
      </c>
      <c r="T1588">
        <f>VLOOKUP(Table1[[#This Row],[Isin code]],Table2[#All],7,FALSE)</f>
        <v>8.1</v>
      </c>
      <c r="U1588" s="17" t="str">
        <f>VLOOKUP(Table1[[#This Row],[Isin code]],Table2[#All],8,FALSE)</f>
        <v>09-Oct-2033</v>
      </c>
      <c r="V1588" s="10">
        <f ca="1">Table1[[#This Row],[Maturity]]-TODAY()</f>
        <v>3280</v>
      </c>
      <c r="W1588" t="str">
        <f>VLOOKUP(Table1[[#This Row],[Isin code]],Table2[#All],10,FALSE)</f>
        <v>At the End</v>
      </c>
      <c r="X1588">
        <f ca="1">_xlfn.DAYS(Table1[[#This Row],[Maturity]],TODAY())-15</f>
        <v>3265</v>
      </c>
      <c r="Y158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88">
        <f>IF(Table1[[#This Row],[Ask Rate]]=0,0,Table1[[#This Row],[Face Value]]-Table1[[#This Row],[Ask Rate]])</f>
        <v>-15</v>
      </c>
      <c r="AA158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88">
        <f>Table1[[#This Row],[Face Value]]*Table1[[#This Row],[Rate]]*Table1[[#This Row],[Time]]</f>
        <v>0</v>
      </c>
      <c r="AC1588">
        <f>Table1[[#This Row],[SI]]+Table1[[#This Row],[Disc/Prem]]</f>
        <v>-15</v>
      </c>
      <c r="AD1588" s="3">
        <f>Table1[[#This Row],[Net Gain]]/Table1[[#This Row],[Ask Rate]]</f>
        <v>-1.4778325123152709E-2</v>
      </c>
      <c r="AE1588" s="3">
        <f ca="1">IF(Table1[[#This Row],[Ask Qty]]=0,0,Table1[[#This Row],[Gross Yield]]*365/Table1[[#This Row],[Days Left]])</f>
        <v>-1.6445392286435177E-3</v>
      </c>
      <c r="AF1588" s="9">
        <f>+Table1[[#This Row],[Net Gain]]*Table1[[#This Row],[Ask Qty]]</f>
        <v>-150</v>
      </c>
      <c r="AG1588" t="str">
        <f ca="1">IF(Table1[[#This Row],[YTM]]&gt;0.12,IF(Table1[[#This Row],[Gross Profit]]&gt;10000,"Invest","Review"),"Low YTM")</f>
        <v>Low YTM</v>
      </c>
    </row>
    <row r="1589" spans="1:33" x14ac:dyDescent="0.3">
      <c r="A1589" t="str">
        <f>RTD("nest.scriprtd",,"nse_cm|79NHIT35-N1","Symbol")</f>
        <v>79NHIT35</v>
      </c>
      <c r="B1589" t="str">
        <f>RTD("nest.scriprtd",,"nse_cm|79NHIT35-N1","Trading Symbol")</f>
        <v>79NHIT35-N1</v>
      </c>
      <c r="C1589" t="str">
        <f>RTD("nest.scriprtd",,"nse_cm|79NHIT35-N1","Exchange")</f>
        <v>NSE</v>
      </c>
      <c r="D1589">
        <f>RTD("nest.scriprtd",,"nse_cm|79NHIT35-N1","Bid Qty")</f>
        <v>190</v>
      </c>
      <c r="E1589">
        <f>RTD("nest.scriprtd",,"nse_cm|79NHIT35-N1","Bid Rate")</f>
        <v>303.3</v>
      </c>
      <c r="F1589">
        <f>RTD("nest.scriprtd",,"nse_cm|79NHIT35-N1","Ask Rate")</f>
        <v>305</v>
      </c>
      <c r="G1589">
        <f>RTD("nest.scriprtd",,"nse_cm|79NHIT35-N1","Ask Qty")</f>
        <v>380</v>
      </c>
      <c r="H1589">
        <f>RTD("nest.scriprtd",,"nse_cm|79NHIT35-N1","LTP")</f>
        <v>305</v>
      </c>
      <c r="I1589" t="str">
        <f>RTD("nest.scriprtd",,"nse_cm|79NHIT35-N1","LTT")</f>
        <v>15:06:23</v>
      </c>
      <c r="J1589">
        <f>RTD("nest.scriprtd",,"nse_cm|79NHIT35-N1","% Change")</f>
        <v>0.33</v>
      </c>
      <c r="K1589">
        <f>RTD("nest.scriprtd",,"nse_cm|79NHIT35-N1","ATP")</f>
        <v>303.92</v>
      </c>
      <c r="L1589">
        <f>RTD("nest.scriprtd",,"nse_cm|79NHIT35-N1","Volume Traded Today")</f>
        <v>29</v>
      </c>
      <c r="M1589">
        <f>RTD("nest.scriprtd",,"nse_cm|79NHIT35-N1","Open")</f>
        <v>301.3</v>
      </c>
      <c r="N1589">
        <f>RTD("nest.scriprtd",,"nse_cm|79NHIT35-N1","High")</f>
        <v>307</v>
      </c>
      <c r="O1589">
        <f>RTD("nest.scriprtd",,"nse_cm|79NHIT35-N1","Low ")</f>
        <v>301.3</v>
      </c>
      <c r="P1589">
        <f>RTD("nest.scriprtd",,"nse_cm|79NHIT35-N1","Prev Close")</f>
        <v>304</v>
      </c>
      <c r="Q1589">
        <f>RTD("nest.scriprtd",,"nse_cm|79NHIT35-N1","Face Value")</f>
        <v>300</v>
      </c>
      <c r="R1589" t="str">
        <f>RTD("nest.scriprtd",,"nse_cm|79NHIT35-N1","Isin code")</f>
        <v>INE0H7R07017</v>
      </c>
      <c r="S1589" s="9">
        <f>Table1[[#This Row],[Ask Rate]]*Table1[[#This Row],[Ask Qty]]</f>
        <v>115900</v>
      </c>
      <c r="T1589">
        <f>VLOOKUP(Table1[[#This Row],[Isin code]],Table2[#All],7,FALSE)</f>
        <v>7.9</v>
      </c>
      <c r="U1589" s="17" t="str">
        <f>VLOOKUP(Table1[[#This Row],[Isin code]],Table2[#All],8,FALSE)</f>
        <v>24-Oct-2035</v>
      </c>
      <c r="V1589" s="10">
        <f ca="1">Table1[[#This Row],[Maturity]]-TODAY()</f>
        <v>4025</v>
      </c>
      <c r="W1589" t="str">
        <f>VLOOKUP(Table1[[#This Row],[Isin code]],Table2[#All],10,FALSE)</f>
        <v>Half Yearly</v>
      </c>
      <c r="X1589">
        <f ca="1">_xlfn.DAYS(Table1[[#This Row],[Maturity]],TODAY())-15</f>
        <v>4010</v>
      </c>
      <c r="Y158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89">
        <f>IF(Table1[[#This Row],[Ask Rate]]=0,0,Table1[[#This Row],[Face Value]]-Table1[[#This Row],[Ask Rate]])</f>
        <v>-5</v>
      </c>
      <c r="AA158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89">
        <f>Table1[[#This Row],[Face Value]]*Table1[[#This Row],[Rate]]*Table1[[#This Row],[Time]]</f>
        <v>0</v>
      </c>
      <c r="AC1589">
        <f>Table1[[#This Row],[SI]]+Table1[[#This Row],[Disc/Prem]]</f>
        <v>-5</v>
      </c>
      <c r="AD1589" s="3">
        <f>Table1[[#This Row],[Net Gain]]/Table1[[#This Row],[Ask Rate]]</f>
        <v>-1.6393442622950821E-2</v>
      </c>
      <c r="AE1589" s="3">
        <f ca="1">IF(Table1[[#This Row],[Ask Qty]]=0,0,Table1[[#This Row],[Gross Yield]]*365/Table1[[#This Row],[Days Left]])</f>
        <v>-1.4866103248141738E-3</v>
      </c>
      <c r="AF1589" s="9">
        <f>+Table1[[#This Row],[Net Gain]]*Table1[[#This Row],[Ask Qty]]</f>
        <v>-1900</v>
      </c>
      <c r="AG1589" t="str">
        <f ca="1">IF(Table1[[#This Row],[YTM]]&gt;0.12,IF(Table1[[#This Row],[Gross Profit]]&gt;10000,"Invest","Review"),"Low YTM")</f>
        <v>Low YTM</v>
      </c>
    </row>
    <row r="1590" spans="1:33" x14ac:dyDescent="0.3">
      <c r="A1590" t="str">
        <f>RTD("nest.scriprtd",,"bse_cm|CCI110324A","Symbol")</f>
        <v>CCI110324A</v>
      </c>
      <c r="B1590" t="str">
        <f>RTD("nest.scriprtd",,"bse_cm|CCI110324A","Trading Symbol")</f>
        <v>CCI110324A</v>
      </c>
      <c r="C1590" t="str">
        <f>RTD("nest.scriprtd",,"bse_cm|CCI110324A","Exchange")</f>
        <v>BSE</v>
      </c>
      <c r="D1590">
        <f>RTD("nest.scriprtd",,"bse_cm|CCI110324A","Bid Qty")</f>
        <v>27</v>
      </c>
      <c r="E1590">
        <f>RTD("nest.scriprtd",,"bse_cm|CCI110324A","Bid Rate")</f>
        <v>832.8</v>
      </c>
      <c r="F1590">
        <f>RTD("nest.scriprtd",,"bse_cm|CCI110324A","Ask Rate")</f>
        <v>1009.8</v>
      </c>
      <c r="G1590">
        <f>RTD("nest.scriprtd",,"bse_cm|CCI110324A","Ask Qty")</f>
        <v>26</v>
      </c>
      <c r="H1590">
        <f>RTD("nest.scriprtd",,"bse_cm|CCI110324A","LTP")</f>
        <v>0</v>
      </c>
      <c r="I1590" t="str">
        <f>RTD("nest.scriprtd",,"bse_cm|CCI110324A","LTT")</f>
        <v>00:00:00</v>
      </c>
      <c r="J1590">
        <f>RTD("nest.scriprtd",,"bse_cm|CCI110324A","% Change")</f>
        <v>-100</v>
      </c>
      <c r="K1590">
        <f>RTD("nest.scriprtd",,"bse_cm|CCI110324A","ATP")</f>
        <v>0</v>
      </c>
      <c r="L1590">
        <f>RTD("nest.scriprtd",,"bse_cm|CCI110324A","Volume Traded Today")</f>
        <v>0</v>
      </c>
      <c r="M1590">
        <f>RTD("nest.scriprtd",,"bse_cm|CCI110324A","Open")</f>
        <v>0</v>
      </c>
      <c r="N1590">
        <f>RTD("nest.scriprtd",,"bse_cm|CCI110324A","High")</f>
        <v>842.8</v>
      </c>
      <c r="O1590">
        <f>RTD("nest.scriprtd",,"bse_cm|CCI110324A","Low ")</f>
        <v>842.8</v>
      </c>
      <c r="P1590">
        <f>RTD("nest.scriprtd",,"bse_cm|CCI110324A","Prev Close")</f>
        <v>842.8</v>
      </c>
      <c r="Q1590">
        <f>RTD("nest.scriprtd",,"bse_cm|CCI110324A","Face Value")</f>
        <v>1000</v>
      </c>
      <c r="R1590" t="str">
        <f>RTD("nest.scriprtd",,"bse_cm|CCI110324A","Isin code")</f>
        <v>INE051307AQ6</v>
      </c>
      <c r="S1590" s="9">
        <f>Table1[[#This Row],[Ask Rate]]*Table1[[#This Row],[Ask Qty]]</f>
        <v>26254.799999999999</v>
      </c>
      <c r="T1590" t="str">
        <f>VLOOKUP(Table1[[#This Row],[Isin code]],Table2[#All],7,FALSE)</f>
        <v>--</v>
      </c>
      <c r="U1590" s="17" t="str">
        <f>VLOOKUP(Table1[[#This Row],[Isin code]],Table2[#All],8,FALSE)</f>
        <v>11-Mar-2030</v>
      </c>
      <c r="V1590" s="10">
        <f ca="1">Table1[[#This Row],[Maturity]]-TODAY()</f>
        <v>1972</v>
      </c>
      <c r="W1590" t="str">
        <f>VLOOKUP(Table1[[#This Row],[Isin code]],Table2[#All],10,FALSE)</f>
        <v>At the End</v>
      </c>
      <c r="X1590">
        <f ca="1">_xlfn.DAYS(Table1[[#This Row],[Maturity]],TODAY())-15</f>
        <v>1957</v>
      </c>
      <c r="Y159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90">
        <f>IF(Table1[[#This Row],[Ask Rate]]=0,0,Table1[[#This Row],[Face Value]]-Table1[[#This Row],[Ask Rate]])</f>
        <v>-9.7999999999999545</v>
      </c>
      <c r="AA159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90">
        <f>Table1[[#This Row],[Face Value]]*Table1[[#This Row],[Rate]]*Table1[[#This Row],[Time]]</f>
        <v>0</v>
      </c>
      <c r="AC1590">
        <f>Table1[[#This Row],[SI]]+Table1[[#This Row],[Disc/Prem]]</f>
        <v>-9.7999999999999545</v>
      </c>
      <c r="AD1590" s="3">
        <f>Table1[[#This Row],[Net Gain]]/Table1[[#This Row],[Ask Rate]]</f>
        <v>-9.7048920578331893E-3</v>
      </c>
      <c r="AE1590" s="3">
        <f ca="1">IF(Table1[[#This Row],[Ask Qty]]=0,0,Table1[[#This Row],[Gross Yield]]*365/Table1[[#This Row],[Days Left]])</f>
        <v>-1.7962908727733845E-3</v>
      </c>
      <c r="AF1590" s="9">
        <f>+Table1[[#This Row],[Net Gain]]*Table1[[#This Row],[Ask Qty]]</f>
        <v>-254.79999999999882</v>
      </c>
      <c r="AG1590" t="str">
        <f ca="1">IF(Table1[[#This Row],[YTM]]&gt;0.12,IF(Table1[[#This Row],[Gross Profit]]&gt;10000,"Invest","Review"),"Low YTM")</f>
        <v>Low YTM</v>
      </c>
    </row>
    <row r="1591" spans="1:33" x14ac:dyDescent="0.3">
      <c r="A1591" t="str">
        <f>RTD("nest.scriprtd",,"nse_cm|1050ISFL28-N5","Symbol")</f>
        <v>1050ISFL28</v>
      </c>
      <c r="B1591" t="str">
        <f>RTD("nest.scriprtd",,"nse_cm|1050ISFL28-N5","Trading Symbol")</f>
        <v>1050ISFL28-N5</v>
      </c>
      <c r="C1591" t="str">
        <f>RTD("nest.scriprtd",,"nse_cm|1050ISFL28-N5","Exchange")</f>
        <v>NSE</v>
      </c>
      <c r="D1591">
        <f>RTD("nest.scriprtd",,"nse_cm|1050ISFL28-N5","Bid Qty")</f>
        <v>50</v>
      </c>
      <c r="E1591">
        <f>RTD("nest.scriprtd",,"nse_cm|1050ISFL28-N5","Bid Rate")</f>
        <v>952</v>
      </c>
      <c r="F1591">
        <f>RTD("nest.scriprtd",,"nse_cm|1050ISFL28-N5","Ask Rate")</f>
        <v>1010</v>
      </c>
      <c r="G1591">
        <f>RTD("nest.scriprtd",,"nse_cm|1050ISFL28-N5","Ask Qty")</f>
        <v>10</v>
      </c>
      <c r="H1591">
        <f>RTD("nest.scriprtd",,"nse_cm|1050ISFL28-N5","LTP")</f>
        <v>1011</v>
      </c>
      <c r="I1591" t="str">
        <f>RTD("nest.scriprtd",,"nse_cm|1050ISFL28-N5","LTT")</f>
        <v>10:35:10</v>
      </c>
      <c r="J1591">
        <f>RTD("nest.scriprtd",,"nse_cm|1050ISFL28-N5","% Change")</f>
        <v>-0.88</v>
      </c>
      <c r="K1591">
        <f>RTD("nest.scriprtd",,"nse_cm|1050ISFL28-N5","ATP")</f>
        <v>1012.71</v>
      </c>
      <c r="L1591">
        <f>RTD("nest.scriprtd",,"nse_cm|1050ISFL28-N5","Volume Traded Today")</f>
        <v>70</v>
      </c>
      <c r="M1591">
        <f>RTD("nest.scriprtd",,"nse_cm|1050ISFL28-N5","Open")</f>
        <v>1017</v>
      </c>
      <c r="N1591">
        <f>RTD("nest.scriprtd",,"nse_cm|1050ISFL28-N5","High")</f>
        <v>1017</v>
      </c>
      <c r="O1591">
        <f>RTD("nest.scriprtd",,"nse_cm|1050ISFL28-N5","Low ")</f>
        <v>1011</v>
      </c>
      <c r="P1591">
        <f>RTD("nest.scriprtd",,"nse_cm|1050ISFL28-N5","Prev Close")</f>
        <v>1020</v>
      </c>
      <c r="Q1591">
        <f>RTD("nest.scriprtd",,"nse_cm|1050ISFL28-N5","Face Value")</f>
        <v>1000</v>
      </c>
      <c r="R1591" t="str">
        <f>RTD("nest.scriprtd",,"nse_cm|1050ISFL28-N5","Isin code")</f>
        <v>INE413U07251</v>
      </c>
      <c r="S1591" s="9">
        <f>Table1[[#This Row],[Ask Rate]]*Table1[[#This Row],[Ask Qty]]</f>
        <v>10100</v>
      </c>
      <c r="T1591">
        <f>VLOOKUP(Table1[[#This Row],[Isin code]],Table2[#All],7,FALSE)</f>
        <v>10.5</v>
      </c>
      <c r="U1591" s="17" t="str">
        <f>VLOOKUP(Table1[[#This Row],[Isin code]],Table2[#All],8,FALSE)</f>
        <v>21-Dec-2028</v>
      </c>
      <c r="V1591" s="10">
        <f ca="1">Table1[[#This Row],[Maturity]]-TODAY()</f>
        <v>1527</v>
      </c>
      <c r="W1591" t="str">
        <f>VLOOKUP(Table1[[#This Row],[Isin code]],Table2[#All],10,FALSE)</f>
        <v>At the End</v>
      </c>
      <c r="X1591">
        <f ca="1">_xlfn.DAYS(Table1[[#This Row],[Maturity]],TODAY())-15</f>
        <v>1512</v>
      </c>
      <c r="Y159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91">
        <f>IF(Table1[[#This Row],[Ask Rate]]=0,0,Table1[[#This Row],[Face Value]]-Table1[[#This Row],[Ask Rate]])</f>
        <v>-10</v>
      </c>
      <c r="AA159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91">
        <f>Table1[[#This Row],[Face Value]]*Table1[[#This Row],[Rate]]*Table1[[#This Row],[Time]]</f>
        <v>0</v>
      </c>
      <c r="AC1591">
        <f>Table1[[#This Row],[SI]]+Table1[[#This Row],[Disc/Prem]]</f>
        <v>-10</v>
      </c>
      <c r="AD1591" s="3">
        <f>Table1[[#This Row],[Net Gain]]/Table1[[#This Row],[Ask Rate]]</f>
        <v>-9.9009900990099011E-3</v>
      </c>
      <c r="AE1591" s="3">
        <f ca="1">IF(Table1[[#This Row],[Ask Qty]]=0,0,Table1[[#This Row],[Gross Yield]]*365/Table1[[#This Row],[Days Left]])</f>
        <v>-2.3666413792656281E-3</v>
      </c>
      <c r="AF1591" s="9">
        <f>+Table1[[#This Row],[Net Gain]]*Table1[[#This Row],[Ask Qty]]</f>
        <v>-100</v>
      </c>
      <c r="AG1591" t="str">
        <f ca="1">IF(Table1[[#This Row],[YTM]]&gt;0.12,IF(Table1[[#This Row],[Gross Profit]]&gt;10000,"Invest","Review"),"Low YTM")</f>
        <v>Low YTM</v>
      </c>
    </row>
    <row r="1592" spans="1:33" x14ac:dyDescent="0.3">
      <c r="A1592" t="str">
        <f>RTD("nest.scriprtd",,"bse_cm|KFL30A","Symbol")</f>
        <v>KFL30A</v>
      </c>
      <c r="B1592" t="str">
        <f>RTD("nest.scriprtd",,"bse_cm|KFL30A","Trading Symbol")</f>
        <v>KFL30A</v>
      </c>
      <c r="C1592" t="str">
        <f>RTD("nest.scriprtd",,"bse_cm|KFL30A","Exchange")</f>
        <v>BSE</v>
      </c>
      <c r="D1592">
        <f>RTD("nest.scriprtd",,"bse_cm|KFL30A","Bid Qty")</f>
        <v>20</v>
      </c>
      <c r="E1592">
        <f>RTD("nest.scriprtd",,"bse_cm|KFL30A","Bid Rate")</f>
        <v>875.25</v>
      </c>
      <c r="F1592">
        <f>RTD("nest.scriprtd",,"bse_cm|KFL30A","Ask Rate")</f>
        <v>1017</v>
      </c>
      <c r="G1592">
        <f>RTD("nest.scriprtd",,"bse_cm|KFL30A","Ask Qty")</f>
        <v>8</v>
      </c>
      <c r="H1592">
        <f>RTD("nest.scriprtd",,"bse_cm|KFL30A","LTP")</f>
        <v>0</v>
      </c>
      <c r="I1592" t="str">
        <f>RTD("nest.scriprtd",,"bse_cm|KFL30A","LTT")</f>
        <v>00:00:00</v>
      </c>
      <c r="J1592">
        <f>RTD("nest.scriprtd",,"bse_cm|KFL30A","% Change")</f>
        <v>-100</v>
      </c>
      <c r="K1592">
        <f>RTD("nest.scriprtd",,"bse_cm|KFL30A","ATP")</f>
        <v>0</v>
      </c>
      <c r="L1592">
        <f>RTD("nest.scriprtd",,"bse_cm|KFL30A","Volume Traded Today")</f>
        <v>0</v>
      </c>
      <c r="M1592">
        <f>RTD("nest.scriprtd",,"bse_cm|KFL30A","Open")</f>
        <v>0</v>
      </c>
      <c r="N1592">
        <f>RTD("nest.scriprtd",,"bse_cm|KFL30A","High")</f>
        <v>1015</v>
      </c>
      <c r="O1592">
        <f>RTD("nest.scriprtd",,"bse_cm|KFL30A","Low ")</f>
        <v>1015</v>
      </c>
      <c r="P1592">
        <f>RTD("nest.scriprtd",,"bse_cm|KFL30A","Prev Close")</f>
        <v>1015</v>
      </c>
      <c r="Q1592">
        <f>RTD("nest.scriprtd",,"bse_cm|KFL30A","Face Value")</f>
        <v>1000</v>
      </c>
      <c r="R1592" t="str">
        <f>RTD("nest.scriprtd",,"bse_cm|KFL30A","Isin code")</f>
        <v>INE403Q07DJ6</v>
      </c>
      <c r="S1592" s="9">
        <f>Table1[[#This Row],[Ask Rate]]*Table1[[#This Row],[Ask Qty]]</f>
        <v>8136</v>
      </c>
      <c r="T1592" t="str">
        <f>VLOOKUP(Table1[[#This Row],[Isin code]],Table2[#All],7,FALSE)</f>
        <v>--</v>
      </c>
      <c r="U1592" s="17" t="str">
        <f>VLOOKUP(Table1[[#This Row],[Isin code]],Table2[#All],8,FALSE)</f>
        <v>28-Aug-2030</v>
      </c>
      <c r="V1592" s="10">
        <f ca="1">Table1[[#This Row],[Maturity]]-TODAY()</f>
        <v>2142</v>
      </c>
      <c r="W1592" t="str">
        <f>VLOOKUP(Table1[[#This Row],[Isin code]],Table2[#All],10,FALSE)</f>
        <v>At the End</v>
      </c>
      <c r="X1592">
        <f ca="1">_xlfn.DAYS(Table1[[#This Row],[Maturity]],TODAY())-15</f>
        <v>2127</v>
      </c>
      <c r="Y159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92">
        <f>IF(Table1[[#This Row],[Ask Rate]]=0,0,Table1[[#This Row],[Face Value]]-Table1[[#This Row],[Ask Rate]])</f>
        <v>-17</v>
      </c>
      <c r="AA159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92">
        <f>Table1[[#This Row],[Face Value]]*Table1[[#This Row],[Rate]]*Table1[[#This Row],[Time]]</f>
        <v>0</v>
      </c>
      <c r="AC1592">
        <f>Table1[[#This Row],[SI]]+Table1[[#This Row],[Disc/Prem]]</f>
        <v>-17</v>
      </c>
      <c r="AD1592" s="3">
        <f>Table1[[#This Row],[Net Gain]]/Table1[[#This Row],[Ask Rate]]</f>
        <v>-1.6715830875122909E-2</v>
      </c>
      <c r="AE1592" s="3">
        <f ca="1">IF(Table1[[#This Row],[Ask Qty]]=0,0,Table1[[#This Row],[Gross Yield]]*365/Table1[[#This Row],[Days Left]])</f>
        <v>-2.8484025534173027E-3</v>
      </c>
      <c r="AF1592" s="9">
        <f>+Table1[[#This Row],[Net Gain]]*Table1[[#This Row],[Ask Qty]]</f>
        <v>-136</v>
      </c>
      <c r="AG1592" t="str">
        <f ca="1">IF(Table1[[#This Row],[YTM]]&gt;0.12,IF(Table1[[#This Row],[Gross Profit]]&gt;10000,"Invest","Review"),"Low YTM")</f>
        <v>Low YTM</v>
      </c>
    </row>
    <row r="1593" spans="1:33" x14ac:dyDescent="0.3">
      <c r="A1593" t="str">
        <f>RTD("nest.scriprtd",,"bse_cm|1010EFS29A","Symbol")</f>
        <v>1010EFS29A</v>
      </c>
      <c r="B1593" t="str">
        <f>RTD("nest.scriprtd",,"bse_cm|1010EFS29A","Trading Symbol")</f>
        <v>1010EFS29A</v>
      </c>
      <c r="C1593" t="str">
        <f>RTD("nest.scriprtd",,"bse_cm|1010EFS29A","Exchange")</f>
        <v>BSE</v>
      </c>
      <c r="D1593">
        <f>RTD("nest.scriprtd",,"bse_cm|1010EFS29A","Bid Qty")</f>
        <v>10</v>
      </c>
      <c r="E1593">
        <f>RTD("nest.scriprtd",,"bse_cm|1010EFS29A","Bid Rate")</f>
        <v>821.65</v>
      </c>
      <c r="F1593">
        <f>RTD("nest.scriprtd",,"bse_cm|1010EFS29A","Ask Rate")</f>
        <v>1020</v>
      </c>
      <c r="G1593">
        <f>RTD("nest.scriprtd",,"bse_cm|1010EFS29A","Ask Qty")</f>
        <v>100</v>
      </c>
      <c r="H1593">
        <f>RTD("nest.scriprtd",,"bse_cm|1010EFS29A","LTP")</f>
        <v>0</v>
      </c>
      <c r="I1593" t="str">
        <f>RTD("nest.scriprtd",,"bse_cm|1010EFS29A","LTT")</f>
        <v>00:00:00</v>
      </c>
      <c r="J1593">
        <f>RTD("nest.scriprtd",,"bse_cm|1010EFS29A","% Change")</f>
        <v>-100</v>
      </c>
      <c r="K1593">
        <f>RTD("nest.scriprtd",,"bse_cm|1010EFS29A","ATP")</f>
        <v>0</v>
      </c>
      <c r="L1593">
        <f>RTD("nest.scriprtd",,"bse_cm|1010EFS29A","Volume Traded Today")</f>
        <v>0</v>
      </c>
      <c r="M1593">
        <f>RTD("nest.scriprtd",,"bse_cm|1010EFS29A","Open")</f>
        <v>0</v>
      </c>
      <c r="N1593">
        <f>RTD("nest.scriprtd",,"bse_cm|1010EFS29A","High")</f>
        <v>0</v>
      </c>
      <c r="O1593">
        <f>RTD("nest.scriprtd",,"bse_cm|1010EFS29A","Low ")</f>
        <v>0</v>
      </c>
      <c r="P1593">
        <f>RTD("nest.scriprtd",,"bse_cm|1010EFS29A","Prev Close")</f>
        <v>1000</v>
      </c>
      <c r="Q1593">
        <f>RTD("nest.scriprtd",,"bse_cm|1010EFS29A","Face Value")</f>
        <v>1000</v>
      </c>
      <c r="R1593" t="str">
        <f>RTD("nest.scriprtd",,"bse_cm|1010EFS29A","Isin code")</f>
        <v>INE532F07FI2</v>
      </c>
      <c r="S1593" s="9">
        <f>Table1[[#This Row],[Ask Rate]]*Table1[[#This Row],[Ask Qty]]</f>
        <v>102000</v>
      </c>
      <c r="T1593">
        <f>VLOOKUP(Table1[[#This Row],[Isin code]],Table2[#All],7,FALSE)</f>
        <v>10.100000000000001</v>
      </c>
      <c r="U1593" s="17" t="str">
        <f>VLOOKUP(Table1[[#This Row],[Isin code]],Table2[#All],8,FALSE)</f>
        <v>29-Apr-2029</v>
      </c>
      <c r="V1593" s="10">
        <f ca="1">Table1[[#This Row],[Maturity]]-TODAY()</f>
        <v>1656</v>
      </c>
      <c r="W1593" t="str">
        <f>VLOOKUP(Table1[[#This Row],[Isin code]],Table2[#All],10,FALSE)</f>
        <v>Annual</v>
      </c>
      <c r="X1593">
        <f ca="1">_xlfn.DAYS(Table1[[#This Row],[Maturity]],TODAY())-15</f>
        <v>1641</v>
      </c>
      <c r="Y159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93">
        <f>IF(Table1[[#This Row],[Ask Rate]]=0,0,Table1[[#This Row],[Face Value]]-Table1[[#This Row],[Ask Rate]])</f>
        <v>-20</v>
      </c>
      <c r="AA159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93">
        <f>Table1[[#This Row],[Face Value]]*Table1[[#This Row],[Rate]]*Table1[[#This Row],[Time]]</f>
        <v>0</v>
      </c>
      <c r="AC1593">
        <f>Table1[[#This Row],[SI]]+Table1[[#This Row],[Disc/Prem]]</f>
        <v>-20</v>
      </c>
      <c r="AD1593" s="3">
        <f>Table1[[#This Row],[Net Gain]]/Table1[[#This Row],[Ask Rate]]</f>
        <v>-1.9607843137254902E-2</v>
      </c>
      <c r="AE1593" s="3">
        <f ca="1">IF(Table1[[#This Row],[Ask Qty]]=0,0,Table1[[#This Row],[Gross Yield]]*365/Table1[[#This Row],[Days Left]])</f>
        <v>-4.3217770199867386E-3</v>
      </c>
      <c r="AF1593" s="9">
        <f>+Table1[[#This Row],[Net Gain]]*Table1[[#This Row],[Ask Qty]]</f>
        <v>-2000</v>
      </c>
      <c r="AG1593" t="str">
        <f ca="1">IF(Table1[[#This Row],[YTM]]&gt;0.12,IF(Table1[[#This Row],[Gross Profit]]&gt;10000,"Invest","Review"),"Low YTM")</f>
        <v>Low YTM</v>
      </c>
    </row>
    <row r="1594" spans="1:33" x14ac:dyDescent="0.3">
      <c r="A1594" t="str">
        <f>RTD("nest.scriprtd",,"bse_cm|IFL1942024","Symbol")</f>
        <v>IFL1942024</v>
      </c>
      <c r="B1594" t="str">
        <f>RTD("nest.scriprtd",,"bse_cm|IFL1942024","Trading Symbol")</f>
        <v>IFL1942024</v>
      </c>
      <c r="C1594" t="str">
        <f>RTD("nest.scriprtd",,"bse_cm|IFL1942024","Exchange")</f>
        <v>BSE</v>
      </c>
      <c r="D1594">
        <f>RTD("nest.scriprtd",,"bse_cm|IFL1942024","Bid Qty")</f>
        <v>15</v>
      </c>
      <c r="E1594">
        <f>RTD("nest.scriprtd",,"bse_cm|IFL1942024","Bid Rate")</f>
        <v>842.85</v>
      </c>
      <c r="F1594">
        <f>RTD("nest.scriprtd",,"bse_cm|IFL1942024","Ask Rate")</f>
        <v>1012</v>
      </c>
      <c r="G1594">
        <f>RTD("nest.scriprtd",,"bse_cm|IFL1942024","Ask Qty")</f>
        <v>1</v>
      </c>
      <c r="H1594">
        <f>RTD("nest.scriprtd",,"bse_cm|IFL1942024","LTP")</f>
        <v>0</v>
      </c>
      <c r="I1594" t="str">
        <f>RTD("nest.scriprtd",,"bse_cm|IFL1942024","LTT")</f>
        <v>00:00:00</v>
      </c>
      <c r="J1594">
        <f>RTD("nest.scriprtd",,"bse_cm|IFL1942024","% Change")</f>
        <v>-100</v>
      </c>
      <c r="K1594">
        <f>RTD("nest.scriprtd",,"bse_cm|IFL1942024","ATP")</f>
        <v>0</v>
      </c>
      <c r="L1594">
        <f>RTD("nest.scriprtd",,"bse_cm|IFL1942024","Volume Traded Today")</f>
        <v>0</v>
      </c>
      <c r="M1594">
        <f>RTD("nest.scriprtd",,"bse_cm|IFL1942024","Open")</f>
        <v>0</v>
      </c>
      <c r="N1594">
        <f>RTD("nest.scriprtd",,"bse_cm|IFL1942024","High")</f>
        <v>945.1</v>
      </c>
      <c r="O1594">
        <f>RTD("nest.scriprtd",,"bse_cm|IFL1942024","Low ")</f>
        <v>842.85</v>
      </c>
      <c r="P1594">
        <f>RTD("nest.scriprtd",,"bse_cm|IFL1942024","Prev Close")</f>
        <v>945.1</v>
      </c>
      <c r="Q1594">
        <f>RTD("nest.scriprtd",,"bse_cm|IFL1942024","Face Value")</f>
        <v>1000</v>
      </c>
      <c r="R1594" t="str">
        <f>RTD("nest.scriprtd",,"bse_cm|IFL1942024","Isin code")</f>
        <v>INE01CY077N2</v>
      </c>
      <c r="S1594" s="9">
        <f>Table1[[#This Row],[Ask Rate]]*Table1[[#This Row],[Ask Qty]]</f>
        <v>1012</v>
      </c>
      <c r="T1594" t="str">
        <f>VLOOKUP(Table1[[#This Row],[Isin code]],Table2[#All],7,FALSE)</f>
        <v>--</v>
      </c>
      <c r="U1594" s="17" t="str">
        <f>VLOOKUP(Table1[[#This Row],[Isin code]],Table2[#All],8,FALSE)</f>
        <v>19-Apr-2027</v>
      </c>
      <c r="V1594" s="10">
        <f ca="1">Table1[[#This Row],[Maturity]]-TODAY()</f>
        <v>915</v>
      </c>
      <c r="W1594" t="str">
        <f>VLOOKUP(Table1[[#This Row],[Isin code]],Table2[#All],10,FALSE)</f>
        <v>At the End</v>
      </c>
      <c r="X1594">
        <f ca="1">_xlfn.DAYS(Table1[[#This Row],[Maturity]],TODAY())-15</f>
        <v>900</v>
      </c>
      <c r="Y159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94">
        <f>IF(Table1[[#This Row],[Ask Rate]]=0,0,Table1[[#This Row],[Face Value]]-Table1[[#This Row],[Ask Rate]])</f>
        <v>-12</v>
      </c>
      <c r="AA159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94">
        <f>Table1[[#This Row],[Face Value]]*Table1[[#This Row],[Rate]]*Table1[[#This Row],[Time]]</f>
        <v>0</v>
      </c>
      <c r="AC1594">
        <f>Table1[[#This Row],[SI]]+Table1[[#This Row],[Disc/Prem]]</f>
        <v>-12</v>
      </c>
      <c r="AD1594" s="3">
        <f>Table1[[#This Row],[Net Gain]]/Table1[[#This Row],[Ask Rate]]</f>
        <v>-1.1857707509881422E-2</v>
      </c>
      <c r="AE1594" s="3">
        <f ca="1">IF(Table1[[#This Row],[Ask Qty]]=0,0,Table1[[#This Row],[Gross Yield]]*365/Table1[[#This Row],[Days Left]])</f>
        <v>-4.7301237607723706E-3</v>
      </c>
      <c r="AF1594" s="9">
        <f>+Table1[[#This Row],[Net Gain]]*Table1[[#This Row],[Ask Qty]]</f>
        <v>-12</v>
      </c>
      <c r="AG1594" t="str">
        <f ca="1">IF(Table1[[#This Row],[YTM]]&gt;0.12,IF(Table1[[#This Row],[Gross Profit]]&gt;10000,"Invest","Review"),"Low YTM")</f>
        <v>Low YTM</v>
      </c>
    </row>
    <row r="1595" spans="1:33" x14ac:dyDescent="0.3">
      <c r="A1595" t="str">
        <f>RTD("nest.scriprtd",,"bse_cm|IIFLZC28B","Symbol")</f>
        <v>IIFLZC28B</v>
      </c>
      <c r="B1595" t="str">
        <f>RTD("nest.scriprtd",,"bse_cm|IIFLZC28B","Trading Symbol")</f>
        <v>IIFLZC28B</v>
      </c>
      <c r="C1595" t="str">
        <f>RTD("nest.scriprtd",,"bse_cm|IIFLZC28B","Exchange")</f>
        <v>BSE</v>
      </c>
      <c r="D1595">
        <f>RTD("nest.scriprtd",,"bse_cm|IIFLZC28B","Bid Qty")</f>
        <v>50</v>
      </c>
      <c r="E1595">
        <f>RTD("nest.scriprtd",,"bse_cm|IIFLZC28B","Bid Rate")</f>
        <v>925.25</v>
      </c>
      <c r="F1595">
        <f>RTD("nest.scriprtd",,"bse_cm|IIFLZC28B","Ask Rate")</f>
        <v>1020</v>
      </c>
      <c r="G1595">
        <f>RTD("nest.scriprtd",,"bse_cm|IIFLZC28B","Ask Qty")</f>
        <v>41</v>
      </c>
      <c r="H1595">
        <f>RTD("nest.scriprtd",,"bse_cm|IIFLZC28B","LTP")</f>
        <v>0</v>
      </c>
      <c r="I1595" t="str">
        <f>RTD("nest.scriprtd",,"bse_cm|IIFLZC28B","LTT")</f>
        <v>00:00:00</v>
      </c>
      <c r="J1595">
        <f>RTD("nest.scriprtd",,"bse_cm|IIFLZC28B","% Change")</f>
        <v>-100</v>
      </c>
      <c r="K1595">
        <f>RTD("nest.scriprtd",,"bse_cm|IIFLZC28B","ATP")</f>
        <v>0</v>
      </c>
      <c r="L1595">
        <f>RTD("nest.scriprtd",,"bse_cm|IIFLZC28B","Volume Traded Today")</f>
        <v>0</v>
      </c>
      <c r="M1595">
        <f>RTD("nest.scriprtd",,"bse_cm|IIFLZC28B","Open")</f>
        <v>0</v>
      </c>
      <c r="N1595">
        <f>RTD("nest.scriprtd",,"bse_cm|IIFLZC28B","High")</f>
        <v>1030</v>
      </c>
      <c r="O1595">
        <f>RTD("nest.scriprtd",,"bse_cm|IIFLZC28B","Low ")</f>
        <v>1028.98</v>
      </c>
      <c r="P1595">
        <f>RTD("nest.scriprtd",,"bse_cm|IIFLZC28B","Prev Close")</f>
        <v>1028.98</v>
      </c>
      <c r="Q1595">
        <f>RTD("nest.scriprtd",,"bse_cm|IIFLZC28B","Face Value")</f>
        <v>1000</v>
      </c>
      <c r="R1595" t="str">
        <f>RTD("nest.scriprtd",,"bse_cm|IIFLZC28B","Isin code")</f>
        <v>INE530B07369</v>
      </c>
      <c r="S1595" s="9">
        <f>Table1[[#This Row],[Ask Rate]]*Table1[[#This Row],[Ask Qty]]</f>
        <v>41820</v>
      </c>
      <c r="T1595">
        <f>VLOOKUP(Table1[[#This Row],[Isin code]],Table2[#All],7,FALSE)</f>
        <v>0</v>
      </c>
      <c r="U1595" s="17" t="str">
        <f>VLOOKUP(Table1[[#This Row],[Isin code]],Table2[#All],8,FALSE)</f>
        <v>28-Jun-2028</v>
      </c>
      <c r="V1595" s="10">
        <f ca="1">Table1[[#This Row],[Maturity]]-TODAY()</f>
        <v>1351</v>
      </c>
      <c r="W1595" t="str">
        <f>VLOOKUP(Table1[[#This Row],[Isin code]],Table2[#All],10,FALSE)</f>
        <v>Yearly</v>
      </c>
      <c r="X1595">
        <f ca="1">_xlfn.DAYS(Table1[[#This Row],[Maturity]],TODAY())-15</f>
        <v>1336</v>
      </c>
      <c r="Y159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595">
        <f>IF(Table1[[#This Row],[Ask Rate]]=0,0,Table1[[#This Row],[Face Value]]-Table1[[#This Row],[Ask Rate]])</f>
        <v>-20</v>
      </c>
      <c r="AA159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95">
        <f ca="1">Table1[[#This Row],[Face Value]]*Table1[[#This Row],[Rate]]*Table1[[#This Row],[Time]]</f>
        <v>0</v>
      </c>
      <c r="AC1595">
        <f ca="1">Table1[[#This Row],[SI]]+Table1[[#This Row],[Disc/Prem]]</f>
        <v>-20</v>
      </c>
      <c r="AD1595" s="3">
        <f ca="1">Table1[[#This Row],[Net Gain]]/Table1[[#This Row],[Ask Rate]]</f>
        <v>-1.9607843137254902E-2</v>
      </c>
      <c r="AE1595" s="3">
        <f ca="1">IF(Table1[[#This Row],[Ask Qty]]=0,0,Table1[[#This Row],[Gross Yield]]*365/Table1[[#This Row],[Days Left]])</f>
        <v>-5.2974557698727163E-3</v>
      </c>
      <c r="AF1595" s="9">
        <f ca="1">+Table1[[#This Row],[Net Gain]]*Table1[[#This Row],[Ask Qty]]</f>
        <v>-820</v>
      </c>
      <c r="AG1595" t="str">
        <f ca="1">IF(Table1[[#This Row],[YTM]]&gt;0.12,IF(Table1[[#This Row],[Gross Profit]]&gt;10000,"Invest","Review"),"Low YTM")</f>
        <v>Low YTM</v>
      </c>
    </row>
    <row r="1596" spans="1:33" x14ac:dyDescent="0.3">
      <c r="A1596" t="str">
        <f>RTD("nest.scriprtd",,"nse_cm|1030ICCL28-NM","Symbol")</f>
        <v>1030ICCL28</v>
      </c>
      <c r="B1596" t="str">
        <f>RTD("nest.scriprtd",,"nse_cm|1030ICCL28-NM","Trading Symbol")</f>
        <v>1030ICCL28-NM</v>
      </c>
      <c r="C1596" t="str">
        <f>RTD("nest.scriprtd",,"nse_cm|1030ICCL28-NM","Exchange")</f>
        <v>NSE</v>
      </c>
      <c r="D1596">
        <f>RTD("nest.scriprtd",,"nse_cm|1030ICCL28-NM","Bid Qty")</f>
        <v>12</v>
      </c>
      <c r="E1596">
        <f>RTD("nest.scriprtd",,"nse_cm|1030ICCL28-NM","Bid Rate")</f>
        <v>820.2</v>
      </c>
      <c r="F1596">
        <f>RTD("nest.scriprtd",,"nse_cm|1030ICCL28-NM","Ask Rate")</f>
        <v>1150</v>
      </c>
      <c r="G1596">
        <f>RTD("nest.scriprtd",,"nse_cm|1030ICCL28-NM","Ask Qty")</f>
        <v>50</v>
      </c>
      <c r="H1596">
        <f>RTD("nest.scriprtd",,"nse_cm|1030ICCL28-NM","LTP")</f>
        <v>999.32</v>
      </c>
      <c r="I1596" t="str">
        <f>RTD("nest.scriprtd",,"nse_cm|1030ICCL28-NM","LTT")</f>
        <v/>
      </c>
      <c r="J1596">
        <f>RTD("nest.scriprtd",,"nse_cm|1030ICCL28-NM","% Change")</f>
        <v>0</v>
      </c>
      <c r="K1596">
        <f>RTD("nest.scriprtd",,"nse_cm|1030ICCL28-NM","ATP")</f>
        <v>0</v>
      </c>
      <c r="L1596">
        <f>RTD("nest.scriprtd",,"nse_cm|1030ICCL28-NM","Volume Traded Today")</f>
        <v>0</v>
      </c>
      <c r="M1596">
        <f>RTD("nest.scriprtd",,"nse_cm|1030ICCL28-NM","Open")</f>
        <v>0</v>
      </c>
      <c r="N1596">
        <f>RTD("nest.scriprtd",,"nse_cm|1030ICCL28-NM","High")</f>
        <v>999.32</v>
      </c>
      <c r="O1596">
        <f>RTD("nest.scriprtd",,"nse_cm|1030ICCL28-NM","Low ")</f>
        <v>975.85</v>
      </c>
      <c r="P1596">
        <f>RTD("nest.scriprtd",,"nse_cm|1030ICCL28-NM","Prev Close")</f>
        <v>999.32</v>
      </c>
      <c r="Q1596">
        <f>RTD("nest.scriprtd",,"nse_cm|1030ICCL28-NM","Face Value")</f>
        <v>800</v>
      </c>
      <c r="R1596" t="str">
        <f>RTD("nest.scriprtd",,"nse_cm|1030ICCL28-NM","Isin code")</f>
        <v>INE244L07283</v>
      </c>
      <c r="S1596" s="9">
        <f>Table1[[#This Row],[Ask Rate]]*Table1[[#This Row],[Ask Qty]]</f>
        <v>57500</v>
      </c>
      <c r="T1596">
        <f>VLOOKUP(Table1[[#This Row],[Isin code]],Table2[#All],7,FALSE)</f>
        <v>10.3</v>
      </c>
      <c r="U1596" s="17" t="str">
        <f>VLOOKUP(Table1[[#This Row],[Isin code]],Table2[#All],8,FALSE)</f>
        <v>02-Feb-2028</v>
      </c>
      <c r="V1596" s="10">
        <f ca="1">Table1[[#This Row],[Maturity]]-TODAY()</f>
        <v>1204</v>
      </c>
      <c r="W1596" t="str">
        <f>VLOOKUP(Table1[[#This Row],[Isin code]],Table2[#All],10,FALSE)</f>
        <v>Yearly</v>
      </c>
      <c r="X1596">
        <f ca="1">_xlfn.DAYS(Table1[[#This Row],[Maturity]],TODAY())-15</f>
        <v>1189</v>
      </c>
      <c r="Y15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596">
        <f>IF(Table1[[#This Row],[Ask Rate]]=0,0,Table1[[#This Row],[Face Value]]-Table1[[#This Row],[Ask Rate]])</f>
        <v>-350</v>
      </c>
      <c r="AA1596">
        <f>IF(Table1[[#This Row],[Freq]]="Yearly",Table1[[#This Row],[Coupon_Rate]]/100,IF(Table1[[#This Row],[Freq]]="Monthly",Table1[[#This Row],[Coupon_Rate]]/1200,IF(Table1[[#This Row],[Freq]]="Quarterly",Table1[[#This Row],[Coupon_Rate]]/400,0)))</f>
        <v>0.10300000000000001</v>
      </c>
      <c r="AB1596">
        <f ca="1">Table1[[#This Row],[Face Value]]*Table1[[#This Row],[Rate]]*Table1[[#This Row],[Time]]</f>
        <v>329.6</v>
      </c>
      <c r="AC1596">
        <f ca="1">Table1[[#This Row],[SI]]+Table1[[#This Row],[Disc/Prem]]</f>
        <v>-20.399999999999977</v>
      </c>
      <c r="AD1596" s="3">
        <f ca="1">Table1[[#This Row],[Net Gain]]/Table1[[#This Row],[Ask Rate]]</f>
        <v>-1.7739130434782587E-2</v>
      </c>
      <c r="AE1596" s="3">
        <f ca="1">IF(Table1[[#This Row],[Ask Qty]]=0,0,Table1[[#This Row],[Gross Yield]]*365/Table1[[#This Row],[Days Left]])</f>
        <v>-5.3777264191824286E-3</v>
      </c>
      <c r="AF1596" s="9">
        <f ca="1">+Table1[[#This Row],[Net Gain]]*Table1[[#This Row],[Ask Qty]]</f>
        <v>-1019.9999999999989</v>
      </c>
      <c r="AG1596" t="str">
        <f ca="1">IF(Table1[[#This Row],[YTM]]&gt;0.12,IF(Table1[[#This Row],[Gross Profit]]&gt;10000,"Invest","Review"),"Low YTM")</f>
        <v>Low YTM</v>
      </c>
    </row>
    <row r="1597" spans="1:33" x14ac:dyDescent="0.3">
      <c r="A1597" t="str">
        <f>RTD("nest.scriprtd",,"bse_cm|SFL30","Symbol")</f>
        <v>SFL30</v>
      </c>
      <c r="B1597" t="str">
        <f>RTD("nest.scriprtd",,"bse_cm|SFL30","Trading Symbol")</f>
        <v>SFL30</v>
      </c>
      <c r="C1597" t="str">
        <f>RTD("nest.scriprtd",,"bse_cm|SFL30","Exchange")</f>
        <v>BSE</v>
      </c>
      <c r="D1597">
        <f>RTD("nest.scriprtd",,"bse_cm|SFL30","Bid Qty")</f>
        <v>5</v>
      </c>
      <c r="E1597">
        <f>RTD("nest.scriprtd",,"bse_cm|SFL30","Bid Rate")</f>
        <v>980</v>
      </c>
      <c r="F1597">
        <f>RTD("nest.scriprtd",,"bse_cm|SFL30","Ask Rate")</f>
        <v>1044.5</v>
      </c>
      <c r="G1597">
        <f>RTD("nest.scriprtd",,"bse_cm|SFL30","Ask Qty")</f>
        <v>5</v>
      </c>
      <c r="H1597">
        <f>RTD("nest.scriprtd",,"bse_cm|SFL30","LTP")</f>
        <v>0</v>
      </c>
      <c r="I1597" t="str">
        <f>RTD("nest.scriprtd",,"bse_cm|SFL30","LTT")</f>
        <v>00:00:00</v>
      </c>
      <c r="J1597">
        <f>RTD("nest.scriprtd",,"bse_cm|SFL30","% Change")</f>
        <v>-100</v>
      </c>
      <c r="K1597">
        <f>RTD("nest.scriprtd",,"bse_cm|SFL30","ATP")</f>
        <v>0</v>
      </c>
      <c r="L1597">
        <f>RTD("nest.scriprtd",,"bse_cm|SFL30","Volume Traded Today")</f>
        <v>0</v>
      </c>
      <c r="M1597">
        <f>RTD("nest.scriprtd",,"bse_cm|SFL30","Open")</f>
        <v>0</v>
      </c>
      <c r="N1597">
        <f>RTD("nest.scriprtd",,"bse_cm|SFL30","High")</f>
        <v>1044.5</v>
      </c>
      <c r="O1597">
        <f>RTD("nest.scriprtd",,"bse_cm|SFL30","Low ")</f>
        <v>1044.5</v>
      </c>
      <c r="P1597">
        <f>RTD("nest.scriprtd",,"bse_cm|SFL30","Prev Close")</f>
        <v>1044.5</v>
      </c>
      <c r="Q1597">
        <f>RTD("nest.scriprtd",,"bse_cm|SFL30","Face Value")</f>
        <v>1000</v>
      </c>
      <c r="R1597" t="str">
        <f>RTD("nest.scriprtd",,"bse_cm|SFL30","Isin code")</f>
        <v>INE302E07532</v>
      </c>
      <c r="S1597" s="9">
        <f>Table1[[#This Row],[Ask Rate]]*Table1[[#This Row],[Ask Qty]]</f>
        <v>5222.5</v>
      </c>
      <c r="T1597" t="str">
        <f>VLOOKUP(Table1[[#This Row],[Isin code]],Table2[#All],7,FALSE)</f>
        <v>--</v>
      </c>
      <c r="U1597" s="17" t="str">
        <f>VLOOKUP(Table1[[#This Row],[Isin code]],Table2[#All],8,FALSE)</f>
        <v>08-May-2030</v>
      </c>
      <c r="V1597" s="10">
        <f ca="1">Table1[[#This Row],[Maturity]]-TODAY()</f>
        <v>2030</v>
      </c>
      <c r="W1597" t="str">
        <f>VLOOKUP(Table1[[#This Row],[Isin code]],Table2[#All],10,FALSE)</f>
        <v>At the End</v>
      </c>
      <c r="X1597">
        <f ca="1">_xlfn.DAYS(Table1[[#This Row],[Maturity]],TODAY())-15</f>
        <v>2015</v>
      </c>
      <c r="Y159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97">
        <f>IF(Table1[[#This Row],[Ask Rate]]=0,0,Table1[[#This Row],[Face Value]]-Table1[[#This Row],[Ask Rate]])</f>
        <v>-44.5</v>
      </c>
      <c r="AA159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97">
        <f>Table1[[#This Row],[Face Value]]*Table1[[#This Row],[Rate]]*Table1[[#This Row],[Time]]</f>
        <v>0</v>
      </c>
      <c r="AC1597">
        <f>Table1[[#This Row],[SI]]+Table1[[#This Row],[Disc/Prem]]</f>
        <v>-44.5</v>
      </c>
      <c r="AD1597" s="3">
        <f>Table1[[#This Row],[Net Gain]]/Table1[[#This Row],[Ask Rate]]</f>
        <v>-4.2604116802297753E-2</v>
      </c>
      <c r="AE1597" s="3">
        <f ca="1">IF(Table1[[#This Row],[Ask Qty]]=0,0,Table1[[#This Row],[Gross Yield]]*365/Table1[[#This Row],[Days Left]])</f>
        <v>-7.6603461245510745E-3</v>
      </c>
      <c r="AF1597" s="9">
        <f>+Table1[[#This Row],[Net Gain]]*Table1[[#This Row],[Ask Qty]]</f>
        <v>-222.5</v>
      </c>
      <c r="AG1597" t="str">
        <f ca="1">IF(Table1[[#This Row],[YTM]]&gt;0.12,IF(Table1[[#This Row],[Gross Profit]]&gt;10000,"Invest","Review"),"Low YTM")</f>
        <v>Low YTM</v>
      </c>
    </row>
    <row r="1598" spans="1:33" x14ac:dyDescent="0.3">
      <c r="A1598" t="str">
        <f>RTD("nest.scriprtd",,"bse_cm|MFL29","Symbol")</f>
        <v>MFL29</v>
      </c>
      <c r="B1598" t="str">
        <f>RTD("nest.scriprtd",,"bse_cm|MFL29","Trading Symbol")</f>
        <v>MFL29</v>
      </c>
      <c r="C1598" t="str">
        <f>RTD("nest.scriprtd",,"bse_cm|MFL29","Exchange")</f>
        <v>BSE</v>
      </c>
      <c r="D1598">
        <f>RTD("nest.scriprtd",,"bse_cm|MFL29","Bid Qty")</f>
        <v>10</v>
      </c>
      <c r="E1598">
        <f>RTD("nest.scriprtd",,"bse_cm|MFL29","Bid Rate")</f>
        <v>1010.01</v>
      </c>
      <c r="F1598">
        <f>RTD("nest.scriprtd",,"bse_cm|MFL29","Ask Rate")</f>
        <v>1035</v>
      </c>
      <c r="G1598">
        <f>RTD("nest.scriprtd",,"bse_cm|MFL29","Ask Qty")</f>
        <v>15</v>
      </c>
      <c r="H1598">
        <f>RTD("nest.scriprtd",,"bse_cm|MFL29","LTP")</f>
        <v>0</v>
      </c>
      <c r="I1598" t="str">
        <f>RTD("nest.scriprtd",,"bse_cm|MFL29","LTT")</f>
        <v>00:00:00</v>
      </c>
      <c r="J1598">
        <f>RTD("nest.scriprtd",,"bse_cm|MFL29","% Change")</f>
        <v>-100</v>
      </c>
      <c r="K1598">
        <f>RTD("nest.scriprtd",,"bse_cm|MFL29","ATP")</f>
        <v>0</v>
      </c>
      <c r="L1598">
        <f>RTD("nest.scriprtd",,"bse_cm|MFL29","Volume Traded Today")</f>
        <v>0</v>
      </c>
      <c r="M1598">
        <f>RTD("nest.scriprtd",,"bse_cm|MFL29","Open")</f>
        <v>0</v>
      </c>
      <c r="N1598">
        <f>RTD("nest.scriprtd",,"bse_cm|MFL29","High")</f>
        <v>1029</v>
      </c>
      <c r="O1598">
        <f>RTD("nest.scriprtd",,"bse_cm|MFL29","Low ")</f>
        <v>1029</v>
      </c>
      <c r="P1598">
        <f>RTD("nest.scriprtd",,"bse_cm|MFL29","Prev Close")</f>
        <v>1029</v>
      </c>
      <c r="Q1598">
        <f>RTD("nest.scriprtd",,"bse_cm|MFL29","Face Value")</f>
        <v>1000</v>
      </c>
      <c r="R1598" t="str">
        <f>RTD("nest.scriprtd",,"bse_cm|MFL29","Isin code")</f>
        <v>INE414G07IX4</v>
      </c>
      <c r="S1598" s="9">
        <f>Table1[[#This Row],[Ask Rate]]*Table1[[#This Row],[Ask Qty]]</f>
        <v>15525</v>
      </c>
      <c r="T1598" t="str">
        <f>VLOOKUP(Table1[[#This Row],[Isin code]],Table2[#All],7,FALSE)</f>
        <v>--</v>
      </c>
      <c r="U1598" s="17" t="str">
        <f>VLOOKUP(Table1[[#This Row],[Isin code]],Table2[#All],8,FALSE)</f>
        <v>25-Jan-2029</v>
      </c>
      <c r="V1598" s="10">
        <f ca="1">Table1[[#This Row],[Maturity]]-TODAY()</f>
        <v>1562</v>
      </c>
      <c r="W1598" t="str">
        <f>VLOOKUP(Table1[[#This Row],[Isin code]],Table2[#All],10,FALSE)</f>
        <v>At the End</v>
      </c>
      <c r="X1598">
        <f ca="1">_xlfn.DAYS(Table1[[#This Row],[Maturity]],TODAY())-15</f>
        <v>1547</v>
      </c>
      <c r="Y159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98">
        <f>IF(Table1[[#This Row],[Ask Rate]]=0,0,Table1[[#This Row],[Face Value]]-Table1[[#This Row],[Ask Rate]])</f>
        <v>-35</v>
      </c>
      <c r="AA159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98">
        <f>Table1[[#This Row],[Face Value]]*Table1[[#This Row],[Rate]]*Table1[[#This Row],[Time]]</f>
        <v>0</v>
      </c>
      <c r="AC1598">
        <f>Table1[[#This Row],[SI]]+Table1[[#This Row],[Disc/Prem]]</f>
        <v>-35</v>
      </c>
      <c r="AD1598" s="3">
        <f>Table1[[#This Row],[Net Gain]]/Table1[[#This Row],[Ask Rate]]</f>
        <v>-3.3816425120772944E-2</v>
      </c>
      <c r="AE1598" s="3">
        <f ca="1">IF(Table1[[#This Row],[Ask Qty]]=0,0,Table1[[#This Row],[Gross Yield]]*365/Table1[[#This Row],[Days Left]])</f>
        <v>-7.9020455627926527E-3</v>
      </c>
      <c r="AF1598" s="9">
        <f>+Table1[[#This Row],[Net Gain]]*Table1[[#This Row],[Ask Qty]]</f>
        <v>-525</v>
      </c>
      <c r="AG1598" t="str">
        <f ca="1">IF(Table1[[#This Row],[YTM]]&gt;0.12,IF(Table1[[#This Row],[Gross Profit]]&gt;10000,"Invest","Review"),"Low YTM")</f>
        <v>Low YTM</v>
      </c>
    </row>
    <row r="1599" spans="1:33" x14ac:dyDescent="0.3">
      <c r="A1599" t="str">
        <f>RTD("nest.scriprtd",,"nse_cm|97MOFSL34-N7","Symbol")</f>
        <v>97MOFSL34</v>
      </c>
      <c r="B1599" t="str">
        <f>RTD("nest.scriprtd",,"nse_cm|97MOFSL34-N7","Trading Symbol")</f>
        <v>97MOFSL34-N7</v>
      </c>
      <c r="C1599" t="str">
        <f>RTD("nest.scriprtd",,"nse_cm|97MOFSL34-N7","Exchange")</f>
        <v>NSE</v>
      </c>
      <c r="D1599">
        <f>RTD("nest.scriprtd",,"nse_cm|97MOFSL34-N7","Bid Qty")</f>
        <v>100</v>
      </c>
      <c r="E1599">
        <f>RTD("nest.scriprtd",,"nse_cm|97MOFSL34-N7","Bid Rate")</f>
        <v>1055</v>
      </c>
      <c r="F1599">
        <f>RTD("nest.scriprtd",,"nse_cm|97MOFSL34-N7","Ask Rate")</f>
        <v>1085</v>
      </c>
      <c r="G1599">
        <f>RTD("nest.scriprtd",,"nse_cm|97MOFSL34-N7","Ask Qty")</f>
        <v>50</v>
      </c>
      <c r="H1599">
        <f>RTD("nest.scriprtd",,"nse_cm|97MOFSL34-N7","LTP")</f>
        <v>1098</v>
      </c>
      <c r="I1599" t="str">
        <f>RTD("nest.scriprtd",,"nse_cm|97MOFSL34-N7","LTT")</f>
        <v/>
      </c>
      <c r="J1599">
        <f>RTD("nest.scriprtd",,"nse_cm|97MOFSL34-N7","% Change")</f>
        <v>1.2</v>
      </c>
      <c r="K1599">
        <f>RTD("nest.scriprtd",,"nse_cm|97MOFSL34-N7","ATP")</f>
        <v>0</v>
      </c>
      <c r="L1599">
        <f>RTD("nest.scriprtd",,"nse_cm|97MOFSL34-N7","Volume Traded Today")</f>
        <v>0</v>
      </c>
      <c r="M1599">
        <f>RTD("nest.scriprtd",,"nse_cm|97MOFSL34-N7","Open")</f>
        <v>0</v>
      </c>
      <c r="N1599">
        <f>RTD("nest.scriprtd",,"nse_cm|97MOFSL34-N7","High")</f>
        <v>1098</v>
      </c>
      <c r="O1599">
        <f>RTD("nest.scriprtd",,"nse_cm|97MOFSL34-N7","Low ")</f>
        <v>1084</v>
      </c>
      <c r="P1599">
        <f>RTD("nest.scriprtd",,"nse_cm|97MOFSL34-N7","Prev Close")</f>
        <v>1085</v>
      </c>
      <c r="Q1599">
        <f>RTD("nest.scriprtd",,"nse_cm|97MOFSL34-N7","Face Value")</f>
        <v>1000</v>
      </c>
      <c r="R1599" t="str">
        <f>RTD("nest.scriprtd",,"nse_cm|97MOFSL34-N7","Isin code")</f>
        <v>INE338I07123</v>
      </c>
      <c r="S1599" s="9">
        <f>Table1[[#This Row],[Ask Rate]]*Table1[[#This Row],[Ask Qty]]</f>
        <v>54250</v>
      </c>
      <c r="T1599">
        <f>VLOOKUP(Table1[[#This Row],[Isin code]],Table2[#All],7,FALSE)</f>
        <v>9.7000000000000011</v>
      </c>
      <c r="U1599" s="17" t="str">
        <f>VLOOKUP(Table1[[#This Row],[Isin code]],Table2[#All],8,FALSE)</f>
        <v>09-May-2034</v>
      </c>
      <c r="V1599" s="10">
        <f ca="1">Table1[[#This Row],[Maturity]]-TODAY()</f>
        <v>3492</v>
      </c>
      <c r="W1599" t="str">
        <f>VLOOKUP(Table1[[#This Row],[Isin code]],Table2[#All],10,FALSE)</f>
        <v>Annual</v>
      </c>
      <c r="X1599">
        <f ca="1">_xlfn.DAYS(Table1[[#This Row],[Maturity]],TODAY())-15</f>
        <v>3477</v>
      </c>
      <c r="Y159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599">
        <f>IF(Table1[[#This Row],[Ask Rate]]=0,0,Table1[[#This Row],[Face Value]]-Table1[[#This Row],[Ask Rate]])</f>
        <v>-85</v>
      </c>
      <c r="AA159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599">
        <f>Table1[[#This Row],[Face Value]]*Table1[[#This Row],[Rate]]*Table1[[#This Row],[Time]]</f>
        <v>0</v>
      </c>
      <c r="AC1599">
        <f>Table1[[#This Row],[SI]]+Table1[[#This Row],[Disc/Prem]]</f>
        <v>-85</v>
      </c>
      <c r="AD1599" s="3">
        <f>Table1[[#This Row],[Net Gain]]/Table1[[#This Row],[Ask Rate]]</f>
        <v>-7.8341013824884786E-2</v>
      </c>
      <c r="AE1599" s="3">
        <f ca="1">IF(Table1[[#This Row],[Ask Qty]]=0,0,Table1[[#This Row],[Gross Yield]]*365/Table1[[#This Row],[Days Left]])</f>
        <v>-8.1885653052929403E-3</v>
      </c>
      <c r="AF1599" s="9">
        <f>+Table1[[#This Row],[Net Gain]]*Table1[[#This Row],[Ask Qty]]</f>
        <v>-4250</v>
      </c>
      <c r="AG1599" t="str">
        <f ca="1">IF(Table1[[#This Row],[YTM]]&gt;0.12,IF(Table1[[#This Row],[Gross Profit]]&gt;10000,"Invest","Review"),"Low YTM")</f>
        <v>Low YTM</v>
      </c>
    </row>
    <row r="1600" spans="1:33" x14ac:dyDescent="0.3">
      <c r="A1600" t="str">
        <f>RTD("nest.scriprtd",,"bse_cm|97MOFSL34","Symbol")</f>
        <v>97MOFSL34</v>
      </c>
      <c r="B1600" t="str">
        <f>RTD("nest.scriprtd",,"bse_cm|97MOFSL34","Trading Symbol")</f>
        <v>97MOFSL34</v>
      </c>
      <c r="C1600" t="str">
        <f>RTD("nest.scriprtd",,"bse_cm|97MOFSL34","Exchange")</f>
        <v>BSE</v>
      </c>
      <c r="D1600">
        <f>RTD("nest.scriprtd",,"bse_cm|97MOFSL34","Bid Qty")</f>
        <v>10</v>
      </c>
      <c r="E1600">
        <f>RTD("nest.scriprtd",,"bse_cm|97MOFSL34","Bid Rate")</f>
        <v>1001.5</v>
      </c>
      <c r="F1600">
        <f>RTD("nest.scriprtd",,"bse_cm|97MOFSL34","Ask Rate")</f>
        <v>1094</v>
      </c>
      <c r="G1600">
        <f>RTD("nest.scriprtd",,"bse_cm|97MOFSL34","Ask Qty")</f>
        <v>5</v>
      </c>
      <c r="H1600">
        <f>RTD("nest.scriprtd",,"bse_cm|97MOFSL34","LTP")</f>
        <v>0</v>
      </c>
      <c r="I1600" t="str">
        <f>RTD("nest.scriprtd",,"bse_cm|97MOFSL34","LTT")</f>
        <v>00:00:00</v>
      </c>
      <c r="J1600">
        <f>RTD("nest.scriprtd",,"bse_cm|97MOFSL34","% Change")</f>
        <v>-100</v>
      </c>
      <c r="K1600">
        <f>RTD("nest.scriprtd",,"bse_cm|97MOFSL34","ATP")</f>
        <v>0</v>
      </c>
      <c r="L1600">
        <f>RTD("nest.scriprtd",,"bse_cm|97MOFSL34","Volume Traded Today")</f>
        <v>0</v>
      </c>
      <c r="M1600">
        <f>RTD("nest.scriprtd",,"bse_cm|97MOFSL34","Open")</f>
        <v>0</v>
      </c>
      <c r="N1600">
        <f>RTD("nest.scriprtd",,"bse_cm|97MOFSL34","High")</f>
        <v>1070</v>
      </c>
      <c r="O1600">
        <f>RTD("nest.scriprtd",,"bse_cm|97MOFSL34","Low ")</f>
        <v>1060</v>
      </c>
      <c r="P1600">
        <f>RTD("nest.scriprtd",,"bse_cm|97MOFSL34","Prev Close")</f>
        <v>1070</v>
      </c>
      <c r="Q1600">
        <f>RTD("nest.scriprtd",,"bse_cm|97MOFSL34","Face Value")</f>
        <v>1000</v>
      </c>
      <c r="R1600" t="str">
        <f>RTD("nest.scriprtd",,"bse_cm|97MOFSL34","Isin code")</f>
        <v>INE338I07123</v>
      </c>
      <c r="S1600" s="9">
        <f>Table1[[#This Row],[Ask Rate]]*Table1[[#This Row],[Ask Qty]]</f>
        <v>5470</v>
      </c>
      <c r="T1600">
        <f>VLOOKUP(Table1[[#This Row],[Isin code]],Table2[#All],7,FALSE)</f>
        <v>9.7000000000000011</v>
      </c>
      <c r="U1600" s="17" t="str">
        <f>VLOOKUP(Table1[[#This Row],[Isin code]],Table2[#All],8,FALSE)</f>
        <v>09-May-2034</v>
      </c>
      <c r="V1600" s="10">
        <f ca="1">Table1[[#This Row],[Maturity]]-TODAY()</f>
        <v>3492</v>
      </c>
      <c r="W1600" t="str">
        <f>VLOOKUP(Table1[[#This Row],[Isin code]],Table2[#All],10,FALSE)</f>
        <v>Annual</v>
      </c>
      <c r="X1600">
        <f ca="1">_xlfn.DAYS(Table1[[#This Row],[Maturity]],TODAY())-15</f>
        <v>3477</v>
      </c>
      <c r="Y160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00">
        <f>IF(Table1[[#This Row],[Ask Rate]]=0,0,Table1[[#This Row],[Face Value]]-Table1[[#This Row],[Ask Rate]])</f>
        <v>-94</v>
      </c>
      <c r="AA160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00">
        <f>Table1[[#This Row],[Face Value]]*Table1[[#This Row],[Rate]]*Table1[[#This Row],[Time]]</f>
        <v>0</v>
      </c>
      <c r="AC1600">
        <f>Table1[[#This Row],[SI]]+Table1[[#This Row],[Disc/Prem]]</f>
        <v>-94</v>
      </c>
      <c r="AD1600" s="3">
        <f>Table1[[#This Row],[Net Gain]]/Table1[[#This Row],[Ask Rate]]</f>
        <v>-8.5923217550274225E-2</v>
      </c>
      <c r="AE1600" s="3">
        <f ca="1">IF(Table1[[#This Row],[Ask Qty]]=0,0,Table1[[#This Row],[Gross Yield]]*365/Table1[[#This Row],[Days Left]])</f>
        <v>-8.9810923269902903E-3</v>
      </c>
      <c r="AF1600" s="9">
        <f>+Table1[[#This Row],[Net Gain]]*Table1[[#This Row],[Ask Qty]]</f>
        <v>-470</v>
      </c>
      <c r="AG1600" t="str">
        <f ca="1">IF(Table1[[#This Row],[YTM]]&gt;0.12,IF(Table1[[#This Row],[Gross Profit]]&gt;10000,"Invest","Review"),"Low YTM")</f>
        <v>Low YTM</v>
      </c>
    </row>
    <row r="1601" spans="1:33" x14ac:dyDescent="0.3">
      <c r="A1601" t="str">
        <f>RTD("nest.scriprtd",,"nse_cm|935MOFSL29-N5","Symbol")</f>
        <v>935MOFSL29</v>
      </c>
      <c r="B1601" t="str">
        <f>RTD("nest.scriprtd",,"nse_cm|935MOFSL29-N5","Trading Symbol")</f>
        <v>935MOFSL29-N5</v>
      </c>
      <c r="C1601" t="str">
        <f>RTD("nest.scriprtd",,"nse_cm|935MOFSL29-N5","Exchange")</f>
        <v>NSE</v>
      </c>
      <c r="D1601">
        <f>RTD("nest.scriprtd",,"nse_cm|935MOFSL29-N5","Bid Qty")</f>
        <v>15</v>
      </c>
      <c r="E1601">
        <f>RTD("nest.scriprtd",,"nse_cm|935MOFSL29-N5","Bid Rate")</f>
        <v>1028.01</v>
      </c>
      <c r="F1601">
        <f>RTD("nest.scriprtd",,"nse_cm|935MOFSL29-N5","Ask Rate")</f>
        <v>1044</v>
      </c>
      <c r="G1601">
        <f>RTD("nest.scriprtd",,"nse_cm|935MOFSL29-N5","Ask Qty")</f>
        <v>10</v>
      </c>
      <c r="H1601">
        <f>RTD("nest.scriprtd",,"nse_cm|935MOFSL29-N5","LTP")</f>
        <v>1028</v>
      </c>
      <c r="I1601" t="str">
        <f>RTD("nest.scriprtd",,"nse_cm|935MOFSL29-N5","LTT")</f>
        <v/>
      </c>
      <c r="J1601">
        <f>RTD("nest.scriprtd",,"nse_cm|935MOFSL29-N5","% Change")</f>
        <v>0</v>
      </c>
      <c r="K1601">
        <f>RTD("nest.scriprtd",,"nse_cm|935MOFSL29-N5","ATP")</f>
        <v>0</v>
      </c>
      <c r="L1601">
        <f>RTD("nest.scriprtd",,"nse_cm|935MOFSL29-N5","Volume Traded Today")</f>
        <v>0</v>
      </c>
      <c r="M1601">
        <f>RTD("nest.scriprtd",,"nse_cm|935MOFSL29-N5","Open")</f>
        <v>0</v>
      </c>
      <c r="N1601">
        <f>RTD("nest.scriprtd",,"nse_cm|935MOFSL29-N5","High")</f>
        <v>1028.28</v>
      </c>
      <c r="O1601">
        <f>RTD("nest.scriprtd",,"nse_cm|935MOFSL29-N5","Low ")</f>
        <v>1028</v>
      </c>
      <c r="P1601">
        <f>RTD("nest.scriprtd",,"nse_cm|935MOFSL29-N5","Prev Close")</f>
        <v>1028</v>
      </c>
      <c r="Q1601">
        <f>RTD("nest.scriprtd",,"nse_cm|935MOFSL29-N5","Face Value")</f>
        <v>1000</v>
      </c>
      <c r="R1601" t="str">
        <f>RTD("nest.scriprtd",,"nse_cm|935MOFSL29-N5","Isin code")</f>
        <v>INE338I07107</v>
      </c>
      <c r="S1601" s="9">
        <f>Table1[[#This Row],[Ask Rate]]*Table1[[#This Row],[Ask Qty]]</f>
        <v>10440</v>
      </c>
      <c r="T1601">
        <f>VLOOKUP(Table1[[#This Row],[Isin code]],Table2[#All],7,FALSE)</f>
        <v>9.35</v>
      </c>
      <c r="U1601" s="17" t="str">
        <f>VLOOKUP(Table1[[#This Row],[Isin code]],Table2[#All],8,FALSE)</f>
        <v>09-May-2029</v>
      </c>
      <c r="V1601" s="10">
        <f ca="1">Table1[[#This Row],[Maturity]]-TODAY()</f>
        <v>1666</v>
      </c>
      <c r="W1601" t="str">
        <f>VLOOKUP(Table1[[#This Row],[Isin code]],Table2[#All],10,FALSE)</f>
        <v>Annual</v>
      </c>
      <c r="X1601">
        <f ca="1">_xlfn.DAYS(Table1[[#This Row],[Maturity]],TODAY())-15</f>
        <v>1651</v>
      </c>
      <c r="Y160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01">
        <f>IF(Table1[[#This Row],[Ask Rate]]=0,0,Table1[[#This Row],[Face Value]]-Table1[[#This Row],[Ask Rate]])</f>
        <v>-44</v>
      </c>
      <c r="AA160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01">
        <f>Table1[[#This Row],[Face Value]]*Table1[[#This Row],[Rate]]*Table1[[#This Row],[Time]]</f>
        <v>0</v>
      </c>
      <c r="AC1601">
        <f>Table1[[#This Row],[SI]]+Table1[[#This Row],[Disc/Prem]]</f>
        <v>-44</v>
      </c>
      <c r="AD1601" s="3">
        <f>Table1[[#This Row],[Net Gain]]/Table1[[#This Row],[Ask Rate]]</f>
        <v>-4.2145593869731802E-2</v>
      </c>
      <c r="AE1601" s="3">
        <f ca="1">IF(Table1[[#This Row],[Ask Qty]]=0,0,Table1[[#This Row],[Gross Yield]]*365/Table1[[#This Row],[Days Left]])</f>
        <v>-9.2335784888668126E-3</v>
      </c>
      <c r="AF1601" s="9">
        <f>+Table1[[#This Row],[Net Gain]]*Table1[[#This Row],[Ask Qty]]</f>
        <v>-440</v>
      </c>
      <c r="AG1601" t="str">
        <f ca="1">IF(Table1[[#This Row],[YTM]]&gt;0.12,IF(Table1[[#This Row],[Gross Profit]]&gt;10000,"Invest","Review"),"Low YTM")</f>
        <v>Low YTM</v>
      </c>
    </row>
    <row r="1602" spans="1:33" x14ac:dyDescent="0.3">
      <c r="A1602" t="str">
        <f>RTD("nest.scriprtd",,"bse_cm|935MOFSL29","Symbol")</f>
        <v>935MOFSL29</v>
      </c>
      <c r="B1602" t="str">
        <f>RTD("nest.scriprtd",,"bse_cm|935MOFSL29","Trading Symbol")</f>
        <v>935MOFSL29</v>
      </c>
      <c r="C1602" t="str">
        <f>RTD("nest.scriprtd",,"bse_cm|935MOFSL29","Exchange")</f>
        <v>BSE</v>
      </c>
      <c r="D1602">
        <f>RTD("nest.scriprtd",,"bse_cm|935MOFSL29","Bid Qty")</f>
        <v>50</v>
      </c>
      <c r="E1602">
        <f>RTD("nest.scriprtd",,"bse_cm|935MOFSL29","Bid Rate")</f>
        <v>1028.2</v>
      </c>
      <c r="F1602">
        <f>RTD("nest.scriprtd",,"bse_cm|935MOFSL29","Ask Rate")</f>
        <v>1044</v>
      </c>
      <c r="G1602">
        <f>RTD("nest.scriprtd",,"bse_cm|935MOFSL29","Ask Qty")</f>
        <v>1000</v>
      </c>
      <c r="H1602">
        <f>RTD("nest.scriprtd",,"bse_cm|935MOFSL29","LTP")</f>
        <v>1028</v>
      </c>
      <c r="I1602" t="str">
        <f>RTD("nest.scriprtd",,"bse_cm|935MOFSL29","LTT")</f>
        <v>00:00:00</v>
      </c>
      <c r="J1602">
        <f>RTD("nest.scriprtd",,"bse_cm|935MOFSL29","% Change")</f>
        <v>-1.66</v>
      </c>
      <c r="K1602">
        <f>RTD("nest.scriprtd",,"bse_cm|935MOFSL29","ATP")</f>
        <v>0</v>
      </c>
      <c r="L1602">
        <f>RTD("nest.scriprtd",,"bse_cm|935MOFSL29","Volume Traded Today")</f>
        <v>0</v>
      </c>
      <c r="M1602">
        <f>RTD("nest.scriprtd",,"bse_cm|935MOFSL29","Open")</f>
        <v>0</v>
      </c>
      <c r="N1602">
        <f>RTD("nest.scriprtd",,"bse_cm|935MOFSL29","High")</f>
        <v>1028</v>
      </c>
      <c r="O1602">
        <f>RTD("nest.scriprtd",,"bse_cm|935MOFSL29","Low ")</f>
        <v>1028</v>
      </c>
      <c r="P1602">
        <f>RTD("nest.scriprtd",,"bse_cm|935MOFSL29","Prev Close")</f>
        <v>1045.3900000000001</v>
      </c>
      <c r="Q1602">
        <f>RTD("nest.scriprtd",,"bse_cm|935MOFSL29","Face Value")</f>
        <v>1000</v>
      </c>
      <c r="R1602" t="str">
        <f>RTD("nest.scriprtd",,"bse_cm|935MOFSL29","Isin code")</f>
        <v>INE338I07107</v>
      </c>
      <c r="S1602" s="9">
        <f>Table1[[#This Row],[Ask Rate]]*Table1[[#This Row],[Ask Qty]]</f>
        <v>1044000</v>
      </c>
      <c r="T1602">
        <f>VLOOKUP(Table1[[#This Row],[Isin code]],Table2[#All],7,FALSE)</f>
        <v>9.35</v>
      </c>
      <c r="U1602" s="17" t="str">
        <f>VLOOKUP(Table1[[#This Row],[Isin code]],Table2[#All],8,FALSE)</f>
        <v>09-May-2029</v>
      </c>
      <c r="V1602" s="10">
        <f ca="1">Table1[[#This Row],[Maturity]]-TODAY()</f>
        <v>1666</v>
      </c>
      <c r="W1602" t="str">
        <f>VLOOKUP(Table1[[#This Row],[Isin code]],Table2[#All],10,FALSE)</f>
        <v>Annual</v>
      </c>
      <c r="X1602">
        <f ca="1">_xlfn.DAYS(Table1[[#This Row],[Maturity]],TODAY())-15</f>
        <v>1651</v>
      </c>
      <c r="Y160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02">
        <f>IF(Table1[[#This Row],[Ask Rate]]=0,0,Table1[[#This Row],[Face Value]]-Table1[[#This Row],[Ask Rate]])</f>
        <v>-44</v>
      </c>
      <c r="AA160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02">
        <f>Table1[[#This Row],[Face Value]]*Table1[[#This Row],[Rate]]*Table1[[#This Row],[Time]]</f>
        <v>0</v>
      </c>
      <c r="AC1602">
        <f>Table1[[#This Row],[SI]]+Table1[[#This Row],[Disc/Prem]]</f>
        <v>-44</v>
      </c>
      <c r="AD1602" s="3">
        <f>Table1[[#This Row],[Net Gain]]/Table1[[#This Row],[Ask Rate]]</f>
        <v>-4.2145593869731802E-2</v>
      </c>
      <c r="AE1602" s="3">
        <f ca="1">IF(Table1[[#This Row],[Ask Qty]]=0,0,Table1[[#This Row],[Gross Yield]]*365/Table1[[#This Row],[Days Left]])</f>
        <v>-9.2335784888668126E-3</v>
      </c>
      <c r="AF1602" s="9">
        <f>+Table1[[#This Row],[Net Gain]]*Table1[[#This Row],[Ask Qty]]</f>
        <v>-44000</v>
      </c>
      <c r="AG1602" t="str">
        <f ca="1">IF(Table1[[#This Row],[YTM]]&gt;0.12,IF(Table1[[#This Row],[Gross Profit]]&gt;10000,"Invest","Review"),"Low YTM")</f>
        <v>Low YTM</v>
      </c>
    </row>
    <row r="1603" spans="1:33" x14ac:dyDescent="0.3">
      <c r="A1603" t="str">
        <f>RTD("nest.scriprtd",,"bse_cm|81ABFL33","Symbol")</f>
        <v>81ABFL33</v>
      </c>
      <c r="B1603" t="str">
        <f>RTD("nest.scriprtd",,"bse_cm|81ABFL33","Trading Symbol")</f>
        <v>81ABFL33</v>
      </c>
      <c r="C1603" t="str">
        <f>RTD("nest.scriprtd",,"bse_cm|81ABFL33","Exchange")</f>
        <v>BSE</v>
      </c>
      <c r="D1603">
        <f>RTD("nest.scriprtd",,"bse_cm|81ABFL33","Bid Qty")</f>
        <v>10</v>
      </c>
      <c r="E1603">
        <f>RTD("nest.scriprtd",,"bse_cm|81ABFL33","Bid Rate")</f>
        <v>990</v>
      </c>
      <c r="F1603">
        <f>RTD("nest.scriprtd",,"bse_cm|81ABFL33","Ask Rate")</f>
        <v>1092</v>
      </c>
      <c r="G1603">
        <f>RTD("nest.scriprtd",,"bse_cm|81ABFL33","Ask Qty")</f>
        <v>10</v>
      </c>
      <c r="H1603">
        <f>RTD("nest.scriprtd",,"bse_cm|81ABFL33","LTP")</f>
        <v>0</v>
      </c>
      <c r="I1603" t="str">
        <f>RTD("nest.scriprtd",,"bse_cm|81ABFL33","LTT")</f>
        <v>00:00:00</v>
      </c>
      <c r="J1603">
        <f>RTD("nest.scriprtd",,"bse_cm|81ABFL33","% Change")</f>
        <v>-100</v>
      </c>
      <c r="K1603">
        <f>RTD("nest.scriprtd",,"bse_cm|81ABFL33","ATP")</f>
        <v>0</v>
      </c>
      <c r="L1603">
        <f>RTD("nest.scriprtd",,"bse_cm|81ABFL33","Volume Traded Today")</f>
        <v>0</v>
      </c>
      <c r="M1603">
        <f>RTD("nest.scriprtd",,"bse_cm|81ABFL33","Open")</f>
        <v>0</v>
      </c>
      <c r="N1603">
        <f>RTD("nest.scriprtd",,"bse_cm|81ABFL33","High")</f>
        <v>1083.5</v>
      </c>
      <c r="O1603">
        <f>RTD("nest.scriprtd",,"bse_cm|81ABFL33","Low ")</f>
        <v>1083.5</v>
      </c>
      <c r="P1603">
        <f>RTD("nest.scriprtd",,"bse_cm|81ABFL33","Prev Close")</f>
        <v>1083.5</v>
      </c>
      <c r="Q1603">
        <f>RTD("nest.scriprtd",,"bse_cm|81ABFL33","Face Value")</f>
        <v>1000</v>
      </c>
      <c r="R1603" t="str">
        <f>RTD("nest.scriprtd",,"bse_cm|81ABFL33","Isin code")</f>
        <v>INE860H07IS6</v>
      </c>
      <c r="S1603" s="9">
        <f>Table1[[#This Row],[Ask Rate]]*Table1[[#This Row],[Ask Qty]]</f>
        <v>10920</v>
      </c>
      <c r="T1603">
        <f>VLOOKUP(Table1[[#This Row],[Isin code]],Table2[#All],7,FALSE)</f>
        <v>8.1</v>
      </c>
      <c r="U1603" s="17" t="str">
        <f>VLOOKUP(Table1[[#This Row],[Isin code]],Table2[#All],8,FALSE)</f>
        <v>09-Oct-2033</v>
      </c>
      <c r="V1603" s="10">
        <f ca="1">Table1[[#This Row],[Maturity]]-TODAY()</f>
        <v>3280</v>
      </c>
      <c r="W1603" t="str">
        <f>VLOOKUP(Table1[[#This Row],[Isin code]],Table2[#All],10,FALSE)</f>
        <v>At the End</v>
      </c>
      <c r="X1603">
        <f ca="1">_xlfn.DAYS(Table1[[#This Row],[Maturity]],TODAY())-15</f>
        <v>3265</v>
      </c>
      <c r="Y160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03">
        <f>IF(Table1[[#This Row],[Ask Rate]]=0,0,Table1[[#This Row],[Face Value]]-Table1[[#This Row],[Ask Rate]])</f>
        <v>-92</v>
      </c>
      <c r="AA160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03">
        <f>Table1[[#This Row],[Face Value]]*Table1[[#This Row],[Rate]]*Table1[[#This Row],[Time]]</f>
        <v>0</v>
      </c>
      <c r="AC1603">
        <f>Table1[[#This Row],[SI]]+Table1[[#This Row],[Disc/Prem]]</f>
        <v>-92</v>
      </c>
      <c r="AD1603" s="3">
        <f>Table1[[#This Row],[Net Gain]]/Table1[[#This Row],[Ask Rate]]</f>
        <v>-8.4249084249084255E-2</v>
      </c>
      <c r="AE1603" s="3">
        <f ca="1">IF(Table1[[#This Row],[Ask Qty]]=0,0,Table1[[#This Row],[Gross Yield]]*365/Table1[[#This Row],[Days Left]])</f>
        <v>-9.3752791923523635E-3</v>
      </c>
      <c r="AF1603" s="9">
        <f>+Table1[[#This Row],[Net Gain]]*Table1[[#This Row],[Ask Qty]]</f>
        <v>-920</v>
      </c>
      <c r="AG1603" t="str">
        <f ca="1">IF(Table1[[#This Row],[YTM]]&gt;0.12,IF(Table1[[#This Row],[Gross Profit]]&gt;10000,"Invest","Review"),"Low YTM")</f>
        <v>Low YTM</v>
      </c>
    </row>
    <row r="1604" spans="1:33" x14ac:dyDescent="0.3">
      <c r="A1604" t="str">
        <f>RTD("nest.scriprtd",,"bse_cm|0KFL25","Symbol")</f>
        <v>0KFL25</v>
      </c>
      <c r="B1604" t="str">
        <f>RTD("nest.scriprtd",,"bse_cm|0KFL25","Trading Symbol")</f>
        <v>0KFL25</v>
      </c>
      <c r="C1604" t="str">
        <f>RTD("nest.scriprtd",,"bse_cm|0KFL25","Exchange")</f>
        <v>BSE</v>
      </c>
      <c r="D1604">
        <f>RTD("nest.scriprtd",,"bse_cm|0KFL25","Bid Qty")</f>
        <v>7</v>
      </c>
      <c r="E1604">
        <f>RTD("nest.scriprtd",,"bse_cm|0KFL25","Bid Rate")</f>
        <v>950.3</v>
      </c>
      <c r="F1604">
        <f>RTD("nest.scriprtd",,"bse_cm|0KFL25","Ask Rate")</f>
        <v>1010</v>
      </c>
      <c r="G1604">
        <f>RTD("nest.scriprtd",,"bse_cm|0KFL25","Ask Qty")</f>
        <v>10</v>
      </c>
      <c r="H1604">
        <f>RTD("nest.scriprtd",,"bse_cm|0KFL25","LTP")</f>
        <v>0</v>
      </c>
      <c r="I1604" t="str">
        <f>RTD("nest.scriprtd",,"bse_cm|0KFL25","LTT")</f>
        <v>00:00:00</v>
      </c>
      <c r="J1604">
        <f>RTD("nest.scriprtd",,"bse_cm|0KFL25","% Change")</f>
        <v>-100</v>
      </c>
      <c r="K1604">
        <f>RTD("nest.scriprtd",,"bse_cm|0KFL25","ATP")</f>
        <v>0</v>
      </c>
      <c r="L1604">
        <f>RTD("nest.scriprtd",,"bse_cm|0KFL25","Volume Traded Today")</f>
        <v>0</v>
      </c>
      <c r="M1604">
        <f>RTD("nest.scriprtd",,"bse_cm|0KFL25","Open")</f>
        <v>0</v>
      </c>
      <c r="N1604">
        <f>RTD("nest.scriprtd",,"bse_cm|0KFL25","High")</f>
        <v>995</v>
      </c>
      <c r="O1604">
        <f>RTD("nest.scriprtd",,"bse_cm|0KFL25","Low ")</f>
        <v>978</v>
      </c>
      <c r="P1604">
        <f>RTD("nest.scriprtd",,"bse_cm|0KFL25","Prev Close")</f>
        <v>995</v>
      </c>
      <c r="Q1604">
        <f>RTD("nest.scriprtd",,"bse_cm|0KFL25","Face Value")</f>
        <v>1000</v>
      </c>
      <c r="R1604" t="str">
        <f>RTD("nest.scriprtd",,"bse_cm|0KFL25","Isin code")</f>
        <v>INE403Q07EK2</v>
      </c>
      <c r="S1604" s="9">
        <f>Table1[[#This Row],[Ask Rate]]*Table1[[#This Row],[Ask Qty]]</f>
        <v>10100</v>
      </c>
      <c r="T1604" t="str">
        <f>VLOOKUP(Table1[[#This Row],[Isin code]],Table2[#All],7,FALSE)</f>
        <v>--</v>
      </c>
      <c r="U1604" s="17" t="str">
        <f>VLOOKUP(Table1[[#This Row],[Isin code]],Table2[#All],8,FALSE)</f>
        <v>25-Oct-2025</v>
      </c>
      <c r="V1604" s="10">
        <f ca="1">Table1[[#This Row],[Maturity]]-TODAY()</f>
        <v>374</v>
      </c>
      <c r="W1604" t="str">
        <f>VLOOKUP(Table1[[#This Row],[Isin code]],Table2[#All],10,FALSE)</f>
        <v>At the End</v>
      </c>
      <c r="X1604">
        <f ca="1">_xlfn.DAYS(Table1[[#This Row],[Maturity]],TODAY())-15</f>
        <v>359</v>
      </c>
      <c r="Y160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04">
        <f>IF(Table1[[#This Row],[Ask Rate]]=0,0,Table1[[#This Row],[Face Value]]-Table1[[#This Row],[Ask Rate]])</f>
        <v>-10</v>
      </c>
      <c r="AA160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04">
        <f>Table1[[#This Row],[Face Value]]*Table1[[#This Row],[Rate]]*Table1[[#This Row],[Time]]</f>
        <v>0</v>
      </c>
      <c r="AC1604">
        <f>Table1[[#This Row],[SI]]+Table1[[#This Row],[Disc/Prem]]</f>
        <v>-10</v>
      </c>
      <c r="AD1604" s="3">
        <f>Table1[[#This Row],[Net Gain]]/Table1[[#This Row],[Ask Rate]]</f>
        <v>-9.9009900990099011E-3</v>
      </c>
      <c r="AE1604" s="3">
        <f ca="1">IF(Table1[[#This Row],[Ask Qty]]=0,0,Table1[[#This Row],[Gross Yield]]*365/Table1[[#This Row],[Days Left]])</f>
        <v>-9.6627309789802506E-3</v>
      </c>
      <c r="AF1604" s="9">
        <f>+Table1[[#This Row],[Net Gain]]*Table1[[#This Row],[Ask Qty]]</f>
        <v>-100</v>
      </c>
      <c r="AG1604" t="str">
        <f ca="1">IF(Table1[[#This Row],[YTM]]&gt;0.12,IF(Table1[[#This Row],[Gross Profit]]&gt;10000,"Invest","Review"),"Low YTM")</f>
        <v>Low YTM</v>
      </c>
    </row>
    <row r="1605" spans="1:33" x14ac:dyDescent="0.3">
      <c r="A1605" t="str">
        <f>RTD("nest.scriprtd",,"nse_cm|985ICCL28-NO","Symbol")</f>
        <v>985ICCL28</v>
      </c>
      <c r="B1605" t="str">
        <f>RTD("nest.scriprtd",,"nse_cm|985ICCL28-NO","Trading Symbol")</f>
        <v>985ICCL28-NO</v>
      </c>
      <c r="C1605" t="str">
        <f>RTD("nest.scriprtd",,"nse_cm|985ICCL28-NO","Exchange")</f>
        <v>NSE</v>
      </c>
      <c r="D1605">
        <f>RTD("nest.scriprtd",,"nse_cm|985ICCL28-NO","Bid Qty")</f>
        <v>45</v>
      </c>
      <c r="E1605">
        <f>RTD("nest.scriprtd",,"nse_cm|985ICCL28-NO","Bid Rate")</f>
        <v>875</v>
      </c>
      <c r="F1605">
        <f>RTD("nest.scriprtd",,"nse_cm|985ICCL28-NO","Ask Rate")</f>
        <v>1100</v>
      </c>
      <c r="G1605">
        <f>RTD("nest.scriprtd",,"nse_cm|985ICCL28-NO","Ask Qty")</f>
        <v>60</v>
      </c>
      <c r="H1605">
        <f>RTD("nest.scriprtd",,"nse_cm|985ICCL28-NO","LTP")</f>
        <v>1105</v>
      </c>
      <c r="I1605" t="str">
        <f>RTD("nest.scriprtd",,"nse_cm|985ICCL28-NO","LTT")</f>
        <v>10:02:51</v>
      </c>
      <c r="J1605">
        <f>RTD("nest.scriprtd",,"nse_cm|985ICCL28-NO","% Change")</f>
        <v>18.82</v>
      </c>
      <c r="K1605">
        <f>RTD("nest.scriprtd",,"nse_cm|985ICCL28-NO","ATP")</f>
        <v>1110</v>
      </c>
      <c r="L1605">
        <f>RTD("nest.scriprtd",,"nse_cm|985ICCL28-NO","Volume Traded Today")</f>
        <v>6</v>
      </c>
      <c r="M1605">
        <f>RTD("nest.scriprtd",,"nse_cm|985ICCL28-NO","Open")</f>
        <v>1110</v>
      </c>
      <c r="N1605">
        <f>RTD("nest.scriprtd",,"nse_cm|985ICCL28-NO","High")</f>
        <v>1110</v>
      </c>
      <c r="O1605">
        <f>RTD("nest.scriprtd",,"nse_cm|985ICCL28-NO","Low ")</f>
        <v>1105</v>
      </c>
      <c r="P1605">
        <f>RTD("nest.scriprtd",,"nse_cm|985ICCL28-NO","Prev Close")</f>
        <v>930</v>
      </c>
      <c r="Q1605">
        <f>RTD("nest.scriprtd",,"nse_cm|985ICCL28-NO","Face Value")</f>
        <v>800</v>
      </c>
      <c r="R1605" t="str">
        <f>RTD("nest.scriprtd",,"nse_cm|985ICCL28-NO","Isin code")</f>
        <v>INE244L07416</v>
      </c>
      <c r="S1605" s="9">
        <f>Table1[[#This Row],[Ask Rate]]*Table1[[#This Row],[Ask Qty]]</f>
        <v>66000</v>
      </c>
      <c r="T1605">
        <f>VLOOKUP(Table1[[#This Row],[Isin code]],Table2[#All],7,FALSE)</f>
        <v>9.85</v>
      </c>
      <c r="U1605" s="17" t="str">
        <f>VLOOKUP(Table1[[#This Row],[Isin code]],Table2[#All],8,FALSE)</f>
        <v>02-Feb-2028</v>
      </c>
      <c r="V1605" s="10">
        <f ca="1">Table1[[#This Row],[Maturity]]-TODAY()</f>
        <v>1204</v>
      </c>
      <c r="W1605" t="str">
        <f>VLOOKUP(Table1[[#This Row],[Isin code]],Table2[#All],10,FALSE)</f>
        <v>Monthly</v>
      </c>
      <c r="X1605">
        <f ca="1">_xlfn.DAYS(Table1[[#This Row],[Maturity]],TODAY())-15</f>
        <v>1189</v>
      </c>
      <c r="Y160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40</v>
      </c>
      <c r="Z1605">
        <f>IF(Table1[[#This Row],[Ask Rate]]=0,0,Table1[[#This Row],[Face Value]]-Table1[[#This Row],[Ask Rate]])</f>
        <v>-300</v>
      </c>
      <c r="AA1605">
        <f>IF(Table1[[#This Row],[Freq]]="Yearly",Table1[[#This Row],[Coupon_Rate]]/100,IF(Table1[[#This Row],[Freq]]="Monthly",Table1[[#This Row],[Coupon_Rate]]/1200,IF(Table1[[#This Row],[Freq]]="Quarterly",Table1[[#This Row],[Coupon_Rate]]/400,0)))</f>
        <v>8.2083333333333331E-3</v>
      </c>
      <c r="AB1605">
        <f ca="1">Table1[[#This Row],[Face Value]]*Table1[[#This Row],[Rate]]*Table1[[#This Row],[Time]]</f>
        <v>262.66666666666663</v>
      </c>
      <c r="AC1605">
        <f ca="1">Table1[[#This Row],[SI]]+Table1[[#This Row],[Disc/Prem]]</f>
        <v>-37.333333333333371</v>
      </c>
      <c r="AD1605" s="3">
        <f ca="1">Table1[[#This Row],[Net Gain]]/Table1[[#This Row],[Ask Rate]]</f>
        <v>-3.3939393939393971E-2</v>
      </c>
      <c r="AE1605" s="3">
        <f ca="1">IF(Table1[[#This Row],[Ask Qty]]=0,0,Table1[[#This Row],[Gross Yield]]*365/Table1[[#This Row],[Days Left]])</f>
        <v>-1.0288935870331228E-2</v>
      </c>
      <c r="AF1605" s="9">
        <f ca="1">+Table1[[#This Row],[Net Gain]]*Table1[[#This Row],[Ask Qty]]</f>
        <v>-2240.0000000000023</v>
      </c>
      <c r="AG1605" t="str">
        <f ca="1">IF(Table1[[#This Row],[YTM]]&gt;0.12,IF(Table1[[#This Row],[Gross Profit]]&gt;10000,"Invest","Review"),"Low YTM")</f>
        <v>Low YTM</v>
      </c>
    </row>
    <row r="1606" spans="1:33" x14ac:dyDescent="0.3">
      <c r="A1606" t="str">
        <f>RTD("nest.scriprtd",,"bse_cm|MFCL30424","Symbol")</f>
        <v>MFCL30424</v>
      </c>
      <c r="B1606" t="str">
        <f>RTD("nest.scriprtd",,"bse_cm|MFCL30424","Trading Symbol")</f>
        <v>MFCL30424</v>
      </c>
      <c r="C1606" t="str">
        <f>RTD("nest.scriprtd",,"bse_cm|MFCL30424","Exchange")</f>
        <v>BSE</v>
      </c>
      <c r="D1606">
        <f>RTD("nest.scriprtd",,"bse_cm|MFCL30424","Bid Qty")</f>
        <v>5</v>
      </c>
      <c r="E1606">
        <f>RTD("nest.scriprtd",,"bse_cm|MFCL30424","Bid Rate")</f>
        <v>990</v>
      </c>
      <c r="F1606">
        <f>RTD("nest.scriprtd",,"bse_cm|MFCL30424","Ask Rate")</f>
        <v>1019.97</v>
      </c>
      <c r="G1606">
        <f>RTD("nest.scriprtd",,"bse_cm|MFCL30424","Ask Qty")</f>
        <v>25</v>
      </c>
      <c r="H1606">
        <f>RTD("nest.scriprtd",,"bse_cm|MFCL30424","LTP")</f>
        <v>1019.97</v>
      </c>
      <c r="I1606" t="str">
        <f>RTD("nest.scriprtd",,"bse_cm|MFCL30424","LTT")</f>
        <v>15:12:44</v>
      </c>
      <c r="J1606">
        <f>RTD("nest.scriprtd",,"bse_cm|MFCL30424","% Change")</f>
        <v>0</v>
      </c>
      <c r="K1606">
        <f>RTD("nest.scriprtd",,"bse_cm|MFCL30424","ATP")</f>
        <v>1001.11</v>
      </c>
      <c r="L1606">
        <f>RTD("nest.scriprtd",,"bse_cm|MFCL30424","Volume Traded Today")</f>
        <v>158</v>
      </c>
      <c r="M1606">
        <f>RTD("nest.scriprtd",,"bse_cm|MFCL30424","Open")</f>
        <v>1022</v>
      </c>
      <c r="N1606">
        <f>RTD("nest.scriprtd",,"bse_cm|MFCL30424","High")</f>
        <v>1022</v>
      </c>
      <c r="O1606">
        <f>RTD("nest.scriprtd",,"bse_cm|MFCL30424","Low ")</f>
        <v>990</v>
      </c>
      <c r="P1606">
        <f>RTD("nest.scriprtd",,"bse_cm|MFCL30424","Prev Close")</f>
        <v>1020</v>
      </c>
      <c r="Q1606">
        <f>RTD("nest.scriprtd",,"bse_cm|MFCL30424","Face Value")</f>
        <v>1000</v>
      </c>
      <c r="R1606" t="str">
        <f>RTD("nest.scriprtd",,"bse_cm|MFCL30424","Isin code")</f>
        <v>INE549K07DR2</v>
      </c>
      <c r="S1606" s="9">
        <f>Table1[[#This Row],[Ask Rate]]*Table1[[#This Row],[Ask Qty]]</f>
        <v>25499.25</v>
      </c>
      <c r="T1606" t="str">
        <f>VLOOKUP(Table1[[#This Row],[Isin code]],Table2[#All],7,FALSE)</f>
        <v>--</v>
      </c>
      <c r="U1606" s="17" t="str">
        <f>VLOOKUP(Table1[[#This Row],[Isin code]],Table2[#All],8,FALSE)</f>
        <v>30-Jun-2026</v>
      </c>
      <c r="V1606" s="10">
        <f ca="1">Table1[[#This Row],[Maturity]]-TODAY()</f>
        <v>622</v>
      </c>
      <c r="W1606" t="str">
        <f>VLOOKUP(Table1[[#This Row],[Isin code]],Table2[#All],10,FALSE)</f>
        <v>At the End</v>
      </c>
      <c r="X1606">
        <f ca="1">_xlfn.DAYS(Table1[[#This Row],[Maturity]],TODAY())-15</f>
        <v>607</v>
      </c>
      <c r="Y160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06">
        <f>IF(Table1[[#This Row],[Ask Rate]]=0,0,Table1[[#This Row],[Face Value]]-Table1[[#This Row],[Ask Rate]])</f>
        <v>-19.970000000000027</v>
      </c>
      <c r="AA160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06">
        <f>Table1[[#This Row],[Face Value]]*Table1[[#This Row],[Rate]]*Table1[[#This Row],[Time]]</f>
        <v>0</v>
      </c>
      <c r="AC1606">
        <f>Table1[[#This Row],[SI]]+Table1[[#This Row],[Disc/Prem]]</f>
        <v>-19.970000000000027</v>
      </c>
      <c r="AD1606" s="3">
        <f>Table1[[#This Row],[Net Gain]]/Table1[[#This Row],[Ask Rate]]</f>
        <v>-1.9579007225702744E-2</v>
      </c>
      <c r="AE1606" s="3">
        <f ca="1">IF(Table1[[#This Row],[Ask Qty]]=0,0,Table1[[#This Row],[Gross Yield]]*365/Table1[[#This Row],[Days Left]])</f>
        <v>-1.1489288806079584E-2</v>
      </c>
      <c r="AF1606" s="9">
        <f>+Table1[[#This Row],[Net Gain]]*Table1[[#This Row],[Ask Qty]]</f>
        <v>-499.25000000000068</v>
      </c>
      <c r="AG1606" t="str">
        <f ca="1">IF(Table1[[#This Row],[YTM]]&gt;0.12,IF(Table1[[#This Row],[Gross Profit]]&gt;10000,"Invest","Review"),"Low YTM")</f>
        <v>Low YTM</v>
      </c>
    </row>
    <row r="1607" spans="1:33" x14ac:dyDescent="0.3">
      <c r="A1607" t="str">
        <f>RTD("nest.scriprtd",,"nse_cm|CIFCZC28-NH","Symbol")</f>
        <v>CIFCZC28</v>
      </c>
      <c r="B1607" t="str">
        <f>RTD("nest.scriprtd",,"nse_cm|CIFCZC28-NH","Trading Symbol")</f>
        <v>CIFCZC28-NH</v>
      </c>
      <c r="C1607" t="str">
        <f>RTD("nest.scriprtd",,"nse_cm|CIFCZC28-NH","Exchange")</f>
        <v>NSE</v>
      </c>
      <c r="D1607">
        <f>RTD("nest.scriprtd",,"nse_cm|CIFCZC28-NH","Bid Qty")</f>
        <v>100</v>
      </c>
      <c r="E1607">
        <f>RTD("nest.scriprtd",,"nse_cm|CIFCZC28-NH","Bid Rate")</f>
        <v>1025</v>
      </c>
      <c r="F1607">
        <f>RTD("nest.scriprtd",,"nse_cm|CIFCZC28-NH","Ask Rate")</f>
        <v>1054</v>
      </c>
      <c r="G1607">
        <f>RTD("nest.scriprtd",,"nse_cm|CIFCZC28-NH","Ask Qty")</f>
        <v>47</v>
      </c>
      <c r="H1607">
        <f>RTD("nest.scriprtd",,"nse_cm|CIFCZC28-NH","LTP")</f>
        <v>1020</v>
      </c>
      <c r="I1607" t="str">
        <f>RTD("nest.scriprtd",,"nse_cm|CIFCZC28-NH","LTT")</f>
        <v>10:09:22</v>
      </c>
      <c r="J1607">
        <f>RTD("nest.scriprtd",,"nse_cm|CIFCZC28-NH","% Change")</f>
        <v>0</v>
      </c>
      <c r="K1607">
        <f>RTD("nest.scriprtd",,"nse_cm|CIFCZC28-NH","ATP")</f>
        <v>1020</v>
      </c>
      <c r="L1607">
        <f>RTD("nest.scriprtd",,"nse_cm|CIFCZC28-NH","Volume Traded Today")</f>
        <v>200</v>
      </c>
      <c r="M1607">
        <f>RTD("nest.scriprtd",,"nse_cm|CIFCZC28-NH","Open")</f>
        <v>1020</v>
      </c>
      <c r="N1607">
        <f>RTD("nest.scriprtd",,"nse_cm|CIFCZC28-NH","High")</f>
        <v>1020</v>
      </c>
      <c r="O1607">
        <f>RTD("nest.scriprtd",,"nse_cm|CIFCZC28-NH","Low ")</f>
        <v>1020</v>
      </c>
      <c r="P1607">
        <f>RTD("nest.scriprtd",,"nse_cm|CIFCZC28-NH","Prev Close")</f>
        <v>1020</v>
      </c>
      <c r="Q1607">
        <f>RTD("nest.scriprtd",,"nse_cm|CIFCZC28-NH","Face Value")</f>
        <v>1000</v>
      </c>
      <c r="R1607" t="str">
        <f>RTD("nest.scriprtd",,"nse_cm|CIFCZC28-NH","Isin code")</f>
        <v>INE121A07RN0</v>
      </c>
      <c r="S1607" s="9">
        <f>Table1[[#This Row],[Ask Rate]]*Table1[[#This Row],[Ask Qty]]</f>
        <v>49538</v>
      </c>
      <c r="T1607">
        <f>VLOOKUP(Table1[[#This Row],[Isin code]],Table2[#All],7,FALSE)</f>
        <v>0</v>
      </c>
      <c r="U1607" s="17" t="str">
        <f>VLOOKUP(Table1[[#This Row],[Isin code]],Table2[#All],8,FALSE)</f>
        <v>07-Dec-2028</v>
      </c>
      <c r="V1607" s="10">
        <f ca="1">Table1[[#This Row],[Maturity]]-TODAY()</f>
        <v>1513</v>
      </c>
      <c r="W1607" t="str">
        <f>VLOOKUP(Table1[[#This Row],[Isin code]],Table2[#All],10,FALSE)</f>
        <v>Yearly</v>
      </c>
      <c r="X1607">
        <f ca="1">_xlfn.DAYS(Table1[[#This Row],[Maturity]],TODAY())-15</f>
        <v>1498</v>
      </c>
      <c r="Y160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607">
        <f>IF(Table1[[#This Row],[Ask Rate]]=0,0,Table1[[#This Row],[Face Value]]-Table1[[#This Row],[Ask Rate]])</f>
        <v>-54</v>
      </c>
      <c r="AA160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07">
        <f ca="1">Table1[[#This Row],[Face Value]]*Table1[[#This Row],[Rate]]*Table1[[#This Row],[Time]]</f>
        <v>0</v>
      </c>
      <c r="AC1607">
        <f ca="1">Table1[[#This Row],[SI]]+Table1[[#This Row],[Disc/Prem]]</f>
        <v>-54</v>
      </c>
      <c r="AD1607" s="3">
        <f ca="1">Table1[[#This Row],[Net Gain]]/Table1[[#This Row],[Ask Rate]]</f>
        <v>-5.1233396584440226E-2</v>
      </c>
      <c r="AE1607" s="3">
        <f ca="1">IF(Table1[[#This Row],[Ask Qty]]=0,0,Table1[[#This Row],[Gross Yield]]*365/Table1[[#This Row],[Days Left]])</f>
        <v>-1.2359675977079102E-2</v>
      </c>
      <c r="AF1607" s="9">
        <f ca="1">+Table1[[#This Row],[Net Gain]]*Table1[[#This Row],[Ask Qty]]</f>
        <v>-2538</v>
      </c>
      <c r="AG1607" t="str">
        <f ca="1">IF(Table1[[#This Row],[YTM]]&gt;0.12,IF(Table1[[#This Row],[Gross Profit]]&gt;10000,"Invest","Review"),"Low YTM")</f>
        <v>Low YTM</v>
      </c>
    </row>
    <row r="1608" spans="1:33" x14ac:dyDescent="0.3">
      <c r="A1608" t="str">
        <f>RTD("nest.scriprtd",,"bse_cm|76IGT26","Symbol")</f>
        <v>76IGT26</v>
      </c>
      <c r="B1608" t="str">
        <f>RTD("nest.scriprtd",,"bse_cm|76IGT26","Trading Symbol")</f>
        <v>76IGT26</v>
      </c>
      <c r="C1608" t="str">
        <f>RTD("nest.scriprtd",,"bse_cm|76IGT26","Exchange")</f>
        <v>BSE</v>
      </c>
      <c r="D1608">
        <f>RTD("nest.scriprtd",,"bse_cm|76IGT26","Bid Qty")</f>
        <v>20</v>
      </c>
      <c r="E1608">
        <f>RTD("nest.scriprtd",,"bse_cm|76IGT26","Bid Rate")</f>
        <v>992</v>
      </c>
      <c r="F1608">
        <f>RTD("nest.scriprtd",,"bse_cm|76IGT26","Ask Rate")</f>
        <v>1175</v>
      </c>
      <c r="G1608">
        <f>RTD("nest.scriprtd",,"bse_cm|76IGT26","Ask Qty")</f>
        <v>100</v>
      </c>
      <c r="H1608">
        <f>RTD("nest.scriprtd",,"bse_cm|76IGT26","LTP")</f>
        <v>0</v>
      </c>
      <c r="I1608" t="str">
        <f>RTD("nest.scriprtd",,"bse_cm|76IGT26","LTT")</f>
        <v>00:00:00</v>
      </c>
      <c r="J1608">
        <f>RTD("nest.scriprtd",,"bse_cm|76IGT26","% Change")</f>
        <v>-100</v>
      </c>
      <c r="K1608">
        <f>RTD("nest.scriprtd",,"bse_cm|76IGT26","ATP")</f>
        <v>0</v>
      </c>
      <c r="L1608">
        <f>RTD("nest.scriprtd",,"bse_cm|76IGT26","Volume Traded Today")</f>
        <v>0</v>
      </c>
      <c r="M1608">
        <f>RTD("nest.scriprtd",,"bse_cm|76IGT26","Open")</f>
        <v>0</v>
      </c>
      <c r="N1608">
        <f>RTD("nest.scriprtd",,"bse_cm|76IGT26","High")</f>
        <v>988</v>
      </c>
      <c r="O1608">
        <f>RTD("nest.scriprtd",,"bse_cm|76IGT26","Low ")</f>
        <v>988</v>
      </c>
      <c r="P1608">
        <f>RTD("nest.scriprtd",,"bse_cm|76IGT26","Prev Close")</f>
        <v>988</v>
      </c>
      <c r="Q1608">
        <f>RTD("nest.scriprtd",,"bse_cm|76IGT26","Face Value")</f>
        <v>1000</v>
      </c>
      <c r="R1608" t="str">
        <f>RTD("nest.scriprtd",,"bse_cm|76IGT26","Isin code")</f>
        <v>INE219X07207</v>
      </c>
      <c r="S1608" s="9">
        <f>Table1[[#This Row],[Ask Rate]]*Table1[[#This Row],[Ask Qty]]</f>
        <v>117500</v>
      </c>
      <c r="T1608">
        <f>VLOOKUP(Table1[[#This Row],[Isin code]],Table2[#All],7,FALSE)</f>
        <v>7.6</v>
      </c>
      <c r="U1608" s="17" t="str">
        <f>VLOOKUP(Table1[[#This Row],[Isin code]],Table2[#All],8,FALSE)</f>
        <v>06-May-2026</v>
      </c>
      <c r="V1608" s="10">
        <f ca="1">Table1[[#This Row],[Maturity]]-TODAY()</f>
        <v>567</v>
      </c>
      <c r="W1608" t="str">
        <f>VLOOKUP(Table1[[#This Row],[Isin code]],Table2[#All],10,FALSE)</f>
        <v>Yearly</v>
      </c>
      <c r="X1608">
        <f ca="1">_xlfn.DAYS(Table1[[#This Row],[Maturity]],TODAY())-15</f>
        <v>552</v>
      </c>
      <c r="Y16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608">
        <f>IF(Table1[[#This Row],[Ask Rate]]=0,0,Table1[[#This Row],[Face Value]]-Table1[[#This Row],[Ask Rate]])</f>
        <v>-175</v>
      </c>
      <c r="AA1608">
        <f>IF(Table1[[#This Row],[Freq]]="Yearly",Table1[[#This Row],[Coupon_Rate]]/100,IF(Table1[[#This Row],[Freq]]="Monthly",Table1[[#This Row],[Coupon_Rate]]/1200,IF(Table1[[#This Row],[Freq]]="Quarterly",Table1[[#This Row],[Coupon_Rate]]/400,0)))</f>
        <v>7.5999999999999998E-2</v>
      </c>
      <c r="AB1608">
        <f ca="1">Table1[[#This Row],[Face Value]]*Table1[[#This Row],[Rate]]*Table1[[#This Row],[Time]]</f>
        <v>152</v>
      </c>
      <c r="AC1608">
        <f ca="1">Table1[[#This Row],[SI]]+Table1[[#This Row],[Disc/Prem]]</f>
        <v>-23</v>
      </c>
      <c r="AD1608" s="3">
        <f ca="1">Table1[[#This Row],[Net Gain]]/Table1[[#This Row],[Ask Rate]]</f>
        <v>-1.9574468085106381E-2</v>
      </c>
      <c r="AE1608" s="3">
        <f ca="1">IF(Table1[[#This Row],[Ask Qty]]=0,0,Table1[[#This Row],[Gross Yield]]*365/Table1[[#This Row],[Days Left]])</f>
        <v>-1.2600848061840969E-2</v>
      </c>
      <c r="AF1608" s="9">
        <f ca="1">+Table1[[#This Row],[Net Gain]]*Table1[[#This Row],[Ask Qty]]</f>
        <v>-2300</v>
      </c>
      <c r="AG1608" t="str">
        <f ca="1">IF(Table1[[#This Row],[YTM]]&gt;0.12,IF(Table1[[#This Row],[Gross Profit]]&gt;10000,"Invest","Review"),"Low YTM")</f>
        <v>Low YTM</v>
      </c>
    </row>
    <row r="1609" spans="1:33" x14ac:dyDescent="0.3">
      <c r="A1609" t="str">
        <f>RTD("nest.scriprtd",,"bse_cm|EFSL28","Symbol")</f>
        <v>EFSL28</v>
      </c>
      <c r="B1609" t="str">
        <f>RTD("nest.scriprtd",,"bse_cm|EFSL28","Trading Symbol")</f>
        <v>EFSL28</v>
      </c>
      <c r="C1609" t="str">
        <f>RTD("nest.scriprtd",,"bse_cm|EFSL28","Exchange")</f>
        <v>BSE</v>
      </c>
      <c r="D1609">
        <f>RTD("nest.scriprtd",,"bse_cm|EFSL28","Bid Qty")</f>
        <v>30</v>
      </c>
      <c r="E1609">
        <f>RTD("nest.scriprtd",,"bse_cm|EFSL28","Bid Rate")</f>
        <v>1021.11</v>
      </c>
      <c r="F1609">
        <f>RTD("nest.scriprtd",,"bse_cm|EFSL28","Ask Rate")</f>
        <v>1048</v>
      </c>
      <c r="G1609">
        <f>RTD("nest.scriprtd",,"bse_cm|EFSL28","Ask Qty")</f>
        <v>9</v>
      </c>
      <c r="H1609">
        <f>RTD("nest.scriprtd",,"bse_cm|EFSL28","LTP")</f>
        <v>0</v>
      </c>
      <c r="I1609" t="str">
        <f>RTD("nest.scriprtd",,"bse_cm|EFSL28","LTT")</f>
        <v>00:00:00</v>
      </c>
      <c r="J1609">
        <f>RTD("nest.scriprtd",,"bse_cm|EFSL28","% Change")</f>
        <v>-100</v>
      </c>
      <c r="K1609">
        <f>RTD("nest.scriprtd",,"bse_cm|EFSL28","ATP")</f>
        <v>0</v>
      </c>
      <c r="L1609">
        <f>RTD("nest.scriprtd",,"bse_cm|EFSL28","Volume Traded Today")</f>
        <v>0</v>
      </c>
      <c r="M1609">
        <f>RTD("nest.scriprtd",,"bse_cm|EFSL28","Open")</f>
        <v>0</v>
      </c>
      <c r="N1609">
        <f>RTD("nest.scriprtd",,"bse_cm|EFSL28","High")</f>
        <v>1047.55</v>
      </c>
      <c r="O1609">
        <f>RTD("nest.scriprtd",,"bse_cm|EFSL28","Low ")</f>
        <v>1047.55</v>
      </c>
      <c r="P1609">
        <f>RTD("nest.scriprtd",,"bse_cm|EFSL28","Prev Close")</f>
        <v>1047.55</v>
      </c>
      <c r="Q1609">
        <f>RTD("nest.scriprtd",,"bse_cm|EFSL28","Face Value")</f>
        <v>1000</v>
      </c>
      <c r="R1609" t="str">
        <f>RTD("nest.scriprtd",,"bse_cm|EFSL28","Isin code")</f>
        <v>INE532F07DW8</v>
      </c>
      <c r="S1609" s="9">
        <f>Table1[[#This Row],[Ask Rate]]*Table1[[#This Row],[Ask Qty]]</f>
        <v>9432</v>
      </c>
      <c r="T1609" t="str">
        <f>VLOOKUP(Table1[[#This Row],[Isin code]],Table2[#All],7,FALSE)</f>
        <v>--</v>
      </c>
      <c r="U1609" s="17" t="str">
        <f>VLOOKUP(Table1[[#This Row],[Isin code]],Table2[#All],8,FALSE)</f>
        <v>27-Apr-2028</v>
      </c>
      <c r="V1609" s="10">
        <f ca="1">Table1[[#This Row],[Maturity]]-TODAY()</f>
        <v>1289</v>
      </c>
      <c r="W1609" t="str">
        <f>VLOOKUP(Table1[[#This Row],[Isin code]],Table2[#All],10,FALSE)</f>
        <v>At the End</v>
      </c>
      <c r="X1609">
        <f ca="1">_xlfn.DAYS(Table1[[#This Row],[Maturity]],TODAY())-15</f>
        <v>1274</v>
      </c>
      <c r="Y160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09">
        <f>IF(Table1[[#This Row],[Ask Rate]]=0,0,Table1[[#This Row],[Face Value]]-Table1[[#This Row],[Ask Rate]])</f>
        <v>-48</v>
      </c>
      <c r="AA160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09">
        <f>Table1[[#This Row],[Face Value]]*Table1[[#This Row],[Rate]]*Table1[[#This Row],[Time]]</f>
        <v>0</v>
      </c>
      <c r="AC1609">
        <f>Table1[[#This Row],[SI]]+Table1[[#This Row],[Disc/Prem]]</f>
        <v>-48</v>
      </c>
      <c r="AD1609" s="3">
        <f>Table1[[#This Row],[Net Gain]]/Table1[[#This Row],[Ask Rate]]</f>
        <v>-4.5801526717557252E-2</v>
      </c>
      <c r="AE1609" s="3">
        <f ca="1">IF(Table1[[#This Row],[Ask Qty]]=0,0,Table1[[#This Row],[Gross Yield]]*365/Table1[[#This Row],[Days Left]])</f>
        <v>-1.2969400505747398E-2</v>
      </c>
      <c r="AF1609" s="9">
        <f>+Table1[[#This Row],[Net Gain]]*Table1[[#This Row],[Ask Qty]]</f>
        <v>-432</v>
      </c>
      <c r="AG1609" t="str">
        <f ca="1">IF(Table1[[#This Row],[YTM]]&gt;0.12,IF(Table1[[#This Row],[Gross Profit]]&gt;10000,"Invest","Review"),"Low YTM")</f>
        <v>Low YTM</v>
      </c>
    </row>
    <row r="1610" spans="1:33" x14ac:dyDescent="0.3">
      <c r="A1610" t="str">
        <f>RTD("nest.scriprtd",,"bse_cm|925MFCL26","Symbol")</f>
        <v>925MFCL26</v>
      </c>
      <c r="B1610" t="str">
        <f>RTD("nest.scriprtd",,"bse_cm|925MFCL26","Trading Symbol")</f>
        <v>925MFCL26</v>
      </c>
      <c r="C1610" t="str">
        <f>RTD("nest.scriprtd",,"bse_cm|925MFCL26","Exchange")</f>
        <v>BSE</v>
      </c>
      <c r="D1610">
        <f>RTD("nest.scriprtd",,"bse_cm|925MFCL26","Bid Qty")</f>
        <v>5</v>
      </c>
      <c r="E1610">
        <f>RTD("nest.scriprtd",,"bse_cm|925MFCL26","Bid Rate")</f>
        <v>980.1</v>
      </c>
      <c r="F1610">
        <f>RTD("nest.scriprtd",,"bse_cm|925MFCL26","Ask Rate")</f>
        <v>1026</v>
      </c>
      <c r="G1610">
        <f>RTD("nest.scriprtd",,"bse_cm|925MFCL26","Ask Qty")</f>
        <v>12</v>
      </c>
      <c r="H1610">
        <f>RTD("nest.scriprtd",,"bse_cm|925MFCL26","LTP")</f>
        <v>0</v>
      </c>
      <c r="I1610" t="str">
        <f>RTD("nest.scriprtd",,"bse_cm|925MFCL26","LTT")</f>
        <v>00:00:00</v>
      </c>
      <c r="J1610">
        <f>RTD("nest.scriprtd",,"bse_cm|925MFCL26","% Change")</f>
        <v>-100</v>
      </c>
      <c r="K1610">
        <f>RTD("nest.scriprtd",,"bse_cm|925MFCL26","ATP")</f>
        <v>0</v>
      </c>
      <c r="L1610">
        <f>RTD("nest.scriprtd",,"bse_cm|925MFCL26","Volume Traded Today")</f>
        <v>0</v>
      </c>
      <c r="M1610">
        <f>RTD("nest.scriprtd",,"bse_cm|925MFCL26","Open")</f>
        <v>0</v>
      </c>
      <c r="N1610">
        <f>RTD("nest.scriprtd",,"bse_cm|925MFCL26","High")</f>
        <v>1000</v>
      </c>
      <c r="O1610">
        <f>RTD("nest.scriprtd",,"bse_cm|925MFCL26","Low ")</f>
        <v>1000</v>
      </c>
      <c r="P1610">
        <f>RTD("nest.scriprtd",,"bse_cm|925MFCL26","Prev Close")</f>
        <v>1000</v>
      </c>
      <c r="Q1610">
        <f>RTD("nest.scriprtd",,"bse_cm|925MFCL26","Face Value")</f>
        <v>1000</v>
      </c>
      <c r="R1610" t="str">
        <f>RTD("nest.scriprtd",,"bse_cm|925MFCL26","Isin code")</f>
        <v>INE549K07DO9</v>
      </c>
      <c r="S1610" s="9">
        <f>Table1[[#This Row],[Ask Rate]]*Table1[[#This Row],[Ask Qty]]</f>
        <v>12312</v>
      </c>
      <c r="T1610">
        <f>VLOOKUP(Table1[[#This Row],[Isin code]],Table2[#All],7,FALSE)</f>
        <v>9.25</v>
      </c>
      <c r="U1610" s="17" t="str">
        <f>VLOOKUP(Table1[[#This Row],[Isin code]],Table2[#All],8,FALSE)</f>
        <v>30-Jun-2026</v>
      </c>
      <c r="V1610" s="10">
        <f ca="1">Table1[[#This Row],[Maturity]]-TODAY()</f>
        <v>622</v>
      </c>
      <c r="W1610" t="str">
        <f>VLOOKUP(Table1[[#This Row],[Isin code]],Table2[#All],10,FALSE)</f>
        <v>Annual</v>
      </c>
      <c r="X1610">
        <f ca="1">_xlfn.DAYS(Table1[[#This Row],[Maturity]],TODAY())-15</f>
        <v>607</v>
      </c>
      <c r="Y161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10">
        <f>IF(Table1[[#This Row],[Ask Rate]]=0,0,Table1[[#This Row],[Face Value]]-Table1[[#This Row],[Ask Rate]])</f>
        <v>-26</v>
      </c>
      <c r="AA161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10">
        <f>Table1[[#This Row],[Face Value]]*Table1[[#This Row],[Rate]]*Table1[[#This Row],[Time]]</f>
        <v>0</v>
      </c>
      <c r="AC1610">
        <f>Table1[[#This Row],[SI]]+Table1[[#This Row],[Disc/Prem]]</f>
        <v>-26</v>
      </c>
      <c r="AD1610" s="3">
        <f>Table1[[#This Row],[Net Gain]]/Table1[[#This Row],[Ask Rate]]</f>
        <v>-2.5341130604288498E-2</v>
      </c>
      <c r="AE1610" s="3">
        <f ca="1">IF(Table1[[#This Row],[Ask Qty]]=0,0,Table1[[#This Row],[Gross Yield]]*365/Table1[[#This Row],[Days Left]])</f>
        <v>-1.4870599148818813E-2</v>
      </c>
      <c r="AF1610" s="9">
        <f>+Table1[[#This Row],[Net Gain]]*Table1[[#This Row],[Ask Qty]]</f>
        <v>-312</v>
      </c>
      <c r="AG1610" t="str">
        <f ca="1">IF(Table1[[#This Row],[YTM]]&gt;0.12,IF(Table1[[#This Row],[Gross Profit]]&gt;10000,"Invest","Review"),"Low YTM")</f>
        <v>Low YTM</v>
      </c>
    </row>
    <row r="1611" spans="1:33" x14ac:dyDescent="0.3">
      <c r="A1611" t="str">
        <f>RTD("nest.scriprtd",,"nse_cm|91MOFSL27-N2","Symbol")</f>
        <v>91MOFSL27</v>
      </c>
      <c r="B1611" t="str">
        <f>RTD("nest.scriprtd",,"nse_cm|91MOFSL27-N2","Trading Symbol")</f>
        <v>91MOFSL27-N2</v>
      </c>
      <c r="C1611" t="str">
        <f>RTD("nest.scriprtd",,"nse_cm|91MOFSL27-N2","Exchange")</f>
        <v>NSE</v>
      </c>
      <c r="D1611">
        <f>RTD("nest.scriprtd",,"nse_cm|91MOFSL27-N2","Bid Qty")</f>
        <v>25</v>
      </c>
      <c r="E1611">
        <f>RTD("nest.scriprtd",,"nse_cm|91MOFSL27-N2","Bid Rate")</f>
        <v>1010</v>
      </c>
      <c r="F1611">
        <f>RTD("nest.scriprtd",,"nse_cm|91MOFSL27-N2","Ask Rate")</f>
        <v>1040</v>
      </c>
      <c r="G1611">
        <f>RTD("nest.scriprtd",,"nse_cm|91MOFSL27-N2","Ask Qty")</f>
        <v>25</v>
      </c>
      <c r="H1611">
        <f>RTD("nest.scriprtd",,"nse_cm|91MOFSL27-N2","LTP")</f>
        <v>1010</v>
      </c>
      <c r="I1611" t="str">
        <f>RTD("nest.scriprtd",,"nse_cm|91MOFSL27-N2","LTT")</f>
        <v/>
      </c>
      <c r="J1611">
        <f>RTD("nest.scriprtd",,"nse_cm|91MOFSL27-N2","% Change")</f>
        <v>0</v>
      </c>
      <c r="K1611">
        <f>RTD("nest.scriprtd",,"nse_cm|91MOFSL27-N2","ATP")</f>
        <v>0</v>
      </c>
      <c r="L1611">
        <f>RTD("nest.scriprtd",,"nse_cm|91MOFSL27-N2","Volume Traded Today")</f>
        <v>0</v>
      </c>
      <c r="M1611">
        <f>RTD("nest.scriprtd",,"nse_cm|91MOFSL27-N2","Open")</f>
        <v>0</v>
      </c>
      <c r="N1611">
        <f>RTD("nest.scriprtd",,"nse_cm|91MOFSL27-N2","High")</f>
        <v>1010</v>
      </c>
      <c r="O1611">
        <f>RTD("nest.scriprtd",,"nse_cm|91MOFSL27-N2","Low ")</f>
        <v>1010</v>
      </c>
      <c r="P1611">
        <f>RTD("nest.scriprtd",,"nse_cm|91MOFSL27-N2","Prev Close")</f>
        <v>1010</v>
      </c>
      <c r="Q1611">
        <f>RTD("nest.scriprtd",,"nse_cm|91MOFSL27-N2","Face Value")</f>
        <v>1000</v>
      </c>
      <c r="R1611" t="str">
        <f>RTD("nest.scriprtd",,"nse_cm|91MOFSL27-N2","Isin code")</f>
        <v>INE338I07149</v>
      </c>
      <c r="S1611" s="9">
        <f>Table1[[#This Row],[Ask Rate]]*Table1[[#This Row],[Ask Qty]]</f>
        <v>26000</v>
      </c>
      <c r="T1611">
        <f>VLOOKUP(Table1[[#This Row],[Isin code]],Table2[#All],7,FALSE)</f>
        <v>9.1</v>
      </c>
      <c r="U1611" s="17" t="str">
        <f>VLOOKUP(Table1[[#This Row],[Isin code]],Table2[#All],8,FALSE)</f>
        <v>09-May-2027</v>
      </c>
      <c r="V1611" s="10">
        <f ca="1">Table1[[#This Row],[Maturity]]-TODAY()</f>
        <v>935</v>
      </c>
      <c r="W1611" t="str">
        <f>VLOOKUP(Table1[[#This Row],[Isin code]],Table2[#All],10,FALSE)</f>
        <v>Annual</v>
      </c>
      <c r="X1611">
        <f ca="1">_xlfn.DAYS(Table1[[#This Row],[Maturity]],TODAY())-15</f>
        <v>920</v>
      </c>
      <c r="Y161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11">
        <f>IF(Table1[[#This Row],[Ask Rate]]=0,0,Table1[[#This Row],[Face Value]]-Table1[[#This Row],[Ask Rate]])</f>
        <v>-40</v>
      </c>
      <c r="AA161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11">
        <f>Table1[[#This Row],[Face Value]]*Table1[[#This Row],[Rate]]*Table1[[#This Row],[Time]]</f>
        <v>0</v>
      </c>
      <c r="AC1611">
        <f>Table1[[#This Row],[SI]]+Table1[[#This Row],[Disc/Prem]]</f>
        <v>-40</v>
      </c>
      <c r="AD1611" s="3">
        <f>Table1[[#This Row],[Net Gain]]/Table1[[#This Row],[Ask Rate]]</f>
        <v>-3.8461538461538464E-2</v>
      </c>
      <c r="AE1611" s="3">
        <f ca="1">IF(Table1[[#This Row],[Ask Qty]]=0,0,Table1[[#This Row],[Gross Yield]]*365/Table1[[#This Row],[Days Left]])</f>
        <v>-1.5014397367338546E-2</v>
      </c>
      <c r="AF1611" s="9">
        <f>+Table1[[#This Row],[Net Gain]]*Table1[[#This Row],[Ask Qty]]</f>
        <v>-1000</v>
      </c>
      <c r="AG1611" t="str">
        <f ca="1">IF(Table1[[#This Row],[YTM]]&gt;0.12,IF(Table1[[#This Row],[Gross Profit]]&gt;10000,"Invest","Review"),"Low YTM")</f>
        <v>Low YTM</v>
      </c>
    </row>
    <row r="1612" spans="1:33" x14ac:dyDescent="0.3">
      <c r="A1612" t="str">
        <f>RTD("nest.scriprtd",,"bse_cm|1040UCL25","Symbol")</f>
        <v>1040UCL25</v>
      </c>
      <c r="B1612" t="str">
        <f>RTD("nest.scriprtd",,"bse_cm|1040UCL25","Trading Symbol")</f>
        <v>1040UCL25</v>
      </c>
      <c r="C1612" t="str">
        <f>RTD("nest.scriprtd",,"bse_cm|1040UCL25","Exchange")</f>
        <v>BSE</v>
      </c>
      <c r="D1612">
        <f>RTD("nest.scriprtd",,"bse_cm|1040UCL25","Bid Qty")</f>
        <v>20</v>
      </c>
      <c r="E1612">
        <f>RTD("nest.scriprtd",,"bse_cm|1040UCL25","Bid Rate")</f>
        <v>990</v>
      </c>
      <c r="F1612">
        <f>RTD("nest.scriprtd",,"bse_cm|1040UCL25","Ask Rate")</f>
        <v>1069.8</v>
      </c>
      <c r="G1612">
        <f>RTD("nest.scriprtd",,"bse_cm|1040UCL25","Ask Qty")</f>
        <v>8</v>
      </c>
      <c r="H1612">
        <f>RTD("nest.scriprtd",,"bse_cm|1040UCL25","LTP")</f>
        <v>0</v>
      </c>
      <c r="I1612" t="str">
        <f>RTD("nest.scriprtd",,"bse_cm|1040UCL25","LTT")</f>
        <v>00:00:00</v>
      </c>
      <c r="J1612">
        <f>RTD("nest.scriprtd",,"bse_cm|1040UCL25","% Change")</f>
        <v>-100</v>
      </c>
      <c r="K1612">
        <f>RTD("nest.scriprtd",,"bse_cm|1040UCL25","ATP")</f>
        <v>0</v>
      </c>
      <c r="L1612">
        <f>RTD("nest.scriprtd",,"bse_cm|1040UCL25","Volume Traded Today")</f>
        <v>0</v>
      </c>
      <c r="M1612">
        <f>RTD("nest.scriprtd",,"bse_cm|1040UCL25","Open")</f>
        <v>0</v>
      </c>
      <c r="N1612">
        <f>RTD("nest.scriprtd",,"bse_cm|1040UCL25","High")</f>
        <v>990.01</v>
      </c>
      <c r="O1612">
        <f>RTD("nest.scriprtd",,"bse_cm|1040UCL25","Low ")</f>
        <v>990.01</v>
      </c>
      <c r="P1612">
        <f>RTD("nest.scriprtd",,"bse_cm|1040UCL25","Prev Close")</f>
        <v>990.01</v>
      </c>
      <c r="Q1612">
        <f>RTD("nest.scriprtd",,"bse_cm|1040UCL25","Face Value")</f>
        <v>1000</v>
      </c>
      <c r="R1612" t="str">
        <f>RTD("nest.scriprtd",,"bse_cm|1040UCL25","Isin code")</f>
        <v>INE583D07265</v>
      </c>
      <c r="S1612" s="9">
        <f>Table1[[#This Row],[Ask Rate]]*Table1[[#This Row],[Ask Qty]]</f>
        <v>8558.4</v>
      </c>
      <c r="T1612">
        <f>VLOOKUP(Table1[[#This Row],[Isin code]],Table2[#All],7,FALSE)</f>
        <v>10.4</v>
      </c>
      <c r="U1612" s="17" t="str">
        <f>VLOOKUP(Table1[[#This Row],[Isin code]],Table2[#All],8,FALSE)</f>
        <v>05-May-2025</v>
      </c>
      <c r="V1612" s="10">
        <f ca="1">Table1[[#This Row],[Maturity]]-TODAY()</f>
        <v>201</v>
      </c>
      <c r="W1612" t="str">
        <f>VLOOKUP(Table1[[#This Row],[Isin code]],Table2[#All],10,FALSE)</f>
        <v>Monthly</v>
      </c>
      <c r="X1612">
        <f ca="1">_xlfn.DAYS(Table1[[#This Row],[Maturity]],TODAY())-15</f>
        <v>186</v>
      </c>
      <c r="Y161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7</v>
      </c>
      <c r="Z1612">
        <f>IF(Table1[[#This Row],[Ask Rate]]=0,0,Table1[[#This Row],[Face Value]]-Table1[[#This Row],[Ask Rate]])</f>
        <v>-69.799999999999955</v>
      </c>
      <c r="AA1612">
        <f>IF(Table1[[#This Row],[Freq]]="Yearly",Table1[[#This Row],[Coupon_Rate]]/100,IF(Table1[[#This Row],[Freq]]="Monthly",Table1[[#This Row],[Coupon_Rate]]/1200,IF(Table1[[#This Row],[Freq]]="Quarterly",Table1[[#This Row],[Coupon_Rate]]/400,0)))</f>
        <v>8.6666666666666663E-3</v>
      </c>
      <c r="AB1612">
        <f ca="1">Table1[[#This Row],[Face Value]]*Table1[[#This Row],[Rate]]*Table1[[#This Row],[Time]]</f>
        <v>60.666666666666664</v>
      </c>
      <c r="AC1612">
        <f ca="1">Table1[[#This Row],[SI]]+Table1[[#This Row],[Disc/Prem]]</f>
        <v>-9.1333333333332902</v>
      </c>
      <c r="AD1612" s="3">
        <f ca="1">Table1[[#This Row],[Net Gain]]/Table1[[#This Row],[Ask Rate]]</f>
        <v>-8.5374213248581889E-3</v>
      </c>
      <c r="AE1612" s="3">
        <f ca="1">IF(Table1[[#This Row],[Ask Qty]]=0,0,Table1[[#This Row],[Gross Yield]]*365/Table1[[#This Row],[Days Left]])</f>
        <v>-1.5503277530215118E-2</v>
      </c>
      <c r="AF1612" s="9">
        <f ca="1">+Table1[[#This Row],[Net Gain]]*Table1[[#This Row],[Ask Qty]]</f>
        <v>-73.066666666666322</v>
      </c>
      <c r="AG1612" t="str">
        <f ca="1">IF(Table1[[#This Row],[YTM]]&gt;0.12,IF(Table1[[#This Row],[Gross Profit]]&gt;10000,"Invest","Review"),"Low YTM")</f>
        <v>Low YTM</v>
      </c>
    </row>
    <row r="1613" spans="1:33" x14ac:dyDescent="0.3">
      <c r="A1613" t="str">
        <f>RTD("nest.scriprtd",,"bse_cm|ICLFLZC29","Symbol")</f>
        <v>ICLFLZC29</v>
      </c>
      <c r="B1613" t="str">
        <f>RTD("nest.scriprtd",,"bse_cm|ICLFLZC29","Trading Symbol")</f>
        <v>ICLFLZC29</v>
      </c>
      <c r="C1613" t="str">
        <f>RTD("nest.scriprtd",,"bse_cm|ICLFLZC29","Exchange")</f>
        <v>BSE</v>
      </c>
      <c r="D1613">
        <f>RTD("nest.scriprtd",,"bse_cm|ICLFLZC29","Bid Qty")</f>
        <v>5</v>
      </c>
      <c r="E1613">
        <f>RTD("nest.scriprtd",,"bse_cm|ICLFLZC29","Bid Rate")</f>
        <v>1062.57</v>
      </c>
      <c r="F1613">
        <f>RTD("nest.scriprtd",,"bse_cm|ICLFLZC29","Ask Rate")</f>
        <v>1083.98</v>
      </c>
      <c r="G1613">
        <f>RTD("nest.scriprtd",,"bse_cm|ICLFLZC29","Ask Qty")</f>
        <v>5</v>
      </c>
      <c r="H1613">
        <f>RTD("nest.scriprtd",,"bse_cm|ICLFLZC29","LTP")</f>
        <v>0</v>
      </c>
      <c r="I1613" t="str">
        <f>RTD("nest.scriprtd",,"bse_cm|ICLFLZC29","LTT")</f>
        <v>00:00:00</v>
      </c>
      <c r="J1613">
        <f>RTD("nest.scriprtd",,"bse_cm|ICLFLZC29","% Change")</f>
        <v>-100</v>
      </c>
      <c r="K1613">
        <f>RTD("nest.scriprtd",,"bse_cm|ICLFLZC29","ATP")</f>
        <v>0</v>
      </c>
      <c r="L1613">
        <f>RTD("nest.scriprtd",,"bse_cm|ICLFLZC29","Volume Traded Today")</f>
        <v>0</v>
      </c>
      <c r="M1613">
        <f>RTD("nest.scriprtd",,"bse_cm|ICLFLZC29","Open")</f>
        <v>0</v>
      </c>
      <c r="N1613">
        <f>RTD("nest.scriprtd",,"bse_cm|ICLFLZC29","High")</f>
        <v>1083.23</v>
      </c>
      <c r="O1613">
        <f>RTD("nest.scriprtd",,"bse_cm|ICLFLZC29","Low ")</f>
        <v>1083.23</v>
      </c>
      <c r="P1613">
        <f>RTD("nest.scriprtd",,"bse_cm|ICLFLZC29","Prev Close")</f>
        <v>1083.23</v>
      </c>
      <c r="Q1613">
        <f>RTD("nest.scriprtd",,"bse_cm|ICLFLZC29","Face Value")</f>
        <v>1000</v>
      </c>
      <c r="R1613" t="str">
        <f>RTD("nest.scriprtd",,"bse_cm|ICLFLZC29","Isin code")</f>
        <v>INE01CY077K8</v>
      </c>
      <c r="S1613" s="9">
        <f>Table1[[#This Row],[Ask Rate]]*Table1[[#This Row],[Ask Qty]]</f>
        <v>5419.9</v>
      </c>
      <c r="T1613" t="str">
        <f>VLOOKUP(Table1[[#This Row],[Isin code]],Table2[#All],7,FALSE)</f>
        <v>--</v>
      </c>
      <c r="U1613" s="17" t="str">
        <f>VLOOKUP(Table1[[#This Row],[Isin code]],Table2[#All],8,FALSE)</f>
        <v>14-Aug-2029</v>
      </c>
      <c r="V1613" s="10">
        <f ca="1">Table1[[#This Row],[Maturity]]-TODAY()</f>
        <v>1763</v>
      </c>
      <c r="W1613" t="str">
        <f>VLOOKUP(Table1[[#This Row],[Isin code]],Table2[#All],10,FALSE)</f>
        <v>At the End</v>
      </c>
      <c r="X1613">
        <f ca="1">_xlfn.DAYS(Table1[[#This Row],[Maturity]],TODAY())-15</f>
        <v>1748</v>
      </c>
      <c r="Y161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13">
        <f>IF(Table1[[#This Row],[Ask Rate]]=0,0,Table1[[#This Row],[Face Value]]-Table1[[#This Row],[Ask Rate]])</f>
        <v>-83.980000000000018</v>
      </c>
      <c r="AA161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13">
        <f>Table1[[#This Row],[Face Value]]*Table1[[#This Row],[Rate]]*Table1[[#This Row],[Time]]</f>
        <v>0</v>
      </c>
      <c r="AC1613">
        <f>Table1[[#This Row],[SI]]+Table1[[#This Row],[Disc/Prem]]</f>
        <v>-83.980000000000018</v>
      </c>
      <c r="AD1613" s="3">
        <f>Table1[[#This Row],[Net Gain]]/Table1[[#This Row],[Ask Rate]]</f>
        <v>-7.747375412830497E-2</v>
      </c>
      <c r="AE1613" s="3">
        <f ca="1">IF(Table1[[#This Row],[Ask Qty]]=0,0,Table1[[#This Row],[Gross Yield]]*365/Table1[[#This Row],[Days Left]])</f>
        <v>-1.6039659816693884E-2</v>
      </c>
      <c r="AF1613" s="9">
        <f>+Table1[[#This Row],[Net Gain]]*Table1[[#This Row],[Ask Qty]]</f>
        <v>-419.90000000000009</v>
      </c>
      <c r="AG1613" t="str">
        <f ca="1">IF(Table1[[#This Row],[YTM]]&gt;0.12,IF(Table1[[#This Row],[Gross Profit]]&gt;10000,"Invest","Review"),"Low YTM")</f>
        <v>Low YTM</v>
      </c>
    </row>
    <row r="1614" spans="1:33" x14ac:dyDescent="0.3">
      <c r="A1614" t="str">
        <f>RTD("nest.scriprtd",,"nse_cm|1015SCL28B-AZ","Symbol")</f>
        <v>1015SCL28B</v>
      </c>
      <c r="B1614" t="str">
        <f>RTD("nest.scriprtd",,"nse_cm|1015SCL28B-AZ","Trading Symbol")</f>
        <v>1015SCL28B-AZ</v>
      </c>
      <c r="C1614" t="str">
        <f>RTD("nest.scriprtd",,"nse_cm|1015SCL28B-AZ","Exchange")</f>
        <v>NSE</v>
      </c>
      <c r="D1614">
        <f>RTD("nest.scriprtd",,"nse_cm|1015SCL28B-AZ","Bid Qty")</f>
        <v>100</v>
      </c>
      <c r="E1614">
        <f>RTD("nest.scriprtd",,"nse_cm|1015SCL28B-AZ","Bid Rate")</f>
        <v>880</v>
      </c>
      <c r="F1614">
        <f>RTD("nest.scriprtd",,"nse_cm|1015SCL28B-AZ","Ask Rate")</f>
        <v>1200</v>
      </c>
      <c r="G1614">
        <f>RTD("nest.scriprtd",,"nse_cm|1015SCL28B-AZ","Ask Qty")</f>
        <v>10</v>
      </c>
      <c r="H1614">
        <f>RTD("nest.scriprtd",,"nse_cm|1015SCL28B-AZ","LTP")</f>
        <v>1000</v>
      </c>
      <c r="I1614" t="str">
        <f>RTD("nest.scriprtd",,"nse_cm|1015SCL28B-AZ","LTT")</f>
        <v/>
      </c>
      <c r="J1614">
        <f>RTD("nest.scriprtd",,"nse_cm|1015SCL28B-AZ","% Change")</f>
        <v>0</v>
      </c>
      <c r="K1614">
        <f>RTD("nest.scriprtd",,"nse_cm|1015SCL28B-AZ","ATP")</f>
        <v>0</v>
      </c>
      <c r="L1614">
        <f>RTD("nest.scriprtd",,"nse_cm|1015SCL28B-AZ","Volume Traded Today")</f>
        <v>0</v>
      </c>
      <c r="M1614">
        <f>RTD("nest.scriprtd",,"nse_cm|1015SCL28B-AZ","Open")</f>
        <v>0</v>
      </c>
      <c r="N1614">
        <f>RTD("nest.scriprtd",,"nse_cm|1015SCL28B-AZ","High")</f>
        <v>1000</v>
      </c>
      <c r="O1614">
        <f>RTD("nest.scriprtd",,"nse_cm|1015SCL28B-AZ","Low ")</f>
        <v>1000</v>
      </c>
      <c r="P1614">
        <f>RTD("nest.scriprtd",,"nse_cm|1015SCL28B-AZ","Prev Close")</f>
        <v>1000</v>
      </c>
      <c r="Q1614">
        <f>RTD("nest.scriprtd",,"nse_cm|1015SCL28B-AZ","Face Value")</f>
        <v>800</v>
      </c>
      <c r="R1614" t="str">
        <f>RTD("nest.scriprtd",,"nse_cm|1015SCL28B-AZ","Isin code")</f>
        <v>INE148I07OW4</v>
      </c>
      <c r="S1614" s="9">
        <f>Table1[[#This Row],[Ask Rate]]*Table1[[#This Row],[Ask Qty]]</f>
        <v>12000</v>
      </c>
      <c r="T1614">
        <f>VLOOKUP(Table1[[#This Row],[Isin code]],Table2[#All],7,FALSE)</f>
        <v>10.15</v>
      </c>
      <c r="U1614" s="17" t="str">
        <f>VLOOKUP(Table1[[#This Row],[Isin code]],Table2[#All],8,FALSE)</f>
        <v>27-Jul-2028</v>
      </c>
      <c r="V1614" s="10">
        <f ca="1">Table1[[#This Row],[Maturity]]-TODAY()</f>
        <v>1380</v>
      </c>
      <c r="W1614" t="str">
        <f>VLOOKUP(Table1[[#This Row],[Isin code]],Table2[#All],10,FALSE)</f>
        <v>Yearly</v>
      </c>
      <c r="X1614">
        <f ca="1">_xlfn.DAYS(Table1[[#This Row],[Maturity]],TODAY())-15</f>
        <v>1365</v>
      </c>
      <c r="Y161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4</v>
      </c>
      <c r="Z1614">
        <f>IF(Table1[[#This Row],[Ask Rate]]=0,0,Table1[[#This Row],[Face Value]]-Table1[[#This Row],[Ask Rate]])</f>
        <v>-400</v>
      </c>
      <c r="AA1614">
        <f>IF(Table1[[#This Row],[Freq]]="Yearly",Table1[[#This Row],[Coupon_Rate]]/100,IF(Table1[[#This Row],[Freq]]="Monthly",Table1[[#This Row],[Coupon_Rate]]/1200,IF(Table1[[#This Row],[Freq]]="Quarterly",Table1[[#This Row],[Coupon_Rate]]/400,0)))</f>
        <v>0.10150000000000001</v>
      </c>
      <c r="AB1614">
        <f ca="1">Table1[[#This Row],[Face Value]]*Table1[[#This Row],[Rate]]*Table1[[#This Row],[Time]]</f>
        <v>324.8</v>
      </c>
      <c r="AC1614">
        <f ca="1">Table1[[#This Row],[SI]]+Table1[[#This Row],[Disc/Prem]]</f>
        <v>-75.199999999999989</v>
      </c>
      <c r="AD1614" s="3">
        <f ca="1">Table1[[#This Row],[Net Gain]]/Table1[[#This Row],[Ask Rate]]</f>
        <v>-6.2666666666666662E-2</v>
      </c>
      <c r="AE1614" s="3">
        <f ca="1">IF(Table1[[#This Row],[Ask Qty]]=0,0,Table1[[#This Row],[Gross Yield]]*365/Table1[[#This Row],[Days Left]])</f>
        <v>-1.6574879227053137E-2</v>
      </c>
      <c r="AF1614" s="9">
        <f ca="1">+Table1[[#This Row],[Net Gain]]*Table1[[#This Row],[Ask Qty]]</f>
        <v>-751.99999999999989</v>
      </c>
      <c r="AG1614" t="str">
        <f ca="1">IF(Table1[[#This Row],[YTM]]&gt;0.12,IF(Table1[[#This Row],[Gross Profit]]&gt;10000,"Invest","Review"),"Low YTM")</f>
        <v>Low YTM</v>
      </c>
    </row>
    <row r="1615" spans="1:33" hidden="1" x14ac:dyDescent="0.3">
      <c r="A1615" t="str">
        <f>RTD("nest.scriprtd",,"bse_cm|10MMLTD24","Symbol")</f>
        <v>10MMLTD24</v>
      </c>
      <c r="B1615" t="str">
        <f>RTD("nest.scriprtd",,"bse_cm|10MMLTD24","Trading Symbol")</f>
        <v>10MMLTD24</v>
      </c>
      <c r="C1615" t="str">
        <f>RTD("nest.scriprtd",,"bse_cm|10MMLTD24","Exchange")</f>
        <v>BSE</v>
      </c>
      <c r="D1615">
        <f>RTD("nest.scriprtd",,"bse_cm|10MMLTD24","Bid Qty")</f>
        <v>11</v>
      </c>
      <c r="E1615">
        <f>RTD("nest.scriprtd",,"bse_cm|10MMLTD24","Bid Rate")</f>
        <v>821.15</v>
      </c>
      <c r="F1615">
        <f>RTD("nest.scriprtd",,"bse_cm|10MMLTD24","Ask Rate")</f>
        <v>1020</v>
      </c>
      <c r="G1615">
        <f>RTD("nest.scriprtd",,"bse_cm|10MMLTD24","Ask Qty")</f>
        <v>1</v>
      </c>
      <c r="H1615">
        <f>RTD("nest.scriprtd",,"bse_cm|10MMLTD24","LTP")</f>
        <v>0</v>
      </c>
      <c r="I1615" t="str">
        <f>RTD("nest.scriprtd",,"bse_cm|10MMLTD24","LTT")</f>
        <v>00:00:00</v>
      </c>
      <c r="J1615">
        <f>RTD("nest.scriprtd",,"bse_cm|10MMLTD24","% Change")</f>
        <v>-100</v>
      </c>
      <c r="K1615">
        <f>RTD("nest.scriprtd",,"bse_cm|10MMLTD24","ATP")</f>
        <v>0</v>
      </c>
      <c r="L1615">
        <f>RTD("nest.scriprtd",,"bse_cm|10MMLTD24","Volume Traded Today")</f>
        <v>0</v>
      </c>
      <c r="M1615">
        <f>RTD("nest.scriprtd",,"bse_cm|10MMLTD24","Open")</f>
        <v>0</v>
      </c>
      <c r="N1615">
        <f>RTD("nest.scriprtd",,"bse_cm|10MMLTD24","High")</f>
        <v>0</v>
      </c>
      <c r="O1615">
        <f>RTD("nest.scriprtd",,"bse_cm|10MMLTD24","Low ")</f>
        <v>0</v>
      </c>
      <c r="P1615">
        <f>RTD("nest.scriprtd",,"bse_cm|10MMLTD24","Prev Close")</f>
        <v>1000</v>
      </c>
      <c r="Q1615">
        <f>RTD("nest.scriprtd",,"bse_cm|10MMLTD24","Face Value")</f>
        <v>1000</v>
      </c>
      <c r="R1615" t="str">
        <f>RTD("nest.scriprtd",,"bse_cm|10MMLTD24","Isin code")</f>
        <v>INE05F407BK7</v>
      </c>
      <c r="S1615" s="9">
        <f>Table1[[#This Row],[Ask Rate]]*Table1[[#This Row],[Ask Qty]]</f>
        <v>1020</v>
      </c>
      <c r="T1615">
        <f>VLOOKUP(Table1[[#This Row],[Isin code]],Table2[#All],7,FALSE)</f>
        <v>10</v>
      </c>
      <c r="U1615" s="17" t="str">
        <f>VLOOKUP(Table1[[#This Row],[Isin code]],Table2[#All],8,FALSE)</f>
        <v>20-Dec-2024</v>
      </c>
      <c r="V1615" s="10">
        <f ca="1">Table1[[#This Row],[Maturity]]-TODAY()</f>
        <v>65</v>
      </c>
      <c r="W1615" t="str">
        <f>VLOOKUP(Table1[[#This Row],[Isin code]],Table2[#All],10,FALSE)</f>
        <v>Monthly</v>
      </c>
      <c r="X1615">
        <f ca="1">_xlfn.DAYS(Table1[[#This Row],[Maturity]],TODAY())-15</f>
        <v>50</v>
      </c>
      <c r="Y161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615">
        <f>IF(Table1[[#This Row],[Ask Rate]]=0,0,Table1[[#This Row],[Face Value]]-Table1[[#This Row],[Ask Rate]])</f>
        <v>-20</v>
      </c>
      <c r="AA1615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615">
        <f ca="1">Table1[[#This Row],[Face Value]]*Table1[[#This Row],[Rate]]*Table1[[#This Row],[Time]]</f>
        <v>16.666666666666668</v>
      </c>
      <c r="AC1615">
        <f ca="1">Table1[[#This Row],[SI]]+Table1[[#This Row],[Disc/Prem]]</f>
        <v>-3.3333333333333321</v>
      </c>
      <c r="AD1615" s="3">
        <f ca="1">Table1[[#This Row],[Net Gain]]/Table1[[#This Row],[Ask Rate]]</f>
        <v>-3.2679738562091491E-3</v>
      </c>
      <c r="AE1615" s="3">
        <f ca="1">IF(Table1[[#This Row],[Ask Qty]]=0,0,Table1[[#This Row],[Gross Yield]]*365/Table1[[#This Row],[Days Left]])</f>
        <v>-1.8350930115635992E-2</v>
      </c>
      <c r="AF1615" s="9">
        <f ca="1">+Table1[[#This Row],[Net Gain]]*Table1[[#This Row],[Ask Qty]]</f>
        <v>-3.3333333333333321</v>
      </c>
      <c r="AG1615" t="str">
        <f ca="1">IF(Table1[[#This Row],[YTM]]&gt;0.12,IF(Table1[[#This Row],[Gross Profit]]&gt;10000,"Invest","Review"),"Low YTM")</f>
        <v>Low YTM</v>
      </c>
    </row>
    <row r="1616" spans="1:33" x14ac:dyDescent="0.3">
      <c r="A1616" t="str">
        <f>RTD("nest.scriprtd",,"nse_cm|0SCL27-YW","Symbol")</f>
        <v>0SCL27</v>
      </c>
      <c r="B1616" t="str">
        <f>RTD("nest.scriprtd",,"nse_cm|0SCL27-YW","Trading Symbol")</f>
        <v>0SCL27-YW</v>
      </c>
      <c r="C1616" t="str">
        <f>RTD("nest.scriprtd",,"nse_cm|0SCL27-YW","Exchange")</f>
        <v>NSE</v>
      </c>
      <c r="D1616">
        <f>RTD("nest.scriprtd",,"nse_cm|0SCL27-YW","Bid Qty")</f>
        <v>10</v>
      </c>
      <c r="E1616">
        <f>RTD("nest.scriprtd",,"nse_cm|0SCL27-YW","Bid Rate")</f>
        <v>840.2</v>
      </c>
      <c r="F1616">
        <f>RTD("nest.scriprtd",,"nse_cm|0SCL27-YW","Ask Rate")</f>
        <v>1050</v>
      </c>
      <c r="G1616">
        <f>RTD("nest.scriprtd",,"nse_cm|0SCL27-YW","Ask Qty")</f>
        <v>455</v>
      </c>
      <c r="H1616">
        <f>RTD("nest.scriprtd",,"nse_cm|0SCL27-YW","LTP")</f>
        <v>1030</v>
      </c>
      <c r="I1616" t="str">
        <f>RTD("nest.scriprtd",,"nse_cm|0SCL27-YW","LTT")</f>
        <v/>
      </c>
      <c r="J1616">
        <f>RTD("nest.scriprtd",,"nse_cm|0SCL27-YW","% Change")</f>
        <v>0</v>
      </c>
      <c r="K1616">
        <f>RTD("nest.scriprtd",,"nse_cm|0SCL27-YW","ATP")</f>
        <v>0</v>
      </c>
      <c r="L1616">
        <f>RTD("nest.scriprtd",,"nse_cm|0SCL27-YW","Volume Traded Today")</f>
        <v>0</v>
      </c>
      <c r="M1616">
        <f>RTD("nest.scriprtd",,"nse_cm|0SCL27-YW","Open")</f>
        <v>0</v>
      </c>
      <c r="N1616">
        <f>RTD("nest.scriprtd",,"nse_cm|0SCL27-YW","High")</f>
        <v>1030</v>
      </c>
      <c r="O1616">
        <f>RTD("nest.scriprtd",,"nse_cm|0SCL27-YW","Low ")</f>
        <v>1030</v>
      </c>
      <c r="P1616">
        <f>RTD("nest.scriprtd",,"nse_cm|0SCL27-YW","Prev Close")</f>
        <v>1030</v>
      </c>
      <c r="Q1616">
        <f>RTD("nest.scriprtd",,"nse_cm|0SCL27-YW","Face Value")</f>
        <v>1000</v>
      </c>
      <c r="R1616" t="str">
        <f>RTD("nest.scriprtd",,"nse_cm|0SCL27-YW","Isin code")</f>
        <v>INE148I07SK0</v>
      </c>
      <c r="S1616" s="9">
        <f>Table1[[#This Row],[Ask Rate]]*Table1[[#This Row],[Ask Qty]]</f>
        <v>477750</v>
      </c>
      <c r="T1616">
        <f>VLOOKUP(Table1[[#This Row],[Isin code]],Table2[#All],7,FALSE)</f>
        <v>0</v>
      </c>
      <c r="U1616" s="17" t="str">
        <f>VLOOKUP(Table1[[#This Row],[Isin code]],Table2[#All],8,FALSE)</f>
        <v>26-Mar-2027</v>
      </c>
      <c r="V1616" s="10">
        <f ca="1">Table1[[#This Row],[Maturity]]-TODAY()</f>
        <v>891</v>
      </c>
      <c r="W1616" t="str">
        <f>VLOOKUP(Table1[[#This Row],[Isin code]],Table2[#All],10,FALSE)</f>
        <v>--</v>
      </c>
      <c r="X1616">
        <f ca="1">_xlfn.DAYS(Table1[[#This Row],[Maturity]],TODAY())-15</f>
        <v>876</v>
      </c>
      <c r="Y161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16">
        <f>IF(Table1[[#This Row],[Ask Rate]]=0,0,Table1[[#This Row],[Face Value]]-Table1[[#This Row],[Ask Rate]])</f>
        <v>-50</v>
      </c>
      <c r="AA161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16">
        <f>Table1[[#This Row],[Face Value]]*Table1[[#This Row],[Rate]]*Table1[[#This Row],[Time]]</f>
        <v>0</v>
      </c>
      <c r="AC1616">
        <f>Table1[[#This Row],[SI]]+Table1[[#This Row],[Disc/Prem]]</f>
        <v>-50</v>
      </c>
      <c r="AD1616" s="3">
        <f>Table1[[#This Row],[Net Gain]]/Table1[[#This Row],[Ask Rate]]</f>
        <v>-4.7619047619047616E-2</v>
      </c>
      <c r="AE1616" s="3">
        <f ca="1">IF(Table1[[#This Row],[Ask Qty]]=0,0,Table1[[#This Row],[Gross Yield]]*365/Table1[[#This Row],[Days Left]])</f>
        <v>-1.9507241729463949E-2</v>
      </c>
      <c r="AF1616" s="9">
        <f>+Table1[[#This Row],[Net Gain]]*Table1[[#This Row],[Ask Qty]]</f>
        <v>-22750</v>
      </c>
      <c r="AG1616" t="str">
        <f ca="1">IF(Table1[[#This Row],[YTM]]&gt;0.12,IF(Table1[[#This Row],[Gross Profit]]&gt;10000,"Invest","Review"),"Low YTM")</f>
        <v>Low YTM</v>
      </c>
    </row>
    <row r="1617" spans="1:33" x14ac:dyDescent="0.3">
      <c r="A1617" t="str">
        <f>RTD("nest.scriprtd",,"bse_cm|EFSL26D","Symbol")</f>
        <v>EFSL26D</v>
      </c>
      <c r="B1617" t="str">
        <f>RTD("nest.scriprtd",,"bse_cm|EFSL26D","Trading Symbol")</f>
        <v>EFSL26D</v>
      </c>
      <c r="C1617" t="str">
        <f>RTD("nest.scriprtd",,"bse_cm|EFSL26D","Exchange")</f>
        <v>BSE</v>
      </c>
      <c r="D1617">
        <f>RTD("nest.scriprtd",,"bse_cm|EFSL26D","Bid Qty")</f>
        <v>170</v>
      </c>
      <c r="E1617">
        <f>RTD("nest.scriprtd",,"bse_cm|EFSL26D","Bid Rate")</f>
        <v>975.2</v>
      </c>
      <c r="F1617">
        <f>RTD("nest.scriprtd",,"bse_cm|EFSL26D","Ask Rate")</f>
        <v>1026.45</v>
      </c>
      <c r="G1617">
        <f>RTD("nest.scriprtd",,"bse_cm|EFSL26D","Ask Qty")</f>
        <v>5</v>
      </c>
      <c r="H1617">
        <f>RTD("nest.scriprtd",,"bse_cm|EFSL26D","LTP")</f>
        <v>0</v>
      </c>
      <c r="I1617" t="str">
        <f>RTD("nest.scriprtd",,"bse_cm|EFSL26D","LTT")</f>
        <v>00:00:00</v>
      </c>
      <c r="J1617">
        <f>RTD("nest.scriprtd",,"bse_cm|EFSL26D","% Change")</f>
        <v>-100</v>
      </c>
      <c r="K1617">
        <f>RTD("nest.scriprtd",,"bse_cm|EFSL26D","ATP")</f>
        <v>0</v>
      </c>
      <c r="L1617">
        <f>RTD("nest.scriprtd",,"bse_cm|EFSL26D","Volume Traded Today")</f>
        <v>0</v>
      </c>
      <c r="M1617">
        <f>RTD("nest.scriprtd",,"bse_cm|EFSL26D","Open")</f>
        <v>0</v>
      </c>
      <c r="N1617">
        <f>RTD("nest.scriprtd",,"bse_cm|EFSL26D","High")</f>
        <v>1002.3</v>
      </c>
      <c r="O1617">
        <f>RTD("nest.scriprtd",,"bse_cm|EFSL26D","Low ")</f>
        <v>994</v>
      </c>
      <c r="P1617">
        <f>RTD("nest.scriprtd",,"bse_cm|EFSL26D","Prev Close")</f>
        <v>998.15</v>
      </c>
      <c r="Q1617">
        <f>RTD("nest.scriprtd",,"bse_cm|EFSL26D","Face Value")</f>
        <v>1000</v>
      </c>
      <c r="R1617" t="str">
        <f>RTD("nest.scriprtd",,"bse_cm|EFSL26D","Isin code")</f>
        <v>INE532F07EV8</v>
      </c>
      <c r="S1617" s="9">
        <f>Table1[[#This Row],[Ask Rate]]*Table1[[#This Row],[Ask Qty]]</f>
        <v>5132.25</v>
      </c>
      <c r="T1617" t="str">
        <f>VLOOKUP(Table1[[#This Row],[Isin code]],Table2[#All],7,FALSE)</f>
        <v>--</v>
      </c>
      <c r="U1617" s="17" t="str">
        <f>VLOOKUP(Table1[[#This Row],[Isin code]],Table2[#All],8,FALSE)</f>
        <v>29-Jan-2026</v>
      </c>
      <c r="V1617" s="10">
        <f ca="1">Table1[[#This Row],[Maturity]]-TODAY()</f>
        <v>470</v>
      </c>
      <c r="W1617" t="str">
        <f>VLOOKUP(Table1[[#This Row],[Isin code]],Table2[#All],10,FALSE)</f>
        <v>At the End</v>
      </c>
      <c r="X1617">
        <f ca="1">_xlfn.DAYS(Table1[[#This Row],[Maturity]],TODAY())-15</f>
        <v>455</v>
      </c>
      <c r="Y161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17">
        <f>IF(Table1[[#This Row],[Ask Rate]]=0,0,Table1[[#This Row],[Face Value]]-Table1[[#This Row],[Ask Rate]])</f>
        <v>-26.450000000000045</v>
      </c>
      <c r="AA161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17">
        <f>Table1[[#This Row],[Face Value]]*Table1[[#This Row],[Rate]]*Table1[[#This Row],[Time]]</f>
        <v>0</v>
      </c>
      <c r="AC1617">
        <f>Table1[[#This Row],[SI]]+Table1[[#This Row],[Disc/Prem]]</f>
        <v>-26.450000000000045</v>
      </c>
      <c r="AD1617" s="3">
        <f>Table1[[#This Row],[Net Gain]]/Table1[[#This Row],[Ask Rate]]</f>
        <v>-2.5768425154659307E-2</v>
      </c>
      <c r="AE1617" s="3">
        <f ca="1">IF(Table1[[#This Row],[Ask Qty]]=0,0,Table1[[#This Row],[Gross Yield]]*365/Table1[[#This Row],[Days Left]])</f>
        <v>-2.0011649322235422E-2</v>
      </c>
      <c r="AF1617" s="9">
        <f>+Table1[[#This Row],[Net Gain]]*Table1[[#This Row],[Ask Qty]]</f>
        <v>-132.25000000000023</v>
      </c>
      <c r="AG1617" t="str">
        <f ca="1">IF(Table1[[#This Row],[YTM]]&gt;0.12,IF(Table1[[#This Row],[Gross Profit]]&gt;10000,"Invest","Review"),"Low YTM")</f>
        <v>Low YTM</v>
      </c>
    </row>
    <row r="1618" spans="1:33" x14ac:dyDescent="0.3">
      <c r="A1618" t="str">
        <f>RTD("nest.scriprtd",,"nse_cm|CIFC28-NB","Symbol")</f>
        <v>CIFC28</v>
      </c>
      <c r="B1618" t="str">
        <f>RTD("nest.scriprtd",,"nse_cm|CIFC28-NB","Trading Symbol")</f>
        <v>CIFC28-NB</v>
      </c>
      <c r="C1618" t="str">
        <f>RTD("nest.scriprtd",,"nse_cm|CIFC28-NB","Exchange")</f>
        <v>NSE</v>
      </c>
      <c r="D1618">
        <f>RTD("nest.scriprtd",,"nse_cm|CIFC28-NB","Bid Qty")</f>
        <v>2</v>
      </c>
      <c r="E1618">
        <f>RTD("nest.scriprtd",,"nse_cm|CIFC28-NB","Bid Rate")</f>
        <v>1002.2</v>
      </c>
      <c r="F1618">
        <f>RTD("nest.scriprtd",,"nse_cm|CIFC28-NB","Ask Rate")</f>
        <v>1083</v>
      </c>
      <c r="G1618">
        <f>RTD("nest.scriprtd",,"nse_cm|CIFC28-NB","Ask Qty")</f>
        <v>1000</v>
      </c>
      <c r="H1618">
        <f>RTD("nest.scriprtd",,"nse_cm|CIFC28-NB","LTP")</f>
        <v>1083</v>
      </c>
      <c r="I1618" t="str">
        <f>RTD("nest.scriprtd",,"nse_cm|CIFC28-NB","LTT")</f>
        <v/>
      </c>
      <c r="J1618">
        <f>RTD("nest.scriprtd",,"nse_cm|CIFC28-NB","% Change")</f>
        <v>0</v>
      </c>
      <c r="K1618">
        <f>RTD("nest.scriprtd",,"nse_cm|CIFC28-NB","ATP")</f>
        <v>0</v>
      </c>
      <c r="L1618">
        <f>RTD("nest.scriprtd",,"nse_cm|CIFC28-NB","Volume Traded Today")</f>
        <v>0</v>
      </c>
      <c r="M1618">
        <f>RTD("nest.scriprtd",,"nse_cm|CIFC28-NB","Open")</f>
        <v>0</v>
      </c>
      <c r="N1618">
        <f>RTD("nest.scriprtd",,"nse_cm|CIFC28-NB","High")</f>
        <v>1083</v>
      </c>
      <c r="O1618">
        <f>RTD("nest.scriprtd",,"nse_cm|CIFC28-NB","Low ")</f>
        <v>1083</v>
      </c>
      <c r="P1618">
        <f>RTD("nest.scriprtd",,"nse_cm|CIFC28-NB","Prev Close")</f>
        <v>1083</v>
      </c>
      <c r="Q1618">
        <f>RTD("nest.scriprtd",,"nse_cm|CIFC28-NB","Face Value")</f>
        <v>1000</v>
      </c>
      <c r="R1618" t="str">
        <f>RTD("nest.scriprtd",,"nse_cm|CIFC28-NB","Isin code")</f>
        <v>INE121A07RI0</v>
      </c>
      <c r="S1618" s="9">
        <f>Table1[[#This Row],[Ask Rate]]*Table1[[#This Row],[Ask Qty]]</f>
        <v>1083000</v>
      </c>
      <c r="T1618">
        <f>VLOOKUP(Table1[[#This Row],[Isin code]],Table2[#All],7,FALSE)</f>
        <v>0</v>
      </c>
      <c r="U1618" s="17" t="str">
        <f>VLOOKUP(Table1[[#This Row],[Isin code]],Table2[#All],8,FALSE)</f>
        <v>09-Aug-2028</v>
      </c>
      <c r="V1618" s="10">
        <f ca="1">Table1[[#This Row],[Maturity]]-TODAY()</f>
        <v>1393</v>
      </c>
      <c r="W1618" t="str">
        <f>VLOOKUP(Table1[[#This Row],[Isin code]],Table2[#All],10,FALSE)</f>
        <v>0</v>
      </c>
      <c r="X1618">
        <f ca="1">_xlfn.DAYS(Table1[[#This Row],[Maturity]],TODAY())-15</f>
        <v>1378</v>
      </c>
      <c r="Y161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18">
        <f>IF(Table1[[#This Row],[Ask Rate]]=0,0,Table1[[#This Row],[Face Value]]-Table1[[#This Row],[Ask Rate]])</f>
        <v>-83</v>
      </c>
      <c r="AA161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18">
        <f>Table1[[#This Row],[Face Value]]*Table1[[#This Row],[Rate]]*Table1[[#This Row],[Time]]</f>
        <v>0</v>
      </c>
      <c r="AC1618">
        <f>Table1[[#This Row],[SI]]+Table1[[#This Row],[Disc/Prem]]</f>
        <v>-83</v>
      </c>
      <c r="AD1618" s="3">
        <f>Table1[[#This Row],[Net Gain]]/Table1[[#This Row],[Ask Rate]]</f>
        <v>-7.663896583564174E-2</v>
      </c>
      <c r="AE1618" s="3">
        <f ca="1">IF(Table1[[#This Row],[Ask Qty]]=0,0,Table1[[#This Row],[Gross Yield]]*365/Table1[[#This Row],[Days Left]])</f>
        <v>-2.0081279633890333E-2</v>
      </c>
      <c r="AF1618" s="9">
        <f>+Table1[[#This Row],[Net Gain]]*Table1[[#This Row],[Ask Qty]]</f>
        <v>-83000</v>
      </c>
      <c r="AG1618" t="str">
        <f ca="1">IF(Table1[[#This Row],[YTM]]&gt;0.12,IF(Table1[[#This Row],[Gross Profit]]&gt;10000,"Invest","Review"),"Low YTM")</f>
        <v>Low YTM</v>
      </c>
    </row>
    <row r="1619" spans="1:33" x14ac:dyDescent="0.3">
      <c r="A1619" t="str">
        <f>RTD("nest.scriprtd",,"bse_cm|KFL29","Symbol")</f>
        <v>KFL29</v>
      </c>
      <c r="B1619" t="str">
        <f>RTD("nest.scriprtd",,"bse_cm|KFL29","Trading Symbol")</f>
        <v>KFL29</v>
      </c>
      <c r="C1619" t="str">
        <f>RTD("nest.scriprtd",,"bse_cm|KFL29","Exchange")</f>
        <v>BSE</v>
      </c>
      <c r="D1619">
        <f>RTD("nest.scriprtd",,"bse_cm|KFL29","Bid Qty")</f>
        <v>90</v>
      </c>
      <c r="E1619">
        <f>RTD("nest.scriprtd",,"bse_cm|KFL29","Bid Rate")</f>
        <v>975.4</v>
      </c>
      <c r="F1619">
        <f>RTD("nest.scriprtd",,"bse_cm|KFL29","Ask Rate")</f>
        <v>1123</v>
      </c>
      <c r="G1619">
        <f>RTD("nest.scriprtd",,"bse_cm|KFL29","Ask Qty")</f>
        <v>10</v>
      </c>
      <c r="H1619">
        <f>RTD("nest.scriprtd",,"bse_cm|KFL29","LTP")</f>
        <v>0</v>
      </c>
      <c r="I1619" t="str">
        <f>RTD("nest.scriprtd",,"bse_cm|KFL29","LTT")</f>
        <v>00:00:00</v>
      </c>
      <c r="J1619">
        <f>RTD("nest.scriprtd",,"bse_cm|KFL29","% Change")</f>
        <v>-100</v>
      </c>
      <c r="K1619">
        <f>RTD("nest.scriprtd",,"bse_cm|KFL29","ATP")</f>
        <v>0</v>
      </c>
      <c r="L1619">
        <f>RTD("nest.scriprtd",,"bse_cm|KFL29","Volume Traded Today")</f>
        <v>0</v>
      </c>
      <c r="M1619">
        <f>RTD("nest.scriprtd",,"bse_cm|KFL29","Open")</f>
        <v>0</v>
      </c>
      <c r="N1619">
        <f>RTD("nest.scriprtd",,"bse_cm|KFL29","High")</f>
        <v>1065</v>
      </c>
      <c r="O1619">
        <f>RTD("nest.scriprtd",,"bse_cm|KFL29","Low ")</f>
        <v>964.4</v>
      </c>
      <c r="P1619">
        <f>RTD("nest.scriprtd",,"bse_cm|KFL29","Prev Close")</f>
        <v>1065</v>
      </c>
      <c r="Q1619">
        <f>RTD("nest.scriprtd",,"bse_cm|KFL29","Face Value")</f>
        <v>1000</v>
      </c>
      <c r="R1619" t="str">
        <f>RTD("nest.scriprtd",,"bse_cm|KFL29","Isin code")</f>
        <v>INE403Q07CX9</v>
      </c>
      <c r="S1619" s="9">
        <f>Table1[[#This Row],[Ask Rate]]*Table1[[#This Row],[Ask Qty]]</f>
        <v>11230</v>
      </c>
      <c r="T1619" t="str">
        <f>VLOOKUP(Table1[[#This Row],[Isin code]],Table2[#All],7,FALSE)</f>
        <v>--</v>
      </c>
      <c r="U1619" s="17" t="str">
        <f>VLOOKUP(Table1[[#This Row],[Isin code]],Table2[#All],8,FALSE)</f>
        <v>10-Dec-2029</v>
      </c>
      <c r="V1619" s="10">
        <f ca="1">Table1[[#This Row],[Maturity]]-TODAY()</f>
        <v>1881</v>
      </c>
      <c r="W1619" t="str">
        <f>VLOOKUP(Table1[[#This Row],[Isin code]],Table2[#All],10,FALSE)</f>
        <v>At the End</v>
      </c>
      <c r="X1619">
        <f ca="1">_xlfn.DAYS(Table1[[#This Row],[Maturity]],TODAY())-15</f>
        <v>1866</v>
      </c>
      <c r="Y161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19">
        <f>IF(Table1[[#This Row],[Ask Rate]]=0,0,Table1[[#This Row],[Face Value]]-Table1[[#This Row],[Ask Rate]])</f>
        <v>-123</v>
      </c>
      <c r="AA161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19">
        <f>Table1[[#This Row],[Face Value]]*Table1[[#This Row],[Rate]]*Table1[[#This Row],[Time]]</f>
        <v>0</v>
      </c>
      <c r="AC1619">
        <f>Table1[[#This Row],[SI]]+Table1[[#This Row],[Disc/Prem]]</f>
        <v>-123</v>
      </c>
      <c r="AD1619" s="3">
        <f>Table1[[#This Row],[Net Gain]]/Table1[[#This Row],[Ask Rate]]</f>
        <v>-0.10952804986642921</v>
      </c>
      <c r="AE1619" s="3">
        <f ca="1">IF(Table1[[#This Row],[Ask Qty]]=0,0,Table1[[#This Row],[Gross Yield]]*365/Table1[[#This Row],[Days Left]])</f>
        <v>-2.1253449336122627E-2</v>
      </c>
      <c r="AF1619" s="9">
        <f>+Table1[[#This Row],[Net Gain]]*Table1[[#This Row],[Ask Qty]]</f>
        <v>-1230</v>
      </c>
      <c r="AG1619" t="str">
        <f ca="1">IF(Table1[[#This Row],[YTM]]&gt;0.12,IF(Table1[[#This Row],[Gross Profit]]&gt;10000,"Invest","Review"),"Low YTM")</f>
        <v>Low YTM</v>
      </c>
    </row>
    <row r="1620" spans="1:33" x14ac:dyDescent="0.3">
      <c r="A1620" t="str">
        <f>RTD("nest.scriprtd",,"bse_cm|MFL28A","Symbol")</f>
        <v>MFL28A</v>
      </c>
      <c r="B1620" t="str">
        <f>RTD("nest.scriprtd",,"bse_cm|MFL28A","Trading Symbol")</f>
        <v>MFL28A</v>
      </c>
      <c r="C1620" t="str">
        <f>RTD("nest.scriprtd",,"bse_cm|MFL28A","Exchange")</f>
        <v>BSE</v>
      </c>
      <c r="D1620">
        <f>RTD("nest.scriprtd",,"bse_cm|MFL28A","Bid Qty")</f>
        <v>25</v>
      </c>
      <c r="E1620">
        <f>RTD("nest.scriprtd",,"bse_cm|MFL28A","Bid Rate")</f>
        <v>922.8</v>
      </c>
      <c r="F1620">
        <f>RTD("nest.scriprtd",,"bse_cm|MFL28A","Ask Rate")</f>
        <v>1095</v>
      </c>
      <c r="G1620">
        <f>RTD("nest.scriprtd",,"bse_cm|MFL28A","Ask Qty")</f>
        <v>50</v>
      </c>
      <c r="H1620">
        <f>RTD("nest.scriprtd",,"bse_cm|MFL28A","LTP")</f>
        <v>0</v>
      </c>
      <c r="I1620" t="str">
        <f>RTD("nest.scriprtd",,"bse_cm|MFL28A","LTT")</f>
        <v>00:00:00</v>
      </c>
      <c r="J1620">
        <f>RTD("nest.scriprtd",,"bse_cm|MFL28A","% Change")</f>
        <v>-100</v>
      </c>
      <c r="K1620">
        <f>RTD("nest.scriprtd",,"bse_cm|MFL28A","ATP")</f>
        <v>0</v>
      </c>
      <c r="L1620">
        <f>RTD("nest.scriprtd",,"bse_cm|MFL28A","Volume Traded Today")</f>
        <v>0</v>
      </c>
      <c r="M1620">
        <f>RTD("nest.scriprtd",,"bse_cm|MFL28A","Open")</f>
        <v>0</v>
      </c>
      <c r="N1620">
        <f>RTD("nest.scriprtd",,"bse_cm|MFL28A","High")</f>
        <v>1050</v>
      </c>
      <c r="O1620">
        <f>RTD("nest.scriprtd",,"bse_cm|MFL28A","Low ")</f>
        <v>1050</v>
      </c>
      <c r="P1620">
        <f>RTD("nest.scriprtd",,"bse_cm|MFL28A","Prev Close")</f>
        <v>1050</v>
      </c>
      <c r="Q1620">
        <f>RTD("nest.scriprtd",,"bse_cm|MFL28A","Face Value")</f>
        <v>1000</v>
      </c>
      <c r="R1620" t="str">
        <f>RTD("nest.scriprtd",,"bse_cm|MFL28A","Isin code")</f>
        <v>INE414G07IJ3</v>
      </c>
      <c r="S1620" s="9">
        <f>Table1[[#This Row],[Ask Rate]]*Table1[[#This Row],[Ask Qty]]</f>
        <v>54750</v>
      </c>
      <c r="T1620" t="str">
        <f>VLOOKUP(Table1[[#This Row],[Isin code]],Table2[#All],7,FALSE)</f>
        <v>--</v>
      </c>
      <c r="U1620" s="17" t="str">
        <f>VLOOKUP(Table1[[#This Row],[Isin code]],Table2[#All],8,FALSE)</f>
        <v>04-Oct-2028</v>
      </c>
      <c r="V1620" s="10">
        <f ca="1">Table1[[#This Row],[Maturity]]-TODAY()</f>
        <v>1449</v>
      </c>
      <c r="W1620" t="str">
        <f>VLOOKUP(Table1[[#This Row],[Isin code]],Table2[#All],10,FALSE)</f>
        <v>At the End</v>
      </c>
      <c r="X1620">
        <f ca="1">_xlfn.DAYS(Table1[[#This Row],[Maturity]],TODAY())-15</f>
        <v>1434</v>
      </c>
      <c r="Y162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20">
        <f>IF(Table1[[#This Row],[Ask Rate]]=0,0,Table1[[#This Row],[Face Value]]-Table1[[#This Row],[Ask Rate]])</f>
        <v>-95</v>
      </c>
      <c r="AA162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20">
        <f>Table1[[#This Row],[Face Value]]*Table1[[#This Row],[Rate]]*Table1[[#This Row],[Time]]</f>
        <v>0</v>
      </c>
      <c r="AC1620">
        <f>Table1[[#This Row],[SI]]+Table1[[#This Row],[Disc/Prem]]</f>
        <v>-95</v>
      </c>
      <c r="AD1620" s="3">
        <f>Table1[[#This Row],[Net Gain]]/Table1[[#This Row],[Ask Rate]]</f>
        <v>-8.6757990867579904E-2</v>
      </c>
      <c r="AE1620" s="3">
        <f ca="1">IF(Table1[[#This Row],[Ask Qty]]=0,0,Table1[[#This Row],[Gross Yield]]*365/Table1[[#This Row],[Days Left]])</f>
        <v>-2.1854152288934895E-2</v>
      </c>
      <c r="AF1620" s="9">
        <f>+Table1[[#This Row],[Net Gain]]*Table1[[#This Row],[Ask Qty]]</f>
        <v>-4750</v>
      </c>
      <c r="AG1620" t="str">
        <f ca="1">IF(Table1[[#This Row],[YTM]]&gt;0.12,IF(Table1[[#This Row],[Gross Profit]]&gt;10000,"Invest","Review"),"Low YTM")</f>
        <v>Low YTM</v>
      </c>
    </row>
    <row r="1621" spans="1:33" x14ac:dyDescent="0.3">
      <c r="A1621" t="str">
        <f>RTD("nest.scriprtd",,"bse_cm|96ONE29","Symbol")</f>
        <v>96ONE29</v>
      </c>
      <c r="B1621" t="str">
        <f>RTD("nest.scriprtd",,"bse_cm|96ONE29","Trading Symbol")</f>
        <v>96ONE29</v>
      </c>
      <c r="C1621" t="str">
        <f>RTD("nest.scriprtd",,"bse_cm|96ONE29","Exchange")</f>
        <v>BSE</v>
      </c>
      <c r="D1621">
        <f>RTD("nest.scriprtd",,"bse_cm|96ONE29","Bid Qty")</f>
        <v>19</v>
      </c>
      <c r="E1621">
        <f>RTD("nest.scriprtd",,"bse_cm|96ONE29","Bid Rate")</f>
        <v>835.35</v>
      </c>
      <c r="F1621">
        <f>RTD("nest.scriprtd",,"bse_cm|96ONE29","Ask Rate")</f>
        <v>1119.9000000000001</v>
      </c>
      <c r="G1621">
        <f>RTD("nest.scriprtd",,"bse_cm|96ONE29","Ask Qty")</f>
        <v>25</v>
      </c>
      <c r="H1621">
        <f>RTD("nest.scriprtd",,"bse_cm|96ONE29","LTP")</f>
        <v>0</v>
      </c>
      <c r="I1621" t="str">
        <f>RTD("nest.scriprtd",,"bse_cm|96ONE29","LTT")</f>
        <v>00:00:00</v>
      </c>
      <c r="J1621">
        <f>RTD("nest.scriprtd",,"bse_cm|96ONE29","% Change")</f>
        <v>-100</v>
      </c>
      <c r="K1621">
        <f>RTD("nest.scriprtd",,"bse_cm|96ONE29","ATP")</f>
        <v>0</v>
      </c>
      <c r="L1621">
        <f>RTD("nest.scriprtd",,"bse_cm|96ONE29","Volume Traded Today")</f>
        <v>0</v>
      </c>
      <c r="M1621">
        <f>RTD("nest.scriprtd",,"bse_cm|96ONE29","Open")</f>
        <v>0</v>
      </c>
      <c r="N1621">
        <f>RTD("nest.scriprtd",,"bse_cm|96ONE29","High")</f>
        <v>1000</v>
      </c>
      <c r="O1621">
        <f>RTD("nest.scriprtd",,"bse_cm|96ONE29","Low ")</f>
        <v>1000</v>
      </c>
      <c r="P1621">
        <f>RTD("nest.scriprtd",,"bse_cm|96ONE29","Prev Close")</f>
        <v>1000</v>
      </c>
      <c r="Q1621">
        <f>RTD("nest.scriprtd",,"bse_cm|96ONE29","Face Value")</f>
        <v>1000</v>
      </c>
      <c r="R1621" t="str">
        <f>RTD("nest.scriprtd",,"bse_cm|96ONE29","Isin code")</f>
        <v>INE248U07FE3</v>
      </c>
      <c r="S1621" s="9">
        <f>Table1[[#This Row],[Ask Rate]]*Table1[[#This Row],[Ask Qty]]</f>
        <v>27997.500000000004</v>
      </c>
      <c r="T1621">
        <f>VLOOKUP(Table1[[#This Row],[Isin code]],Table2[#All],7,FALSE)</f>
        <v>9.6</v>
      </c>
      <c r="U1621" s="17" t="str">
        <f>VLOOKUP(Table1[[#This Row],[Isin code]],Table2[#All],8,FALSE)</f>
        <v>12-Jun-2029</v>
      </c>
      <c r="V1621" s="10">
        <f ca="1">Table1[[#This Row],[Maturity]]-TODAY()</f>
        <v>1700</v>
      </c>
      <c r="W1621" t="str">
        <f>VLOOKUP(Table1[[#This Row],[Isin code]],Table2[#All],10,FALSE)</f>
        <v>Annual</v>
      </c>
      <c r="X1621">
        <f ca="1">_xlfn.DAYS(Table1[[#This Row],[Maturity]],TODAY())-15</f>
        <v>1685</v>
      </c>
      <c r="Y162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21">
        <f>IF(Table1[[#This Row],[Ask Rate]]=0,0,Table1[[#This Row],[Face Value]]-Table1[[#This Row],[Ask Rate]])</f>
        <v>-119.90000000000009</v>
      </c>
      <c r="AA162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21">
        <f>Table1[[#This Row],[Face Value]]*Table1[[#This Row],[Rate]]*Table1[[#This Row],[Time]]</f>
        <v>0</v>
      </c>
      <c r="AC1621">
        <f>Table1[[#This Row],[SI]]+Table1[[#This Row],[Disc/Prem]]</f>
        <v>-119.90000000000009</v>
      </c>
      <c r="AD1621" s="3">
        <f>Table1[[#This Row],[Net Gain]]/Table1[[#This Row],[Ask Rate]]</f>
        <v>-0.10706313063666406</v>
      </c>
      <c r="AE1621" s="3">
        <f ca="1">IF(Table1[[#This Row],[Ask Qty]]=0,0,Table1[[#This Row],[Gross Yield]]*365/Table1[[#This Row],[Days Left]])</f>
        <v>-2.2987083930813165E-2</v>
      </c>
      <c r="AF1621" s="9">
        <f>+Table1[[#This Row],[Net Gain]]*Table1[[#This Row],[Ask Qty]]</f>
        <v>-2997.5000000000023</v>
      </c>
      <c r="AG1621" t="str">
        <f ca="1">IF(Table1[[#This Row],[YTM]]&gt;0.12,IF(Table1[[#This Row],[Gross Profit]]&gt;10000,"Invest","Review"),"Low YTM")</f>
        <v>Low YTM</v>
      </c>
    </row>
    <row r="1622" spans="1:33" x14ac:dyDescent="0.3">
      <c r="A1622" t="str">
        <f>RTD("nest.scriprtd",,"nse_cm|0SCL26-YR","Symbol")</f>
        <v>0SCL26</v>
      </c>
      <c r="B1622" t="str">
        <f>RTD("nest.scriprtd",,"nse_cm|0SCL26-YR","Trading Symbol")</f>
        <v>0SCL26-YR</v>
      </c>
      <c r="C1622" t="str">
        <f>RTD("nest.scriprtd",,"nse_cm|0SCL26-YR","Exchange")</f>
        <v>NSE</v>
      </c>
      <c r="D1622">
        <f>RTD("nest.scriprtd",,"nse_cm|0SCL26-YR","Bid Qty")</f>
        <v>12</v>
      </c>
      <c r="E1622">
        <f>RTD("nest.scriprtd",,"nse_cm|0SCL26-YR","Bid Rate")</f>
        <v>912</v>
      </c>
      <c r="F1622">
        <f>RTD("nest.scriprtd",,"nse_cm|0SCL26-YR","Ask Rate")</f>
        <v>1035</v>
      </c>
      <c r="G1622">
        <f>RTD("nest.scriprtd",,"nse_cm|0SCL26-YR","Ask Qty")</f>
        <v>41</v>
      </c>
      <c r="H1622">
        <f>RTD("nest.scriprtd",,"nse_cm|0SCL26-YR","LTP")</f>
        <v>1000</v>
      </c>
      <c r="I1622" t="str">
        <f>RTD("nest.scriprtd",,"nse_cm|0SCL26-YR","LTT")</f>
        <v/>
      </c>
      <c r="J1622">
        <f>RTD("nest.scriprtd",,"nse_cm|0SCL26-YR","% Change")</f>
        <v>0</v>
      </c>
      <c r="K1622">
        <f>RTD("nest.scriprtd",,"nse_cm|0SCL26-YR","ATP")</f>
        <v>0</v>
      </c>
      <c r="L1622">
        <f>RTD("nest.scriprtd",,"nse_cm|0SCL26-YR","Volume Traded Today")</f>
        <v>0</v>
      </c>
      <c r="M1622">
        <f>RTD("nest.scriprtd",,"nse_cm|0SCL26-YR","Open")</f>
        <v>0</v>
      </c>
      <c r="N1622">
        <f>RTD("nest.scriprtd",,"nse_cm|0SCL26-YR","High")</f>
        <v>1000</v>
      </c>
      <c r="O1622">
        <f>RTD("nest.scriprtd",,"nse_cm|0SCL26-YR","Low ")</f>
        <v>1000</v>
      </c>
      <c r="P1622">
        <f>RTD("nest.scriprtd",,"nse_cm|0SCL26-YR","Prev Close")</f>
        <v>1000</v>
      </c>
      <c r="Q1622">
        <f>RTD("nest.scriprtd",,"nse_cm|0SCL26-YR","Face Value")</f>
        <v>1000</v>
      </c>
      <c r="R1622" t="str">
        <f>RTD("nest.scriprtd",,"nse_cm|0SCL26-YR","Isin code")</f>
        <v>INE148I07SF0</v>
      </c>
      <c r="S1622" s="9">
        <f>Table1[[#This Row],[Ask Rate]]*Table1[[#This Row],[Ask Qty]]</f>
        <v>42435</v>
      </c>
      <c r="T1622">
        <f>VLOOKUP(Table1[[#This Row],[Isin code]],Table2[#All],7,FALSE)</f>
        <v>0</v>
      </c>
      <c r="U1622" s="17" t="str">
        <f>VLOOKUP(Table1[[#This Row],[Isin code]],Table2[#All],8,FALSE)</f>
        <v>26-Mar-2026</v>
      </c>
      <c r="V1622" s="10">
        <f ca="1">Table1[[#This Row],[Maturity]]-TODAY()</f>
        <v>526</v>
      </c>
      <c r="W1622" t="str">
        <f>VLOOKUP(Table1[[#This Row],[Isin code]],Table2[#All],10,FALSE)</f>
        <v>At the End</v>
      </c>
      <c r="X1622">
        <f ca="1">_xlfn.DAYS(Table1[[#This Row],[Maturity]],TODAY())-15</f>
        <v>511</v>
      </c>
      <c r="Y162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22">
        <f>IF(Table1[[#This Row],[Ask Rate]]=0,0,Table1[[#This Row],[Face Value]]-Table1[[#This Row],[Ask Rate]])</f>
        <v>-35</v>
      </c>
      <c r="AA162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22">
        <f>Table1[[#This Row],[Face Value]]*Table1[[#This Row],[Rate]]*Table1[[#This Row],[Time]]</f>
        <v>0</v>
      </c>
      <c r="AC1622">
        <f>Table1[[#This Row],[SI]]+Table1[[#This Row],[Disc/Prem]]</f>
        <v>-35</v>
      </c>
      <c r="AD1622" s="3">
        <f>Table1[[#This Row],[Net Gain]]/Table1[[#This Row],[Ask Rate]]</f>
        <v>-3.3816425120772944E-2</v>
      </c>
      <c r="AE1622" s="3">
        <f ca="1">IF(Table1[[#This Row],[Ask Qty]]=0,0,Table1[[#This Row],[Gross Yield]]*365/Table1[[#This Row],[Days Left]])</f>
        <v>-2.3465770283426092E-2</v>
      </c>
      <c r="AF1622" s="9">
        <f>+Table1[[#This Row],[Net Gain]]*Table1[[#This Row],[Ask Qty]]</f>
        <v>-1435</v>
      </c>
      <c r="AG1622" t="str">
        <f ca="1">IF(Table1[[#This Row],[YTM]]&gt;0.12,IF(Table1[[#This Row],[Gross Profit]]&gt;10000,"Invest","Review"),"Low YTM")</f>
        <v>Low YTM</v>
      </c>
    </row>
    <row r="1623" spans="1:33" x14ac:dyDescent="0.3">
      <c r="A1623" t="str">
        <f>RTD("nest.scriprtd",,"bse_cm|MML11924C","Symbol")</f>
        <v>MML11924C</v>
      </c>
      <c r="B1623" t="str">
        <f>RTD("nest.scriprtd",,"bse_cm|MML11924C","Trading Symbol")</f>
        <v>MML11924C</v>
      </c>
      <c r="C1623" t="str">
        <f>RTD("nest.scriprtd",,"bse_cm|MML11924C","Exchange")</f>
        <v>BSE</v>
      </c>
      <c r="D1623">
        <f>RTD("nest.scriprtd",,"bse_cm|MML11924C","Bid Qty")</f>
        <v>24</v>
      </c>
      <c r="E1623">
        <f>RTD("nest.scriprtd",,"bse_cm|MML11924C","Bid Rate")</f>
        <v>839.85</v>
      </c>
      <c r="F1623">
        <f>RTD("nest.scriprtd",,"bse_cm|MML11924C","Ask Rate")</f>
        <v>1176</v>
      </c>
      <c r="G1623">
        <f>RTD("nest.scriprtd",,"bse_cm|MML11924C","Ask Qty")</f>
        <v>200</v>
      </c>
      <c r="H1623">
        <f>RTD("nest.scriprtd",,"bse_cm|MML11924C","LTP")</f>
        <v>0</v>
      </c>
      <c r="I1623" t="str">
        <f>RTD("nest.scriprtd",,"bse_cm|MML11924C","LTT")</f>
        <v>00:00:00</v>
      </c>
      <c r="J1623">
        <f>RTD("nest.scriprtd",,"bse_cm|MML11924C","% Change")</f>
        <v>-100</v>
      </c>
      <c r="K1623">
        <f>RTD("nest.scriprtd",,"bse_cm|MML11924C","ATP")</f>
        <v>0</v>
      </c>
      <c r="L1623">
        <f>RTD("nest.scriprtd",,"bse_cm|MML11924C","Volume Traded Today")</f>
        <v>0</v>
      </c>
      <c r="M1623">
        <f>RTD("nest.scriprtd",,"bse_cm|MML11924C","Open")</f>
        <v>0</v>
      </c>
      <c r="N1623">
        <f>RTD("nest.scriprtd",,"bse_cm|MML11924C","High")</f>
        <v>980</v>
      </c>
      <c r="O1623">
        <f>RTD("nest.scriprtd",,"bse_cm|MML11924C","Low ")</f>
        <v>980</v>
      </c>
      <c r="P1623">
        <f>RTD("nest.scriprtd",,"bse_cm|MML11924C","Prev Close")</f>
        <v>980</v>
      </c>
      <c r="Q1623">
        <f>RTD("nest.scriprtd",,"bse_cm|MML11924C","Face Value")</f>
        <v>1000</v>
      </c>
      <c r="R1623" t="str">
        <f>RTD("nest.scriprtd",,"bse_cm|MML11924C","Isin code")</f>
        <v>INE05F407CR0</v>
      </c>
      <c r="S1623" s="9">
        <f>Table1[[#This Row],[Ask Rate]]*Table1[[#This Row],[Ask Qty]]</f>
        <v>235200</v>
      </c>
      <c r="T1623" t="str">
        <f>VLOOKUP(Table1[[#This Row],[Isin code]],Table2[#All],7,FALSE)</f>
        <v>--</v>
      </c>
      <c r="U1623" s="17" t="str">
        <f>VLOOKUP(Table1[[#This Row],[Isin code]],Table2[#All],8,FALSE)</f>
        <v>11-Oct-2030</v>
      </c>
      <c r="V1623" s="10">
        <f ca="1">Table1[[#This Row],[Maturity]]-TODAY()</f>
        <v>2186</v>
      </c>
      <c r="W1623" t="str">
        <f>VLOOKUP(Table1[[#This Row],[Isin code]],Table2[#All],10,FALSE)</f>
        <v>At the End</v>
      </c>
      <c r="X1623">
        <f ca="1">_xlfn.DAYS(Table1[[#This Row],[Maturity]],TODAY())-15</f>
        <v>2171</v>
      </c>
      <c r="Y162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23">
        <f>IF(Table1[[#This Row],[Ask Rate]]=0,0,Table1[[#This Row],[Face Value]]-Table1[[#This Row],[Ask Rate]])</f>
        <v>-176</v>
      </c>
      <c r="AA162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23">
        <f>Table1[[#This Row],[Face Value]]*Table1[[#This Row],[Rate]]*Table1[[#This Row],[Time]]</f>
        <v>0</v>
      </c>
      <c r="AC1623">
        <f>Table1[[#This Row],[SI]]+Table1[[#This Row],[Disc/Prem]]</f>
        <v>-176</v>
      </c>
      <c r="AD1623" s="3">
        <f>Table1[[#This Row],[Net Gain]]/Table1[[#This Row],[Ask Rate]]</f>
        <v>-0.14965986394557823</v>
      </c>
      <c r="AE1623" s="3">
        <f ca="1">IF(Table1[[#This Row],[Ask Qty]]=0,0,Table1[[#This Row],[Gross Yield]]*365/Table1[[#This Row],[Days Left]])</f>
        <v>-2.4988952580117133E-2</v>
      </c>
      <c r="AF1623" s="9">
        <f>+Table1[[#This Row],[Net Gain]]*Table1[[#This Row],[Ask Qty]]</f>
        <v>-35200</v>
      </c>
      <c r="AG1623" t="str">
        <f ca="1">IF(Table1[[#This Row],[YTM]]&gt;0.12,IF(Table1[[#This Row],[Gross Profit]]&gt;10000,"Invest","Review"),"Low YTM")</f>
        <v>Low YTM</v>
      </c>
    </row>
    <row r="1624" spans="1:33" x14ac:dyDescent="0.3">
      <c r="A1624" t="str">
        <f>RTD("nest.scriprtd",,"nse_cm|IIFLZC28A-NU","Symbol")</f>
        <v>IIFLZC28A</v>
      </c>
      <c r="B1624" t="str">
        <f>RTD("nest.scriprtd",,"nse_cm|IIFLZC28A-NU","Trading Symbol")</f>
        <v>IIFLZC28A-NU</v>
      </c>
      <c r="C1624" t="str">
        <f>RTD("nest.scriprtd",,"nse_cm|IIFLZC28A-NU","Exchange")</f>
        <v>NSE</v>
      </c>
      <c r="D1624">
        <f>RTD("nest.scriprtd",,"nse_cm|IIFLZC28A-NU","Bid Qty")</f>
        <v>20</v>
      </c>
      <c r="E1624">
        <f>RTD("nest.scriprtd",,"nse_cm|IIFLZC28A-NU","Bid Rate")</f>
        <v>1030.0999999999999</v>
      </c>
      <c r="F1624">
        <f>RTD("nest.scriprtd",,"nse_cm|IIFLZC28A-NU","Ask Rate")</f>
        <v>1092</v>
      </c>
      <c r="G1624">
        <f>RTD("nest.scriprtd",,"nse_cm|IIFLZC28A-NU","Ask Qty")</f>
        <v>100</v>
      </c>
      <c r="H1624">
        <f>RTD("nest.scriprtd",,"nse_cm|IIFLZC28A-NU","LTP")</f>
        <v>1030</v>
      </c>
      <c r="I1624" t="str">
        <f>RTD("nest.scriprtd",,"nse_cm|IIFLZC28A-NU","LTT")</f>
        <v/>
      </c>
      <c r="J1624">
        <f>RTD("nest.scriprtd",,"nse_cm|IIFLZC28A-NU","% Change")</f>
        <v>0</v>
      </c>
      <c r="K1624">
        <f>RTD("nest.scriprtd",,"nse_cm|IIFLZC28A-NU","ATP")</f>
        <v>0</v>
      </c>
      <c r="L1624">
        <f>RTD("nest.scriprtd",,"nse_cm|IIFLZC28A-NU","Volume Traded Today")</f>
        <v>0</v>
      </c>
      <c r="M1624">
        <f>RTD("nest.scriprtd",,"nse_cm|IIFLZC28A-NU","Open")</f>
        <v>0</v>
      </c>
      <c r="N1624">
        <f>RTD("nest.scriprtd",,"nse_cm|IIFLZC28A-NU","High")</f>
        <v>1030</v>
      </c>
      <c r="O1624">
        <f>RTD("nest.scriprtd",,"nse_cm|IIFLZC28A-NU","Low ")</f>
        <v>1030</v>
      </c>
      <c r="P1624">
        <f>RTD("nest.scriprtd",,"nse_cm|IIFLZC28A-NU","Prev Close")</f>
        <v>1030</v>
      </c>
      <c r="Q1624">
        <f>RTD("nest.scriprtd",,"nse_cm|IIFLZC28A-NU","Face Value")</f>
        <v>1000</v>
      </c>
      <c r="R1624" t="str">
        <f>RTD("nest.scriprtd",,"nse_cm|IIFLZC28A-NU","Isin code")</f>
        <v>INE530B07278</v>
      </c>
      <c r="S1624" s="9">
        <f>Table1[[#This Row],[Ask Rate]]*Table1[[#This Row],[Ask Qty]]</f>
        <v>109200</v>
      </c>
      <c r="T1624">
        <f>VLOOKUP(Table1[[#This Row],[Isin code]],Table2[#All],7,FALSE)</f>
        <v>0</v>
      </c>
      <c r="U1624" s="17" t="str">
        <f>VLOOKUP(Table1[[#This Row],[Isin code]],Table2[#All],8,FALSE)</f>
        <v>24-Jan-2028</v>
      </c>
      <c r="V1624" s="10">
        <f ca="1">Table1[[#This Row],[Maturity]]-TODAY()</f>
        <v>1195</v>
      </c>
      <c r="W1624" t="str">
        <f>VLOOKUP(Table1[[#This Row],[Isin code]],Table2[#All],10,FALSE)</f>
        <v>0</v>
      </c>
      <c r="X1624">
        <f ca="1">_xlfn.DAYS(Table1[[#This Row],[Maturity]],TODAY())-15</f>
        <v>1180</v>
      </c>
      <c r="Y162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24">
        <f>IF(Table1[[#This Row],[Ask Rate]]=0,0,Table1[[#This Row],[Face Value]]-Table1[[#This Row],[Ask Rate]])</f>
        <v>-92</v>
      </c>
      <c r="AA162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24">
        <f>Table1[[#This Row],[Face Value]]*Table1[[#This Row],[Rate]]*Table1[[#This Row],[Time]]</f>
        <v>0</v>
      </c>
      <c r="AC1624">
        <f>Table1[[#This Row],[SI]]+Table1[[#This Row],[Disc/Prem]]</f>
        <v>-92</v>
      </c>
      <c r="AD1624" s="3">
        <f>Table1[[#This Row],[Net Gain]]/Table1[[#This Row],[Ask Rate]]</f>
        <v>-8.4249084249084255E-2</v>
      </c>
      <c r="AE1624" s="3">
        <f ca="1">IF(Table1[[#This Row],[Ask Qty]]=0,0,Table1[[#This Row],[Gross Yield]]*365/Table1[[#This Row],[Days Left]])</f>
        <v>-2.573298389197971E-2</v>
      </c>
      <c r="AF1624" s="9">
        <f>+Table1[[#This Row],[Net Gain]]*Table1[[#This Row],[Ask Qty]]</f>
        <v>-9200</v>
      </c>
      <c r="AG1624" t="str">
        <f ca="1">IF(Table1[[#This Row],[YTM]]&gt;0.12,IF(Table1[[#This Row],[Gross Profit]]&gt;10000,"Invest","Review"),"Low YTM")</f>
        <v>Low YTM</v>
      </c>
    </row>
    <row r="1625" spans="1:33" x14ac:dyDescent="0.3">
      <c r="A1625" t="str">
        <f>RTD("nest.scriprtd",,"nse_cm|830CIFC26-N2","Symbol")</f>
        <v>830CIFC26</v>
      </c>
      <c r="B1625" t="str">
        <f>RTD("nest.scriprtd",,"nse_cm|830CIFC26-N2","Trading Symbol")</f>
        <v>830CIFC26-N2</v>
      </c>
      <c r="C1625" t="str">
        <f>RTD("nest.scriprtd",,"nse_cm|830CIFC26-N2","Exchange")</f>
        <v>NSE</v>
      </c>
      <c r="D1625">
        <f>RTD("nest.scriprtd",,"nse_cm|830CIFC26-N2","Bid Qty")</f>
        <v>12</v>
      </c>
      <c r="E1625">
        <f>RTD("nest.scriprtd",,"nse_cm|830CIFC26-N2","Bid Rate")</f>
        <v>950.2</v>
      </c>
      <c r="F1625">
        <f>RTD("nest.scriprtd",,"nse_cm|830CIFC26-N2","Ask Rate")</f>
        <v>1218</v>
      </c>
      <c r="G1625">
        <f>RTD("nest.scriprtd",,"nse_cm|830CIFC26-N2","Ask Qty")</f>
        <v>22</v>
      </c>
      <c r="H1625">
        <f>RTD("nest.scriprtd",,"nse_cm|830CIFC26-N2","LTP")</f>
        <v>1015.01</v>
      </c>
      <c r="I1625" t="str">
        <f>RTD("nest.scriprtd",,"nse_cm|830CIFC26-N2","LTT")</f>
        <v/>
      </c>
      <c r="J1625">
        <f>RTD("nest.scriprtd",,"nse_cm|830CIFC26-N2","% Change")</f>
        <v>0</v>
      </c>
      <c r="K1625">
        <f>RTD("nest.scriprtd",,"nse_cm|830CIFC26-N2","ATP")</f>
        <v>0</v>
      </c>
      <c r="L1625">
        <f>RTD("nest.scriprtd",,"nse_cm|830CIFC26-N2","Volume Traded Today")</f>
        <v>0</v>
      </c>
      <c r="M1625">
        <f>RTD("nest.scriprtd",,"nse_cm|830CIFC26-N2","Open")</f>
        <v>0</v>
      </c>
      <c r="N1625">
        <f>RTD("nest.scriprtd",,"nse_cm|830CIFC26-N2","High")</f>
        <v>1015.01</v>
      </c>
      <c r="O1625">
        <f>RTD("nest.scriprtd",,"nse_cm|830CIFC26-N2","Low ")</f>
        <v>1015.01</v>
      </c>
      <c r="P1625">
        <f>RTD("nest.scriprtd",,"nse_cm|830CIFC26-N2","Prev Close")</f>
        <v>1015.01</v>
      </c>
      <c r="Q1625">
        <f>RTD("nest.scriprtd",,"nse_cm|830CIFC26-N2","Face Value")</f>
        <v>1000</v>
      </c>
      <c r="R1625" t="str">
        <f>RTD("nest.scriprtd",,"nse_cm|830CIFC26-N2","Isin code")</f>
        <v>INE121A07QW3</v>
      </c>
      <c r="S1625" s="9">
        <f>Table1[[#This Row],[Ask Rate]]*Table1[[#This Row],[Ask Qty]]</f>
        <v>26796</v>
      </c>
      <c r="T1625">
        <f>VLOOKUP(Table1[[#This Row],[Isin code]],Table2[#All],7,FALSE)</f>
        <v>8.3000000000000007</v>
      </c>
      <c r="U1625" s="17" t="str">
        <f>VLOOKUP(Table1[[#This Row],[Isin code]],Table2[#All],8,FALSE)</f>
        <v>04-Jun-2026</v>
      </c>
      <c r="V1625" s="10">
        <f ca="1">Table1[[#This Row],[Maturity]]-TODAY()</f>
        <v>596</v>
      </c>
      <c r="W1625" t="str">
        <f>VLOOKUP(Table1[[#This Row],[Isin code]],Table2[#All],10,FALSE)</f>
        <v>Yearly</v>
      </c>
      <c r="X1625">
        <f ca="1">_xlfn.DAYS(Table1[[#This Row],[Maturity]],TODAY())-15</f>
        <v>581</v>
      </c>
      <c r="Y162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625">
        <f>IF(Table1[[#This Row],[Ask Rate]]=0,0,Table1[[#This Row],[Face Value]]-Table1[[#This Row],[Ask Rate]])</f>
        <v>-218</v>
      </c>
      <c r="AA1625">
        <f>IF(Table1[[#This Row],[Freq]]="Yearly",Table1[[#This Row],[Coupon_Rate]]/100,IF(Table1[[#This Row],[Freq]]="Monthly",Table1[[#This Row],[Coupon_Rate]]/1200,IF(Table1[[#This Row],[Freq]]="Quarterly",Table1[[#This Row],[Coupon_Rate]]/400,0)))</f>
        <v>8.3000000000000004E-2</v>
      </c>
      <c r="AB1625">
        <f ca="1">Table1[[#This Row],[Face Value]]*Table1[[#This Row],[Rate]]*Table1[[#This Row],[Time]]</f>
        <v>166</v>
      </c>
      <c r="AC1625">
        <f ca="1">Table1[[#This Row],[SI]]+Table1[[#This Row],[Disc/Prem]]</f>
        <v>-52</v>
      </c>
      <c r="AD1625" s="3">
        <f ca="1">Table1[[#This Row],[Net Gain]]/Table1[[#This Row],[Ask Rate]]</f>
        <v>-4.2692939244663386E-2</v>
      </c>
      <c r="AE1625" s="3">
        <f ca="1">IF(Table1[[#This Row],[Ask Qty]]=0,0,Table1[[#This Row],[Gross Yield]]*365/Table1[[#This Row],[Days Left]])</f>
        <v>-2.6145843664936469E-2</v>
      </c>
      <c r="AF1625" s="9">
        <f ca="1">+Table1[[#This Row],[Net Gain]]*Table1[[#This Row],[Ask Qty]]</f>
        <v>-1144</v>
      </c>
      <c r="AG1625" t="str">
        <f ca="1">IF(Table1[[#This Row],[YTM]]&gt;0.12,IF(Table1[[#This Row],[Gross Profit]]&gt;10000,"Invest","Review"),"Low YTM")</f>
        <v>Low YTM</v>
      </c>
    </row>
    <row r="1626" spans="1:33" x14ac:dyDescent="0.3">
      <c r="A1626" t="str">
        <f>RTD("nest.scriprtd",,"bse_cm|1035UCL26","Symbol")</f>
        <v>1035UCL26</v>
      </c>
      <c r="B1626" t="str">
        <f>RTD("nest.scriprtd",,"bse_cm|1035UCL26","Trading Symbol")</f>
        <v>1035UCL26</v>
      </c>
      <c r="C1626" t="str">
        <f>RTD("nest.scriprtd",,"bse_cm|1035UCL26","Exchange")</f>
        <v>BSE</v>
      </c>
      <c r="D1626">
        <f>RTD("nest.scriprtd",,"bse_cm|1035UCL26","Bid Qty")</f>
        <v>2</v>
      </c>
      <c r="E1626">
        <f>RTD("nest.scriprtd",,"bse_cm|1035UCL26","Bid Rate")</f>
        <v>821</v>
      </c>
      <c r="F1626">
        <f>RTD("nest.scriprtd",,"bse_cm|1035UCL26","Ask Rate")</f>
        <v>899</v>
      </c>
      <c r="G1626">
        <f>RTD("nest.scriprtd",,"bse_cm|1035UCL26","Ask Qty")</f>
        <v>72</v>
      </c>
      <c r="H1626">
        <f>RTD("nest.scriprtd",,"bse_cm|1035UCL26","LTP")</f>
        <v>899</v>
      </c>
      <c r="I1626" t="str">
        <f>RTD("nest.scriprtd",,"bse_cm|1035UCL26","LTT")</f>
        <v>11:06:36</v>
      </c>
      <c r="J1626">
        <f>RTD("nest.scriprtd",,"bse_cm|1035UCL26","% Change")</f>
        <v>-0.11</v>
      </c>
      <c r="K1626">
        <f>RTD("nest.scriprtd",,"bse_cm|1035UCL26","ATP")</f>
        <v>898.21</v>
      </c>
      <c r="L1626">
        <f>RTD("nest.scriprtd",,"bse_cm|1035UCL26","Volume Traded Today")</f>
        <v>128</v>
      </c>
      <c r="M1626">
        <f>RTD("nest.scriprtd",,"bse_cm|1035UCL26","Open")</f>
        <v>0</v>
      </c>
      <c r="N1626">
        <f>RTD("nest.scriprtd",,"bse_cm|1035UCL26","High")</f>
        <v>899</v>
      </c>
      <c r="O1626">
        <f>RTD("nest.scriprtd",,"bse_cm|1035UCL26","Low ")</f>
        <v>898</v>
      </c>
      <c r="P1626">
        <f>RTD("nest.scriprtd",,"bse_cm|1035UCL26","Prev Close")</f>
        <v>900</v>
      </c>
      <c r="Q1626">
        <f>RTD("nest.scriprtd",,"bse_cm|1035UCL26","Face Value")</f>
        <v>750</v>
      </c>
      <c r="R1626" t="str">
        <f>RTD("nest.scriprtd",,"bse_cm|1035UCL26","Isin code")</f>
        <v>INE583D07448</v>
      </c>
      <c r="S1626" s="9">
        <f>Table1[[#This Row],[Ask Rate]]*Table1[[#This Row],[Ask Qty]]</f>
        <v>64728</v>
      </c>
      <c r="T1626">
        <f>VLOOKUP(Table1[[#This Row],[Isin code]],Table2[#All],7,FALSE)</f>
        <v>10.35</v>
      </c>
      <c r="U1626" s="17" t="str">
        <f>VLOOKUP(Table1[[#This Row],[Isin code]],Table2[#All],8,FALSE)</f>
        <v>27-Feb-2026</v>
      </c>
      <c r="V1626" s="10">
        <f ca="1">Table1[[#This Row],[Maturity]]-TODAY()</f>
        <v>499</v>
      </c>
      <c r="W1626" t="str">
        <f>VLOOKUP(Table1[[#This Row],[Isin code]],Table2[#All],10,FALSE)</f>
        <v>QUARTERLY</v>
      </c>
      <c r="X1626">
        <f ca="1">_xlfn.DAYS(Table1[[#This Row],[Maturity]],TODAY())-15</f>
        <v>484</v>
      </c>
      <c r="Y162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626">
        <f>IF(Table1[[#This Row],[Ask Rate]]=0,0,Table1[[#This Row],[Face Value]]-Table1[[#This Row],[Ask Rate]])</f>
        <v>-149</v>
      </c>
      <c r="AA1626">
        <f>IF(Table1[[#This Row],[Freq]]="Yearly",Table1[[#This Row],[Coupon_Rate]]/100,IF(Table1[[#This Row],[Freq]]="Monthly",Table1[[#This Row],[Coupon_Rate]]/1200,IF(Table1[[#This Row],[Freq]]="Quarterly",Table1[[#This Row],[Coupon_Rate]]/400,0)))</f>
        <v>2.5874999999999999E-2</v>
      </c>
      <c r="AB1626">
        <f ca="1">Table1[[#This Row],[Face Value]]*Table1[[#This Row],[Rate]]*Table1[[#This Row],[Time]]</f>
        <v>116.4375</v>
      </c>
      <c r="AC1626">
        <f ca="1">Table1[[#This Row],[SI]]+Table1[[#This Row],[Disc/Prem]]</f>
        <v>-32.5625</v>
      </c>
      <c r="AD1626" s="3">
        <f ca="1">Table1[[#This Row],[Net Gain]]/Table1[[#This Row],[Ask Rate]]</f>
        <v>-3.6220800889877641E-2</v>
      </c>
      <c r="AE1626" s="3">
        <f ca="1">IF(Table1[[#This Row],[Ask Qty]]=0,0,Table1[[#This Row],[Gross Yield]]*365/Table1[[#This Row],[Days Left]])</f>
        <v>-2.6494172995601882E-2</v>
      </c>
      <c r="AF1626" s="9">
        <f ca="1">+Table1[[#This Row],[Net Gain]]*Table1[[#This Row],[Ask Qty]]</f>
        <v>-2344.5</v>
      </c>
      <c r="AG1626" t="str">
        <f ca="1">IF(Table1[[#This Row],[YTM]]&gt;0.12,IF(Table1[[#This Row],[Gross Profit]]&gt;10000,"Invest","Review"),"Low YTM")</f>
        <v>Low YTM</v>
      </c>
    </row>
    <row r="1627" spans="1:33" x14ac:dyDescent="0.3">
      <c r="A1627" t="str">
        <f>RTD("nest.scriprtd",,"nse_cm|1035UCL26-NA","Symbol")</f>
        <v>1035UCL26</v>
      </c>
      <c r="B1627" t="str">
        <f>RTD("nest.scriprtd",,"nse_cm|1035UCL26-NA","Trading Symbol")</f>
        <v>1035UCL26-NA</v>
      </c>
      <c r="C1627" t="str">
        <f>RTD("nest.scriprtd",,"nse_cm|1035UCL26-NA","Exchange")</f>
        <v>NSE</v>
      </c>
      <c r="D1627">
        <f>RTD("nest.scriprtd",,"nse_cm|1035UCL26-NA","Bid Qty")</f>
        <v>13</v>
      </c>
      <c r="E1627">
        <f>RTD("nest.scriprtd",,"nse_cm|1035UCL26-NA","Bid Rate")</f>
        <v>822.1</v>
      </c>
      <c r="F1627">
        <f>RTD("nest.scriprtd",,"nse_cm|1035UCL26-NA","Ask Rate")</f>
        <v>900</v>
      </c>
      <c r="G1627">
        <f>RTD("nest.scriprtd",,"nse_cm|1035UCL26-NA","Ask Qty")</f>
        <v>12</v>
      </c>
      <c r="H1627">
        <f>RTD("nest.scriprtd",,"nse_cm|1035UCL26-NA","LTP")</f>
        <v>900</v>
      </c>
      <c r="I1627" t="str">
        <f>RTD("nest.scriprtd",,"nse_cm|1035UCL26-NA","LTT")</f>
        <v/>
      </c>
      <c r="J1627">
        <f>RTD("nest.scriprtd",,"nse_cm|1035UCL26-NA","% Change")</f>
        <v>0</v>
      </c>
      <c r="K1627">
        <f>RTD("nest.scriprtd",,"nse_cm|1035UCL26-NA","ATP")</f>
        <v>0</v>
      </c>
      <c r="L1627">
        <f>RTD("nest.scriprtd",,"nse_cm|1035UCL26-NA","Volume Traded Today")</f>
        <v>0</v>
      </c>
      <c r="M1627">
        <f>RTD("nest.scriprtd",,"nse_cm|1035UCL26-NA","Open")</f>
        <v>0</v>
      </c>
      <c r="N1627">
        <f>RTD("nest.scriprtd",,"nse_cm|1035UCL26-NA","High")</f>
        <v>900</v>
      </c>
      <c r="O1627">
        <f>RTD("nest.scriprtd",,"nse_cm|1035UCL26-NA","Low ")</f>
        <v>900</v>
      </c>
      <c r="P1627">
        <f>RTD("nest.scriprtd",,"nse_cm|1035UCL26-NA","Prev Close")</f>
        <v>900</v>
      </c>
      <c r="Q1627">
        <f>RTD("nest.scriprtd",,"nse_cm|1035UCL26-NA","Face Value")</f>
        <v>750</v>
      </c>
      <c r="R1627" t="str">
        <f>RTD("nest.scriprtd",,"nse_cm|1035UCL26-NA","Isin code")</f>
        <v>INE583D07448</v>
      </c>
      <c r="S1627" s="9">
        <f>Table1[[#This Row],[Ask Rate]]*Table1[[#This Row],[Ask Qty]]</f>
        <v>10800</v>
      </c>
      <c r="T1627">
        <f>VLOOKUP(Table1[[#This Row],[Isin code]],Table2[#All],7,FALSE)</f>
        <v>10.35</v>
      </c>
      <c r="U1627" s="17" t="str">
        <f>VLOOKUP(Table1[[#This Row],[Isin code]],Table2[#All],8,FALSE)</f>
        <v>27-Feb-2026</v>
      </c>
      <c r="V1627" s="10">
        <f ca="1">Table1[[#This Row],[Maturity]]-TODAY()</f>
        <v>499</v>
      </c>
      <c r="W1627" t="str">
        <f>VLOOKUP(Table1[[#This Row],[Isin code]],Table2[#All],10,FALSE)</f>
        <v>QUARTERLY</v>
      </c>
      <c r="X1627">
        <f ca="1">_xlfn.DAYS(Table1[[#This Row],[Maturity]],TODAY())-15</f>
        <v>484</v>
      </c>
      <c r="Y162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6</v>
      </c>
      <c r="Z1627">
        <f>IF(Table1[[#This Row],[Ask Rate]]=0,0,Table1[[#This Row],[Face Value]]-Table1[[#This Row],[Ask Rate]])</f>
        <v>-150</v>
      </c>
      <c r="AA1627">
        <f>IF(Table1[[#This Row],[Freq]]="Yearly",Table1[[#This Row],[Coupon_Rate]]/100,IF(Table1[[#This Row],[Freq]]="Monthly",Table1[[#This Row],[Coupon_Rate]]/1200,IF(Table1[[#This Row],[Freq]]="Quarterly",Table1[[#This Row],[Coupon_Rate]]/400,0)))</f>
        <v>2.5874999999999999E-2</v>
      </c>
      <c r="AB1627">
        <f ca="1">Table1[[#This Row],[Face Value]]*Table1[[#This Row],[Rate]]*Table1[[#This Row],[Time]]</f>
        <v>116.4375</v>
      </c>
      <c r="AC1627">
        <f ca="1">Table1[[#This Row],[SI]]+Table1[[#This Row],[Disc/Prem]]</f>
        <v>-33.5625</v>
      </c>
      <c r="AD1627" s="3">
        <f ca="1">Table1[[#This Row],[Net Gain]]/Table1[[#This Row],[Ask Rate]]</f>
        <v>-3.7291666666666667E-2</v>
      </c>
      <c r="AE1627" s="3">
        <f ca="1">IF(Table1[[#This Row],[Ask Qty]]=0,0,Table1[[#This Row],[Gross Yield]]*365/Table1[[#This Row],[Days Left]])</f>
        <v>-2.7277471609886441E-2</v>
      </c>
      <c r="AF1627" s="9">
        <f ca="1">+Table1[[#This Row],[Net Gain]]*Table1[[#This Row],[Ask Qty]]</f>
        <v>-402.75</v>
      </c>
      <c r="AG1627" t="str">
        <f ca="1">IF(Table1[[#This Row],[YTM]]&gt;0.12,IF(Table1[[#This Row],[Gross Profit]]&gt;10000,"Invest","Review"),"Low YTM")</f>
        <v>Low YTM</v>
      </c>
    </row>
    <row r="1628" spans="1:33" x14ac:dyDescent="0.3">
      <c r="A1628" t="str">
        <f>RTD("nest.scriprtd",,"bse_cm|IIFLZC28A","Symbol")</f>
        <v>IIFLZC28A</v>
      </c>
      <c r="B1628" t="str">
        <f>RTD("nest.scriprtd",,"bse_cm|IIFLZC28A","Trading Symbol")</f>
        <v>IIFLZC28A</v>
      </c>
      <c r="C1628" t="str">
        <f>RTD("nest.scriprtd",,"bse_cm|IIFLZC28A","Exchange")</f>
        <v>BSE</v>
      </c>
      <c r="D1628">
        <f>RTD("nest.scriprtd",,"bse_cm|IIFLZC28A","Bid Qty")</f>
        <v>100</v>
      </c>
      <c r="E1628">
        <f>RTD("nest.scriprtd",,"bse_cm|IIFLZC28A","Bid Rate")</f>
        <v>1000</v>
      </c>
      <c r="F1628">
        <f>RTD("nest.scriprtd",,"bse_cm|IIFLZC28A","Ask Rate")</f>
        <v>1100</v>
      </c>
      <c r="G1628">
        <f>RTD("nest.scriprtd",,"bse_cm|IIFLZC28A","Ask Qty")</f>
        <v>100</v>
      </c>
      <c r="H1628">
        <f>RTD("nest.scriprtd",,"bse_cm|IIFLZC28A","LTP")</f>
        <v>0</v>
      </c>
      <c r="I1628" t="str">
        <f>RTD("nest.scriprtd",,"bse_cm|IIFLZC28A","LTT")</f>
        <v>00:00:00</v>
      </c>
      <c r="J1628">
        <f>RTD("nest.scriprtd",,"bse_cm|IIFLZC28A","% Change")</f>
        <v>-100</v>
      </c>
      <c r="K1628">
        <f>RTD("nest.scriprtd",,"bse_cm|IIFLZC28A","ATP")</f>
        <v>0</v>
      </c>
      <c r="L1628">
        <f>RTD("nest.scriprtd",,"bse_cm|IIFLZC28A","Volume Traded Today")</f>
        <v>0</v>
      </c>
      <c r="M1628">
        <f>RTD("nest.scriprtd",,"bse_cm|IIFLZC28A","Open")</f>
        <v>0</v>
      </c>
      <c r="N1628">
        <f>RTD("nest.scriprtd",,"bse_cm|IIFLZC28A","High")</f>
        <v>1145</v>
      </c>
      <c r="O1628">
        <f>RTD("nest.scriprtd",,"bse_cm|IIFLZC28A","Low ")</f>
        <v>1145</v>
      </c>
      <c r="P1628">
        <f>RTD("nest.scriprtd",,"bse_cm|IIFLZC28A","Prev Close")</f>
        <v>1145</v>
      </c>
      <c r="Q1628">
        <f>RTD("nest.scriprtd",,"bse_cm|IIFLZC28A","Face Value")</f>
        <v>1000</v>
      </c>
      <c r="R1628" t="str">
        <f>RTD("nest.scriprtd",,"bse_cm|IIFLZC28A","Isin code")</f>
        <v>INE530B07278</v>
      </c>
      <c r="S1628" s="9">
        <f>Table1[[#This Row],[Ask Rate]]*Table1[[#This Row],[Ask Qty]]</f>
        <v>110000</v>
      </c>
      <c r="T1628">
        <f>VLOOKUP(Table1[[#This Row],[Isin code]],Table2[#All],7,FALSE)</f>
        <v>0</v>
      </c>
      <c r="U1628" s="17" t="str">
        <f>VLOOKUP(Table1[[#This Row],[Isin code]],Table2[#All],8,FALSE)</f>
        <v>24-Jan-2028</v>
      </c>
      <c r="V1628" s="10">
        <f ca="1">Table1[[#This Row],[Maturity]]-TODAY()</f>
        <v>1195</v>
      </c>
      <c r="W1628" t="str">
        <f>VLOOKUP(Table1[[#This Row],[Isin code]],Table2[#All],10,FALSE)</f>
        <v>0</v>
      </c>
      <c r="X1628">
        <f ca="1">_xlfn.DAYS(Table1[[#This Row],[Maturity]],TODAY())-15</f>
        <v>1180</v>
      </c>
      <c r="Y162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28">
        <f>IF(Table1[[#This Row],[Ask Rate]]=0,0,Table1[[#This Row],[Face Value]]-Table1[[#This Row],[Ask Rate]])</f>
        <v>-100</v>
      </c>
      <c r="AA162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28">
        <f>Table1[[#This Row],[Face Value]]*Table1[[#This Row],[Rate]]*Table1[[#This Row],[Time]]</f>
        <v>0</v>
      </c>
      <c r="AC1628">
        <f>Table1[[#This Row],[SI]]+Table1[[#This Row],[Disc/Prem]]</f>
        <v>-100</v>
      </c>
      <c r="AD1628" s="3">
        <f>Table1[[#This Row],[Net Gain]]/Table1[[#This Row],[Ask Rate]]</f>
        <v>-9.0909090909090912E-2</v>
      </c>
      <c r="AE1628" s="3">
        <f ca="1">IF(Table1[[#This Row],[Ask Qty]]=0,0,Table1[[#This Row],[Gross Yield]]*365/Table1[[#This Row],[Days Left]])</f>
        <v>-2.7767211867630277E-2</v>
      </c>
      <c r="AF1628" s="9">
        <f>+Table1[[#This Row],[Net Gain]]*Table1[[#This Row],[Ask Qty]]</f>
        <v>-10000</v>
      </c>
      <c r="AG1628" t="str">
        <f ca="1">IF(Table1[[#This Row],[YTM]]&gt;0.12,IF(Table1[[#This Row],[Gross Profit]]&gt;10000,"Invest","Review"),"Low YTM")</f>
        <v>Low YTM</v>
      </c>
    </row>
    <row r="1629" spans="1:33" x14ac:dyDescent="0.3">
      <c r="A1629" t="str">
        <f>RTD("nest.scriprtd",,"nse_cm|IIFLZC26B-NY","Symbol")</f>
        <v>IIFLZC26B</v>
      </c>
      <c r="B1629" t="str">
        <f>RTD("nest.scriprtd",,"nse_cm|IIFLZC26B-NY","Trading Symbol")</f>
        <v>IIFLZC26B-NY</v>
      </c>
      <c r="C1629" t="str">
        <f>RTD("nest.scriprtd",,"nse_cm|IIFLZC26B-NY","Exchange")</f>
        <v>NSE</v>
      </c>
      <c r="D1629">
        <f>RTD("nest.scriprtd",,"nse_cm|IIFLZC26B-NY","Bid Qty")</f>
        <v>5</v>
      </c>
      <c r="E1629">
        <f>RTD("nest.scriprtd",,"nse_cm|IIFLZC26B-NY","Bid Rate")</f>
        <v>991.35</v>
      </c>
      <c r="F1629">
        <f>RTD("nest.scriprtd",,"nse_cm|IIFLZC26B-NY","Ask Rate")</f>
        <v>1050</v>
      </c>
      <c r="G1629">
        <f>RTD("nest.scriprtd",,"nse_cm|IIFLZC26B-NY","Ask Qty")</f>
        <v>10</v>
      </c>
      <c r="H1629">
        <f>RTD("nest.scriprtd",,"nse_cm|IIFLZC26B-NY","LTP")</f>
        <v>1060.01</v>
      </c>
      <c r="I1629" t="str">
        <f>RTD("nest.scriprtd",,"nse_cm|IIFLZC26B-NY","LTT")</f>
        <v/>
      </c>
      <c r="J1629">
        <f>RTD("nest.scriprtd",,"nse_cm|IIFLZC26B-NY","% Change")</f>
        <v>0</v>
      </c>
      <c r="K1629">
        <f>RTD("nest.scriprtd",,"nse_cm|IIFLZC26B-NY","ATP")</f>
        <v>0</v>
      </c>
      <c r="L1629">
        <f>RTD("nest.scriprtd",,"nse_cm|IIFLZC26B-NY","Volume Traded Today")</f>
        <v>0</v>
      </c>
      <c r="M1629">
        <f>RTD("nest.scriprtd",,"nse_cm|IIFLZC26B-NY","Open")</f>
        <v>0</v>
      </c>
      <c r="N1629">
        <f>RTD("nest.scriprtd",,"nse_cm|IIFLZC26B-NY","High")</f>
        <v>1060.01</v>
      </c>
      <c r="O1629">
        <f>RTD("nest.scriprtd",,"nse_cm|IIFLZC26B-NY","Low ")</f>
        <v>1059.75</v>
      </c>
      <c r="P1629">
        <f>RTD("nest.scriprtd",,"nse_cm|IIFLZC26B-NY","Prev Close")</f>
        <v>1060.01</v>
      </c>
      <c r="Q1629">
        <f>RTD("nest.scriprtd",,"nse_cm|IIFLZC26B-NY","Face Value")</f>
        <v>1000</v>
      </c>
      <c r="R1629" t="str">
        <f>RTD("nest.scriprtd",,"nse_cm|IIFLZC26B-NY","Isin code")</f>
        <v>INE530B07351</v>
      </c>
      <c r="S1629" s="9">
        <f>Table1[[#This Row],[Ask Rate]]*Table1[[#This Row],[Ask Qty]]</f>
        <v>10500</v>
      </c>
      <c r="T1629">
        <f>VLOOKUP(Table1[[#This Row],[Isin code]],Table2[#All],7,FALSE)</f>
        <v>0</v>
      </c>
      <c r="U1629" s="17" t="str">
        <f>VLOOKUP(Table1[[#This Row],[Isin code]],Table2[#All],8,FALSE)</f>
        <v>28-Jun-2026</v>
      </c>
      <c r="V1629" s="10">
        <f ca="1">Table1[[#This Row],[Maturity]]-TODAY()</f>
        <v>620</v>
      </c>
      <c r="W1629" t="str">
        <f>VLOOKUP(Table1[[#This Row],[Isin code]],Table2[#All],10,FALSE)</f>
        <v>0</v>
      </c>
      <c r="X1629">
        <f ca="1">_xlfn.DAYS(Table1[[#This Row],[Maturity]],TODAY())-15</f>
        <v>605</v>
      </c>
      <c r="Y162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29">
        <f>IF(Table1[[#This Row],[Ask Rate]]=0,0,Table1[[#This Row],[Face Value]]-Table1[[#This Row],[Ask Rate]])</f>
        <v>-50</v>
      </c>
      <c r="AA162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29">
        <f>Table1[[#This Row],[Face Value]]*Table1[[#This Row],[Rate]]*Table1[[#This Row],[Time]]</f>
        <v>0</v>
      </c>
      <c r="AC1629">
        <f>Table1[[#This Row],[SI]]+Table1[[#This Row],[Disc/Prem]]</f>
        <v>-50</v>
      </c>
      <c r="AD1629" s="3">
        <f>Table1[[#This Row],[Net Gain]]/Table1[[#This Row],[Ask Rate]]</f>
        <v>-4.7619047619047616E-2</v>
      </c>
      <c r="AE1629" s="3">
        <f ca="1">IF(Table1[[#This Row],[Ask Qty]]=0,0,Table1[[#This Row],[Gross Yield]]*365/Table1[[#This Row],[Days Left]])</f>
        <v>-2.803379416282642E-2</v>
      </c>
      <c r="AF1629" s="9">
        <f>+Table1[[#This Row],[Net Gain]]*Table1[[#This Row],[Ask Qty]]</f>
        <v>-500</v>
      </c>
      <c r="AG1629" t="str">
        <f ca="1">IF(Table1[[#This Row],[YTM]]&gt;0.12,IF(Table1[[#This Row],[Gross Profit]]&gt;10000,"Invest","Review"),"Low YTM")</f>
        <v>Low YTM</v>
      </c>
    </row>
    <row r="1630" spans="1:33" x14ac:dyDescent="0.3">
      <c r="A1630" t="str">
        <f>RTD("nest.scriprtd",,"nse_cm|IIFLHF29-NE","Symbol")</f>
        <v>IIFLHF29</v>
      </c>
      <c r="B1630" t="str">
        <f>RTD("nest.scriprtd",,"nse_cm|IIFLHF29-NE","Trading Symbol")</f>
        <v>IIFLHF29-NE</v>
      </c>
      <c r="C1630" t="str">
        <f>RTD("nest.scriprtd",,"nse_cm|IIFLHF29-NE","Exchange")</f>
        <v>NSE</v>
      </c>
      <c r="D1630">
        <f>RTD("nest.scriprtd",,"nse_cm|IIFLHF29-NE","Bid Qty")</f>
        <v>15</v>
      </c>
      <c r="E1630">
        <f>RTD("nest.scriprtd",,"nse_cm|IIFLHF29-NE","Bid Rate")</f>
        <v>1075</v>
      </c>
      <c r="F1630">
        <f>RTD("nest.scriprtd",,"nse_cm|IIFLHF29-NE","Ask Rate")</f>
        <v>1135.1500000000001</v>
      </c>
      <c r="G1630">
        <f>RTD("nest.scriprtd",,"nse_cm|IIFLHF29-NE","Ask Qty")</f>
        <v>7</v>
      </c>
      <c r="H1630">
        <f>RTD("nest.scriprtd",,"nse_cm|IIFLHF29-NE","LTP")</f>
        <v>1065</v>
      </c>
      <c r="I1630" t="str">
        <f>RTD("nest.scriprtd",,"nse_cm|IIFLHF29-NE","LTT")</f>
        <v/>
      </c>
      <c r="J1630">
        <f>RTD("nest.scriprtd",,"nse_cm|IIFLHF29-NE","% Change")</f>
        <v>0</v>
      </c>
      <c r="K1630">
        <f>RTD("nest.scriprtd",,"nse_cm|IIFLHF29-NE","ATP")</f>
        <v>0</v>
      </c>
      <c r="L1630">
        <f>RTD("nest.scriprtd",,"nse_cm|IIFLHF29-NE","Volume Traded Today")</f>
        <v>0</v>
      </c>
      <c r="M1630">
        <f>RTD("nest.scriprtd",,"nse_cm|IIFLHF29-NE","Open")</f>
        <v>0</v>
      </c>
      <c r="N1630">
        <f>RTD("nest.scriprtd",,"nse_cm|IIFLHF29-NE","High")</f>
        <v>1065</v>
      </c>
      <c r="O1630">
        <f>RTD("nest.scriprtd",,"nse_cm|IIFLHF29-NE","Low ")</f>
        <v>1065</v>
      </c>
      <c r="P1630">
        <f>RTD("nest.scriprtd",,"nse_cm|IIFLHF29-NE","Prev Close")</f>
        <v>1065</v>
      </c>
      <c r="Q1630">
        <f>RTD("nest.scriprtd",,"nse_cm|IIFLHF29-NE","Face Value")</f>
        <v>1000</v>
      </c>
      <c r="R1630" t="str">
        <f>RTD("nest.scriprtd",,"nse_cm|IIFLHF29-NE","Isin code")</f>
        <v>INE477L07AS8</v>
      </c>
      <c r="S1630" s="9">
        <f>Table1[[#This Row],[Ask Rate]]*Table1[[#This Row],[Ask Qty]]</f>
        <v>7946.0500000000011</v>
      </c>
      <c r="T1630">
        <f>VLOOKUP(Table1[[#This Row],[Isin code]],Table2[#All],7,FALSE)</f>
        <v>0</v>
      </c>
      <c r="U1630" s="17" t="str">
        <f>VLOOKUP(Table1[[#This Row],[Isin code]],Table2[#All],8,FALSE)</f>
        <v>03-Jan-2029</v>
      </c>
      <c r="V1630" s="10">
        <f ca="1">Table1[[#This Row],[Maturity]]-TODAY()</f>
        <v>1540</v>
      </c>
      <c r="W1630" t="str">
        <f>VLOOKUP(Table1[[#This Row],[Isin code]],Table2[#All],10,FALSE)</f>
        <v>At the End</v>
      </c>
      <c r="X1630">
        <f ca="1">_xlfn.DAYS(Table1[[#This Row],[Maturity]],TODAY())-15</f>
        <v>1525</v>
      </c>
      <c r="Y163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30">
        <f>IF(Table1[[#This Row],[Ask Rate]]=0,0,Table1[[#This Row],[Face Value]]-Table1[[#This Row],[Ask Rate]])</f>
        <v>-135.15000000000009</v>
      </c>
      <c r="AA163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30">
        <f>Table1[[#This Row],[Face Value]]*Table1[[#This Row],[Rate]]*Table1[[#This Row],[Time]]</f>
        <v>0</v>
      </c>
      <c r="AC1630">
        <f>Table1[[#This Row],[SI]]+Table1[[#This Row],[Disc/Prem]]</f>
        <v>-135.15000000000009</v>
      </c>
      <c r="AD1630" s="3">
        <f>Table1[[#This Row],[Net Gain]]/Table1[[#This Row],[Ask Rate]]</f>
        <v>-0.11905915517772989</v>
      </c>
      <c r="AE1630" s="3">
        <f ca="1">IF(Table1[[#This Row],[Ask Qty]]=0,0,Table1[[#This Row],[Gross Yield]]*365/Table1[[#This Row],[Days Left]])</f>
        <v>-2.8218565999916498E-2</v>
      </c>
      <c r="AF1630" s="9">
        <f>+Table1[[#This Row],[Net Gain]]*Table1[[#This Row],[Ask Qty]]</f>
        <v>-946.05000000000064</v>
      </c>
      <c r="AG1630" t="str">
        <f ca="1">IF(Table1[[#This Row],[YTM]]&gt;0.12,IF(Table1[[#This Row],[Gross Profit]]&gt;10000,"Invest","Review"),"Low YTM")</f>
        <v>Low YTM</v>
      </c>
    </row>
    <row r="1631" spans="1:33" x14ac:dyDescent="0.3">
      <c r="A1631" t="str">
        <f>RTD("nest.scriprtd",,"bse_cm|IIFLHF29","Symbol")</f>
        <v>IIFLHF29</v>
      </c>
      <c r="B1631" t="str">
        <f>RTD("nest.scriprtd",,"bse_cm|IIFLHF29","Trading Symbol")</f>
        <v>IIFLHF29</v>
      </c>
      <c r="C1631" t="str">
        <f>RTD("nest.scriprtd",,"bse_cm|IIFLHF29","Exchange")</f>
        <v>BSE</v>
      </c>
      <c r="D1631">
        <f>RTD("nest.scriprtd",,"bse_cm|IIFLHF29","Bid Qty")</f>
        <v>5</v>
      </c>
      <c r="E1631">
        <f>RTD("nest.scriprtd",,"bse_cm|IIFLHF29","Bid Rate")</f>
        <v>1021.25</v>
      </c>
      <c r="F1631">
        <f>RTD("nest.scriprtd",,"bse_cm|IIFLHF29","Ask Rate")</f>
        <v>1135.45</v>
      </c>
      <c r="G1631">
        <f>RTD("nest.scriprtd",,"bse_cm|IIFLHF29","Ask Qty")</f>
        <v>15</v>
      </c>
      <c r="H1631">
        <f>RTD("nest.scriprtd",,"bse_cm|IIFLHF29","LTP")</f>
        <v>0</v>
      </c>
      <c r="I1631" t="str">
        <f>RTD("nest.scriprtd",,"bse_cm|IIFLHF29","LTT")</f>
        <v>00:00:00</v>
      </c>
      <c r="J1631">
        <f>RTD("nest.scriprtd",,"bse_cm|IIFLHF29","% Change")</f>
        <v>-100</v>
      </c>
      <c r="K1631">
        <f>RTD("nest.scriprtd",,"bse_cm|IIFLHF29","ATP")</f>
        <v>0</v>
      </c>
      <c r="L1631">
        <f>RTD("nest.scriprtd",,"bse_cm|IIFLHF29","Volume Traded Today")</f>
        <v>0</v>
      </c>
      <c r="M1631">
        <f>RTD("nest.scriprtd",,"bse_cm|IIFLHF29","Open")</f>
        <v>0</v>
      </c>
      <c r="N1631">
        <f>RTD("nest.scriprtd",,"bse_cm|IIFLHF29","High")</f>
        <v>1026</v>
      </c>
      <c r="O1631">
        <f>RTD("nest.scriprtd",,"bse_cm|IIFLHF29","Low ")</f>
        <v>1026</v>
      </c>
      <c r="P1631">
        <f>RTD("nest.scriprtd",,"bse_cm|IIFLHF29","Prev Close")</f>
        <v>1026</v>
      </c>
      <c r="Q1631">
        <f>RTD("nest.scriprtd",,"bse_cm|IIFLHF29","Face Value")</f>
        <v>1000</v>
      </c>
      <c r="R1631" t="str">
        <f>RTD("nest.scriprtd",,"bse_cm|IIFLHF29","Isin code")</f>
        <v>INE477L07AS8</v>
      </c>
      <c r="S1631" s="9">
        <f>Table1[[#This Row],[Ask Rate]]*Table1[[#This Row],[Ask Qty]]</f>
        <v>17031.75</v>
      </c>
      <c r="T1631">
        <f>VLOOKUP(Table1[[#This Row],[Isin code]],Table2[#All],7,FALSE)</f>
        <v>0</v>
      </c>
      <c r="U1631" s="17" t="str">
        <f>VLOOKUP(Table1[[#This Row],[Isin code]],Table2[#All],8,FALSE)</f>
        <v>03-Jan-2029</v>
      </c>
      <c r="V1631" s="10">
        <f ca="1">Table1[[#This Row],[Maturity]]-TODAY()</f>
        <v>1540</v>
      </c>
      <c r="W1631" t="str">
        <f>VLOOKUP(Table1[[#This Row],[Isin code]],Table2[#All],10,FALSE)</f>
        <v>At the End</v>
      </c>
      <c r="X1631">
        <f ca="1">_xlfn.DAYS(Table1[[#This Row],[Maturity]],TODAY())-15</f>
        <v>1525</v>
      </c>
      <c r="Y163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31">
        <f>IF(Table1[[#This Row],[Ask Rate]]=0,0,Table1[[#This Row],[Face Value]]-Table1[[#This Row],[Ask Rate]])</f>
        <v>-135.45000000000005</v>
      </c>
      <c r="AA163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31">
        <f>Table1[[#This Row],[Face Value]]*Table1[[#This Row],[Rate]]*Table1[[#This Row],[Time]]</f>
        <v>0</v>
      </c>
      <c r="AC1631">
        <f>Table1[[#This Row],[SI]]+Table1[[#This Row],[Disc/Prem]]</f>
        <v>-135.45000000000005</v>
      </c>
      <c r="AD1631" s="3">
        <f>Table1[[#This Row],[Net Gain]]/Table1[[#This Row],[Ask Rate]]</f>
        <v>-0.11929191069619978</v>
      </c>
      <c r="AE1631" s="3">
        <f ca="1">IF(Table1[[#This Row],[Ask Qty]]=0,0,Table1[[#This Row],[Gross Yield]]*365/Table1[[#This Row],[Days Left]])</f>
        <v>-2.8273732080592806E-2</v>
      </c>
      <c r="AF1631" s="9">
        <f>+Table1[[#This Row],[Net Gain]]*Table1[[#This Row],[Ask Qty]]</f>
        <v>-2031.7500000000007</v>
      </c>
      <c r="AG1631" t="str">
        <f ca="1">IF(Table1[[#This Row],[YTM]]&gt;0.12,IF(Table1[[#This Row],[Gross Profit]]&gt;10000,"Invest","Review"),"Low YTM")</f>
        <v>Low YTM</v>
      </c>
    </row>
    <row r="1632" spans="1:33" x14ac:dyDescent="0.3">
      <c r="A1632" t="str">
        <f>RTD("nest.scriprtd",,"nse_cm|948SCL26-N9","Symbol")</f>
        <v>948SCL26</v>
      </c>
      <c r="B1632" t="str">
        <f>RTD("nest.scriprtd",,"nse_cm|948SCL26-N9","Trading Symbol")</f>
        <v>948SCL26-N9</v>
      </c>
      <c r="C1632" t="str">
        <f>RTD("nest.scriprtd",,"nse_cm|948SCL26-N9","Exchange")</f>
        <v>NSE</v>
      </c>
      <c r="D1632">
        <f>RTD("nest.scriprtd",,"nse_cm|948SCL26-N9","Bid Qty")</f>
        <v>25</v>
      </c>
      <c r="E1632">
        <f>RTD("nest.scriprtd",,"nse_cm|948SCL26-N9","Bid Rate")</f>
        <v>721</v>
      </c>
      <c r="F1632">
        <f>RTD("nest.scriprtd",,"nse_cm|948SCL26-N9","Ask Rate")</f>
        <v>799</v>
      </c>
      <c r="G1632">
        <f>RTD("nest.scriprtd",,"nse_cm|948SCL26-N9","Ask Qty")</f>
        <v>45</v>
      </c>
      <c r="H1632">
        <f>RTD("nest.scriprtd",,"nse_cm|948SCL26-N9","LTP")</f>
        <v>840</v>
      </c>
      <c r="I1632" t="str">
        <f>RTD("nest.scriprtd",,"nse_cm|948SCL26-N9","LTT")</f>
        <v/>
      </c>
      <c r="J1632">
        <f>RTD("nest.scriprtd",,"nse_cm|948SCL26-N9","% Change")</f>
        <v>-6.67</v>
      </c>
      <c r="K1632">
        <f>RTD("nest.scriprtd",,"nse_cm|948SCL26-N9","ATP")</f>
        <v>0</v>
      </c>
      <c r="L1632">
        <f>RTD("nest.scriprtd",,"nse_cm|948SCL26-N9","Volume Traded Today")</f>
        <v>0</v>
      </c>
      <c r="M1632">
        <f>RTD("nest.scriprtd",,"nse_cm|948SCL26-N9","Open")</f>
        <v>0</v>
      </c>
      <c r="N1632">
        <f>RTD("nest.scriprtd",,"nse_cm|948SCL26-N9","High")</f>
        <v>840</v>
      </c>
      <c r="O1632">
        <f>RTD("nest.scriprtd",,"nse_cm|948SCL26-N9","Low ")</f>
        <v>840</v>
      </c>
      <c r="P1632">
        <f>RTD("nest.scriprtd",,"nse_cm|948SCL26-N9","Prev Close")</f>
        <v>900</v>
      </c>
      <c r="Q1632">
        <f>RTD("nest.scriprtd",,"nse_cm|948SCL26-N9","Face Value")</f>
        <v>667</v>
      </c>
      <c r="R1632" t="str">
        <f>RTD("nest.scriprtd",,"nse_cm|948SCL26-N9","Isin code")</f>
        <v>INE148I07PZ4</v>
      </c>
      <c r="S1632" s="9">
        <f>Table1[[#This Row],[Ask Rate]]*Table1[[#This Row],[Ask Qty]]</f>
        <v>35955</v>
      </c>
      <c r="T1632">
        <f>VLOOKUP(Table1[[#This Row],[Isin code]],Table2[#All],7,FALSE)</f>
        <v>9.48</v>
      </c>
      <c r="U1632" s="17" t="str">
        <f>VLOOKUP(Table1[[#This Row],[Isin code]],Table2[#All],8,FALSE)</f>
        <v>26-Sep-2026</v>
      </c>
      <c r="V1632" s="10">
        <f ca="1">Table1[[#This Row],[Maturity]]-TODAY()</f>
        <v>710</v>
      </c>
      <c r="W1632" t="str">
        <f>VLOOKUP(Table1[[#This Row],[Isin code]],Table2[#All],10,FALSE)</f>
        <v>Monthly</v>
      </c>
      <c r="X1632">
        <f ca="1">_xlfn.DAYS(Table1[[#This Row],[Maturity]],TODAY())-15</f>
        <v>695</v>
      </c>
      <c r="Y163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1632">
        <f>IF(Table1[[#This Row],[Ask Rate]]=0,0,Table1[[#This Row],[Face Value]]-Table1[[#This Row],[Ask Rate]])</f>
        <v>-132</v>
      </c>
      <c r="AA1632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1632">
        <f ca="1">Table1[[#This Row],[Face Value]]*Table1[[#This Row],[Rate]]*Table1[[#This Row],[Time]]</f>
        <v>126.4632</v>
      </c>
      <c r="AC1632">
        <f ca="1">Table1[[#This Row],[SI]]+Table1[[#This Row],[Disc/Prem]]</f>
        <v>-5.5367999999999995</v>
      </c>
      <c r="AD1632" s="3">
        <f ca="1">Table1[[#This Row],[Net Gain]]/Table1[[#This Row],[Ask Rate]]</f>
        <v>-6.9296620775969953E-3</v>
      </c>
      <c r="AE1632" s="3">
        <f ca="1">IF(Table1[[#This Row],[Ask Qty]]=0,0,Table1[[#This Row],[Gross Yield]]*365/Table1[[#This Row],[Days Left]])</f>
        <v>-3.56243191313085E-3</v>
      </c>
      <c r="AF1632" s="9">
        <f ca="1">+Table1[[#This Row],[Net Gain]]*Table1[[#This Row],[Ask Qty]]</f>
        <v>-249.15599999999998</v>
      </c>
      <c r="AG1632" t="str">
        <f ca="1">IF(Table1[[#This Row],[YTM]]&gt;0.12,IF(Table1[[#This Row],[Gross Profit]]&gt;10000,"Invest","Review"),"Low YTM")</f>
        <v>Low YTM</v>
      </c>
    </row>
    <row r="1633" spans="1:33" x14ac:dyDescent="0.3">
      <c r="A1633" t="str">
        <f>RTD("nest.scriprtd",,"nse_cm|863REC29-NC","Symbol")</f>
        <v>863REC29</v>
      </c>
      <c r="B1633" t="str">
        <f>RTD("nest.scriprtd",,"nse_cm|863REC29-NC","Trading Symbol")</f>
        <v>863REC29-NC</v>
      </c>
      <c r="C1633" t="str">
        <f>RTD("nest.scriprtd",,"nse_cm|863REC29-NC","Exchange")</f>
        <v>NSE</v>
      </c>
      <c r="D1633">
        <f>RTD("nest.scriprtd",,"nse_cm|863REC29-NC","Bid Qty")</f>
        <v>100</v>
      </c>
      <c r="E1633">
        <f>RTD("nest.scriprtd",,"nse_cm|863REC29-NC","Bid Rate")</f>
        <v>1186.0999999999999</v>
      </c>
      <c r="F1633">
        <f>RTD("nest.scriprtd",,"nse_cm|863REC29-NC","Ask Rate")</f>
        <v>1640.99</v>
      </c>
      <c r="G1633">
        <f>RTD("nest.scriprtd",,"nse_cm|863REC29-NC","Ask Qty")</f>
        <v>9</v>
      </c>
      <c r="H1633">
        <f>RTD("nest.scriprtd",,"nse_cm|863REC29-NC","LTP")</f>
        <v>1368</v>
      </c>
      <c r="I1633" t="str">
        <f>RTD("nest.scriprtd",,"nse_cm|863REC29-NC","LTT")</f>
        <v/>
      </c>
      <c r="J1633">
        <f>RTD("nest.scriprtd",,"nse_cm|863REC29-NC","% Change")</f>
        <v>0</v>
      </c>
      <c r="K1633">
        <f>RTD("nest.scriprtd",,"nse_cm|863REC29-NC","ATP")</f>
        <v>0</v>
      </c>
      <c r="L1633">
        <f>RTD("nest.scriprtd",,"nse_cm|863REC29-NC","Volume Traded Today")</f>
        <v>0</v>
      </c>
      <c r="M1633">
        <f>RTD("nest.scriprtd",,"nse_cm|863REC29-NC","Open")</f>
        <v>0</v>
      </c>
      <c r="N1633">
        <f>RTD("nest.scriprtd",,"nse_cm|863REC29-NC","High")</f>
        <v>1368</v>
      </c>
      <c r="O1633">
        <f>RTD("nest.scriprtd",,"nse_cm|863REC29-NC","Low ")</f>
        <v>1368</v>
      </c>
      <c r="P1633">
        <f>RTD("nest.scriprtd",,"nse_cm|863REC29-NC","Prev Close")</f>
        <v>1368</v>
      </c>
      <c r="Q1633">
        <f>RTD("nest.scriprtd",,"nse_cm|863REC29-NC","Face Value")</f>
        <v>1000</v>
      </c>
      <c r="R1633" t="str">
        <f>RTD("nest.scriprtd",,"nse_cm|863REC29-NC","Isin code")</f>
        <v>INE020B07ID2</v>
      </c>
      <c r="S1633" s="9">
        <f>Table1[[#This Row],[Ask Rate]]*Table1[[#This Row],[Ask Qty]]</f>
        <v>14768.91</v>
      </c>
      <c r="T1633">
        <f>VLOOKUP(Table1[[#This Row],[Isin code]],Table2[#All],7,FALSE)</f>
        <v>8.6300000000000008</v>
      </c>
      <c r="U1633" s="17" t="str">
        <f>VLOOKUP(Table1[[#This Row],[Isin code]],Table2[#All],8,FALSE)</f>
        <v>24-Mar-2029</v>
      </c>
      <c r="V1633" s="10">
        <f ca="1">Table1[[#This Row],[Maturity]]-TODAY()</f>
        <v>1620</v>
      </c>
      <c r="W1633" t="str">
        <f>VLOOKUP(Table1[[#This Row],[Isin code]],Table2[#All],10,FALSE)</f>
        <v>Yearly</v>
      </c>
      <c r="X1633">
        <f ca="1">_xlfn.DAYS(Table1[[#This Row],[Maturity]],TODAY())-15</f>
        <v>1605</v>
      </c>
      <c r="Y163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633">
        <f>IF(Table1[[#This Row],[Ask Rate]]=0,0,Table1[[#This Row],[Face Value]]-Table1[[#This Row],[Ask Rate]])</f>
        <v>-640.99</v>
      </c>
      <c r="AA1633">
        <f>IF(Table1[[#This Row],[Freq]]="Yearly",Table1[[#This Row],[Coupon_Rate]]/100,IF(Table1[[#This Row],[Freq]]="Monthly",Table1[[#This Row],[Coupon_Rate]]/1200,IF(Table1[[#This Row],[Freq]]="Quarterly",Table1[[#This Row],[Coupon_Rate]]/400,0)))</f>
        <v>8.6300000000000002E-2</v>
      </c>
      <c r="AB1633">
        <f ca="1">Table1[[#This Row],[Face Value]]*Table1[[#This Row],[Rate]]*Table1[[#This Row],[Time]]</f>
        <v>431.5</v>
      </c>
      <c r="AC1633">
        <f ca="1">Table1[[#This Row],[SI]]+Table1[[#This Row],[Disc/Prem]]</f>
        <v>-209.49</v>
      </c>
      <c r="AD1633" s="3">
        <f ca="1">Table1[[#This Row],[Net Gain]]/Table1[[#This Row],[Ask Rate]]</f>
        <v>-0.12766074138172689</v>
      </c>
      <c r="AE1633" s="3">
        <f ca="1">IF(Table1[[#This Row],[Ask Qty]]=0,0,Table1[[#This Row],[Gross Yield]]*365/Table1[[#This Row],[Days Left]])</f>
        <v>-2.8763068274277975E-2</v>
      </c>
      <c r="AF1633" s="9">
        <f ca="1">+Table1[[#This Row],[Net Gain]]*Table1[[#This Row],[Ask Qty]]</f>
        <v>-1885.41</v>
      </c>
      <c r="AG1633" t="str">
        <f ca="1">IF(Table1[[#This Row],[YTM]]&gt;0.12,IF(Table1[[#This Row],[Gross Profit]]&gt;10000,"Invest","Review"),"Low YTM")</f>
        <v>Low YTM</v>
      </c>
    </row>
    <row r="1634" spans="1:33" x14ac:dyDescent="0.3">
      <c r="A1634" t="str">
        <f>RTD("nest.scriprtd",,"bse_cm|840IRFC29","Symbol")</f>
        <v>840IRFC29</v>
      </c>
      <c r="B1634" t="str">
        <f>RTD("nest.scriprtd",,"bse_cm|840IRFC29","Trading Symbol")</f>
        <v>840IRFC29</v>
      </c>
      <c r="C1634" t="str">
        <f>RTD("nest.scriprtd",,"bse_cm|840IRFC29","Exchange")</f>
        <v>BSE</v>
      </c>
      <c r="D1634">
        <f>RTD("nest.scriprtd",,"bse_cm|840IRFC29","Bid Qty")</f>
        <v>100</v>
      </c>
      <c r="E1634">
        <f>RTD("nest.scriprtd",,"bse_cm|840IRFC29","Bid Rate")</f>
        <v>1145.0999999999999</v>
      </c>
      <c r="F1634">
        <f>RTD("nest.scriprtd",,"bse_cm|840IRFC29","Ask Rate")</f>
        <v>1631.9</v>
      </c>
      <c r="G1634">
        <f>RTD("nest.scriprtd",,"bse_cm|840IRFC29","Ask Qty")</f>
        <v>150</v>
      </c>
      <c r="H1634">
        <f>RTD("nest.scriprtd",,"bse_cm|840IRFC29","LTP")</f>
        <v>0</v>
      </c>
      <c r="I1634" t="str">
        <f>RTD("nest.scriprtd",,"bse_cm|840IRFC29","LTT")</f>
        <v>00:00:00</v>
      </c>
      <c r="J1634">
        <f>RTD("nest.scriprtd",,"bse_cm|840IRFC29","% Change")</f>
        <v>-100</v>
      </c>
      <c r="K1634">
        <f>RTD("nest.scriprtd",,"bse_cm|840IRFC29","ATP")</f>
        <v>0</v>
      </c>
      <c r="L1634">
        <f>RTD("nest.scriprtd",,"bse_cm|840IRFC29","Volume Traded Today")</f>
        <v>0</v>
      </c>
      <c r="M1634">
        <f>RTD("nest.scriprtd",,"bse_cm|840IRFC29","Open")</f>
        <v>0</v>
      </c>
      <c r="N1634">
        <f>RTD("nest.scriprtd",,"bse_cm|840IRFC29","High")</f>
        <v>1360</v>
      </c>
      <c r="O1634">
        <f>RTD("nest.scriprtd",,"bse_cm|840IRFC29","Low ")</f>
        <v>1360</v>
      </c>
      <c r="P1634">
        <f>RTD("nest.scriprtd",,"bse_cm|840IRFC29","Prev Close")</f>
        <v>1360</v>
      </c>
      <c r="Q1634">
        <f>RTD("nest.scriprtd",,"bse_cm|840IRFC29","Face Value")</f>
        <v>1000</v>
      </c>
      <c r="R1634" t="str">
        <f>RTD("nest.scriprtd",,"bse_cm|840IRFC29","Isin code")</f>
        <v>INE053F07660</v>
      </c>
      <c r="S1634" s="9">
        <f>Table1[[#This Row],[Ask Rate]]*Table1[[#This Row],[Ask Qty]]</f>
        <v>244785</v>
      </c>
      <c r="T1634">
        <f>VLOOKUP(Table1[[#This Row],[Isin code]],Table2[#All],7,FALSE)</f>
        <v>8.4</v>
      </c>
      <c r="U1634" s="17" t="str">
        <f>VLOOKUP(Table1[[#This Row],[Isin code]],Table2[#All],8,FALSE)</f>
        <v>18-Feb-2029</v>
      </c>
      <c r="V1634" s="10">
        <f ca="1">Table1[[#This Row],[Maturity]]-TODAY()</f>
        <v>1586</v>
      </c>
      <c r="W1634" t="str">
        <f>VLOOKUP(Table1[[#This Row],[Isin code]],Table2[#All],10,FALSE)</f>
        <v>Yearly</v>
      </c>
      <c r="X1634">
        <f ca="1">_xlfn.DAYS(Table1[[#This Row],[Maturity]],TODAY())-15</f>
        <v>1571</v>
      </c>
      <c r="Y163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634">
        <f>IF(Table1[[#This Row],[Ask Rate]]=0,0,Table1[[#This Row],[Face Value]]-Table1[[#This Row],[Ask Rate]])</f>
        <v>-631.90000000000009</v>
      </c>
      <c r="AA1634">
        <f>IF(Table1[[#This Row],[Freq]]="Yearly",Table1[[#This Row],[Coupon_Rate]]/100,IF(Table1[[#This Row],[Freq]]="Monthly",Table1[[#This Row],[Coupon_Rate]]/1200,IF(Table1[[#This Row],[Freq]]="Quarterly",Table1[[#This Row],[Coupon_Rate]]/400,0)))</f>
        <v>8.4000000000000005E-2</v>
      </c>
      <c r="AB1634">
        <f ca="1">Table1[[#This Row],[Face Value]]*Table1[[#This Row],[Rate]]*Table1[[#This Row],[Time]]</f>
        <v>420</v>
      </c>
      <c r="AC1634">
        <f ca="1">Table1[[#This Row],[SI]]+Table1[[#This Row],[Disc/Prem]]</f>
        <v>-211.90000000000009</v>
      </c>
      <c r="AD1634" s="3">
        <f ca="1">Table1[[#This Row],[Net Gain]]/Table1[[#This Row],[Ask Rate]]</f>
        <v>-0.12984864268643917</v>
      </c>
      <c r="AE1634" s="3">
        <f ca="1">IF(Table1[[#This Row],[Ask Qty]]=0,0,Table1[[#This Row],[Gross Yield]]*365/Table1[[#This Row],[Days Left]])</f>
        <v>-2.9883199609426418E-2</v>
      </c>
      <c r="AF1634" s="9">
        <f ca="1">+Table1[[#This Row],[Net Gain]]*Table1[[#This Row],[Ask Qty]]</f>
        <v>-31785.000000000015</v>
      </c>
      <c r="AG1634" t="str">
        <f ca="1">IF(Table1[[#This Row],[YTM]]&gt;0.12,IF(Table1[[#This Row],[Gross Profit]]&gt;10000,"Invest","Review"),"Low YTM")</f>
        <v>Low YTM</v>
      </c>
    </row>
    <row r="1635" spans="1:33" x14ac:dyDescent="0.3">
      <c r="A1635" t="str">
        <f>RTD("nest.scriprtd",,"nse_cm|885MOFSL26-N0","Symbol")</f>
        <v>885MOFSL26</v>
      </c>
      <c r="B1635" t="str">
        <f>RTD("nest.scriprtd",,"nse_cm|885MOFSL26-N0","Trading Symbol")</f>
        <v>885MOFSL26-N0</v>
      </c>
      <c r="C1635" t="str">
        <f>RTD("nest.scriprtd",,"nse_cm|885MOFSL26-N0","Exchange")</f>
        <v>NSE</v>
      </c>
      <c r="D1635">
        <f>RTD("nest.scriprtd",,"nse_cm|885MOFSL26-N0","Bid Qty")</f>
        <v>180</v>
      </c>
      <c r="E1635">
        <f>RTD("nest.scriprtd",,"nse_cm|885MOFSL26-N0","Bid Rate")</f>
        <v>1010.2</v>
      </c>
      <c r="F1635">
        <f>RTD("nest.scriprtd",,"nse_cm|885MOFSL26-N0","Ask Rate")</f>
        <v>1049.1099999999999</v>
      </c>
      <c r="G1635">
        <f>RTD("nest.scriprtd",,"nse_cm|885MOFSL26-N0","Ask Qty")</f>
        <v>199</v>
      </c>
      <c r="H1635">
        <f>RTD("nest.scriprtd",,"nse_cm|885MOFSL26-N0","LTP")</f>
        <v>1010.2</v>
      </c>
      <c r="I1635" t="str">
        <f>RTD("nest.scriprtd",,"nse_cm|885MOFSL26-N0","LTT")</f>
        <v>09:15:37</v>
      </c>
      <c r="J1635">
        <f>RTD("nest.scriprtd",,"nse_cm|885MOFSL26-N0","% Change")</f>
        <v>0.3</v>
      </c>
      <c r="K1635">
        <f>RTD("nest.scriprtd",,"nse_cm|885MOFSL26-N0","ATP")</f>
        <v>1007.6</v>
      </c>
      <c r="L1635">
        <f>RTD("nest.scriprtd",,"nse_cm|885MOFSL26-N0","Volume Traded Today")</f>
        <v>40</v>
      </c>
      <c r="M1635">
        <f>RTD("nest.scriprtd",,"nse_cm|885MOFSL26-N0","Open")</f>
        <v>1007.6</v>
      </c>
      <c r="N1635">
        <f>RTD("nest.scriprtd",,"nse_cm|885MOFSL26-N0","High")</f>
        <v>1010.2</v>
      </c>
      <c r="O1635">
        <f>RTD("nest.scriprtd",,"nse_cm|885MOFSL26-N0","Low ")</f>
        <v>1007.6</v>
      </c>
      <c r="P1635">
        <f>RTD("nest.scriprtd",,"nse_cm|885MOFSL26-N0","Prev Close")</f>
        <v>1007.21</v>
      </c>
      <c r="Q1635">
        <f>RTD("nest.scriprtd",,"nse_cm|885MOFSL26-N0","Face Value")</f>
        <v>1000</v>
      </c>
      <c r="R1635" t="str">
        <f>RTD("nest.scriprtd",,"nse_cm|885MOFSL26-N0","Isin code")</f>
        <v>INE338I07131</v>
      </c>
      <c r="S1635" s="9">
        <f>Table1[[#This Row],[Ask Rate]]*Table1[[#This Row],[Ask Qty]]</f>
        <v>208772.88999999998</v>
      </c>
      <c r="T1635">
        <f>VLOOKUP(Table1[[#This Row],[Isin code]],Table2[#All],7,FALSE)</f>
        <v>8.85</v>
      </c>
      <c r="U1635" s="17" t="str">
        <f>VLOOKUP(Table1[[#This Row],[Isin code]],Table2[#All],8,FALSE)</f>
        <v>09-May-2026</v>
      </c>
      <c r="V1635" s="10">
        <f ca="1">Table1[[#This Row],[Maturity]]-TODAY()</f>
        <v>570</v>
      </c>
      <c r="W1635" t="str">
        <f>VLOOKUP(Table1[[#This Row],[Isin code]],Table2[#All],10,FALSE)</f>
        <v>Annual</v>
      </c>
      <c r="X1635">
        <f ca="1">_xlfn.DAYS(Table1[[#This Row],[Maturity]],TODAY())-15</f>
        <v>555</v>
      </c>
      <c r="Y163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35">
        <f>IF(Table1[[#This Row],[Ask Rate]]=0,0,Table1[[#This Row],[Face Value]]-Table1[[#This Row],[Ask Rate]])</f>
        <v>-49.1099999999999</v>
      </c>
      <c r="AA163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35">
        <f>Table1[[#This Row],[Face Value]]*Table1[[#This Row],[Rate]]*Table1[[#This Row],[Time]]</f>
        <v>0</v>
      </c>
      <c r="AC1635">
        <f>Table1[[#This Row],[SI]]+Table1[[#This Row],[Disc/Prem]]</f>
        <v>-49.1099999999999</v>
      </c>
      <c r="AD1635" s="3">
        <f>Table1[[#This Row],[Net Gain]]/Table1[[#This Row],[Ask Rate]]</f>
        <v>-4.6811106556986309E-2</v>
      </c>
      <c r="AE1635" s="3">
        <f ca="1">IF(Table1[[#This Row],[Ask Qty]]=0,0,Table1[[#This Row],[Gross Yield]]*365/Table1[[#This Row],[Days Left]])</f>
        <v>-2.9975533146140359E-2</v>
      </c>
      <c r="AF1635" s="9">
        <f>+Table1[[#This Row],[Net Gain]]*Table1[[#This Row],[Ask Qty]]</f>
        <v>-9772.8899999999794</v>
      </c>
      <c r="AG1635" t="str">
        <f ca="1">IF(Table1[[#This Row],[YTM]]&gt;0.12,IF(Table1[[#This Row],[Gross Profit]]&gt;10000,"Invest","Review"),"Low YTM")</f>
        <v>Low YTM</v>
      </c>
    </row>
    <row r="1636" spans="1:33" x14ac:dyDescent="0.3">
      <c r="A1636" t="str">
        <f>RTD("nest.scriprtd",,"nse_cm|858HUDCO29-NC","Symbol")</f>
        <v>858HUDCO29</v>
      </c>
      <c r="B1636" t="str">
        <f>RTD("nest.scriprtd",,"nse_cm|858HUDCO29-NC","Trading Symbol")</f>
        <v>858HUDCO29-NC</v>
      </c>
      <c r="C1636" t="str">
        <f>RTD("nest.scriprtd",,"nse_cm|858HUDCO29-NC","Exchange")</f>
        <v>NSE</v>
      </c>
      <c r="D1636">
        <f>RTD("nest.scriprtd",,"nse_cm|858HUDCO29-NC","Bid Qty")</f>
        <v>100</v>
      </c>
      <c r="E1636">
        <f>RTD("nest.scriprtd",,"nse_cm|858HUDCO29-NC","Bid Rate")</f>
        <v>1149.0999999999999</v>
      </c>
      <c r="F1636">
        <f>RTD("nest.scriprtd",,"nse_cm|858HUDCO29-NC","Ask Rate")</f>
        <v>1639.9</v>
      </c>
      <c r="G1636">
        <f>RTD("nest.scriprtd",,"nse_cm|858HUDCO29-NC","Ask Qty")</f>
        <v>175</v>
      </c>
      <c r="H1636">
        <f>RTD("nest.scriprtd",,"nse_cm|858HUDCO29-NC","LTP")</f>
        <v>1367.3</v>
      </c>
      <c r="I1636" t="str">
        <f>RTD("nest.scriprtd",,"nse_cm|858HUDCO29-NC","LTT")</f>
        <v/>
      </c>
      <c r="J1636">
        <f>RTD("nest.scriprtd",,"nse_cm|858HUDCO29-NC","% Change")</f>
        <v>0</v>
      </c>
      <c r="K1636">
        <f>RTD("nest.scriprtd",,"nse_cm|858HUDCO29-NC","ATP")</f>
        <v>0</v>
      </c>
      <c r="L1636">
        <f>RTD("nest.scriprtd",,"nse_cm|858HUDCO29-NC","Volume Traded Today")</f>
        <v>0</v>
      </c>
      <c r="M1636">
        <f>RTD("nest.scriprtd",,"nse_cm|858HUDCO29-NC","Open")</f>
        <v>0</v>
      </c>
      <c r="N1636">
        <f>RTD("nest.scriprtd",,"nse_cm|858HUDCO29-NC","High")</f>
        <v>1367.3</v>
      </c>
      <c r="O1636">
        <f>RTD("nest.scriprtd",,"nse_cm|858HUDCO29-NC","Low ")</f>
        <v>1367.3</v>
      </c>
      <c r="P1636">
        <f>RTD("nest.scriprtd",,"nse_cm|858HUDCO29-NC","Prev Close")</f>
        <v>1367.3</v>
      </c>
      <c r="Q1636">
        <f>RTD("nest.scriprtd",,"nse_cm|858HUDCO29-NC","Face Value")</f>
        <v>1000</v>
      </c>
      <c r="R1636" t="str">
        <f>RTD("nest.scriprtd",,"nse_cm|858HUDCO29-NC","Isin code")</f>
        <v>INE031A07972</v>
      </c>
      <c r="S1636" s="9">
        <f>Table1[[#This Row],[Ask Rate]]*Table1[[#This Row],[Ask Qty]]</f>
        <v>286982.5</v>
      </c>
      <c r="T1636">
        <f>VLOOKUP(Table1[[#This Row],[Isin code]],Table2[#All],7,FALSE)</f>
        <v>8.58</v>
      </c>
      <c r="U1636" s="17">
        <f>VLOOKUP(Table1[[#This Row],[Isin code]],Table2[#All],8,FALSE)</f>
        <v>47131</v>
      </c>
      <c r="V1636" s="10">
        <f ca="1">Table1[[#This Row],[Maturity]]-TODAY()</f>
        <v>1550</v>
      </c>
      <c r="W1636" t="str">
        <f>VLOOKUP(Table1[[#This Row],[Isin code]],Table2[#All],10,FALSE)</f>
        <v>Yearly</v>
      </c>
      <c r="X1636">
        <f ca="1">_xlfn.DAYS(Table1[[#This Row],[Maturity]],TODAY())-15</f>
        <v>1535</v>
      </c>
      <c r="Y163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636">
        <f>IF(Table1[[#This Row],[Ask Rate]]=0,0,Table1[[#This Row],[Face Value]]-Table1[[#This Row],[Ask Rate]])</f>
        <v>-639.90000000000009</v>
      </c>
      <c r="AA1636">
        <f>IF(Table1[[#This Row],[Freq]]="Yearly",Table1[[#This Row],[Coupon_Rate]]/100,IF(Table1[[#This Row],[Freq]]="Monthly",Table1[[#This Row],[Coupon_Rate]]/1200,IF(Table1[[#This Row],[Freq]]="Quarterly",Table1[[#This Row],[Coupon_Rate]]/400,0)))</f>
        <v>8.5800000000000001E-2</v>
      </c>
      <c r="AB1636">
        <f ca="1">Table1[[#This Row],[Face Value]]*Table1[[#This Row],[Rate]]*Table1[[#This Row],[Time]]</f>
        <v>429</v>
      </c>
      <c r="AC1636">
        <f ca="1">Table1[[#This Row],[SI]]+Table1[[#This Row],[Disc/Prem]]</f>
        <v>-210.90000000000009</v>
      </c>
      <c r="AD1636" s="3">
        <f ca="1">Table1[[#This Row],[Net Gain]]/Table1[[#This Row],[Ask Rate]]</f>
        <v>-0.12860540276846155</v>
      </c>
      <c r="AE1636" s="3">
        <f ca="1">IF(Table1[[#This Row],[Ask Qty]]=0,0,Table1[[#This Row],[Gross Yield]]*365/Table1[[#This Row],[Days Left]])</f>
        <v>-3.0284498071282882E-2</v>
      </c>
      <c r="AF1636" s="9">
        <f ca="1">+Table1[[#This Row],[Net Gain]]*Table1[[#This Row],[Ask Qty]]</f>
        <v>-36907.500000000015</v>
      </c>
      <c r="AG1636" t="str">
        <f ca="1">IF(Table1[[#This Row],[YTM]]&gt;0.12,IF(Table1[[#This Row],[Gross Profit]]&gt;10000,"Invest","Review"),"Low YTM")</f>
        <v>Low YTM</v>
      </c>
    </row>
    <row r="1637" spans="1:33" x14ac:dyDescent="0.3">
      <c r="A1637" t="str">
        <f>RTD("nest.scriprtd",,"bse_cm|EFSLZC28","Symbol")</f>
        <v>EFSLZC28</v>
      </c>
      <c r="B1637" t="str">
        <f>RTD("nest.scriprtd",,"bse_cm|EFSLZC28","Trading Symbol")</f>
        <v>EFSLZC28</v>
      </c>
      <c r="C1637" t="str">
        <f>RTD("nest.scriprtd",,"bse_cm|EFSLZC28","Exchange")</f>
        <v>BSE</v>
      </c>
      <c r="D1637">
        <f>RTD("nest.scriprtd",,"bse_cm|EFSLZC28","Bid Qty")</f>
        <v>25</v>
      </c>
      <c r="E1637">
        <f>RTD("nest.scriprtd",,"bse_cm|EFSLZC28","Bid Rate")</f>
        <v>953.8</v>
      </c>
      <c r="F1637">
        <f>RTD("nest.scriprtd",,"bse_cm|EFSLZC28","Ask Rate")</f>
        <v>1116.55</v>
      </c>
      <c r="G1637">
        <f>RTD("nest.scriprtd",,"bse_cm|EFSLZC28","Ask Qty")</f>
        <v>5</v>
      </c>
      <c r="H1637">
        <f>RTD("nest.scriprtd",,"bse_cm|EFSLZC28","LTP")</f>
        <v>0</v>
      </c>
      <c r="I1637" t="str">
        <f>RTD("nest.scriprtd",,"bse_cm|EFSLZC28","LTT")</f>
        <v>00:00:00</v>
      </c>
      <c r="J1637">
        <f>RTD("nest.scriprtd",,"bse_cm|EFSLZC28","% Change")</f>
        <v>-100</v>
      </c>
      <c r="K1637">
        <f>RTD("nest.scriprtd",,"bse_cm|EFSLZC28","ATP")</f>
        <v>0</v>
      </c>
      <c r="L1637">
        <f>RTD("nest.scriprtd",,"bse_cm|EFSLZC28","Volume Traded Today")</f>
        <v>0</v>
      </c>
      <c r="M1637">
        <f>RTD("nest.scriprtd",,"bse_cm|EFSLZC28","Open")</f>
        <v>0</v>
      </c>
      <c r="N1637">
        <f>RTD("nest.scriprtd",,"bse_cm|EFSLZC28","High")</f>
        <v>1076</v>
      </c>
      <c r="O1637">
        <f>RTD("nest.scriprtd",,"bse_cm|EFSLZC28","Low ")</f>
        <v>1055.5</v>
      </c>
      <c r="P1637">
        <f>RTD("nest.scriprtd",,"bse_cm|EFSLZC28","Prev Close")</f>
        <v>1069</v>
      </c>
      <c r="Q1637">
        <f>RTD("nest.scriprtd",,"bse_cm|EFSLZC28","Face Value")</f>
        <v>1000</v>
      </c>
      <c r="R1637" t="str">
        <f>RTD("nest.scriprtd",,"bse_cm|EFSLZC28","Isin code")</f>
        <v>INE532F07DG1</v>
      </c>
      <c r="S1637" s="9">
        <f>Table1[[#This Row],[Ask Rate]]*Table1[[#This Row],[Ask Qty]]</f>
        <v>5582.75</v>
      </c>
      <c r="T1637" t="str">
        <f>VLOOKUP(Table1[[#This Row],[Isin code]],Table2[#All],7,FALSE)</f>
        <v>--</v>
      </c>
      <c r="U1637" s="17" t="str">
        <f>VLOOKUP(Table1[[#This Row],[Isin code]],Table2[#All],8,FALSE)</f>
        <v>20-Jan-2028</v>
      </c>
      <c r="V1637" s="10">
        <f ca="1">Table1[[#This Row],[Maturity]]-TODAY()</f>
        <v>1191</v>
      </c>
      <c r="W1637" t="str">
        <f>VLOOKUP(Table1[[#This Row],[Isin code]],Table2[#All],10,FALSE)</f>
        <v>At the End</v>
      </c>
      <c r="X1637">
        <f ca="1">_xlfn.DAYS(Table1[[#This Row],[Maturity]],TODAY())-15</f>
        <v>1176</v>
      </c>
      <c r="Y163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37">
        <f>IF(Table1[[#This Row],[Ask Rate]]=0,0,Table1[[#This Row],[Face Value]]-Table1[[#This Row],[Ask Rate]])</f>
        <v>-116.54999999999995</v>
      </c>
      <c r="AA163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37">
        <f>Table1[[#This Row],[Face Value]]*Table1[[#This Row],[Rate]]*Table1[[#This Row],[Time]]</f>
        <v>0</v>
      </c>
      <c r="AC1637">
        <f>Table1[[#This Row],[SI]]+Table1[[#This Row],[Disc/Prem]]</f>
        <v>-116.54999999999995</v>
      </c>
      <c r="AD1637" s="3">
        <f>Table1[[#This Row],[Net Gain]]/Table1[[#This Row],[Ask Rate]]</f>
        <v>-0.10438404012359496</v>
      </c>
      <c r="AE1637" s="3">
        <f ca="1">IF(Table1[[#This Row],[Ask Qty]]=0,0,Table1[[#This Row],[Gross Yield]]*365/Table1[[#This Row],[Days Left]])</f>
        <v>-3.1990071070623141E-2</v>
      </c>
      <c r="AF1637" s="9">
        <f>+Table1[[#This Row],[Net Gain]]*Table1[[#This Row],[Ask Qty]]</f>
        <v>-582.74999999999977</v>
      </c>
      <c r="AG1637" t="str">
        <f ca="1">IF(Table1[[#This Row],[YTM]]&gt;0.12,IF(Table1[[#This Row],[Gross Profit]]&gt;10000,"Invest","Review"),"Low YTM")</f>
        <v>Low YTM</v>
      </c>
    </row>
    <row r="1638" spans="1:33" x14ac:dyDescent="0.3">
      <c r="A1638" t="str">
        <f>RTD("nest.scriprtd",,"bse_cm|MFL28","Symbol")</f>
        <v>MFL28</v>
      </c>
      <c r="B1638" t="str">
        <f>RTD("nest.scriprtd",,"bse_cm|MFL28","Trading Symbol")</f>
        <v>MFL28</v>
      </c>
      <c r="C1638" t="str">
        <f>RTD("nest.scriprtd",,"bse_cm|MFL28","Exchange")</f>
        <v>BSE</v>
      </c>
      <c r="D1638">
        <f>RTD("nest.scriprtd",,"bse_cm|MFL28","Bid Qty")</f>
        <v>30</v>
      </c>
      <c r="E1638">
        <f>RTD("nest.scriprtd",,"bse_cm|MFL28","Bid Rate")</f>
        <v>1065</v>
      </c>
      <c r="F1638">
        <f>RTD("nest.scriprtd",,"bse_cm|MFL28","Ask Rate")</f>
        <v>1132.7</v>
      </c>
      <c r="G1638">
        <f>RTD("nest.scriprtd",,"bse_cm|MFL28","Ask Qty")</f>
        <v>50</v>
      </c>
      <c r="H1638">
        <f>RTD("nest.scriprtd",,"bse_cm|MFL28","LTP")</f>
        <v>0</v>
      </c>
      <c r="I1638" t="str">
        <f>RTD("nest.scriprtd",,"bse_cm|MFL28","LTT")</f>
        <v>00:00:00</v>
      </c>
      <c r="J1638">
        <f>RTD("nest.scriprtd",,"bse_cm|MFL28","% Change")</f>
        <v>-100</v>
      </c>
      <c r="K1638">
        <f>RTD("nest.scriprtd",,"bse_cm|MFL28","ATP")</f>
        <v>0</v>
      </c>
      <c r="L1638">
        <f>RTD("nest.scriprtd",,"bse_cm|MFL28","Volume Traded Today")</f>
        <v>0</v>
      </c>
      <c r="M1638">
        <f>RTD("nest.scriprtd",,"bse_cm|MFL28","Open")</f>
        <v>0</v>
      </c>
      <c r="N1638">
        <f>RTD("nest.scriprtd",,"bse_cm|MFL28","High")</f>
        <v>1060</v>
      </c>
      <c r="O1638">
        <f>RTD("nest.scriprtd",,"bse_cm|MFL28","Low ")</f>
        <v>1060</v>
      </c>
      <c r="P1638">
        <f>RTD("nest.scriprtd",,"bse_cm|MFL28","Prev Close")</f>
        <v>1060</v>
      </c>
      <c r="Q1638">
        <f>RTD("nest.scriprtd",,"bse_cm|MFL28","Face Value")</f>
        <v>1000</v>
      </c>
      <c r="R1638" t="str">
        <f>RTD("nest.scriprtd",,"bse_cm|MFL28","Isin code")</f>
        <v>INE414G07IE4</v>
      </c>
      <c r="S1638" s="9">
        <f>Table1[[#This Row],[Ask Rate]]*Table1[[#This Row],[Ask Qty]]</f>
        <v>56635</v>
      </c>
      <c r="T1638" t="str">
        <f>VLOOKUP(Table1[[#This Row],[Isin code]],Table2[#All],7,FALSE)</f>
        <v>--</v>
      </c>
      <c r="U1638" s="17" t="str">
        <f>VLOOKUP(Table1[[#This Row],[Isin code]],Table2[#All],8,FALSE)</f>
        <v>03-Jun-2028</v>
      </c>
      <c r="V1638" s="10">
        <f ca="1">Table1[[#This Row],[Maturity]]-TODAY()</f>
        <v>1326</v>
      </c>
      <c r="W1638" t="str">
        <f>VLOOKUP(Table1[[#This Row],[Isin code]],Table2[#All],10,FALSE)</f>
        <v>At the End</v>
      </c>
      <c r="X1638">
        <f ca="1">_xlfn.DAYS(Table1[[#This Row],[Maturity]],TODAY())-15</f>
        <v>1311</v>
      </c>
      <c r="Y163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38">
        <f>IF(Table1[[#This Row],[Ask Rate]]=0,0,Table1[[#This Row],[Face Value]]-Table1[[#This Row],[Ask Rate]])</f>
        <v>-132.70000000000005</v>
      </c>
      <c r="AA163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38">
        <f>Table1[[#This Row],[Face Value]]*Table1[[#This Row],[Rate]]*Table1[[#This Row],[Time]]</f>
        <v>0</v>
      </c>
      <c r="AC1638">
        <f>Table1[[#This Row],[SI]]+Table1[[#This Row],[Disc/Prem]]</f>
        <v>-132.70000000000005</v>
      </c>
      <c r="AD1638" s="3">
        <f>Table1[[#This Row],[Net Gain]]/Table1[[#This Row],[Ask Rate]]</f>
        <v>-0.11715370354021369</v>
      </c>
      <c r="AE1638" s="3">
        <f ca="1">IF(Table1[[#This Row],[Ask Qty]]=0,0,Table1[[#This Row],[Gross Yield]]*365/Table1[[#This Row],[Days Left]])</f>
        <v>-3.2248191396815985E-2</v>
      </c>
      <c r="AF1638" s="9">
        <f>+Table1[[#This Row],[Net Gain]]*Table1[[#This Row],[Ask Qty]]</f>
        <v>-6635.0000000000018</v>
      </c>
      <c r="AG1638" t="str">
        <f ca="1">IF(Table1[[#This Row],[YTM]]&gt;0.12,IF(Table1[[#This Row],[Gross Profit]]&gt;10000,"Invest","Review"),"Low YTM")</f>
        <v>Low YTM</v>
      </c>
    </row>
    <row r="1639" spans="1:33" x14ac:dyDescent="0.3">
      <c r="A1639" t="str">
        <f>RTD("nest.scriprtd",,"bse_cm|KFLZC29","Symbol")</f>
        <v>KFLZC29</v>
      </c>
      <c r="B1639" t="str">
        <f>RTD("nest.scriprtd",,"bse_cm|KFLZC29","Trading Symbol")</f>
        <v>KFLZC29</v>
      </c>
      <c r="C1639" t="str">
        <f>RTD("nest.scriprtd",,"bse_cm|KFLZC29","Exchange")</f>
        <v>BSE</v>
      </c>
      <c r="D1639">
        <f>RTD("nest.scriprtd",,"bse_cm|KFLZC29","Bid Qty")</f>
        <v>54</v>
      </c>
      <c r="E1639">
        <f>RTD("nest.scriprtd",,"bse_cm|KFLZC29","Bid Rate")</f>
        <v>992.4</v>
      </c>
      <c r="F1639">
        <f>RTD("nest.scriprtd",,"bse_cm|KFLZC29","Ask Rate")</f>
        <v>1189.8</v>
      </c>
      <c r="G1639">
        <f>RTD("nest.scriprtd",,"bse_cm|KFLZC29","Ask Qty")</f>
        <v>36</v>
      </c>
      <c r="H1639">
        <f>RTD("nest.scriprtd",,"bse_cm|KFLZC29","LTP")</f>
        <v>0</v>
      </c>
      <c r="I1639" t="str">
        <f>RTD("nest.scriprtd",,"bse_cm|KFLZC29","LTT")</f>
        <v>00:00:00</v>
      </c>
      <c r="J1639">
        <f>RTD("nest.scriprtd",,"bse_cm|KFLZC29","% Change")</f>
        <v>-100</v>
      </c>
      <c r="K1639">
        <f>RTD("nest.scriprtd",,"bse_cm|KFLZC29","ATP")</f>
        <v>0</v>
      </c>
      <c r="L1639">
        <f>RTD("nest.scriprtd",,"bse_cm|KFLZC29","Volume Traded Today")</f>
        <v>0</v>
      </c>
      <c r="M1639">
        <f>RTD("nest.scriprtd",,"bse_cm|KFLZC29","Open")</f>
        <v>0</v>
      </c>
      <c r="N1639">
        <f>RTD("nest.scriprtd",,"bse_cm|KFLZC29","High")</f>
        <v>992.4</v>
      </c>
      <c r="O1639">
        <f>RTD("nest.scriprtd",,"bse_cm|KFLZC29","Low ")</f>
        <v>992.4</v>
      </c>
      <c r="P1639">
        <f>RTD("nest.scriprtd",,"bse_cm|KFLZC29","Prev Close")</f>
        <v>992.4</v>
      </c>
      <c r="Q1639">
        <f>RTD("nest.scriprtd",,"bse_cm|KFLZC29","Face Value")</f>
        <v>1000</v>
      </c>
      <c r="R1639" t="str">
        <f>RTD("nest.scriprtd",,"bse_cm|KFLZC29","Isin code")</f>
        <v>INE403Q07CP5</v>
      </c>
      <c r="S1639" s="9">
        <f>Table1[[#This Row],[Ask Rate]]*Table1[[#This Row],[Ask Qty]]</f>
        <v>42832.799999999996</v>
      </c>
      <c r="T1639" t="str">
        <f>VLOOKUP(Table1[[#This Row],[Isin code]],Table2[#All],7,FALSE)</f>
        <v>--</v>
      </c>
      <c r="U1639" s="17" t="str">
        <f>VLOOKUP(Table1[[#This Row],[Isin code]],Table2[#All],8,FALSE)</f>
        <v>17-Aug-2029</v>
      </c>
      <c r="V1639" s="10">
        <f ca="1">Table1[[#This Row],[Maturity]]-TODAY()</f>
        <v>1766</v>
      </c>
      <c r="W1639" t="str">
        <f>VLOOKUP(Table1[[#This Row],[Isin code]],Table2[#All],10,FALSE)</f>
        <v>At the End</v>
      </c>
      <c r="X1639">
        <f ca="1">_xlfn.DAYS(Table1[[#This Row],[Maturity]],TODAY())-15</f>
        <v>1751</v>
      </c>
      <c r="Y163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39">
        <f>IF(Table1[[#This Row],[Ask Rate]]=0,0,Table1[[#This Row],[Face Value]]-Table1[[#This Row],[Ask Rate]])</f>
        <v>-189.79999999999995</v>
      </c>
      <c r="AA163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39">
        <f>Table1[[#This Row],[Face Value]]*Table1[[#This Row],[Rate]]*Table1[[#This Row],[Time]]</f>
        <v>0</v>
      </c>
      <c r="AC1639">
        <f>Table1[[#This Row],[SI]]+Table1[[#This Row],[Disc/Prem]]</f>
        <v>-189.79999999999995</v>
      </c>
      <c r="AD1639" s="3">
        <f>Table1[[#This Row],[Net Gain]]/Table1[[#This Row],[Ask Rate]]</f>
        <v>-0.15952260884182212</v>
      </c>
      <c r="AE1639" s="3">
        <f ca="1">IF(Table1[[#This Row],[Ask Qty]]=0,0,Table1[[#This Row],[Gross Yield]]*365/Table1[[#This Row],[Days Left]])</f>
        <v>-3.2970414624725414E-2</v>
      </c>
      <c r="AF1639" s="9">
        <f>+Table1[[#This Row],[Net Gain]]*Table1[[#This Row],[Ask Qty]]</f>
        <v>-6832.7999999999984</v>
      </c>
      <c r="AG1639" t="str">
        <f ca="1">IF(Table1[[#This Row],[YTM]]&gt;0.12,IF(Table1[[#This Row],[Gross Profit]]&gt;10000,"Invest","Review"),"Low YTM")</f>
        <v>Low YTM</v>
      </c>
    </row>
    <row r="1640" spans="1:33" x14ac:dyDescent="0.3">
      <c r="A1640" t="str">
        <f>RTD("nest.scriprtd",,"nse_cm|AEL120924B-N8","Symbol")</f>
        <v>AEL120924B</v>
      </c>
      <c r="B1640" t="str">
        <f>RTD("nest.scriprtd",,"nse_cm|AEL120924B-N8","Trading Symbol")</f>
        <v>AEL120924B-N8</v>
      </c>
      <c r="C1640" t="str">
        <f>RTD("nest.scriprtd",,"nse_cm|AEL120924B-N8","Exchange")</f>
        <v>NSE</v>
      </c>
      <c r="D1640">
        <f>RTD("nest.scriprtd",,"nse_cm|AEL120924B-N8","Bid Qty")</f>
        <v>10</v>
      </c>
      <c r="E1640">
        <f>RTD("nest.scriprtd",,"nse_cm|AEL120924B-N8","Bid Rate")</f>
        <v>1012.55</v>
      </c>
      <c r="F1640">
        <f>RTD("nest.scriprtd",,"nse_cm|AEL120924B-N8","Ask Rate")</f>
        <v>1195</v>
      </c>
      <c r="G1640">
        <f>RTD("nest.scriprtd",,"nse_cm|AEL120924B-N8","Ask Qty")</f>
        <v>100</v>
      </c>
      <c r="H1640">
        <f>RTD("nest.scriprtd",,"nse_cm|AEL120924B-N8","LTP")</f>
        <v>1015</v>
      </c>
      <c r="I1640" t="str">
        <f>RTD("nest.scriprtd",,"nse_cm|AEL120924B-N8","LTT")</f>
        <v/>
      </c>
      <c r="J1640">
        <f>RTD("nest.scriprtd",,"nse_cm|AEL120924B-N8","% Change")</f>
        <v>0</v>
      </c>
      <c r="K1640">
        <f>RTD("nest.scriprtd",,"nse_cm|AEL120924B-N8","ATP")</f>
        <v>0</v>
      </c>
      <c r="L1640">
        <f>RTD("nest.scriprtd",,"nse_cm|AEL120924B-N8","Volume Traded Today")</f>
        <v>0</v>
      </c>
      <c r="M1640">
        <f>RTD("nest.scriprtd",,"nse_cm|AEL120924B-N8","Open")</f>
        <v>0</v>
      </c>
      <c r="N1640">
        <f>RTD("nest.scriprtd",,"nse_cm|AEL120924B-N8","High")</f>
        <v>1015</v>
      </c>
      <c r="O1640">
        <f>RTD("nest.scriprtd",,"nse_cm|AEL120924B-N8","Low ")</f>
        <v>1015</v>
      </c>
      <c r="P1640">
        <f>RTD("nest.scriprtd",,"nse_cm|AEL120924B-N8","Prev Close")</f>
        <v>1015</v>
      </c>
      <c r="Q1640">
        <f>RTD("nest.scriprtd",,"nse_cm|AEL120924B-N8","Face Value")</f>
        <v>1000</v>
      </c>
      <c r="R1640" t="str">
        <f>RTD("nest.scriprtd",,"nse_cm|AEL120924B-N8","Isin code")</f>
        <v>INE423A07385</v>
      </c>
      <c r="S1640" s="9">
        <f>Table1[[#This Row],[Ask Rate]]*Table1[[#This Row],[Ask Qty]]</f>
        <v>119500</v>
      </c>
      <c r="T1640" t="str">
        <f>VLOOKUP(Table1[[#This Row],[Isin code]],Table2[#All],7,FALSE)</f>
        <v>--</v>
      </c>
      <c r="U1640" s="17" t="str">
        <f>VLOOKUP(Table1[[#This Row],[Isin code]],Table2[#All],8,FALSE)</f>
        <v>12-Sep-2029</v>
      </c>
      <c r="V1640" s="10">
        <f ca="1">Table1[[#This Row],[Maturity]]-TODAY()</f>
        <v>1792</v>
      </c>
      <c r="W1640" t="str">
        <f>VLOOKUP(Table1[[#This Row],[Isin code]],Table2[#All],10,FALSE)</f>
        <v>At the End</v>
      </c>
      <c r="X1640">
        <f ca="1">_xlfn.DAYS(Table1[[#This Row],[Maturity]],TODAY())-15</f>
        <v>1777</v>
      </c>
      <c r="Y164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40">
        <f>IF(Table1[[#This Row],[Ask Rate]]=0,0,Table1[[#This Row],[Face Value]]-Table1[[#This Row],[Ask Rate]])</f>
        <v>-195</v>
      </c>
      <c r="AA164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40">
        <f>Table1[[#This Row],[Face Value]]*Table1[[#This Row],[Rate]]*Table1[[#This Row],[Time]]</f>
        <v>0</v>
      </c>
      <c r="AC1640">
        <f>Table1[[#This Row],[SI]]+Table1[[#This Row],[Disc/Prem]]</f>
        <v>-195</v>
      </c>
      <c r="AD1640" s="3">
        <f>Table1[[#This Row],[Net Gain]]/Table1[[#This Row],[Ask Rate]]</f>
        <v>-0.16317991631799164</v>
      </c>
      <c r="AE1640" s="3">
        <f ca="1">IF(Table1[[#This Row],[Ask Qty]]=0,0,Table1[[#This Row],[Gross Yield]]*365/Table1[[#This Row],[Days Left]])</f>
        <v>-3.3236980723251645E-2</v>
      </c>
      <c r="AF1640" s="9">
        <f>+Table1[[#This Row],[Net Gain]]*Table1[[#This Row],[Ask Qty]]</f>
        <v>-19500</v>
      </c>
      <c r="AG1640" t="str">
        <f ca="1">IF(Table1[[#This Row],[YTM]]&gt;0.12,IF(Table1[[#This Row],[Gross Profit]]&gt;10000,"Invest","Review"),"Low YTM")</f>
        <v>Low YTM</v>
      </c>
    </row>
    <row r="1641" spans="1:33" x14ac:dyDescent="0.3">
      <c r="A1641" t="str">
        <f>RTD("nest.scriprtd",,"bse_cm|AEL120924B","Symbol")</f>
        <v>AEL120924B</v>
      </c>
      <c r="B1641" t="str">
        <f>RTD("nest.scriprtd",,"bse_cm|AEL120924B","Trading Symbol")</f>
        <v>AEL120924B</v>
      </c>
      <c r="C1641" t="str">
        <f>RTD("nest.scriprtd",,"bse_cm|AEL120924B","Exchange")</f>
        <v>BSE</v>
      </c>
      <c r="D1641">
        <f>RTD("nest.scriprtd",,"bse_cm|AEL120924B","Bid Qty")</f>
        <v>27</v>
      </c>
      <c r="E1641">
        <f>RTD("nest.scriprtd",,"bse_cm|AEL120924B","Bid Rate")</f>
        <v>850.8</v>
      </c>
      <c r="F1641">
        <f>RTD("nest.scriprtd",,"bse_cm|AEL120924B","Ask Rate")</f>
        <v>1195</v>
      </c>
      <c r="G1641">
        <f>RTD("nest.scriprtd",,"bse_cm|AEL120924B","Ask Qty")</f>
        <v>68</v>
      </c>
      <c r="H1641">
        <f>RTD("nest.scriprtd",,"bse_cm|AEL120924B","LTP")</f>
        <v>0</v>
      </c>
      <c r="I1641" t="str">
        <f>RTD("nest.scriprtd",,"bse_cm|AEL120924B","LTT")</f>
        <v>00:00:00</v>
      </c>
      <c r="J1641">
        <f>RTD("nest.scriprtd",,"bse_cm|AEL120924B","% Change")</f>
        <v>-100</v>
      </c>
      <c r="K1641">
        <f>RTD("nest.scriprtd",,"bse_cm|AEL120924B","ATP")</f>
        <v>0</v>
      </c>
      <c r="L1641">
        <f>RTD("nest.scriprtd",,"bse_cm|AEL120924B","Volume Traded Today")</f>
        <v>0</v>
      </c>
      <c r="M1641">
        <f>RTD("nest.scriprtd",,"bse_cm|AEL120924B","Open")</f>
        <v>0</v>
      </c>
      <c r="N1641">
        <f>RTD("nest.scriprtd",,"bse_cm|AEL120924B","High")</f>
        <v>1000</v>
      </c>
      <c r="O1641">
        <f>RTD("nest.scriprtd",,"bse_cm|AEL120924B","Low ")</f>
        <v>1000</v>
      </c>
      <c r="P1641">
        <f>RTD("nest.scriprtd",,"bse_cm|AEL120924B","Prev Close")</f>
        <v>1000</v>
      </c>
      <c r="Q1641">
        <f>RTD("nest.scriprtd",,"bse_cm|AEL120924B","Face Value")</f>
        <v>1000</v>
      </c>
      <c r="R1641" t="str">
        <f>RTD("nest.scriprtd",,"bse_cm|AEL120924B","Isin code")</f>
        <v>INE423A07385</v>
      </c>
      <c r="S1641" s="9">
        <f>Table1[[#This Row],[Ask Rate]]*Table1[[#This Row],[Ask Qty]]</f>
        <v>81260</v>
      </c>
      <c r="T1641" t="str">
        <f>VLOOKUP(Table1[[#This Row],[Isin code]],Table2[#All],7,FALSE)</f>
        <v>--</v>
      </c>
      <c r="U1641" s="17" t="str">
        <f>VLOOKUP(Table1[[#This Row],[Isin code]],Table2[#All],8,FALSE)</f>
        <v>12-Sep-2029</v>
      </c>
      <c r="V1641" s="10">
        <f ca="1">Table1[[#This Row],[Maturity]]-TODAY()</f>
        <v>1792</v>
      </c>
      <c r="W1641" t="str">
        <f>VLOOKUP(Table1[[#This Row],[Isin code]],Table2[#All],10,FALSE)</f>
        <v>At the End</v>
      </c>
      <c r="X1641">
        <f ca="1">_xlfn.DAYS(Table1[[#This Row],[Maturity]],TODAY())-15</f>
        <v>1777</v>
      </c>
      <c r="Y164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41">
        <f>IF(Table1[[#This Row],[Ask Rate]]=0,0,Table1[[#This Row],[Face Value]]-Table1[[#This Row],[Ask Rate]])</f>
        <v>-195</v>
      </c>
      <c r="AA164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41">
        <f>Table1[[#This Row],[Face Value]]*Table1[[#This Row],[Rate]]*Table1[[#This Row],[Time]]</f>
        <v>0</v>
      </c>
      <c r="AC1641">
        <f>Table1[[#This Row],[SI]]+Table1[[#This Row],[Disc/Prem]]</f>
        <v>-195</v>
      </c>
      <c r="AD1641" s="3">
        <f>Table1[[#This Row],[Net Gain]]/Table1[[#This Row],[Ask Rate]]</f>
        <v>-0.16317991631799164</v>
      </c>
      <c r="AE1641" s="3">
        <f ca="1">IF(Table1[[#This Row],[Ask Qty]]=0,0,Table1[[#This Row],[Gross Yield]]*365/Table1[[#This Row],[Days Left]])</f>
        <v>-3.3236980723251645E-2</v>
      </c>
      <c r="AF1641" s="9">
        <f>+Table1[[#This Row],[Net Gain]]*Table1[[#This Row],[Ask Qty]]</f>
        <v>-13260</v>
      </c>
      <c r="AG1641" t="str">
        <f ca="1">IF(Table1[[#This Row],[YTM]]&gt;0.12,IF(Table1[[#This Row],[Gross Profit]]&gt;10000,"Invest","Review"),"Low YTM")</f>
        <v>Low YTM</v>
      </c>
    </row>
    <row r="1642" spans="1:33" x14ac:dyDescent="0.3">
      <c r="A1642" t="str">
        <f>RTD("nest.scriprtd",,"bse_cm|MML26A","Symbol")</f>
        <v>MML26A</v>
      </c>
      <c r="B1642" t="str">
        <f>RTD("nest.scriprtd",,"bse_cm|MML26A","Trading Symbol")</f>
        <v>MML26A</v>
      </c>
      <c r="C1642" t="str">
        <f>RTD("nest.scriprtd",,"bse_cm|MML26A","Exchange")</f>
        <v>BSE</v>
      </c>
      <c r="D1642">
        <f>RTD("nest.scriprtd",,"bse_cm|MML26A","Bid Qty")</f>
        <v>28</v>
      </c>
      <c r="E1642">
        <f>RTD("nest.scriprtd",,"bse_cm|MML26A","Bid Rate")</f>
        <v>850.2</v>
      </c>
      <c r="F1642">
        <f>RTD("nest.scriprtd",,"bse_cm|MML26A","Ask Rate")</f>
        <v>1080</v>
      </c>
      <c r="G1642">
        <f>RTD("nest.scriprtd",,"bse_cm|MML26A","Ask Qty")</f>
        <v>100</v>
      </c>
      <c r="H1642">
        <f>RTD("nest.scriprtd",,"bse_cm|MML26A","LTP")</f>
        <v>0</v>
      </c>
      <c r="I1642" t="str">
        <f>RTD("nest.scriprtd",,"bse_cm|MML26A","LTT")</f>
        <v>00:00:00</v>
      </c>
      <c r="J1642">
        <f>RTD("nest.scriprtd",,"bse_cm|MML26A","% Change")</f>
        <v>-100</v>
      </c>
      <c r="K1642">
        <f>RTD("nest.scriprtd",,"bse_cm|MML26A","ATP")</f>
        <v>0</v>
      </c>
      <c r="L1642">
        <f>RTD("nest.scriprtd",,"bse_cm|MML26A","Volume Traded Today")</f>
        <v>0</v>
      </c>
      <c r="M1642">
        <f>RTD("nest.scriprtd",,"bse_cm|MML26A","Open")</f>
        <v>0</v>
      </c>
      <c r="N1642">
        <f>RTD("nest.scriprtd",,"bse_cm|MML26A","High")</f>
        <v>998.75</v>
      </c>
      <c r="O1642">
        <f>RTD("nest.scriprtd",,"bse_cm|MML26A","Low ")</f>
        <v>962.36</v>
      </c>
      <c r="P1642">
        <f>RTD("nest.scriprtd",,"bse_cm|MML26A","Prev Close")</f>
        <v>988.49</v>
      </c>
      <c r="Q1642">
        <f>RTD("nest.scriprtd",,"bse_cm|MML26A","Face Value")</f>
        <v>1000</v>
      </c>
      <c r="R1642" t="str">
        <f>RTD("nest.scriprtd",,"bse_cm|MML26A","Isin code")</f>
        <v>INE05F407BO9</v>
      </c>
      <c r="S1642" s="9">
        <f>Table1[[#This Row],[Ask Rate]]*Table1[[#This Row],[Ask Qty]]</f>
        <v>108000</v>
      </c>
      <c r="T1642" t="str">
        <f>VLOOKUP(Table1[[#This Row],[Isin code]],Table2[#All],7,FALSE)</f>
        <v>--</v>
      </c>
      <c r="U1642" s="17" t="str">
        <f>VLOOKUP(Table1[[#This Row],[Isin code]],Table2[#All],8,FALSE)</f>
        <v>21-Dec-2026</v>
      </c>
      <c r="V1642" s="10">
        <f ca="1">Table1[[#This Row],[Maturity]]-TODAY()</f>
        <v>796</v>
      </c>
      <c r="W1642" t="str">
        <f>VLOOKUP(Table1[[#This Row],[Isin code]],Table2[#All],10,FALSE)</f>
        <v>At the End</v>
      </c>
      <c r="X1642">
        <f ca="1">_xlfn.DAYS(Table1[[#This Row],[Maturity]],TODAY())-15</f>
        <v>781</v>
      </c>
      <c r="Y164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42">
        <f>IF(Table1[[#This Row],[Ask Rate]]=0,0,Table1[[#This Row],[Face Value]]-Table1[[#This Row],[Ask Rate]])</f>
        <v>-80</v>
      </c>
      <c r="AA164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42">
        <f>Table1[[#This Row],[Face Value]]*Table1[[#This Row],[Rate]]*Table1[[#This Row],[Time]]</f>
        <v>0</v>
      </c>
      <c r="AC1642">
        <f>Table1[[#This Row],[SI]]+Table1[[#This Row],[Disc/Prem]]</f>
        <v>-80</v>
      </c>
      <c r="AD1642" s="3">
        <f>Table1[[#This Row],[Net Gain]]/Table1[[#This Row],[Ask Rate]]</f>
        <v>-7.407407407407407E-2</v>
      </c>
      <c r="AE1642" s="3">
        <f ca="1">IF(Table1[[#This Row],[Ask Qty]]=0,0,Table1[[#This Row],[Gross Yield]]*365/Table1[[#This Row],[Days Left]])</f>
        <v>-3.3966126930951052E-2</v>
      </c>
      <c r="AF1642" s="9">
        <f>+Table1[[#This Row],[Net Gain]]*Table1[[#This Row],[Ask Qty]]</f>
        <v>-8000</v>
      </c>
      <c r="AG1642" t="str">
        <f ca="1">IF(Table1[[#This Row],[YTM]]&gt;0.12,IF(Table1[[#This Row],[Gross Profit]]&gt;10000,"Invest","Review"),"Low YTM")</f>
        <v>Low YTM</v>
      </c>
    </row>
    <row r="1643" spans="1:33" x14ac:dyDescent="0.3">
      <c r="A1643" t="str">
        <f>RTD("nest.scriprtd",,"bse_cm|885MOFSL26","Symbol")</f>
        <v>885MOFSL26</v>
      </c>
      <c r="B1643" t="str">
        <f>RTD("nest.scriprtd",,"bse_cm|885MOFSL26","Trading Symbol")</f>
        <v>885MOFSL26</v>
      </c>
      <c r="C1643" t="str">
        <f>RTD("nest.scriprtd",,"bse_cm|885MOFSL26","Exchange")</f>
        <v>BSE</v>
      </c>
      <c r="D1643">
        <f>RTD("nest.scriprtd",,"bse_cm|885MOFSL26","Bid Qty")</f>
        <v>180</v>
      </c>
      <c r="E1643">
        <f>RTD("nest.scriprtd",,"bse_cm|885MOFSL26","Bid Rate")</f>
        <v>1010.2</v>
      </c>
      <c r="F1643">
        <f>RTD("nest.scriprtd",,"bse_cm|885MOFSL26","Ask Rate")</f>
        <v>1059.5</v>
      </c>
      <c r="G1643">
        <f>RTD("nest.scriprtd",,"bse_cm|885MOFSL26","Ask Qty")</f>
        <v>180</v>
      </c>
      <c r="H1643">
        <f>RTD("nest.scriprtd",,"bse_cm|885MOFSL26","LTP")</f>
        <v>0</v>
      </c>
      <c r="I1643" t="str">
        <f>RTD("nest.scriprtd",,"bse_cm|885MOFSL26","LTT")</f>
        <v>00:00:00</v>
      </c>
      <c r="J1643">
        <f>RTD("nest.scriprtd",,"bse_cm|885MOFSL26","% Change")</f>
        <v>-100</v>
      </c>
      <c r="K1643">
        <f>RTD("nest.scriprtd",,"bse_cm|885MOFSL26","ATP")</f>
        <v>0</v>
      </c>
      <c r="L1643">
        <f>RTD("nest.scriprtd",,"bse_cm|885MOFSL26","Volume Traded Today")</f>
        <v>0</v>
      </c>
      <c r="M1643">
        <f>RTD("nest.scriprtd",,"bse_cm|885MOFSL26","Open")</f>
        <v>0</v>
      </c>
      <c r="N1643">
        <f>RTD("nest.scriprtd",,"bse_cm|885MOFSL26","High")</f>
        <v>1039.28</v>
      </c>
      <c r="O1643">
        <f>RTD("nest.scriprtd",,"bse_cm|885MOFSL26","Low ")</f>
        <v>1039.28</v>
      </c>
      <c r="P1643">
        <f>RTD("nest.scriprtd",,"bse_cm|885MOFSL26","Prev Close")</f>
        <v>1039.28</v>
      </c>
      <c r="Q1643">
        <f>RTD("nest.scriprtd",,"bse_cm|885MOFSL26","Face Value")</f>
        <v>1000</v>
      </c>
      <c r="R1643" t="str">
        <f>RTD("nest.scriprtd",,"bse_cm|885MOFSL26","Isin code")</f>
        <v>INE338I07131</v>
      </c>
      <c r="S1643" s="9">
        <f>Table1[[#This Row],[Ask Rate]]*Table1[[#This Row],[Ask Qty]]</f>
        <v>190710</v>
      </c>
      <c r="T1643">
        <f>VLOOKUP(Table1[[#This Row],[Isin code]],Table2[#All],7,FALSE)</f>
        <v>8.85</v>
      </c>
      <c r="U1643" s="17" t="str">
        <f>VLOOKUP(Table1[[#This Row],[Isin code]],Table2[#All],8,FALSE)</f>
        <v>09-May-2026</v>
      </c>
      <c r="V1643" s="10">
        <f ca="1">Table1[[#This Row],[Maturity]]-TODAY()</f>
        <v>570</v>
      </c>
      <c r="W1643" t="str">
        <f>VLOOKUP(Table1[[#This Row],[Isin code]],Table2[#All],10,FALSE)</f>
        <v>Annual</v>
      </c>
      <c r="X1643">
        <f ca="1">_xlfn.DAYS(Table1[[#This Row],[Maturity]],TODAY())-15</f>
        <v>555</v>
      </c>
      <c r="Y164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43">
        <f>IF(Table1[[#This Row],[Ask Rate]]=0,0,Table1[[#This Row],[Face Value]]-Table1[[#This Row],[Ask Rate]])</f>
        <v>-59.5</v>
      </c>
      <c r="AA164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43">
        <f>Table1[[#This Row],[Face Value]]*Table1[[#This Row],[Rate]]*Table1[[#This Row],[Time]]</f>
        <v>0</v>
      </c>
      <c r="AC1643">
        <f>Table1[[#This Row],[SI]]+Table1[[#This Row],[Disc/Prem]]</f>
        <v>-59.5</v>
      </c>
      <c r="AD1643" s="3">
        <f>Table1[[#This Row],[Net Gain]]/Table1[[#This Row],[Ask Rate]]</f>
        <v>-5.6158565361019347E-2</v>
      </c>
      <c r="AE1643" s="3">
        <f ca="1">IF(Table1[[#This Row],[Ask Qty]]=0,0,Table1[[#This Row],[Gross Yield]]*365/Table1[[#This Row],[Days Left]])</f>
        <v>-3.5961186590828177E-2</v>
      </c>
      <c r="AF1643" s="9">
        <f>+Table1[[#This Row],[Net Gain]]*Table1[[#This Row],[Ask Qty]]</f>
        <v>-10710</v>
      </c>
      <c r="AG1643" t="str">
        <f ca="1">IF(Table1[[#This Row],[YTM]]&gt;0.12,IF(Table1[[#This Row],[Gross Profit]]&gt;10000,"Invest","Review"),"Low YTM")</f>
        <v>Low YTM</v>
      </c>
    </row>
    <row r="1644" spans="1:33" x14ac:dyDescent="0.3">
      <c r="A1644" t="str">
        <f>RTD("nest.scriprtd",,"nse_cm|0MOFSL26-N1","Symbol")</f>
        <v>0MOFSL26</v>
      </c>
      <c r="B1644" t="str">
        <f>RTD("nest.scriprtd",,"nse_cm|0MOFSL26-N1","Trading Symbol")</f>
        <v>0MOFSL26-N1</v>
      </c>
      <c r="C1644" t="str">
        <f>RTD("nest.scriprtd",,"nse_cm|0MOFSL26-N1","Exchange")</f>
        <v>NSE</v>
      </c>
      <c r="D1644">
        <f>RTD("nest.scriprtd",,"nse_cm|0MOFSL26-N1","Bid Qty")</f>
        <v>100</v>
      </c>
      <c r="E1644">
        <f>RTD("nest.scriprtd",,"nse_cm|0MOFSL26-N1","Bid Rate")</f>
        <v>1000</v>
      </c>
      <c r="F1644">
        <f>RTD("nest.scriprtd",,"nse_cm|0MOFSL26-N1","Ask Rate")</f>
        <v>1059.8</v>
      </c>
      <c r="G1644">
        <f>RTD("nest.scriprtd",,"nse_cm|0MOFSL26-N1","Ask Qty")</f>
        <v>45</v>
      </c>
      <c r="H1644">
        <f>RTD("nest.scriprtd",,"nse_cm|0MOFSL26-N1","LTP")</f>
        <v>1000</v>
      </c>
      <c r="I1644" t="str">
        <f>RTD("nest.scriprtd",,"nse_cm|0MOFSL26-N1","LTT")</f>
        <v/>
      </c>
      <c r="J1644">
        <f>RTD("nest.scriprtd",,"nse_cm|0MOFSL26-N1","% Change")</f>
        <v>0</v>
      </c>
      <c r="K1644">
        <f>RTD("nest.scriprtd",,"nse_cm|0MOFSL26-N1","ATP")</f>
        <v>0</v>
      </c>
      <c r="L1644">
        <f>RTD("nest.scriprtd",,"nse_cm|0MOFSL26-N1","Volume Traded Today")</f>
        <v>0</v>
      </c>
      <c r="M1644">
        <f>RTD("nest.scriprtd",,"nse_cm|0MOFSL26-N1","Open")</f>
        <v>0</v>
      </c>
      <c r="N1644">
        <f>RTD("nest.scriprtd",,"nse_cm|0MOFSL26-N1","High")</f>
        <v>1000</v>
      </c>
      <c r="O1644">
        <f>RTD("nest.scriprtd",,"nse_cm|0MOFSL26-N1","Low ")</f>
        <v>1000</v>
      </c>
      <c r="P1644">
        <f>RTD("nest.scriprtd",,"nse_cm|0MOFSL26-N1","Prev Close")</f>
        <v>1000</v>
      </c>
      <c r="Q1644">
        <f>RTD("nest.scriprtd",,"nse_cm|0MOFSL26-N1","Face Value")</f>
        <v>1000</v>
      </c>
      <c r="R1644" t="str">
        <f>RTD("nest.scriprtd",,"nse_cm|0MOFSL26-N1","Isin code")</f>
        <v>INE338I07156</v>
      </c>
      <c r="S1644" s="9">
        <f>Table1[[#This Row],[Ask Rate]]*Table1[[#This Row],[Ask Qty]]</f>
        <v>47691</v>
      </c>
      <c r="T1644" t="str">
        <f>VLOOKUP(Table1[[#This Row],[Isin code]],Table2[#All],7,FALSE)</f>
        <v>--</v>
      </c>
      <c r="U1644" s="17" t="str">
        <f>VLOOKUP(Table1[[#This Row],[Isin code]],Table2[#All],8,FALSE)</f>
        <v>09-May-2026</v>
      </c>
      <c r="V1644" s="10">
        <f ca="1">Table1[[#This Row],[Maturity]]-TODAY()</f>
        <v>570</v>
      </c>
      <c r="W1644" t="str">
        <f>VLOOKUP(Table1[[#This Row],[Isin code]],Table2[#All],10,FALSE)</f>
        <v>At the End</v>
      </c>
      <c r="X1644">
        <f ca="1">_xlfn.DAYS(Table1[[#This Row],[Maturity]],TODAY())-15</f>
        <v>555</v>
      </c>
      <c r="Y164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44">
        <f>IF(Table1[[#This Row],[Ask Rate]]=0,0,Table1[[#This Row],[Face Value]]-Table1[[#This Row],[Ask Rate]])</f>
        <v>-59.799999999999955</v>
      </c>
      <c r="AA164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44">
        <f>Table1[[#This Row],[Face Value]]*Table1[[#This Row],[Rate]]*Table1[[#This Row],[Time]]</f>
        <v>0</v>
      </c>
      <c r="AC1644">
        <f>Table1[[#This Row],[SI]]+Table1[[#This Row],[Disc/Prem]]</f>
        <v>-59.799999999999955</v>
      </c>
      <c r="AD1644" s="3">
        <f>Table1[[#This Row],[Net Gain]]/Table1[[#This Row],[Ask Rate]]</f>
        <v>-5.6425740705793502E-2</v>
      </c>
      <c r="AE1644" s="3">
        <f ca="1">IF(Table1[[#This Row],[Ask Qty]]=0,0,Table1[[#This Row],[Gross Yield]]*365/Table1[[#This Row],[Days Left]])</f>
        <v>-3.6132272557218646E-2</v>
      </c>
      <c r="AF1644" s="9">
        <f>+Table1[[#This Row],[Net Gain]]*Table1[[#This Row],[Ask Qty]]</f>
        <v>-2690.9999999999982</v>
      </c>
      <c r="AG1644" t="str">
        <f ca="1">IF(Table1[[#This Row],[YTM]]&gt;0.12,IF(Table1[[#This Row],[Gross Profit]]&gt;10000,"Invest","Review"),"Low YTM")</f>
        <v>Low YTM</v>
      </c>
    </row>
    <row r="1645" spans="1:33" x14ac:dyDescent="0.3">
      <c r="A1645" t="str">
        <f>RTD("nest.scriprtd",,"bse_cm|0MOFSL26","Symbol")</f>
        <v>0MOFSL26</v>
      </c>
      <c r="B1645" t="str">
        <f>RTD("nest.scriprtd",,"bse_cm|0MOFSL26","Trading Symbol")</f>
        <v>0MOFSL26</v>
      </c>
      <c r="C1645" t="str">
        <f>RTD("nest.scriprtd",,"bse_cm|0MOFSL26","Exchange")</f>
        <v>BSE</v>
      </c>
      <c r="D1645">
        <f>RTD("nest.scriprtd",,"bse_cm|0MOFSL26","Bid Qty")</f>
        <v>100</v>
      </c>
      <c r="E1645">
        <f>RTD("nest.scriprtd",,"bse_cm|0MOFSL26","Bid Rate")</f>
        <v>1000</v>
      </c>
      <c r="F1645">
        <f>RTD("nest.scriprtd",,"bse_cm|0MOFSL26","Ask Rate")</f>
        <v>1062.2</v>
      </c>
      <c r="G1645">
        <f>RTD("nest.scriprtd",,"bse_cm|0MOFSL26","Ask Qty")</f>
        <v>27</v>
      </c>
      <c r="H1645">
        <f>RTD("nest.scriprtd",,"bse_cm|0MOFSL26","LTP")</f>
        <v>0</v>
      </c>
      <c r="I1645" t="str">
        <f>RTD("nest.scriprtd",,"bse_cm|0MOFSL26","LTT")</f>
        <v>00:00:00</v>
      </c>
      <c r="J1645">
        <f>RTD("nest.scriprtd",,"bse_cm|0MOFSL26","% Change")</f>
        <v>-100</v>
      </c>
      <c r="K1645">
        <f>RTD("nest.scriprtd",,"bse_cm|0MOFSL26","ATP")</f>
        <v>0</v>
      </c>
      <c r="L1645">
        <f>RTD("nest.scriprtd",,"bse_cm|0MOFSL26","Volume Traded Today")</f>
        <v>0</v>
      </c>
      <c r="M1645">
        <f>RTD("nest.scriprtd",,"bse_cm|0MOFSL26","Open")</f>
        <v>0</v>
      </c>
      <c r="N1645">
        <f>RTD("nest.scriprtd",,"bse_cm|0MOFSL26","High")</f>
        <v>1020</v>
      </c>
      <c r="O1645">
        <f>RTD("nest.scriprtd",,"bse_cm|0MOFSL26","Low ")</f>
        <v>1020</v>
      </c>
      <c r="P1645">
        <f>RTD("nest.scriprtd",,"bse_cm|0MOFSL26","Prev Close")</f>
        <v>1020</v>
      </c>
      <c r="Q1645">
        <f>RTD("nest.scriprtd",,"bse_cm|0MOFSL26","Face Value")</f>
        <v>1000</v>
      </c>
      <c r="R1645" t="str">
        <f>RTD("nest.scriprtd",,"bse_cm|0MOFSL26","Isin code")</f>
        <v>INE338I07156</v>
      </c>
      <c r="S1645" s="9">
        <f>Table1[[#This Row],[Ask Rate]]*Table1[[#This Row],[Ask Qty]]</f>
        <v>28679.4</v>
      </c>
      <c r="T1645" t="str">
        <f>VLOOKUP(Table1[[#This Row],[Isin code]],Table2[#All],7,FALSE)</f>
        <v>--</v>
      </c>
      <c r="U1645" s="17" t="str">
        <f>VLOOKUP(Table1[[#This Row],[Isin code]],Table2[#All],8,FALSE)</f>
        <v>09-May-2026</v>
      </c>
      <c r="V1645" s="10">
        <f ca="1">Table1[[#This Row],[Maturity]]-TODAY()</f>
        <v>570</v>
      </c>
      <c r="W1645" t="str">
        <f>VLOOKUP(Table1[[#This Row],[Isin code]],Table2[#All],10,FALSE)</f>
        <v>At the End</v>
      </c>
      <c r="X1645">
        <f ca="1">_xlfn.DAYS(Table1[[#This Row],[Maturity]],TODAY())-15</f>
        <v>555</v>
      </c>
      <c r="Y164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45">
        <f>IF(Table1[[#This Row],[Ask Rate]]=0,0,Table1[[#This Row],[Face Value]]-Table1[[#This Row],[Ask Rate]])</f>
        <v>-62.200000000000045</v>
      </c>
      <c r="AA164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45">
        <f>Table1[[#This Row],[Face Value]]*Table1[[#This Row],[Rate]]*Table1[[#This Row],[Time]]</f>
        <v>0</v>
      </c>
      <c r="AC1645">
        <f>Table1[[#This Row],[SI]]+Table1[[#This Row],[Disc/Prem]]</f>
        <v>-62.200000000000045</v>
      </c>
      <c r="AD1645" s="3">
        <f>Table1[[#This Row],[Net Gain]]/Table1[[#This Row],[Ask Rate]]</f>
        <v>-5.8557710412351763E-2</v>
      </c>
      <c r="AE1645" s="3">
        <f ca="1">IF(Table1[[#This Row],[Ask Qty]]=0,0,Table1[[#This Row],[Gross Yield]]*365/Table1[[#This Row],[Days Left]])</f>
        <v>-3.7497481228962098E-2</v>
      </c>
      <c r="AF1645" s="9">
        <f>+Table1[[#This Row],[Net Gain]]*Table1[[#This Row],[Ask Qty]]</f>
        <v>-1679.4000000000012</v>
      </c>
      <c r="AG1645" t="str">
        <f ca="1">IF(Table1[[#This Row],[YTM]]&gt;0.12,IF(Table1[[#This Row],[Gross Profit]]&gt;10000,"Invest","Review"),"Low YTM")</f>
        <v>Low YTM</v>
      </c>
    </row>
    <row r="1646" spans="1:33" hidden="1" x14ac:dyDescent="0.3">
      <c r="A1646" t="str">
        <f>RTD("nest.scriprtd",,"bse_cm|10VCL25","Symbol")</f>
        <v>10VCL25</v>
      </c>
      <c r="B1646" t="str">
        <f>RTD("nest.scriprtd",,"bse_cm|10VCL25","Trading Symbol")</f>
        <v>10VCL25</v>
      </c>
      <c r="C1646" t="str">
        <f>RTD("nest.scriprtd",,"bse_cm|10VCL25","Exchange")</f>
        <v>BSE</v>
      </c>
      <c r="D1646">
        <f>RTD("nest.scriprtd",,"bse_cm|10VCL25","Bid Qty")</f>
        <v>35</v>
      </c>
      <c r="E1646">
        <f>RTD("nest.scriprtd",,"bse_cm|10VCL25","Bid Rate")</f>
        <v>985.01</v>
      </c>
      <c r="F1646">
        <f>RTD("nest.scriprtd",,"bse_cm|10VCL25","Ask Rate")</f>
        <v>1015</v>
      </c>
      <c r="G1646">
        <f>RTD("nest.scriprtd",,"bse_cm|10VCL25","Ask Qty")</f>
        <v>25</v>
      </c>
      <c r="H1646">
        <f>RTD("nest.scriprtd",,"bse_cm|10VCL25","LTP")</f>
        <v>0</v>
      </c>
      <c r="I1646" t="str">
        <f>RTD("nest.scriprtd",,"bse_cm|10VCL25","LTT")</f>
        <v>00:00:00</v>
      </c>
      <c r="J1646">
        <f>RTD("nest.scriprtd",,"bse_cm|10VCL25","% Change")</f>
        <v>-100</v>
      </c>
      <c r="K1646">
        <f>RTD("nest.scriprtd",,"bse_cm|10VCL25","ATP")</f>
        <v>0</v>
      </c>
      <c r="L1646">
        <f>RTD("nest.scriprtd",,"bse_cm|10VCL25","Volume Traded Today")</f>
        <v>0</v>
      </c>
      <c r="M1646">
        <f>RTD("nest.scriprtd",,"bse_cm|10VCL25","Open")</f>
        <v>0</v>
      </c>
      <c r="N1646">
        <f>RTD("nest.scriprtd",,"bse_cm|10VCL25","High")</f>
        <v>999.9</v>
      </c>
      <c r="O1646">
        <f>RTD("nest.scriprtd",,"bse_cm|10VCL25","Low ")</f>
        <v>981.2</v>
      </c>
      <c r="P1646">
        <f>RTD("nest.scriprtd",,"bse_cm|10VCL25","Prev Close")</f>
        <v>991.35</v>
      </c>
      <c r="Q1646">
        <f>RTD("nest.scriprtd",,"bse_cm|10VCL25","Face Value")</f>
        <v>1000</v>
      </c>
      <c r="R1646" t="str">
        <f>RTD("nest.scriprtd",,"bse_cm|10VCL25","Isin code")</f>
        <v>INE01HV07403</v>
      </c>
      <c r="S1646" s="9">
        <f>Table1[[#This Row],[Ask Rate]]*Table1[[#This Row],[Ask Qty]]</f>
        <v>25375</v>
      </c>
      <c r="T1646">
        <f>VLOOKUP(Table1[[#This Row],[Isin code]],Table2[#All],7,FALSE)</f>
        <v>10</v>
      </c>
      <c r="U1646" s="17" t="str">
        <f>VLOOKUP(Table1[[#This Row],[Isin code]],Table2[#All],8,FALSE)</f>
        <v>06-Mar-2025</v>
      </c>
      <c r="V1646" s="10">
        <f ca="1">Table1[[#This Row],[Maturity]]-TODAY()</f>
        <v>141</v>
      </c>
      <c r="W1646" t="str">
        <f>VLOOKUP(Table1[[#This Row],[Isin code]],Table2[#All],10,FALSE)</f>
        <v>At the End</v>
      </c>
      <c r="X1646">
        <f ca="1">_xlfn.DAYS(Table1[[#This Row],[Maturity]],TODAY())-15</f>
        <v>126</v>
      </c>
      <c r="Y164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46">
        <f>IF(Table1[[#This Row],[Ask Rate]]=0,0,Table1[[#This Row],[Face Value]]-Table1[[#This Row],[Ask Rate]])</f>
        <v>-15</v>
      </c>
      <c r="AA164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46">
        <f>Table1[[#This Row],[Face Value]]*Table1[[#This Row],[Rate]]*Table1[[#This Row],[Time]]</f>
        <v>0</v>
      </c>
      <c r="AC1646">
        <f>Table1[[#This Row],[SI]]+Table1[[#This Row],[Disc/Prem]]</f>
        <v>-15</v>
      </c>
      <c r="AD1646" s="3">
        <f>Table1[[#This Row],[Net Gain]]/Table1[[#This Row],[Ask Rate]]</f>
        <v>-1.4778325123152709E-2</v>
      </c>
      <c r="AE1646" s="3">
        <f ca="1">IF(Table1[[#This Row],[Ask Qty]]=0,0,Table1[[#This Row],[Gross Yield]]*365/Table1[[#This Row],[Days Left]])</f>
        <v>-3.8255948013835021E-2</v>
      </c>
      <c r="AF1646" s="9">
        <f>+Table1[[#This Row],[Net Gain]]*Table1[[#This Row],[Ask Qty]]</f>
        <v>-375</v>
      </c>
      <c r="AG1646" t="str">
        <f ca="1">IF(Table1[[#This Row],[YTM]]&gt;0.12,IF(Table1[[#This Row],[Gross Profit]]&gt;10000,"Invest","Review"),"Low YTM")</f>
        <v>Low YTM</v>
      </c>
    </row>
    <row r="1647" spans="1:33" x14ac:dyDescent="0.3">
      <c r="A1647" t="str">
        <f>RTD("nest.scriprtd",,"bse_cm|948SCL26","Symbol")</f>
        <v>948SCL26</v>
      </c>
      <c r="B1647" t="str">
        <f>RTD("nest.scriprtd",,"bse_cm|948SCL26","Trading Symbol")</f>
        <v>948SCL26</v>
      </c>
      <c r="C1647" t="str">
        <f>RTD("nest.scriprtd",,"bse_cm|948SCL26","Exchange")</f>
        <v>BSE</v>
      </c>
      <c r="D1647">
        <f>RTD("nest.scriprtd",,"bse_cm|948SCL26","Bid Qty")</f>
        <v>12</v>
      </c>
      <c r="E1647">
        <f>RTD("nest.scriprtd",,"bse_cm|948SCL26","Bid Rate")</f>
        <v>700.5</v>
      </c>
      <c r="F1647">
        <f>RTD("nest.scriprtd",,"bse_cm|948SCL26","Ask Rate")</f>
        <v>857.98</v>
      </c>
      <c r="G1647">
        <f>RTD("nest.scriprtd",,"bse_cm|948SCL26","Ask Qty")</f>
        <v>25</v>
      </c>
      <c r="H1647">
        <f>RTD("nest.scriprtd",,"bse_cm|948SCL26","LTP")</f>
        <v>0</v>
      </c>
      <c r="I1647" t="str">
        <f>RTD("nest.scriprtd",,"bse_cm|948SCL26","LTT")</f>
        <v>00:00:00</v>
      </c>
      <c r="J1647">
        <f>RTD("nest.scriprtd",,"bse_cm|948SCL26","% Change")</f>
        <v>-100</v>
      </c>
      <c r="K1647">
        <f>RTD("nest.scriprtd",,"bse_cm|948SCL26","ATP")</f>
        <v>0</v>
      </c>
      <c r="L1647">
        <f>RTD("nest.scriprtd",,"bse_cm|948SCL26","Volume Traded Today")</f>
        <v>0</v>
      </c>
      <c r="M1647">
        <f>RTD("nest.scriprtd",,"bse_cm|948SCL26","Open")</f>
        <v>0</v>
      </c>
      <c r="N1647">
        <f>RTD("nest.scriprtd",,"bse_cm|948SCL26","High")</f>
        <v>858</v>
      </c>
      <c r="O1647">
        <f>RTD("nest.scriprtd",,"bse_cm|948SCL26","Low ")</f>
        <v>858</v>
      </c>
      <c r="P1647">
        <f>RTD("nest.scriprtd",,"bse_cm|948SCL26","Prev Close")</f>
        <v>858</v>
      </c>
      <c r="Q1647">
        <f>RTD("nest.scriprtd",,"bse_cm|948SCL26","Face Value")</f>
        <v>667</v>
      </c>
      <c r="R1647" t="str">
        <f>RTD("nest.scriprtd",,"bse_cm|948SCL26","Isin code")</f>
        <v>INE148I07PZ4</v>
      </c>
      <c r="S1647" s="9">
        <f>Table1[[#This Row],[Ask Rate]]*Table1[[#This Row],[Ask Qty]]</f>
        <v>21449.5</v>
      </c>
      <c r="T1647">
        <f>VLOOKUP(Table1[[#This Row],[Isin code]],Table2[#All],7,FALSE)</f>
        <v>9.48</v>
      </c>
      <c r="U1647" s="17" t="str">
        <f>VLOOKUP(Table1[[#This Row],[Isin code]],Table2[#All],8,FALSE)</f>
        <v>26-Sep-2026</v>
      </c>
      <c r="V1647" s="10">
        <f ca="1">Table1[[#This Row],[Maturity]]-TODAY()</f>
        <v>710</v>
      </c>
      <c r="W1647" t="str">
        <f>VLOOKUP(Table1[[#This Row],[Isin code]],Table2[#All],10,FALSE)</f>
        <v>Monthly</v>
      </c>
      <c r="X1647">
        <f ca="1">_xlfn.DAYS(Table1[[#This Row],[Maturity]],TODAY())-15</f>
        <v>695</v>
      </c>
      <c r="Y16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1647">
        <f>IF(Table1[[#This Row],[Ask Rate]]=0,0,Table1[[#This Row],[Face Value]]-Table1[[#This Row],[Ask Rate]])</f>
        <v>-190.98000000000002</v>
      </c>
      <c r="AA1647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1647">
        <f ca="1">Table1[[#This Row],[Face Value]]*Table1[[#This Row],[Rate]]*Table1[[#This Row],[Time]]</f>
        <v>126.4632</v>
      </c>
      <c r="AC1647">
        <f ca="1">Table1[[#This Row],[SI]]+Table1[[#This Row],[Disc/Prem]]</f>
        <v>-64.516800000000018</v>
      </c>
      <c r="AD1647" s="3">
        <f ca="1">Table1[[#This Row],[Net Gain]]/Table1[[#This Row],[Ask Rate]]</f>
        <v>-7.5196158418611173E-2</v>
      </c>
      <c r="AE1647" s="3">
        <f ca="1">IF(Table1[[#This Row],[Ask Qty]]=0,0,Table1[[#This Row],[Gross Yield]]*365/Table1[[#This Row],[Days Left]])</f>
        <v>-3.8657180032102924E-2</v>
      </c>
      <c r="AF1647" s="9">
        <f ca="1">+Table1[[#This Row],[Net Gain]]*Table1[[#This Row],[Ask Qty]]</f>
        <v>-1612.9200000000005</v>
      </c>
      <c r="AG1647" t="str">
        <f ca="1">IF(Table1[[#This Row],[YTM]]&gt;0.12,IF(Table1[[#This Row],[Gross Profit]]&gt;10000,"Invest","Review"),"Low YTM")</f>
        <v>Low YTM</v>
      </c>
    </row>
    <row r="1648" spans="1:33" x14ac:dyDescent="0.3">
      <c r="A1648" t="str">
        <f>RTD("nest.scriprtd",,"bse_cm|IML28C","Symbol")</f>
        <v>IML28C</v>
      </c>
      <c r="B1648" t="str">
        <f>RTD("nest.scriprtd",,"bse_cm|IML28C","Trading Symbol")</f>
        <v>IML28C</v>
      </c>
      <c r="C1648" t="str">
        <f>RTD("nest.scriprtd",,"bse_cm|IML28C","Exchange")</f>
        <v>BSE</v>
      </c>
      <c r="D1648">
        <f>RTD("nest.scriprtd",,"bse_cm|IML28C","Bid Qty")</f>
        <v>1</v>
      </c>
      <c r="E1648">
        <f>RTD("nest.scriprtd",,"bse_cm|IML28C","Bid Rate")</f>
        <v>1163.83</v>
      </c>
      <c r="F1648">
        <f>RTD("nest.scriprtd",,"bse_cm|IML28C","Ask Rate")</f>
        <v>1192</v>
      </c>
      <c r="G1648">
        <f>RTD("nest.scriprtd",,"bse_cm|IML28C","Ask Qty")</f>
        <v>20</v>
      </c>
      <c r="H1648">
        <f>RTD("nest.scriprtd",,"bse_cm|IML28C","LTP")</f>
        <v>1192</v>
      </c>
      <c r="I1648" t="str">
        <f>RTD("nest.scriprtd",,"bse_cm|IML28C","LTT")</f>
        <v>10:23:35</v>
      </c>
      <c r="J1648">
        <f>RTD("nest.scriprtd",,"bse_cm|IML28C","% Change")</f>
        <v>-0.57999999999999996</v>
      </c>
      <c r="K1648">
        <f>RTD("nest.scriprtd",,"bse_cm|IML28C","ATP")</f>
        <v>1169.99</v>
      </c>
      <c r="L1648">
        <f>RTD("nest.scriprtd",,"bse_cm|IML28C","Volume Traded Today")</f>
        <v>580</v>
      </c>
      <c r="M1648">
        <f>RTD("nest.scriprtd",,"bse_cm|IML28C","Open")</f>
        <v>1170</v>
      </c>
      <c r="N1648">
        <f>RTD("nest.scriprtd",,"bse_cm|IML28C","High")</f>
        <v>1198.01</v>
      </c>
      <c r="O1648">
        <f>RTD("nest.scriprtd",,"bse_cm|IML28C","Low ")</f>
        <v>1169.99</v>
      </c>
      <c r="P1648">
        <f>RTD("nest.scriprtd",,"bse_cm|IML28C","Prev Close")</f>
        <v>1199</v>
      </c>
      <c r="Q1648">
        <f>RTD("nest.scriprtd",,"bse_cm|IML28C","Face Value")</f>
        <v>1000</v>
      </c>
      <c r="R1648" t="str">
        <f>RTD("nest.scriprtd",,"bse_cm|IML28C","Isin code")</f>
        <v>INE0BUS07577</v>
      </c>
      <c r="S1648" s="9">
        <f>Table1[[#This Row],[Ask Rate]]*Table1[[#This Row],[Ask Qty]]</f>
        <v>23840</v>
      </c>
      <c r="T1648" t="str">
        <f>VLOOKUP(Table1[[#This Row],[Isin code]],Table2[#All],7,FALSE)</f>
        <v>--</v>
      </c>
      <c r="U1648" s="17" t="str">
        <f>VLOOKUP(Table1[[#This Row],[Isin code]],Table2[#All],8,FALSE)</f>
        <v>27-Nov-2028</v>
      </c>
      <c r="V1648" s="10">
        <f ca="1">Table1[[#This Row],[Maturity]]-TODAY()</f>
        <v>1503</v>
      </c>
      <c r="W1648" t="str">
        <f>VLOOKUP(Table1[[#This Row],[Isin code]],Table2[#All],10,FALSE)</f>
        <v>At the End</v>
      </c>
      <c r="X1648">
        <f ca="1">_xlfn.DAYS(Table1[[#This Row],[Maturity]],TODAY())-15</f>
        <v>1488</v>
      </c>
      <c r="Y164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48">
        <f>IF(Table1[[#This Row],[Ask Rate]]=0,0,Table1[[#This Row],[Face Value]]-Table1[[#This Row],[Ask Rate]])</f>
        <v>-192</v>
      </c>
      <c r="AA164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48">
        <f>Table1[[#This Row],[Face Value]]*Table1[[#This Row],[Rate]]*Table1[[#This Row],[Time]]</f>
        <v>0</v>
      </c>
      <c r="AC1648">
        <f>Table1[[#This Row],[SI]]+Table1[[#This Row],[Disc/Prem]]</f>
        <v>-192</v>
      </c>
      <c r="AD1648" s="3">
        <f>Table1[[#This Row],[Net Gain]]/Table1[[#This Row],[Ask Rate]]</f>
        <v>-0.16107382550335569</v>
      </c>
      <c r="AE1648" s="3">
        <f ca="1">IF(Table1[[#This Row],[Ask Qty]]=0,0,Table1[[#This Row],[Gross Yield]]*365/Table1[[#This Row],[Days Left]])</f>
        <v>-3.9116398076330557E-2</v>
      </c>
      <c r="AF1648" s="9">
        <f>+Table1[[#This Row],[Net Gain]]*Table1[[#This Row],[Ask Qty]]</f>
        <v>-3840</v>
      </c>
      <c r="AG1648" t="str">
        <f ca="1">IF(Table1[[#This Row],[YTM]]&gt;0.12,IF(Table1[[#This Row],[Gross Profit]]&gt;10000,"Invest","Review"),"Low YTM")</f>
        <v>Low YTM</v>
      </c>
    </row>
    <row r="1649" spans="1:33" x14ac:dyDescent="0.3">
      <c r="A1649" t="str">
        <f>RTD("nest.scriprtd",,"bse_cm|EFSL27A","Symbol")</f>
        <v>EFSL27A</v>
      </c>
      <c r="B1649" t="str">
        <f>RTD("nest.scriprtd",,"bse_cm|EFSL27A","Trading Symbol")</f>
        <v>EFSL27A</v>
      </c>
      <c r="C1649" t="str">
        <f>RTD("nest.scriprtd",,"bse_cm|EFSL27A","Exchange")</f>
        <v>BSE</v>
      </c>
      <c r="D1649">
        <f>RTD("nest.scriprtd",,"bse_cm|EFSL27A","Bid Qty")</f>
        <v>88</v>
      </c>
      <c r="E1649">
        <f>RTD("nest.scriprtd",,"bse_cm|EFSL27A","Bid Rate")</f>
        <v>977</v>
      </c>
      <c r="F1649">
        <f>RTD("nest.scriprtd",,"bse_cm|EFSL27A","Ask Rate")</f>
        <v>1100</v>
      </c>
      <c r="G1649">
        <f>RTD("nest.scriprtd",,"bse_cm|EFSL27A","Ask Qty")</f>
        <v>20</v>
      </c>
      <c r="H1649">
        <f>RTD("nest.scriprtd",,"bse_cm|EFSL27A","LTP")</f>
        <v>990</v>
      </c>
      <c r="I1649" t="str">
        <f>RTD("nest.scriprtd",,"bse_cm|EFSL27A","LTT")</f>
        <v>09:33:56</v>
      </c>
      <c r="J1649">
        <f>RTD("nest.scriprtd",,"bse_cm|EFSL27A","% Change")</f>
        <v>1.33</v>
      </c>
      <c r="K1649">
        <f>RTD("nest.scriprtd",,"bse_cm|EFSL27A","ATP")</f>
        <v>990</v>
      </c>
      <c r="L1649">
        <f>RTD("nest.scriprtd",,"bse_cm|EFSL27A","Volume Traded Today")</f>
        <v>10</v>
      </c>
      <c r="M1649">
        <f>RTD("nest.scriprtd",,"bse_cm|EFSL27A","Open")</f>
        <v>990</v>
      </c>
      <c r="N1649">
        <f>RTD("nest.scriprtd",,"bse_cm|EFSL27A","High")</f>
        <v>990</v>
      </c>
      <c r="O1649">
        <f>RTD("nest.scriprtd",,"bse_cm|EFSL27A","Low ")</f>
        <v>990</v>
      </c>
      <c r="P1649">
        <f>RTD("nest.scriprtd",,"bse_cm|EFSL27A","Prev Close")</f>
        <v>977</v>
      </c>
      <c r="Q1649">
        <f>RTD("nest.scriprtd",,"bse_cm|EFSL27A","Face Value")</f>
        <v>1000</v>
      </c>
      <c r="R1649" t="str">
        <f>RTD("nest.scriprtd",,"bse_cm|EFSL27A","Isin code")</f>
        <v>INE532F07EX4</v>
      </c>
      <c r="S1649" s="9">
        <f>Table1[[#This Row],[Ask Rate]]*Table1[[#This Row],[Ask Qty]]</f>
        <v>22000</v>
      </c>
      <c r="T1649" t="str">
        <f>VLOOKUP(Table1[[#This Row],[Isin code]],Table2[#All],7,FALSE)</f>
        <v>--</v>
      </c>
      <c r="U1649" s="17" t="str">
        <f>VLOOKUP(Table1[[#This Row],[Isin code]],Table2[#All],8,FALSE)</f>
        <v>29-Jan-2027</v>
      </c>
      <c r="V1649" s="10">
        <f ca="1">Table1[[#This Row],[Maturity]]-TODAY()</f>
        <v>835</v>
      </c>
      <c r="W1649" t="str">
        <f>VLOOKUP(Table1[[#This Row],[Isin code]],Table2[#All],10,FALSE)</f>
        <v>At the End</v>
      </c>
      <c r="X1649">
        <f ca="1">_xlfn.DAYS(Table1[[#This Row],[Maturity]],TODAY())-15</f>
        <v>820</v>
      </c>
      <c r="Y164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49">
        <f>IF(Table1[[#This Row],[Ask Rate]]=0,0,Table1[[#This Row],[Face Value]]-Table1[[#This Row],[Ask Rate]])</f>
        <v>-100</v>
      </c>
      <c r="AA164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49">
        <f>Table1[[#This Row],[Face Value]]*Table1[[#This Row],[Rate]]*Table1[[#This Row],[Time]]</f>
        <v>0</v>
      </c>
      <c r="AC1649">
        <f>Table1[[#This Row],[SI]]+Table1[[#This Row],[Disc/Prem]]</f>
        <v>-100</v>
      </c>
      <c r="AD1649" s="3">
        <f>Table1[[#This Row],[Net Gain]]/Table1[[#This Row],[Ask Rate]]</f>
        <v>-9.0909090909090912E-2</v>
      </c>
      <c r="AE1649" s="3">
        <f ca="1">IF(Table1[[#This Row],[Ask Qty]]=0,0,Table1[[#This Row],[Gross Yield]]*365/Table1[[#This Row],[Days Left]])</f>
        <v>-3.9738704409363092E-2</v>
      </c>
      <c r="AF1649" s="9">
        <f>+Table1[[#This Row],[Net Gain]]*Table1[[#This Row],[Ask Qty]]</f>
        <v>-2000</v>
      </c>
      <c r="AG1649" t="str">
        <f ca="1">IF(Table1[[#This Row],[YTM]]&gt;0.12,IF(Table1[[#This Row],[Gross Profit]]&gt;10000,"Invest","Review"),"Low YTM")</f>
        <v>Low YTM</v>
      </c>
    </row>
    <row r="1650" spans="1:33" x14ac:dyDescent="0.3">
      <c r="A1650" t="str">
        <f>RTD("nest.scriprtd",,"bse_cm|EFSL26C","Symbol")</f>
        <v>EFSL26C</v>
      </c>
      <c r="B1650" t="str">
        <f>RTD("nest.scriprtd",,"bse_cm|EFSL26C","Trading Symbol")</f>
        <v>EFSL26C</v>
      </c>
      <c r="C1650" t="str">
        <f>RTD("nest.scriprtd",,"bse_cm|EFSL26C","Exchange")</f>
        <v>BSE</v>
      </c>
      <c r="D1650">
        <f>RTD("nest.scriprtd",,"bse_cm|EFSL26C","Bid Qty")</f>
        <v>10</v>
      </c>
      <c r="E1650">
        <f>RTD("nest.scriprtd",,"bse_cm|EFSL26C","Bid Rate")</f>
        <v>985.35</v>
      </c>
      <c r="F1650">
        <f>RTD("nest.scriprtd",,"bse_cm|EFSL26C","Ask Rate")</f>
        <v>1076.55</v>
      </c>
      <c r="G1650">
        <f>RTD("nest.scriprtd",,"bse_cm|EFSL26C","Ask Qty")</f>
        <v>5</v>
      </c>
      <c r="H1650">
        <f>RTD("nest.scriprtd",,"bse_cm|EFSL26C","LTP")</f>
        <v>0</v>
      </c>
      <c r="I1650" t="str">
        <f>RTD("nest.scriprtd",,"bse_cm|EFSL26C","LTT")</f>
        <v>00:00:00</v>
      </c>
      <c r="J1650">
        <f>RTD("nest.scriprtd",,"bse_cm|EFSL26C","% Change")</f>
        <v>-100</v>
      </c>
      <c r="K1650">
        <f>RTD("nest.scriprtd",,"bse_cm|EFSL26C","ATP")</f>
        <v>0</v>
      </c>
      <c r="L1650">
        <f>RTD("nest.scriprtd",,"bse_cm|EFSL26C","Volume Traded Today")</f>
        <v>0</v>
      </c>
      <c r="M1650">
        <f>RTD("nest.scriprtd",,"bse_cm|EFSL26C","Open")</f>
        <v>0</v>
      </c>
      <c r="N1650">
        <f>RTD("nest.scriprtd",,"bse_cm|EFSL26C","High")</f>
        <v>1048.23</v>
      </c>
      <c r="O1650">
        <f>RTD("nest.scriprtd",,"bse_cm|EFSL26C","Low ")</f>
        <v>1042</v>
      </c>
      <c r="P1650">
        <f>RTD("nest.scriprtd",,"bse_cm|EFSL26C","Prev Close")</f>
        <v>1048.23</v>
      </c>
      <c r="Q1650">
        <f>RTD("nest.scriprtd",,"bse_cm|EFSL26C","Face Value")</f>
        <v>1000</v>
      </c>
      <c r="R1650" t="str">
        <f>RTD("nest.scriprtd",,"bse_cm|EFSL26C","Isin code")</f>
        <v>INE532F07EE4</v>
      </c>
      <c r="S1650" s="9">
        <f>Table1[[#This Row],[Ask Rate]]*Table1[[#This Row],[Ask Qty]]</f>
        <v>5382.75</v>
      </c>
      <c r="T1650" t="str">
        <f>VLOOKUP(Table1[[#This Row],[Isin code]],Table2[#All],7,FALSE)</f>
        <v>--</v>
      </c>
      <c r="U1650" s="17" t="str">
        <f>VLOOKUP(Table1[[#This Row],[Isin code]],Table2[#All],8,FALSE)</f>
        <v>21-Jul-2026</v>
      </c>
      <c r="V1650" s="10">
        <f ca="1">Table1[[#This Row],[Maturity]]-TODAY()</f>
        <v>643</v>
      </c>
      <c r="W1650" t="str">
        <f>VLOOKUP(Table1[[#This Row],[Isin code]],Table2[#All],10,FALSE)</f>
        <v>At the End</v>
      </c>
      <c r="X1650">
        <f ca="1">_xlfn.DAYS(Table1[[#This Row],[Maturity]],TODAY())-15</f>
        <v>628</v>
      </c>
      <c r="Y165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50">
        <f>IF(Table1[[#This Row],[Ask Rate]]=0,0,Table1[[#This Row],[Face Value]]-Table1[[#This Row],[Ask Rate]])</f>
        <v>-76.549999999999955</v>
      </c>
      <c r="AA165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50">
        <f>Table1[[#This Row],[Face Value]]*Table1[[#This Row],[Rate]]*Table1[[#This Row],[Time]]</f>
        <v>0</v>
      </c>
      <c r="AC1650">
        <f>Table1[[#This Row],[SI]]+Table1[[#This Row],[Disc/Prem]]</f>
        <v>-76.549999999999955</v>
      </c>
      <c r="AD1650" s="3">
        <f>Table1[[#This Row],[Net Gain]]/Table1[[#This Row],[Ask Rate]]</f>
        <v>-7.1106776276067027E-2</v>
      </c>
      <c r="AE1650" s="3">
        <f ca="1">IF(Table1[[#This Row],[Ask Qty]]=0,0,Table1[[#This Row],[Gross Yield]]*365/Table1[[#This Row],[Days Left]])</f>
        <v>-4.0363877668373974E-2</v>
      </c>
      <c r="AF1650" s="9">
        <f>+Table1[[#This Row],[Net Gain]]*Table1[[#This Row],[Ask Qty]]</f>
        <v>-382.74999999999977</v>
      </c>
      <c r="AG1650" t="str">
        <f ca="1">IF(Table1[[#This Row],[YTM]]&gt;0.12,IF(Table1[[#This Row],[Gross Profit]]&gt;10000,"Invest","Review"),"Low YTM")</f>
        <v>Low YTM</v>
      </c>
    </row>
    <row r="1651" spans="1:33" x14ac:dyDescent="0.3">
      <c r="A1651" t="str">
        <f>RTD("nest.scriprtd",,"bse_cm|MFLZC26E","Symbol")</f>
        <v>MFLZC26E</v>
      </c>
      <c r="B1651" t="str">
        <f>RTD("nest.scriprtd",,"bse_cm|MFLZC26E","Trading Symbol")</f>
        <v>MFLZC26E</v>
      </c>
      <c r="C1651" t="str">
        <f>RTD("nest.scriprtd",,"bse_cm|MFLZC26E","Exchange")</f>
        <v>BSE</v>
      </c>
      <c r="D1651">
        <f>RTD("nest.scriprtd",,"bse_cm|MFLZC26E","Bid Qty")</f>
        <v>7</v>
      </c>
      <c r="E1651">
        <f>RTD("nest.scriprtd",,"bse_cm|MFLZC26E","Bid Rate")</f>
        <v>1005.1</v>
      </c>
      <c r="F1651">
        <f>RTD("nest.scriprtd",,"bse_cm|MFLZC26E","Ask Rate")</f>
        <v>1060</v>
      </c>
      <c r="G1651">
        <f>RTD("nest.scriprtd",,"bse_cm|MFLZC26E","Ask Qty")</f>
        <v>30</v>
      </c>
      <c r="H1651">
        <f>RTD("nest.scriprtd",,"bse_cm|MFLZC26E","LTP")</f>
        <v>0</v>
      </c>
      <c r="I1651" t="str">
        <f>RTD("nest.scriprtd",,"bse_cm|MFLZC26E","LTT")</f>
        <v>00:00:00</v>
      </c>
      <c r="J1651">
        <f>RTD("nest.scriprtd",,"bse_cm|MFLZC26E","% Change")</f>
        <v>-100</v>
      </c>
      <c r="K1651">
        <f>RTD("nest.scriprtd",,"bse_cm|MFLZC26E","ATP")</f>
        <v>0</v>
      </c>
      <c r="L1651">
        <f>RTD("nest.scriprtd",,"bse_cm|MFLZC26E","Volume Traded Today")</f>
        <v>0</v>
      </c>
      <c r="M1651">
        <f>RTD("nest.scriprtd",,"bse_cm|MFLZC26E","Open")</f>
        <v>0</v>
      </c>
      <c r="N1651">
        <f>RTD("nest.scriprtd",,"bse_cm|MFLZC26E","High")</f>
        <v>1051</v>
      </c>
      <c r="O1651">
        <f>RTD("nest.scriprtd",,"bse_cm|MFLZC26E","Low ")</f>
        <v>1005.1</v>
      </c>
      <c r="P1651">
        <f>RTD("nest.scriprtd",,"bse_cm|MFLZC26E","Prev Close")</f>
        <v>1051</v>
      </c>
      <c r="Q1651">
        <f>RTD("nest.scriprtd",,"bse_cm|MFLZC26E","Face Value")</f>
        <v>1000</v>
      </c>
      <c r="R1651" t="str">
        <f>RTD("nest.scriprtd",,"bse_cm|MFLZC26E","Isin code")</f>
        <v>INE549K07DI1</v>
      </c>
      <c r="S1651" s="9">
        <f>Table1[[#This Row],[Ask Rate]]*Table1[[#This Row],[Ask Qty]]</f>
        <v>31800</v>
      </c>
      <c r="T1651" t="str">
        <f>VLOOKUP(Table1[[#This Row],[Isin code]],Table2[#All],7,FALSE)</f>
        <v>--</v>
      </c>
      <c r="U1651" s="17" t="str">
        <f>VLOOKUP(Table1[[#This Row],[Isin code]],Table2[#All],8,FALSE)</f>
        <v>31-Jan-2026</v>
      </c>
      <c r="V1651" s="10">
        <f ca="1">Table1[[#This Row],[Maturity]]-TODAY()</f>
        <v>472</v>
      </c>
      <c r="W1651" t="str">
        <f>VLOOKUP(Table1[[#This Row],[Isin code]],Table2[#All],10,FALSE)</f>
        <v>At the End</v>
      </c>
      <c r="X1651">
        <f ca="1">_xlfn.DAYS(Table1[[#This Row],[Maturity]],TODAY())-15</f>
        <v>457</v>
      </c>
      <c r="Y165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51">
        <f>IF(Table1[[#This Row],[Ask Rate]]=0,0,Table1[[#This Row],[Face Value]]-Table1[[#This Row],[Ask Rate]])</f>
        <v>-60</v>
      </c>
      <c r="AA165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51">
        <f>Table1[[#This Row],[Face Value]]*Table1[[#This Row],[Rate]]*Table1[[#This Row],[Time]]</f>
        <v>0</v>
      </c>
      <c r="AC1651">
        <f>Table1[[#This Row],[SI]]+Table1[[#This Row],[Disc/Prem]]</f>
        <v>-60</v>
      </c>
      <c r="AD1651" s="3">
        <f>Table1[[#This Row],[Net Gain]]/Table1[[#This Row],[Ask Rate]]</f>
        <v>-5.6603773584905662E-2</v>
      </c>
      <c r="AE1651" s="3">
        <f ca="1">IF(Table1[[#This Row],[Ask Qty]]=0,0,Table1[[#This Row],[Gross Yield]]*365/Table1[[#This Row],[Days Left]])</f>
        <v>-4.3771985929005441E-2</v>
      </c>
      <c r="AF1651" s="9">
        <f>+Table1[[#This Row],[Net Gain]]*Table1[[#This Row],[Ask Qty]]</f>
        <v>-1800</v>
      </c>
      <c r="AG1651" t="str">
        <f ca="1">IF(Table1[[#This Row],[YTM]]&gt;0.12,IF(Table1[[#This Row],[Gross Profit]]&gt;10000,"Invest","Review"),"Low YTM")</f>
        <v>Low YTM</v>
      </c>
    </row>
    <row r="1652" spans="1:33" hidden="1" x14ac:dyDescent="0.3">
      <c r="A1652" t="str">
        <f>RTD("nest.scriprtd",,"bse_cm|866SFL25","Symbol")</f>
        <v>866SFL25</v>
      </c>
      <c r="B1652" t="str">
        <f>RTD("nest.scriprtd",,"bse_cm|866SFL25","Trading Symbol")</f>
        <v>866SFL25</v>
      </c>
      <c r="C1652" t="str">
        <f>RTD("nest.scriprtd",,"bse_cm|866SFL25","Exchange")</f>
        <v>BSE</v>
      </c>
      <c r="D1652">
        <f>RTD("nest.scriprtd",,"bse_cm|866SFL25","Bid Qty")</f>
        <v>50</v>
      </c>
      <c r="E1652">
        <f>RTD("nest.scriprtd",,"bse_cm|866SFL25","Bid Rate")</f>
        <v>982</v>
      </c>
      <c r="F1652">
        <f>RTD("nest.scriprtd",,"bse_cm|866SFL25","Ask Rate")</f>
        <v>1035</v>
      </c>
      <c r="G1652">
        <f>RTD("nest.scriprtd",,"bse_cm|866SFL25","Ask Qty")</f>
        <v>20</v>
      </c>
      <c r="H1652">
        <f>RTD("nest.scriprtd",,"bse_cm|866SFL25","LTP")</f>
        <v>0</v>
      </c>
      <c r="I1652" t="str">
        <f>RTD("nest.scriprtd",,"bse_cm|866SFL25","LTT")</f>
        <v>00:00:00</v>
      </c>
      <c r="J1652">
        <f>RTD("nest.scriprtd",,"bse_cm|866SFL25","% Change")</f>
        <v>-100</v>
      </c>
      <c r="K1652">
        <f>RTD("nest.scriprtd",,"bse_cm|866SFL25","ATP")</f>
        <v>0</v>
      </c>
      <c r="L1652">
        <f>RTD("nest.scriprtd",,"bse_cm|866SFL25","Volume Traded Today")</f>
        <v>0</v>
      </c>
      <c r="M1652">
        <f>RTD("nest.scriprtd",,"bse_cm|866SFL25","Open")</f>
        <v>0</v>
      </c>
      <c r="N1652">
        <f>RTD("nest.scriprtd",,"bse_cm|866SFL25","High")</f>
        <v>1002</v>
      </c>
      <c r="O1652">
        <f>RTD("nest.scriprtd",,"bse_cm|866SFL25","Low ")</f>
        <v>1002</v>
      </c>
      <c r="P1652">
        <f>RTD("nest.scriprtd",,"bse_cm|866SFL25","Prev Close")</f>
        <v>1002</v>
      </c>
      <c r="Q1652">
        <f>RTD("nest.scriprtd",,"bse_cm|866SFL25","Face Value")</f>
        <v>1000</v>
      </c>
      <c r="R1652" t="str">
        <f>RTD("nest.scriprtd",,"bse_cm|866SFL25","Isin code")</f>
        <v>INE721A07PJ9</v>
      </c>
      <c r="S1652" s="9">
        <f>Table1[[#This Row],[Ask Rate]]*Table1[[#This Row],[Ask Qty]]</f>
        <v>20700</v>
      </c>
      <c r="T1652">
        <f>VLOOKUP(Table1[[#This Row],[Isin code]],Table2[#All],7,FALSE)</f>
        <v>8.66</v>
      </c>
      <c r="U1652" s="17" t="str">
        <f>VLOOKUP(Table1[[#This Row],[Isin code]],Table2[#All],8,FALSE)</f>
        <v>28-Jan-2025</v>
      </c>
      <c r="V1652" s="10">
        <f ca="1">Table1[[#This Row],[Maturity]]-TODAY()</f>
        <v>104</v>
      </c>
      <c r="W1652" t="str">
        <f>VLOOKUP(Table1[[#This Row],[Isin code]],Table2[#All],10,FALSE)</f>
        <v>Monthly</v>
      </c>
      <c r="X1652">
        <f ca="1">_xlfn.DAYS(Table1[[#This Row],[Maturity]],TODAY())-15</f>
        <v>89</v>
      </c>
      <c r="Y165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652">
        <f>IF(Table1[[#This Row],[Ask Rate]]=0,0,Table1[[#This Row],[Face Value]]-Table1[[#This Row],[Ask Rate]])</f>
        <v>-35</v>
      </c>
      <c r="AA1652">
        <f>IF(Table1[[#This Row],[Freq]]="Yearly",Table1[[#This Row],[Coupon_Rate]]/100,IF(Table1[[#This Row],[Freq]]="Monthly",Table1[[#This Row],[Coupon_Rate]]/1200,IF(Table1[[#This Row],[Freq]]="Quarterly",Table1[[#This Row],[Coupon_Rate]]/400,0)))</f>
        <v>7.2166666666666664E-3</v>
      </c>
      <c r="AB1652">
        <f ca="1">Table1[[#This Row],[Face Value]]*Table1[[#This Row],[Rate]]*Table1[[#This Row],[Time]]</f>
        <v>21.65</v>
      </c>
      <c r="AC1652">
        <f ca="1">Table1[[#This Row],[SI]]+Table1[[#This Row],[Disc/Prem]]</f>
        <v>-13.350000000000001</v>
      </c>
      <c r="AD1652" s="3">
        <f ca="1">Table1[[#This Row],[Net Gain]]/Table1[[#This Row],[Ask Rate]]</f>
        <v>-1.2898550724637683E-2</v>
      </c>
      <c r="AE1652" s="3">
        <f ca="1">IF(Table1[[#This Row],[Ask Qty]]=0,0,Table1[[#This Row],[Gross Yield]]*365/Table1[[#This Row],[Days Left]])</f>
        <v>-4.5268952062430326E-2</v>
      </c>
      <c r="AF1652" s="9">
        <f ca="1">+Table1[[#This Row],[Net Gain]]*Table1[[#This Row],[Ask Qty]]</f>
        <v>-267</v>
      </c>
      <c r="AG1652" t="str">
        <f ca="1">IF(Table1[[#This Row],[YTM]]&gt;0.12,IF(Table1[[#This Row],[Gross Profit]]&gt;10000,"Invest","Review"),"Low YTM")</f>
        <v>Low YTM</v>
      </c>
    </row>
    <row r="1653" spans="1:33" x14ac:dyDescent="0.3">
      <c r="A1653" t="str">
        <f>RTD("nest.scriprtd",,"bse_cm|707IRFC25","Symbol")</f>
        <v>707IRFC25</v>
      </c>
      <c r="B1653" t="str">
        <f>RTD("nest.scriprtd",,"bse_cm|707IRFC25","Trading Symbol")</f>
        <v>707IRFC25</v>
      </c>
      <c r="C1653" t="str">
        <f>RTD("nest.scriprtd",,"bse_cm|707IRFC25","Exchange")</f>
        <v>BSE</v>
      </c>
      <c r="D1653">
        <f>RTD("nest.scriprtd",,"bse_cm|707IRFC25","Bid Qty")</f>
        <v>100</v>
      </c>
      <c r="E1653">
        <f>RTD("nest.scriprtd",,"bse_cm|707IRFC25","Bid Rate")</f>
        <v>1001.2</v>
      </c>
      <c r="F1653">
        <f>RTD("nest.scriprtd",,"bse_cm|707IRFC25","Ask Rate")</f>
        <v>1206</v>
      </c>
      <c r="G1653">
        <f>RTD("nest.scriprtd",,"bse_cm|707IRFC25","Ask Qty")</f>
        <v>24</v>
      </c>
      <c r="H1653">
        <f>RTD("nest.scriprtd",,"bse_cm|707IRFC25","LTP")</f>
        <v>0</v>
      </c>
      <c r="I1653" t="str">
        <f>RTD("nest.scriprtd",,"bse_cm|707IRFC25","LTT")</f>
        <v>00:00:00</v>
      </c>
      <c r="J1653">
        <f>RTD("nest.scriprtd",,"bse_cm|707IRFC25","% Change")</f>
        <v>-100</v>
      </c>
      <c r="K1653">
        <f>RTD("nest.scriprtd",,"bse_cm|707IRFC25","ATP")</f>
        <v>0</v>
      </c>
      <c r="L1653">
        <f>RTD("nest.scriprtd",,"bse_cm|707IRFC25","Volume Traded Today")</f>
        <v>0</v>
      </c>
      <c r="M1653">
        <f>RTD("nest.scriprtd",,"bse_cm|707IRFC25","Open")</f>
        <v>0</v>
      </c>
      <c r="N1653">
        <f>RTD("nest.scriprtd",,"bse_cm|707IRFC25","High")</f>
        <v>1005</v>
      </c>
      <c r="O1653">
        <f>RTD("nest.scriprtd",,"bse_cm|707IRFC25","Low ")</f>
        <v>1005</v>
      </c>
      <c r="P1653">
        <f>RTD("nest.scriprtd",,"bse_cm|707IRFC25","Prev Close")</f>
        <v>1005</v>
      </c>
      <c r="Q1653">
        <f>RTD("nest.scriprtd",,"bse_cm|707IRFC25","Face Value")</f>
        <v>1000</v>
      </c>
      <c r="R1653" t="str">
        <f>RTD("nest.scriprtd",,"bse_cm|707IRFC25","Isin code")</f>
        <v>INE053F07793</v>
      </c>
      <c r="S1653" s="9">
        <f>Table1[[#This Row],[Ask Rate]]*Table1[[#This Row],[Ask Qty]]</f>
        <v>28944</v>
      </c>
      <c r="T1653">
        <f>VLOOKUP(Table1[[#This Row],[Isin code]],Table2[#All],7,FALSE)</f>
        <v>7.07</v>
      </c>
      <c r="U1653" s="17" t="str">
        <f>VLOOKUP(Table1[[#This Row],[Isin code]],Table2[#All],8,FALSE)</f>
        <v>21-Dec-2025</v>
      </c>
      <c r="V1653" s="10">
        <f ca="1">Table1[[#This Row],[Maturity]]-TODAY()</f>
        <v>431</v>
      </c>
      <c r="W1653" t="str">
        <f>VLOOKUP(Table1[[#This Row],[Isin code]],Table2[#All],10,FALSE)</f>
        <v>Yearly</v>
      </c>
      <c r="X1653">
        <f ca="1">_xlfn.DAYS(Table1[[#This Row],[Maturity]],TODAY())-15</f>
        <v>416</v>
      </c>
      <c r="Y16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653">
        <f>IF(Table1[[#This Row],[Ask Rate]]=0,0,Table1[[#This Row],[Face Value]]-Table1[[#This Row],[Ask Rate]])</f>
        <v>-206</v>
      </c>
      <c r="AA1653">
        <f>IF(Table1[[#This Row],[Freq]]="Yearly",Table1[[#This Row],[Coupon_Rate]]/100,IF(Table1[[#This Row],[Freq]]="Monthly",Table1[[#This Row],[Coupon_Rate]]/1200,IF(Table1[[#This Row],[Freq]]="Quarterly",Table1[[#This Row],[Coupon_Rate]]/400,0)))</f>
        <v>7.0699999999999999E-2</v>
      </c>
      <c r="AB1653">
        <f ca="1">Table1[[#This Row],[Face Value]]*Table1[[#This Row],[Rate]]*Table1[[#This Row],[Time]]</f>
        <v>141.4</v>
      </c>
      <c r="AC1653">
        <f ca="1">Table1[[#This Row],[SI]]+Table1[[#This Row],[Disc/Prem]]</f>
        <v>-64.599999999999994</v>
      </c>
      <c r="AD1653" s="3">
        <f ca="1">Table1[[#This Row],[Net Gain]]/Table1[[#This Row],[Ask Rate]]</f>
        <v>-5.3565505804311769E-2</v>
      </c>
      <c r="AE1653" s="3">
        <f ca="1">IF(Table1[[#This Row],[Ask Qty]]=0,0,Table1[[#This Row],[Gross Yield]]*365/Table1[[#This Row],[Days Left]])</f>
        <v>-4.5362899347038972E-2</v>
      </c>
      <c r="AF1653" s="9">
        <f ca="1">+Table1[[#This Row],[Net Gain]]*Table1[[#This Row],[Ask Qty]]</f>
        <v>-1550.3999999999999</v>
      </c>
      <c r="AG1653" t="str">
        <f ca="1">IF(Table1[[#This Row],[YTM]]&gt;0.12,IF(Table1[[#This Row],[Gross Profit]]&gt;10000,"Invest","Review"),"Low YTM")</f>
        <v>Low YTM</v>
      </c>
    </row>
    <row r="1654" spans="1:33" x14ac:dyDescent="0.3">
      <c r="A1654" t="str">
        <f>RTD("nest.scriprtd",,"bse_cm|1030IFSL26","Symbol")</f>
        <v>1030IFSL26</v>
      </c>
      <c r="B1654" t="str">
        <f>RTD("nest.scriprtd",,"bse_cm|1030IFSL26","Trading Symbol")</f>
        <v>1030IFSL26</v>
      </c>
      <c r="C1654" t="str">
        <f>RTD("nest.scriprtd",,"bse_cm|1030IFSL26","Exchange")</f>
        <v>BSE</v>
      </c>
      <c r="D1654">
        <f>RTD("nest.scriprtd",,"bse_cm|1030IFSL26","Bid Qty")</f>
        <v>100</v>
      </c>
      <c r="E1654">
        <f>RTD("nest.scriprtd",,"bse_cm|1030IFSL26","Bid Rate")</f>
        <v>1058.83</v>
      </c>
      <c r="F1654">
        <f>RTD("nest.scriprtd",,"bse_cm|1030IFSL26","Ask Rate")</f>
        <v>1107</v>
      </c>
      <c r="G1654">
        <f>RTD("nest.scriprtd",,"bse_cm|1030IFSL26","Ask Qty")</f>
        <v>100</v>
      </c>
      <c r="H1654">
        <f>RTD("nest.scriprtd",,"bse_cm|1030IFSL26","LTP")</f>
        <v>1107</v>
      </c>
      <c r="I1654" t="str">
        <f>RTD("nest.scriprtd",,"bse_cm|1030IFSL26","LTT")</f>
        <v>09:37:59</v>
      </c>
      <c r="J1654">
        <f>RTD("nest.scriprtd",,"bse_cm|1030IFSL26","% Change")</f>
        <v>9.59</v>
      </c>
      <c r="K1654">
        <f>RTD("nest.scriprtd",,"bse_cm|1030IFSL26","ATP")</f>
        <v>1035.8800000000001</v>
      </c>
      <c r="L1654">
        <f>RTD("nest.scriprtd",,"bse_cm|1030IFSL26","Volume Traded Today")</f>
        <v>198</v>
      </c>
      <c r="M1654">
        <f>RTD("nest.scriprtd",,"bse_cm|1030IFSL26","Open")</f>
        <v>1020.2</v>
      </c>
      <c r="N1654">
        <f>RTD("nest.scriprtd",,"bse_cm|1030IFSL26","High")</f>
        <v>1107</v>
      </c>
      <c r="O1654">
        <f>RTD("nest.scriprtd",,"bse_cm|1030IFSL26","Low ")</f>
        <v>1010.1</v>
      </c>
      <c r="P1654">
        <f>RTD("nest.scriprtd",,"bse_cm|1030IFSL26","Prev Close")</f>
        <v>1010.1</v>
      </c>
      <c r="Q1654">
        <f>RTD("nest.scriprtd",,"bse_cm|1030IFSL26","Face Value")</f>
        <v>1000</v>
      </c>
      <c r="R1654" t="str">
        <f>RTD("nest.scriprtd",,"bse_cm|1030IFSL26","Isin code")</f>
        <v>INE321N07368</v>
      </c>
      <c r="S1654" s="9">
        <f>Table1[[#This Row],[Ask Rate]]*Table1[[#This Row],[Ask Qty]]</f>
        <v>110700</v>
      </c>
      <c r="T1654">
        <f>VLOOKUP(Table1[[#This Row],[Isin code]],Table2[#All],7,FALSE)</f>
        <v>10.299999999999999</v>
      </c>
      <c r="U1654" s="17" t="str">
        <f>VLOOKUP(Table1[[#This Row],[Isin code]],Table2[#All],8,FALSE)</f>
        <v>10-Nov-2026</v>
      </c>
      <c r="V1654" s="10">
        <f ca="1">Table1[[#This Row],[Maturity]]-TODAY()</f>
        <v>755</v>
      </c>
      <c r="W1654" t="str">
        <f>VLOOKUP(Table1[[#This Row],[Isin code]],Table2[#All],10,FALSE)</f>
        <v>Annual</v>
      </c>
      <c r="X1654">
        <f ca="1">_xlfn.DAYS(Table1[[#This Row],[Maturity]],TODAY())-15</f>
        <v>740</v>
      </c>
      <c r="Y165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54">
        <f>IF(Table1[[#This Row],[Ask Rate]]=0,0,Table1[[#This Row],[Face Value]]-Table1[[#This Row],[Ask Rate]])</f>
        <v>-107</v>
      </c>
      <c r="AA165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54">
        <f>Table1[[#This Row],[Face Value]]*Table1[[#This Row],[Rate]]*Table1[[#This Row],[Time]]</f>
        <v>0</v>
      </c>
      <c r="AC1654">
        <f>Table1[[#This Row],[SI]]+Table1[[#This Row],[Disc/Prem]]</f>
        <v>-107</v>
      </c>
      <c r="AD1654" s="3">
        <f>Table1[[#This Row],[Net Gain]]/Table1[[#This Row],[Ask Rate]]</f>
        <v>-9.66576332429991E-2</v>
      </c>
      <c r="AE1654" s="3">
        <f ca="1">IF(Table1[[#This Row],[Ask Qty]]=0,0,Table1[[#This Row],[Gross Yield]]*365/Table1[[#This Row],[Days Left]])</f>
        <v>-4.6728524680390293E-2</v>
      </c>
      <c r="AF1654" s="9">
        <f>+Table1[[#This Row],[Net Gain]]*Table1[[#This Row],[Ask Qty]]</f>
        <v>-10700</v>
      </c>
      <c r="AG1654" t="str">
        <f ca="1">IF(Table1[[#This Row],[YTM]]&gt;0.12,IF(Table1[[#This Row],[Gross Profit]]&gt;10000,"Invest","Review"),"Low YTM")</f>
        <v>Low YTM</v>
      </c>
    </row>
    <row r="1655" spans="1:33" x14ac:dyDescent="0.3">
      <c r="A1655" t="str">
        <f>RTD("nest.scriprtd",,"bse_cm|MFL26Z","Symbol")</f>
        <v>MFL26Z</v>
      </c>
      <c r="B1655" t="str">
        <f>RTD("nest.scriprtd",,"bse_cm|MFL26Z","Trading Symbol")</f>
        <v>MFL26Z</v>
      </c>
      <c r="C1655" t="str">
        <f>RTD("nest.scriprtd",,"bse_cm|MFL26Z","Exchange")</f>
        <v>BSE</v>
      </c>
      <c r="D1655">
        <f>RTD("nest.scriprtd",,"bse_cm|MFL26Z","Bid Qty")</f>
        <v>50</v>
      </c>
      <c r="E1655">
        <f>RTD("nest.scriprtd",,"bse_cm|MFL26Z","Bid Rate")</f>
        <v>1021.22</v>
      </c>
      <c r="F1655">
        <f>RTD("nest.scriprtd",,"bse_cm|MFL26Z","Ask Rate")</f>
        <v>1110</v>
      </c>
      <c r="G1655">
        <f>RTD("nest.scriprtd",,"bse_cm|MFL26Z","Ask Qty")</f>
        <v>15</v>
      </c>
      <c r="H1655">
        <f>RTD("nest.scriprtd",,"bse_cm|MFL26Z","LTP")</f>
        <v>0</v>
      </c>
      <c r="I1655" t="str">
        <f>RTD("nest.scriprtd",,"bse_cm|MFL26Z","LTT")</f>
        <v>00:00:00</v>
      </c>
      <c r="J1655">
        <f>RTD("nest.scriprtd",,"bse_cm|MFL26Z","% Change")</f>
        <v>-100</v>
      </c>
      <c r="K1655">
        <f>RTD("nest.scriprtd",,"bse_cm|MFL26Z","ATP")</f>
        <v>0</v>
      </c>
      <c r="L1655">
        <f>RTD("nest.scriprtd",,"bse_cm|MFL26Z","Volume Traded Today")</f>
        <v>0</v>
      </c>
      <c r="M1655">
        <f>RTD("nest.scriprtd",,"bse_cm|MFL26Z","Open")</f>
        <v>0</v>
      </c>
      <c r="N1655">
        <f>RTD("nest.scriprtd",,"bse_cm|MFL26Z","High")</f>
        <v>1099.8</v>
      </c>
      <c r="O1655">
        <f>RTD("nest.scriprtd",,"bse_cm|MFL26Z","Low ")</f>
        <v>1089</v>
      </c>
      <c r="P1655">
        <f>RTD("nest.scriprtd",,"bse_cm|MFL26Z","Prev Close")</f>
        <v>1089</v>
      </c>
      <c r="Q1655">
        <f>RTD("nest.scriprtd",,"bse_cm|MFL26Z","Face Value")</f>
        <v>1000</v>
      </c>
      <c r="R1655" t="str">
        <f>RTD("nest.scriprtd",,"bse_cm|MFL26Z","Isin code")</f>
        <v>INE549K07BZ9</v>
      </c>
      <c r="S1655" s="9">
        <f>Table1[[#This Row],[Ask Rate]]*Table1[[#This Row],[Ask Qty]]</f>
        <v>16650</v>
      </c>
      <c r="T1655" t="str">
        <f>VLOOKUP(Table1[[#This Row],[Isin code]],Table2[#All],7,FALSE)</f>
        <v>--</v>
      </c>
      <c r="U1655" s="17" t="str">
        <f>VLOOKUP(Table1[[#This Row],[Isin code]],Table2[#All],8,FALSE)</f>
        <v>02-Nov-2026</v>
      </c>
      <c r="V1655" s="10">
        <f ca="1">Table1[[#This Row],[Maturity]]-TODAY()</f>
        <v>747</v>
      </c>
      <c r="W1655" t="str">
        <f>VLOOKUP(Table1[[#This Row],[Isin code]],Table2[#All],10,FALSE)</f>
        <v>At the End</v>
      </c>
      <c r="X1655">
        <f ca="1">_xlfn.DAYS(Table1[[#This Row],[Maturity]],TODAY())-15</f>
        <v>732</v>
      </c>
      <c r="Y165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55">
        <f>IF(Table1[[#This Row],[Ask Rate]]=0,0,Table1[[#This Row],[Face Value]]-Table1[[#This Row],[Ask Rate]])</f>
        <v>-110</v>
      </c>
      <c r="AA165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55">
        <f>Table1[[#This Row],[Face Value]]*Table1[[#This Row],[Rate]]*Table1[[#This Row],[Time]]</f>
        <v>0</v>
      </c>
      <c r="AC1655">
        <f>Table1[[#This Row],[SI]]+Table1[[#This Row],[Disc/Prem]]</f>
        <v>-110</v>
      </c>
      <c r="AD1655" s="3">
        <f>Table1[[#This Row],[Net Gain]]/Table1[[#This Row],[Ask Rate]]</f>
        <v>-9.90990990990991E-2</v>
      </c>
      <c r="AE1655" s="3">
        <f ca="1">IF(Table1[[#This Row],[Ask Qty]]=0,0,Table1[[#This Row],[Gross Yield]]*365/Table1[[#This Row],[Days Left]])</f>
        <v>-4.8421915891795411E-2</v>
      </c>
      <c r="AF1655" s="9">
        <f>+Table1[[#This Row],[Net Gain]]*Table1[[#This Row],[Ask Qty]]</f>
        <v>-1650</v>
      </c>
      <c r="AG1655" t="str">
        <f ca="1">IF(Table1[[#This Row],[YTM]]&gt;0.12,IF(Table1[[#This Row],[Gross Profit]]&gt;10000,"Invest","Review"),"Low YTM")</f>
        <v>Low YTM</v>
      </c>
    </row>
    <row r="1656" spans="1:33" x14ac:dyDescent="0.3">
      <c r="A1656" t="str">
        <f>RTD("nest.scriprtd",,"nse_cm|IIFLZC28C-N6","Symbol")</f>
        <v>IIFLZC28C</v>
      </c>
      <c r="B1656" t="str">
        <f>RTD("nest.scriprtd",,"nse_cm|IIFLZC28C-N6","Trading Symbol")</f>
        <v>IIFLZC28C-N6</v>
      </c>
      <c r="C1656" t="str">
        <f>RTD("nest.scriprtd",,"nse_cm|IIFLZC28C-N6","Exchange")</f>
        <v>NSE</v>
      </c>
      <c r="D1656">
        <f>RTD("nest.scriprtd",,"nse_cm|IIFLZC28C-N6","Bid Qty")</f>
        <v>50</v>
      </c>
      <c r="E1656">
        <f>RTD("nest.scriprtd",,"nse_cm|IIFLZC28C-N6","Bid Rate")</f>
        <v>1146.42</v>
      </c>
      <c r="F1656">
        <f>RTD("nest.scriprtd",,"nse_cm|IIFLZC28C-N6","Ask Rate")</f>
        <v>1250</v>
      </c>
      <c r="G1656">
        <f>RTD("nest.scriprtd",,"nse_cm|IIFLZC28C-N6","Ask Qty")</f>
        <v>25</v>
      </c>
      <c r="H1656">
        <f>RTD("nest.scriprtd",,"nse_cm|IIFLZC28C-N6","LTP")</f>
        <v>1209</v>
      </c>
      <c r="I1656" t="str">
        <f>RTD("nest.scriprtd",,"nse_cm|IIFLZC28C-N6","LTT")</f>
        <v>10:17:25</v>
      </c>
      <c r="J1656">
        <f>RTD("nest.scriprtd",,"nse_cm|IIFLZC28C-N6","% Change")</f>
        <v>1.17</v>
      </c>
      <c r="K1656">
        <f>RTD("nest.scriprtd",,"nse_cm|IIFLZC28C-N6","ATP")</f>
        <v>1209</v>
      </c>
      <c r="L1656">
        <f>RTD("nest.scriprtd",,"nse_cm|IIFLZC28C-N6","Volume Traded Today")</f>
        <v>50</v>
      </c>
      <c r="M1656">
        <f>RTD("nest.scriprtd",,"nse_cm|IIFLZC28C-N6","Open")</f>
        <v>1209</v>
      </c>
      <c r="N1656">
        <f>RTD("nest.scriprtd",,"nse_cm|IIFLZC28C-N6","High")</f>
        <v>1209</v>
      </c>
      <c r="O1656">
        <f>RTD("nest.scriprtd",,"nse_cm|IIFLZC28C-N6","Low ")</f>
        <v>1209</v>
      </c>
      <c r="P1656">
        <f>RTD("nest.scriprtd",,"nse_cm|IIFLZC28C-N6","Prev Close")</f>
        <v>1195</v>
      </c>
      <c r="Q1656">
        <f>RTD("nest.scriprtd",,"nse_cm|IIFLZC28C-N6","Face Value")</f>
        <v>1000</v>
      </c>
      <c r="R1656" t="str">
        <f>RTD("nest.scriprtd",,"nse_cm|IIFLZC28C-N6","Isin code")</f>
        <v>INE477L08162</v>
      </c>
      <c r="S1656" s="9">
        <f>Table1[[#This Row],[Ask Rate]]*Table1[[#This Row],[Ask Qty]]</f>
        <v>31250</v>
      </c>
      <c r="T1656">
        <f>VLOOKUP(Table1[[#This Row],[Isin code]],Table2[#All],7,FALSE)</f>
        <v>0</v>
      </c>
      <c r="U1656" s="17" t="str">
        <f>VLOOKUP(Table1[[#This Row],[Isin code]],Table2[#All],8,FALSE)</f>
        <v>03-Nov-2028</v>
      </c>
      <c r="V1656" s="10">
        <f ca="1">Table1[[#This Row],[Maturity]]-TODAY()</f>
        <v>1479</v>
      </c>
      <c r="W1656" t="str">
        <f>VLOOKUP(Table1[[#This Row],[Isin code]],Table2[#All],10,FALSE)</f>
        <v>Yearly</v>
      </c>
      <c r="X1656">
        <f ca="1">_xlfn.DAYS(Table1[[#This Row],[Maturity]],TODAY())-15</f>
        <v>1464</v>
      </c>
      <c r="Y165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656">
        <f>IF(Table1[[#This Row],[Ask Rate]]=0,0,Table1[[#This Row],[Face Value]]-Table1[[#This Row],[Ask Rate]])</f>
        <v>-250</v>
      </c>
      <c r="AA165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56">
        <f ca="1">Table1[[#This Row],[Face Value]]*Table1[[#This Row],[Rate]]*Table1[[#This Row],[Time]]</f>
        <v>0</v>
      </c>
      <c r="AC1656">
        <f ca="1">Table1[[#This Row],[SI]]+Table1[[#This Row],[Disc/Prem]]</f>
        <v>-250</v>
      </c>
      <c r="AD1656" s="3">
        <f ca="1">Table1[[#This Row],[Net Gain]]/Table1[[#This Row],[Ask Rate]]</f>
        <v>-0.2</v>
      </c>
      <c r="AE1656" s="3">
        <f ca="1">IF(Table1[[#This Row],[Ask Qty]]=0,0,Table1[[#This Row],[Gross Yield]]*365/Table1[[#This Row],[Days Left]])</f>
        <v>-4.9357674104124408E-2</v>
      </c>
      <c r="AF1656" s="9">
        <f ca="1">+Table1[[#This Row],[Net Gain]]*Table1[[#This Row],[Ask Qty]]</f>
        <v>-6250</v>
      </c>
      <c r="AG1656" t="str">
        <f ca="1">IF(Table1[[#This Row],[YTM]]&gt;0.12,IF(Table1[[#This Row],[Gross Profit]]&gt;10000,"Invest","Review"),"Low YTM")</f>
        <v>Low YTM</v>
      </c>
    </row>
    <row r="1657" spans="1:33" x14ac:dyDescent="0.3">
      <c r="A1657" t="str">
        <f>RTD("nest.scriprtd",,"nse_cm|10IIFLSF27-NB","Symbol")</f>
        <v>10IIFLSF27</v>
      </c>
      <c r="B1657" t="str">
        <f>RTD("nest.scriprtd",,"nse_cm|10IIFLSF27-NB","Trading Symbol")</f>
        <v>10IIFLSF27-NB</v>
      </c>
      <c r="C1657" t="str">
        <f>RTD("nest.scriprtd",,"nse_cm|10IIFLSF27-NB","Exchange")</f>
        <v>NSE</v>
      </c>
      <c r="D1657">
        <f>RTD("nest.scriprtd",,"nse_cm|10IIFLSF27-NB","Bid Qty")</f>
        <v>50</v>
      </c>
      <c r="E1657">
        <f>RTD("nest.scriprtd",,"nse_cm|10IIFLSF27-NB","Bid Rate")</f>
        <v>856</v>
      </c>
      <c r="F1657">
        <f>RTD("nest.scriprtd",,"nse_cm|10IIFLSF27-NB","Ask Rate")</f>
        <v>1155</v>
      </c>
      <c r="G1657">
        <f>RTD("nest.scriprtd",,"nse_cm|10IIFLSF27-NB","Ask Qty")</f>
        <v>15</v>
      </c>
      <c r="H1657">
        <f>RTD("nest.scriprtd",,"nse_cm|10IIFLSF27-NB","LTP")</f>
        <v>966.94</v>
      </c>
      <c r="I1657" t="str">
        <f>RTD("nest.scriprtd",,"nse_cm|10IIFLSF27-NB","LTT")</f>
        <v/>
      </c>
      <c r="J1657">
        <f>RTD("nest.scriprtd",,"nse_cm|10IIFLSF27-NB","% Change")</f>
        <v>0</v>
      </c>
      <c r="K1657">
        <f>RTD("nest.scriprtd",,"nse_cm|10IIFLSF27-NB","ATP")</f>
        <v>0</v>
      </c>
      <c r="L1657">
        <f>RTD("nest.scriprtd",,"nse_cm|10IIFLSF27-NB","Volume Traded Today")</f>
        <v>0</v>
      </c>
      <c r="M1657">
        <f>RTD("nest.scriprtd",,"nse_cm|10IIFLSF27-NB","Open")</f>
        <v>0</v>
      </c>
      <c r="N1657">
        <f>RTD("nest.scriprtd",,"nse_cm|10IIFLSF27-NB","High")</f>
        <v>966.94</v>
      </c>
      <c r="O1657">
        <f>RTD("nest.scriprtd",,"nse_cm|10IIFLSF27-NB","Low ")</f>
        <v>966.94</v>
      </c>
      <c r="P1657">
        <f>RTD("nest.scriprtd",,"nse_cm|10IIFLSF27-NB","Prev Close")</f>
        <v>966.94</v>
      </c>
      <c r="Q1657">
        <f>RTD("nest.scriprtd",,"nse_cm|10IIFLSF27-NB","Face Value")</f>
        <v>1000</v>
      </c>
      <c r="R1657" t="str">
        <f>RTD("nest.scriprtd",,"nse_cm|10IIFLSF27-NB","Isin code")</f>
        <v>INE413U07293</v>
      </c>
      <c r="S1657" s="9">
        <f>Table1[[#This Row],[Ask Rate]]*Table1[[#This Row],[Ask Qty]]</f>
        <v>17325</v>
      </c>
      <c r="T1657">
        <f>VLOOKUP(Table1[[#This Row],[Isin code]],Table2[#All],7,FALSE)</f>
        <v>10</v>
      </c>
      <c r="U1657" s="17" t="str">
        <f>VLOOKUP(Table1[[#This Row],[Isin code]],Table2[#All],8,FALSE)</f>
        <v>21-Jun-2027</v>
      </c>
      <c r="V1657" s="10">
        <f ca="1">Table1[[#This Row],[Maturity]]-TODAY()</f>
        <v>978</v>
      </c>
      <c r="W1657" t="str">
        <f>VLOOKUP(Table1[[#This Row],[Isin code]],Table2[#All],10,FALSE)</f>
        <v>Annual</v>
      </c>
      <c r="X1657">
        <f ca="1">_xlfn.DAYS(Table1[[#This Row],[Maturity]],TODAY())-15</f>
        <v>963</v>
      </c>
      <c r="Y165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57">
        <f>IF(Table1[[#This Row],[Ask Rate]]=0,0,Table1[[#This Row],[Face Value]]-Table1[[#This Row],[Ask Rate]])</f>
        <v>-155</v>
      </c>
      <c r="AA165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57">
        <f>Table1[[#This Row],[Face Value]]*Table1[[#This Row],[Rate]]*Table1[[#This Row],[Time]]</f>
        <v>0</v>
      </c>
      <c r="AC1657">
        <f>Table1[[#This Row],[SI]]+Table1[[#This Row],[Disc/Prem]]</f>
        <v>-155</v>
      </c>
      <c r="AD1657" s="3">
        <f>Table1[[#This Row],[Net Gain]]/Table1[[#This Row],[Ask Rate]]</f>
        <v>-0.13419913419913421</v>
      </c>
      <c r="AE1657" s="3">
        <f ca="1">IF(Table1[[#This Row],[Ask Qty]]=0,0,Table1[[#This Row],[Gross Yield]]*365/Table1[[#This Row],[Days Left]])</f>
        <v>-5.0084543949574629E-2</v>
      </c>
      <c r="AF1657" s="9">
        <f>+Table1[[#This Row],[Net Gain]]*Table1[[#This Row],[Ask Qty]]</f>
        <v>-2325</v>
      </c>
      <c r="AG1657" t="str">
        <f ca="1">IF(Table1[[#This Row],[YTM]]&gt;0.12,IF(Table1[[#This Row],[Gross Profit]]&gt;10000,"Invest","Review"),"Low YTM")</f>
        <v>Low YTM</v>
      </c>
    </row>
    <row r="1658" spans="1:33" x14ac:dyDescent="0.3">
      <c r="A1658" t="str">
        <f>RTD("nest.scriprtd",,"nse_cm|SCLZC26B-AY","Symbol")</f>
        <v>SCLZC26B</v>
      </c>
      <c r="B1658" t="str">
        <f>RTD("nest.scriprtd",,"nse_cm|SCLZC26B-AY","Trading Symbol")</f>
        <v>SCLZC26B-AY</v>
      </c>
      <c r="C1658" t="str">
        <f>RTD("nest.scriprtd",,"nse_cm|SCLZC26B-AY","Exchange")</f>
        <v>NSE</v>
      </c>
      <c r="D1658">
        <f>RTD("nest.scriprtd",,"nse_cm|SCLZC26B-AY","Bid Qty")</f>
        <v>7</v>
      </c>
      <c r="E1658">
        <f>RTD("nest.scriprtd",,"nse_cm|SCLZC26B-AY","Bid Rate")</f>
        <v>952</v>
      </c>
      <c r="F1658">
        <f>RTD("nest.scriprtd",,"nse_cm|SCLZC26B-AY","Ask Rate")</f>
        <v>1100</v>
      </c>
      <c r="G1658">
        <f>RTD("nest.scriprtd",,"nse_cm|SCLZC26B-AY","Ask Qty")</f>
        <v>30</v>
      </c>
      <c r="H1658">
        <f>RTD("nest.scriprtd",,"nse_cm|SCLZC26B-AY","LTP")</f>
        <v>1028</v>
      </c>
      <c r="I1658" t="str">
        <f>RTD("nest.scriprtd",,"nse_cm|SCLZC26B-AY","LTT")</f>
        <v/>
      </c>
      <c r="J1658">
        <f>RTD("nest.scriprtd",,"nse_cm|SCLZC26B-AY","% Change")</f>
        <v>0</v>
      </c>
      <c r="K1658">
        <f>RTD("nest.scriprtd",,"nse_cm|SCLZC26B-AY","ATP")</f>
        <v>0</v>
      </c>
      <c r="L1658">
        <f>RTD("nest.scriprtd",,"nse_cm|SCLZC26B-AY","Volume Traded Today")</f>
        <v>0</v>
      </c>
      <c r="M1658">
        <f>RTD("nest.scriprtd",,"nse_cm|SCLZC26B-AY","Open")</f>
        <v>0</v>
      </c>
      <c r="N1658">
        <f>RTD("nest.scriprtd",,"nse_cm|SCLZC26B-AY","High")</f>
        <v>1028</v>
      </c>
      <c r="O1658">
        <f>RTD("nest.scriprtd",,"nse_cm|SCLZC26B-AY","Low ")</f>
        <v>1028</v>
      </c>
      <c r="P1658">
        <f>RTD("nest.scriprtd",,"nse_cm|SCLZC26B-AY","Prev Close")</f>
        <v>1028</v>
      </c>
      <c r="Q1658">
        <f>RTD("nest.scriprtd",,"nse_cm|SCLZC26B-AY","Face Value")</f>
        <v>1000</v>
      </c>
      <c r="R1658" t="str">
        <f>RTD("nest.scriprtd",,"nse_cm|SCLZC26B-AY","Isin code")</f>
        <v>INE148I07OS2</v>
      </c>
      <c r="S1658" s="9">
        <f>Table1[[#This Row],[Ask Rate]]*Table1[[#This Row],[Ask Qty]]</f>
        <v>33000</v>
      </c>
      <c r="T1658" t="str">
        <f>VLOOKUP(Table1[[#This Row],[Isin code]],Table2[#All],7,FALSE)</f>
        <v>--</v>
      </c>
      <c r="U1658" s="17" t="str">
        <f>VLOOKUP(Table1[[#This Row],[Isin code]],Table2[#All],8,FALSE)</f>
        <v>27-Jul-2026</v>
      </c>
      <c r="V1658" s="10">
        <f ca="1">Table1[[#This Row],[Maturity]]-TODAY()</f>
        <v>649</v>
      </c>
      <c r="W1658" t="str">
        <f>VLOOKUP(Table1[[#This Row],[Isin code]],Table2[#All],10,FALSE)</f>
        <v>At the End</v>
      </c>
      <c r="X1658">
        <f ca="1">_xlfn.DAYS(Table1[[#This Row],[Maturity]],TODAY())-15</f>
        <v>634</v>
      </c>
      <c r="Y165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58">
        <f>IF(Table1[[#This Row],[Ask Rate]]=0,0,Table1[[#This Row],[Face Value]]-Table1[[#This Row],[Ask Rate]])</f>
        <v>-100</v>
      </c>
      <c r="AA165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58">
        <f>Table1[[#This Row],[Face Value]]*Table1[[#This Row],[Rate]]*Table1[[#This Row],[Time]]</f>
        <v>0</v>
      </c>
      <c r="AC1658">
        <f>Table1[[#This Row],[SI]]+Table1[[#This Row],[Disc/Prem]]</f>
        <v>-100</v>
      </c>
      <c r="AD1658" s="3">
        <f>Table1[[#This Row],[Net Gain]]/Table1[[#This Row],[Ask Rate]]</f>
        <v>-9.0909090909090912E-2</v>
      </c>
      <c r="AE1658" s="3">
        <f ca="1">IF(Table1[[#This Row],[Ask Qty]]=0,0,Table1[[#This Row],[Gross Yield]]*365/Table1[[#This Row],[Days Left]])</f>
        <v>-5.1127608908810754E-2</v>
      </c>
      <c r="AF1658" s="9">
        <f>+Table1[[#This Row],[Net Gain]]*Table1[[#This Row],[Ask Qty]]</f>
        <v>-3000</v>
      </c>
      <c r="AG1658" t="str">
        <f ca="1">IF(Table1[[#This Row],[YTM]]&gt;0.12,IF(Table1[[#This Row],[Gross Profit]]&gt;10000,"Invest","Review"),"Low YTM")</f>
        <v>Low YTM</v>
      </c>
    </row>
    <row r="1659" spans="1:33" x14ac:dyDescent="0.3">
      <c r="A1659" t="str">
        <f>RTD("nest.scriprtd",,"nse_cm|IIFLZC28-NG","Symbol")</f>
        <v>IIFLZC28</v>
      </c>
      <c r="B1659" t="str">
        <f>RTD("nest.scriprtd",,"nse_cm|IIFLZC28-NG","Trading Symbol")</f>
        <v>IIFLZC28-NG</v>
      </c>
      <c r="C1659" t="str">
        <f>RTD("nest.scriprtd",,"nse_cm|IIFLZC28-NG","Exchange")</f>
        <v>NSE</v>
      </c>
      <c r="D1659">
        <f>RTD("nest.scriprtd",,"nse_cm|IIFLZC28-NG","Bid Qty")</f>
        <v>5</v>
      </c>
      <c r="E1659">
        <f>RTD("nest.scriprtd",,"nse_cm|IIFLZC28-NG","Bid Rate")</f>
        <v>1225</v>
      </c>
      <c r="F1659">
        <f>RTD("nest.scriprtd",,"nse_cm|IIFLZC28-NG","Ask Rate")</f>
        <v>1246</v>
      </c>
      <c r="G1659">
        <f>RTD("nest.scriprtd",,"nse_cm|IIFLZC28-NG","Ask Qty")</f>
        <v>25</v>
      </c>
      <c r="H1659">
        <f>RTD("nest.scriprtd",,"nse_cm|IIFLZC28-NG","LTP")</f>
        <v>1224</v>
      </c>
      <c r="I1659" t="str">
        <f>RTD("nest.scriprtd",,"nse_cm|IIFLZC28-NG","LTT")</f>
        <v/>
      </c>
      <c r="J1659">
        <f>RTD("nest.scriprtd",,"nse_cm|IIFLZC28-NG","% Change")</f>
        <v>-0.16</v>
      </c>
      <c r="K1659">
        <f>RTD("nest.scriprtd",,"nse_cm|IIFLZC28-NG","ATP")</f>
        <v>0</v>
      </c>
      <c r="L1659">
        <f>RTD("nest.scriprtd",,"nse_cm|IIFLZC28-NG","Volume Traded Today")</f>
        <v>0</v>
      </c>
      <c r="M1659">
        <f>RTD("nest.scriprtd",,"nse_cm|IIFLZC28-NG","Open")</f>
        <v>0</v>
      </c>
      <c r="N1659">
        <f>RTD("nest.scriprtd",,"nse_cm|IIFLZC28-NG","High")</f>
        <v>1246</v>
      </c>
      <c r="O1659">
        <f>RTD("nest.scriprtd",,"nse_cm|IIFLZC28-NG","Low ")</f>
        <v>1224</v>
      </c>
      <c r="P1659">
        <f>RTD("nest.scriprtd",,"nse_cm|IIFLZC28-NG","Prev Close")</f>
        <v>1226</v>
      </c>
      <c r="Q1659">
        <f>RTD("nest.scriprtd",,"nse_cm|IIFLZC28-NG","Face Value")</f>
        <v>1000</v>
      </c>
      <c r="R1659" t="str">
        <f>RTD("nest.scriprtd",,"nse_cm|IIFLZC28-NG","Isin code")</f>
        <v>INE530B08110</v>
      </c>
      <c r="S1659" s="9">
        <f>Table1[[#This Row],[Ask Rate]]*Table1[[#This Row],[Ask Qty]]</f>
        <v>31150</v>
      </c>
      <c r="T1659">
        <f>VLOOKUP(Table1[[#This Row],[Isin code]],Table2[#All],7,FALSE)</f>
        <v>0</v>
      </c>
      <c r="U1659" s="17">
        <f>VLOOKUP(Table1[[#This Row],[Isin code]],Table2[#All],8,FALSE)</f>
        <v>46928</v>
      </c>
      <c r="V1659" s="10">
        <f ca="1">Table1[[#This Row],[Maturity]]-TODAY()</f>
        <v>1347</v>
      </c>
      <c r="W1659" t="str">
        <f>VLOOKUP(Table1[[#This Row],[Isin code]],Table2[#All],10,FALSE)</f>
        <v>At the End</v>
      </c>
      <c r="X1659">
        <f ca="1">_xlfn.DAYS(Table1[[#This Row],[Maturity]],TODAY())-15</f>
        <v>1332</v>
      </c>
      <c r="Y165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59">
        <f>IF(Table1[[#This Row],[Ask Rate]]=0,0,Table1[[#This Row],[Face Value]]-Table1[[#This Row],[Ask Rate]])</f>
        <v>-246</v>
      </c>
      <c r="AA165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59">
        <f>Table1[[#This Row],[Face Value]]*Table1[[#This Row],[Rate]]*Table1[[#This Row],[Time]]</f>
        <v>0</v>
      </c>
      <c r="AC1659">
        <f>Table1[[#This Row],[SI]]+Table1[[#This Row],[Disc/Prem]]</f>
        <v>-246</v>
      </c>
      <c r="AD1659" s="3">
        <f>Table1[[#This Row],[Net Gain]]/Table1[[#This Row],[Ask Rate]]</f>
        <v>-0.19743178170144463</v>
      </c>
      <c r="AE1659" s="3">
        <f ca="1">IF(Table1[[#This Row],[Ask Qty]]=0,0,Table1[[#This Row],[Gross Yield]]*365/Table1[[#This Row],[Days Left]])</f>
        <v>-5.3498589696382548E-2</v>
      </c>
      <c r="AF1659" s="9">
        <f>+Table1[[#This Row],[Net Gain]]*Table1[[#This Row],[Ask Qty]]</f>
        <v>-6150</v>
      </c>
      <c r="AG1659" t="str">
        <f ca="1">IF(Table1[[#This Row],[YTM]]&gt;0.12,IF(Table1[[#This Row],[Gross Profit]]&gt;10000,"Invest","Review"),"Low YTM")</f>
        <v>Low YTM</v>
      </c>
    </row>
    <row r="1660" spans="1:33" x14ac:dyDescent="0.3">
      <c r="A1660" t="str">
        <f>RTD("nest.scriprtd",,"bse_cm|IIFLZC28","Symbol")</f>
        <v>IIFLZC28</v>
      </c>
      <c r="B1660" t="str">
        <f>RTD("nest.scriprtd",,"bse_cm|IIFLZC28","Trading Symbol")</f>
        <v>IIFLZC28</v>
      </c>
      <c r="C1660" t="str">
        <f>RTD("nest.scriprtd",,"bse_cm|IIFLZC28","Exchange")</f>
        <v>BSE</v>
      </c>
      <c r="D1660">
        <f>RTD("nest.scriprtd",,"bse_cm|IIFLZC28","Bid Qty")</f>
        <v>7</v>
      </c>
      <c r="E1660">
        <f>RTD("nest.scriprtd",,"bse_cm|IIFLZC28","Bid Rate")</f>
        <v>1245</v>
      </c>
      <c r="F1660">
        <f>RTD("nest.scriprtd",,"bse_cm|IIFLZC28","Ask Rate")</f>
        <v>1264.83</v>
      </c>
      <c r="G1660">
        <f>RTD("nest.scriprtd",,"bse_cm|IIFLZC28","Ask Qty")</f>
        <v>20</v>
      </c>
      <c r="H1660">
        <f>RTD("nest.scriprtd",,"bse_cm|IIFLZC28","LTP")</f>
        <v>1245</v>
      </c>
      <c r="I1660" t="str">
        <f>RTD("nest.scriprtd",,"bse_cm|IIFLZC28","LTT")</f>
        <v>15:06:41</v>
      </c>
      <c r="J1660">
        <f>RTD("nest.scriprtd",,"bse_cm|IIFLZC28","% Change")</f>
        <v>-1.85</v>
      </c>
      <c r="K1660">
        <f>RTD("nest.scriprtd",,"bse_cm|IIFLZC28","ATP")</f>
        <v>0</v>
      </c>
      <c r="L1660">
        <f>RTD("nest.scriprtd",,"bse_cm|IIFLZC28","Volume Traded Today")</f>
        <v>95</v>
      </c>
      <c r="M1660">
        <f>RTD("nest.scriprtd",,"bse_cm|IIFLZC28","Open")</f>
        <v>0</v>
      </c>
      <c r="N1660">
        <f>RTD("nest.scriprtd",,"bse_cm|IIFLZC28","High")</f>
        <v>1245</v>
      </c>
      <c r="O1660">
        <f>RTD("nest.scriprtd",,"bse_cm|IIFLZC28","Low ")</f>
        <v>1245</v>
      </c>
      <c r="P1660">
        <f>RTD("nest.scriprtd",,"bse_cm|IIFLZC28","Prev Close")</f>
        <v>1268.53</v>
      </c>
      <c r="Q1660">
        <f>RTD("nest.scriprtd",,"bse_cm|IIFLZC28","Face Value")</f>
        <v>1000</v>
      </c>
      <c r="R1660" t="str">
        <f>RTD("nest.scriprtd",,"bse_cm|IIFLZC28","Isin code")</f>
        <v>INE530B08110</v>
      </c>
      <c r="S1660" s="9">
        <f>Table1[[#This Row],[Ask Rate]]*Table1[[#This Row],[Ask Qty]]</f>
        <v>25296.6</v>
      </c>
      <c r="T1660">
        <f>VLOOKUP(Table1[[#This Row],[Isin code]],Table2[#All],7,FALSE)</f>
        <v>0</v>
      </c>
      <c r="U1660" s="17">
        <f>VLOOKUP(Table1[[#This Row],[Isin code]],Table2[#All],8,FALSE)</f>
        <v>46928</v>
      </c>
      <c r="V1660" s="10">
        <f ca="1">Table1[[#This Row],[Maturity]]-TODAY()</f>
        <v>1347</v>
      </c>
      <c r="W1660" t="str">
        <f>VLOOKUP(Table1[[#This Row],[Isin code]],Table2[#All],10,FALSE)</f>
        <v>At the End</v>
      </c>
      <c r="X1660">
        <f ca="1">_xlfn.DAYS(Table1[[#This Row],[Maturity]],TODAY())-15</f>
        <v>1332</v>
      </c>
      <c r="Y166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60">
        <f>IF(Table1[[#This Row],[Ask Rate]]=0,0,Table1[[#This Row],[Face Value]]-Table1[[#This Row],[Ask Rate]])</f>
        <v>-264.82999999999993</v>
      </c>
      <c r="AA166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60">
        <f>Table1[[#This Row],[Face Value]]*Table1[[#This Row],[Rate]]*Table1[[#This Row],[Time]]</f>
        <v>0</v>
      </c>
      <c r="AC1660">
        <f>Table1[[#This Row],[SI]]+Table1[[#This Row],[Disc/Prem]]</f>
        <v>-264.82999999999993</v>
      </c>
      <c r="AD1660" s="3">
        <f>Table1[[#This Row],[Net Gain]]/Table1[[#This Row],[Ask Rate]]</f>
        <v>-0.20937991666864317</v>
      </c>
      <c r="AE1660" s="3">
        <f ca="1">IF(Table1[[#This Row],[Ask Qty]]=0,0,Table1[[#This Row],[Gross Yield]]*365/Table1[[#This Row],[Days Left]])</f>
        <v>-5.6736206075764475E-2</v>
      </c>
      <c r="AF1660" s="9">
        <f>+Table1[[#This Row],[Net Gain]]*Table1[[#This Row],[Ask Qty]]</f>
        <v>-5296.5999999999985</v>
      </c>
      <c r="AG1660" t="str">
        <f ca="1">IF(Table1[[#This Row],[YTM]]&gt;0.12,IF(Table1[[#This Row],[Gross Profit]]&gt;10000,"Invest","Review"),"Low YTM")</f>
        <v>Low YTM</v>
      </c>
    </row>
    <row r="1661" spans="1:33" x14ac:dyDescent="0.3">
      <c r="A1661" t="str">
        <f>RTD("nest.scriprtd",,"bse_cm|NIDO27","Symbol")</f>
        <v>NIDO27</v>
      </c>
      <c r="B1661" t="str">
        <f>RTD("nest.scriprtd",,"bse_cm|NIDO27","Trading Symbol")</f>
        <v>NIDO27</v>
      </c>
      <c r="C1661" t="str">
        <f>RTD("nest.scriprtd",,"bse_cm|NIDO27","Exchange")</f>
        <v>BSE</v>
      </c>
      <c r="D1661">
        <f>RTD("nest.scriprtd",,"bse_cm|NIDO27","Bid Qty")</f>
        <v>10</v>
      </c>
      <c r="E1661">
        <f>RTD("nest.scriprtd",,"bse_cm|NIDO27","Bid Rate")</f>
        <v>1087</v>
      </c>
      <c r="F1661">
        <f>RTD("nest.scriprtd",,"bse_cm|NIDO27","Ask Rate")</f>
        <v>1180.45</v>
      </c>
      <c r="G1661">
        <f>RTD("nest.scriprtd",,"bse_cm|NIDO27","Ask Qty")</f>
        <v>5</v>
      </c>
      <c r="H1661">
        <f>RTD("nest.scriprtd",,"bse_cm|NIDO27","LTP")</f>
        <v>0</v>
      </c>
      <c r="I1661" t="str">
        <f>RTD("nest.scriprtd",,"bse_cm|NIDO27","LTT")</f>
        <v>00:00:00</v>
      </c>
      <c r="J1661">
        <f>RTD("nest.scriprtd",,"bse_cm|NIDO27","% Change")</f>
        <v>-100</v>
      </c>
      <c r="K1661">
        <f>RTD("nest.scriprtd",,"bse_cm|NIDO27","ATP")</f>
        <v>0</v>
      </c>
      <c r="L1661">
        <f>RTD("nest.scriprtd",,"bse_cm|NIDO27","Volume Traded Today")</f>
        <v>0</v>
      </c>
      <c r="M1661">
        <f>RTD("nest.scriprtd",,"bse_cm|NIDO27","Open")</f>
        <v>0</v>
      </c>
      <c r="N1661">
        <f>RTD("nest.scriprtd",,"bse_cm|NIDO27","High")</f>
        <v>1152.8499999999999</v>
      </c>
      <c r="O1661">
        <f>RTD("nest.scriprtd",,"bse_cm|NIDO27","Low ")</f>
        <v>1127.0999999999999</v>
      </c>
      <c r="P1661">
        <f>RTD("nest.scriprtd",,"bse_cm|NIDO27","Prev Close")</f>
        <v>1152.8499999999999</v>
      </c>
      <c r="Q1661">
        <f>RTD("nest.scriprtd",,"bse_cm|NIDO27","Face Value")</f>
        <v>1000</v>
      </c>
      <c r="R1661" t="str">
        <f>RTD("nest.scriprtd",,"bse_cm|NIDO27","Isin code")</f>
        <v>INE530L07491</v>
      </c>
      <c r="S1661" s="9">
        <f>Table1[[#This Row],[Ask Rate]]*Table1[[#This Row],[Ask Qty]]</f>
        <v>5902.25</v>
      </c>
      <c r="T1661" t="str">
        <f>VLOOKUP(Table1[[#This Row],[Isin code]],Table2[#All],7,FALSE)</f>
        <v>--</v>
      </c>
      <c r="U1661" s="17" t="str">
        <f>VLOOKUP(Table1[[#This Row],[Isin code]],Table2[#All],8,FALSE)</f>
        <v>29-Apr-2027</v>
      </c>
      <c r="V1661" s="10">
        <f ca="1">Table1[[#This Row],[Maturity]]-TODAY()</f>
        <v>925</v>
      </c>
      <c r="W1661" t="str">
        <f>VLOOKUP(Table1[[#This Row],[Isin code]],Table2[#All],10,FALSE)</f>
        <v>At the End</v>
      </c>
      <c r="X1661">
        <f ca="1">_xlfn.DAYS(Table1[[#This Row],[Maturity]],TODAY())-15</f>
        <v>910</v>
      </c>
      <c r="Y166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61">
        <f>IF(Table1[[#This Row],[Ask Rate]]=0,0,Table1[[#This Row],[Face Value]]-Table1[[#This Row],[Ask Rate]])</f>
        <v>-180.45000000000005</v>
      </c>
      <c r="AA166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61">
        <f>Table1[[#This Row],[Face Value]]*Table1[[#This Row],[Rate]]*Table1[[#This Row],[Time]]</f>
        <v>0</v>
      </c>
      <c r="AC1661">
        <f>Table1[[#This Row],[SI]]+Table1[[#This Row],[Disc/Prem]]</f>
        <v>-180.45000000000005</v>
      </c>
      <c r="AD1661" s="3">
        <f>Table1[[#This Row],[Net Gain]]/Table1[[#This Row],[Ask Rate]]</f>
        <v>-0.15286543267398028</v>
      </c>
      <c r="AE1661" s="3">
        <f ca="1">IF(Table1[[#This Row],[Ask Qty]]=0,0,Table1[[#This Row],[Gross Yield]]*365/Table1[[#This Row],[Days Left]])</f>
        <v>-6.0319873433516545E-2</v>
      </c>
      <c r="AF1661" s="9">
        <f>+Table1[[#This Row],[Net Gain]]*Table1[[#This Row],[Ask Qty]]</f>
        <v>-902.25000000000023</v>
      </c>
      <c r="AG1661" t="str">
        <f ca="1">IF(Table1[[#This Row],[YTM]]&gt;0.12,IF(Table1[[#This Row],[Gross Profit]]&gt;10000,"Invest","Review"),"Low YTM")</f>
        <v>Low YTM</v>
      </c>
    </row>
    <row r="1662" spans="1:33" x14ac:dyDescent="0.3">
      <c r="A1662" t="str">
        <f>RTD("nest.scriprtd",,"bse_cm|714NHAI26","Symbol")</f>
        <v>714NHAI26</v>
      </c>
      <c r="B1662" t="str">
        <f>RTD("nest.scriprtd",,"bse_cm|714NHAI26","Trading Symbol")</f>
        <v>714NHAI26</v>
      </c>
      <c r="C1662" t="str">
        <f>RTD("nest.scriprtd",,"bse_cm|714NHAI26","Exchange")</f>
        <v>BSE</v>
      </c>
      <c r="D1662">
        <f>RTD("nest.scriprtd",,"bse_cm|714NHAI26","Bid Qty")</f>
        <v>100</v>
      </c>
      <c r="E1662">
        <f>RTD("nest.scriprtd",,"bse_cm|714NHAI26","Bid Rate")</f>
        <v>1050.01</v>
      </c>
      <c r="F1662">
        <f>RTD("nest.scriprtd",,"bse_cm|714NHAI26","Ask Rate")</f>
        <v>1235.5999999999999</v>
      </c>
      <c r="G1662">
        <f>RTD("nest.scriprtd",,"bse_cm|714NHAI26","Ask Qty")</f>
        <v>197</v>
      </c>
      <c r="H1662">
        <f>RTD("nest.scriprtd",,"bse_cm|714NHAI26","LTP")</f>
        <v>0</v>
      </c>
      <c r="I1662" t="str">
        <f>RTD("nest.scriprtd",,"bse_cm|714NHAI26","LTT")</f>
        <v>00:00:00</v>
      </c>
      <c r="J1662">
        <f>RTD("nest.scriprtd",,"bse_cm|714NHAI26","% Change")</f>
        <v>-100</v>
      </c>
      <c r="K1662">
        <f>RTD("nest.scriprtd",,"bse_cm|714NHAI26","ATP")</f>
        <v>0</v>
      </c>
      <c r="L1662">
        <f>RTD("nest.scriprtd",,"bse_cm|714NHAI26","Volume Traded Today")</f>
        <v>0</v>
      </c>
      <c r="M1662">
        <f>RTD("nest.scriprtd",,"bse_cm|714NHAI26","Open")</f>
        <v>0</v>
      </c>
      <c r="N1662">
        <f>RTD("nest.scriprtd",,"bse_cm|714NHAI26","High")</f>
        <v>1030</v>
      </c>
      <c r="O1662">
        <f>RTD("nest.scriprtd",,"bse_cm|714NHAI26","Low ")</f>
        <v>1030</v>
      </c>
      <c r="P1662">
        <f>RTD("nest.scriprtd",,"bse_cm|714NHAI26","Prev Close")</f>
        <v>1030</v>
      </c>
      <c r="Q1662">
        <f>RTD("nest.scriprtd",,"bse_cm|714NHAI26","Face Value")</f>
        <v>1000</v>
      </c>
      <c r="R1662" t="str">
        <f>RTD("nest.scriprtd",,"bse_cm|714NHAI26","Isin code")</f>
        <v>INE906B07EG4</v>
      </c>
      <c r="S1662" s="9">
        <f>Table1[[#This Row],[Ask Rate]]*Table1[[#This Row],[Ask Qty]]</f>
        <v>243413.19999999998</v>
      </c>
      <c r="T1662">
        <f>VLOOKUP(Table1[[#This Row],[Isin code]],Table2[#All],7,FALSE)</f>
        <v>7.14</v>
      </c>
      <c r="U1662" s="17" t="str">
        <f>VLOOKUP(Table1[[#This Row],[Isin code]],Table2[#All],8,FALSE)</f>
        <v>11-Jan-2026</v>
      </c>
      <c r="V1662" s="10">
        <f ca="1">Table1[[#This Row],[Maturity]]-TODAY()</f>
        <v>452</v>
      </c>
      <c r="W1662" t="str">
        <f>VLOOKUP(Table1[[#This Row],[Isin code]],Table2[#All],10,FALSE)</f>
        <v>Yearly</v>
      </c>
      <c r="X1662">
        <f ca="1">_xlfn.DAYS(Table1[[#This Row],[Maturity]],TODAY())-15</f>
        <v>437</v>
      </c>
      <c r="Y166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662">
        <f>IF(Table1[[#This Row],[Ask Rate]]=0,0,Table1[[#This Row],[Face Value]]-Table1[[#This Row],[Ask Rate]])</f>
        <v>-235.59999999999991</v>
      </c>
      <c r="AA1662">
        <f>IF(Table1[[#This Row],[Freq]]="Yearly",Table1[[#This Row],[Coupon_Rate]]/100,IF(Table1[[#This Row],[Freq]]="Monthly",Table1[[#This Row],[Coupon_Rate]]/1200,IF(Table1[[#This Row],[Freq]]="Quarterly",Table1[[#This Row],[Coupon_Rate]]/400,0)))</f>
        <v>7.1399999999999991E-2</v>
      </c>
      <c r="AB1662">
        <f ca="1">Table1[[#This Row],[Face Value]]*Table1[[#This Row],[Rate]]*Table1[[#This Row],[Time]]</f>
        <v>142.79999999999998</v>
      </c>
      <c r="AC1662">
        <f ca="1">Table1[[#This Row],[SI]]+Table1[[#This Row],[Disc/Prem]]</f>
        <v>-92.799999999999926</v>
      </c>
      <c r="AD1662" s="3">
        <f ca="1">Table1[[#This Row],[Net Gain]]/Table1[[#This Row],[Ask Rate]]</f>
        <v>-7.5105212042732225E-2</v>
      </c>
      <c r="AE1662" s="3">
        <f ca="1">IF(Table1[[#This Row],[Ask Qty]]=0,0,Table1[[#This Row],[Gross Yield]]*365/Table1[[#This Row],[Days Left]])</f>
        <v>-6.0649120344241733E-2</v>
      </c>
      <c r="AF1662" s="9">
        <f ca="1">+Table1[[#This Row],[Net Gain]]*Table1[[#This Row],[Ask Qty]]</f>
        <v>-18281.599999999984</v>
      </c>
      <c r="AG1662" t="str">
        <f ca="1">IF(Table1[[#This Row],[YTM]]&gt;0.12,IF(Table1[[#This Row],[Gross Profit]]&gt;10000,"Invest","Review"),"Low YTM")</f>
        <v>Low YTM</v>
      </c>
    </row>
    <row r="1663" spans="1:33" x14ac:dyDescent="0.3">
      <c r="A1663" t="str">
        <f>RTD("nest.scriprtd",,"bse_cm|IFL190424","Symbol")</f>
        <v>IFL190424</v>
      </c>
      <c r="B1663" t="str">
        <f>RTD("nest.scriprtd",,"bse_cm|IFL190424","Trading Symbol")</f>
        <v>IFL190424</v>
      </c>
      <c r="C1663" t="str">
        <f>RTD("nest.scriprtd",,"bse_cm|IFL190424","Exchange")</f>
        <v>BSE</v>
      </c>
      <c r="D1663">
        <f>RTD("nest.scriprtd",,"bse_cm|IFL190424","Bid Qty")</f>
        <v>20</v>
      </c>
      <c r="E1663">
        <f>RTD("nest.scriprtd",,"bse_cm|IFL190424","Bid Rate")</f>
        <v>880.2</v>
      </c>
      <c r="F1663">
        <f>RTD("nest.scriprtd",,"bse_cm|IFL190424","Ask Rate")</f>
        <v>1040</v>
      </c>
      <c r="G1663">
        <f>RTD("nest.scriprtd",,"bse_cm|IFL190424","Ask Qty")</f>
        <v>215</v>
      </c>
      <c r="H1663">
        <f>RTD("nest.scriprtd",,"bse_cm|IFL190424","LTP")</f>
        <v>0</v>
      </c>
      <c r="I1663" t="str">
        <f>RTD("nest.scriprtd",,"bse_cm|IFL190424","LTT")</f>
        <v>00:00:00</v>
      </c>
      <c r="J1663">
        <f>RTD("nest.scriprtd",,"bse_cm|IFL190424","% Change")</f>
        <v>-100</v>
      </c>
      <c r="K1663">
        <f>RTD("nest.scriprtd",,"bse_cm|IFL190424","ATP")</f>
        <v>0</v>
      </c>
      <c r="L1663">
        <f>RTD("nest.scriprtd",,"bse_cm|IFL190424","Volume Traded Today")</f>
        <v>0</v>
      </c>
      <c r="M1663">
        <f>RTD("nest.scriprtd",,"bse_cm|IFL190424","Open")</f>
        <v>0</v>
      </c>
      <c r="N1663">
        <f>RTD("nest.scriprtd",,"bse_cm|IFL190424","High")</f>
        <v>1015</v>
      </c>
      <c r="O1663">
        <f>RTD("nest.scriprtd",,"bse_cm|IFL190424","Low ")</f>
        <v>1010</v>
      </c>
      <c r="P1663">
        <f>RTD("nest.scriprtd",,"bse_cm|IFL190424","Prev Close")</f>
        <v>1010</v>
      </c>
      <c r="Q1663">
        <f>RTD("nest.scriprtd",,"bse_cm|IFL190424","Face Value")</f>
        <v>1000</v>
      </c>
      <c r="R1663" t="str">
        <f>RTD("nest.scriprtd",,"bse_cm|IFL190424","Isin code")</f>
        <v>INE01CY077U7</v>
      </c>
      <c r="S1663" s="9">
        <f>Table1[[#This Row],[Ask Rate]]*Table1[[#This Row],[Ask Qty]]</f>
        <v>223600</v>
      </c>
      <c r="T1663" t="str">
        <f>VLOOKUP(Table1[[#This Row],[Isin code]],Table2[#All],7,FALSE)</f>
        <v>--</v>
      </c>
      <c r="U1663" s="17" t="str">
        <f>VLOOKUP(Table1[[#This Row],[Isin code]],Table2[#All],8,FALSE)</f>
        <v>19-May-2025</v>
      </c>
      <c r="V1663" s="10">
        <f ca="1">Table1[[#This Row],[Maturity]]-TODAY()</f>
        <v>215</v>
      </c>
      <c r="W1663" t="str">
        <f>VLOOKUP(Table1[[#This Row],[Isin code]],Table2[#All],10,FALSE)</f>
        <v>At the End</v>
      </c>
      <c r="X1663">
        <f ca="1">_xlfn.DAYS(Table1[[#This Row],[Maturity]],TODAY())-15</f>
        <v>200</v>
      </c>
      <c r="Y166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63">
        <f>IF(Table1[[#This Row],[Ask Rate]]=0,0,Table1[[#This Row],[Face Value]]-Table1[[#This Row],[Ask Rate]])</f>
        <v>-40</v>
      </c>
      <c r="AA166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63">
        <f>Table1[[#This Row],[Face Value]]*Table1[[#This Row],[Rate]]*Table1[[#This Row],[Time]]</f>
        <v>0</v>
      </c>
      <c r="AC1663">
        <f>Table1[[#This Row],[SI]]+Table1[[#This Row],[Disc/Prem]]</f>
        <v>-40</v>
      </c>
      <c r="AD1663" s="3">
        <f>Table1[[#This Row],[Net Gain]]/Table1[[#This Row],[Ask Rate]]</f>
        <v>-3.8461538461538464E-2</v>
      </c>
      <c r="AE1663" s="3">
        <f ca="1">IF(Table1[[#This Row],[Ask Qty]]=0,0,Table1[[#This Row],[Gross Yield]]*365/Table1[[#This Row],[Days Left]])</f>
        <v>-6.5295169946332748E-2</v>
      </c>
      <c r="AF1663" s="9">
        <f>+Table1[[#This Row],[Net Gain]]*Table1[[#This Row],[Ask Qty]]</f>
        <v>-8600</v>
      </c>
      <c r="AG1663" t="str">
        <f ca="1">IF(Table1[[#This Row],[YTM]]&gt;0.12,IF(Table1[[#This Row],[Gross Profit]]&gt;10000,"Invest","Review"),"Low YTM")</f>
        <v>Low YTM</v>
      </c>
    </row>
    <row r="1664" spans="1:33" x14ac:dyDescent="0.3">
      <c r="A1664" t="str">
        <f>RTD("nest.scriprtd",,"bse_cm|MFL25E","Symbol")</f>
        <v>MFL25E</v>
      </c>
      <c r="B1664" t="str">
        <f>RTD("nest.scriprtd",,"bse_cm|MFL25E","Trading Symbol")</f>
        <v>MFL25E</v>
      </c>
      <c r="C1664" t="str">
        <f>RTD("nest.scriprtd",,"bse_cm|MFL25E","Exchange")</f>
        <v>BSE</v>
      </c>
      <c r="D1664">
        <f>RTD("nest.scriprtd",,"bse_cm|MFL25E","Bid Qty")</f>
        <v>25</v>
      </c>
      <c r="E1664">
        <f>RTD("nest.scriprtd",,"bse_cm|MFL25E","Bid Rate")</f>
        <v>1045</v>
      </c>
      <c r="F1664">
        <f>RTD("nest.scriprtd",,"bse_cm|MFL25E","Ask Rate")</f>
        <v>1074</v>
      </c>
      <c r="G1664">
        <f>RTD("nest.scriprtd",,"bse_cm|MFL25E","Ask Qty")</f>
        <v>39</v>
      </c>
      <c r="H1664">
        <f>RTD("nest.scriprtd",,"bse_cm|MFL25E","LTP")</f>
        <v>0</v>
      </c>
      <c r="I1664" t="str">
        <f>RTD("nest.scriprtd",,"bse_cm|MFL25E","LTT")</f>
        <v>00:00:00</v>
      </c>
      <c r="J1664">
        <f>RTD("nest.scriprtd",,"bse_cm|MFL25E","% Change")</f>
        <v>-100</v>
      </c>
      <c r="K1664">
        <f>RTD("nest.scriprtd",,"bse_cm|MFL25E","ATP")</f>
        <v>0</v>
      </c>
      <c r="L1664">
        <f>RTD("nest.scriprtd",,"bse_cm|MFL25E","Volume Traded Today")</f>
        <v>0</v>
      </c>
      <c r="M1664">
        <f>RTD("nest.scriprtd",,"bse_cm|MFL25E","Open")</f>
        <v>0</v>
      </c>
      <c r="N1664">
        <f>RTD("nest.scriprtd",,"bse_cm|MFL25E","High")</f>
        <v>1074.9000000000001</v>
      </c>
      <c r="O1664">
        <f>RTD("nest.scriprtd",,"bse_cm|MFL25E","Low ")</f>
        <v>1040</v>
      </c>
      <c r="P1664">
        <f>RTD("nest.scriprtd",,"bse_cm|MFL25E","Prev Close")</f>
        <v>1074.9000000000001</v>
      </c>
      <c r="Q1664">
        <f>RTD("nest.scriprtd",,"bse_cm|MFL25E","Face Value")</f>
        <v>1000</v>
      </c>
      <c r="R1664" t="str">
        <f>RTD("nest.scriprtd",,"bse_cm|MFL25E","Isin code")</f>
        <v>INE549K07CX2</v>
      </c>
      <c r="S1664" s="9">
        <f>Table1[[#This Row],[Ask Rate]]*Table1[[#This Row],[Ask Qty]]</f>
        <v>41886</v>
      </c>
      <c r="T1664" t="str">
        <f>VLOOKUP(Table1[[#This Row],[Isin code]],Table2[#All],7,FALSE)</f>
        <v>--</v>
      </c>
      <c r="U1664" s="17" t="str">
        <f>VLOOKUP(Table1[[#This Row],[Isin code]],Table2[#All],8,FALSE)</f>
        <v>01-Nov-2025</v>
      </c>
      <c r="V1664" s="10">
        <f ca="1">Table1[[#This Row],[Maturity]]-TODAY()</f>
        <v>381</v>
      </c>
      <c r="W1664" t="str">
        <f>VLOOKUP(Table1[[#This Row],[Isin code]],Table2[#All],10,FALSE)</f>
        <v>At the End</v>
      </c>
      <c r="X1664">
        <f ca="1">_xlfn.DAYS(Table1[[#This Row],[Maturity]],TODAY())-15</f>
        <v>366</v>
      </c>
      <c r="Y166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64">
        <f>IF(Table1[[#This Row],[Ask Rate]]=0,0,Table1[[#This Row],[Face Value]]-Table1[[#This Row],[Ask Rate]])</f>
        <v>-74</v>
      </c>
      <c r="AA166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64">
        <f>Table1[[#This Row],[Face Value]]*Table1[[#This Row],[Rate]]*Table1[[#This Row],[Time]]</f>
        <v>0</v>
      </c>
      <c r="AC1664">
        <f>Table1[[#This Row],[SI]]+Table1[[#This Row],[Disc/Prem]]</f>
        <v>-74</v>
      </c>
      <c r="AD1664" s="3">
        <f>Table1[[#This Row],[Net Gain]]/Table1[[#This Row],[Ask Rate]]</f>
        <v>-6.8901303538175043E-2</v>
      </c>
      <c r="AE1664" s="3">
        <f ca="1">IF(Table1[[#This Row],[Ask Qty]]=0,0,Table1[[#This Row],[Gross Yield]]*365/Table1[[#This Row],[Days Left]])</f>
        <v>-6.6007810476204437E-2</v>
      </c>
      <c r="AF1664" s="9">
        <f>+Table1[[#This Row],[Net Gain]]*Table1[[#This Row],[Ask Qty]]</f>
        <v>-2886</v>
      </c>
      <c r="AG1664" t="str">
        <f ca="1">IF(Table1[[#This Row],[YTM]]&gt;0.12,IF(Table1[[#This Row],[Gross Profit]]&gt;10000,"Invest","Review"),"Low YTM")</f>
        <v>Low YTM</v>
      </c>
    </row>
    <row r="1665" spans="1:33" x14ac:dyDescent="0.3">
      <c r="A1665" t="str">
        <f>RTD("nest.scriprtd",,"nse_cm|CIF27-NM","Symbol")</f>
        <v>CIF27</v>
      </c>
      <c r="B1665" t="str">
        <f>RTD("nest.scriprtd",,"nse_cm|CIF27-NM","Trading Symbol")</f>
        <v>CIF27-NM</v>
      </c>
      <c r="C1665" t="str">
        <f>RTD("nest.scriprtd",,"nse_cm|CIF27-NM","Exchange")</f>
        <v>NSE</v>
      </c>
      <c r="D1665">
        <f>RTD("nest.scriprtd",,"nse_cm|CIF27-NM","Bid Qty")</f>
        <v>10</v>
      </c>
      <c r="E1665">
        <f>RTD("nest.scriprtd",,"nse_cm|CIF27-NM","Bid Rate")</f>
        <v>1011</v>
      </c>
      <c r="F1665">
        <f>RTD("nest.scriprtd",,"nse_cm|CIF27-NM","Ask Rate")</f>
        <v>1190</v>
      </c>
      <c r="G1665">
        <f>RTD("nest.scriprtd",,"nse_cm|CIF27-NM","Ask Qty")</f>
        <v>10</v>
      </c>
      <c r="H1665">
        <f>RTD("nest.scriprtd",,"nse_cm|CIF27-NM","LTP")</f>
        <v>1000</v>
      </c>
      <c r="I1665" t="str">
        <f>RTD("nest.scriprtd",,"nse_cm|CIF27-NM","LTT")</f>
        <v/>
      </c>
      <c r="J1665">
        <f>RTD("nest.scriprtd",,"nse_cm|CIF27-NM","% Change")</f>
        <v>0</v>
      </c>
      <c r="K1665">
        <f>RTD("nest.scriprtd",,"nse_cm|CIF27-NM","ATP")</f>
        <v>0</v>
      </c>
      <c r="L1665">
        <f>RTD("nest.scriprtd",,"nse_cm|CIF27-NM","Volume Traded Today")</f>
        <v>0</v>
      </c>
      <c r="M1665">
        <f>RTD("nest.scriprtd",,"nse_cm|CIF27-NM","Open")</f>
        <v>0</v>
      </c>
      <c r="N1665">
        <f>RTD("nest.scriprtd",,"nse_cm|CIF27-NM","High")</f>
        <v>1000</v>
      </c>
      <c r="O1665">
        <f>RTD("nest.scriprtd",,"nse_cm|CIF27-NM","Low ")</f>
        <v>1000</v>
      </c>
      <c r="P1665">
        <f>RTD("nest.scriprtd",,"nse_cm|CIF27-NM","Prev Close")</f>
        <v>1000</v>
      </c>
      <c r="Q1665">
        <f>RTD("nest.scriprtd",,"nse_cm|CIF27-NM","Face Value")</f>
        <v>1000</v>
      </c>
      <c r="R1665" t="str">
        <f>RTD("nest.scriprtd",,"nse_cm|CIF27-NM","Isin code")</f>
        <v>INE121A07RS9</v>
      </c>
      <c r="S1665" s="9">
        <f>Table1[[#This Row],[Ask Rate]]*Table1[[#This Row],[Ask Qty]]</f>
        <v>11900</v>
      </c>
      <c r="T1665" t="str">
        <f>VLOOKUP(Table1[[#This Row],[Isin code]],Table2[#All],7,FALSE)</f>
        <v>--</v>
      </c>
      <c r="U1665" s="17" t="str">
        <f>VLOOKUP(Table1[[#This Row],[Isin code]],Table2[#All],8,FALSE)</f>
        <v>31-Jan-2027</v>
      </c>
      <c r="V1665" s="10">
        <f ca="1">Table1[[#This Row],[Maturity]]-TODAY()</f>
        <v>837</v>
      </c>
      <c r="W1665" t="str">
        <f>VLOOKUP(Table1[[#This Row],[Isin code]],Table2[#All],10,FALSE)</f>
        <v>At the End</v>
      </c>
      <c r="X1665">
        <f ca="1">_xlfn.DAYS(Table1[[#This Row],[Maturity]],TODAY())-15</f>
        <v>822</v>
      </c>
      <c r="Y166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65">
        <f>IF(Table1[[#This Row],[Ask Rate]]=0,0,Table1[[#This Row],[Face Value]]-Table1[[#This Row],[Ask Rate]])</f>
        <v>-190</v>
      </c>
      <c r="AA166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65">
        <f>Table1[[#This Row],[Face Value]]*Table1[[#This Row],[Rate]]*Table1[[#This Row],[Time]]</f>
        <v>0</v>
      </c>
      <c r="AC1665">
        <f>Table1[[#This Row],[SI]]+Table1[[#This Row],[Disc/Prem]]</f>
        <v>-190</v>
      </c>
      <c r="AD1665" s="3">
        <f>Table1[[#This Row],[Net Gain]]/Table1[[#This Row],[Ask Rate]]</f>
        <v>-0.15966386554621848</v>
      </c>
      <c r="AE1665" s="3">
        <f ca="1">IF(Table1[[#This Row],[Ask Qty]]=0,0,Table1[[#This Row],[Gross Yield]]*365/Table1[[#This Row],[Days Left]])</f>
        <v>-6.9626416874993713E-2</v>
      </c>
      <c r="AF1665" s="9">
        <f>+Table1[[#This Row],[Net Gain]]*Table1[[#This Row],[Ask Qty]]</f>
        <v>-1900</v>
      </c>
      <c r="AG1665" t="str">
        <f ca="1">IF(Table1[[#This Row],[YTM]]&gt;0.12,IF(Table1[[#This Row],[Gross Profit]]&gt;10000,"Invest","Review"),"Low YTM")</f>
        <v>Low YTM</v>
      </c>
    </row>
    <row r="1666" spans="1:33" x14ac:dyDescent="0.3">
      <c r="A1666" t="str">
        <f>RTD("nest.scriprtd",,"bse_cm|MFL26","Symbol")</f>
        <v>MFL26</v>
      </c>
      <c r="B1666" t="str">
        <f>RTD("nest.scriprtd",,"bse_cm|MFL26","Trading Symbol")</f>
        <v>MFL26</v>
      </c>
      <c r="C1666" t="str">
        <f>RTD("nest.scriprtd",,"bse_cm|MFL26","Exchange")</f>
        <v>BSE</v>
      </c>
      <c r="D1666">
        <f>RTD("nest.scriprtd",,"bse_cm|MFL26","Bid Qty")</f>
        <v>63</v>
      </c>
      <c r="E1666">
        <f>RTD("nest.scriprtd",,"bse_cm|MFL26","Bid Rate")</f>
        <v>1084.7</v>
      </c>
      <c r="F1666">
        <f>RTD("nest.scriprtd",,"bse_cm|MFL26","Ask Rate")</f>
        <v>1134.7</v>
      </c>
      <c r="G1666">
        <f>RTD("nest.scriprtd",,"bse_cm|MFL26","Ask Qty")</f>
        <v>50</v>
      </c>
      <c r="H1666">
        <f>RTD("nest.scriprtd",,"bse_cm|MFL26","LTP")</f>
        <v>0</v>
      </c>
      <c r="I1666" t="str">
        <f>RTD("nest.scriprtd",,"bse_cm|MFL26","LTT")</f>
        <v>00:00:00</v>
      </c>
      <c r="J1666">
        <f>RTD("nest.scriprtd",,"bse_cm|MFL26","% Change")</f>
        <v>-100</v>
      </c>
      <c r="K1666">
        <f>RTD("nest.scriprtd",,"bse_cm|MFL26","ATP")</f>
        <v>0</v>
      </c>
      <c r="L1666">
        <f>RTD("nest.scriprtd",,"bse_cm|MFL26","Volume Traded Today")</f>
        <v>0</v>
      </c>
      <c r="M1666">
        <f>RTD("nest.scriprtd",,"bse_cm|MFL26","Open")</f>
        <v>0</v>
      </c>
      <c r="N1666">
        <f>RTD("nest.scriprtd",,"bse_cm|MFL26","High")</f>
        <v>1100.69</v>
      </c>
      <c r="O1666">
        <f>RTD("nest.scriprtd",,"bse_cm|MFL26","Low ")</f>
        <v>1088</v>
      </c>
      <c r="P1666">
        <f>RTD("nest.scriprtd",,"bse_cm|MFL26","Prev Close")</f>
        <v>1088</v>
      </c>
      <c r="Q1666">
        <f>RTD("nest.scriprtd",,"bse_cm|MFL26","Face Value")</f>
        <v>1000</v>
      </c>
      <c r="R1666" t="str">
        <f>RTD("nest.scriprtd",,"bse_cm|MFL26","Isin code")</f>
        <v>INE414G07ID6</v>
      </c>
      <c r="S1666" s="9">
        <f>Table1[[#This Row],[Ask Rate]]*Table1[[#This Row],[Ask Qty]]</f>
        <v>56735</v>
      </c>
      <c r="T1666" t="str">
        <f>VLOOKUP(Table1[[#This Row],[Isin code]],Table2[#All],7,FALSE)</f>
        <v>--</v>
      </c>
      <c r="U1666" s="17" t="str">
        <f>VLOOKUP(Table1[[#This Row],[Isin code]],Table2[#All],8,FALSE)</f>
        <v>03-Jun-2026</v>
      </c>
      <c r="V1666" s="10">
        <f ca="1">Table1[[#This Row],[Maturity]]-TODAY()</f>
        <v>595</v>
      </c>
      <c r="W1666" t="str">
        <f>VLOOKUP(Table1[[#This Row],[Isin code]],Table2[#All],10,FALSE)</f>
        <v>At the End</v>
      </c>
      <c r="X1666">
        <f ca="1">_xlfn.DAYS(Table1[[#This Row],[Maturity]],TODAY())-15</f>
        <v>580</v>
      </c>
      <c r="Y166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66">
        <f>IF(Table1[[#This Row],[Ask Rate]]=0,0,Table1[[#This Row],[Face Value]]-Table1[[#This Row],[Ask Rate]])</f>
        <v>-134.70000000000005</v>
      </c>
      <c r="AA166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66">
        <f>Table1[[#This Row],[Face Value]]*Table1[[#This Row],[Rate]]*Table1[[#This Row],[Time]]</f>
        <v>0</v>
      </c>
      <c r="AC1666">
        <f>Table1[[#This Row],[SI]]+Table1[[#This Row],[Disc/Prem]]</f>
        <v>-134.70000000000005</v>
      </c>
      <c r="AD1666" s="3">
        <f>Table1[[#This Row],[Net Gain]]/Table1[[#This Row],[Ask Rate]]</f>
        <v>-0.11870979113422053</v>
      </c>
      <c r="AE1666" s="3">
        <f ca="1">IF(Table1[[#This Row],[Ask Qty]]=0,0,Table1[[#This Row],[Gross Yield]]*365/Table1[[#This Row],[Days Left]])</f>
        <v>-7.282197271258907E-2</v>
      </c>
      <c r="AF1666" s="9">
        <f>+Table1[[#This Row],[Net Gain]]*Table1[[#This Row],[Ask Qty]]</f>
        <v>-6735.0000000000018</v>
      </c>
      <c r="AG1666" t="str">
        <f ca="1">IF(Table1[[#This Row],[YTM]]&gt;0.12,IF(Table1[[#This Row],[Gross Profit]]&gt;10000,"Invest","Review"),"Low YTM")</f>
        <v>Low YTM</v>
      </c>
    </row>
    <row r="1667" spans="1:33" x14ac:dyDescent="0.3">
      <c r="A1667" t="str">
        <f>RTD("nest.scriprtd",,"bse_cm|MFL25B","Symbol")</f>
        <v>MFL25B</v>
      </c>
      <c r="B1667" t="str">
        <f>RTD("nest.scriprtd",,"bse_cm|MFL25B","Trading Symbol")</f>
        <v>MFL25B</v>
      </c>
      <c r="C1667" t="str">
        <f>RTD("nest.scriprtd",,"bse_cm|MFL25B","Exchange")</f>
        <v>BSE</v>
      </c>
      <c r="D1667">
        <f>RTD("nest.scriprtd",,"bse_cm|MFL25B","Bid Qty")</f>
        <v>170</v>
      </c>
      <c r="E1667">
        <f>RTD("nest.scriprtd",,"bse_cm|MFL25B","Bid Rate")</f>
        <v>1050.2</v>
      </c>
      <c r="F1667">
        <f>RTD("nest.scriprtd",,"bse_cm|MFL25B","Ask Rate")</f>
        <v>1073.8</v>
      </c>
      <c r="G1667">
        <f>RTD("nest.scriprtd",,"bse_cm|MFL25B","Ask Qty")</f>
        <v>85</v>
      </c>
      <c r="H1667">
        <f>RTD("nest.scriprtd",,"bse_cm|MFL25B","LTP")</f>
        <v>0</v>
      </c>
      <c r="I1667" t="str">
        <f>RTD("nest.scriprtd",,"bse_cm|MFL25B","LTT")</f>
        <v>00:00:00</v>
      </c>
      <c r="J1667">
        <f>RTD("nest.scriprtd",,"bse_cm|MFL25B","% Change")</f>
        <v>-100</v>
      </c>
      <c r="K1667">
        <f>RTD("nest.scriprtd",,"bse_cm|MFL25B","ATP")</f>
        <v>0</v>
      </c>
      <c r="L1667">
        <f>RTD("nest.scriprtd",,"bse_cm|MFL25B","Volume Traded Today")</f>
        <v>0</v>
      </c>
      <c r="M1667">
        <f>RTD("nest.scriprtd",,"bse_cm|MFL25B","Open")</f>
        <v>0</v>
      </c>
      <c r="N1667">
        <f>RTD("nest.scriprtd",,"bse_cm|MFL25B","High")</f>
        <v>1055</v>
      </c>
      <c r="O1667">
        <f>RTD("nest.scriprtd",,"bse_cm|MFL25B","Low ")</f>
        <v>1051.2</v>
      </c>
      <c r="P1667">
        <f>RTD("nest.scriprtd",,"bse_cm|MFL25B","Prev Close")</f>
        <v>1051.2</v>
      </c>
      <c r="Q1667">
        <f>RTD("nest.scriprtd",,"bse_cm|MFL25B","Face Value")</f>
        <v>1000</v>
      </c>
      <c r="R1667" t="str">
        <f>RTD("nest.scriprtd",,"bse_cm|MFL25B","Isin code")</f>
        <v>INE549K07CK9</v>
      </c>
      <c r="S1667" s="9">
        <f>Table1[[#This Row],[Ask Rate]]*Table1[[#This Row],[Ask Qty]]</f>
        <v>91273</v>
      </c>
      <c r="T1667" t="str">
        <f>VLOOKUP(Table1[[#This Row],[Isin code]],Table2[#All],7,FALSE)</f>
        <v>--</v>
      </c>
      <c r="U1667" s="17" t="str">
        <f>VLOOKUP(Table1[[#This Row],[Isin code]],Table2[#All],8,FALSE)</f>
        <v>20-Sep-2025</v>
      </c>
      <c r="V1667" s="10">
        <f ca="1">Table1[[#This Row],[Maturity]]-TODAY()</f>
        <v>339</v>
      </c>
      <c r="W1667" t="str">
        <f>VLOOKUP(Table1[[#This Row],[Isin code]],Table2[#All],10,FALSE)</f>
        <v>At the End</v>
      </c>
      <c r="X1667">
        <f ca="1">_xlfn.DAYS(Table1[[#This Row],[Maturity]],TODAY())-15</f>
        <v>324</v>
      </c>
      <c r="Y166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67">
        <f>IF(Table1[[#This Row],[Ask Rate]]=0,0,Table1[[#This Row],[Face Value]]-Table1[[#This Row],[Ask Rate]])</f>
        <v>-73.799999999999955</v>
      </c>
      <c r="AA166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67">
        <f>Table1[[#This Row],[Face Value]]*Table1[[#This Row],[Rate]]*Table1[[#This Row],[Time]]</f>
        <v>0</v>
      </c>
      <c r="AC1667">
        <f>Table1[[#This Row],[SI]]+Table1[[#This Row],[Disc/Prem]]</f>
        <v>-73.799999999999955</v>
      </c>
      <c r="AD1667" s="3">
        <f>Table1[[#This Row],[Net Gain]]/Table1[[#This Row],[Ask Rate]]</f>
        <v>-6.8727882287204278E-2</v>
      </c>
      <c r="AE1667" s="3">
        <f ca="1">IF(Table1[[#This Row],[Ask Qty]]=0,0,Table1[[#This Row],[Gross Yield]]*365/Table1[[#This Row],[Days Left]])</f>
        <v>-7.399904730038219E-2</v>
      </c>
      <c r="AF1667" s="9">
        <f>+Table1[[#This Row],[Net Gain]]*Table1[[#This Row],[Ask Qty]]</f>
        <v>-6272.9999999999964</v>
      </c>
      <c r="AG1667" t="str">
        <f ca="1">IF(Table1[[#This Row],[YTM]]&gt;0.12,IF(Table1[[#This Row],[Gross Profit]]&gt;10000,"Invest","Review"),"Low YTM")</f>
        <v>Low YTM</v>
      </c>
    </row>
    <row r="1668" spans="1:33" x14ac:dyDescent="0.3">
      <c r="A1668" t="str">
        <f>RTD("nest.scriprtd",,"bse_cm|MFL23","Symbol")</f>
        <v>MFL23</v>
      </c>
      <c r="B1668" t="str">
        <f>RTD("nest.scriprtd",,"bse_cm|MFL23","Trading Symbol")</f>
        <v>MFL23</v>
      </c>
      <c r="C1668" t="str">
        <f>RTD("nest.scriprtd",,"bse_cm|MFL23","Exchange")</f>
        <v>BSE</v>
      </c>
      <c r="D1668">
        <f>RTD("nest.scriprtd",,"bse_cm|MFL23","Bid Qty")</f>
        <v>10</v>
      </c>
      <c r="E1668">
        <f>RTD("nest.scriprtd",,"bse_cm|MFL23","Bid Rate")</f>
        <v>1095</v>
      </c>
      <c r="F1668">
        <f>RTD("nest.scriprtd",,"bse_cm|MFL23","Ask Rate")</f>
        <v>1125</v>
      </c>
      <c r="G1668">
        <f>RTD("nest.scriprtd",,"bse_cm|MFL23","Ask Qty")</f>
        <v>50</v>
      </c>
      <c r="H1668">
        <f>RTD("nest.scriprtd",,"bse_cm|MFL23","LTP")</f>
        <v>0</v>
      </c>
      <c r="I1668" t="str">
        <f>RTD("nest.scriprtd",,"bse_cm|MFL23","LTT")</f>
        <v>00:00:00</v>
      </c>
      <c r="J1668">
        <f>RTD("nest.scriprtd",,"bse_cm|MFL23","% Change")</f>
        <v>-100</v>
      </c>
      <c r="K1668">
        <f>RTD("nest.scriprtd",,"bse_cm|MFL23","ATP")</f>
        <v>0</v>
      </c>
      <c r="L1668">
        <f>RTD("nest.scriprtd",,"bse_cm|MFL23","Volume Traded Today")</f>
        <v>0</v>
      </c>
      <c r="M1668">
        <f>RTD("nest.scriprtd",,"bse_cm|MFL23","Open")</f>
        <v>0</v>
      </c>
      <c r="N1668">
        <f>RTD("nest.scriprtd",,"bse_cm|MFL23","High")</f>
        <v>1090</v>
      </c>
      <c r="O1668">
        <f>RTD("nest.scriprtd",,"bse_cm|MFL23","Low ")</f>
        <v>1090</v>
      </c>
      <c r="P1668">
        <f>RTD("nest.scriprtd",,"bse_cm|MFL23","Prev Close")</f>
        <v>1090</v>
      </c>
      <c r="Q1668">
        <f>RTD("nest.scriprtd",,"bse_cm|MFL23","Face Value")</f>
        <v>1000</v>
      </c>
      <c r="R1668" t="str">
        <f>RTD("nest.scriprtd",,"bse_cm|MFL23","Isin code")</f>
        <v>INE414G07HP2</v>
      </c>
      <c r="S1668" s="9">
        <f>Table1[[#This Row],[Ask Rate]]*Table1[[#This Row],[Ask Qty]]</f>
        <v>56250</v>
      </c>
      <c r="T1668" t="str">
        <f>VLOOKUP(Table1[[#This Row],[Isin code]],Table2[#All],7,FALSE)</f>
        <v>--</v>
      </c>
      <c r="U1668" s="17" t="str">
        <f>VLOOKUP(Table1[[#This Row],[Isin code]],Table2[#All],8,FALSE)</f>
        <v>10-Apr-2026</v>
      </c>
      <c r="V1668" s="10">
        <f ca="1">Table1[[#This Row],[Maturity]]-TODAY()</f>
        <v>541</v>
      </c>
      <c r="W1668" t="str">
        <f>VLOOKUP(Table1[[#This Row],[Isin code]],Table2[#All],10,FALSE)</f>
        <v>At the End</v>
      </c>
      <c r="X1668">
        <f ca="1">_xlfn.DAYS(Table1[[#This Row],[Maturity]],TODAY())-15</f>
        <v>526</v>
      </c>
      <c r="Y166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68">
        <f>IF(Table1[[#This Row],[Ask Rate]]=0,0,Table1[[#This Row],[Face Value]]-Table1[[#This Row],[Ask Rate]])</f>
        <v>-125</v>
      </c>
      <c r="AA166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68">
        <f>Table1[[#This Row],[Face Value]]*Table1[[#This Row],[Rate]]*Table1[[#This Row],[Time]]</f>
        <v>0</v>
      </c>
      <c r="AC1668">
        <f>Table1[[#This Row],[SI]]+Table1[[#This Row],[Disc/Prem]]</f>
        <v>-125</v>
      </c>
      <c r="AD1668" s="3">
        <f>Table1[[#This Row],[Net Gain]]/Table1[[#This Row],[Ask Rate]]</f>
        <v>-0.1111111111111111</v>
      </c>
      <c r="AE1668" s="3">
        <f ca="1">IF(Table1[[#This Row],[Ask Qty]]=0,0,Table1[[#This Row],[Gross Yield]]*365/Table1[[#This Row],[Days Left]])</f>
        <v>-7.4964058328198802E-2</v>
      </c>
      <c r="AF1668" s="9">
        <f>+Table1[[#This Row],[Net Gain]]*Table1[[#This Row],[Ask Qty]]</f>
        <v>-6250</v>
      </c>
      <c r="AG1668" t="str">
        <f ca="1">IF(Table1[[#This Row],[YTM]]&gt;0.12,IF(Table1[[#This Row],[Gross Profit]]&gt;10000,"Invest","Review"),"Low YTM")</f>
        <v>Low YTM</v>
      </c>
    </row>
    <row r="1669" spans="1:33" x14ac:dyDescent="0.3">
      <c r="A1669" t="str">
        <f>RTD("nest.scriprtd",,"bse_cm|MFL26C","Symbol")</f>
        <v>MFL26C</v>
      </c>
      <c r="B1669" t="str">
        <f>RTD("nest.scriprtd",,"bse_cm|MFL26C","Trading Symbol")</f>
        <v>MFL26C</v>
      </c>
      <c r="C1669" t="str">
        <f>RTD("nest.scriprtd",,"bse_cm|MFL26C","Exchange")</f>
        <v>BSE</v>
      </c>
      <c r="D1669">
        <f>RTD("nest.scriprtd",,"bse_cm|MFL26C","Bid Qty")</f>
        <v>7</v>
      </c>
      <c r="E1669">
        <f>RTD("nest.scriprtd",,"bse_cm|MFL26C","Bid Rate")</f>
        <v>1067.2</v>
      </c>
      <c r="F1669">
        <f>RTD("nest.scriprtd",,"bse_cm|MFL26C","Ask Rate")</f>
        <v>1125</v>
      </c>
      <c r="G1669">
        <f>RTD("nest.scriprtd",,"bse_cm|MFL26C","Ask Qty")</f>
        <v>50</v>
      </c>
      <c r="H1669">
        <f>RTD("nest.scriprtd",,"bse_cm|MFL26C","LTP")</f>
        <v>0</v>
      </c>
      <c r="I1669" t="str">
        <f>RTD("nest.scriprtd",,"bse_cm|MFL26C","LTT")</f>
        <v>00:00:00</v>
      </c>
      <c r="J1669">
        <f>RTD("nest.scriprtd",,"bse_cm|MFL26C","% Change")</f>
        <v>-100</v>
      </c>
      <c r="K1669">
        <f>RTD("nest.scriprtd",,"bse_cm|MFL26C","ATP")</f>
        <v>0</v>
      </c>
      <c r="L1669">
        <f>RTD("nest.scriprtd",,"bse_cm|MFL26C","Volume Traded Today")</f>
        <v>0</v>
      </c>
      <c r="M1669">
        <f>RTD("nest.scriprtd",,"bse_cm|MFL26C","Open")</f>
        <v>0</v>
      </c>
      <c r="N1669">
        <f>RTD("nest.scriprtd",,"bse_cm|MFL26C","High")</f>
        <v>1116</v>
      </c>
      <c r="O1669">
        <f>RTD("nest.scriprtd",,"bse_cm|MFL26C","Low ")</f>
        <v>1067.2</v>
      </c>
      <c r="P1669">
        <f>RTD("nest.scriprtd",,"bse_cm|MFL26C","Prev Close")</f>
        <v>1102.67</v>
      </c>
      <c r="Q1669">
        <f>RTD("nest.scriprtd",,"bse_cm|MFL26C","Face Value")</f>
        <v>1000</v>
      </c>
      <c r="R1669" t="str">
        <f>RTD("nest.scriprtd",,"bse_cm|MFL26C","Isin code")</f>
        <v>INE549K07BQ8</v>
      </c>
      <c r="S1669" s="9">
        <f>Table1[[#This Row],[Ask Rate]]*Table1[[#This Row],[Ask Qty]]</f>
        <v>56250</v>
      </c>
      <c r="T1669" t="str">
        <f>VLOOKUP(Table1[[#This Row],[Isin code]],Table2[#All],7,FALSE)</f>
        <v>--</v>
      </c>
      <c r="U1669" s="17" t="str">
        <f>VLOOKUP(Table1[[#This Row],[Isin code]],Table2[#All],8,FALSE)</f>
        <v>02-Apr-2026</v>
      </c>
      <c r="V1669" s="10">
        <f ca="1">Table1[[#This Row],[Maturity]]-TODAY()</f>
        <v>533</v>
      </c>
      <c r="W1669" t="str">
        <f>VLOOKUP(Table1[[#This Row],[Isin code]],Table2[#All],10,FALSE)</f>
        <v>At the End</v>
      </c>
      <c r="X1669">
        <f ca="1">_xlfn.DAYS(Table1[[#This Row],[Maturity]],TODAY())-15</f>
        <v>518</v>
      </c>
      <c r="Y166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69">
        <f>IF(Table1[[#This Row],[Ask Rate]]=0,0,Table1[[#This Row],[Face Value]]-Table1[[#This Row],[Ask Rate]])</f>
        <v>-125</v>
      </c>
      <c r="AA166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69">
        <f>Table1[[#This Row],[Face Value]]*Table1[[#This Row],[Rate]]*Table1[[#This Row],[Time]]</f>
        <v>0</v>
      </c>
      <c r="AC1669">
        <f>Table1[[#This Row],[SI]]+Table1[[#This Row],[Disc/Prem]]</f>
        <v>-125</v>
      </c>
      <c r="AD1669" s="3">
        <f>Table1[[#This Row],[Net Gain]]/Table1[[#This Row],[Ask Rate]]</f>
        <v>-0.1111111111111111</v>
      </c>
      <c r="AE1669" s="3">
        <f ca="1">IF(Table1[[#This Row],[Ask Qty]]=0,0,Table1[[#This Row],[Gross Yield]]*365/Table1[[#This Row],[Days Left]])</f>
        <v>-7.6089222430685832E-2</v>
      </c>
      <c r="AF1669" s="9">
        <f>+Table1[[#This Row],[Net Gain]]*Table1[[#This Row],[Ask Qty]]</f>
        <v>-6250</v>
      </c>
      <c r="AG1669" t="str">
        <f ca="1">IF(Table1[[#This Row],[YTM]]&gt;0.12,IF(Table1[[#This Row],[Gross Profit]]&gt;10000,"Invest","Review"),"Low YTM")</f>
        <v>Low YTM</v>
      </c>
    </row>
    <row r="1670" spans="1:33" x14ac:dyDescent="0.3">
      <c r="A1670" t="str">
        <f>RTD("nest.scriprtd",,"bse_cm|99JFPL25","Symbol")</f>
        <v>99JFPL25</v>
      </c>
      <c r="B1670" t="str">
        <f>RTD("nest.scriprtd",,"bse_cm|99JFPL25","Trading Symbol")</f>
        <v>99JFPL25</v>
      </c>
      <c r="C1670" t="str">
        <f>RTD("nest.scriprtd",,"bse_cm|99JFPL25","Exchange")</f>
        <v>BSE</v>
      </c>
      <c r="D1670">
        <f>RTD("nest.scriprtd",,"bse_cm|99JFPL25","Bid Qty")</f>
        <v>170</v>
      </c>
      <c r="E1670">
        <f>RTD("nest.scriprtd",,"bse_cm|99JFPL25","Bid Rate")</f>
        <v>1035.25</v>
      </c>
      <c r="F1670">
        <f>RTD("nest.scriprtd",,"bse_cm|99JFPL25","Ask Rate")</f>
        <v>1135.3</v>
      </c>
      <c r="G1670">
        <f>RTD("nest.scriprtd",,"bse_cm|99JFPL25","Ask Qty")</f>
        <v>100</v>
      </c>
      <c r="H1670">
        <f>RTD("nest.scriprtd",,"bse_cm|99JFPL25","LTP")</f>
        <v>0</v>
      </c>
      <c r="I1670" t="str">
        <f>RTD("nest.scriprtd",,"bse_cm|99JFPL25","LTT")</f>
        <v>00:00:00</v>
      </c>
      <c r="J1670">
        <f>RTD("nest.scriprtd",,"bse_cm|99JFPL25","% Change")</f>
        <v>-100</v>
      </c>
      <c r="K1670">
        <f>RTD("nest.scriprtd",,"bse_cm|99JFPL25","ATP")</f>
        <v>0</v>
      </c>
      <c r="L1670">
        <f>RTD("nest.scriprtd",,"bse_cm|99JFPL25","Volume Traded Today")</f>
        <v>0</v>
      </c>
      <c r="M1670">
        <f>RTD("nest.scriprtd",,"bse_cm|99JFPL25","Open")</f>
        <v>0</v>
      </c>
      <c r="N1670">
        <f>RTD("nest.scriprtd",,"bse_cm|99JFPL25","High")</f>
        <v>1020.2</v>
      </c>
      <c r="O1670">
        <f>RTD("nest.scriprtd",,"bse_cm|99JFPL25","Low ")</f>
        <v>1020.2</v>
      </c>
      <c r="P1670">
        <f>RTD("nest.scriprtd",,"bse_cm|99JFPL25","Prev Close")</f>
        <v>1020.2</v>
      </c>
      <c r="Q1670">
        <f>RTD("nest.scriprtd",,"bse_cm|99JFPL25","Face Value")</f>
        <v>1000</v>
      </c>
      <c r="R1670" t="str">
        <f>RTD("nest.scriprtd",,"bse_cm|99JFPL25","Isin code")</f>
        <v>INE523H07AZ2</v>
      </c>
      <c r="S1670" s="9">
        <f>Table1[[#This Row],[Ask Rate]]*Table1[[#This Row],[Ask Qty]]</f>
        <v>113530</v>
      </c>
      <c r="T1670">
        <f>VLOOKUP(Table1[[#This Row],[Isin code]],Table2[#All],7,FALSE)</f>
        <v>9.9</v>
      </c>
      <c r="U1670" s="17" t="str">
        <f>VLOOKUP(Table1[[#This Row],[Isin code]],Table2[#All],8,FALSE)</f>
        <v>16-Mar-2025</v>
      </c>
      <c r="V1670" s="10">
        <f ca="1">Table1[[#This Row],[Maturity]]-TODAY()</f>
        <v>151</v>
      </c>
      <c r="W1670" t="str">
        <f>VLOOKUP(Table1[[#This Row],[Isin code]],Table2[#All],10,FALSE)</f>
        <v>Yearly</v>
      </c>
      <c r="X1670">
        <f ca="1">_xlfn.DAYS(Table1[[#This Row],[Maturity]],TODAY())-15</f>
        <v>136</v>
      </c>
      <c r="Y167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670">
        <f>IF(Table1[[#This Row],[Ask Rate]]=0,0,Table1[[#This Row],[Face Value]]-Table1[[#This Row],[Ask Rate]])</f>
        <v>-135.29999999999995</v>
      </c>
      <c r="AA1670">
        <f>IF(Table1[[#This Row],[Freq]]="Yearly",Table1[[#This Row],[Coupon_Rate]]/100,IF(Table1[[#This Row],[Freq]]="Monthly",Table1[[#This Row],[Coupon_Rate]]/1200,IF(Table1[[#This Row],[Freq]]="Quarterly",Table1[[#This Row],[Coupon_Rate]]/400,0)))</f>
        <v>9.9000000000000005E-2</v>
      </c>
      <c r="AB1670">
        <f ca="1">Table1[[#This Row],[Face Value]]*Table1[[#This Row],[Rate]]*Table1[[#This Row],[Time]]</f>
        <v>99</v>
      </c>
      <c r="AC1670">
        <f ca="1">Table1[[#This Row],[SI]]+Table1[[#This Row],[Disc/Prem]]</f>
        <v>-36.299999999999955</v>
      </c>
      <c r="AD1670" s="3">
        <f ca="1">Table1[[#This Row],[Net Gain]]/Table1[[#This Row],[Ask Rate]]</f>
        <v>-3.197392759623003E-2</v>
      </c>
      <c r="AE1670" s="3">
        <f ca="1">IF(Table1[[#This Row],[Ask Qty]]=0,0,Table1[[#This Row],[Gross Yield]]*365/Table1[[#This Row],[Days Left]])</f>
        <v>-7.7287970679628878E-2</v>
      </c>
      <c r="AF1670" s="9">
        <f ca="1">+Table1[[#This Row],[Net Gain]]*Table1[[#This Row],[Ask Qty]]</f>
        <v>-3629.9999999999955</v>
      </c>
      <c r="AG1670" t="str">
        <f ca="1">IF(Table1[[#This Row],[YTM]]&gt;0.12,IF(Table1[[#This Row],[Gross Profit]]&gt;10000,"Invest","Review"),"Low YTM")</f>
        <v>Low YTM</v>
      </c>
    </row>
    <row r="1671" spans="1:33" x14ac:dyDescent="0.3">
      <c r="A1671" t="str">
        <f>RTD("nest.scriprtd",,"bse_cm|925IHFL25D","Symbol")</f>
        <v>925IHFL25D</v>
      </c>
      <c r="B1671" t="str">
        <f>RTD("nest.scriprtd",,"bse_cm|925IHFL25D","Trading Symbol")</f>
        <v>925IHFL25D</v>
      </c>
      <c r="C1671" t="str">
        <f>RTD("nest.scriprtd",,"bse_cm|925IHFL25D","Exchange")</f>
        <v>BSE</v>
      </c>
      <c r="D1671">
        <f>RTD("nest.scriprtd",,"bse_cm|925IHFL25D","Bid Qty")</f>
        <v>35</v>
      </c>
      <c r="E1671">
        <f>RTD("nest.scriprtd",,"bse_cm|925IHFL25D","Bid Rate")</f>
        <v>942.8</v>
      </c>
      <c r="F1671">
        <f>RTD("nest.scriprtd",,"bse_cm|925IHFL25D","Ask Rate")</f>
        <v>1140</v>
      </c>
      <c r="G1671">
        <f>RTD("nest.scriprtd",,"bse_cm|925IHFL25D","Ask Qty")</f>
        <v>48</v>
      </c>
      <c r="H1671">
        <f>RTD("nest.scriprtd",,"bse_cm|925IHFL25D","LTP")</f>
        <v>0</v>
      </c>
      <c r="I1671" t="str">
        <f>RTD("nest.scriprtd",,"bse_cm|925IHFL25D","LTT")</f>
        <v>00:00:00</v>
      </c>
      <c r="J1671">
        <f>RTD("nest.scriprtd",,"bse_cm|925IHFL25D","% Change")</f>
        <v>-100</v>
      </c>
      <c r="K1671">
        <f>RTD("nest.scriprtd",,"bse_cm|925IHFL25D","ATP")</f>
        <v>0</v>
      </c>
      <c r="L1671">
        <f>RTD("nest.scriprtd",,"bse_cm|925IHFL25D","Volume Traded Today")</f>
        <v>0</v>
      </c>
      <c r="M1671">
        <f>RTD("nest.scriprtd",,"bse_cm|925IHFL25D","Open")</f>
        <v>0</v>
      </c>
      <c r="N1671">
        <f>RTD("nest.scriprtd",,"bse_cm|925IHFL25D","High")</f>
        <v>1129.99</v>
      </c>
      <c r="O1671">
        <f>RTD("nest.scriprtd",,"bse_cm|925IHFL25D","Low ")</f>
        <v>960</v>
      </c>
      <c r="P1671">
        <f>RTD("nest.scriprtd",,"bse_cm|925IHFL25D","Prev Close")</f>
        <v>1129.99</v>
      </c>
      <c r="Q1671">
        <f>RTD("nest.scriprtd",,"bse_cm|925IHFL25D","Face Value")</f>
        <v>1000</v>
      </c>
      <c r="R1671" t="str">
        <f>RTD("nest.scriprtd",,"bse_cm|925IHFL25D","Isin code")</f>
        <v>INE121A07RH2</v>
      </c>
      <c r="S1671" s="9">
        <f>Table1[[#This Row],[Ask Rate]]*Table1[[#This Row],[Ask Qty]]</f>
        <v>54720</v>
      </c>
      <c r="T1671">
        <f>VLOOKUP(Table1[[#This Row],[Isin code]],Table2[#All],7,FALSE)</f>
        <v>8.25</v>
      </c>
      <c r="U1671" s="17" t="str">
        <f>VLOOKUP(Table1[[#This Row],[Isin code]],Table2[#All],8,FALSE)</f>
        <v>09-Jun-2025</v>
      </c>
      <c r="V1671" s="10">
        <f ca="1">Table1[[#This Row],[Maturity]]-TODAY()</f>
        <v>236</v>
      </c>
      <c r="W1671" t="str">
        <f>VLOOKUP(Table1[[#This Row],[Isin code]],Table2[#All],10,FALSE)</f>
        <v>Yearly</v>
      </c>
      <c r="X1671">
        <f ca="1">_xlfn.DAYS(Table1[[#This Row],[Maturity]],TODAY())-15</f>
        <v>221</v>
      </c>
      <c r="Y167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671">
        <f>IF(Table1[[#This Row],[Ask Rate]]=0,0,Table1[[#This Row],[Face Value]]-Table1[[#This Row],[Ask Rate]])</f>
        <v>-140</v>
      </c>
      <c r="AA1671">
        <f>IF(Table1[[#This Row],[Freq]]="Yearly",Table1[[#This Row],[Coupon_Rate]]/100,IF(Table1[[#This Row],[Freq]]="Monthly",Table1[[#This Row],[Coupon_Rate]]/1200,IF(Table1[[#This Row],[Freq]]="Quarterly",Table1[[#This Row],[Coupon_Rate]]/400,0)))</f>
        <v>8.2500000000000004E-2</v>
      </c>
      <c r="AB1671">
        <f ca="1">Table1[[#This Row],[Face Value]]*Table1[[#This Row],[Rate]]*Table1[[#This Row],[Time]]</f>
        <v>82.5</v>
      </c>
      <c r="AC1671">
        <f ca="1">Table1[[#This Row],[SI]]+Table1[[#This Row],[Disc/Prem]]</f>
        <v>-57.5</v>
      </c>
      <c r="AD1671" s="3">
        <f ca="1">Table1[[#This Row],[Net Gain]]/Table1[[#This Row],[Ask Rate]]</f>
        <v>-5.0438596491228067E-2</v>
      </c>
      <c r="AE1671" s="3">
        <f ca="1">IF(Table1[[#This Row],[Ask Qty]]=0,0,Table1[[#This Row],[Gross Yield]]*365/Table1[[#This Row],[Days Left]])</f>
        <v>-7.8008846268212889E-2</v>
      </c>
      <c r="AF1671" s="9">
        <f ca="1">+Table1[[#This Row],[Net Gain]]*Table1[[#This Row],[Ask Qty]]</f>
        <v>-2760</v>
      </c>
      <c r="AG1671" t="str">
        <f ca="1">IF(Table1[[#This Row],[YTM]]&gt;0.12,IF(Table1[[#This Row],[Gross Profit]]&gt;10000,"Invest","Review"),"Low YTM")</f>
        <v>Low YTM</v>
      </c>
    </row>
    <row r="1672" spans="1:33" x14ac:dyDescent="0.3">
      <c r="A1672" t="str">
        <f>RTD("nest.scriprtd",,"nse_cm|IIFLHFZC27-NB","Symbol")</f>
        <v>IIFLHFZC27</v>
      </c>
      <c r="B1672" t="str">
        <f>RTD("nest.scriprtd",,"nse_cm|IIFLHFZC27-NB","Trading Symbol")</f>
        <v>IIFLHFZC27-NB</v>
      </c>
      <c r="C1672" t="str">
        <f>RTD("nest.scriprtd",,"nse_cm|IIFLHFZC27-NB","Exchange")</f>
        <v>NSE</v>
      </c>
      <c r="D1672">
        <f>RTD("nest.scriprtd",,"nse_cm|IIFLHFZC27-NB","Bid Qty")</f>
        <v>10</v>
      </c>
      <c r="E1672">
        <f>RTD("nest.scriprtd",,"nse_cm|IIFLHFZC27-NB","Bid Rate")</f>
        <v>1145</v>
      </c>
      <c r="F1672">
        <f>RTD("nest.scriprtd",,"nse_cm|IIFLHFZC27-NB","Ask Rate")</f>
        <v>1210</v>
      </c>
      <c r="G1672">
        <f>RTD("nest.scriprtd",,"nse_cm|IIFLHFZC27-NB","Ask Qty")</f>
        <v>350</v>
      </c>
      <c r="H1672">
        <f>RTD("nest.scriprtd",,"nse_cm|IIFLHFZC27-NB","LTP")</f>
        <v>1175.45</v>
      </c>
      <c r="I1672" t="str">
        <f>RTD("nest.scriprtd",,"nse_cm|IIFLHFZC27-NB","LTT")</f>
        <v/>
      </c>
      <c r="J1672">
        <f>RTD("nest.scriprtd",,"nse_cm|IIFLHFZC27-NB","% Change")</f>
        <v>0</v>
      </c>
      <c r="K1672">
        <f>RTD("nest.scriprtd",,"nse_cm|IIFLHFZC27-NB","ATP")</f>
        <v>0</v>
      </c>
      <c r="L1672">
        <f>RTD("nest.scriprtd",,"nse_cm|IIFLHFZC27-NB","Volume Traded Today")</f>
        <v>0</v>
      </c>
      <c r="M1672">
        <f>RTD("nest.scriprtd",,"nse_cm|IIFLHFZC27-NB","Open")</f>
        <v>0</v>
      </c>
      <c r="N1672">
        <f>RTD("nest.scriprtd",,"nse_cm|IIFLHFZC27-NB","High")</f>
        <v>1175.45</v>
      </c>
      <c r="O1672">
        <f>RTD("nest.scriprtd",,"nse_cm|IIFLHFZC27-NB","Low ")</f>
        <v>958</v>
      </c>
      <c r="P1672">
        <f>RTD("nest.scriprtd",,"nse_cm|IIFLHFZC27-NB","Prev Close")</f>
        <v>1175.45</v>
      </c>
      <c r="Q1672">
        <f>RTD("nest.scriprtd",,"nse_cm|IIFLHFZC27-NB","Face Value")</f>
        <v>1000</v>
      </c>
      <c r="R1672" t="str">
        <f>RTD("nest.scriprtd",,"nse_cm|IIFLHFZC27-NB","Isin code")</f>
        <v>INE477L07AP4</v>
      </c>
      <c r="S1672" s="9">
        <f>Table1[[#This Row],[Ask Rate]]*Table1[[#This Row],[Ask Qty]]</f>
        <v>423500</v>
      </c>
      <c r="T1672">
        <f>VLOOKUP(Table1[[#This Row],[Isin code]],Table2[#All],7,FALSE)</f>
        <v>0</v>
      </c>
      <c r="U1672" s="17" t="str">
        <f>VLOOKUP(Table1[[#This Row],[Isin code]],Table2[#All],8,FALSE)</f>
        <v>03-Jan-2027</v>
      </c>
      <c r="V1672" s="10">
        <f ca="1">Table1[[#This Row],[Maturity]]-TODAY()</f>
        <v>809</v>
      </c>
      <c r="W1672" t="str">
        <f>VLOOKUP(Table1[[#This Row],[Isin code]],Table2[#All],10,FALSE)</f>
        <v>0</v>
      </c>
      <c r="X1672">
        <f ca="1">_xlfn.DAYS(Table1[[#This Row],[Maturity]],TODAY())-15</f>
        <v>794</v>
      </c>
      <c r="Y167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72">
        <f>IF(Table1[[#This Row],[Ask Rate]]=0,0,Table1[[#This Row],[Face Value]]-Table1[[#This Row],[Ask Rate]])</f>
        <v>-210</v>
      </c>
      <c r="AA167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72">
        <f>Table1[[#This Row],[Face Value]]*Table1[[#This Row],[Rate]]*Table1[[#This Row],[Time]]</f>
        <v>0</v>
      </c>
      <c r="AC1672">
        <f>Table1[[#This Row],[SI]]+Table1[[#This Row],[Disc/Prem]]</f>
        <v>-210</v>
      </c>
      <c r="AD1672" s="3">
        <f>Table1[[#This Row],[Net Gain]]/Table1[[#This Row],[Ask Rate]]</f>
        <v>-0.17355371900826447</v>
      </c>
      <c r="AE1672" s="3">
        <f ca="1">IF(Table1[[#This Row],[Ask Qty]]=0,0,Table1[[#This Row],[Gross Yield]]*365/Table1[[#This Row],[Days Left]])</f>
        <v>-7.8302975819550716E-2</v>
      </c>
      <c r="AF1672" s="9">
        <f>+Table1[[#This Row],[Net Gain]]*Table1[[#This Row],[Ask Qty]]</f>
        <v>-73500</v>
      </c>
      <c r="AG1672" t="str">
        <f ca="1">IF(Table1[[#This Row],[YTM]]&gt;0.12,IF(Table1[[#This Row],[Gross Profit]]&gt;10000,"Invest","Review"),"Low YTM")</f>
        <v>Low YTM</v>
      </c>
    </row>
    <row r="1673" spans="1:33" x14ac:dyDescent="0.3">
      <c r="A1673" t="str">
        <f>RTD("nest.scriprtd",,"nse_cm|AEL120924-N2","Symbol")</f>
        <v>AEL120924</v>
      </c>
      <c r="B1673" t="str">
        <f>RTD("nest.scriprtd",,"nse_cm|AEL120924-N2","Trading Symbol")</f>
        <v>AEL120924-N2</v>
      </c>
      <c r="C1673" t="str">
        <f>RTD("nest.scriprtd",,"nse_cm|AEL120924-N2","Exchange")</f>
        <v>NSE</v>
      </c>
      <c r="D1673">
        <f>RTD("nest.scriprtd",,"nse_cm|AEL120924-N2","Bid Qty")</f>
        <v>20</v>
      </c>
      <c r="E1673">
        <f>RTD("nest.scriprtd",,"nse_cm|AEL120924-N2","Bid Rate")</f>
        <v>840.2</v>
      </c>
      <c r="F1673">
        <f>RTD("nest.scriprtd",,"nse_cm|AEL120924-N2","Ask Rate")</f>
        <v>1183.19</v>
      </c>
      <c r="G1673">
        <f>RTD("nest.scriprtd",,"nse_cm|AEL120924-N2","Ask Qty")</f>
        <v>80</v>
      </c>
      <c r="H1673">
        <f>RTD("nest.scriprtd",,"nse_cm|AEL120924-N2","LTP")</f>
        <v>986</v>
      </c>
      <c r="I1673" t="str">
        <f>RTD("nest.scriprtd",,"nse_cm|AEL120924-N2","LTT")</f>
        <v/>
      </c>
      <c r="J1673">
        <f>RTD("nest.scriprtd",,"nse_cm|AEL120924-N2","% Change")</f>
        <v>0</v>
      </c>
      <c r="K1673">
        <f>RTD("nest.scriprtd",,"nse_cm|AEL120924-N2","ATP")</f>
        <v>0</v>
      </c>
      <c r="L1673">
        <f>RTD("nest.scriprtd",,"nse_cm|AEL120924-N2","Volume Traded Today")</f>
        <v>0</v>
      </c>
      <c r="M1673">
        <f>RTD("nest.scriprtd",,"nse_cm|AEL120924-N2","Open")</f>
        <v>0</v>
      </c>
      <c r="N1673">
        <f>RTD("nest.scriprtd",,"nse_cm|AEL120924-N2","High")</f>
        <v>986.01</v>
      </c>
      <c r="O1673">
        <f>RTD("nest.scriprtd",,"nse_cm|AEL120924-N2","Low ")</f>
        <v>986</v>
      </c>
      <c r="P1673">
        <f>RTD("nest.scriprtd",,"nse_cm|AEL120924-N2","Prev Close")</f>
        <v>986</v>
      </c>
      <c r="Q1673">
        <f>RTD("nest.scriprtd",,"nse_cm|AEL120924-N2","Face Value")</f>
        <v>1000</v>
      </c>
      <c r="R1673" t="str">
        <f>RTD("nest.scriprtd",,"nse_cm|AEL120924-N2","Isin code")</f>
        <v>INE423A07369</v>
      </c>
      <c r="S1673" s="9">
        <f>Table1[[#This Row],[Ask Rate]]*Table1[[#This Row],[Ask Qty]]</f>
        <v>94655.200000000012</v>
      </c>
      <c r="T1673" t="str">
        <f>VLOOKUP(Table1[[#This Row],[Isin code]],Table2[#All],7,FALSE)</f>
        <v>--</v>
      </c>
      <c r="U1673" s="17" t="str">
        <f>VLOOKUP(Table1[[#This Row],[Isin code]],Table2[#All],8,FALSE)</f>
        <v>12-Sep-2026</v>
      </c>
      <c r="V1673" s="10">
        <f ca="1">Table1[[#This Row],[Maturity]]-TODAY()</f>
        <v>696</v>
      </c>
      <c r="W1673" t="str">
        <f>VLOOKUP(Table1[[#This Row],[Isin code]],Table2[#All],10,FALSE)</f>
        <v>At the End</v>
      </c>
      <c r="X1673">
        <f ca="1">_xlfn.DAYS(Table1[[#This Row],[Maturity]],TODAY())-15</f>
        <v>681</v>
      </c>
      <c r="Y167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73">
        <f>IF(Table1[[#This Row],[Ask Rate]]=0,0,Table1[[#This Row],[Face Value]]-Table1[[#This Row],[Ask Rate]])</f>
        <v>-183.19000000000005</v>
      </c>
      <c r="AA167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73">
        <f>Table1[[#This Row],[Face Value]]*Table1[[#This Row],[Rate]]*Table1[[#This Row],[Time]]</f>
        <v>0</v>
      </c>
      <c r="AC1673">
        <f>Table1[[#This Row],[SI]]+Table1[[#This Row],[Disc/Prem]]</f>
        <v>-183.19000000000005</v>
      </c>
      <c r="AD1673" s="3">
        <f>Table1[[#This Row],[Net Gain]]/Table1[[#This Row],[Ask Rate]]</f>
        <v>-0.15482720442194411</v>
      </c>
      <c r="AE1673" s="3">
        <f ca="1">IF(Table1[[#This Row],[Ask Qty]]=0,0,Table1[[#This Row],[Gross Yield]]*365/Table1[[#This Row],[Days Left]])</f>
        <v>-8.1195301169554021E-2</v>
      </c>
      <c r="AF1673" s="9">
        <f>+Table1[[#This Row],[Net Gain]]*Table1[[#This Row],[Ask Qty]]</f>
        <v>-14655.200000000004</v>
      </c>
      <c r="AG1673" t="str">
        <f ca="1">IF(Table1[[#This Row],[YTM]]&gt;0.12,IF(Table1[[#This Row],[Gross Profit]]&gt;10000,"Invest","Review"),"Low YTM")</f>
        <v>Low YTM</v>
      </c>
    </row>
    <row r="1674" spans="1:33" x14ac:dyDescent="0.3">
      <c r="A1674" t="str">
        <f>RTD("nest.scriprtd",,"bse_cm|IIFLZC26A","Symbol")</f>
        <v>IIFLZC26A</v>
      </c>
      <c r="B1674" t="str">
        <f>RTD("nest.scriprtd",,"bse_cm|IIFLZC26A","Trading Symbol")</f>
        <v>IIFLZC26A</v>
      </c>
      <c r="C1674" t="str">
        <f>RTD("nest.scriprtd",,"bse_cm|IIFLZC26A","Exchange")</f>
        <v>BSE</v>
      </c>
      <c r="D1674">
        <f>RTD("nest.scriprtd",,"bse_cm|IIFLZC26A","Bid Qty")</f>
        <v>5</v>
      </c>
      <c r="E1674">
        <f>RTD("nest.scriprtd",,"bse_cm|IIFLZC26A","Bid Rate")</f>
        <v>1057.25</v>
      </c>
      <c r="F1674">
        <f>RTD("nest.scriprtd",,"bse_cm|IIFLZC26A","Ask Rate")</f>
        <v>1135</v>
      </c>
      <c r="G1674">
        <f>RTD("nest.scriprtd",,"bse_cm|IIFLZC26A","Ask Qty")</f>
        <v>100</v>
      </c>
      <c r="H1674">
        <f>RTD("nest.scriprtd",,"bse_cm|IIFLZC26A","LTP")</f>
        <v>0</v>
      </c>
      <c r="I1674" t="str">
        <f>RTD("nest.scriprtd",,"bse_cm|IIFLZC26A","LTT")</f>
        <v>00:00:00</v>
      </c>
      <c r="J1674">
        <f>RTD("nest.scriprtd",,"bse_cm|IIFLZC26A","% Change")</f>
        <v>-100</v>
      </c>
      <c r="K1674">
        <f>RTD("nest.scriprtd",,"bse_cm|IIFLZC26A","ATP")</f>
        <v>0</v>
      </c>
      <c r="L1674">
        <f>RTD("nest.scriprtd",,"bse_cm|IIFLZC26A","Volume Traded Today")</f>
        <v>0</v>
      </c>
      <c r="M1674">
        <f>RTD("nest.scriprtd",,"bse_cm|IIFLZC26A","Open")</f>
        <v>0</v>
      </c>
      <c r="N1674">
        <f>RTD("nest.scriprtd",,"bse_cm|IIFLZC26A","High")</f>
        <v>1116.1500000000001</v>
      </c>
      <c r="O1674">
        <f>RTD("nest.scriprtd",,"bse_cm|IIFLZC26A","Low ")</f>
        <v>1116.1500000000001</v>
      </c>
      <c r="P1674">
        <f>RTD("nest.scriprtd",,"bse_cm|IIFLZC26A","Prev Close")</f>
        <v>1116.1500000000001</v>
      </c>
      <c r="Q1674">
        <f>RTD("nest.scriprtd",,"bse_cm|IIFLZC26A","Face Value")</f>
        <v>1000</v>
      </c>
      <c r="R1674" t="str">
        <f>RTD("nest.scriprtd",,"bse_cm|IIFLZC26A","Isin code")</f>
        <v>INE530B07286</v>
      </c>
      <c r="S1674" s="9">
        <f>Table1[[#This Row],[Ask Rate]]*Table1[[#This Row],[Ask Qty]]</f>
        <v>113500</v>
      </c>
      <c r="T1674">
        <f>VLOOKUP(Table1[[#This Row],[Isin code]],Table2[#All],7,FALSE)</f>
        <v>0</v>
      </c>
      <c r="U1674" s="17" t="str">
        <f>VLOOKUP(Table1[[#This Row],[Isin code]],Table2[#All],8,FALSE)</f>
        <v>24-Jan-2026</v>
      </c>
      <c r="V1674" s="10">
        <f ca="1">Table1[[#This Row],[Maturity]]-TODAY()</f>
        <v>465</v>
      </c>
      <c r="W1674" t="str">
        <f>VLOOKUP(Table1[[#This Row],[Isin code]],Table2[#All],10,FALSE)</f>
        <v>QUARTERLY</v>
      </c>
      <c r="X1674">
        <f ca="1">_xlfn.DAYS(Table1[[#This Row],[Maturity]],TODAY())-15</f>
        <v>450</v>
      </c>
      <c r="Y167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674">
        <f>IF(Table1[[#This Row],[Ask Rate]]=0,0,Table1[[#This Row],[Face Value]]-Table1[[#This Row],[Ask Rate]])</f>
        <v>-135</v>
      </c>
      <c r="AA167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74">
        <f ca="1">Table1[[#This Row],[Face Value]]*Table1[[#This Row],[Rate]]*Table1[[#This Row],[Time]]</f>
        <v>0</v>
      </c>
      <c r="AC1674">
        <f ca="1">Table1[[#This Row],[SI]]+Table1[[#This Row],[Disc/Prem]]</f>
        <v>-135</v>
      </c>
      <c r="AD1674" s="3">
        <f ca="1">Table1[[#This Row],[Net Gain]]/Table1[[#This Row],[Ask Rate]]</f>
        <v>-0.11894273127753303</v>
      </c>
      <c r="AE1674" s="3">
        <f ca="1">IF(Table1[[#This Row],[Ask Qty]]=0,0,Table1[[#This Row],[Gross Yield]]*365/Table1[[#This Row],[Days Left]])</f>
        <v>-9.3363649282364639E-2</v>
      </c>
      <c r="AF1674" s="9">
        <f ca="1">+Table1[[#This Row],[Net Gain]]*Table1[[#This Row],[Ask Qty]]</f>
        <v>-13500</v>
      </c>
      <c r="AG1674" t="str">
        <f ca="1">IF(Table1[[#This Row],[YTM]]&gt;0.12,IF(Table1[[#This Row],[Gross Profit]]&gt;10000,"Invest","Review"),"Low YTM")</f>
        <v>Low YTM</v>
      </c>
    </row>
    <row r="1675" spans="1:33" x14ac:dyDescent="0.3">
      <c r="A1675" t="str">
        <f>RTD("nest.scriprtd",,"bse_cm|10MVAFL25","Symbol")</f>
        <v>10MVAFL25</v>
      </c>
      <c r="B1675" t="str">
        <f>RTD("nest.scriprtd",,"bse_cm|10MVAFL25","Trading Symbol")</f>
        <v>10MVAFL25</v>
      </c>
      <c r="C1675" t="str">
        <f>RTD("nest.scriprtd",,"bse_cm|10MVAFL25","Exchange")</f>
        <v>BSE</v>
      </c>
      <c r="D1675">
        <f>RTD("nest.scriprtd",,"bse_cm|10MVAFL25","Bid Qty")</f>
        <v>150</v>
      </c>
      <c r="E1675">
        <f>RTD("nest.scriprtd",,"bse_cm|10MVAFL25","Bid Rate")</f>
        <v>1040.25</v>
      </c>
      <c r="F1675">
        <f>RTD("nest.scriprtd",,"bse_cm|10MVAFL25","Ask Rate")</f>
        <v>1140.3</v>
      </c>
      <c r="G1675">
        <f>RTD("nest.scriprtd",,"bse_cm|10MVAFL25","Ask Qty")</f>
        <v>315</v>
      </c>
      <c r="H1675">
        <f>RTD("nest.scriprtd",,"bse_cm|10MVAFL25","LTP")</f>
        <v>0</v>
      </c>
      <c r="I1675" t="str">
        <f>RTD("nest.scriprtd",,"bse_cm|10MVAFL25","LTT")</f>
        <v>00:00:00</v>
      </c>
      <c r="J1675">
        <f>RTD("nest.scriprtd",,"bse_cm|10MVAFL25","% Change")</f>
        <v>-100</v>
      </c>
      <c r="K1675">
        <f>RTD("nest.scriprtd",,"bse_cm|10MVAFL25","ATP")</f>
        <v>0</v>
      </c>
      <c r="L1675">
        <f>RTD("nest.scriprtd",,"bse_cm|10MVAFL25","Volume Traded Today")</f>
        <v>0</v>
      </c>
      <c r="M1675">
        <f>RTD("nest.scriprtd",,"bse_cm|10MVAFL25","Open")</f>
        <v>0</v>
      </c>
      <c r="N1675">
        <f>RTD("nest.scriprtd",,"bse_cm|10MVAFL25","High")</f>
        <v>1038</v>
      </c>
      <c r="O1675">
        <f>RTD("nest.scriprtd",,"bse_cm|10MVAFL25","Low ")</f>
        <v>1038</v>
      </c>
      <c r="P1675">
        <f>RTD("nest.scriprtd",,"bse_cm|10MVAFL25","Prev Close")</f>
        <v>1038</v>
      </c>
      <c r="Q1675">
        <f>RTD("nest.scriprtd",,"bse_cm|10MVAFL25","Face Value")</f>
        <v>1000</v>
      </c>
      <c r="R1675" t="str">
        <f>RTD("nest.scriprtd",,"bse_cm|10MVAFL25","Isin code")</f>
        <v>INE00XE07143</v>
      </c>
      <c r="S1675" s="9">
        <f>Table1[[#This Row],[Ask Rate]]*Table1[[#This Row],[Ask Qty]]</f>
        <v>359194.5</v>
      </c>
      <c r="T1675">
        <f>VLOOKUP(Table1[[#This Row],[Isin code]],Table2[#All],7,FALSE)</f>
        <v>10</v>
      </c>
      <c r="U1675" s="17" t="str">
        <f>VLOOKUP(Table1[[#This Row],[Isin code]],Table2[#All],8,FALSE)</f>
        <v>17-Mar-2025</v>
      </c>
      <c r="V1675" s="10">
        <f ca="1">Table1[[#This Row],[Maturity]]-TODAY()</f>
        <v>152</v>
      </c>
      <c r="W1675" t="str">
        <f>VLOOKUP(Table1[[#This Row],[Isin code]],Table2[#All],10,FALSE)</f>
        <v>Yearly</v>
      </c>
      <c r="X1675">
        <f ca="1">_xlfn.DAYS(Table1[[#This Row],[Maturity]],TODAY())-15</f>
        <v>137</v>
      </c>
      <c r="Y167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675">
        <f>IF(Table1[[#This Row],[Ask Rate]]=0,0,Table1[[#This Row],[Face Value]]-Table1[[#This Row],[Ask Rate]])</f>
        <v>-140.29999999999995</v>
      </c>
      <c r="AA1675">
        <f>IF(Table1[[#This Row],[Freq]]="Yearly",Table1[[#This Row],[Coupon_Rate]]/100,IF(Table1[[#This Row],[Freq]]="Monthly",Table1[[#This Row],[Coupon_Rate]]/1200,IF(Table1[[#This Row],[Freq]]="Quarterly",Table1[[#This Row],[Coupon_Rate]]/400,0)))</f>
        <v>0.1</v>
      </c>
      <c r="AB1675">
        <f ca="1">Table1[[#This Row],[Face Value]]*Table1[[#This Row],[Rate]]*Table1[[#This Row],[Time]]</f>
        <v>100</v>
      </c>
      <c r="AC1675">
        <f ca="1">Table1[[#This Row],[SI]]+Table1[[#This Row],[Disc/Prem]]</f>
        <v>-40.299999999999955</v>
      </c>
      <c r="AD1675" s="3">
        <f ca="1">Table1[[#This Row],[Net Gain]]/Table1[[#This Row],[Ask Rate]]</f>
        <v>-3.5341576778040826E-2</v>
      </c>
      <c r="AE1675" s="3">
        <f ca="1">IF(Table1[[#This Row],[Ask Qty]]=0,0,Table1[[#This Row],[Gross Yield]]*365/Table1[[#This Row],[Days Left]])</f>
        <v>-8.4866286342005937E-2</v>
      </c>
      <c r="AF1675" s="9">
        <f ca="1">+Table1[[#This Row],[Net Gain]]*Table1[[#This Row],[Ask Qty]]</f>
        <v>-12694.499999999985</v>
      </c>
      <c r="AG1675" t="str">
        <f ca="1">IF(Table1[[#This Row],[YTM]]&gt;0.12,IF(Table1[[#This Row],[Gross Profit]]&gt;10000,"Invest","Review"),"Low YTM")</f>
        <v>Low YTM</v>
      </c>
    </row>
    <row r="1676" spans="1:33" x14ac:dyDescent="0.3">
      <c r="A1676" t="str">
        <f>RTD("nest.scriprtd",,"bse_cm|990SCFL26","Symbol")</f>
        <v>990SCFL26</v>
      </c>
      <c r="B1676" t="str">
        <f>RTD("nest.scriprtd",,"bse_cm|990SCFL26","Trading Symbol")</f>
        <v>990SCFL26</v>
      </c>
      <c r="C1676" t="str">
        <f>RTD("nest.scriprtd",,"bse_cm|990SCFL26","Exchange")</f>
        <v>BSE</v>
      </c>
      <c r="D1676">
        <f>RTD("nest.scriprtd",,"bse_cm|990SCFL26","Bid Qty")</f>
        <v>12</v>
      </c>
      <c r="E1676">
        <f>RTD("nest.scriprtd",,"bse_cm|990SCFL26","Bid Rate")</f>
        <v>1030.0999999999999</v>
      </c>
      <c r="F1676">
        <f>RTD("nest.scriprtd",,"bse_cm|990SCFL26","Ask Rate")</f>
        <v>1143</v>
      </c>
      <c r="G1676">
        <f>RTD("nest.scriprtd",,"bse_cm|990SCFL26","Ask Qty")</f>
        <v>35</v>
      </c>
      <c r="H1676">
        <f>RTD("nest.scriprtd",,"bse_cm|990SCFL26","LTP")</f>
        <v>0</v>
      </c>
      <c r="I1676" t="str">
        <f>RTD("nest.scriprtd",,"bse_cm|990SCFL26","LTT")</f>
        <v>00:00:00</v>
      </c>
      <c r="J1676">
        <f>RTD("nest.scriprtd",,"bse_cm|990SCFL26","% Change")</f>
        <v>-100</v>
      </c>
      <c r="K1676">
        <f>RTD("nest.scriprtd",,"bse_cm|990SCFL26","ATP")</f>
        <v>0</v>
      </c>
      <c r="L1676">
        <f>RTD("nest.scriprtd",,"bse_cm|990SCFL26","Volume Traded Today")</f>
        <v>0</v>
      </c>
      <c r="M1676">
        <f>RTD("nest.scriprtd",,"bse_cm|990SCFL26","Open")</f>
        <v>0</v>
      </c>
      <c r="N1676">
        <f>RTD("nest.scriprtd",,"bse_cm|990SCFL26","High")</f>
        <v>1101</v>
      </c>
      <c r="O1676">
        <f>RTD("nest.scriprtd",,"bse_cm|990SCFL26","Low ")</f>
        <v>1101</v>
      </c>
      <c r="P1676">
        <f>RTD("nest.scriprtd",,"bse_cm|990SCFL26","Prev Close")</f>
        <v>1101</v>
      </c>
      <c r="Q1676">
        <f>RTD("nest.scriprtd",,"bse_cm|990SCFL26","Face Value")</f>
        <v>1000</v>
      </c>
      <c r="R1676" t="str">
        <f>RTD("nest.scriprtd",,"bse_cm|990SCFL26","Isin code")</f>
        <v>INE148I07NY2</v>
      </c>
      <c r="S1676" s="9">
        <f>Table1[[#This Row],[Ask Rate]]*Table1[[#This Row],[Ask Qty]]</f>
        <v>40005</v>
      </c>
      <c r="T1676" t="str">
        <f>VLOOKUP(Table1[[#This Row],[Isin code]],Table2[#All],7,FALSE)</f>
        <v>--</v>
      </c>
      <c r="U1676" s="17" t="str">
        <f>VLOOKUP(Table1[[#This Row],[Isin code]],Table2[#All],8,FALSE)</f>
        <v>23-Mar-2026</v>
      </c>
      <c r="V1676" s="10">
        <f ca="1">Table1[[#This Row],[Maturity]]-TODAY()</f>
        <v>523</v>
      </c>
      <c r="W1676" t="str">
        <f>VLOOKUP(Table1[[#This Row],[Isin code]],Table2[#All],10,FALSE)</f>
        <v>At the End</v>
      </c>
      <c r="X1676">
        <f ca="1">_xlfn.DAYS(Table1[[#This Row],[Maturity]],TODAY())-15</f>
        <v>508</v>
      </c>
      <c r="Y167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76">
        <f>IF(Table1[[#This Row],[Ask Rate]]=0,0,Table1[[#This Row],[Face Value]]-Table1[[#This Row],[Ask Rate]])</f>
        <v>-143</v>
      </c>
      <c r="AA167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76">
        <f>Table1[[#This Row],[Face Value]]*Table1[[#This Row],[Rate]]*Table1[[#This Row],[Time]]</f>
        <v>0</v>
      </c>
      <c r="AC1676">
        <f>Table1[[#This Row],[SI]]+Table1[[#This Row],[Disc/Prem]]</f>
        <v>-143</v>
      </c>
      <c r="AD1676" s="3">
        <f>Table1[[#This Row],[Net Gain]]/Table1[[#This Row],[Ask Rate]]</f>
        <v>-0.12510936132983377</v>
      </c>
      <c r="AE1676" s="3">
        <f ca="1">IF(Table1[[#This Row],[Ask Qty]]=0,0,Table1[[#This Row],[Gross Yield]]*365/Table1[[#This Row],[Days Left]])</f>
        <v>-8.7313416606862954E-2</v>
      </c>
      <c r="AF1676" s="9">
        <f>+Table1[[#This Row],[Net Gain]]*Table1[[#This Row],[Ask Qty]]</f>
        <v>-5005</v>
      </c>
      <c r="AG1676" t="str">
        <f ca="1">IF(Table1[[#This Row],[YTM]]&gt;0.12,IF(Table1[[#This Row],[Gross Profit]]&gt;10000,"Invest","Review"),"Low YTM")</f>
        <v>Low YTM</v>
      </c>
    </row>
    <row r="1677" spans="1:33" x14ac:dyDescent="0.3">
      <c r="A1677" t="str">
        <f>RTD("nest.scriprtd",,"bse_cm|MFLZC27E","Symbol")</f>
        <v>MFLZC27E</v>
      </c>
      <c r="B1677" t="str">
        <f>RTD("nest.scriprtd",,"bse_cm|MFLZC27E","Trading Symbol")</f>
        <v>MFLZC27E</v>
      </c>
      <c r="C1677" t="str">
        <f>RTD("nest.scriprtd",,"bse_cm|MFLZC27E","Exchange")</f>
        <v>BSE</v>
      </c>
      <c r="D1677">
        <f>RTD("nest.scriprtd",,"bse_cm|MFLZC27E","Bid Qty")</f>
        <v>50</v>
      </c>
      <c r="E1677">
        <f>RTD("nest.scriprtd",,"bse_cm|MFLZC27E","Bid Rate")</f>
        <v>1263.42</v>
      </c>
      <c r="F1677">
        <f>RTD("nest.scriprtd",,"bse_cm|MFLZC27E","Ask Rate")</f>
        <v>1300</v>
      </c>
      <c r="G1677">
        <f>RTD("nest.scriprtd",,"bse_cm|MFLZC27E","Ask Qty")</f>
        <v>9</v>
      </c>
      <c r="H1677">
        <f>RTD("nest.scriprtd",,"bse_cm|MFLZC27E","LTP")</f>
        <v>0</v>
      </c>
      <c r="I1677" t="str">
        <f>RTD("nest.scriprtd",,"bse_cm|MFLZC27E","LTT")</f>
        <v>00:00:00</v>
      </c>
      <c r="J1677">
        <f>RTD("nest.scriprtd",,"bse_cm|MFLZC27E","% Change")</f>
        <v>-100</v>
      </c>
      <c r="K1677">
        <f>RTD("nest.scriprtd",,"bse_cm|MFLZC27E","ATP")</f>
        <v>0</v>
      </c>
      <c r="L1677">
        <f>RTD("nest.scriprtd",,"bse_cm|MFLZC27E","Volume Traded Today")</f>
        <v>0</v>
      </c>
      <c r="M1677">
        <f>RTD("nest.scriprtd",,"bse_cm|MFLZC27E","Open")</f>
        <v>0</v>
      </c>
      <c r="N1677">
        <f>RTD("nest.scriprtd",,"bse_cm|MFLZC27E","High")</f>
        <v>1300</v>
      </c>
      <c r="O1677">
        <f>RTD("nest.scriprtd",,"bse_cm|MFLZC27E","Low ")</f>
        <v>1300</v>
      </c>
      <c r="P1677">
        <f>RTD("nest.scriprtd",,"bse_cm|MFLZC27E","Prev Close")</f>
        <v>1300</v>
      </c>
      <c r="Q1677">
        <f>RTD("nest.scriprtd",,"bse_cm|MFLZC27E","Face Value")</f>
        <v>1000</v>
      </c>
      <c r="R1677" t="str">
        <f>RTD("nest.scriprtd",,"bse_cm|MFLZC27E","Isin code")</f>
        <v>INE549K08228</v>
      </c>
      <c r="S1677" s="9">
        <f>Table1[[#This Row],[Ask Rate]]*Table1[[#This Row],[Ask Qty]]</f>
        <v>11700</v>
      </c>
      <c r="T1677" t="str">
        <f>VLOOKUP(Table1[[#This Row],[Isin code]],Table2[#All],7,FALSE)</f>
        <v>--</v>
      </c>
      <c r="U1677" s="17" t="str">
        <f>VLOOKUP(Table1[[#This Row],[Isin code]],Table2[#All],8,FALSE)</f>
        <v>15-Mar-2027</v>
      </c>
      <c r="V1677" s="10">
        <f ca="1">Table1[[#This Row],[Maturity]]-TODAY()</f>
        <v>880</v>
      </c>
      <c r="W1677" t="str">
        <f>VLOOKUP(Table1[[#This Row],[Isin code]],Table2[#All],10,FALSE)</f>
        <v>At the End</v>
      </c>
      <c r="X1677">
        <f ca="1">_xlfn.DAYS(Table1[[#This Row],[Maturity]],TODAY())-15</f>
        <v>865</v>
      </c>
      <c r="Y167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77">
        <f>IF(Table1[[#This Row],[Ask Rate]]=0,0,Table1[[#This Row],[Face Value]]-Table1[[#This Row],[Ask Rate]])</f>
        <v>-300</v>
      </c>
      <c r="AA167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77">
        <f>Table1[[#This Row],[Face Value]]*Table1[[#This Row],[Rate]]*Table1[[#This Row],[Time]]</f>
        <v>0</v>
      </c>
      <c r="AC1677">
        <f>Table1[[#This Row],[SI]]+Table1[[#This Row],[Disc/Prem]]</f>
        <v>-300</v>
      </c>
      <c r="AD1677" s="3">
        <f>Table1[[#This Row],[Net Gain]]/Table1[[#This Row],[Ask Rate]]</f>
        <v>-0.23076923076923078</v>
      </c>
      <c r="AE1677" s="3">
        <f ca="1">IF(Table1[[#This Row],[Ask Qty]]=0,0,Table1[[#This Row],[Gross Yield]]*365/Table1[[#This Row],[Days Left]])</f>
        <v>-9.571678321678323E-2</v>
      </c>
      <c r="AF1677" s="9">
        <f>+Table1[[#This Row],[Net Gain]]*Table1[[#This Row],[Ask Qty]]</f>
        <v>-2700</v>
      </c>
      <c r="AG1677" t="str">
        <f ca="1">IF(Table1[[#This Row],[YTM]]&gt;0.12,IF(Table1[[#This Row],[Gross Profit]]&gt;10000,"Invest","Review"),"Low YTM")</f>
        <v>Low YTM</v>
      </c>
    </row>
    <row r="1678" spans="1:33" x14ac:dyDescent="0.3">
      <c r="A1678" t="str">
        <f>RTD("nest.scriprtd",,"bse_cm|EFSLZC26B","Symbol")</f>
        <v>EFSLZC26B</v>
      </c>
      <c r="B1678" t="str">
        <f>RTD("nest.scriprtd",,"bse_cm|EFSLZC26B","Trading Symbol")</f>
        <v>EFSLZC26B</v>
      </c>
      <c r="C1678" t="str">
        <f>RTD("nest.scriprtd",,"bse_cm|EFSLZC26B","Exchange")</f>
        <v>BSE</v>
      </c>
      <c r="D1678">
        <f>RTD("nest.scriprtd",,"bse_cm|EFSLZC26B","Bid Qty")</f>
        <v>42</v>
      </c>
      <c r="E1678">
        <f>RTD("nest.scriprtd",,"bse_cm|EFSLZC26B","Bid Rate")</f>
        <v>1084</v>
      </c>
      <c r="F1678">
        <f>RTD("nest.scriprtd",,"bse_cm|EFSLZC26B","Ask Rate")</f>
        <v>1138.6500000000001</v>
      </c>
      <c r="G1678">
        <f>RTD("nest.scriprtd",,"bse_cm|EFSLZC26B","Ask Qty")</f>
        <v>12</v>
      </c>
      <c r="H1678">
        <f>RTD("nest.scriprtd",,"bse_cm|EFSLZC26B","LTP")</f>
        <v>0</v>
      </c>
      <c r="I1678" t="str">
        <f>RTD("nest.scriprtd",,"bse_cm|EFSLZC26B","LTT")</f>
        <v>00:00:00</v>
      </c>
      <c r="J1678">
        <f>RTD("nest.scriprtd",,"bse_cm|EFSLZC26B","% Change")</f>
        <v>-100</v>
      </c>
      <c r="K1678">
        <f>RTD("nest.scriprtd",,"bse_cm|EFSLZC26B","ATP")</f>
        <v>0</v>
      </c>
      <c r="L1678">
        <f>RTD("nest.scriprtd",,"bse_cm|EFSLZC26B","Volume Traded Today")</f>
        <v>0</v>
      </c>
      <c r="M1678">
        <f>RTD("nest.scriprtd",,"bse_cm|EFSLZC26B","Open")</f>
        <v>0</v>
      </c>
      <c r="N1678">
        <f>RTD("nest.scriprtd",,"bse_cm|EFSLZC26B","High")</f>
        <v>1121.31</v>
      </c>
      <c r="O1678">
        <f>RTD("nest.scriprtd",,"bse_cm|EFSLZC26B","Low ")</f>
        <v>1108.24</v>
      </c>
      <c r="P1678">
        <f>RTD("nest.scriprtd",,"bse_cm|EFSLZC26B","Prev Close")</f>
        <v>1121.31</v>
      </c>
      <c r="Q1678">
        <f>RTD("nest.scriprtd",,"bse_cm|EFSLZC26B","Face Value")</f>
        <v>1000</v>
      </c>
      <c r="R1678" t="str">
        <f>RTD("nest.scriprtd",,"bse_cm|EFSLZC26B","Isin code")</f>
        <v>INE532F07DL1</v>
      </c>
      <c r="S1678" s="9">
        <f>Table1[[#This Row],[Ask Rate]]*Table1[[#This Row],[Ask Qty]]</f>
        <v>13663.800000000001</v>
      </c>
      <c r="T1678" t="str">
        <f>VLOOKUP(Table1[[#This Row],[Isin code]],Table2[#All],7,FALSE)</f>
        <v>--</v>
      </c>
      <c r="U1678" s="17" t="str">
        <f>VLOOKUP(Table1[[#This Row],[Isin code]],Table2[#All],8,FALSE)</f>
        <v>20-Jan-2026</v>
      </c>
      <c r="V1678" s="10">
        <f ca="1">Table1[[#This Row],[Maturity]]-TODAY()</f>
        <v>461</v>
      </c>
      <c r="W1678" t="str">
        <f>VLOOKUP(Table1[[#This Row],[Isin code]],Table2[#All],10,FALSE)</f>
        <v>At the End</v>
      </c>
      <c r="X1678">
        <f ca="1">_xlfn.DAYS(Table1[[#This Row],[Maturity]],TODAY())-15</f>
        <v>446</v>
      </c>
      <c r="Y167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78">
        <f>IF(Table1[[#This Row],[Ask Rate]]=0,0,Table1[[#This Row],[Face Value]]-Table1[[#This Row],[Ask Rate]])</f>
        <v>-138.65000000000009</v>
      </c>
      <c r="AA167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78">
        <f>Table1[[#This Row],[Face Value]]*Table1[[#This Row],[Rate]]*Table1[[#This Row],[Time]]</f>
        <v>0</v>
      </c>
      <c r="AC1678">
        <f>Table1[[#This Row],[SI]]+Table1[[#This Row],[Disc/Prem]]</f>
        <v>-138.65000000000009</v>
      </c>
      <c r="AD1678" s="3">
        <f>Table1[[#This Row],[Net Gain]]/Table1[[#This Row],[Ask Rate]]</f>
        <v>-0.1217670047863699</v>
      </c>
      <c r="AE1678" s="3">
        <f ca="1">IF(Table1[[#This Row],[Ask Qty]]=0,0,Table1[[#This Row],[Gross Yield]]*365/Table1[[#This Row],[Days Left]])</f>
        <v>-9.6409884483785277E-2</v>
      </c>
      <c r="AF1678" s="9">
        <f>+Table1[[#This Row],[Net Gain]]*Table1[[#This Row],[Ask Qty]]</f>
        <v>-1663.8000000000011</v>
      </c>
      <c r="AG1678" t="str">
        <f ca="1">IF(Table1[[#This Row],[YTM]]&gt;0.12,IF(Table1[[#This Row],[Gross Profit]]&gt;10000,"Invest","Review"),"Low YTM")</f>
        <v>Low YTM</v>
      </c>
    </row>
    <row r="1679" spans="1:33" x14ac:dyDescent="0.3">
      <c r="A1679" t="str">
        <f>RTD("nest.scriprtd",,"nse_cm|ABFL26-N1","Symbol")</f>
        <v>ABFL26</v>
      </c>
      <c r="B1679" t="str">
        <f>RTD("nest.scriprtd",,"nse_cm|ABFL26-N1","Trading Symbol")</f>
        <v>ABFL26-N1</v>
      </c>
      <c r="C1679" t="str">
        <f>RTD("nest.scriprtd",,"nse_cm|ABFL26-N1","Exchange")</f>
        <v>NSE</v>
      </c>
      <c r="D1679">
        <f>RTD("nest.scriprtd",,"nse_cm|ABFL26-N1","Bid Qty")</f>
        <v>50</v>
      </c>
      <c r="E1679">
        <f>RTD("nest.scriprtd",,"nse_cm|ABFL26-N1","Bid Rate")</f>
        <v>1046</v>
      </c>
      <c r="F1679">
        <f>RTD("nest.scriprtd",,"nse_cm|ABFL26-N1","Ask Rate")</f>
        <v>1240</v>
      </c>
      <c r="G1679">
        <f>RTD("nest.scriprtd",,"nse_cm|ABFL26-N1","Ask Qty")</f>
        <v>50</v>
      </c>
      <c r="H1679">
        <f>RTD("nest.scriprtd",,"nse_cm|ABFL26-N1","LTP")</f>
        <v>1036</v>
      </c>
      <c r="I1679" t="str">
        <f>RTD("nest.scriprtd",,"nse_cm|ABFL26-N1","LTT")</f>
        <v/>
      </c>
      <c r="J1679">
        <f>RTD("nest.scriprtd",,"nse_cm|ABFL26-N1","% Change")</f>
        <v>0</v>
      </c>
      <c r="K1679">
        <f>RTD("nest.scriprtd",,"nse_cm|ABFL26-N1","ATP")</f>
        <v>0</v>
      </c>
      <c r="L1679">
        <f>RTD("nest.scriprtd",,"nse_cm|ABFL26-N1","Volume Traded Today")</f>
        <v>0</v>
      </c>
      <c r="M1679">
        <f>RTD("nest.scriprtd",,"nse_cm|ABFL26-N1","Open")</f>
        <v>0</v>
      </c>
      <c r="N1679">
        <f>RTD("nest.scriprtd",,"nse_cm|ABFL26-N1","High")</f>
        <v>1050</v>
      </c>
      <c r="O1679">
        <f>RTD("nest.scriprtd",,"nse_cm|ABFL26-N1","Low ")</f>
        <v>1036</v>
      </c>
      <c r="P1679">
        <f>RTD("nest.scriprtd",,"nse_cm|ABFL26-N1","Prev Close")</f>
        <v>1036</v>
      </c>
      <c r="Q1679">
        <f>RTD("nest.scriprtd",,"nse_cm|ABFL26-N1","Face Value")</f>
        <v>1000</v>
      </c>
      <c r="R1679" t="str">
        <f>RTD("nest.scriprtd",,"nse_cm|ABFL26-N1","Isin code")</f>
        <v>INE860H07IR8</v>
      </c>
      <c r="S1679" s="9">
        <f>Table1[[#This Row],[Ask Rate]]*Table1[[#This Row],[Ask Qty]]</f>
        <v>62000</v>
      </c>
      <c r="T1679">
        <f>VLOOKUP(Table1[[#This Row],[Isin code]],Table2[#All],7,FALSE)</f>
        <v>0</v>
      </c>
      <c r="U1679" s="17" t="str">
        <f>VLOOKUP(Table1[[#This Row],[Isin code]],Table2[#All],8,FALSE)</f>
        <v>09-Oct-2026</v>
      </c>
      <c r="V1679" s="10">
        <f ca="1">Table1[[#This Row],[Maturity]]-TODAY()</f>
        <v>723</v>
      </c>
      <c r="W1679" t="str">
        <f>VLOOKUP(Table1[[#This Row],[Isin code]],Table2[#All],10,FALSE)</f>
        <v>HALF YEARLY</v>
      </c>
      <c r="X1679">
        <f ca="1">_xlfn.DAYS(Table1[[#This Row],[Maturity]],TODAY())-15</f>
        <v>708</v>
      </c>
      <c r="Y167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79">
        <f>IF(Table1[[#This Row],[Ask Rate]]=0,0,Table1[[#This Row],[Face Value]]-Table1[[#This Row],[Ask Rate]])</f>
        <v>-240</v>
      </c>
      <c r="AA167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79">
        <f>Table1[[#This Row],[Face Value]]*Table1[[#This Row],[Rate]]*Table1[[#This Row],[Time]]</f>
        <v>0</v>
      </c>
      <c r="AC1679">
        <f>Table1[[#This Row],[SI]]+Table1[[#This Row],[Disc/Prem]]</f>
        <v>-240</v>
      </c>
      <c r="AD1679" s="3">
        <f>Table1[[#This Row],[Net Gain]]/Table1[[#This Row],[Ask Rate]]</f>
        <v>-0.19354838709677419</v>
      </c>
      <c r="AE1679" s="3">
        <f ca="1">IF(Table1[[#This Row],[Ask Qty]]=0,0,Table1[[#This Row],[Gross Yield]]*365/Table1[[#This Row],[Days Left]])</f>
        <v>-9.7711149779146023E-2</v>
      </c>
      <c r="AF1679" s="9">
        <f>+Table1[[#This Row],[Net Gain]]*Table1[[#This Row],[Ask Qty]]</f>
        <v>-12000</v>
      </c>
      <c r="AG1679" t="str">
        <f ca="1">IF(Table1[[#This Row],[YTM]]&gt;0.12,IF(Table1[[#This Row],[Gross Profit]]&gt;10000,"Invest","Review"),"Low YTM")</f>
        <v>Low YTM</v>
      </c>
    </row>
    <row r="1680" spans="1:33" x14ac:dyDescent="0.3">
      <c r="A1680" t="str">
        <f>RTD("nest.scriprtd",,"nse_cm|IIFLZC26A-NR","Symbol")</f>
        <v>IIFLZC26A</v>
      </c>
      <c r="B1680" t="str">
        <f>RTD("nest.scriprtd",,"nse_cm|IIFLZC26A-NR","Trading Symbol")</f>
        <v>IIFLZC26A-NR</v>
      </c>
      <c r="C1680" t="str">
        <f>RTD("nest.scriprtd",,"nse_cm|IIFLZC26A-NR","Exchange")</f>
        <v>NSE</v>
      </c>
      <c r="D1680">
        <f>RTD("nest.scriprtd",,"nse_cm|IIFLZC26A-NR","Bid Qty")</f>
        <v>10</v>
      </c>
      <c r="E1680">
        <f>RTD("nest.scriprtd",,"nse_cm|IIFLZC26A-NR","Bid Rate")</f>
        <v>1080</v>
      </c>
      <c r="F1680">
        <f>RTD("nest.scriprtd",,"nse_cm|IIFLZC26A-NR","Ask Rate")</f>
        <v>1130.55</v>
      </c>
      <c r="G1680">
        <f>RTD("nest.scriprtd",,"nse_cm|IIFLZC26A-NR","Ask Qty")</f>
        <v>25</v>
      </c>
      <c r="H1680">
        <f>RTD("nest.scriprtd",,"nse_cm|IIFLZC26A-NR","LTP")</f>
        <v>1329</v>
      </c>
      <c r="I1680" t="str">
        <f>RTD("nest.scriprtd",,"nse_cm|IIFLZC26A-NR","LTT")</f>
        <v>09:15:44</v>
      </c>
      <c r="J1680">
        <f>RTD("nest.scriprtd",,"nse_cm|IIFLZC26A-NR","% Change")</f>
        <v>18.66</v>
      </c>
      <c r="K1680">
        <f>RTD("nest.scriprtd",,"nse_cm|IIFLZC26A-NR","ATP")</f>
        <v>1327.67</v>
      </c>
      <c r="L1680">
        <f>RTD("nest.scriprtd",,"nse_cm|IIFLZC26A-NR","Volume Traded Today")</f>
        <v>1258</v>
      </c>
      <c r="M1680">
        <f>RTD("nest.scriprtd",,"nse_cm|IIFLZC26A-NR","Open")</f>
        <v>1120</v>
      </c>
      <c r="N1680">
        <f>RTD("nest.scriprtd",,"nse_cm|IIFLZC26A-NR","High")</f>
        <v>1329</v>
      </c>
      <c r="O1680">
        <f>RTD("nest.scriprtd",,"nse_cm|IIFLZC26A-NR","Low ")</f>
        <v>1120</v>
      </c>
      <c r="P1680">
        <f>RTD("nest.scriprtd",,"nse_cm|IIFLZC26A-NR","Prev Close")</f>
        <v>1120</v>
      </c>
      <c r="Q1680">
        <f>RTD("nest.scriprtd",,"nse_cm|IIFLZC26A-NR","Face Value")</f>
        <v>1000</v>
      </c>
      <c r="R1680" t="str">
        <f>RTD("nest.scriprtd",,"nse_cm|IIFLZC26A-NR","Isin code")</f>
        <v>INE530B07286</v>
      </c>
      <c r="S1680" s="9">
        <f>Table1[[#This Row],[Ask Rate]]*Table1[[#This Row],[Ask Qty]]</f>
        <v>28263.75</v>
      </c>
      <c r="T1680">
        <f>VLOOKUP(Table1[[#This Row],[Isin code]],Table2[#All],7,FALSE)</f>
        <v>0</v>
      </c>
      <c r="U1680" s="17" t="str">
        <f>VLOOKUP(Table1[[#This Row],[Isin code]],Table2[#All],8,FALSE)</f>
        <v>24-Jan-2026</v>
      </c>
      <c r="V1680" s="10">
        <f ca="1">Table1[[#This Row],[Maturity]]-TODAY()</f>
        <v>465</v>
      </c>
      <c r="W1680" t="str">
        <f>VLOOKUP(Table1[[#This Row],[Isin code]],Table2[#All],10,FALSE)</f>
        <v>QUARTERLY</v>
      </c>
      <c r="X1680">
        <f ca="1">_xlfn.DAYS(Table1[[#This Row],[Maturity]],TODAY())-15</f>
        <v>450</v>
      </c>
      <c r="Y168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5</v>
      </c>
      <c r="Z1680">
        <f>IF(Table1[[#This Row],[Ask Rate]]=0,0,Table1[[#This Row],[Face Value]]-Table1[[#This Row],[Ask Rate]])</f>
        <v>-130.54999999999995</v>
      </c>
      <c r="AA168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80">
        <f ca="1">Table1[[#This Row],[Face Value]]*Table1[[#This Row],[Rate]]*Table1[[#This Row],[Time]]</f>
        <v>0</v>
      </c>
      <c r="AC1680">
        <f ca="1">Table1[[#This Row],[SI]]+Table1[[#This Row],[Disc/Prem]]</f>
        <v>-130.54999999999995</v>
      </c>
      <c r="AD1680" s="3">
        <f ca="1">Table1[[#This Row],[Net Gain]]/Table1[[#This Row],[Ask Rate]]</f>
        <v>-0.11547476891778334</v>
      </c>
      <c r="AE1680" s="3">
        <f ca="1">IF(Table1[[#This Row],[Ask Qty]]=0,0,Table1[[#This Row],[Gross Yield]]*365/Table1[[#This Row],[Days Left]])</f>
        <v>-9.0641485279550363E-2</v>
      </c>
      <c r="AF1680" s="9">
        <f ca="1">+Table1[[#This Row],[Net Gain]]*Table1[[#This Row],[Ask Qty]]</f>
        <v>-3263.7499999999991</v>
      </c>
      <c r="AG1680" t="str">
        <f ca="1">IF(Table1[[#This Row],[YTM]]&gt;0.12,IF(Table1[[#This Row],[Gross Profit]]&gt;10000,"Invest","Review"),"Low YTM")</f>
        <v>Low YTM</v>
      </c>
    </row>
    <row r="1681" spans="1:33" x14ac:dyDescent="0.3">
      <c r="A1681" t="str">
        <f>RTD("nest.scriprtd",,"bse_cm|10SFL25","Symbol")</f>
        <v>10SFL25</v>
      </c>
      <c r="B1681" t="str">
        <f>RTD("nest.scriprtd",,"bse_cm|10SFL25","Trading Symbol")</f>
        <v>10SFL25</v>
      </c>
      <c r="C1681" t="str">
        <f>RTD("nest.scriprtd",,"bse_cm|10SFL25","Exchange")</f>
        <v>BSE</v>
      </c>
      <c r="D1681">
        <f>RTD("nest.scriprtd",,"bse_cm|10SFL25","Bid Qty")</f>
        <v>17</v>
      </c>
      <c r="E1681">
        <f>RTD("nest.scriprtd",,"bse_cm|10SFL25","Bid Rate")</f>
        <v>821.2</v>
      </c>
      <c r="F1681">
        <f>RTD("nest.scriprtd",,"bse_cm|10SFL25","Ask Rate")</f>
        <v>1200</v>
      </c>
      <c r="G1681">
        <f>RTD("nest.scriprtd",,"bse_cm|10SFL25","Ask Qty")</f>
        <v>10</v>
      </c>
      <c r="H1681">
        <f>RTD("nest.scriprtd",,"bse_cm|10SFL25","LTP")</f>
        <v>0</v>
      </c>
      <c r="I1681" t="str">
        <f>RTD("nest.scriprtd",,"bse_cm|10SFL25","LTT")</f>
        <v>00:00:00</v>
      </c>
      <c r="J1681">
        <f>RTD("nest.scriprtd",,"bse_cm|10SFL25","% Change")</f>
        <v>-100</v>
      </c>
      <c r="K1681">
        <f>RTD("nest.scriprtd",,"bse_cm|10SFL25","ATP")</f>
        <v>0</v>
      </c>
      <c r="L1681">
        <f>RTD("nest.scriprtd",,"bse_cm|10SFL25","Volume Traded Today")</f>
        <v>0</v>
      </c>
      <c r="M1681">
        <f>RTD("nest.scriprtd",,"bse_cm|10SFL25","Open")</f>
        <v>0</v>
      </c>
      <c r="N1681">
        <f>RTD("nest.scriprtd",,"bse_cm|10SFL25","High")</f>
        <v>1010</v>
      </c>
      <c r="O1681">
        <f>RTD("nest.scriprtd",,"bse_cm|10SFL25","Low ")</f>
        <v>1010</v>
      </c>
      <c r="P1681">
        <f>RTD("nest.scriprtd",,"bse_cm|10SFL25","Prev Close")</f>
        <v>1010</v>
      </c>
      <c r="Q1681">
        <f>RTD("nest.scriprtd",,"bse_cm|10SFL25","Face Value")</f>
        <v>1000</v>
      </c>
      <c r="R1681" t="str">
        <f>RTD("nest.scriprtd",,"bse_cm|10SFL25","Isin code")</f>
        <v>INE302E07375</v>
      </c>
      <c r="S1681" s="9">
        <f>Table1[[#This Row],[Ask Rate]]*Table1[[#This Row],[Ask Qty]]</f>
        <v>12000</v>
      </c>
      <c r="T1681">
        <f>VLOOKUP(Table1[[#This Row],[Isin code]],Table2[#All],7,FALSE)</f>
        <v>10</v>
      </c>
      <c r="U1681" s="17" t="str">
        <f>VLOOKUP(Table1[[#This Row],[Isin code]],Table2[#All],8,FALSE)</f>
        <v>29-Aug-2025</v>
      </c>
      <c r="V1681" s="10">
        <f ca="1">Table1[[#This Row],[Maturity]]-TODAY()</f>
        <v>317</v>
      </c>
      <c r="W1681" t="str">
        <f>VLOOKUP(Table1[[#This Row],[Isin code]],Table2[#All],10,FALSE)</f>
        <v>Monthly</v>
      </c>
      <c r="X1681">
        <f ca="1">_xlfn.DAYS(Table1[[#This Row],[Maturity]],TODAY())-15</f>
        <v>302</v>
      </c>
      <c r="Y168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11</v>
      </c>
      <c r="Z1681">
        <f>IF(Table1[[#This Row],[Ask Rate]]=0,0,Table1[[#This Row],[Face Value]]-Table1[[#This Row],[Ask Rate]])</f>
        <v>-200</v>
      </c>
      <c r="AA1681">
        <f>IF(Table1[[#This Row],[Freq]]="Yearly",Table1[[#This Row],[Coupon_Rate]]/100,IF(Table1[[#This Row],[Freq]]="Monthly",Table1[[#This Row],[Coupon_Rate]]/1200,IF(Table1[[#This Row],[Freq]]="Quarterly",Table1[[#This Row],[Coupon_Rate]]/400,0)))</f>
        <v>8.3333333333333332E-3</v>
      </c>
      <c r="AB1681">
        <f ca="1">Table1[[#This Row],[Face Value]]*Table1[[#This Row],[Rate]]*Table1[[#This Row],[Time]]</f>
        <v>91.666666666666671</v>
      </c>
      <c r="AC1681">
        <f ca="1">Table1[[#This Row],[SI]]+Table1[[#This Row],[Disc/Prem]]</f>
        <v>-108.33333333333333</v>
      </c>
      <c r="AD1681" s="3">
        <f ca="1">Table1[[#This Row],[Net Gain]]/Table1[[#This Row],[Ask Rate]]</f>
        <v>-9.0277777777777776E-2</v>
      </c>
      <c r="AE1681" s="3">
        <f ca="1">IF(Table1[[#This Row],[Ask Qty]]=0,0,Table1[[#This Row],[Gross Yield]]*365/Table1[[#This Row],[Days Left]])</f>
        <v>-0.10394759901857693</v>
      </c>
      <c r="AF1681" s="9">
        <f ca="1">+Table1[[#This Row],[Net Gain]]*Table1[[#This Row],[Ask Qty]]</f>
        <v>-1083.3333333333333</v>
      </c>
      <c r="AG1681" t="str">
        <f ca="1">IF(Table1[[#This Row],[YTM]]&gt;0.12,IF(Table1[[#This Row],[Gross Profit]]&gt;10000,"Invest","Review"),"Low YTM")</f>
        <v>Low YTM</v>
      </c>
    </row>
    <row r="1682" spans="1:33" x14ac:dyDescent="0.3">
      <c r="A1682" t="str">
        <f>RTD("nest.scriprtd",,"bse_cm|EFSL25B","Symbol")</f>
        <v>EFSL25B</v>
      </c>
      <c r="B1682" t="str">
        <f>RTD("nest.scriprtd",,"bse_cm|EFSL25B","Trading Symbol")</f>
        <v>EFSL25B</v>
      </c>
      <c r="C1682" t="str">
        <f>RTD("nest.scriprtd",,"bse_cm|EFSL25B","Exchange")</f>
        <v>BSE</v>
      </c>
      <c r="D1682">
        <f>RTD("nest.scriprtd",,"bse_cm|EFSL25B","Bid Qty")</f>
        <v>1</v>
      </c>
      <c r="E1682">
        <f>RTD("nest.scriprtd",,"bse_cm|EFSL25B","Bid Rate")</f>
        <v>1062.5</v>
      </c>
      <c r="F1682">
        <f>RTD("nest.scriprtd",,"bse_cm|EFSL25B","Ask Rate")</f>
        <v>1088.45</v>
      </c>
      <c r="G1682">
        <f>RTD("nest.scriprtd",,"bse_cm|EFSL25B","Ask Qty")</f>
        <v>6</v>
      </c>
      <c r="H1682">
        <f>RTD("nest.scriprtd",,"bse_cm|EFSL25B","LTP")</f>
        <v>0</v>
      </c>
      <c r="I1682" t="str">
        <f>RTD("nest.scriprtd",,"bse_cm|EFSL25B","LTT")</f>
        <v>00:00:00</v>
      </c>
      <c r="J1682">
        <f>RTD("nest.scriprtd",,"bse_cm|EFSL25B","% Change")</f>
        <v>-100</v>
      </c>
      <c r="K1682">
        <f>RTD("nest.scriprtd",,"bse_cm|EFSL25B","ATP")</f>
        <v>0</v>
      </c>
      <c r="L1682">
        <f>RTD("nest.scriprtd",,"bse_cm|EFSL25B","Volume Traded Today")</f>
        <v>0</v>
      </c>
      <c r="M1682">
        <f>RTD("nest.scriprtd",,"bse_cm|EFSL25B","Open")</f>
        <v>0</v>
      </c>
      <c r="N1682">
        <f>RTD("nest.scriprtd",,"bse_cm|EFSL25B","High")</f>
        <v>1114</v>
      </c>
      <c r="O1682">
        <f>RTD("nest.scriprtd",,"bse_cm|EFSL25B","Low ")</f>
        <v>1114</v>
      </c>
      <c r="P1682">
        <f>RTD("nest.scriprtd",,"bse_cm|EFSL25B","Prev Close")</f>
        <v>1114</v>
      </c>
      <c r="Q1682">
        <f>RTD("nest.scriprtd",,"bse_cm|EFSL25B","Face Value")</f>
        <v>1000</v>
      </c>
      <c r="R1682" t="str">
        <f>RTD("nest.scriprtd",,"bse_cm|EFSL25B","Isin code")</f>
        <v>INE532F07EB0</v>
      </c>
      <c r="S1682" s="9">
        <f>Table1[[#This Row],[Ask Rate]]*Table1[[#This Row],[Ask Qty]]</f>
        <v>6530.7000000000007</v>
      </c>
      <c r="T1682" t="str">
        <f>VLOOKUP(Table1[[#This Row],[Isin code]],Table2[#All],7,FALSE)</f>
        <v>--</v>
      </c>
      <c r="U1682" s="17" t="str">
        <f>VLOOKUP(Table1[[#This Row],[Isin code]],Table2[#All],8,FALSE)</f>
        <v>21-Jul-2025</v>
      </c>
      <c r="V1682" s="10">
        <f ca="1">Table1[[#This Row],[Maturity]]-TODAY()</f>
        <v>278</v>
      </c>
      <c r="W1682" t="str">
        <f>VLOOKUP(Table1[[#This Row],[Isin code]],Table2[#All],10,FALSE)</f>
        <v>At the End</v>
      </c>
      <c r="X1682">
        <f ca="1">_xlfn.DAYS(Table1[[#This Row],[Maturity]],TODAY())-15</f>
        <v>263</v>
      </c>
      <c r="Y168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82">
        <f>IF(Table1[[#This Row],[Ask Rate]]=0,0,Table1[[#This Row],[Face Value]]-Table1[[#This Row],[Ask Rate]])</f>
        <v>-88.450000000000045</v>
      </c>
      <c r="AA168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82">
        <f>Table1[[#This Row],[Face Value]]*Table1[[#This Row],[Rate]]*Table1[[#This Row],[Time]]</f>
        <v>0</v>
      </c>
      <c r="AC1682">
        <f>Table1[[#This Row],[SI]]+Table1[[#This Row],[Disc/Prem]]</f>
        <v>-88.450000000000045</v>
      </c>
      <c r="AD1682" s="3">
        <f>Table1[[#This Row],[Net Gain]]/Table1[[#This Row],[Ask Rate]]</f>
        <v>-8.1262345537231884E-2</v>
      </c>
      <c r="AE1682" s="3">
        <f ca="1">IF(Table1[[#This Row],[Ask Qty]]=0,0,Table1[[#This Row],[Gross Yield]]*365/Table1[[#This Row],[Days Left]])</f>
        <v>-0.10669336734204905</v>
      </c>
      <c r="AF1682" s="9">
        <f>+Table1[[#This Row],[Net Gain]]*Table1[[#This Row],[Ask Qty]]</f>
        <v>-530.70000000000027</v>
      </c>
      <c r="AG1682" t="str">
        <f ca="1">IF(Table1[[#This Row],[YTM]]&gt;0.12,IF(Table1[[#This Row],[Gross Profit]]&gt;10000,"Invest","Review"),"Low YTM")</f>
        <v>Low YTM</v>
      </c>
    </row>
    <row r="1683" spans="1:33" x14ac:dyDescent="0.3">
      <c r="A1683" t="str">
        <f>RTD("nest.scriprtd",,"bse_cm|MFLZC25","Symbol")</f>
        <v>MFLZC25</v>
      </c>
      <c r="B1683" t="str">
        <f>RTD("nest.scriprtd",,"bse_cm|MFLZC25","Trading Symbol")</f>
        <v>MFLZC25</v>
      </c>
      <c r="C1683" t="str">
        <f>RTD("nest.scriprtd",,"bse_cm|MFLZC25","Exchange")</f>
        <v>BSE</v>
      </c>
      <c r="D1683">
        <f>RTD("nest.scriprtd",,"bse_cm|MFLZC25","Bid Qty")</f>
        <v>170</v>
      </c>
      <c r="E1683">
        <f>RTD("nest.scriprtd",,"bse_cm|MFLZC25","Bid Rate")</f>
        <v>1093.2</v>
      </c>
      <c r="F1683">
        <f>RTD("nest.scriprtd",,"bse_cm|MFLZC25","Ask Rate")</f>
        <v>1150</v>
      </c>
      <c r="G1683">
        <f>RTD("nest.scriprtd",,"bse_cm|MFLZC25","Ask Qty")</f>
        <v>100</v>
      </c>
      <c r="H1683">
        <f>RTD("nest.scriprtd",,"bse_cm|MFLZC25","LTP")</f>
        <v>0</v>
      </c>
      <c r="I1683" t="str">
        <f>RTD("nest.scriprtd",,"bse_cm|MFLZC25","LTT")</f>
        <v>00:00:00</v>
      </c>
      <c r="J1683">
        <f>RTD("nest.scriprtd",,"bse_cm|MFLZC25","% Change")</f>
        <v>-100</v>
      </c>
      <c r="K1683">
        <f>RTD("nest.scriprtd",,"bse_cm|MFLZC25","ATP")</f>
        <v>0</v>
      </c>
      <c r="L1683">
        <f>RTD("nest.scriprtd",,"bse_cm|MFLZC25","Volume Traded Today")</f>
        <v>0</v>
      </c>
      <c r="M1683">
        <f>RTD("nest.scriprtd",,"bse_cm|MFLZC25","Open")</f>
        <v>0</v>
      </c>
      <c r="N1683">
        <f>RTD("nest.scriprtd",,"bse_cm|MFLZC25","High")</f>
        <v>1110</v>
      </c>
      <c r="O1683">
        <f>RTD("nest.scriprtd",,"bse_cm|MFLZC25","Low ")</f>
        <v>1110</v>
      </c>
      <c r="P1683">
        <f>RTD("nest.scriprtd",,"bse_cm|MFLZC25","Prev Close")</f>
        <v>1110</v>
      </c>
      <c r="Q1683">
        <f>RTD("nest.scriprtd",,"bse_cm|MFLZC25","Face Value")</f>
        <v>1000</v>
      </c>
      <c r="R1683" t="str">
        <f>RTD("nest.scriprtd",,"bse_cm|MFLZC25","Isin code")</f>
        <v>INE414G07HF3</v>
      </c>
      <c r="S1683" s="9">
        <f>Table1[[#This Row],[Ask Rate]]*Table1[[#This Row],[Ask Qty]]</f>
        <v>115000</v>
      </c>
      <c r="T1683" t="str">
        <f>VLOOKUP(Table1[[#This Row],[Isin code]],Table2[#All],7,FALSE)</f>
        <v>--</v>
      </c>
      <c r="U1683" s="17" t="str">
        <f>VLOOKUP(Table1[[#This Row],[Isin code]],Table2[#All],8,FALSE)</f>
        <v>23-Dec-2025</v>
      </c>
      <c r="V1683" s="10">
        <f ca="1">Table1[[#This Row],[Maturity]]-TODAY()</f>
        <v>433</v>
      </c>
      <c r="W1683" t="str">
        <f>VLOOKUP(Table1[[#This Row],[Isin code]],Table2[#All],10,FALSE)</f>
        <v>At the End</v>
      </c>
      <c r="X1683">
        <f ca="1">_xlfn.DAYS(Table1[[#This Row],[Maturity]],TODAY())-15</f>
        <v>418</v>
      </c>
      <c r="Y168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83">
        <f>IF(Table1[[#This Row],[Ask Rate]]=0,0,Table1[[#This Row],[Face Value]]-Table1[[#This Row],[Ask Rate]])</f>
        <v>-150</v>
      </c>
      <c r="AA168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83">
        <f>Table1[[#This Row],[Face Value]]*Table1[[#This Row],[Rate]]*Table1[[#This Row],[Time]]</f>
        <v>0</v>
      </c>
      <c r="AC1683">
        <f>Table1[[#This Row],[SI]]+Table1[[#This Row],[Disc/Prem]]</f>
        <v>-150</v>
      </c>
      <c r="AD1683" s="3">
        <f>Table1[[#This Row],[Net Gain]]/Table1[[#This Row],[Ask Rate]]</f>
        <v>-0.13043478260869565</v>
      </c>
      <c r="AE1683" s="3">
        <f ca="1">IF(Table1[[#This Row],[Ask Qty]]=0,0,Table1[[#This Row],[Gross Yield]]*365/Table1[[#This Row],[Days Left]])</f>
        <v>-0.10995079827291897</v>
      </c>
      <c r="AF1683" s="9">
        <f>+Table1[[#This Row],[Net Gain]]*Table1[[#This Row],[Ask Qty]]</f>
        <v>-15000</v>
      </c>
      <c r="AG1683" t="str">
        <f ca="1">IF(Table1[[#This Row],[YTM]]&gt;0.12,IF(Table1[[#This Row],[Gross Profit]]&gt;10000,"Invest","Review"),"Low YTM")</f>
        <v>Low YTM</v>
      </c>
    </row>
    <row r="1684" spans="1:33" x14ac:dyDescent="0.3">
      <c r="A1684" t="str">
        <f>RTD("nest.scriprtd",,"nse_cm|IIFLZC25B-NW","Symbol")</f>
        <v>IIFLZC25B</v>
      </c>
      <c r="B1684" t="str">
        <f>RTD("nest.scriprtd",,"nse_cm|IIFLZC25B-NW","Trading Symbol")</f>
        <v>IIFLZC25B-NW</v>
      </c>
      <c r="C1684" t="str">
        <f>RTD("nest.scriprtd",,"nse_cm|IIFLZC25B-NW","Exchange")</f>
        <v>NSE</v>
      </c>
      <c r="D1684">
        <f>RTD("nest.scriprtd",,"nse_cm|IIFLZC25B-NW","Bid Qty")</f>
        <v>200</v>
      </c>
      <c r="E1684">
        <f>RTD("nest.scriprtd",,"nse_cm|IIFLZC25B-NW","Bid Rate")</f>
        <v>1056.3</v>
      </c>
      <c r="F1684">
        <f>RTD("nest.scriprtd",,"nse_cm|IIFLZC25B-NW","Ask Rate")</f>
        <v>1085</v>
      </c>
      <c r="G1684">
        <f>RTD("nest.scriprtd",,"nse_cm|IIFLZC25B-NW","Ask Qty")</f>
        <v>200</v>
      </c>
      <c r="H1684">
        <f>RTD("nest.scriprtd",,"nse_cm|IIFLZC25B-NW","LTP")</f>
        <v>1075.8</v>
      </c>
      <c r="I1684" t="str">
        <f>RTD("nest.scriprtd",,"nse_cm|IIFLZC25B-NW","LTT")</f>
        <v/>
      </c>
      <c r="J1684">
        <f>RTD("nest.scriprtd",,"nse_cm|IIFLZC25B-NW","% Change")</f>
        <v>0</v>
      </c>
      <c r="K1684">
        <f>RTD("nest.scriprtd",,"nse_cm|IIFLZC25B-NW","ATP")</f>
        <v>0</v>
      </c>
      <c r="L1684">
        <f>RTD("nest.scriprtd",,"nse_cm|IIFLZC25B-NW","Volume Traded Today")</f>
        <v>0</v>
      </c>
      <c r="M1684">
        <f>RTD("nest.scriprtd",,"nse_cm|IIFLZC25B-NW","Open")</f>
        <v>0</v>
      </c>
      <c r="N1684">
        <f>RTD("nest.scriprtd",,"nse_cm|IIFLZC25B-NW","High")</f>
        <v>1075.8</v>
      </c>
      <c r="O1684">
        <f>RTD("nest.scriprtd",,"nse_cm|IIFLZC25B-NW","Low ")</f>
        <v>1075.8</v>
      </c>
      <c r="P1684">
        <f>RTD("nest.scriprtd",,"nse_cm|IIFLZC25B-NW","Prev Close")</f>
        <v>1075.8</v>
      </c>
      <c r="Q1684">
        <f>RTD("nest.scriprtd",,"nse_cm|IIFLZC25B-NW","Face Value")</f>
        <v>1000</v>
      </c>
      <c r="R1684" t="str">
        <f>RTD("nest.scriprtd",,"nse_cm|IIFLZC25B-NW","Isin code")</f>
        <v>INE530B07393</v>
      </c>
      <c r="S1684" s="9">
        <f>Table1[[#This Row],[Ask Rate]]*Table1[[#This Row],[Ask Qty]]</f>
        <v>217000</v>
      </c>
      <c r="T1684">
        <f>VLOOKUP(Table1[[#This Row],[Isin code]],Table2[#All],7,FALSE)</f>
        <v>0</v>
      </c>
      <c r="U1684" s="17" t="str">
        <f>VLOOKUP(Table1[[#This Row],[Isin code]],Table2[#All],8,FALSE)</f>
        <v>28-Jun-2025</v>
      </c>
      <c r="V1684" s="10">
        <f ca="1">Table1[[#This Row],[Maturity]]-TODAY()</f>
        <v>255</v>
      </c>
      <c r="W1684" t="str">
        <f>VLOOKUP(Table1[[#This Row],[Isin code]],Table2[#All],10,FALSE)</f>
        <v>Yearly</v>
      </c>
      <c r="X1684">
        <f ca="1">_xlfn.DAYS(Table1[[#This Row],[Maturity]],TODAY())-15</f>
        <v>240</v>
      </c>
      <c r="Y168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684">
        <f>IF(Table1[[#This Row],[Ask Rate]]=0,0,Table1[[#This Row],[Face Value]]-Table1[[#This Row],[Ask Rate]])</f>
        <v>-85</v>
      </c>
      <c r="AA168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84">
        <f ca="1">Table1[[#This Row],[Face Value]]*Table1[[#This Row],[Rate]]*Table1[[#This Row],[Time]]</f>
        <v>0</v>
      </c>
      <c r="AC1684">
        <f ca="1">Table1[[#This Row],[SI]]+Table1[[#This Row],[Disc/Prem]]</f>
        <v>-85</v>
      </c>
      <c r="AD1684" s="3">
        <f ca="1">Table1[[#This Row],[Net Gain]]/Table1[[#This Row],[Ask Rate]]</f>
        <v>-7.8341013824884786E-2</v>
      </c>
      <c r="AE1684" s="3">
        <f ca="1">IF(Table1[[#This Row],[Ask Qty]]=0,0,Table1[[#This Row],[Gross Yield]]*365/Table1[[#This Row],[Days Left]])</f>
        <v>-0.11213517665130568</v>
      </c>
      <c r="AF1684" s="9">
        <f ca="1">+Table1[[#This Row],[Net Gain]]*Table1[[#This Row],[Ask Qty]]</f>
        <v>-17000</v>
      </c>
      <c r="AG1684" t="str">
        <f ca="1">IF(Table1[[#This Row],[YTM]]&gt;0.12,IF(Table1[[#This Row],[Gross Profit]]&gt;10000,"Invest","Review"),"Low YTM")</f>
        <v>Low YTM</v>
      </c>
    </row>
    <row r="1685" spans="1:33" x14ac:dyDescent="0.3">
      <c r="A1685" t="str">
        <f>RTD("nest.scriprtd",,"bse_cm|IIFLZC25B","Symbol")</f>
        <v>IIFLZC25B</v>
      </c>
      <c r="B1685" t="str">
        <f>RTD("nest.scriprtd",,"bse_cm|IIFLZC25B","Trading Symbol")</f>
        <v>IIFLZC25B</v>
      </c>
      <c r="C1685" t="str">
        <f>RTD("nest.scriprtd",,"bse_cm|IIFLZC25B","Exchange")</f>
        <v>BSE</v>
      </c>
      <c r="D1685">
        <f>RTD("nest.scriprtd",,"bse_cm|IIFLZC25B","Bid Qty")</f>
        <v>170</v>
      </c>
      <c r="E1685">
        <f>RTD("nest.scriprtd",,"bse_cm|IIFLZC25B","Bid Rate")</f>
        <v>1055.2</v>
      </c>
      <c r="F1685">
        <f>RTD("nest.scriprtd",,"bse_cm|IIFLZC25B","Ask Rate")</f>
        <v>1085</v>
      </c>
      <c r="G1685">
        <f>RTD("nest.scriprtd",,"bse_cm|IIFLZC25B","Ask Qty")</f>
        <v>100</v>
      </c>
      <c r="H1685">
        <f>RTD("nest.scriprtd",,"bse_cm|IIFLZC25B","LTP")</f>
        <v>0</v>
      </c>
      <c r="I1685" t="str">
        <f>RTD("nest.scriprtd",,"bse_cm|IIFLZC25B","LTT")</f>
        <v>00:00:00</v>
      </c>
      <c r="J1685">
        <f>RTD("nest.scriprtd",,"bse_cm|IIFLZC25B","% Change")</f>
        <v>-100</v>
      </c>
      <c r="K1685">
        <f>RTD("nest.scriprtd",,"bse_cm|IIFLZC25B","ATP")</f>
        <v>0</v>
      </c>
      <c r="L1685">
        <f>RTD("nest.scriprtd",,"bse_cm|IIFLZC25B","Volume Traded Today")</f>
        <v>0</v>
      </c>
      <c r="M1685">
        <f>RTD("nest.scriprtd",,"bse_cm|IIFLZC25B","Open")</f>
        <v>0</v>
      </c>
      <c r="N1685">
        <f>RTD("nest.scriprtd",,"bse_cm|IIFLZC25B","High")</f>
        <v>1075</v>
      </c>
      <c r="O1685">
        <f>RTD("nest.scriprtd",,"bse_cm|IIFLZC25B","Low ")</f>
        <v>1075</v>
      </c>
      <c r="P1685">
        <f>RTD("nest.scriprtd",,"bse_cm|IIFLZC25B","Prev Close")</f>
        <v>1075</v>
      </c>
      <c r="Q1685">
        <f>RTD("nest.scriprtd",,"bse_cm|IIFLZC25B","Face Value")</f>
        <v>1000</v>
      </c>
      <c r="R1685" t="str">
        <f>RTD("nest.scriprtd",,"bse_cm|IIFLZC25B","Isin code")</f>
        <v>INE530B07393</v>
      </c>
      <c r="S1685" s="9">
        <f>Table1[[#This Row],[Ask Rate]]*Table1[[#This Row],[Ask Qty]]</f>
        <v>108500</v>
      </c>
      <c r="T1685">
        <f>VLOOKUP(Table1[[#This Row],[Isin code]],Table2[#All],7,FALSE)</f>
        <v>0</v>
      </c>
      <c r="U1685" s="17" t="str">
        <f>VLOOKUP(Table1[[#This Row],[Isin code]],Table2[#All],8,FALSE)</f>
        <v>28-Jun-2025</v>
      </c>
      <c r="V1685" s="10">
        <f ca="1">Table1[[#This Row],[Maturity]]-TODAY()</f>
        <v>255</v>
      </c>
      <c r="W1685" t="str">
        <f>VLOOKUP(Table1[[#This Row],[Isin code]],Table2[#All],10,FALSE)</f>
        <v>Yearly</v>
      </c>
      <c r="X1685">
        <f ca="1">_xlfn.DAYS(Table1[[#This Row],[Maturity]],TODAY())-15</f>
        <v>240</v>
      </c>
      <c r="Y168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685">
        <f>IF(Table1[[#This Row],[Ask Rate]]=0,0,Table1[[#This Row],[Face Value]]-Table1[[#This Row],[Ask Rate]])</f>
        <v>-85</v>
      </c>
      <c r="AA168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85">
        <f ca="1">Table1[[#This Row],[Face Value]]*Table1[[#This Row],[Rate]]*Table1[[#This Row],[Time]]</f>
        <v>0</v>
      </c>
      <c r="AC1685">
        <f ca="1">Table1[[#This Row],[SI]]+Table1[[#This Row],[Disc/Prem]]</f>
        <v>-85</v>
      </c>
      <c r="AD1685" s="3">
        <f ca="1">Table1[[#This Row],[Net Gain]]/Table1[[#This Row],[Ask Rate]]</f>
        <v>-7.8341013824884786E-2</v>
      </c>
      <c r="AE1685" s="3">
        <f ca="1">IF(Table1[[#This Row],[Ask Qty]]=0,0,Table1[[#This Row],[Gross Yield]]*365/Table1[[#This Row],[Days Left]])</f>
        <v>-0.11213517665130568</v>
      </c>
      <c r="AF1685" s="9">
        <f ca="1">+Table1[[#This Row],[Net Gain]]*Table1[[#This Row],[Ask Qty]]</f>
        <v>-8500</v>
      </c>
      <c r="AG1685" t="str">
        <f ca="1">IF(Table1[[#This Row],[YTM]]&gt;0.12,IF(Table1[[#This Row],[Gross Profit]]&gt;10000,"Invest","Review"),"Low YTM")</f>
        <v>Low YTM</v>
      </c>
    </row>
    <row r="1686" spans="1:33" x14ac:dyDescent="0.3">
      <c r="A1686" t="str">
        <f>RTD("nest.scriprtd",,"bse_cm|MFLTDVI25","Symbol")</f>
        <v>MFLTDVI25</v>
      </c>
      <c r="B1686" t="str">
        <f>RTD("nest.scriprtd",,"bse_cm|MFLTDVI25","Trading Symbol")</f>
        <v>MFLTDVI25</v>
      </c>
      <c r="C1686" t="str">
        <f>RTD("nest.scriprtd",,"bse_cm|MFLTDVI25","Exchange")</f>
        <v>BSE</v>
      </c>
      <c r="D1686">
        <f>RTD("nest.scriprtd",,"bse_cm|MFLTDVI25","Bid Qty")</f>
        <v>25</v>
      </c>
      <c r="E1686">
        <f>RTD("nest.scriprtd",,"bse_cm|MFLTDVI25","Bid Rate")</f>
        <v>1112</v>
      </c>
      <c r="F1686">
        <f>RTD("nest.scriprtd",,"bse_cm|MFLTDVI25","Ask Rate")</f>
        <v>1137.7</v>
      </c>
      <c r="G1686">
        <f>RTD("nest.scriprtd",,"bse_cm|MFLTDVI25","Ask Qty")</f>
        <v>100</v>
      </c>
      <c r="H1686">
        <f>RTD("nest.scriprtd",,"bse_cm|MFLTDVI25","LTP")</f>
        <v>0</v>
      </c>
      <c r="I1686" t="str">
        <f>RTD("nest.scriprtd",,"bse_cm|MFLTDVI25","LTT")</f>
        <v>00:00:00</v>
      </c>
      <c r="J1686">
        <f>RTD("nest.scriprtd",,"bse_cm|MFLTDVI25","% Change")</f>
        <v>-100</v>
      </c>
      <c r="K1686">
        <f>RTD("nest.scriprtd",,"bse_cm|MFLTDVI25","ATP")</f>
        <v>0</v>
      </c>
      <c r="L1686">
        <f>RTD("nest.scriprtd",,"bse_cm|MFLTDVI25","Volume Traded Today")</f>
        <v>0</v>
      </c>
      <c r="M1686">
        <f>RTD("nest.scriprtd",,"bse_cm|MFLTDVI25","Open")</f>
        <v>0</v>
      </c>
      <c r="N1686">
        <f>RTD("nest.scriprtd",,"bse_cm|MFLTDVI25","High")</f>
        <v>1129.8</v>
      </c>
      <c r="O1686">
        <f>RTD("nest.scriprtd",,"bse_cm|MFLTDVI25","Low ")</f>
        <v>1129.8</v>
      </c>
      <c r="P1686">
        <f>RTD("nest.scriprtd",,"bse_cm|MFLTDVI25","Prev Close")</f>
        <v>1129.8</v>
      </c>
      <c r="Q1686">
        <f>RTD("nest.scriprtd",,"bse_cm|MFLTDVI25","Face Value")</f>
        <v>1000</v>
      </c>
      <c r="R1686" t="str">
        <f>RTD("nest.scriprtd",,"bse_cm|MFLTDVI25","Isin code")</f>
        <v>INE414G07HA4</v>
      </c>
      <c r="S1686" s="9">
        <f>Table1[[#This Row],[Ask Rate]]*Table1[[#This Row],[Ask Qty]]</f>
        <v>113770</v>
      </c>
      <c r="T1686" t="str">
        <f>VLOOKUP(Table1[[#This Row],[Isin code]],Table2[#All],7,FALSE)</f>
        <v>--</v>
      </c>
      <c r="U1686" s="17" t="str">
        <f>VLOOKUP(Table1[[#This Row],[Isin code]],Table2[#All],8,FALSE)</f>
        <v>03-Nov-2025</v>
      </c>
      <c r="V1686" s="10">
        <f ca="1">Table1[[#This Row],[Maturity]]-TODAY()</f>
        <v>383</v>
      </c>
      <c r="W1686" t="str">
        <f>VLOOKUP(Table1[[#This Row],[Isin code]],Table2[#All],10,FALSE)</f>
        <v>At the End</v>
      </c>
      <c r="X1686">
        <f ca="1">_xlfn.DAYS(Table1[[#This Row],[Maturity]],TODAY())-15</f>
        <v>368</v>
      </c>
      <c r="Y168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86">
        <f>IF(Table1[[#This Row],[Ask Rate]]=0,0,Table1[[#This Row],[Face Value]]-Table1[[#This Row],[Ask Rate]])</f>
        <v>-137.70000000000005</v>
      </c>
      <c r="AA168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86">
        <f>Table1[[#This Row],[Face Value]]*Table1[[#This Row],[Rate]]*Table1[[#This Row],[Time]]</f>
        <v>0</v>
      </c>
      <c r="AC1686">
        <f>Table1[[#This Row],[SI]]+Table1[[#This Row],[Disc/Prem]]</f>
        <v>-137.70000000000005</v>
      </c>
      <c r="AD1686" s="3">
        <f>Table1[[#This Row],[Net Gain]]/Table1[[#This Row],[Ask Rate]]</f>
        <v>-0.12103366441065311</v>
      </c>
      <c r="AE1686" s="3">
        <f ca="1">IF(Table1[[#This Row],[Ask Qty]]=0,0,Table1[[#This Row],[Gross Yield]]*365/Table1[[#This Row],[Days Left]])</f>
        <v>-0.115345398198142</v>
      </c>
      <c r="AF1686" s="9">
        <f>+Table1[[#This Row],[Net Gain]]*Table1[[#This Row],[Ask Qty]]</f>
        <v>-13770.000000000004</v>
      </c>
      <c r="AG1686" t="str">
        <f ca="1">IF(Table1[[#This Row],[YTM]]&gt;0.12,IF(Table1[[#This Row],[Gross Profit]]&gt;10000,"Invest","Review"),"Low YTM")</f>
        <v>Low YTM</v>
      </c>
    </row>
    <row r="1687" spans="1:33" x14ac:dyDescent="0.3">
      <c r="A1687" t="str">
        <f>RTD("nest.scriprtd",,"bse_cm|EFSL26","Symbol")</f>
        <v>EFSL26</v>
      </c>
      <c r="B1687" t="str">
        <f>RTD("nest.scriprtd",,"bse_cm|EFSL26","Trading Symbol")</f>
        <v>EFSL26</v>
      </c>
      <c r="C1687" t="str">
        <f>RTD("nest.scriprtd",,"bse_cm|EFSL26","Exchange")</f>
        <v>BSE</v>
      </c>
      <c r="D1687">
        <f>RTD("nest.scriprtd",,"bse_cm|EFSL26","Bid Qty")</f>
        <v>179</v>
      </c>
      <c r="E1687">
        <f>RTD("nest.scriprtd",,"bse_cm|EFSL26","Bid Rate")</f>
        <v>1213.2</v>
      </c>
      <c r="F1687">
        <f>RTD("nest.scriprtd",,"bse_cm|EFSL26","Ask Rate")</f>
        <v>1281</v>
      </c>
      <c r="G1687">
        <f>RTD("nest.scriprtd",,"bse_cm|EFSL26","Ask Qty")</f>
        <v>41</v>
      </c>
      <c r="H1687">
        <f>RTD("nest.scriprtd",,"bse_cm|EFSL26","LTP")</f>
        <v>0</v>
      </c>
      <c r="I1687" t="str">
        <f>RTD("nest.scriprtd",,"bse_cm|EFSL26","LTT")</f>
        <v>00:00:00</v>
      </c>
      <c r="J1687">
        <f>RTD("nest.scriprtd",,"bse_cm|EFSL26","% Change")</f>
        <v>-100</v>
      </c>
      <c r="K1687">
        <f>RTD("nest.scriprtd",,"bse_cm|EFSL26","ATP")</f>
        <v>0</v>
      </c>
      <c r="L1687">
        <f>RTD("nest.scriprtd",,"bse_cm|EFSL26","Volume Traded Today")</f>
        <v>0</v>
      </c>
      <c r="M1687">
        <f>RTD("nest.scriprtd",,"bse_cm|EFSL26","Open")</f>
        <v>0</v>
      </c>
      <c r="N1687">
        <f>RTD("nest.scriprtd",,"bse_cm|EFSL26","High")</f>
        <v>1213.2</v>
      </c>
      <c r="O1687">
        <f>RTD("nest.scriprtd",,"bse_cm|EFSL26","Low ")</f>
        <v>1213.2</v>
      </c>
      <c r="P1687">
        <f>RTD("nest.scriprtd",,"bse_cm|EFSL26","Prev Close")</f>
        <v>1213.2</v>
      </c>
      <c r="Q1687">
        <f>RTD("nest.scriprtd",,"bse_cm|EFSL26","Face Value")</f>
        <v>1000</v>
      </c>
      <c r="R1687" t="str">
        <f>RTD("nest.scriprtd",,"bse_cm|EFSL26","Isin code")</f>
        <v>INE532F07CH1</v>
      </c>
      <c r="S1687" s="9">
        <f>Table1[[#This Row],[Ask Rate]]*Table1[[#This Row],[Ask Qty]]</f>
        <v>52521</v>
      </c>
      <c r="T1687" t="str">
        <f>VLOOKUP(Table1[[#This Row],[Isin code]],Table2[#All],7,FALSE)</f>
        <v>--</v>
      </c>
      <c r="U1687" s="17" t="str">
        <f>VLOOKUP(Table1[[#This Row],[Isin code]],Table2[#All],8,FALSE)</f>
        <v>10-Sep-2026</v>
      </c>
      <c r="V1687" s="10">
        <f ca="1">Table1[[#This Row],[Maturity]]-TODAY()</f>
        <v>694</v>
      </c>
      <c r="W1687" t="str">
        <f>VLOOKUP(Table1[[#This Row],[Isin code]],Table2[#All],10,FALSE)</f>
        <v>At the End</v>
      </c>
      <c r="X1687">
        <f ca="1">_xlfn.DAYS(Table1[[#This Row],[Maturity]],TODAY())-15</f>
        <v>679</v>
      </c>
      <c r="Y168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87">
        <f>IF(Table1[[#This Row],[Ask Rate]]=0,0,Table1[[#This Row],[Face Value]]-Table1[[#This Row],[Ask Rate]])</f>
        <v>-281</v>
      </c>
      <c r="AA168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87">
        <f>Table1[[#This Row],[Face Value]]*Table1[[#This Row],[Rate]]*Table1[[#This Row],[Time]]</f>
        <v>0</v>
      </c>
      <c r="AC1687">
        <f>Table1[[#This Row],[SI]]+Table1[[#This Row],[Disc/Prem]]</f>
        <v>-281</v>
      </c>
      <c r="AD1687" s="3">
        <f>Table1[[#This Row],[Net Gain]]/Table1[[#This Row],[Ask Rate]]</f>
        <v>-0.21935987509758001</v>
      </c>
      <c r="AE1687" s="3">
        <f ca="1">IF(Table1[[#This Row],[Ask Qty]]=0,0,Table1[[#This Row],[Gross Yield]]*365/Table1[[#This Row],[Days Left]])</f>
        <v>-0.11536938675881368</v>
      </c>
      <c r="AF1687" s="9">
        <f>+Table1[[#This Row],[Net Gain]]*Table1[[#This Row],[Ask Qty]]</f>
        <v>-11521</v>
      </c>
      <c r="AG1687" t="str">
        <f ca="1">IF(Table1[[#This Row],[YTM]]&gt;0.12,IF(Table1[[#This Row],[Gross Profit]]&gt;10000,"Invest","Review"),"Low YTM")</f>
        <v>Low YTM</v>
      </c>
    </row>
    <row r="1688" spans="1:33" x14ac:dyDescent="0.3">
      <c r="A1688" t="str">
        <f>RTD("nest.scriprtd",,"bse_cm|KFL25D","Symbol")</f>
        <v>KFL25D</v>
      </c>
      <c r="B1688" t="str">
        <f>RTD("nest.scriprtd",,"bse_cm|KFL25D","Trading Symbol")</f>
        <v>KFL25D</v>
      </c>
      <c r="C1688" t="str">
        <f>RTD("nest.scriprtd",,"bse_cm|KFL25D","Exchange")</f>
        <v>BSE</v>
      </c>
      <c r="D1688">
        <f>RTD("nest.scriprtd",,"bse_cm|KFL25D","Bid Qty")</f>
        <v>25</v>
      </c>
      <c r="E1688">
        <f>RTD("nest.scriprtd",,"bse_cm|KFL25D","Bid Rate")</f>
        <v>912.81</v>
      </c>
      <c r="F1688">
        <f>RTD("nest.scriprtd",,"bse_cm|KFL25D","Ask Rate")</f>
        <v>1078</v>
      </c>
      <c r="G1688">
        <f>RTD("nest.scriprtd",,"bse_cm|KFL25D","Ask Qty")</f>
        <v>20</v>
      </c>
      <c r="H1688">
        <f>RTD("nest.scriprtd",,"bse_cm|KFL25D","LTP")</f>
        <v>0</v>
      </c>
      <c r="I1688" t="str">
        <f>RTD("nest.scriprtd",,"bse_cm|KFL25D","LTT")</f>
        <v>00:00:00</v>
      </c>
      <c r="J1688">
        <f>RTD("nest.scriprtd",,"bse_cm|KFL25D","% Change")</f>
        <v>-100</v>
      </c>
      <c r="K1688">
        <f>RTD("nest.scriprtd",,"bse_cm|KFL25D","ATP")</f>
        <v>0</v>
      </c>
      <c r="L1688">
        <f>RTD("nest.scriprtd",,"bse_cm|KFL25D","Volume Traded Today")</f>
        <v>0</v>
      </c>
      <c r="M1688">
        <f>RTD("nest.scriprtd",,"bse_cm|KFL25D","Open")</f>
        <v>0</v>
      </c>
      <c r="N1688">
        <f>RTD("nest.scriprtd",,"bse_cm|KFL25D","High")</f>
        <v>1041</v>
      </c>
      <c r="O1688">
        <f>RTD("nest.scriprtd",,"bse_cm|KFL25D","Low ")</f>
        <v>990</v>
      </c>
      <c r="P1688">
        <f>RTD("nest.scriprtd",,"bse_cm|KFL25D","Prev Close")</f>
        <v>1041</v>
      </c>
      <c r="Q1688">
        <f>RTD("nest.scriprtd",,"bse_cm|KFL25D","Face Value")</f>
        <v>1000</v>
      </c>
      <c r="R1688" t="str">
        <f>RTD("nest.scriprtd",,"bse_cm|KFL25D","Isin code")</f>
        <v>INE403Q07DO6</v>
      </c>
      <c r="S1688" s="9">
        <f>Table1[[#This Row],[Ask Rate]]*Table1[[#This Row],[Ask Qty]]</f>
        <v>21560</v>
      </c>
      <c r="T1688" t="str">
        <f>VLOOKUP(Table1[[#This Row],[Isin code]],Table2[#All],7,FALSE)</f>
        <v>--</v>
      </c>
      <c r="U1688" s="17" t="str">
        <f>VLOOKUP(Table1[[#This Row],[Isin code]],Table2[#All],8,FALSE)</f>
        <v>27-May-2025</v>
      </c>
      <c r="V1688" s="10">
        <f ca="1">Table1[[#This Row],[Maturity]]-TODAY()</f>
        <v>223</v>
      </c>
      <c r="W1688" t="str">
        <f>VLOOKUP(Table1[[#This Row],[Isin code]],Table2[#All],10,FALSE)</f>
        <v>At the End</v>
      </c>
      <c r="X1688">
        <f ca="1">_xlfn.DAYS(Table1[[#This Row],[Maturity]],TODAY())-15</f>
        <v>208</v>
      </c>
      <c r="Y168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88">
        <f>IF(Table1[[#This Row],[Ask Rate]]=0,0,Table1[[#This Row],[Face Value]]-Table1[[#This Row],[Ask Rate]])</f>
        <v>-78</v>
      </c>
      <c r="AA168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88">
        <f>Table1[[#This Row],[Face Value]]*Table1[[#This Row],[Rate]]*Table1[[#This Row],[Time]]</f>
        <v>0</v>
      </c>
      <c r="AC1688">
        <f>Table1[[#This Row],[SI]]+Table1[[#This Row],[Disc/Prem]]</f>
        <v>-78</v>
      </c>
      <c r="AD1688" s="3">
        <f>Table1[[#This Row],[Net Gain]]/Table1[[#This Row],[Ask Rate]]</f>
        <v>-7.2356215213358069E-2</v>
      </c>
      <c r="AE1688" s="3">
        <f ca="1">IF(Table1[[#This Row],[Ask Qty]]=0,0,Table1[[#This Row],[Gross Yield]]*365/Table1[[#This Row],[Days Left]])</f>
        <v>-0.11843057647029459</v>
      </c>
      <c r="AF1688" s="9">
        <f>+Table1[[#This Row],[Net Gain]]*Table1[[#This Row],[Ask Qty]]</f>
        <v>-1560</v>
      </c>
      <c r="AG1688" t="str">
        <f ca="1">IF(Table1[[#This Row],[YTM]]&gt;0.12,IF(Table1[[#This Row],[Gross Profit]]&gt;10000,"Invest","Review"),"Low YTM")</f>
        <v>Low YTM</v>
      </c>
    </row>
    <row r="1689" spans="1:33" x14ac:dyDescent="0.3">
      <c r="A1689" t="str">
        <f>RTD("nest.scriprtd",,"bse_cm|MVAF27","Symbol")</f>
        <v>MVAF27</v>
      </c>
      <c r="B1689" t="str">
        <f>RTD("nest.scriprtd",,"bse_cm|MVAF27","Trading Symbol")</f>
        <v>MVAF27</v>
      </c>
      <c r="C1689" t="str">
        <f>RTD("nest.scriprtd",,"bse_cm|MVAF27","Exchange")</f>
        <v>BSE</v>
      </c>
      <c r="D1689">
        <f>RTD("nest.scriprtd",,"bse_cm|MVAF27","Bid Qty")</f>
        <v>50</v>
      </c>
      <c r="E1689">
        <f>RTD("nest.scriprtd",,"bse_cm|MVAF27","Bid Rate")</f>
        <v>1339.95</v>
      </c>
      <c r="F1689">
        <f>RTD("nest.scriprtd",,"bse_cm|MVAF27","Ask Rate")</f>
        <v>1540</v>
      </c>
      <c r="G1689">
        <f>RTD("nest.scriprtd",,"bse_cm|MVAF27","Ask Qty")</f>
        <v>100</v>
      </c>
      <c r="H1689">
        <f>RTD("nest.scriprtd",,"bse_cm|MVAF27","LTP")</f>
        <v>0</v>
      </c>
      <c r="I1689" t="str">
        <f>RTD("nest.scriprtd",,"bse_cm|MVAF27","LTT")</f>
        <v>00:00:00</v>
      </c>
      <c r="J1689">
        <f>RTD("nest.scriprtd",,"bse_cm|MVAF27","% Change")</f>
        <v>-100</v>
      </c>
      <c r="K1689">
        <f>RTD("nest.scriprtd",,"bse_cm|MVAF27","ATP")</f>
        <v>0</v>
      </c>
      <c r="L1689">
        <f>RTD("nest.scriprtd",,"bse_cm|MVAF27","Volume Traded Today")</f>
        <v>0</v>
      </c>
      <c r="M1689">
        <f>RTD("nest.scriprtd",,"bse_cm|MVAF27","Open")</f>
        <v>0</v>
      </c>
      <c r="N1689">
        <f>RTD("nest.scriprtd",,"bse_cm|MVAF27","High")</f>
        <v>1490</v>
      </c>
      <c r="O1689">
        <f>RTD("nest.scriprtd",,"bse_cm|MVAF27","Low ")</f>
        <v>1490</v>
      </c>
      <c r="P1689">
        <f>RTD("nest.scriprtd",,"bse_cm|MVAF27","Prev Close")</f>
        <v>1490</v>
      </c>
      <c r="Q1689">
        <f>RTD("nest.scriprtd",,"bse_cm|MVAF27","Face Value")</f>
        <v>1000</v>
      </c>
      <c r="R1689" t="str">
        <f>RTD("nest.scriprtd",,"bse_cm|MVAF27","Isin code")</f>
        <v>INE00XE07184</v>
      </c>
      <c r="S1689" s="9">
        <f>Table1[[#This Row],[Ask Rate]]*Table1[[#This Row],[Ask Qty]]</f>
        <v>154000</v>
      </c>
      <c r="T1689" t="str">
        <f>VLOOKUP(Table1[[#This Row],[Isin code]],Table2[#All],7,FALSE)</f>
        <v>--</v>
      </c>
      <c r="U1689" s="17" t="str">
        <f>VLOOKUP(Table1[[#This Row],[Isin code]],Table2[#All],8,FALSE)</f>
        <v>17-Sep-2027</v>
      </c>
      <c r="V1689" s="10">
        <f ca="1">Table1[[#This Row],[Maturity]]-TODAY()</f>
        <v>1066</v>
      </c>
      <c r="W1689" t="str">
        <f>VLOOKUP(Table1[[#This Row],[Isin code]],Table2[#All],10,FALSE)</f>
        <v>At the End</v>
      </c>
      <c r="X1689">
        <f ca="1">_xlfn.DAYS(Table1[[#This Row],[Maturity]],TODAY())-15</f>
        <v>1051</v>
      </c>
      <c r="Y168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89">
        <f>IF(Table1[[#This Row],[Ask Rate]]=0,0,Table1[[#This Row],[Face Value]]-Table1[[#This Row],[Ask Rate]])</f>
        <v>-540</v>
      </c>
      <c r="AA168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89">
        <f>Table1[[#This Row],[Face Value]]*Table1[[#This Row],[Rate]]*Table1[[#This Row],[Time]]</f>
        <v>0</v>
      </c>
      <c r="AC1689">
        <f>Table1[[#This Row],[SI]]+Table1[[#This Row],[Disc/Prem]]</f>
        <v>-540</v>
      </c>
      <c r="AD1689" s="3">
        <f>Table1[[#This Row],[Net Gain]]/Table1[[#This Row],[Ask Rate]]</f>
        <v>-0.35064935064935066</v>
      </c>
      <c r="AE1689" s="3">
        <f ca="1">IF(Table1[[#This Row],[Ask Qty]]=0,0,Table1[[#This Row],[Gross Yield]]*365/Table1[[#This Row],[Days Left]])</f>
        <v>-0.120062863965303</v>
      </c>
      <c r="AF1689" s="9">
        <f>+Table1[[#This Row],[Net Gain]]*Table1[[#This Row],[Ask Qty]]</f>
        <v>-54000</v>
      </c>
      <c r="AG1689" t="str">
        <f ca="1">IF(Table1[[#This Row],[YTM]]&gt;0.12,IF(Table1[[#This Row],[Gross Profit]]&gt;10000,"Invest","Review"),"Low YTM")</f>
        <v>Low YTM</v>
      </c>
    </row>
    <row r="1690" spans="1:33" x14ac:dyDescent="0.3">
      <c r="A1690" t="str">
        <f>RTD("nest.scriprtd",,"nse_cm|948SCL26D-AI","Symbol")</f>
        <v>948SCL26D</v>
      </c>
      <c r="B1690" t="str">
        <f>RTD("nest.scriprtd",,"nse_cm|948SCL26D-AI","Trading Symbol")</f>
        <v>948SCL26D-AI</v>
      </c>
      <c r="C1690" t="str">
        <f>RTD("nest.scriprtd",,"nse_cm|948SCL26D-AI","Exchange")</f>
        <v>NSE</v>
      </c>
      <c r="D1690">
        <f>RTD("nest.scriprtd",,"nse_cm|948SCL26D-AI","Bid Qty")</f>
        <v>5</v>
      </c>
      <c r="E1690">
        <f>RTD("nest.scriprtd",,"nse_cm|948SCL26D-AI","Bid Rate")</f>
        <v>800</v>
      </c>
      <c r="F1690">
        <f>RTD("nest.scriprtd",,"nse_cm|948SCL26D-AI","Ask Rate")</f>
        <v>920</v>
      </c>
      <c r="G1690">
        <f>RTD("nest.scriprtd",,"nse_cm|948SCL26D-AI","Ask Qty")</f>
        <v>300</v>
      </c>
      <c r="H1690">
        <f>RTD("nest.scriprtd",,"nse_cm|948SCL26D-AI","LTP")</f>
        <v>875</v>
      </c>
      <c r="I1690" t="str">
        <f>RTD("nest.scriprtd",,"nse_cm|948SCL26D-AI","LTT")</f>
        <v/>
      </c>
      <c r="J1690">
        <f>RTD("nest.scriprtd",,"nse_cm|948SCL26D-AI","% Change")</f>
        <v>0</v>
      </c>
      <c r="K1690">
        <f>RTD("nest.scriprtd",,"nse_cm|948SCL26D-AI","ATP")</f>
        <v>0</v>
      </c>
      <c r="L1690">
        <f>RTD("nest.scriprtd",,"nse_cm|948SCL26D-AI","Volume Traded Today")</f>
        <v>0</v>
      </c>
      <c r="M1690">
        <f>RTD("nest.scriprtd",,"nse_cm|948SCL26D-AI","Open")</f>
        <v>0</v>
      </c>
      <c r="N1690">
        <f>RTD("nest.scriprtd",,"nse_cm|948SCL26D-AI","High")</f>
        <v>875</v>
      </c>
      <c r="O1690">
        <f>RTD("nest.scriprtd",,"nse_cm|948SCL26D-AI","Low ")</f>
        <v>875</v>
      </c>
      <c r="P1690">
        <f>RTD("nest.scriprtd",,"nse_cm|948SCL26D-AI","Prev Close")</f>
        <v>875</v>
      </c>
      <c r="Q1690">
        <f>RTD("nest.scriprtd",,"nse_cm|948SCL26D-AI","Face Value")</f>
        <v>667</v>
      </c>
      <c r="R1690" t="str">
        <f>RTD("nest.scriprtd",,"nse_cm|948SCL26D-AI","Isin code")</f>
        <v>INE148I07NZ9</v>
      </c>
      <c r="S1690" s="9">
        <f>Table1[[#This Row],[Ask Rate]]*Table1[[#This Row],[Ask Qty]]</f>
        <v>276000</v>
      </c>
      <c r="T1690">
        <f>VLOOKUP(Table1[[#This Row],[Isin code]],Table2[#All],7,FALSE)</f>
        <v>9.48</v>
      </c>
      <c r="U1690" s="17" t="str">
        <f>VLOOKUP(Table1[[#This Row],[Isin code]],Table2[#All],8,FALSE)</f>
        <v>23-Mar-2026</v>
      </c>
      <c r="V1690" s="10">
        <f ca="1">Table1[[#This Row],[Maturity]]-TODAY()</f>
        <v>523</v>
      </c>
      <c r="W1690" t="str">
        <f>VLOOKUP(Table1[[#This Row],[Isin code]],Table2[#All],10,FALSE)</f>
        <v>Monthly</v>
      </c>
      <c r="X1690">
        <f ca="1">_xlfn.DAYS(Table1[[#This Row],[Maturity]],TODAY())-15</f>
        <v>508</v>
      </c>
      <c r="Y1690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17</v>
      </c>
      <c r="Z1690">
        <f>IF(Table1[[#This Row],[Ask Rate]]=0,0,Table1[[#This Row],[Face Value]]-Table1[[#This Row],[Ask Rate]])</f>
        <v>-253</v>
      </c>
      <c r="AA1690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1690">
        <f ca="1">Table1[[#This Row],[Face Value]]*Table1[[#This Row],[Rate]]*Table1[[#This Row],[Time]]</f>
        <v>89.578100000000006</v>
      </c>
      <c r="AC1690">
        <f ca="1">Table1[[#This Row],[SI]]+Table1[[#This Row],[Disc/Prem]]</f>
        <v>-163.42189999999999</v>
      </c>
      <c r="AD1690" s="3">
        <f ca="1">Table1[[#This Row],[Net Gain]]/Table1[[#This Row],[Ask Rate]]</f>
        <v>-0.1776325</v>
      </c>
      <c r="AE1690" s="3">
        <f ca="1">IF(Table1[[#This Row],[Ask Qty]]=0,0,Table1[[#This Row],[Gross Yield]]*365/Table1[[#This Row],[Days Left]])</f>
        <v>-0.12396914435946464</v>
      </c>
      <c r="AF1690" s="9">
        <f ca="1">+Table1[[#This Row],[Net Gain]]*Table1[[#This Row],[Ask Qty]]</f>
        <v>-49026.57</v>
      </c>
      <c r="AG1690" t="str">
        <f ca="1">IF(Table1[[#This Row],[YTM]]&gt;0.12,IF(Table1[[#This Row],[Gross Profit]]&gt;10000,"Invest","Review"),"Low YTM")</f>
        <v>Low YTM</v>
      </c>
    </row>
    <row r="1691" spans="1:33" x14ac:dyDescent="0.3">
      <c r="A1691" t="str">
        <f>RTD("nest.scriprtd",,"bse_cm|1175KLM25","Symbol")</f>
        <v>1175KLM25</v>
      </c>
      <c r="B1691" t="str">
        <f>RTD("nest.scriprtd",,"bse_cm|1175KLM25","Trading Symbol")</f>
        <v>1175KLM25</v>
      </c>
      <c r="C1691" t="str">
        <f>RTD("nest.scriprtd",,"bse_cm|1175KLM25","Exchange")</f>
        <v>BSE</v>
      </c>
      <c r="D1691">
        <f>RTD("nest.scriprtd",,"bse_cm|1175KLM25","Bid Qty")</f>
        <v>30</v>
      </c>
      <c r="E1691">
        <f>RTD("nest.scriprtd",,"bse_cm|1175KLM25","Bid Rate")</f>
        <v>950</v>
      </c>
      <c r="F1691">
        <f>RTD("nest.scriprtd",,"bse_cm|1175KLM25","Ask Rate")</f>
        <v>1200</v>
      </c>
      <c r="G1691">
        <f>RTD("nest.scriprtd",,"bse_cm|1175KLM25","Ask Qty")</f>
        <v>2</v>
      </c>
      <c r="H1691">
        <f>RTD("nest.scriprtd",,"bse_cm|1175KLM25","LTP")</f>
        <v>0</v>
      </c>
      <c r="I1691" t="str">
        <f>RTD("nest.scriprtd",,"bse_cm|1175KLM25","LTT")</f>
        <v>00:00:00</v>
      </c>
      <c r="J1691">
        <f>RTD("nest.scriprtd",,"bse_cm|1175KLM25","% Change")</f>
        <v>-100</v>
      </c>
      <c r="K1691">
        <f>RTD("nest.scriprtd",,"bse_cm|1175KLM25","ATP")</f>
        <v>0</v>
      </c>
      <c r="L1691">
        <f>RTD("nest.scriprtd",,"bse_cm|1175KLM25","Volume Traded Today")</f>
        <v>0</v>
      </c>
      <c r="M1691">
        <f>RTD("nest.scriprtd",,"bse_cm|1175KLM25","Open")</f>
        <v>0</v>
      </c>
      <c r="N1691">
        <f>RTD("nest.scriprtd",,"bse_cm|1175KLM25","High")</f>
        <v>1000</v>
      </c>
      <c r="O1691">
        <f>RTD("nest.scriprtd",,"bse_cm|1175KLM25","Low ")</f>
        <v>1000</v>
      </c>
      <c r="P1691">
        <f>RTD("nest.scriprtd",,"bse_cm|1175KLM25","Prev Close")</f>
        <v>1000</v>
      </c>
      <c r="Q1691">
        <f>RTD("nest.scriprtd",,"bse_cm|1175KLM25","Face Value")</f>
        <v>1000</v>
      </c>
      <c r="R1691" t="str">
        <f>RTD("nest.scriprtd",,"bse_cm|1175KLM25","Isin code")</f>
        <v>INE01I507273</v>
      </c>
      <c r="S1691" s="9">
        <f>Table1[[#This Row],[Ask Rate]]*Table1[[#This Row],[Ask Qty]]</f>
        <v>2400</v>
      </c>
      <c r="T1691">
        <f>VLOOKUP(Table1[[#This Row],[Isin code]],Table2[#All],7,FALSE)</f>
        <v>11.75</v>
      </c>
      <c r="U1691" s="17" t="str">
        <f>VLOOKUP(Table1[[#This Row],[Isin code]],Table2[#All],8,FALSE)</f>
        <v>01-Jul-2025</v>
      </c>
      <c r="V1691" s="10">
        <f ca="1">Table1[[#This Row],[Maturity]]-TODAY()</f>
        <v>258</v>
      </c>
      <c r="W1691" t="str">
        <f>VLOOKUP(Table1[[#This Row],[Isin code]],Table2[#All],10,FALSE)</f>
        <v>Monthly</v>
      </c>
      <c r="X1691">
        <f ca="1">_xlfn.DAYS(Table1[[#This Row],[Maturity]],TODAY())-15</f>
        <v>243</v>
      </c>
      <c r="Y169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9</v>
      </c>
      <c r="Z1691">
        <f>IF(Table1[[#This Row],[Ask Rate]]=0,0,Table1[[#This Row],[Face Value]]-Table1[[#This Row],[Ask Rate]])</f>
        <v>-200</v>
      </c>
      <c r="AA1691">
        <f>IF(Table1[[#This Row],[Freq]]="Yearly",Table1[[#This Row],[Coupon_Rate]]/100,IF(Table1[[#This Row],[Freq]]="Monthly",Table1[[#This Row],[Coupon_Rate]]/1200,IF(Table1[[#This Row],[Freq]]="Quarterly",Table1[[#This Row],[Coupon_Rate]]/400,0)))</f>
        <v>9.7916666666666673E-3</v>
      </c>
      <c r="AB1691">
        <f ca="1">Table1[[#This Row],[Face Value]]*Table1[[#This Row],[Rate]]*Table1[[#This Row],[Time]]</f>
        <v>88.125000000000014</v>
      </c>
      <c r="AC1691">
        <f ca="1">Table1[[#This Row],[SI]]+Table1[[#This Row],[Disc/Prem]]</f>
        <v>-111.87499999999999</v>
      </c>
      <c r="AD1691" s="3">
        <f ca="1">Table1[[#This Row],[Net Gain]]/Table1[[#This Row],[Ask Rate]]</f>
        <v>-9.3229166666666655E-2</v>
      </c>
      <c r="AE1691" s="3">
        <f ca="1">IF(Table1[[#This Row],[Ask Qty]]=0,0,Table1[[#This Row],[Gross Yield]]*365/Table1[[#This Row],[Days Left]])</f>
        <v>-0.1318939760981912</v>
      </c>
      <c r="AF1691" s="9">
        <f ca="1">+Table1[[#This Row],[Net Gain]]*Table1[[#This Row],[Ask Qty]]</f>
        <v>-223.74999999999997</v>
      </c>
      <c r="AG1691" t="str">
        <f ca="1">IF(Table1[[#This Row],[YTM]]&gt;0.12,IF(Table1[[#This Row],[Gross Profit]]&gt;10000,"Invest","Review"),"Low YTM")</f>
        <v>Low YTM</v>
      </c>
    </row>
    <row r="1692" spans="1:33" x14ac:dyDescent="0.3">
      <c r="A1692" t="str">
        <f>RTD("nest.scriprtd",,"bse_cm|MFL25A","Symbol")</f>
        <v>MFL25A</v>
      </c>
      <c r="B1692" t="str">
        <f>RTD("nest.scriprtd",,"bse_cm|MFL25A","Trading Symbol")</f>
        <v>MFL25A</v>
      </c>
      <c r="C1692" t="str">
        <f>RTD("nest.scriprtd",,"bse_cm|MFL25A","Exchange")</f>
        <v>BSE</v>
      </c>
      <c r="D1692">
        <f>RTD("nest.scriprtd",,"bse_cm|MFL25A","Bid Qty")</f>
        <v>5</v>
      </c>
      <c r="E1692">
        <f>RTD("nest.scriprtd",,"bse_cm|MFL25A","Bid Rate")</f>
        <v>1083</v>
      </c>
      <c r="F1692">
        <f>RTD("nest.scriprtd",,"bse_cm|MFL25A","Ask Rate")</f>
        <v>1119</v>
      </c>
      <c r="G1692">
        <f>RTD("nest.scriprtd",,"bse_cm|MFL25A","Ask Qty")</f>
        <v>61</v>
      </c>
      <c r="H1692">
        <f>RTD("nest.scriprtd",,"bse_cm|MFL25A","LTP")</f>
        <v>0</v>
      </c>
      <c r="I1692" t="str">
        <f>RTD("nest.scriprtd",,"bse_cm|MFL25A","LTT")</f>
        <v>00:00:00</v>
      </c>
      <c r="J1692">
        <f>RTD("nest.scriprtd",,"bse_cm|MFL25A","% Change")</f>
        <v>-100</v>
      </c>
      <c r="K1692">
        <f>RTD("nest.scriprtd",,"bse_cm|MFL25A","ATP")</f>
        <v>0</v>
      </c>
      <c r="L1692">
        <f>RTD("nest.scriprtd",,"bse_cm|MFL25A","Volume Traded Today")</f>
        <v>0</v>
      </c>
      <c r="M1692">
        <f>RTD("nest.scriprtd",,"bse_cm|MFL25A","Open")</f>
        <v>0</v>
      </c>
      <c r="N1692">
        <f>RTD("nest.scriprtd",,"bse_cm|MFL25A","High")</f>
        <v>1115</v>
      </c>
      <c r="O1692">
        <f>RTD("nest.scriprtd",,"bse_cm|MFL25A","Low ")</f>
        <v>1105.8</v>
      </c>
      <c r="P1692">
        <f>RTD("nest.scriprtd",,"bse_cm|MFL25A","Prev Close")</f>
        <v>1115</v>
      </c>
      <c r="Q1692">
        <f>RTD("nest.scriprtd",,"bse_cm|MFL25A","Face Value")</f>
        <v>1000</v>
      </c>
      <c r="R1692" t="str">
        <f>RTD("nest.scriprtd",,"bse_cm|MFL25A","Isin code")</f>
        <v>INE549K07CA0</v>
      </c>
      <c r="S1692" s="9">
        <f>Table1[[#This Row],[Ask Rate]]*Table1[[#This Row],[Ask Qty]]</f>
        <v>68259</v>
      </c>
      <c r="T1692" t="str">
        <f>VLOOKUP(Table1[[#This Row],[Isin code]],Table2[#All],7,FALSE)</f>
        <v>--</v>
      </c>
      <c r="U1692" s="17" t="str">
        <f>VLOOKUP(Table1[[#This Row],[Isin code]],Table2[#All],8,FALSE)</f>
        <v>02-Aug-2025</v>
      </c>
      <c r="V1692" s="10">
        <f ca="1">Table1[[#This Row],[Maturity]]-TODAY()</f>
        <v>290</v>
      </c>
      <c r="W1692" t="str">
        <f>VLOOKUP(Table1[[#This Row],[Isin code]],Table2[#All],10,FALSE)</f>
        <v>At the End</v>
      </c>
      <c r="X1692">
        <f ca="1">_xlfn.DAYS(Table1[[#This Row],[Maturity]],TODAY())-15</f>
        <v>275</v>
      </c>
      <c r="Y169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92">
        <f>IF(Table1[[#This Row],[Ask Rate]]=0,0,Table1[[#This Row],[Face Value]]-Table1[[#This Row],[Ask Rate]])</f>
        <v>-119</v>
      </c>
      <c r="AA169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92">
        <f>Table1[[#This Row],[Face Value]]*Table1[[#This Row],[Rate]]*Table1[[#This Row],[Time]]</f>
        <v>0</v>
      </c>
      <c r="AC1692">
        <f>Table1[[#This Row],[SI]]+Table1[[#This Row],[Disc/Prem]]</f>
        <v>-119</v>
      </c>
      <c r="AD1692" s="3">
        <f>Table1[[#This Row],[Net Gain]]/Table1[[#This Row],[Ask Rate]]</f>
        <v>-0.1063449508489723</v>
      </c>
      <c r="AE1692" s="3">
        <f ca="1">IF(Table1[[#This Row],[Ask Qty]]=0,0,Table1[[#This Row],[Gross Yield]]*365/Table1[[#This Row],[Days Left]])</f>
        <v>-0.13384795537887892</v>
      </c>
      <c r="AF1692" s="9">
        <f>+Table1[[#This Row],[Net Gain]]*Table1[[#This Row],[Ask Qty]]</f>
        <v>-7259</v>
      </c>
      <c r="AG1692" t="str">
        <f ca="1">IF(Table1[[#This Row],[YTM]]&gt;0.12,IF(Table1[[#This Row],[Gross Profit]]&gt;10000,"Invest","Review"),"Low YTM")</f>
        <v>Low YTM</v>
      </c>
    </row>
    <row r="1693" spans="1:33" hidden="1" x14ac:dyDescent="0.3">
      <c r="A1693" t="str">
        <f>RTD("nest.scriprtd",,"nse_cm|815LTF24-NK","Symbol")</f>
        <v>815LTF24</v>
      </c>
      <c r="B1693" t="str">
        <f>RTD("nest.scriprtd",,"nse_cm|815LTF24-NK","Trading Symbol")</f>
        <v>815LTF24-NK</v>
      </c>
      <c r="C1693" t="str">
        <f>RTD("nest.scriprtd",,"nse_cm|815LTF24-NK","Exchange")</f>
        <v>NSE</v>
      </c>
      <c r="D1693">
        <f>RTD("nest.scriprtd",,"nse_cm|815LTF24-NK","Bid Qty")</f>
        <v>0</v>
      </c>
      <c r="E1693">
        <f>RTD("nest.scriprtd",,"nse_cm|815LTF24-NK","Bid Rate")</f>
        <v>0</v>
      </c>
      <c r="F1693">
        <f>RTD("nest.scriprtd",,"nse_cm|815LTF24-NK","Ask Rate")</f>
        <v>1040</v>
      </c>
      <c r="G1693">
        <f>RTD("nest.scriprtd",,"nse_cm|815LTF24-NK","Ask Qty")</f>
        <v>74</v>
      </c>
      <c r="H1693">
        <f>RTD("nest.scriprtd",,"nse_cm|815LTF24-NK","LTP")</f>
        <v>0</v>
      </c>
      <c r="I1693" t="str">
        <f>RTD("nest.scriprtd",,"nse_cm|815LTF24-NK","LTT")</f>
        <v/>
      </c>
      <c r="J1693">
        <f>RTD("nest.scriprtd",,"nse_cm|815LTF24-NK","% Change")</f>
        <v>-100</v>
      </c>
      <c r="K1693">
        <f>RTD("nest.scriprtd",,"nse_cm|815LTF24-NK","ATP")</f>
        <v>0</v>
      </c>
      <c r="L1693">
        <f>RTD("nest.scriprtd",,"nse_cm|815LTF24-NK","Volume Traded Today")</f>
        <v>0</v>
      </c>
      <c r="M1693">
        <f>RTD("nest.scriprtd",,"nse_cm|815LTF24-NK","Open")</f>
        <v>0</v>
      </c>
      <c r="N1693">
        <f>RTD("nest.scriprtd",,"nse_cm|815LTF24-NK","High")</f>
        <v>0</v>
      </c>
      <c r="O1693">
        <f>RTD("nest.scriprtd",,"nse_cm|815LTF24-NK","Low ")</f>
        <v>0</v>
      </c>
      <c r="P1693">
        <f>RTD("nest.scriprtd",,"nse_cm|815LTF24-NK","Prev Close")</f>
        <v>1000</v>
      </c>
      <c r="Q1693">
        <f>RTD("nest.scriprtd",,"nse_cm|815LTF24-NK","Face Value")</f>
        <v>1000</v>
      </c>
      <c r="R1693" t="str">
        <f>RTD("nest.scriprtd",,"nse_cm|815LTF24-NK","Isin code")</f>
        <v>INE027E07AZ1</v>
      </c>
      <c r="S1693" s="9">
        <f>Table1[[#This Row],[Ask Rate]]*Table1[[#This Row],[Ask Qty]]</f>
        <v>76960</v>
      </c>
      <c r="T1693">
        <f>VLOOKUP(Table1[[#This Row],[Isin code]],Table2[#All],7,FALSE)</f>
        <v>8.15</v>
      </c>
      <c r="U1693" s="17" t="str">
        <f>VLOOKUP(Table1[[#This Row],[Isin code]],Table2[#All],8,FALSE)</f>
        <v>23-Dec-2024</v>
      </c>
      <c r="V1693" s="10">
        <f ca="1">Table1[[#This Row],[Maturity]]-TODAY()</f>
        <v>68</v>
      </c>
      <c r="W1693" t="str">
        <f>VLOOKUP(Table1[[#This Row],[Isin code]],Table2[#All],10,FALSE)</f>
        <v>Monthly</v>
      </c>
      <c r="X1693">
        <f ca="1">_xlfn.DAYS(Table1[[#This Row],[Maturity]],TODAY())-15</f>
        <v>53</v>
      </c>
      <c r="Y169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693">
        <f>IF(Table1[[#This Row],[Ask Rate]]=0,0,Table1[[#This Row],[Face Value]]-Table1[[#This Row],[Ask Rate]])</f>
        <v>-40</v>
      </c>
      <c r="AA1693">
        <f>IF(Table1[[#This Row],[Freq]]="Yearly",Table1[[#This Row],[Coupon_Rate]]/100,IF(Table1[[#This Row],[Freq]]="Monthly",Table1[[#This Row],[Coupon_Rate]]/1200,IF(Table1[[#This Row],[Freq]]="Quarterly",Table1[[#This Row],[Coupon_Rate]]/400,0)))</f>
        <v>6.7916666666666672E-3</v>
      </c>
      <c r="AB1693">
        <f ca="1">Table1[[#This Row],[Face Value]]*Table1[[#This Row],[Rate]]*Table1[[#This Row],[Time]]</f>
        <v>13.583333333333334</v>
      </c>
      <c r="AC1693">
        <f ca="1">Table1[[#This Row],[SI]]+Table1[[#This Row],[Disc/Prem]]</f>
        <v>-26.416666666666664</v>
      </c>
      <c r="AD1693" s="3">
        <f ca="1">Table1[[#This Row],[Net Gain]]/Table1[[#This Row],[Ask Rate]]</f>
        <v>-2.5400641025641022E-2</v>
      </c>
      <c r="AE1693" s="3">
        <f ca="1">IF(Table1[[#This Row],[Ask Qty]]=0,0,Table1[[#This Row],[Gross Yield]]*365/Table1[[#This Row],[Days Left]])</f>
        <v>-0.1363416760935143</v>
      </c>
      <c r="AF1693" s="9">
        <f ca="1">+Table1[[#This Row],[Net Gain]]*Table1[[#This Row],[Ask Qty]]</f>
        <v>-1954.8333333333333</v>
      </c>
      <c r="AG1693" t="str">
        <f ca="1">IF(Table1[[#This Row],[YTM]]&gt;0.12,IF(Table1[[#This Row],[Gross Profit]]&gt;10000,"Invest","Review"),"Low YTM")</f>
        <v>Low YTM</v>
      </c>
    </row>
    <row r="1694" spans="1:33" x14ac:dyDescent="0.3">
      <c r="A1694" t="str">
        <f>RTD("nest.scriprtd",,"bse_cm|EFSL25","Symbol")</f>
        <v>EFSL25</v>
      </c>
      <c r="B1694" t="str">
        <f>RTD("nest.scriprtd",,"bse_cm|EFSL25","Trading Symbol")</f>
        <v>EFSL25</v>
      </c>
      <c r="C1694" t="str">
        <f>RTD("nest.scriprtd",,"bse_cm|EFSL25","Exchange")</f>
        <v>BSE</v>
      </c>
      <c r="D1694">
        <f>RTD("nest.scriprtd",,"bse_cm|EFSL25","Bid Qty")</f>
        <v>100</v>
      </c>
      <c r="E1694">
        <f>RTD("nest.scriprtd",,"bse_cm|EFSL25","Bid Rate")</f>
        <v>1130.5999999999999</v>
      </c>
      <c r="F1694">
        <f>RTD("nest.scriprtd",,"bse_cm|EFSL25","Ask Rate")</f>
        <v>1162.3499999999999</v>
      </c>
      <c r="G1694">
        <f>RTD("nest.scriprtd",,"bse_cm|EFSL25","Ask Qty")</f>
        <v>11</v>
      </c>
      <c r="H1694">
        <f>RTD("nest.scriprtd",,"bse_cm|EFSL25","LTP")</f>
        <v>0</v>
      </c>
      <c r="I1694" t="str">
        <f>RTD("nest.scriprtd",,"bse_cm|EFSL25","LTT")</f>
        <v>00:00:00</v>
      </c>
      <c r="J1694">
        <f>RTD("nest.scriprtd",,"bse_cm|EFSL25","% Change")</f>
        <v>-100</v>
      </c>
      <c r="K1694">
        <f>RTD("nest.scriprtd",,"bse_cm|EFSL25","ATP")</f>
        <v>0</v>
      </c>
      <c r="L1694">
        <f>RTD("nest.scriprtd",,"bse_cm|EFSL25","Volume Traded Today")</f>
        <v>0</v>
      </c>
      <c r="M1694">
        <f>RTD("nest.scriprtd",,"bse_cm|EFSL25","Open")</f>
        <v>0</v>
      </c>
      <c r="N1694">
        <f>RTD("nest.scriprtd",,"bse_cm|EFSL25","High")</f>
        <v>1117.2</v>
      </c>
      <c r="O1694">
        <f>RTD("nest.scriprtd",,"bse_cm|EFSL25","Low ")</f>
        <v>1117.2</v>
      </c>
      <c r="P1694">
        <f>RTD("nest.scriprtd",,"bse_cm|EFSL25","Prev Close")</f>
        <v>1117.2</v>
      </c>
      <c r="Q1694">
        <f>RTD("nest.scriprtd",,"bse_cm|EFSL25","Face Value")</f>
        <v>1000</v>
      </c>
      <c r="R1694" t="str">
        <f>RTD("nest.scriprtd",,"bse_cm|EFSL25","Isin code")</f>
        <v>INE532F07CZ3</v>
      </c>
      <c r="S1694" s="9">
        <f>Table1[[#This Row],[Ask Rate]]*Table1[[#This Row],[Ask Qty]]</f>
        <v>12785.849999999999</v>
      </c>
      <c r="T1694" t="str">
        <f>VLOOKUP(Table1[[#This Row],[Isin code]],Table2[#All],7,FALSE)</f>
        <v>--</v>
      </c>
      <c r="U1694" s="17" t="str">
        <f>VLOOKUP(Table1[[#This Row],[Isin code]],Table2[#All],8,FALSE)</f>
        <v>20-Oct-2025</v>
      </c>
      <c r="V1694" s="10">
        <f ca="1">Table1[[#This Row],[Maturity]]-TODAY()</f>
        <v>369</v>
      </c>
      <c r="W1694" t="str">
        <f>VLOOKUP(Table1[[#This Row],[Isin code]],Table2[#All],10,FALSE)</f>
        <v>At the End</v>
      </c>
      <c r="X1694">
        <f ca="1">_xlfn.DAYS(Table1[[#This Row],[Maturity]],TODAY())-15</f>
        <v>354</v>
      </c>
      <c r="Y169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94">
        <f>IF(Table1[[#This Row],[Ask Rate]]=0,0,Table1[[#This Row],[Face Value]]-Table1[[#This Row],[Ask Rate]])</f>
        <v>-162.34999999999991</v>
      </c>
      <c r="AA169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94">
        <f>Table1[[#This Row],[Face Value]]*Table1[[#This Row],[Rate]]*Table1[[#This Row],[Time]]</f>
        <v>0</v>
      </c>
      <c r="AC1694">
        <f>Table1[[#This Row],[SI]]+Table1[[#This Row],[Disc/Prem]]</f>
        <v>-162.34999999999991</v>
      </c>
      <c r="AD1694" s="3">
        <f>Table1[[#This Row],[Net Gain]]/Table1[[#This Row],[Ask Rate]]</f>
        <v>-0.13967393642190384</v>
      </c>
      <c r="AE1694" s="3">
        <f ca="1">IF(Table1[[#This Row],[Ask Qty]]=0,0,Table1[[#This Row],[Gross Yield]]*365/Table1[[#This Row],[Days Left]])</f>
        <v>-0.13815985581028428</v>
      </c>
      <c r="AF1694" s="9">
        <f>+Table1[[#This Row],[Net Gain]]*Table1[[#This Row],[Ask Qty]]</f>
        <v>-1785.849999999999</v>
      </c>
      <c r="AG1694" t="str">
        <f ca="1">IF(Table1[[#This Row],[YTM]]&gt;0.12,IF(Table1[[#This Row],[Gross Profit]]&gt;10000,"Invest","Review"),"Low YTM")</f>
        <v>Low YTM</v>
      </c>
    </row>
    <row r="1695" spans="1:33" x14ac:dyDescent="0.3">
      <c r="A1695" t="str">
        <f>RTD("nest.scriprtd",,"nse_cm|960ISFL25-N1","Symbol")</f>
        <v>960ISFL25</v>
      </c>
      <c r="B1695" t="str">
        <f>RTD("nest.scriprtd",,"nse_cm|960ISFL25-N1","Trading Symbol")</f>
        <v>960ISFL25-N1</v>
      </c>
      <c r="C1695" t="str">
        <f>RTD("nest.scriprtd",,"nse_cm|960ISFL25-N1","Exchange")</f>
        <v>NSE</v>
      </c>
      <c r="D1695">
        <f>RTD("nest.scriprtd",,"nse_cm|960ISFL25-N1","Bid Qty")</f>
        <v>10</v>
      </c>
      <c r="E1695">
        <f>RTD("nest.scriprtd",,"nse_cm|960ISFL25-N1","Bid Rate")</f>
        <v>1040</v>
      </c>
      <c r="F1695">
        <f>RTD("nest.scriprtd",,"nse_cm|960ISFL25-N1","Ask Rate")</f>
        <v>1200</v>
      </c>
      <c r="G1695">
        <f>RTD("nest.scriprtd",,"nse_cm|960ISFL25-N1","Ask Qty")</f>
        <v>10</v>
      </c>
      <c r="H1695">
        <f>RTD("nest.scriprtd",,"nse_cm|960ISFL25-N1","LTP")</f>
        <v>1040</v>
      </c>
      <c r="I1695" t="str">
        <f>RTD("nest.scriprtd",,"nse_cm|960ISFL25-N1","LTT")</f>
        <v/>
      </c>
      <c r="J1695">
        <f>RTD("nest.scriprtd",,"nse_cm|960ISFL25-N1","% Change")</f>
        <v>0</v>
      </c>
      <c r="K1695">
        <f>RTD("nest.scriprtd",,"nse_cm|960ISFL25-N1","ATP")</f>
        <v>0</v>
      </c>
      <c r="L1695">
        <f>RTD("nest.scriprtd",,"nse_cm|960ISFL25-N1","Volume Traded Today")</f>
        <v>0</v>
      </c>
      <c r="M1695">
        <f>RTD("nest.scriprtd",,"nse_cm|960ISFL25-N1","Open")</f>
        <v>0</v>
      </c>
      <c r="N1695">
        <f>RTD("nest.scriprtd",,"nse_cm|960ISFL25-N1","High")</f>
        <v>1040</v>
      </c>
      <c r="O1695">
        <f>RTD("nest.scriprtd",,"nse_cm|960ISFL25-N1","Low ")</f>
        <v>1040</v>
      </c>
      <c r="P1695">
        <f>RTD("nest.scriprtd",,"nse_cm|960ISFL25-N1","Prev Close")</f>
        <v>1040</v>
      </c>
      <c r="Q1695">
        <f>RTD("nest.scriprtd",,"nse_cm|960ISFL25-N1","Face Value")</f>
        <v>1000</v>
      </c>
      <c r="R1695" t="str">
        <f>RTD("nest.scriprtd",,"nse_cm|960ISFL25-N1","Isin code")</f>
        <v>INE413U07228</v>
      </c>
      <c r="S1695" s="9">
        <f>Table1[[#This Row],[Ask Rate]]*Table1[[#This Row],[Ask Qty]]</f>
        <v>12000</v>
      </c>
      <c r="T1695">
        <f>VLOOKUP(Table1[[#This Row],[Isin code]],Table2[#All],7,FALSE)</f>
        <v>9.6</v>
      </c>
      <c r="U1695" s="17" t="str">
        <f>VLOOKUP(Table1[[#This Row],[Isin code]],Table2[#All],8,FALSE)</f>
        <v>21-Dec-2025</v>
      </c>
      <c r="V1695" s="10">
        <f ca="1">Table1[[#This Row],[Maturity]]-TODAY()</f>
        <v>431</v>
      </c>
      <c r="W1695" t="str">
        <f>VLOOKUP(Table1[[#This Row],[Isin code]],Table2[#All],10,FALSE)</f>
        <v>At the End</v>
      </c>
      <c r="X1695">
        <f ca="1">_xlfn.DAYS(Table1[[#This Row],[Maturity]],TODAY())-15</f>
        <v>416</v>
      </c>
      <c r="Y169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95">
        <f>IF(Table1[[#This Row],[Ask Rate]]=0,0,Table1[[#This Row],[Face Value]]-Table1[[#This Row],[Ask Rate]])</f>
        <v>-200</v>
      </c>
      <c r="AA169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95">
        <f>Table1[[#This Row],[Face Value]]*Table1[[#This Row],[Rate]]*Table1[[#This Row],[Time]]</f>
        <v>0</v>
      </c>
      <c r="AC1695">
        <f>Table1[[#This Row],[SI]]+Table1[[#This Row],[Disc/Prem]]</f>
        <v>-200</v>
      </c>
      <c r="AD1695" s="3">
        <f>Table1[[#This Row],[Net Gain]]/Table1[[#This Row],[Ask Rate]]</f>
        <v>-0.16666666666666666</v>
      </c>
      <c r="AE1695" s="3">
        <f ca="1">IF(Table1[[#This Row],[Ask Qty]]=0,0,Table1[[#This Row],[Gross Yield]]*365/Table1[[#This Row],[Days Left]])</f>
        <v>-0.14114462490332558</v>
      </c>
      <c r="AF1695" s="9">
        <f>+Table1[[#This Row],[Net Gain]]*Table1[[#This Row],[Ask Qty]]</f>
        <v>-2000</v>
      </c>
      <c r="AG1695" t="str">
        <f ca="1">IF(Table1[[#This Row],[YTM]]&gt;0.12,IF(Table1[[#This Row],[Gross Profit]]&gt;10000,"Invest","Review"),"Low YTM")</f>
        <v>Low YTM</v>
      </c>
    </row>
    <row r="1696" spans="1:33" x14ac:dyDescent="0.3">
      <c r="A1696" t="str">
        <f>RTD("nest.scriprtd",,"nse_cm|IIFLZC26-NN","Symbol")</f>
        <v>IIFLZC26</v>
      </c>
      <c r="B1696" t="str">
        <f>RTD("nest.scriprtd",,"nse_cm|IIFLZC26-NN","Trading Symbol")</f>
        <v>IIFLZC26-NN</v>
      </c>
      <c r="C1696" t="str">
        <f>RTD("nest.scriprtd",,"nse_cm|IIFLZC26-NN","Exchange")</f>
        <v>NSE</v>
      </c>
      <c r="D1696">
        <f>RTD("nest.scriprtd",,"nse_cm|IIFLZC26-NN","Bid Qty")</f>
        <v>10</v>
      </c>
      <c r="E1696">
        <f>RTD("nest.scriprtd",,"nse_cm|IIFLZC26-NN","Bid Rate")</f>
        <v>1186</v>
      </c>
      <c r="F1696">
        <f>RTD("nest.scriprtd",,"nse_cm|IIFLZC26-NN","Ask Rate")</f>
        <v>1398</v>
      </c>
      <c r="G1696">
        <f>RTD("nest.scriprtd",,"nse_cm|IIFLZC26-NN","Ask Qty")</f>
        <v>995</v>
      </c>
      <c r="H1696">
        <f>RTD("nest.scriprtd",,"nse_cm|IIFLZC26-NN","LTP")</f>
        <v>1250.2</v>
      </c>
      <c r="I1696" t="str">
        <f>RTD("nest.scriprtd",,"nse_cm|IIFLZC26-NN","LTT")</f>
        <v/>
      </c>
      <c r="J1696">
        <f>RTD("nest.scriprtd",,"nse_cm|IIFLZC26-NN","% Change")</f>
        <v>0</v>
      </c>
      <c r="K1696">
        <f>RTD("nest.scriprtd",,"nse_cm|IIFLZC26-NN","ATP")</f>
        <v>0</v>
      </c>
      <c r="L1696">
        <f>RTD("nest.scriprtd",,"nse_cm|IIFLZC26-NN","Volume Traded Today")</f>
        <v>0</v>
      </c>
      <c r="M1696">
        <f>RTD("nest.scriprtd",,"nse_cm|IIFLZC26-NN","Open")</f>
        <v>0</v>
      </c>
      <c r="N1696">
        <f>RTD("nest.scriprtd",,"nse_cm|IIFLZC26-NN","High")</f>
        <v>1250.2</v>
      </c>
      <c r="O1696">
        <f>RTD("nest.scriprtd",,"nse_cm|IIFLZC26-NN","Low ")</f>
        <v>1250.2</v>
      </c>
      <c r="P1696">
        <f>RTD("nest.scriprtd",,"nse_cm|IIFLZC26-NN","Prev Close")</f>
        <v>1250.2</v>
      </c>
      <c r="Q1696">
        <f>RTD("nest.scriprtd",,"nse_cm|IIFLZC26-NN","Face Value")</f>
        <v>1000</v>
      </c>
      <c r="R1696" t="str">
        <f>RTD("nest.scriprtd",,"nse_cm|IIFLZC26-NN","Isin code")</f>
        <v>INE530B07187</v>
      </c>
      <c r="S1696" s="9">
        <f>Table1[[#This Row],[Ask Rate]]*Table1[[#This Row],[Ask Qty]]</f>
        <v>1391010</v>
      </c>
      <c r="T1696">
        <f>VLOOKUP(Table1[[#This Row],[Isin code]],Table2[#All],7,FALSE)</f>
        <v>0</v>
      </c>
      <c r="U1696" s="17" t="str">
        <f>VLOOKUP(Table1[[#This Row],[Isin code]],Table2[#All],8,FALSE)</f>
        <v>14-Oct-2026</v>
      </c>
      <c r="V1696" s="10">
        <f ca="1">Table1[[#This Row],[Maturity]]-TODAY()</f>
        <v>728</v>
      </c>
      <c r="W1696" t="str">
        <f>VLOOKUP(Table1[[#This Row],[Isin code]],Table2[#All],10,FALSE)</f>
        <v>Monthly</v>
      </c>
      <c r="X1696">
        <f ca="1">_xlfn.DAYS(Table1[[#This Row],[Maturity]],TODAY())-15</f>
        <v>713</v>
      </c>
      <c r="Y1696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24</v>
      </c>
      <c r="Z1696">
        <f>IF(Table1[[#This Row],[Ask Rate]]=0,0,Table1[[#This Row],[Face Value]]-Table1[[#This Row],[Ask Rate]])</f>
        <v>-398</v>
      </c>
      <c r="AA169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96">
        <f ca="1">Table1[[#This Row],[Face Value]]*Table1[[#This Row],[Rate]]*Table1[[#This Row],[Time]]</f>
        <v>0</v>
      </c>
      <c r="AC1696">
        <f ca="1">Table1[[#This Row],[SI]]+Table1[[#This Row],[Disc/Prem]]</f>
        <v>-398</v>
      </c>
      <c r="AD1696" s="3">
        <f ca="1">Table1[[#This Row],[Net Gain]]/Table1[[#This Row],[Ask Rate]]</f>
        <v>-0.28469241773962806</v>
      </c>
      <c r="AE1696" s="3">
        <f ca="1">IF(Table1[[#This Row],[Ask Qty]]=0,0,Table1[[#This Row],[Gross Yield]]*365/Table1[[#This Row],[Days Left]])</f>
        <v>-0.14273726988319263</v>
      </c>
      <c r="AF1696" s="9">
        <f ca="1">+Table1[[#This Row],[Net Gain]]*Table1[[#This Row],[Ask Qty]]</f>
        <v>-396010</v>
      </c>
      <c r="AG1696" t="str">
        <f ca="1">IF(Table1[[#This Row],[YTM]]&gt;0.12,IF(Table1[[#This Row],[Gross Profit]]&gt;10000,"Invest","Review"),"Low YTM")</f>
        <v>Low YTM</v>
      </c>
    </row>
    <row r="1697" spans="1:33" x14ac:dyDescent="0.3">
      <c r="A1697" t="str">
        <f>RTD("nest.scriprtd",,"bse_cm|MFLZC27B","Symbol")</f>
        <v>MFLZC27B</v>
      </c>
      <c r="B1697" t="str">
        <f>RTD("nest.scriprtd",,"bse_cm|MFLZC27B","Trading Symbol")</f>
        <v>MFLZC27B</v>
      </c>
      <c r="C1697" t="str">
        <f>RTD("nest.scriprtd",,"bse_cm|MFLZC27B","Exchange")</f>
        <v>BSE</v>
      </c>
      <c r="D1697">
        <f>RTD("nest.scriprtd",,"bse_cm|MFLZC27B","Bid Qty")</f>
        <v>50</v>
      </c>
      <c r="E1697">
        <f>RTD("nest.scriprtd",,"bse_cm|MFLZC27B","Bid Rate")</f>
        <v>1550</v>
      </c>
      <c r="F1697">
        <f>RTD("nest.scriprtd",,"bse_cm|MFLZC27B","Ask Rate")</f>
        <v>1690</v>
      </c>
      <c r="G1697">
        <f>RTD("nest.scriprtd",,"bse_cm|MFLZC27B","Ask Qty")</f>
        <v>200</v>
      </c>
      <c r="H1697">
        <f>RTD("nest.scriprtd",,"bse_cm|MFLZC27B","LTP")</f>
        <v>0</v>
      </c>
      <c r="I1697" t="str">
        <f>RTD("nest.scriprtd",,"bse_cm|MFLZC27B","LTT")</f>
        <v>00:00:00</v>
      </c>
      <c r="J1697">
        <f>RTD("nest.scriprtd",,"bse_cm|MFLZC27B","% Change")</f>
        <v>-100</v>
      </c>
      <c r="K1697">
        <f>RTD("nest.scriprtd",,"bse_cm|MFLZC27B","ATP")</f>
        <v>0</v>
      </c>
      <c r="L1697">
        <f>RTD("nest.scriprtd",,"bse_cm|MFLZC27B","Volume Traded Today")</f>
        <v>0</v>
      </c>
      <c r="M1697">
        <f>RTD("nest.scriprtd",,"bse_cm|MFLZC27B","Open")</f>
        <v>0</v>
      </c>
      <c r="N1697">
        <f>RTD("nest.scriprtd",,"bse_cm|MFLZC27B","High")</f>
        <v>1580</v>
      </c>
      <c r="O1697">
        <f>RTD("nest.scriprtd",,"bse_cm|MFLZC27B","Low ")</f>
        <v>1560</v>
      </c>
      <c r="P1697">
        <f>RTD("nest.scriprtd",,"bse_cm|MFLZC27B","Prev Close")</f>
        <v>1564.99</v>
      </c>
      <c r="Q1697">
        <f>RTD("nest.scriprtd",,"bse_cm|MFLZC27B","Face Value")</f>
        <v>1000</v>
      </c>
      <c r="R1697" t="str">
        <f>RTD("nest.scriprtd",,"bse_cm|MFLZC27B","Isin code")</f>
        <v>INE414G07EG8</v>
      </c>
      <c r="S1697" s="9">
        <f>Table1[[#This Row],[Ask Rate]]*Table1[[#This Row],[Ask Qty]]</f>
        <v>338000</v>
      </c>
      <c r="T1697" t="str">
        <f>VLOOKUP(Table1[[#This Row],[Isin code]],Table2[#All],7,FALSE)</f>
        <v>--</v>
      </c>
      <c r="U1697" s="17" t="str">
        <f>VLOOKUP(Table1[[#This Row],[Isin code]],Table2[#All],8,FALSE)</f>
        <v>27-Jun-2027</v>
      </c>
      <c r="V1697" s="10">
        <f ca="1">Table1[[#This Row],[Maturity]]-TODAY()</f>
        <v>984</v>
      </c>
      <c r="W1697" t="str">
        <f>VLOOKUP(Table1[[#This Row],[Isin code]],Table2[#All],10,FALSE)</f>
        <v>At the End</v>
      </c>
      <c r="X1697">
        <f ca="1">_xlfn.DAYS(Table1[[#This Row],[Maturity]],TODAY())-15</f>
        <v>969</v>
      </c>
      <c r="Y169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97">
        <f>IF(Table1[[#This Row],[Ask Rate]]=0,0,Table1[[#This Row],[Face Value]]-Table1[[#This Row],[Ask Rate]])</f>
        <v>-690</v>
      </c>
      <c r="AA169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97">
        <f>Table1[[#This Row],[Face Value]]*Table1[[#This Row],[Rate]]*Table1[[#This Row],[Time]]</f>
        <v>0</v>
      </c>
      <c r="AC1697">
        <f>Table1[[#This Row],[SI]]+Table1[[#This Row],[Disc/Prem]]</f>
        <v>-690</v>
      </c>
      <c r="AD1697" s="3">
        <f>Table1[[#This Row],[Net Gain]]/Table1[[#This Row],[Ask Rate]]</f>
        <v>-0.40828402366863903</v>
      </c>
      <c r="AE1697" s="3">
        <f ca="1">IF(Table1[[#This Row],[Ask Qty]]=0,0,Table1[[#This Row],[Gross Yield]]*365/Table1[[#This Row],[Days Left]])</f>
        <v>-0.15144681772261509</v>
      </c>
      <c r="AF1697" s="9">
        <f>+Table1[[#This Row],[Net Gain]]*Table1[[#This Row],[Ask Qty]]</f>
        <v>-138000</v>
      </c>
      <c r="AG1697" t="str">
        <f ca="1">IF(Table1[[#This Row],[YTM]]&gt;0.12,IF(Table1[[#This Row],[Gross Profit]]&gt;10000,"Invest","Review"),"Low YTM")</f>
        <v>Low YTM</v>
      </c>
    </row>
    <row r="1698" spans="1:33" x14ac:dyDescent="0.3">
      <c r="A1698" t="str">
        <f>RTD("nest.scriprtd",,"nse_cm|894SCL25-Z3","Symbol")</f>
        <v>894SCL25</v>
      </c>
      <c r="B1698" t="str">
        <f>RTD("nest.scriprtd",,"nse_cm|894SCL25-Z3","Trading Symbol")</f>
        <v>894SCL25-Z3</v>
      </c>
      <c r="C1698" t="str">
        <f>RTD("nest.scriprtd",,"nse_cm|894SCL25-Z3","Exchange")</f>
        <v>NSE</v>
      </c>
      <c r="D1698">
        <f>RTD("nest.scriprtd",,"nse_cm|894SCL25-Z3","Bid Qty")</f>
        <v>10</v>
      </c>
      <c r="E1698">
        <f>RTD("nest.scriprtd",,"nse_cm|894SCL25-Z3","Bid Rate")</f>
        <v>1124</v>
      </c>
      <c r="F1698">
        <f>RTD("nest.scriprtd",,"nse_cm|894SCL25-Z3","Ask Rate")</f>
        <v>1170</v>
      </c>
      <c r="G1698">
        <f>RTD("nest.scriprtd",,"nse_cm|894SCL25-Z3","Ask Qty")</f>
        <v>5</v>
      </c>
      <c r="H1698">
        <f>RTD("nest.scriprtd",,"nse_cm|894SCL25-Z3","LTP")</f>
        <v>1122.3499999999999</v>
      </c>
      <c r="I1698" t="str">
        <f>RTD("nest.scriprtd",,"nse_cm|894SCL25-Z3","LTT")</f>
        <v/>
      </c>
      <c r="J1698">
        <f>RTD("nest.scriprtd",,"nse_cm|894SCL25-Z3","% Change")</f>
        <v>0</v>
      </c>
      <c r="K1698">
        <f>RTD("nest.scriprtd",,"nse_cm|894SCL25-Z3","ATP")</f>
        <v>0</v>
      </c>
      <c r="L1698">
        <f>RTD("nest.scriprtd",,"nse_cm|894SCL25-Z3","Volume Traded Today")</f>
        <v>0</v>
      </c>
      <c r="M1698">
        <f>RTD("nest.scriprtd",,"nse_cm|894SCL25-Z3","Open")</f>
        <v>0</v>
      </c>
      <c r="N1698">
        <f>RTD("nest.scriprtd",,"nse_cm|894SCL25-Z3","High")</f>
        <v>1122.3499999999999</v>
      </c>
      <c r="O1698">
        <f>RTD("nest.scriprtd",,"nse_cm|894SCL25-Z3","Low ")</f>
        <v>1122.3499999999999</v>
      </c>
      <c r="P1698">
        <f>RTD("nest.scriprtd",,"nse_cm|894SCL25-Z3","Prev Close")</f>
        <v>1122.3499999999999</v>
      </c>
      <c r="Q1698">
        <f>RTD("nest.scriprtd",,"nse_cm|894SCL25-Z3","Face Value")</f>
        <v>1000</v>
      </c>
      <c r="R1698" t="str">
        <f>RTD("nest.scriprtd",,"nse_cm|894SCL25-Z3","Isin code")</f>
        <v>INE148I07MF3</v>
      </c>
      <c r="S1698" s="9">
        <f>Table1[[#This Row],[Ask Rate]]*Table1[[#This Row],[Ask Qty]]</f>
        <v>5850</v>
      </c>
      <c r="T1698">
        <f>VLOOKUP(Table1[[#This Row],[Isin code]],Table2[#All],7,FALSE)</f>
        <v>0</v>
      </c>
      <c r="U1698" s="17">
        <f>VLOOKUP(Table1[[#This Row],[Isin code]],Table2[#All],8,FALSE)</f>
        <v>45928</v>
      </c>
      <c r="V1698" s="10">
        <f ca="1">Table1[[#This Row],[Maturity]]-TODAY()</f>
        <v>347</v>
      </c>
      <c r="W1698" t="str">
        <f>VLOOKUP(Table1[[#This Row],[Isin code]],Table2[#All],10,FALSE)</f>
        <v>At the End</v>
      </c>
      <c r="X1698">
        <f ca="1">_xlfn.DAYS(Table1[[#This Row],[Maturity]],TODAY())-15</f>
        <v>332</v>
      </c>
      <c r="Y169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98">
        <f>IF(Table1[[#This Row],[Ask Rate]]=0,0,Table1[[#This Row],[Face Value]]-Table1[[#This Row],[Ask Rate]])</f>
        <v>-170</v>
      </c>
      <c r="AA169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98">
        <f>Table1[[#This Row],[Face Value]]*Table1[[#This Row],[Rate]]*Table1[[#This Row],[Time]]</f>
        <v>0</v>
      </c>
      <c r="AC1698">
        <f>Table1[[#This Row],[SI]]+Table1[[#This Row],[Disc/Prem]]</f>
        <v>-170</v>
      </c>
      <c r="AD1698" s="3">
        <f>Table1[[#This Row],[Net Gain]]/Table1[[#This Row],[Ask Rate]]</f>
        <v>-0.14529914529914531</v>
      </c>
      <c r="AE1698" s="3">
        <f ca="1">IF(Table1[[#This Row],[Ask Qty]]=0,0,Table1[[#This Row],[Gross Yield]]*365/Table1[[#This Row],[Days Left]])</f>
        <v>-0.15283627675558514</v>
      </c>
      <c r="AF1698" s="9">
        <f>+Table1[[#This Row],[Net Gain]]*Table1[[#This Row],[Ask Qty]]</f>
        <v>-850</v>
      </c>
      <c r="AG1698" t="str">
        <f ca="1">IF(Table1[[#This Row],[YTM]]&gt;0.12,IF(Table1[[#This Row],[Gross Profit]]&gt;10000,"Invest","Review"),"Low YTM")</f>
        <v>Low YTM</v>
      </c>
    </row>
    <row r="1699" spans="1:33" x14ac:dyDescent="0.3">
      <c r="A1699" t="str">
        <f>RTD("nest.scriprtd",,"nse_cm|SCLZC25D-NJ","Symbol")</f>
        <v>SCLZC25D</v>
      </c>
      <c r="B1699" t="str">
        <f>RTD("nest.scriprtd",,"nse_cm|SCLZC25D-NJ","Trading Symbol")</f>
        <v>SCLZC25D-NJ</v>
      </c>
      <c r="C1699" t="str">
        <f>RTD("nest.scriprtd",,"nse_cm|SCLZC25D-NJ","Exchange")</f>
        <v>NSE</v>
      </c>
      <c r="D1699">
        <f>RTD("nest.scriprtd",,"nse_cm|SCLZC25D-NJ","Bid Qty")</f>
        <v>0</v>
      </c>
      <c r="E1699">
        <f>RTD("nest.scriprtd",,"nse_cm|SCLZC25D-NJ","Bid Rate")</f>
        <v>0</v>
      </c>
      <c r="F1699">
        <f>RTD("nest.scriprtd",,"nse_cm|SCLZC25D-NJ","Ask Rate")</f>
        <v>1200</v>
      </c>
      <c r="G1699">
        <f>RTD("nest.scriprtd",,"nse_cm|SCLZC25D-NJ","Ask Qty")</f>
        <v>10</v>
      </c>
      <c r="H1699">
        <f>RTD("nest.scriprtd",,"nse_cm|SCLZC25D-NJ","LTP")</f>
        <v>1035.92</v>
      </c>
      <c r="I1699" t="str">
        <f>RTD("nest.scriprtd",,"nse_cm|SCLZC25D-NJ","LTT")</f>
        <v/>
      </c>
      <c r="J1699">
        <f>RTD("nest.scriprtd",,"nse_cm|SCLZC25D-NJ","% Change")</f>
        <v>0</v>
      </c>
      <c r="K1699">
        <f>RTD("nest.scriprtd",,"nse_cm|SCLZC25D-NJ","ATP")</f>
        <v>0</v>
      </c>
      <c r="L1699">
        <f>RTD("nest.scriprtd",,"nse_cm|SCLZC25D-NJ","Volume Traded Today")</f>
        <v>0</v>
      </c>
      <c r="M1699">
        <f>RTD("nest.scriprtd",,"nse_cm|SCLZC25D-NJ","Open")</f>
        <v>0</v>
      </c>
      <c r="N1699">
        <f>RTD("nest.scriprtd",,"nse_cm|SCLZC25D-NJ","High")</f>
        <v>1044.3800000000001</v>
      </c>
      <c r="O1699">
        <f>RTD("nest.scriprtd",,"nse_cm|SCLZC25D-NJ","Low ")</f>
        <v>1035.92</v>
      </c>
      <c r="P1699">
        <f>RTD("nest.scriprtd",,"nse_cm|SCLZC25D-NJ","Prev Close")</f>
        <v>1035.92</v>
      </c>
      <c r="Q1699">
        <f>RTD("nest.scriprtd",,"nse_cm|SCLZC25D-NJ","Face Value")</f>
        <v>1000</v>
      </c>
      <c r="R1699" t="str">
        <f>RTD("nest.scriprtd",,"nse_cm|SCLZC25D-NJ","Isin code")</f>
        <v>INE148I07QL2</v>
      </c>
      <c r="S1699" s="9">
        <f>Table1[[#This Row],[Ask Rate]]*Table1[[#This Row],[Ask Qty]]</f>
        <v>12000</v>
      </c>
      <c r="T1699">
        <f>VLOOKUP(Table1[[#This Row],[Isin code]],Table2[#All],7,FALSE)</f>
        <v>0</v>
      </c>
      <c r="U1699" s="17" t="str">
        <f>VLOOKUP(Table1[[#This Row],[Isin code]],Table2[#All],8,FALSE)</f>
        <v>09-Nov-2025</v>
      </c>
      <c r="V1699" s="10">
        <f ca="1">Table1[[#This Row],[Maturity]]-TODAY()</f>
        <v>389</v>
      </c>
      <c r="W1699" t="str">
        <f>VLOOKUP(Table1[[#This Row],[Isin code]],Table2[#All],10,FALSE)</f>
        <v>0</v>
      </c>
      <c r="X1699">
        <f ca="1">_xlfn.DAYS(Table1[[#This Row],[Maturity]],TODAY())-15</f>
        <v>374</v>
      </c>
      <c r="Y169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699">
        <f>IF(Table1[[#This Row],[Ask Rate]]=0,0,Table1[[#This Row],[Face Value]]-Table1[[#This Row],[Ask Rate]])</f>
        <v>-200</v>
      </c>
      <c r="AA169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699">
        <f>Table1[[#This Row],[Face Value]]*Table1[[#This Row],[Rate]]*Table1[[#This Row],[Time]]</f>
        <v>0</v>
      </c>
      <c r="AC1699">
        <f>Table1[[#This Row],[SI]]+Table1[[#This Row],[Disc/Prem]]</f>
        <v>-200</v>
      </c>
      <c r="AD1699" s="3">
        <f>Table1[[#This Row],[Net Gain]]/Table1[[#This Row],[Ask Rate]]</f>
        <v>-0.16666666666666666</v>
      </c>
      <c r="AE1699" s="3">
        <f ca="1">IF(Table1[[#This Row],[Ask Qty]]=0,0,Table1[[#This Row],[Gross Yield]]*365/Table1[[#This Row],[Days Left]])</f>
        <v>-0.15638389031705227</v>
      </c>
      <c r="AF1699" s="9">
        <f>+Table1[[#This Row],[Net Gain]]*Table1[[#This Row],[Ask Qty]]</f>
        <v>-2000</v>
      </c>
      <c r="AG1699" t="str">
        <f ca="1">IF(Table1[[#This Row],[YTM]]&gt;0.12,IF(Table1[[#This Row],[Gross Profit]]&gt;10000,"Invest","Review"),"Low YTM")</f>
        <v>Low YTM</v>
      </c>
    </row>
    <row r="1700" spans="1:33" x14ac:dyDescent="0.3">
      <c r="A1700" t="str">
        <f>RTD("nest.scriprtd",,"bse_cm|MFLZC27D","Symbol")</f>
        <v>MFLZC27D</v>
      </c>
      <c r="B1700" t="str">
        <f>RTD("nest.scriprtd",,"bse_cm|MFLZC27D","Trading Symbol")</f>
        <v>MFLZC27D</v>
      </c>
      <c r="C1700" t="str">
        <f>RTD("nest.scriprtd",,"bse_cm|MFLZC27D","Exchange")</f>
        <v>BSE</v>
      </c>
      <c r="D1700">
        <f>RTD("nest.scriprtd",,"bse_cm|MFLZC27D","Bid Qty")</f>
        <v>50</v>
      </c>
      <c r="E1700">
        <f>RTD("nest.scriprtd",,"bse_cm|MFLZC27D","Bid Rate")</f>
        <v>1580</v>
      </c>
      <c r="F1700">
        <f>RTD("nest.scriprtd",,"bse_cm|MFLZC27D","Ask Rate")</f>
        <v>1694</v>
      </c>
      <c r="G1700">
        <f>RTD("nest.scriprtd",,"bse_cm|MFLZC27D","Ask Qty")</f>
        <v>200</v>
      </c>
      <c r="H1700">
        <f>RTD("nest.scriprtd",,"bse_cm|MFLZC27D","LTP")</f>
        <v>0</v>
      </c>
      <c r="I1700" t="str">
        <f>RTD("nest.scriprtd",,"bse_cm|MFLZC27D","LTT")</f>
        <v>00:00:00</v>
      </c>
      <c r="J1700">
        <f>RTD("nest.scriprtd",,"bse_cm|MFLZC27D","% Change")</f>
        <v>-100</v>
      </c>
      <c r="K1700">
        <f>RTD("nest.scriprtd",,"bse_cm|MFLZC27D","ATP")</f>
        <v>0</v>
      </c>
      <c r="L1700">
        <f>RTD("nest.scriprtd",,"bse_cm|MFLZC27D","Volume Traded Today")</f>
        <v>0</v>
      </c>
      <c r="M1700">
        <f>RTD("nest.scriprtd",,"bse_cm|MFLZC27D","Open")</f>
        <v>0</v>
      </c>
      <c r="N1700">
        <f>RTD("nest.scriprtd",,"bse_cm|MFLZC27D","High")</f>
        <v>1605</v>
      </c>
      <c r="O1700">
        <f>RTD("nest.scriprtd",,"bse_cm|MFLZC27D","Low ")</f>
        <v>1580</v>
      </c>
      <c r="P1700">
        <f>RTD("nest.scriprtd",,"bse_cm|MFLZC27D","Prev Close")</f>
        <v>1605</v>
      </c>
      <c r="Q1700">
        <f>RTD("nest.scriprtd",,"bse_cm|MFLZC27D","Face Value")</f>
        <v>1000</v>
      </c>
      <c r="R1700" t="str">
        <f>RTD("nest.scriprtd",,"bse_cm|MFLZC27D","Isin code")</f>
        <v>INE414G07EC7</v>
      </c>
      <c r="S1700" s="9">
        <f>Table1[[#This Row],[Ask Rate]]*Table1[[#This Row],[Ask Qty]]</f>
        <v>338800</v>
      </c>
      <c r="T1700" t="str">
        <f>VLOOKUP(Table1[[#This Row],[Isin code]],Table2[#All],7,FALSE)</f>
        <v>--</v>
      </c>
      <c r="U1700" s="17" t="str">
        <f>VLOOKUP(Table1[[#This Row],[Isin code]],Table2[#All],8,FALSE)</f>
        <v>01-May-2027</v>
      </c>
      <c r="V1700" s="10">
        <f ca="1">Table1[[#This Row],[Maturity]]-TODAY()</f>
        <v>927</v>
      </c>
      <c r="W1700" t="str">
        <f>VLOOKUP(Table1[[#This Row],[Isin code]],Table2[#All],10,FALSE)</f>
        <v>At the End</v>
      </c>
      <c r="X1700">
        <f ca="1">_xlfn.DAYS(Table1[[#This Row],[Maturity]],TODAY())-15</f>
        <v>912</v>
      </c>
      <c r="Y170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00">
        <f>IF(Table1[[#This Row],[Ask Rate]]=0,0,Table1[[#This Row],[Face Value]]-Table1[[#This Row],[Ask Rate]])</f>
        <v>-694</v>
      </c>
      <c r="AA170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00">
        <f>Table1[[#This Row],[Face Value]]*Table1[[#This Row],[Rate]]*Table1[[#This Row],[Time]]</f>
        <v>0</v>
      </c>
      <c r="AC1700">
        <f>Table1[[#This Row],[SI]]+Table1[[#This Row],[Disc/Prem]]</f>
        <v>-694</v>
      </c>
      <c r="AD1700" s="3">
        <f>Table1[[#This Row],[Net Gain]]/Table1[[#This Row],[Ask Rate]]</f>
        <v>-0.40968122786304606</v>
      </c>
      <c r="AE1700" s="3">
        <f ca="1">IF(Table1[[#This Row],[Ask Qty]]=0,0,Table1[[#This Row],[Gross Yield]]*365/Table1[[#This Row],[Days Left]])</f>
        <v>-0.16130922132687359</v>
      </c>
      <c r="AF1700" s="9">
        <f>+Table1[[#This Row],[Net Gain]]*Table1[[#This Row],[Ask Qty]]</f>
        <v>-138800</v>
      </c>
      <c r="AG1700" t="str">
        <f ca="1">IF(Table1[[#This Row],[YTM]]&gt;0.12,IF(Table1[[#This Row],[Gross Profit]]&gt;10000,"Invest","Review"),"Low YTM")</f>
        <v>Low YTM</v>
      </c>
    </row>
    <row r="1701" spans="1:33" x14ac:dyDescent="0.3">
      <c r="A1701" t="str">
        <f>RTD("nest.scriprtd",,"bse_cm|CAGL25A","Symbol")</f>
        <v>CAGL25A</v>
      </c>
      <c r="B1701" t="str">
        <f>RTD("nest.scriprtd",,"bse_cm|CAGL25A","Trading Symbol")</f>
        <v>CAGL25A</v>
      </c>
      <c r="C1701" t="str">
        <f>RTD("nest.scriprtd",,"bse_cm|CAGL25A","Exchange")</f>
        <v>BSE</v>
      </c>
      <c r="D1701">
        <f>RTD("nest.scriprtd",,"bse_cm|CAGL25A","Bid Qty")</f>
        <v>50</v>
      </c>
      <c r="E1701">
        <f>RTD("nest.scriprtd",,"bse_cm|CAGL25A","Bid Rate")</f>
        <v>1098.2</v>
      </c>
      <c r="F1701">
        <f>RTD("nest.scriprtd",,"bse_cm|CAGL25A","Ask Rate")</f>
        <v>1225</v>
      </c>
      <c r="G1701">
        <f>RTD("nest.scriprtd",,"bse_cm|CAGL25A","Ask Qty")</f>
        <v>50</v>
      </c>
      <c r="H1701">
        <f>RTD("nest.scriprtd",,"bse_cm|CAGL25A","LTP")</f>
        <v>0</v>
      </c>
      <c r="I1701" t="str">
        <f>RTD("nest.scriprtd",,"bse_cm|CAGL25A","LTT")</f>
        <v>00:00:00</v>
      </c>
      <c r="J1701">
        <f>RTD("nest.scriprtd",,"bse_cm|CAGL25A","% Change")</f>
        <v>-100</v>
      </c>
      <c r="K1701">
        <f>RTD("nest.scriprtd",,"bse_cm|CAGL25A","ATP")</f>
        <v>0</v>
      </c>
      <c r="L1701">
        <f>RTD("nest.scriprtd",,"bse_cm|CAGL25A","Volume Traded Today")</f>
        <v>0</v>
      </c>
      <c r="M1701">
        <f>RTD("nest.scriprtd",,"bse_cm|CAGL25A","Open")</f>
        <v>0</v>
      </c>
      <c r="N1701">
        <f>RTD("nest.scriprtd",,"bse_cm|CAGL25A","High")</f>
        <v>1307.27</v>
      </c>
      <c r="O1701">
        <f>RTD("nest.scriprtd",,"bse_cm|CAGL25A","Low ")</f>
        <v>1307.27</v>
      </c>
      <c r="P1701">
        <f>RTD("nest.scriprtd",,"bse_cm|CAGL25A","Prev Close")</f>
        <v>1307.27</v>
      </c>
      <c r="Q1701">
        <f>RTD("nest.scriprtd",,"bse_cm|CAGL25A","Face Value")</f>
        <v>1000</v>
      </c>
      <c r="R1701" t="str">
        <f>RTD("nest.scriprtd",,"bse_cm|CAGL25A","Isin code")</f>
        <v>INE741K07488</v>
      </c>
      <c r="S1701" s="9">
        <f>Table1[[#This Row],[Ask Rate]]*Table1[[#This Row],[Ask Qty]]</f>
        <v>61250</v>
      </c>
      <c r="T1701">
        <f>VLOOKUP(Table1[[#This Row],[Isin code]],Table2[#All],7,FALSE)</f>
        <v>0</v>
      </c>
      <c r="U1701" s="17" t="str">
        <f>VLOOKUP(Table1[[#This Row],[Isin code]],Table2[#All],8,FALSE)</f>
        <v>23-Nov-2025</v>
      </c>
      <c r="V1701" s="10">
        <f ca="1">Table1[[#This Row],[Maturity]]-TODAY()</f>
        <v>403</v>
      </c>
      <c r="W1701" t="str">
        <f>VLOOKUP(Table1[[#This Row],[Isin code]],Table2[#All],10,FALSE)</f>
        <v>--</v>
      </c>
      <c r="X1701">
        <f ca="1">_xlfn.DAYS(Table1[[#This Row],[Maturity]],TODAY())-15</f>
        <v>388</v>
      </c>
      <c r="Y170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01">
        <f>IF(Table1[[#This Row],[Ask Rate]]=0,0,Table1[[#This Row],[Face Value]]-Table1[[#This Row],[Ask Rate]])</f>
        <v>-225</v>
      </c>
      <c r="AA170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01">
        <f>Table1[[#This Row],[Face Value]]*Table1[[#This Row],[Rate]]*Table1[[#This Row],[Time]]</f>
        <v>0</v>
      </c>
      <c r="AC1701">
        <f>Table1[[#This Row],[SI]]+Table1[[#This Row],[Disc/Prem]]</f>
        <v>-225</v>
      </c>
      <c r="AD1701" s="3">
        <f>Table1[[#This Row],[Net Gain]]/Table1[[#This Row],[Ask Rate]]</f>
        <v>-0.18367346938775511</v>
      </c>
      <c r="AE1701" s="3">
        <f ca="1">IF(Table1[[#This Row],[Ask Qty]]=0,0,Table1[[#This Row],[Gross Yield]]*365/Table1[[#This Row],[Days Left]])</f>
        <v>-0.16635438294424471</v>
      </c>
      <c r="AF1701" s="9">
        <f>+Table1[[#This Row],[Net Gain]]*Table1[[#This Row],[Ask Qty]]</f>
        <v>-11250</v>
      </c>
      <c r="AG1701" t="str">
        <f ca="1">IF(Table1[[#This Row],[YTM]]&gt;0.12,IF(Table1[[#This Row],[Gross Profit]]&gt;10000,"Invest","Review"),"Low YTM")</f>
        <v>Low YTM</v>
      </c>
    </row>
    <row r="1702" spans="1:33" x14ac:dyDescent="0.3">
      <c r="A1702" t="str">
        <f>RTD("nest.scriprtd",,"bse_cm|704NABAR26","Symbol")</f>
        <v>704NABAR26</v>
      </c>
      <c r="B1702" t="str">
        <f>RTD("nest.scriprtd",,"bse_cm|704NABAR26","Trading Symbol")</f>
        <v>704NABAR26</v>
      </c>
      <c r="C1702" t="str">
        <f>RTD("nest.scriprtd",,"bse_cm|704NABAR26","Exchange")</f>
        <v>BSE</v>
      </c>
      <c r="D1702">
        <f>RTD("nest.scriprtd",,"bse_cm|704NABAR26","Bid Qty")</f>
        <v>100</v>
      </c>
      <c r="E1702">
        <f>RTD("nest.scriprtd",,"bse_cm|704NABAR26","Bid Rate")</f>
        <v>1049.01</v>
      </c>
      <c r="F1702">
        <f>RTD("nest.scriprtd",,"bse_cm|704NABAR26","Ask Rate")</f>
        <v>1499.9</v>
      </c>
      <c r="G1702">
        <f>RTD("nest.scriprtd",,"bse_cm|704NABAR26","Ask Qty")</f>
        <v>100</v>
      </c>
      <c r="H1702">
        <f>RTD("nest.scriprtd",,"bse_cm|704NABAR26","LTP")</f>
        <v>0</v>
      </c>
      <c r="I1702" t="str">
        <f>RTD("nest.scriprtd",,"bse_cm|704NABAR26","LTT")</f>
        <v>00:00:00</v>
      </c>
      <c r="J1702">
        <f>RTD("nest.scriprtd",,"bse_cm|704NABAR26","% Change")</f>
        <v>-100</v>
      </c>
      <c r="K1702">
        <f>RTD("nest.scriprtd",,"bse_cm|704NABAR26","ATP")</f>
        <v>0</v>
      </c>
      <c r="L1702">
        <f>RTD("nest.scriprtd",,"bse_cm|704NABAR26","Volume Traded Today")</f>
        <v>0</v>
      </c>
      <c r="M1702">
        <f>RTD("nest.scriprtd",,"bse_cm|704NABAR26","Open")</f>
        <v>0</v>
      </c>
      <c r="N1702">
        <f>RTD("nest.scriprtd",,"bse_cm|704NABAR26","High")</f>
        <v>1250</v>
      </c>
      <c r="O1702">
        <f>RTD("nest.scriprtd",,"bse_cm|704NABAR26","Low ")</f>
        <v>1250</v>
      </c>
      <c r="P1702">
        <f>RTD("nest.scriprtd",,"bse_cm|704NABAR26","Prev Close")</f>
        <v>1250</v>
      </c>
      <c r="Q1702">
        <f>RTD("nest.scriprtd",,"bse_cm|704NABAR26","Face Value")</f>
        <v>1000</v>
      </c>
      <c r="R1702" t="str">
        <f>RTD("nest.scriprtd",,"bse_cm|704NABAR26","Isin code")</f>
        <v>INE261F07040</v>
      </c>
      <c r="S1702" s="9">
        <f>Table1[[#This Row],[Ask Rate]]*Table1[[#This Row],[Ask Qty]]</f>
        <v>149990</v>
      </c>
      <c r="T1702">
        <f>VLOOKUP(Table1[[#This Row],[Isin code]],Table2[#All],7,FALSE)</f>
        <v>7.04</v>
      </c>
      <c r="U1702" s="17" t="str">
        <f>VLOOKUP(Table1[[#This Row],[Isin code]],Table2[#All],8,FALSE)</f>
        <v>23-Mar-2026</v>
      </c>
      <c r="V1702" s="10">
        <f ca="1">Table1[[#This Row],[Maturity]]-TODAY()</f>
        <v>523</v>
      </c>
      <c r="W1702" t="str">
        <f>VLOOKUP(Table1[[#This Row],[Isin code]],Table2[#All],10,FALSE)</f>
        <v>Yearly</v>
      </c>
      <c r="X1702">
        <f ca="1">_xlfn.DAYS(Table1[[#This Row],[Maturity]],TODAY())-15</f>
        <v>508</v>
      </c>
      <c r="Y1702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702">
        <f>IF(Table1[[#This Row],[Ask Rate]]=0,0,Table1[[#This Row],[Face Value]]-Table1[[#This Row],[Ask Rate]])</f>
        <v>-499.90000000000009</v>
      </c>
      <c r="AA1702">
        <f>IF(Table1[[#This Row],[Freq]]="Yearly",Table1[[#This Row],[Coupon_Rate]]/100,IF(Table1[[#This Row],[Freq]]="Monthly",Table1[[#This Row],[Coupon_Rate]]/1200,IF(Table1[[#This Row],[Freq]]="Quarterly",Table1[[#This Row],[Coupon_Rate]]/400,0)))</f>
        <v>7.0400000000000004E-2</v>
      </c>
      <c r="AB1702">
        <f ca="1">Table1[[#This Row],[Face Value]]*Table1[[#This Row],[Rate]]*Table1[[#This Row],[Time]]</f>
        <v>140.80000000000001</v>
      </c>
      <c r="AC1702">
        <f ca="1">Table1[[#This Row],[SI]]+Table1[[#This Row],[Disc/Prem]]</f>
        <v>-359.10000000000008</v>
      </c>
      <c r="AD1702" s="3">
        <f ca="1">Table1[[#This Row],[Net Gain]]/Table1[[#This Row],[Ask Rate]]</f>
        <v>-0.23941596106407098</v>
      </c>
      <c r="AE1702" s="3">
        <f ca="1">IF(Table1[[#This Row],[Ask Qty]]=0,0,Table1[[#This Row],[Gross Yield]]*365/Table1[[#This Row],[Days Left]])</f>
        <v>-0.16708762101029809</v>
      </c>
      <c r="AF1702" s="9">
        <f ca="1">+Table1[[#This Row],[Net Gain]]*Table1[[#This Row],[Ask Qty]]</f>
        <v>-35910.000000000007</v>
      </c>
      <c r="AG1702" t="str">
        <f ca="1">IF(Table1[[#This Row],[YTM]]&gt;0.12,IF(Table1[[#This Row],[Gross Profit]]&gt;10000,"Invest","Review"),"Low YTM")</f>
        <v>Low YTM</v>
      </c>
    </row>
    <row r="1703" spans="1:33" x14ac:dyDescent="0.3">
      <c r="A1703" t="str">
        <f>RTD("nest.scriprtd",,"bse_cm|KFL25A","Symbol")</f>
        <v>KFL25A</v>
      </c>
      <c r="B1703" t="str">
        <f>RTD("nest.scriprtd",,"bse_cm|KFL25A","Trading Symbol")</f>
        <v>KFL25A</v>
      </c>
      <c r="C1703" t="str">
        <f>RTD("nest.scriprtd",,"bse_cm|KFL25A","Exchange")</f>
        <v>BSE</v>
      </c>
      <c r="D1703">
        <f>RTD("nest.scriprtd",,"bse_cm|KFL25A","Bid Qty")</f>
        <v>20</v>
      </c>
      <c r="E1703">
        <f>RTD("nest.scriprtd",,"bse_cm|KFL25A","Bid Rate")</f>
        <v>1020.55</v>
      </c>
      <c r="F1703">
        <f>RTD("nest.scriprtd",,"bse_cm|KFL25A","Ask Rate")</f>
        <v>1159</v>
      </c>
      <c r="G1703">
        <f>RTD("nest.scriprtd",,"bse_cm|KFL25A","Ask Qty")</f>
        <v>10</v>
      </c>
      <c r="H1703">
        <f>RTD("nest.scriprtd",,"bse_cm|KFL25A","LTP")</f>
        <v>0</v>
      </c>
      <c r="I1703" t="str">
        <f>RTD("nest.scriprtd",,"bse_cm|KFL25A","LTT")</f>
        <v>00:00:00</v>
      </c>
      <c r="J1703">
        <f>RTD("nest.scriprtd",,"bse_cm|KFL25A","% Change")</f>
        <v>-100</v>
      </c>
      <c r="K1703">
        <f>RTD("nest.scriprtd",,"bse_cm|KFL25A","ATP")</f>
        <v>0</v>
      </c>
      <c r="L1703">
        <f>RTD("nest.scriprtd",,"bse_cm|KFL25A","Volume Traded Today")</f>
        <v>0</v>
      </c>
      <c r="M1703">
        <f>RTD("nest.scriprtd",,"bse_cm|KFL25A","Open")</f>
        <v>0</v>
      </c>
      <c r="N1703">
        <f>RTD("nest.scriprtd",,"bse_cm|KFL25A","High")</f>
        <v>1148</v>
      </c>
      <c r="O1703">
        <f>RTD("nest.scriprtd",,"bse_cm|KFL25A","Low ")</f>
        <v>1148</v>
      </c>
      <c r="P1703">
        <f>RTD("nest.scriprtd",,"bse_cm|KFL25A","Prev Close")</f>
        <v>1148</v>
      </c>
      <c r="Q1703">
        <f>RTD("nest.scriprtd",,"bse_cm|KFL25A","Face Value")</f>
        <v>1000</v>
      </c>
      <c r="R1703" t="str">
        <f>RTD("nest.scriprtd",,"bse_cm|KFL25A","Isin code")</f>
        <v>INE403Q07CS9</v>
      </c>
      <c r="S1703" s="9">
        <f>Table1[[#This Row],[Ask Rate]]*Table1[[#This Row],[Ask Qty]]</f>
        <v>11590</v>
      </c>
      <c r="T1703" t="str">
        <f>VLOOKUP(Table1[[#This Row],[Isin code]],Table2[#All],7,FALSE)</f>
        <v>--</v>
      </c>
      <c r="U1703" s="17" t="str">
        <f>VLOOKUP(Table1[[#This Row],[Isin code]],Table2[#All],8,FALSE)</f>
        <v>10-Aug-2025</v>
      </c>
      <c r="V1703" s="10">
        <f ca="1">Table1[[#This Row],[Maturity]]-TODAY()</f>
        <v>298</v>
      </c>
      <c r="W1703" t="str">
        <f>VLOOKUP(Table1[[#This Row],[Isin code]],Table2[#All],10,FALSE)</f>
        <v>At the End</v>
      </c>
      <c r="X1703">
        <f ca="1">_xlfn.DAYS(Table1[[#This Row],[Maturity]],TODAY())-15</f>
        <v>283</v>
      </c>
      <c r="Y170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03">
        <f>IF(Table1[[#This Row],[Ask Rate]]=0,0,Table1[[#This Row],[Face Value]]-Table1[[#This Row],[Ask Rate]])</f>
        <v>-159</v>
      </c>
      <c r="AA170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03">
        <f>Table1[[#This Row],[Face Value]]*Table1[[#This Row],[Rate]]*Table1[[#This Row],[Time]]</f>
        <v>0</v>
      </c>
      <c r="AC1703">
        <f>Table1[[#This Row],[SI]]+Table1[[#This Row],[Disc/Prem]]</f>
        <v>-159</v>
      </c>
      <c r="AD1703" s="3">
        <f>Table1[[#This Row],[Net Gain]]/Table1[[#This Row],[Ask Rate]]</f>
        <v>-0.13718723037100949</v>
      </c>
      <c r="AE1703" s="3">
        <f ca="1">IF(Table1[[#This Row],[Ask Qty]]=0,0,Table1[[#This Row],[Gross Yield]]*365/Table1[[#This Row],[Days Left]])</f>
        <v>-0.16803133921281366</v>
      </c>
      <c r="AF1703" s="9">
        <f>+Table1[[#This Row],[Net Gain]]*Table1[[#This Row],[Ask Qty]]</f>
        <v>-1590</v>
      </c>
      <c r="AG1703" t="str">
        <f ca="1">IF(Table1[[#This Row],[YTM]]&gt;0.12,IF(Table1[[#This Row],[Gross Profit]]&gt;10000,"Invest","Review"),"Low YTM")</f>
        <v>Low YTM</v>
      </c>
    </row>
    <row r="1704" spans="1:33" hidden="1" x14ac:dyDescent="0.3">
      <c r="A1704" t="str">
        <f>RTD("nest.scriprtd",,"nse_cm|945CAGL24-N1","Symbol")</f>
        <v>945CAGL24</v>
      </c>
      <c r="B1704" t="str">
        <f>RTD("nest.scriprtd",,"nse_cm|945CAGL24-N1","Trading Symbol")</f>
        <v>945CAGL24-N1</v>
      </c>
      <c r="C1704" t="str">
        <f>RTD("nest.scriprtd",,"nse_cm|945CAGL24-N1","Exchange")</f>
        <v>NSE</v>
      </c>
      <c r="D1704">
        <f>RTD("nest.scriprtd",,"nse_cm|945CAGL24-N1","Bid Qty")</f>
        <v>100</v>
      </c>
      <c r="E1704">
        <f>RTD("nest.scriprtd",,"nse_cm|945CAGL24-N1","Bid Rate")</f>
        <v>961</v>
      </c>
      <c r="F1704">
        <f>RTD("nest.scriprtd",,"nse_cm|945CAGL24-N1","Ask Rate")</f>
        <v>998</v>
      </c>
      <c r="G1704">
        <f>RTD("nest.scriprtd",,"nse_cm|945CAGL24-N1","Ask Qty")</f>
        <v>100</v>
      </c>
      <c r="H1704">
        <f>RTD("nest.scriprtd",,"nse_cm|945CAGL24-N1","LTP")</f>
        <v>998</v>
      </c>
      <c r="I1704" t="str">
        <f>RTD("nest.scriprtd",,"nse_cm|945CAGL24-N1","LTT")</f>
        <v/>
      </c>
      <c r="J1704">
        <f>RTD("nest.scriprtd",,"nse_cm|945CAGL24-N1","% Change")</f>
        <v>0</v>
      </c>
      <c r="K1704">
        <f>RTD("nest.scriprtd",,"nse_cm|945CAGL24-N1","ATP")</f>
        <v>0</v>
      </c>
      <c r="L1704">
        <f>RTD("nest.scriprtd",,"nse_cm|945CAGL24-N1","Volume Traded Today")</f>
        <v>0</v>
      </c>
      <c r="M1704">
        <f>RTD("nest.scriprtd",,"nse_cm|945CAGL24-N1","Open")</f>
        <v>0</v>
      </c>
      <c r="N1704">
        <f>RTD("nest.scriprtd",,"nse_cm|945CAGL24-N1","High")</f>
        <v>998</v>
      </c>
      <c r="O1704">
        <f>RTD("nest.scriprtd",,"nse_cm|945CAGL24-N1","Low ")</f>
        <v>998</v>
      </c>
      <c r="P1704">
        <f>RTD("nest.scriprtd",,"nse_cm|945CAGL24-N1","Prev Close")</f>
        <v>998</v>
      </c>
      <c r="Q1704">
        <f>RTD("nest.scriprtd",,"nse_cm|945CAGL24-N1","Face Value")</f>
        <v>1000</v>
      </c>
      <c r="R1704" t="str">
        <f>RTD("nest.scriprtd",,"nse_cm|945CAGL24-N1","Isin code")</f>
        <v>INE741K07462</v>
      </c>
      <c r="S1704" s="9">
        <f>Table1[[#This Row],[Ask Rate]]*Table1[[#This Row],[Ask Qty]]</f>
        <v>99800</v>
      </c>
      <c r="T1704">
        <f>VLOOKUP(Table1[[#This Row],[Isin code]],Table2[#All],7,FALSE)</f>
        <v>9.4499999999999993</v>
      </c>
      <c r="U1704" s="17" t="str">
        <f>VLOOKUP(Table1[[#This Row],[Isin code]],Table2[#All],8,FALSE)</f>
        <v>23-Nov-2024</v>
      </c>
      <c r="V1704" s="10">
        <f ca="1">Table1[[#This Row],[Maturity]]-TODAY()</f>
        <v>38</v>
      </c>
      <c r="W1704" t="str">
        <f>VLOOKUP(Table1[[#This Row],[Isin code]],Table2[#All],10,FALSE)</f>
        <v>Monthly</v>
      </c>
      <c r="X1704">
        <f ca="1">_xlfn.DAYS(Table1[[#This Row],[Maturity]],TODAY())-15</f>
        <v>23</v>
      </c>
      <c r="Y170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704">
        <f>IF(Table1[[#This Row],[Ask Rate]]=0,0,Table1[[#This Row],[Face Value]]-Table1[[#This Row],[Ask Rate]])</f>
        <v>2</v>
      </c>
      <c r="AA1704">
        <f>IF(Table1[[#This Row],[Freq]]="Yearly",Table1[[#This Row],[Coupon_Rate]]/100,IF(Table1[[#This Row],[Freq]]="Monthly",Table1[[#This Row],[Coupon_Rate]]/1200,IF(Table1[[#This Row],[Freq]]="Quarterly",Table1[[#This Row],[Coupon_Rate]]/400,0)))</f>
        <v>7.8750000000000001E-3</v>
      </c>
      <c r="AB1704">
        <f ca="1">Table1[[#This Row],[Face Value]]*Table1[[#This Row],[Rate]]*Table1[[#This Row],[Time]]</f>
        <v>7.875</v>
      </c>
      <c r="AC1704">
        <f ca="1">Table1[[#This Row],[SI]]+Table1[[#This Row],[Disc/Prem]]</f>
        <v>9.875</v>
      </c>
      <c r="AD1704" s="3">
        <f ca="1">Table1[[#This Row],[Net Gain]]/Table1[[#This Row],[Ask Rate]]</f>
        <v>9.8947895791583161E-3</v>
      </c>
      <c r="AE1704" s="3">
        <f ca="1">IF(Table1[[#This Row],[Ask Qty]]=0,0,Table1[[#This Row],[Gross Yield]]*365/Table1[[#This Row],[Days Left]])</f>
        <v>9.5042057799810148E-2</v>
      </c>
      <c r="AF1704" s="9">
        <f ca="1">+Table1[[#This Row],[Net Gain]]*Table1[[#This Row],[Ask Qty]]</f>
        <v>987.5</v>
      </c>
      <c r="AG1704" t="str">
        <f ca="1">IF(Table1[[#This Row],[YTM]]&gt;0.12,IF(Table1[[#This Row],[Gross Profit]]&gt;10000,"Invest","Review"),"Low YTM")</f>
        <v>Low YTM</v>
      </c>
    </row>
    <row r="1705" spans="1:33" x14ac:dyDescent="0.3">
      <c r="A1705" t="str">
        <f>RTD("nest.scriprtd",,"bse_cm|MFL25D","Symbol")</f>
        <v>MFL25D</v>
      </c>
      <c r="B1705" t="str">
        <f>RTD("nest.scriprtd",,"bse_cm|MFL25D","Trading Symbol")</f>
        <v>MFL25D</v>
      </c>
      <c r="C1705" t="str">
        <f>RTD("nest.scriprtd",,"bse_cm|MFL25D","Exchange")</f>
        <v>BSE</v>
      </c>
      <c r="D1705">
        <f>RTD("nest.scriprtd",,"bse_cm|MFL25D","Bid Qty")</f>
        <v>25</v>
      </c>
      <c r="E1705">
        <f>RTD("nest.scriprtd",,"bse_cm|MFL25D","Bid Rate")</f>
        <v>1103.5</v>
      </c>
      <c r="F1705">
        <f>RTD("nest.scriprtd",,"bse_cm|MFL25D","Ask Rate")</f>
        <v>1113</v>
      </c>
      <c r="G1705">
        <f>RTD("nest.scriprtd",,"bse_cm|MFL25D","Ask Qty")</f>
        <v>50</v>
      </c>
      <c r="H1705">
        <f>RTD("nest.scriprtd",,"bse_cm|MFL25D","LTP")</f>
        <v>1117</v>
      </c>
      <c r="I1705" t="str">
        <f>RTD("nest.scriprtd",,"bse_cm|MFL25D","LTT")</f>
        <v>00:00:00</v>
      </c>
      <c r="J1705">
        <f>RTD("nest.scriprtd",,"bse_cm|MFL25D","% Change")</f>
        <v>1.33</v>
      </c>
      <c r="K1705">
        <f>RTD("nest.scriprtd",,"bse_cm|MFL25D","ATP")</f>
        <v>0</v>
      </c>
      <c r="L1705">
        <f>RTD("nest.scriprtd",,"bse_cm|MFL25D","Volume Traded Today")</f>
        <v>0</v>
      </c>
      <c r="M1705">
        <f>RTD("nest.scriprtd",,"bse_cm|MFL25D","Open")</f>
        <v>0</v>
      </c>
      <c r="N1705">
        <f>RTD("nest.scriprtd",,"bse_cm|MFL25D","High")</f>
        <v>1117</v>
      </c>
      <c r="O1705">
        <f>RTD("nest.scriprtd",,"bse_cm|MFL25D","Low ")</f>
        <v>1117</v>
      </c>
      <c r="P1705">
        <f>RTD("nest.scriprtd",,"bse_cm|MFL25D","Prev Close")</f>
        <v>1102.3</v>
      </c>
      <c r="Q1705">
        <f>RTD("nest.scriprtd",,"bse_cm|MFL25D","Face Value")</f>
        <v>1000</v>
      </c>
      <c r="R1705" t="str">
        <f>RTD("nest.scriprtd",,"bse_cm|MFL25D","Isin code")</f>
        <v>INE549K07BR6</v>
      </c>
      <c r="S1705" s="9">
        <f>Table1[[#This Row],[Ask Rate]]*Table1[[#This Row],[Ask Qty]]</f>
        <v>55650</v>
      </c>
      <c r="T1705" t="str">
        <f>VLOOKUP(Table1[[#This Row],[Isin code]],Table2[#All],7,FALSE)</f>
        <v>--</v>
      </c>
      <c r="U1705" s="17" t="str">
        <f>VLOOKUP(Table1[[#This Row],[Isin code]],Table2[#All],8,FALSE)</f>
        <v>02-May-2025</v>
      </c>
      <c r="V1705" s="10">
        <f ca="1">Table1[[#This Row],[Maturity]]-TODAY()</f>
        <v>198</v>
      </c>
      <c r="W1705" t="str">
        <f>VLOOKUP(Table1[[#This Row],[Isin code]],Table2[#All],10,FALSE)</f>
        <v>At the End</v>
      </c>
      <c r="X1705">
        <f ca="1">_xlfn.DAYS(Table1[[#This Row],[Maturity]],TODAY())-15</f>
        <v>183</v>
      </c>
      <c r="Y170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05">
        <f>IF(Table1[[#This Row],[Ask Rate]]=0,0,Table1[[#This Row],[Face Value]]-Table1[[#This Row],[Ask Rate]])</f>
        <v>-113</v>
      </c>
      <c r="AA170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05">
        <f>Table1[[#This Row],[Face Value]]*Table1[[#This Row],[Rate]]*Table1[[#This Row],[Time]]</f>
        <v>0</v>
      </c>
      <c r="AC1705">
        <f>Table1[[#This Row],[SI]]+Table1[[#This Row],[Disc/Prem]]</f>
        <v>-113</v>
      </c>
      <c r="AD1705" s="3">
        <f>Table1[[#This Row],[Net Gain]]/Table1[[#This Row],[Ask Rate]]</f>
        <v>-0.10152740341419586</v>
      </c>
      <c r="AE1705" s="3">
        <f ca="1">IF(Table1[[#This Row],[Ask Qty]]=0,0,Table1[[#This Row],[Gross Yield]]*365/Table1[[#This Row],[Days Left]])</f>
        <v>-0.18715910225344187</v>
      </c>
      <c r="AF1705" s="9">
        <f>+Table1[[#This Row],[Net Gain]]*Table1[[#This Row],[Ask Qty]]</f>
        <v>-5650</v>
      </c>
      <c r="AG1705" t="str">
        <f ca="1">IF(Table1[[#This Row],[YTM]]&gt;0.12,IF(Table1[[#This Row],[Gross Profit]]&gt;10000,"Invest","Review"),"Low YTM")</f>
        <v>Low YTM</v>
      </c>
    </row>
    <row r="1706" spans="1:33" x14ac:dyDescent="0.3">
      <c r="A1706" t="str">
        <f>RTD("nest.scriprtd",,"bse_cm|EFSL25A","Symbol")</f>
        <v>EFSL25A</v>
      </c>
      <c r="B1706" t="str">
        <f>RTD("nest.scriprtd",,"bse_cm|EFSL25A","Trading Symbol")</f>
        <v>EFSL25A</v>
      </c>
      <c r="C1706" t="str">
        <f>RTD("nest.scriprtd",,"bse_cm|EFSL25A","Exchange")</f>
        <v>BSE</v>
      </c>
      <c r="D1706">
        <f>RTD("nest.scriprtd",,"bse_cm|EFSL25A","Bid Qty")</f>
        <v>180</v>
      </c>
      <c r="E1706">
        <f>RTD("nest.scriprtd",,"bse_cm|EFSL25A","Bid Rate")</f>
        <v>1085.2</v>
      </c>
      <c r="F1706">
        <f>RTD("nest.scriprtd",,"bse_cm|EFSL25A","Ask Rate")</f>
        <v>1110.8</v>
      </c>
      <c r="G1706">
        <f>RTD("nest.scriprtd",,"bse_cm|EFSL25A","Ask Qty")</f>
        <v>15</v>
      </c>
      <c r="H1706">
        <f>RTD("nest.scriprtd",,"bse_cm|EFSL25A","LTP")</f>
        <v>0</v>
      </c>
      <c r="I1706" t="str">
        <f>RTD("nest.scriprtd",,"bse_cm|EFSL25A","LTT")</f>
        <v>00:00:00</v>
      </c>
      <c r="J1706">
        <f>RTD("nest.scriprtd",,"bse_cm|EFSL25A","% Change")</f>
        <v>-100</v>
      </c>
      <c r="K1706">
        <f>RTD("nest.scriprtd",,"bse_cm|EFSL25A","ATP")</f>
        <v>0</v>
      </c>
      <c r="L1706">
        <f>RTD("nest.scriprtd",,"bse_cm|EFSL25A","Volume Traded Today")</f>
        <v>0</v>
      </c>
      <c r="M1706">
        <f>RTD("nest.scriprtd",,"bse_cm|EFSL25A","Open")</f>
        <v>0</v>
      </c>
      <c r="N1706">
        <f>RTD("nest.scriprtd",,"bse_cm|EFSL25A","High")</f>
        <v>1121</v>
      </c>
      <c r="O1706">
        <f>RTD("nest.scriprtd",,"bse_cm|EFSL25A","Low ")</f>
        <v>1121</v>
      </c>
      <c r="P1706">
        <f>RTD("nest.scriprtd",,"bse_cm|EFSL25A","Prev Close")</f>
        <v>1121</v>
      </c>
      <c r="Q1706">
        <f>RTD("nest.scriprtd",,"bse_cm|EFSL25A","Face Value")</f>
        <v>1000</v>
      </c>
      <c r="R1706" t="str">
        <f>RTD("nest.scriprtd",,"bse_cm|EFSL25A","Isin code")</f>
        <v>INE532F07DR8</v>
      </c>
      <c r="S1706" s="9">
        <f>Table1[[#This Row],[Ask Rate]]*Table1[[#This Row],[Ask Qty]]</f>
        <v>16662</v>
      </c>
      <c r="T1706" t="str">
        <f>VLOOKUP(Table1[[#This Row],[Isin code]],Table2[#All],7,FALSE)</f>
        <v>--</v>
      </c>
      <c r="U1706" s="17" t="str">
        <f>VLOOKUP(Table1[[#This Row],[Isin code]],Table2[#All],8,FALSE)</f>
        <v>27-Apr-2025</v>
      </c>
      <c r="V1706" s="10">
        <f ca="1">Table1[[#This Row],[Maturity]]-TODAY()</f>
        <v>193</v>
      </c>
      <c r="W1706" t="str">
        <f>VLOOKUP(Table1[[#This Row],[Isin code]],Table2[#All],10,FALSE)</f>
        <v>At the End</v>
      </c>
      <c r="X1706">
        <f ca="1">_xlfn.DAYS(Table1[[#This Row],[Maturity]],TODAY())-15</f>
        <v>178</v>
      </c>
      <c r="Y170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06">
        <f>IF(Table1[[#This Row],[Ask Rate]]=0,0,Table1[[#This Row],[Face Value]]-Table1[[#This Row],[Ask Rate]])</f>
        <v>-110.79999999999995</v>
      </c>
      <c r="AA170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06">
        <f>Table1[[#This Row],[Face Value]]*Table1[[#This Row],[Rate]]*Table1[[#This Row],[Time]]</f>
        <v>0</v>
      </c>
      <c r="AC1706">
        <f>Table1[[#This Row],[SI]]+Table1[[#This Row],[Disc/Prem]]</f>
        <v>-110.79999999999995</v>
      </c>
      <c r="AD1706" s="3">
        <f>Table1[[#This Row],[Net Gain]]/Table1[[#This Row],[Ask Rate]]</f>
        <v>-9.9747929420237635E-2</v>
      </c>
      <c r="AE1706" s="3">
        <f ca="1">IF(Table1[[#This Row],[Ask Qty]]=0,0,Table1[[#This Row],[Gross Yield]]*365/Table1[[#This Row],[Days Left]])</f>
        <v>-0.18864245719371364</v>
      </c>
      <c r="AF1706" s="9">
        <f>+Table1[[#This Row],[Net Gain]]*Table1[[#This Row],[Ask Qty]]</f>
        <v>-1661.9999999999993</v>
      </c>
      <c r="AG1706" t="str">
        <f ca="1">IF(Table1[[#This Row],[YTM]]&gt;0.12,IF(Table1[[#This Row],[Gross Profit]]&gt;10000,"Invest","Review"),"Low YTM")</f>
        <v>Low YTM</v>
      </c>
    </row>
    <row r="1707" spans="1:33" x14ac:dyDescent="0.3">
      <c r="A1707" t="str">
        <f>RTD("nest.scriprtd",,"bse_cm|MFLVI25","Symbol")</f>
        <v>MFLVI25</v>
      </c>
      <c r="B1707" t="str">
        <f>RTD("nest.scriprtd",,"bse_cm|MFLVI25","Trading Symbol")</f>
        <v>MFLVI25</v>
      </c>
      <c r="C1707" t="str">
        <f>RTD("nest.scriprtd",,"bse_cm|MFLVI25","Exchange")</f>
        <v>BSE</v>
      </c>
      <c r="D1707">
        <f>RTD("nest.scriprtd",,"bse_cm|MFLVI25","Bid Qty")</f>
        <v>180</v>
      </c>
      <c r="E1707">
        <f>RTD("nest.scriprtd",,"bse_cm|MFLVI25","Bid Rate")</f>
        <v>1132.2</v>
      </c>
      <c r="F1707">
        <f>RTD("nest.scriprtd",,"bse_cm|MFLVI25","Ask Rate")</f>
        <v>1150.8</v>
      </c>
      <c r="G1707">
        <f>RTD("nest.scriprtd",,"bse_cm|MFLVI25","Ask Qty")</f>
        <v>272</v>
      </c>
      <c r="H1707">
        <f>RTD("nest.scriprtd",,"bse_cm|MFLVI25","LTP")</f>
        <v>0</v>
      </c>
      <c r="I1707" t="str">
        <f>RTD("nest.scriprtd",,"bse_cm|MFLVI25","LTT")</f>
        <v>00:00:00</v>
      </c>
      <c r="J1707">
        <f>RTD("nest.scriprtd",,"bse_cm|MFLVI25","% Change")</f>
        <v>-100</v>
      </c>
      <c r="K1707">
        <f>RTD("nest.scriprtd",,"bse_cm|MFLVI25","ATP")</f>
        <v>0</v>
      </c>
      <c r="L1707">
        <f>RTD("nest.scriprtd",,"bse_cm|MFLVI25","Volume Traded Today")</f>
        <v>0</v>
      </c>
      <c r="M1707">
        <f>RTD("nest.scriprtd",,"bse_cm|MFLVI25","Open")</f>
        <v>0</v>
      </c>
      <c r="N1707">
        <f>RTD("nest.scriprtd",,"bse_cm|MFLVI25","High")</f>
        <v>1136.5</v>
      </c>
      <c r="O1707">
        <f>RTD("nest.scriprtd",,"bse_cm|MFLVI25","Low ")</f>
        <v>1136.5</v>
      </c>
      <c r="P1707">
        <f>RTD("nest.scriprtd",,"bse_cm|MFLVI25","Prev Close")</f>
        <v>1136.5</v>
      </c>
      <c r="Q1707">
        <f>RTD("nest.scriprtd",,"bse_cm|MFLVI25","Face Value")</f>
        <v>1000</v>
      </c>
      <c r="R1707" t="str">
        <f>RTD("nest.scriprtd",,"bse_cm|MFLVI25","Isin code")</f>
        <v>INE414G07GQ2</v>
      </c>
      <c r="S1707" s="9">
        <f>Table1[[#This Row],[Ask Rate]]*Table1[[#This Row],[Ask Qty]]</f>
        <v>313017.59999999998</v>
      </c>
      <c r="T1707" t="str">
        <f>VLOOKUP(Table1[[#This Row],[Isin code]],Table2[#All],7,FALSE)</f>
        <v>--</v>
      </c>
      <c r="U1707" s="17" t="str">
        <f>VLOOKUP(Table1[[#This Row],[Isin code]],Table2[#All],8,FALSE)</f>
        <v>23-Jun-2025</v>
      </c>
      <c r="V1707" s="10">
        <f ca="1">Table1[[#This Row],[Maturity]]-TODAY()</f>
        <v>250</v>
      </c>
      <c r="W1707" t="str">
        <f>VLOOKUP(Table1[[#This Row],[Isin code]],Table2[#All],10,FALSE)</f>
        <v>At the End</v>
      </c>
      <c r="X1707">
        <f ca="1">_xlfn.DAYS(Table1[[#This Row],[Maturity]],TODAY())-15</f>
        <v>235</v>
      </c>
      <c r="Y170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07">
        <f>IF(Table1[[#This Row],[Ask Rate]]=0,0,Table1[[#This Row],[Face Value]]-Table1[[#This Row],[Ask Rate]])</f>
        <v>-150.79999999999995</v>
      </c>
      <c r="AA170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07">
        <f>Table1[[#This Row],[Face Value]]*Table1[[#This Row],[Rate]]*Table1[[#This Row],[Time]]</f>
        <v>0</v>
      </c>
      <c r="AC1707">
        <f>Table1[[#This Row],[SI]]+Table1[[#This Row],[Disc/Prem]]</f>
        <v>-150.79999999999995</v>
      </c>
      <c r="AD1707" s="3">
        <f>Table1[[#This Row],[Net Gain]]/Table1[[#This Row],[Ask Rate]]</f>
        <v>-0.13103927702467846</v>
      </c>
      <c r="AE1707" s="3">
        <f ca="1">IF(Table1[[#This Row],[Ask Qty]]=0,0,Table1[[#This Row],[Gross Yield]]*365/Table1[[#This Row],[Days Left]])</f>
        <v>-0.19131734445603055</v>
      </c>
      <c r="AF1707" s="9">
        <f>+Table1[[#This Row],[Net Gain]]*Table1[[#This Row],[Ask Qty]]</f>
        <v>-41017.599999999991</v>
      </c>
      <c r="AG1707" t="str">
        <f ca="1">IF(Table1[[#This Row],[YTM]]&gt;0.12,IF(Table1[[#This Row],[Gross Profit]]&gt;10000,"Invest","Review"),"Low YTM")</f>
        <v>Low YTM</v>
      </c>
    </row>
    <row r="1708" spans="1:33" x14ac:dyDescent="0.3">
      <c r="A1708" t="str">
        <f>RTD("nest.scriprtd",,"nse_cm|948SCL26I-AX","Symbol")</f>
        <v>948SCL26I</v>
      </c>
      <c r="B1708" t="str">
        <f>RTD("nest.scriprtd",,"nse_cm|948SCL26I-AX","Trading Symbol")</f>
        <v>948SCL26I-AX</v>
      </c>
      <c r="C1708" t="str">
        <f>RTD("nest.scriprtd",,"nse_cm|948SCL26I-AX","Exchange")</f>
        <v>NSE</v>
      </c>
      <c r="D1708">
        <f>RTD("nest.scriprtd",,"nse_cm|948SCL26I-AX","Bid Qty")</f>
        <v>0</v>
      </c>
      <c r="E1708">
        <f>RTD("nest.scriprtd",,"nse_cm|948SCL26I-AX","Bid Rate")</f>
        <v>0</v>
      </c>
      <c r="F1708">
        <f>RTD("nest.scriprtd",,"nse_cm|948SCL26I-AX","Ask Rate")</f>
        <v>1238</v>
      </c>
      <c r="G1708">
        <f>RTD("nest.scriprtd",,"nse_cm|948SCL26I-AX","Ask Qty")</f>
        <v>29</v>
      </c>
      <c r="H1708">
        <f>RTD("nest.scriprtd",,"nse_cm|948SCL26I-AX","LTP")</f>
        <v>1238</v>
      </c>
      <c r="I1708" t="str">
        <f>RTD("nest.scriprtd",,"nse_cm|948SCL26I-AX","LTT")</f>
        <v>09:57:55</v>
      </c>
      <c r="J1708">
        <f>RTD("nest.scriprtd",,"nse_cm|948SCL26I-AX","% Change")</f>
        <v>-0.16</v>
      </c>
      <c r="K1708">
        <f>RTD("nest.scriprtd",,"nse_cm|948SCL26I-AX","ATP")</f>
        <v>1238</v>
      </c>
      <c r="L1708">
        <f>RTD("nest.scriprtd",,"nse_cm|948SCL26I-AX","Volume Traded Today")</f>
        <v>21</v>
      </c>
      <c r="M1708">
        <f>RTD("nest.scriprtd",,"nse_cm|948SCL26I-AX","Open")</f>
        <v>1238</v>
      </c>
      <c r="N1708">
        <f>RTD("nest.scriprtd",,"nse_cm|948SCL26I-AX","High")</f>
        <v>1238</v>
      </c>
      <c r="O1708">
        <f>RTD("nest.scriprtd",,"nse_cm|948SCL26I-AX","Low ")</f>
        <v>1238</v>
      </c>
      <c r="P1708">
        <f>RTD("nest.scriprtd",,"nse_cm|948SCL26I-AX","Prev Close")</f>
        <v>1240</v>
      </c>
      <c r="Q1708">
        <f>RTD("nest.scriprtd",,"nse_cm|948SCL26I-AX","Face Value")</f>
        <v>667</v>
      </c>
      <c r="R1708" t="str">
        <f>RTD("nest.scriprtd",,"nse_cm|948SCL26I-AX","Isin code")</f>
        <v>INE148I07OP8</v>
      </c>
      <c r="S1708" s="9">
        <f>Table1[[#This Row],[Ask Rate]]*Table1[[#This Row],[Ask Qty]]</f>
        <v>35902</v>
      </c>
      <c r="T1708">
        <f>VLOOKUP(Table1[[#This Row],[Isin code]],Table2[#All],7,FALSE)</f>
        <v>9.48</v>
      </c>
      <c r="U1708" s="17" t="str">
        <f>VLOOKUP(Table1[[#This Row],[Isin code]],Table2[#All],8,FALSE)</f>
        <v>27-Jul-2026</v>
      </c>
      <c r="V1708" s="10">
        <f ca="1">Table1[[#This Row],[Maturity]]-TODAY()</f>
        <v>649</v>
      </c>
      <c r="W1708" t="str">
        <f>VLOOKUP(Table1[[#This Row],[Isin code]],Table2[#All],10,FALSE)</f>
        <v>Monthly</v>
      </c>
      <c r="X1708">
        <f ca="1">_xlfn.DAYS(Table1[[#This Row],[Maturity]],TODAY())-15</f>
        <v>634</v>
      </c>
      <c r="Y170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22</v>
      </c>
      <c r="Z1708">
        <f>IF(Table1[[#This Row],[Ask Rate]]=0,0,Table1[[#This Row],[Face Value]]-Table1[[#This Row],[Ask Rate]])</f>
        <v>-571</v>
      </c>
      <c r="AA1708">
        <f>IF(Table1[[#This Row],[Freq]]="Yearly",Table1[[#This Row],[Coupon_Rate]]/100,IF(Table1[[#This Row],[Freq]]="Monthly",Table1[[#This Row],[Coupon_Rate]]/1200,IF(Table1[[#This Row],[Freq]]="Quarterly",Table1[[#This Row],[Coupon_Rate]]/400,0)))</f>
        <v>7.9000000000000008E-3</v>
      </c>
      <c r="AB1708">
        <f ca="1">Table1[[#This Row],[Face Value]]*Table1[[#This Row],[Rate]]*Table1[[#This Row],[Time]]</f>
        <v>115.92460000000001</v>
      </c>
      <c r="AC1708">
        <f ca="1">Table1[[#This Row],[SI]]+Table1[[#This Row],[Disc/Prem]]</f>
        <v>-455.0754</v>
      </c>
      <c r="AD1708" s="3">
        <f ca="1">Table1[[#This Row],[Net Gain]]/Table1[[#This Row],[Ask Rate]]</f>
        <v>-0.36758917609046848</v>
      </c>
      <c r="AE1708" s="3">
        <f ca="1">IF(Table1[[#This Row],[Ask Qty]]=0,0,Table1[[#This Row],[Gross Yield]]*365/Table1[[#This Row],[Days Left]])</f>
        <v>-0.20673351197691986</v>
      </c>
      <c r="AF1708" s="9">
        <f ca="1">+Table1[[#This Row],[Net Gain]]*Table1[[#This Row],[Ask Qty]]</f>
        <v>-13197.186600000001</v>
      </c>
      <c r="AG1708" t="str">
        <f ca="1">IF(Table1[[#This Row],[YTM]]&gt;0.12,IF(Table1[[#This Row],[Gross Profit]]&gt;10000,"Invest","Review"),"Low YTM")</f>
        <v>Low YTM</v>
      </c>
    </row>
    <row r="1709" spans="1:33" x14ac:dyDescent="0.3">
      <c r="A1709" t="str">
        <f>RTD("nest.scriprtd",,"bse_cm|KFLZC26","Symbol")</f>
        <v>KFLZC26</v>
      </c>
      <c r="B1709" t="str">
        <f>RTD("nest.scriprtd",,"bse_cm|KFLZC26","Trading Symbol")</f>
        <v>KFLZC26</v>
      </c>
      <c r="C1709" t="str">
        <f>RTD("nest.scriprtd",,"bse_cm|KFLZC26","Exchange")</f>
        <v>BSE</v>
      </c>
      <c r="D1709">
        <f>RTD("nest.scriprtd",,"bse_cm|KFLZC26","Bid Qty")</f>
        <v>25</v>
      </c>
      <c r="E1709">
        <f>RTD("nest.scriprtd",,"bse_cm|KFLZC26","Bid Rate")</f>
        <v>1240.2</v>
      </c>
      <c r="F1709">
        <f>RTD("nest.scriprtd",,"bse_cm|KFLZC26","Ask Rate")</f>
        <v>1600</v>
      </c>
      <c r="G1709">
        <f>RTD("nest.scriprtd",,"bse_cm|KFLZC26","Ask Qty")</f>
        <v>25</v>
      </c>
      <c r="H1709">
        <f>RTD("nest.scriprtd",,"bse_cm|KFLZC26","LTP")</f>
        <v>0</v>
      </c>
      <c r="I1709" t="str">
        <f>RTD("nest.scriprtd",,"bse_cm|KFLZC26","LTT")</f>
        <v>00:00:00</v>
      </c>
      <c r="J1709">
        <f>RTD("nest.scriprtd",,"bse_cm|KFLZC26","% Change")</f>
        <v>-100</v>
      </c>
      <c r="K1709">
        <f>RTD("nest.scriprtd",,"bse_cm|KFLZC26","ATP")</f>
        <v>0</v>
      </c>
      <c r="L1709">
        <f>RTD("nest.scriprtd",,"bse_cm|KFLZC26","Volume Traded Today")</f>
        <v>0</v>
      </c>
      <c r="M1709">
        <f>RTD("nest.scriprtd",,"bse_cm|KFLZC26","Open")</f>
        <v>0</v>
      </c>
      <c r="N1709">
        <f>RTD("nest.scriprtd",,"bse_cm|KFLZC26","High")</f>
        <v>1340</v>
      </c>
      <c r="O1709">
        <f>RTD("nest.scriprtd",,"bse_cm|KFLZC26","Low ")</f>
        <v>1308.79</v>
      </c>
      <c r="P1709">
        <f>RTD("nest.scriprtd",,"bse_cm|KFLZC26","Prev Close")</f>
        <v>1340</v>
      </c>
      <c r="Q1709">
        <f>RTD("nest.scriprtd",,"bse_cm|KFLZC26","Face Value")</f>
        <v>1000</v>
      </c>
      <c r="R1709" t="str">
        <f>RTD("nest.scriprtd",,"bse_cm|KFLZC26","Isin code")</f>
        <v>INE403Q07BR3</v>
      </c>
      <c r="S1709" s="9">
        <f>Table1[[#This Row],[Ask Rate]]*Table1[[#This Row],[Ask Qty]]</f>
        <v>40000</v>
      </c>
      <c r="T1709" t="str">
        <f>VLOOKUP(Table1[[#This Row],[Isin code]],Table2[#All],7,FALSE)</f>
        <v>--</v>
      </c>
      <c r="U1709" s="17" t="str">
        <f>VLOOKUP(Table1[[#This Row],[Isin code]],Table2[#All],8,FALSE)</f>
        <v>22-Jul-2026</v>
      </c>
      <c r="V1709" s="10">
        <f ca="1">Table1[[#This Row],[Maturity]]-TODAY()</f>
        <v>644</v>
      </c>
      <c r="W1709" t="str">
        <f>VLOOKUP(Table1[[#This Row],[Isin code]],Table2[#All],10,FALSE)</f>
        <v>At the End</v>
      </c>
      <c r="X1709">
        <f ca="1">_xlfn.DAYS(Table1[[#This Row],[Maturity]],TODAY())-15</f>
        <v>629</v>
      </c>
      <c r="Y170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09">
        <f>IF(Table1[[#This Row],[Ask Rate]]=0,0,Table1[[#This Row],[Face Value]]-Table1[[#This Row],[Ask Rate]])</f>
        <v>-600</v>
      </c>
      <c r="AA170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09">
        <f>Table1[[#This Row],[Face Value]]*Table1[[#This Row],[Rate]]*Table1[[#This Row],[Time]]</f>
        <v>0</v>
      </c>
      <c r="AC1709">
        <f>Table1[[#This Row],[SI]]+Table1[[#This Row],[Disc/Prem]]</f>
        <v>-600</v>
      </c>
      <c r="AD1709" s="3">
        <f>Table1[[#This Row],[Net Gain]]/Table1[[#This Row],[Ask Rate]]</f>
        <v>-0.375</v>
      </c>
      <c r="AE1709" s="3">
        <f ca="1">IF(Table1[[#This Row],[Ask Qty]]=0,0,Table1[[#This Row],[Gross Yield]]*365/Table1[[#This Row],[Days Left]])</f>
        <v>-0.21253881987577639</v>
      </c>
      <c r="AF1709" s="9">
        <f>+Table1[[#This Row],[Net Gain]]*Table1[[#This Row],[Ask Qty]]</f>
        <v>-15000</v>
      </c>
      <c r="AG1709" t="str">
        <f ca="1">IF(Table1[[#This Row],[YTM]]&gt;0.12,IF(Table1[[#This Row],[Gross Profit]]&gt;10000,"Invest","Review"),"Low YTM")</f>
        <v>Low YTM</v>
      </c>
    </row>
    <row r="1710" spans="1:33" x14ac:dyDescent="0.3">
      <c r="A1710" t="str">
        <f>RTD("nest.scriprtd",,"bse_cm|KAFLZC26A","Symbol")</f>
        <v>KAFLZC26A</v>
      </c>
      <c r="B1710" t="str">
        <f>RTD("nest.scriprtd",,"bse_cm|KAFLZC26A","Trading Symbol")</f>
        <v>KAFLZC26A</v>
      </c>
      <c r="C1710" t="str">
        <f>RTD("nest.scriprtd",,"bse_cm|KAFLZC26A","Exchange")</f>
        <v>BSE</v>
      </c>
      <c r="D1710">
        <f>RTD("nest.scriprtd",,"bse_cm|KAFLZC26A","Bid Qty")</f>
        <v>24</v>
      </c>
      <c r="E1710">
        <f>RTD("nest.scriprtd",,"bse_cm|KAFLZC26A","Bid Rate")</f>
        <v>1314.8</v>
      </c>
      <c r="F1710">
        <f>RTD("nest.scriprtd",,"bse_cm|KAFLZC26A","Ask Rate")</f>
        <v>1714.9</v>
      </c>
      <c r="G1710">
        <f>RTD("nest.scriprtd",,"bse_cm|KAFLZC26A","Ask Qty")</f>
        <v>9</v>
      </c>
      <c r="H1710">
        <f>RTD("nest.scriprtd",,"bse_cm|KAFLZC26A","LTP")</f>
        <v>0</v>
      </c>
      <c r="I1710" t="str">
        <f>RTD("nest.scriprtd",,"bse_cm|KAFLZC26A","LTT")</f>
        <v>00:00:00</v>
      </c>
      <c r="J1710">
        <f>RTD("nest.scriprtd",,"bse_cm|KAFLZC26A","% Change")</f>
        <v>-100</v>
      </c>
      <c r="K1710">
        <f>RTD("nest.scriprtd",,"bse_cm|KAFLZC26A","ATP")</f>
        <v>0</v>
      </c>
      <c r="L1710">
        <f>RTD("nest.scriprtd",,"bse_cm|KAFLZC26A","Volume Traded Today")</f>
        <v>0</v>
      </c>
      <c r="M1710">
        <f>RTD("nest.scriprtd",,"bse_cm|KAFLZC26A","Open")</f>
        <v>0</v>
      </c>
      <c r="N1710">
        <f>RTD("nest.scriprtd",,"bse_cm|KAFLZC26A","High")</f>
        <v>1541.62</v>
      </c>
      <c r="O1710">
        <f>RTD("nest.scriprtd",,"bse_cm|KAFLZC26A","Low ")</f>
        <v>1541.62</v>
      </c>
      <c r="P1710">
        <f>RTD("nest.scriprtd",,"bse_cm|KAFLZC26A","Prev Close")</f>
        <v>1541.62</v>
      </c>
      <c r="Q1710">
        <f>RTD("nest.scriprtd",,"bse_cm|KAFLZC26A","Face Value")</f>
        <v>1000</v>
      </c>
      <c r="R1710" t="str">
        <f>RTD("nest.scriprtd",,"bse_cm|KAFLZC26A","Isin code")</f>
        <v>INE01I507299</v>
      </c>
      <c r="S1710" s="9">
        <f>Table1[[#This Row],[Ask Rate]]*Table1[[#This Row],[Ask Qty]]</f>
        <v>15434.1</v>
      </c>
      <c r="T1710" t="str">
        <f>VLOOKUP(Table1[[#This Row],[Isin code]],Table2[#All],7,FALSE)</f>
        <v>--</v>
      </c>
      <c r="U1710" s="17" t="str">
        <f>VLOOKUP(Table1[[#This Row],[Isin code]],Table2[#All],8,FALSE)</f>
        <v>01-Oct-2026</v>
      </c>
      <c r="V1710" s="10">
        <f ca="1">Table1[[#This Row],[Maturity]]-TODAY()</f>
        <v>715</v>
      </c>
      <c r="W1710" t="str">
        <f>VLOOKUP(Table1[[#This Row],[Isin code]],Table2[#All],10,FALSE)</f>
        <v>At the End</v>
      </c>
      <c r="X1710">
        <f ca="1">_xlfn.DAYS(Table1[[#This Row],[Maturity]],TODAY())-15</f>
        <v>700</v>
      </c>
      <c r="Y171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10">
        <f>IF(Table1[[#This Row],[Ask Rate]]=0,0,Table1[[#This Row],[Face Value]]-Table1[[#This Row],[Ask Rate]])</f>
        <v>-714.90000000000009</v>
      </c>
      <c r="AA171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10">
        <f>Table1[[#This Row],[Face Value]]*Table1[[#This Row],[Rate]]*Table1[[#This Row],[Time]]</f>
        <v>0</v>
      </c>
      <c r="AC1710">
        <f>Table1[[#This Row],[SI]]+Table1[[#This Row],[Disc/Prem]]</f>
        <v>-714.90000000000009</v>
      </c>
      <c r="AD1710" s="3">
        <f>Table1[[#This Row],[Net Gain]]/Table1[[#This Row],[Ask Rate]]</f>
        <v>-0.41687561956965424</v>
      </c>
      <c r="AE1710" s="3">
        <f ca="1">IF(Table1[[#This Row],[Ask Qty]]=0,0,Table1[[#This Row],[Gross Yield]]*365/Table1[[#This Row],[Days Left]])</f>
        <v>-0.2128106309691242</v>
      </c>
      <c r="AF1710" s="9">
        <f>+Table1[[#This Row],[Net Gain]]*Table1[[#This Row],[Ask Qty]]</f>
        <v>-6434.1</v>
      </c>
      <c r="AG1710" t="str">
        <f ca="1">IF(Table1[[#This Row],[YTM]]&gt;0.12,IF(Table1[[#This Row],[Gross Profit]]&gt;10000,"Invest","Review"),"Low YTM")</f>
        <v>Low YTM</v>
      </c>
    </row>
    <row r="1711" spans="1:33" x14ac:dyDescent="0.3">
      <c r="A1711" t="str">
        <f>RTD("nest.scriprtd",,"bse_cm|KFLZC26B","Symbol")</f>
        <v>KFLZC26B</v>
      </c>
      <c r="B1711" t="str">
        <f>RTD("nest.scriprtd",,"bse_cm|KFLZC26B","Trading Symbol")</f>
        <v>KFLZC26B</v>
      </c>
      <c r="C1711" t="str">
        <f>RTD("nest.scriprtd",,"bse_cm|KFLZC26B","Exchange")</f>
        <v>BSE</v>
      </c>
      <c r="D1711">
        <f>RTD("nest.scriprtd",,"bse_cm|KFLZC26B","Bid Qty")</f>
        <v>28</v>
      </c>
      <c r="E1711">
        <f>RTD("nest.scriprtd",,"bse_cm|KFLZC26B","Bid Rate")</f>
        <v>1383.9</v>
      </c>
      <c r="F1711">
        <f>RTD("nest.scriprtd",,"bse_cm|KFLZC26B","Ask Rate")</f>
        <v>1683.9</v>
      </c>
      <c r="G1711">
        <f>RTD("nest.scriprtd",,"bse_cm|KFLZC26B","Ask Qty")</f>
        <v>28</v>
      </c>
      <c r="H1711">
        <f>RTD("nest.scriprtd",,"bse_cm|KFLZC26B","LTP")</f>
        <v>0</v>
      </c>
      <c r="I1711" t="str">
        <f>RTD("nest.scriprtd",,"bse_cm|KFLZC26B","LTT")</f>
        <v>00:00:00</v>
      </c>
      <c r="J1711">
        <f>RTD("nest.scriprtd",,"bse_cm|KFLZC26B","% Change")</f>
        <v>-100</v>
      </c>
      <c r="K1711">
        <f>RTD("nest.scriprtd",,"bse_cm|KFLZC26B","ATP")</f>
        <v>0</v>
      </c>
      <c r="L1711">
        <f>RTD("nest.scriprtd",,"bse_cm|KFLZC26B","Volume Traded Today")</f>
        <v>0</v>
      </c>
      <c r="M1711">
        <f>RTD("nest.scriprtd",,"bse_cm|KFLZC26B","Open")</f>
        <v>0</v>
      </c>
      <c r="N1711">
        <f>RTD("nest.scriprtd",,"bse_cm|KFLZC26B","High")</f>
        <v>1530</v>
      </c>
      <c r="O1711">
        <f>RTD("nest.scriprtd",,"bse_cm|KFLZC26B","Low ")</f>
        <v>1530</v>
      </c>
      <c r="P1711">
        <f>RTD("nest.scriprtd",,"bse_cm|KFLZC26B","Prev Close")</f>
        <v>1530</v>
      </c>
      <c r="Q1711">
        <f>RTD("nest.scriprtd",,"bse_cm|KFLZC26B","Face Value")</f>
        <v>1000</v>
      </c>
      <c r="R1711" t="str">
        <f>RTD("nest.scriprtd",,"bse_cm|KFLZC26B","Isin code")</f>
        <v>INE403Q08183</v>
      </c>
      <c r="S1711" s="9">
        <f>Table1[[#This Row],[Ask Rate]]*Table1[[#This Row],[Ask Qty]]</f>
        <v>47149.200000000004</v>
      </c>
      <c r="T1711" t="str">
        <f>VLOOKUP(Table1[[#This Row],[Isin code]],Table2[#All],7,FALSE)</f>
        <v>--</v>
      </c>
      <c r="U1711" s="17" t="str">
        <f>VLOOKUP(Table1[[#This Row],[Isin code]],Table2[#All],8,FALSE)</f>
        <v>20-Aug-2026</v>
      </c>
      <c r="V1711" s="10">
        <f ca="1">Table1[[#This Row],[Maturity]]-TODAY()</f>
        <v>673</v>
      </c>
      <c r="W1711" t="str">
        <f>VLOOKUP(Table1[[#This Row],[Isin code]],Table2[#All],10,FALSE)</f>
        <v>At the End</v>
      </c>
      <c r="X1711">
        <f ca="1">_xlfn.DAYS(Table1[[#This Row],[Maturity]],TODAY())-15</f>
        <v>658</v>
      </c>
      <c r="Y171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11">
        <f>IF(Table1[[#This Row],[Ask Rate]]=0,0,Table1[[#This Row],[Face Value]]-Table1[[#This Row],[Ask Rate]])</f>
        <v>-683.90000000000009</v>
      </c>
      <c r="AA171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11">
        <f>Table1[[#This Row],[Face Value]]*Table1[[#This Row],[Rate]]*Table1[[#This Row],[Time]]</f>
        <v>0</v>
      </c>
      <c r="AC1711">
        <f>Table1[[#This Row],[SI]]+Table1[[#This Row],[Disc/Prem]]</f>
        <v>-683.90000000000009</v>
      </c>
      <c r="AD1711" s="3">
        <f>Table1[[#This Row],[Net Gain]]/Table1[[#This Row],[Ask Rate]]</f>
        <v>-0.40614050715600691</v>
      </c>
      <c r="AE1711" s="3">
        <f ca="1">IF(Table1[[#This Row],[Ask Qty]]=0,0,Table1[[#This Row],[Gross Yield]]*365/Table1[[#This Row],[Days Left]])</f>
        <v>-0.22026936866559066</v>
      </c>
      <c r="AF1711" s="9">
        <f>+Table1[[#This Row],[Net Gain]]*Table1[[#This Row],[Ask Qty]]</f>
        <v>-19149.200000000004</v>
      </c>
      <c r="AG1711" t="str">
        <f ca="1">IF(Table1[[#This Row],[YTM]]&gt;0.12,IF(Table1[[#This Row],[Gross Profit]]&gt;10000,"Invest","Review"),"Low YTM")</f>
        <v>Low YTM</v>
      </c>
    </row>
    <row r="1712" spans="1:33" x14ac:dyDescent="0.3">
      <c r="A1712" t="str">
        <f>RTD("nest.scriprtd",,"bse_cm|EFSLZC26","Symbol")</f>
        <v>EFSLZC26</v>
      </c>
      <c r="B1712" t="str">
        <f>RTD("nest.scriprtd",,"bse_cm|EFSLZC26","Trading Symbol")</f>
        <v>EFSLZC26</v>
      </c>
      <c r="C1712" t="str">
        <f>RTD("nest.scriprtd",,"bse_cm|EFSLZC26","Exchange")</f>
        <v>BSE</v>
      </c>
      <c r="D1712">
        <f>RTD("nest.scriprtd",,"bse_cm|EFSLZC26","Bid Qty")</f>
        <v>180</v>
      </c>
      <c r="E1712">
        <f>RTD("nest.scriprtd",,"bse_cm|EFSLZC26","Bid Rate")</f>
        <v>1341.2</v>
      </c>
      <c r="F1712">
        <f>RTD("nest.scriprtd",,"bse_cm|EFSLZC26","Ask Rate")</f>
        <v>1380</v>
      </c>
      <c r="G1712">
        <f>RTD("nest.scriprtd",,"bse_cm|EFSLZC26","Ask Qty")</f>
        <v>150</v>
      </c>
      <c r="H1712">
        <f>RTD("nest.scriprtd",,"bse_cm|EFSLZC26","LTP")</f>
        <v>0</v>
      </c>
      <c r="I1712" t="str">
        <f>RTD("nest.scriprtd",,"bse_cm|EFSLZC26","LTT")</f>
        <v>00:00:00</v>
      </c>
      <c r="J1712">
        <f>RTD("nest.scriprtd",,"bse_cm|EFSLZC26","% Change")</f>
        <v>-100</v>
      </c>
      <c r="K1712">
        <f>RTD("nest.scriprtd",,"bse_cm|EFSLZC26","ATP")</f>
        <v>0</v>
      </c>
      <c r="L1712">
        <f>RTD("nest.scriprtd",,"bse_cm|EFSLZC26","Volume Traded Today")</f>
        <v>0</v>
      </c>
      <c r="M1712">
        <f>RTD("nest.scriprtd",,"bse_cm|EFSLZC26","Open")</f>
        <v>0</v>
      </c>
      <c r="N1712">
        <f>RTD("nest.scriprtd",,"bse_cm|EFSLZC26","High")</f>
        <v>1375</v>
      </c>
      <c r="O1712">
        <f>RTD("nest.scriprtd",,"bse_cm|EFSLZC26","Low ")</f>
        <v>1340.63</v>
      </c>
      <c r="P1712">
        <f>RTD("nest.scriprtd",,"bse_cm|EFSLZC26","Prev Close")</f>
        <v>1354.3</v>
      </c>
      <c r="Q1712">
        <f>RTD("nest.scriprtd",,"bse_cm|EFSLZC26","Face Value")</f>
        <v>1000</v>
      </c>
      <c r="R1712" t="str">
        <f>RTD("nest.scriprtd",,"bse_cm|EFSLZC26","Isin code")</f>
        <v>INE532F07BO9</v>
      </c>
      <c r="S1712" s="9">
        <f>Table1[[#This Row],[Ask Rate]]*Table1[[#This Row],[Ask Qty]]</f>
        <v>207000</v>
      </c>
      <c r="T1712" t="str">
        <f>VLOOKUP(Table1[[#This Row],[Isin code]],Table2[#All],7,FALSE)</f>
        <v>--</v>
      </c>
      <c r="U1712" s="17" t="str">
        <f>VLOOKUP(Table1[[#This Row],[Isin code]],Table2[#All],8,FALSE)</f>
        <v>08-Jan-2026</v>
      </c>
      <c r="V1712" s="10">
        <f ca="1">Table1[[#This Row],[Maturity]]-TODAY()</f>
        <v>449</v>
      </c>
      <c r="W1712" t="str">
        <f>VLOOKUP(Table1[[#This Row],[Isin code]],Table2[#All],10,FALSE)</f>
        <v>At the End</v>
      </c>
      <c r="X1712">
        <f ca="1">_xlfn.DAYS(Table1[[#This Row],[Maturity]],TODAY())-15</f>
        <v>434</v>
      </c>
      <c r="Y171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12">
        <f>IF(Table1[[#This Row],[Ask Rate]]=0,0,Table1[[#This Row],[Face Value]]-Table1[[#This Row],[Ask Rate]])</f>
        <v>-380</v>
      </c>
      <c r="AA171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12">
        <f>Table1[[#This Row],[Face Value]]*Table1[[#This Row],[Rate]]*Table1[[#This Row],[Time]]</f>
        <v>0</v>
      </c>
      <c r="AC1712">
        <f>Table1[[#This Row],[SI]]+Table1[[#This Row],[Disc/Prem]]</f>
        <v>-380</v>
      </c>
      <c r="AD1712" s="3">
        <f>Table1[[#This Row],[Net Gain]]/Table1[[#This Row],[Ask Rate]]</f>
        <v>-0.27536231884057971</v>
      </c>
      <c r="AE1712" s="3">
        <f ca="1">IF(Table1[[#This Row],[Ask Qty]]=0,0,Table1[[#This Row],[Gross Yield]]*365/Table1[[#This Row],[Days Left]])</f>
        <v>-0.22384687389044899</v>
      </c>
      <c r="AF1712" s="9">
        <f>+Table1[[#This Row],[Net Gain]]*Table1[[#This Row],[Ask Qty]]</f>
        <v>-57000</v>
      </c>
      <c r="AG1712" t="str">
        <f ca="1">IF(Table1[[#This Row],[YTM]]&gt;0.12,IF(Table1[[#This Row],[Gross Profit]]&gt;10000,"Invest","Review"),"Low YTM")</f>
        <v>Low YTM</v>
      </c>
    </row>
    <row r="1713" spans="1:33" x14ac:dyDescent="0.3">
      <c r="A1713" t="str">
        <f>RTD("nest.scriprtd",,"bse_cm|SFLZC26A","Symbol")</f>
        <v>SFLZC26A</v>
      </c>
      <c r="B1713" t="str">
        <f>RTD("nest.scriprtd",,"bse_cm|SFLZC26A","Trading Symbol")</f>
        <v>SFLZC26A</v>
      </c>
      <c r="C1713" t="str">
        <f>RTD("nest.scriprtd",,"bse_cm|SFLZC26A","Exchange")</f>
        <v>BSE</v>
      </c>
      <c r="D1713">
        <f>RTD("nest.scriprtd",,"bse_cm|SFLZC26A","Bid Qty")</f>
        <v>10</v>
      </c>
      <c r="E1713">
        <f>RTD("nest.scriprtd",,"bse_cm|SFLZC26A","Bid Rate")</f>
        <v>1581</v>
      </c>
      <c r="F1713">
        <f>RTD("nest.scriprtd",,"bse_cm|SFLZC26A","Ask Rate")</f>
        <v>1698</v>
      </c>
      <c r="G1713">
        <f>RTD("nest.scriprtd",,"bse_cm|SFLZC26A","Ask Qty")</f>
        <v>30</v>
      </c>
      <c r="H1713">
        <f>RTD("nest.scriprtd",,"bse_cm|SFLZC26A","LTP")</f>
        <v>0</v>
      </c>
      <c r="I1713" t="str">
        <f>RTD("nest.scriprtd",,"bse_cm|SFLZC26A","LTT")</f>
        <v>00:00:00</v>
      </c>
      <c r="J1713">
        <f>RTD("nest.scriprtd",,"bse_cm|SFLZC26A","% Change")</f>
        <v>-100</v>
      </c>
      <c r="K1713">
        <f>RTD("nest.scriprtd",,"bse_cm|SFLZC26A","ATP")</f>
        <v>0</v>
      </c>
      <c r="L1713">
        <f>RTD("nest.scriprtd",,"bse_cm|SFLZC26A","Volume Traded Today")</f>
        <v>0</v>
      </c>
      <c r="M1713">
        <f>RTD("nest.scriprtd",,"bse_cm|SFLZC26A","Open")</f>
        <v>0</v>
      </c>
      <c r="N1713">
        <f>RTD("nest.scriprtd",,"bse_cm|SFLZC26A","High")</f>
        <v>1583</v>
      </c>
      <c r="O1713">
        <f>RTD("nest.scriprtd",,"bse_cm|SFLZC26A","Low ")</f>
        <v>1583</v>
      </c>
      <c r="P1713">
        <f>RTD("nest.scriprtd",,"bse_cm|SFLZC26A","Prev Close")</f>
        <v>1583</v>
      </c>
      <c r="Q1713">
        <f>RTD("nest.scriprtd",,"bse_cm|SFLZC26A","Face Value")</f>
        <v>1000</v>
      </c>
      <c r="R1713" t="str">
        <f>RTD("nest.scriprtd",,"bse_cm|SFLZC26A","Isin code")</f>
        <v>INE721A07PH3</v>
      </c>
      <c r="S1713" s="9">
        <f>Table1[[#This Row],[Ask Rate]]*Table1[[#This Row],[Ask Qty]]</f>
        <v>50940</v>
      </c>
      <c r="T1713" t="str">
        <f>VLOOKUP(Table1[[#This Row],[Isin code]],Table2[#All],7,FALSE)</f>
        <v>--</v>
      </c>
      <c r="U1713" s="17" t="str">
        <f>VLOOKUP(Table1[[#This Row],[Isin code]],Table2[#All],8,FALSE)</f>
        <v>22-Aug-2026</v>
      </c>
      <c r="V1713" s="10">
        <f ca="1">Table1[[#This Row],[Maturity]]-TODAY()</f>
        <v>675</v>
      </c>
      <c r="W1713" t="str">
        <f>VLOOKUP(Table1[[#This Row],[Isin code]],Table2[#All],10,FALSE)</f>
        <v>At the End</v>
      </c>
      <c r="X1713">
        <f ca="1">_xlfn.DAYS(Table1[[#This Row],[Maturity]],TODAY())-15</f>
        <v>660</v>
      </c>
      <c r="Y171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13">
        <f>IF(Table1[[#This Row],[Ask Rate]]=0,0,Table1[[#This Row],[Face Value]]-Table1[[#This Row],[Ask Rate]])</f>
        <v>-698</v>
      </c>
      <c r="AA171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13">
        <f>Table1[[#This Row],[Face Value]]*Table1[[#This Row],[Rate]]*Table1[[#This Row],[Time]]</f>
        <v>0</v>
      </c>
      <c r="AC1713">
        <f>Table1[[#This Row],[SI]]+Table1[[#This Row],[Disc/Prem]]</f>
        <v>-698</v>
      </c>
      <c r="AD1713" s="3">
        <f>Table1[[#This Row],[Net Gain]]/Table1[[#This Row],[Ask Rate]]</f>
        <v>-0.41107184923439338</v>
      </c>
      <c r="AE1713" s="3">
        <f ca="1">IF(Table1[[#This Row],[Ask Qty]]=0,0,Table1[[#This Row],[Gross Yield]]*365/Table1[[#This Row],[Days Left]])</f>
        <v>-0.22228329625267196</v>
      </c>
      <c r="AF1713" s="9">
        <f>+Table1[[#This Row],[Net Gain]]*Table1[[#This Row],[Ask Qty]]</f>
        <v>-20940</v>
      </c>
      <c r="AG1713" t="str">
        <f ca="1">IF(Table1[[#This Row],[YTM]]&gt;0.12,IF(Table1[[#This Row],[Gross Profit]]&gt;10000,"Invest","Review"),"Low YTM")</f>
        <v>Low YTM</v>
      </c>
    </row>
    <row r="1714" spans="1:33" x14ac:dyDescent="0.3">
      <c r="A1714" t="str">
        <f>RTD("nest.scriprtd",,"bse_cm|MHFLZC26","Symbol")</f>
        <v>MHFLZC26</v>
      </c>
      <c r="B1714" t="str">
        <f>RTD("nest.scriprtd",,"bse_cm|MHFLZC26","Trading Symbol")</f>
        <v>MHFLZC26</v>
      </c>
      <c r="C1714" t="str">
        <f>RTD("nest.scriprtd",,"bse_cm|MHFLZC26","Exchange")</f>
        <v>BSE</v>
      </c>
      <c r="D1714">
        <f>RTD("nest.scriprtd",,"bse_cm|MHFLZC26","Bid Qty")</f>
        <v>50</v>
      </c>
      <c r="E1714">
        <f>RTD("nest.scriprtd",,"bse_cm|MHFLZC26","Bid Rate")</f>
        <v>1465.85</v>
      </c>
      <c r="F1714">
        <f>RTD("nest.scriprtd",,"bse_cm|MHFLZC26","Ask Rate")</f>
        <v>1750</v>
      </c>
      <c r="G1714">
        <f>RTD("nest.scriprtd",,"bse_cm|MHFLZC26","Ask Qty")</f>
        <v>500</v>
      </c>
      <c r="H1714">
        <f>RTD("nest.scriprtd",,"bse_cm|MHFLZC26","LTP")</f>
        <v>0</v>
      </c>
      <c r="I1714" t="str">
        <f>RTD("nest.scriprtd",,"bse_cm|MHFLZC26","LTT")</f>
        <v>00:00:00</v>
      </c>
      <c r="J1714">
        <f>RTD("nest.scriprtd",,"bse_cm|MHFLZC26","% Change")</f>
        <v>-100</v>
      </c>
      <c r="K1714">
        <f>RTD("nest.scriprtd",,"bse_cm|MHFLZC26","ATP")</f>
        <v>0</v>
      </c>
      <c r="L1714">
        <f>RTD("nest.scriprtd",,"bse_cm|MHFLZC26","Volume Traded Today")</f>
        <v>0</v>
      </c>
      <c r="M1714">
        <f>RTD("nest.scriprtd",,"bse_cm|MHFLZC26","Open")</f>
        <v>0</v>
      </c>
      <c r="N1714">
        <f>RTD("nest.scriprtd",,"bse_cm|MHFLZC26","High")</f>
        <v>1546.21</v>
      </c>
      <c r="O1714">
        <f>RTD("nest.scriprtd",,"bse_cm|MHFLZC26","Low ")</f>
        <v>1546.21</v>
      </c>
      <c r="P1714">
        <f>RTD("nest.scriprtd",,"bse_cm|MHFLZC26","Prev Close")</f>
        <v>1546.21</v>
      </c>
      <c r="Q1714">
        <f>RTD("nest.scriprtd",,"bse_cm|MHFLZC26","Face Value")</f>
        <v>1000</v>
      </c>
      <c r="R1714" t="str">
        <f>RTD("nest.scriprtd",,"bse_cm|MHFLZC26","Isin code")</f>
        <v>INE360T07082</v>
      </c>
      <c r="S1714" s="9">
        <f>Table1[[#This Row],[Ask Rate]]*Table1[[#This Row],[Ask Qty]]</f>
        <v>875000</v>
      </c>
      <c r="T1714" t="str">
        <f>VLOOKUP(Table1[[#This Row],[Isin code]],Table2[#All],7,FALSE)</f>
        <v>--</v>
      </c>
      <c r="U1714" s="17" t="str">
        <f>VLOOKUP(Table1[[#This Row],[Isin code]],Table2[#All],8,FALSE)</f>
        <v>07-Sep-2026</v>
      </c>
      <c r="V1714" s="10">
        <f ca="1">Table1[[#This Row],[Maturity]]-TODAY()</f>
        <v>691</v>
      </c>
      <c r="W1714" t="str">
        <f>VLOOKUP(Table1[[#This Row],[Isin code]],Table2[#All],10,FALSE)</f>
        <v>At the End</v>
      </c>
      <c r="X1714">
        <f ca="1">_xlfn.DAYS(Table1[[#This Row],[Maturity]],TODAY())-15</f>
        <v>676</v>
      </c>
      <c r="Y171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14">
        <f>IF(Table1[[#This Row],[Ask Rate]]=0,0,Table1[[#This Row],[Face Value]]-Table1[[#This Row],[Ask Rate]])</f>
        <v>-750</v>
      </c>
      <c r="AA171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14">
        <f>Table1[[#This Row],[Face Value]]*Table1[[#This Row],[Rate]]*Table1[[#This Row],[Time]]</f>
        <v>0</v>
      </c>
      <c r="AC1714">
        <f>Table1[[#This Row],[SI]]+Table1[[#This Row],[Disc/Prem]]</f>
        <v>-750</v>
      </c>
      <c r="AD1714" s="3">
        <f>Table1[[#This Row],[Net Gain]]/Table1[[#This Row],[Ask Rate]]</f>
        <v>-0.42857142857142855</v>
      </c>
      <c r="AE1714" s="3">
        <f ca="1">IF(Table1[[#This Row],[Ask Qty]]=0,0,Table1[[#This Row],[Gross Yield]]*365/Table1[[#This Row],[Days Left]])</f>
        <v>-0.22637998759561709</v>
      </c>
      <c r="AF1714" s="9">
        <f>+Table1[[#This Row],[Net Gain]]*Table1[[#This Row],[Ask Qty]]</f>
        <v>-375000</v>
      </c>
      <c r="AG1714" t="str">
        <f ca="1">IF(Table1[[#This Row],[YTM]]&gt;0.12,IF(Table1[[#This Row],[Gross Profit]]&gt;10000,"Invest","Review"),"Low YTM")</f>
        <v>Low YTM</v>
      </c>
    </row>
    <row r="1715" spans="1:33" x14ac:dyDescent="0.3">
      <c r="A1715" t="str">
        <f>RTD("nest.scriprtd",,"bse_cm|MFLZC26A","Symbol")</f>
        <v>MFLZC26A</v>
      </c>
      <c r="B1715" t="str">
        <f>RTD("nest.scriprtd",,"bse_cm|MFLZC26A","Trading Symbol")</f>
        <v>MFLZC26A</v>
      </c>
      <c r="C1715" t="str">
        <f>RTD("nest.scriprtd",,"bse_cm|MFLZC26A","Exchange")</f>
        <v>BSE</v>
      </c>
      <c r="D1715">
        <f>RTD("nest.scriprtd",,"bse_cm|MFLZC26A","Bid Qty")</f>
        <v>10</v>
      </c>
      <c r="E1715">
        <f>RTD("nest.scriprtd",,"bse_cm|MFLZC26A","Bid Rate")</f>
        <v>1630</v>
      </c>
      <c r="F1715">
        <f>RTD("nest.scriprtd",,"bse_cm|MFLZC26A","Ask Rate")</f>
        <v>1988</v>
      </c>
      <c r="G1715">
        <f>RTD("nest.scriprtd",,"bse_cm|MFLZC26A","Ask Qty")</f>
        <v>20</v>
      </c>
      <c r="H1715">
        <f>RTD("nest.scriprtd",,"bse_cm|MFLZC26A","LTP")</f>
        <v>0</v>
      </c>
      <c r="I1715" t="str">
        <f>RTD("nest.scriprtd",,"bse_cm|MFLZC26A","LTT")</f>
        <v>00:00:00</v>
      </c>
      <c r="J1715">
        <f>RTD("nest.scriprtd",,"bse_cm|MFLZC26A","% Change")</f>
        <v>-100</v>
      </c>
      <c r="K1715">
        <f>RTD("nest.scriprtd",,"bse_cm|MFLZC26A","ATP")</f>
        <v>0</v>
      </c>
      <c r="L1715">
        <f>RTD("nest.scriprtd",,"bse_cm|MFLZC26A","Volume Traded Today")</f>
        <v>0</v>
      </c>
      <c r="M1715">
        <f>RTD("nest.scriprtd",,"bse_cm|MFLZC26A","Open")</f>
        <v>0</v>
      </c>
      <c r="N1715">
        <f>RTD("nest.scriprtd",,"bse_cm|MFLZC26A","High")</f>
        <v>1657</v>
      </c>
      <c r="O1715">
        <f>RTD("nest.scriprtd",,"bse_cm|MFLZC26A","Low ")</f>
        <v>1602.02</v>
      </c>
      <c r="P1715">
        <f>RTD("nest.scriprtd",,"bse_cm|MFLZC26A","Prev Close")</f>
        <v>1657</v>
      </c>
      <c r="Q1715">
        <f>RTD("nest.scriprtd",,"bse_cm|MFLZC26A","Face Value")</f>
        <v>1000</v>
      </c>
      <c r="R1715" t="str">
        <f>RTD("nest.scriprtd",,"bse_cm|MFLZC26A","Isin code")</f>
        <v>INE414G07DQ9</v>
      </c>
      <c r="S1715" s="9">
        <f>Table1[[#This Row],[Ask Rate]]*Table1[[#This Row],[Ask Qty]]</f>
        <v>39760</v>
      </c>
      <c r="T1715" t="str">
        <f>VLOOKUP(Table1[[#This Row],[Isin code]],Table2[#All],7,FALSE)</f>
        <v>--</v>
      </c>
      <c r="U1715" s="17" t="str">
        <f>VLOOKUP(Table1[[#This Row],[Isin code]],Table2[#All],8,FALSE)</f>
        <v>14-Dec-2026</v>
      </c>
      <c r="V1715" s="10">
        <f ca="1">Table1[[#This Row],[Maturity]]-TODAY()</f>
        <v>789</v>
      </c>
      <c r="W1715" t="str">
        <f>VLOOKUP(Table1[[#This Row],[Isin code]],Table2[#All],10,FALSE)</f>
        <v>At the End</v>
      </c>
      <c r="X1715">
        <f ca="1">_xlfn.DAYS(Table1[[#This Row],[Maturity]],TODAY())-15</f>
        <v>774</v>
      </c>
      <c r="Y171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15">
        <f>IF(Table1[[#This Row],[Ask Rate]]=0,0,Table1[[#This Row],[Face Value]]-Table1[[#This Row],[Ask Rate]])</f>
        <v>-988</v>
      </c>
      <c r="AA171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15">
        <f>Table1[[#This Row],[Face Value]]*Table1[[#This Row],[Rate]]*Table1[[#This Row],[Time]]</f>
        <v>0</v>
      </c>
      <c r="AC1715">
        <f>Table1[[#This Row],[SI]]+Table1[[#This Row],[Disc/Prem]]</f>
        <v>-988</v>
      </c>
      <c r="AD1715" s="3">
        <f>Table1[[#This Row],[Net Gain]]/Table1[[#This Row],[Ask Rate]]</f>
        <v>-0.49698189134808851</v>
      </c>
      <c r="AE1715" s="3">
        <f ca="1">IF(Table1[[#This Row],[Ask Qty]]=0,0,Table1[[#This Row],[Gross Yield]]*365/Table1[[#This Row],[Days Left]])</f>
        <v>-0.2299092399772526</v>
      </c>
      <c r="AF1715" s="9">
        <f>+Table1[[#This Row],[Net Gain]]*Table1[[#This Row],[Ask Qty]]</f>
        <v>-19760</v>
      </c>
      <c r="AG1715" t="str">
        <f ca="1">IF(Table1[[#This Row],[YTM]]&gt;0.12,IF(Table1[[#This Row],[Gross Profit]]&gt;10000,"Invest","Review"),"Low YTM")</f>
        <v>Low YTM</v>
      </c>
    </row>
    <row r="1716" spans="1:33" x14ac:dyDescent="0.3">
      <c r="A1716" t="str">
        <f>RTD("nest.scriprtd",,"nse_cm|SFLZC26A-ZC","Symbol")</f>
        <v>SFLZC26A</v>
      </c>
      <c r="B1716" t="str">
        <f>RTD("nest.scriprtd",,"nse_cm|SFLZC26A-ZC","Trading Symbol")</f>
        <v>SFLZC26A-ZC</v>
      </c>
      <c r="C1716" t="str">
        <f>RTD("nest.scriprtd",,"nse_cm|SFLZC26A-ZC","Exchange")</f>
        <v>NSE</v>
      </c>
      <c r="D1716">
        <f>RTD("nest.scriprtd",,"nse_cm|SFLZC26A-ZC","Bid Qty")</f>
        <v>100</v>
      </c>
      <c r="E1716">
        <f>RTD("nest.scriprtd",,"nse_cm|SFLZC26A-ZC","Bid Rate")</f>
        <v>1610.01</v>
      </c>
      <c r="F1716">
        <f>RTD("nest.scriprtd",,"nse_cm|SFLZC26A-ZC","Ask Rate")</f>
        <v>1782</v>
      </c>
      <c r="G1716">
        <f>RTD("nest.scriprtd",,"nse_cm|SFLZC26A-ZC","Ask Qty")</f>
        <v>22</v>
      </c>
      <c r="H1716">
        <f>RTD("nest.scriprtd",,"nse_cm|SFLZC26A-ZC","LTP")</f>
        <v>1602.01</v>
      </c>
      <c r="I1716" t="str">
        <f>RTD("nest.scriprtd",,"nse_cm|SFLZC26A-ZC","LTT")</f>
        <v/>
      </c>
      <c r="J1716">
        <f>RTD("nest.scriprtd",,"nse_cm|SFLZC26A-ZC","% Change")</f>
        <v>0</v>
      </c>
      <c r="K1716">
        <f>RTD("nest.scriprtd",,"nse_cm|SFLZC26A-ZC","ATP")</f>
        <v>0</v>
      </c>
      <c r="L1716">
        <f>RTD("nest.scriprtd",,"nse_cm|SFLZC26A-ZC","Volume Traded Today")</f>
        <v>0</v>
      </c>
      <c r="M1716">
        <f>RTD("nest.scriprtd",,"nse_cm|SFLZC26A-ZC","Open")</f>
        <v>0</v>
      </c>
      <c r="N1716">
        <f>RTD("nest.scriprtd",,"nse_cm|SFLZC26A-ZC","High")</f>
        <v>1602.01</v>
      </c>
      <c r="O1716">
        <f>RTD("nest.scriprtd",,"nse_cm|SFLZC26A-ZC","Low ")</f>
        <v>1602.01</v>
      </c>
      <c r="P1716">
        <f>RTD("nest.scriprtd",,"nse_cm|SFLZC26A-ZC","Prev Close")</f>
        <v>1602.01</v>
      </c>
      <c r="Q1716">
        <f>RTD("nest.scriprtd",,"nse_cm|SFLZC26A-ZC","Face Value")</f>
        <v>1000</v>
      </c>
      <c r="R1716" t="str">
        <f>RTD("nest.scriprtd",,"nse_cm|SFLZC26A-ZC","Isin code")</f>
        <v>INE721A07PH3</v>
      </c>
      <c r="S1716" s="9">
        <f>Table1[[#This Row],[Ask Rate]]*Table1[[#This Row],[Ask Qty]]</f>
        <v>39204</v>
      </c>
      <c r="T1716" t="str">
        <f>VLOOKUP(Table1[[#This Row],[Isin code]],Table2[#All],7,FALSE)</f>
        <v>--</v>
      </c>
      <c r="U1716" s="17" t="str">
        <f>VLOOKUP(Table1[[#This Row],[Isin code]],Table2[#All],8,FALSE)</f>
        <v>22-Aug-2026</v>
      </c>
      <c r="V1716" s="10">
        <f ca="1">Table1[[#This Row],[Maturity]]-TODAY()</f>
        <v>675</v>
      </c>
      <c r="W1716" t="str">
        <f>VLOOKUP(Table1[[#This Row],[Isin code]],Table2[#All],10,FALSE)</f>
        <v>At the End</v>
      </c>
      <c r="X1716">
        <f ca="1">_xlfn.DAYS(Table1[[#This Row],[Maturity]],TODAY())-15</f>
        <v>660</v>
      </c>
      <c r="Y171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16">
        <f>IF(Table1[[#This Row],[Ask Rate]]=0,0,Table1[[#This Row],[Face Value]]-Table1[[#This Row],[Ask Rate]])</f>
        <v>-782</v>
      </c>
      <c r="AA171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16">
        <f>Table1[[#This Row],[Face Value]]*Table1[[#This Row],[Rate]]*Table1[[#This Row],[Time]]</f>
        <v>0</v>
      </c>
      <c r="AC1716">
        <f>Table1[[#This Row],[SI]]+Table1[[#This Row],[Disc/Prem]]</f>
        <v>-782</v>
      </c>
      <c r="AD1716" s="3">
        <f>Table1[[#This Row],[Net Gain]]/Table1[[#This Row],[Ask Rate]]</f>
        <v>-0.4388327721661055</v>
      </c>
      <c r="AE1716" s="3">
        <f ca="1">IF(Table1[[#This Row],[Ask Qty]]=0,0,Table1[[#This Row],[Gross Yield]]*365/Table1[[#This Row],[Days Left]])</f>
        <v>-0.23729475828241262</v>
      </c>
      <c r="AF1716" s="9">
        <f>+Table1[[#This Row],[Net Gain]]*Table1[[#This Row],[Ask Qty]]</f>
        <v>-17204</v>
      </c>
      <c r="AG1716" t="str">
        <f ca="1">IF(Table1[[#This Row],[YTM]]&gt;0.12,IF(Table1[[#This Row],[Gross Profit]]&gt;10000,"Invest","Review"),"Low YTM")</f>
        <v>Low YTM</v>
      </c>
    </row>
    <row r="1717" spans="1:33" x14ac:dyDescent="0.3">
      <c r="A1717" t="str">
        <f>RTD("nest.scriprtd",,"nse_cm|SCLZC26-NB","Symbol")</f>
        <v>SCLZC26</v>
      </c>
      <c r="B1717" t="str">
        <f>RTD("nest.scriprtd",,"nse_cm|SCLZC26-NB","Trading Symbol")</f>
        <v>SCLZC26-NB</v>
      </c>
      <c r="C1717" t="str">
        <f>RTD("nest.scriprtd",,"nse_cm|SCLZC26-NB","Exchange")</f>
        <v>NSE</v>
      </c>
      <c r="D1717">
        <f>RTD("nest.scriprtd",,"nse_cm|SCLZC26-NB","Bid Qty")</f>
        <v>5</v>
      </c>
      <c r="E1717">
        <f>RTD("nest.scriprtd",,"nse_cm|SCLZC26-NB","Bid Rate")</f>
        <v>1670.55</v>
      </c>
      <c r="F1717">
        <f>RTD("nest.scriprtd",,"nse_cm|SCLZC26-NB","Ask Rate")</f>
        <v>1893.55</v>
      </c>
      <c r="G1717">
        <f>RTD("nest.scriprtd",,"nse_cm|SCLZC26-NB","Ask Qty")</f>
        <v>5</v>
      </c>
      <c r="H1717">
        <f>RTD("nest.scriprtd",,"nse_cm|SCLZC26-NB","LTP")</f>
        <v>1890.55</v>
      </c>
      <c r="I1717" t="str">
        <f>RTD("nest.scriprtd",,"nse_cm|SCLZC26-NB","LTT")</f>
        <v/>
      </c>
      <c r="J1717">
        <f>RTD("nest.scriprtd",,"nse_cm|SCLZC26-NB","% Change")</f>
        <v>0</v>
      </c>
      <c r="K1717">
        <f>RTD("nest.scriprtd",,"nse_cm|SCLZC26-NB","ATP")</f>
        <v>0</v>
      </c>
      <c r="L1717">
        <f>RTD("nest.scriprtd",,"nse_cm|SCLZC26-NB","Volume Traded Today")</f>
        <v>0</v>
      </c>
      <c r="M1717">
        <f>RTD("nest.scriprtd",,"nse_cm|SCLZC26-NB","Open")</f>
        <v>0</v>
      </c>
      <c r="N1717">
        <f>RTD("nest.scriprtd",,"nse_cm|SCLZC26-NB","High")</f>
        <v>1890.55</v>
      </c>
      <c r="O1717">
        <f>RTD("nest.scriprtd",,"nse_cm|SCLZC26-NB","Low ")</f>
        <v>1890.55</v>
      </c>
      <c r="P1717">
        <f>RTD("nest.scriprtd",,"nse_cm|SCLZC26-NB","Prev Close")</f>
        <v>1890.55</v>
      </c>
      <c r="Q1717">
        <f>RTD("nest.scriprtd",,"nse_cm|SCLZC26-NB","Face Value")</f>
        <v>1000</v>
      </c>
      <c r="R1717" t="str">
        <f>RTD("nest.scriprtd",,"nse_cm|SCLZC26-NB","Isin code")</f>
        <v>INE148I07GN9</v>
      </c>
      <c r="S1717" s="9">
        <f>Table1[[#This Row],[Ask Rate]]*Table1[[#This Row],[Ask Qty]]</f>
        <v>9467.75</v>
      </c>
      <c r="T1717">
        <f>VLOOKUP(Table1[[#This Row],[Isin code]],Table2[#All],7,FALSE)</f>
        <v>0</v>
      </c>
      <c r="U1717" s="17" t="str">
        <f>VLOOKUP(Table1[[#This Row],[Isin code]],Table2[#All],8,FALSE)</f>
        <v>26-Sep-2026</v>
      </c>
      <c r="V1717" s="10">
        <f ca="1">Table1[[#This Row],[Maturity]]-TODAY()</f>
        <v>710</v>
      </c>
      <c r="W1717" t="str">
        <f>VLOOKUP(Table1[[#This Row],[Isin code]],Table2[#All],10,FALSE)</f>
        <v>0</v>
      </c>
      <c r="X1717">
        <f ca="1">_xlfn.DAYS(Table1[[#This Row],[Maturity]],TODAY())-15</f>
        <v>695</v>
      </c>
      <c r="Y171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17">
        <f>IF(Table1[[#This Row],[Ask Rate]]=0,0,Table1[[#This Row],[Face Value]]-Table1[[#This Row],[Ask Rate]])</f>
        <v>-893.55</v>
      </c>
      <c r="AA171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17">
        <f>Table1[[#This Row],[Face Value]]*Table1[[#This Row],[Rate]]*Table1[[#This Row],[Time]]</f>
        <v>0</v>
      </c>
      <c r="AC1717">
        <f>Table1[[#This Row],[SI]]+Table1[[#This Row],[Disc/Prem]]</f>
        <v>-893.55</v>
      </c>
      <c r="AD1717" s="3">
        <f>Table1[[#This Row],[Net Gain]]/Table1[[#This Row],[Ask Rate]]</f>
        <v>-0.47189142087613212</v>
      </c>
      <c r="AE1717" s="3">
        <f ca="1">IF(Table1[[#This Row],[Ask Qty]]=0,0,Table1[[#This Row],[Gross Yield]]*365/Table1[[#This Row],[Days Left]])</f>
        <v>-0.24259206847857498</v>
      </c>
      <c r="AF1717" s="9">
        <f>+Table1[[#This Row],[Net Gain]]*Table1[[#This Row],[Ask Qty]]</f>
        <v>-4467.75</v>
      </c>
      <c r="AG1717" t="str">
        <f ca="1">IF(Table1[[#This Row],[YTM]]&gt;0.12,IF(Table1[[#This Row],[Gross Profit]]&gt;10000,"Invest","Review"),"Low YTM")</f>
        <v>Low YTM</v>
      </c>
    </row>
    <row r="1718" spans="1:33" x14ac:dyDescent="0.3">
      <c r="A1718" t="str">
        <f>RTD("nest.scriprtd",,"bse_cm|702HUDCO26","Symbol")</f>
        <v>702HUDCO26</v>
      </c>
      <c r="B1718" t="str">
        <f>RTD("nest.scriprtd",,"bse_cm|702HUDCO26","Trading Symbol")</f>
        <v>702HUDCO26</v>
      </c>
      <c r="C1718" t="str">
        <f>RTD("nest.scriprtd",,"bse_cm|702HUDCO26","Exchange")</f>
        <v>BSE</v>
      </c>
      <c r="D1718">
        <f>RTD("nest.scriprtd",,"bse_cm|702HUDCO26","Bid Qty")</f>
        <v>0</v>
      </c>
      <c r="E1718">
        <f>RTD("nest.scriprtd",,"bse_cm|702HUDCO26","Bid Rate")</f>
        <v>0</v>
      </c>
      <c r="F1718">
        <f>RTD("nest.scriprtd",,"bse_cm|702HUDCO26","Ask Rate")</f>
        <v>1761.9</v>
      </c>
      <c r="G1718">
        <f>RTD("nest.scriprtd",,"bse_cm|702HUDCO26","Ask Qty")</f>
        <v>85</v>
      </c>
      <c r="H1718">
        <f>RTD("nest.scriprtd",,"bse_cm|702HUDCO26","LTP")</f>
        <v>0</v>
      </c>
      <c r="I1718" t="str">
        <f>RTD("nest.scriprtd",,"bse_cm|702HUDCO26","LTT")</f>
        <v>00:00:00</v>
      </c>
      <c r="J1718">
        <f>RTD("nest.scriprtd",,"bse_cm|702HUDCO26","% Change")</f>
        <v>-100</v>
      </c>
      <c r="K1718">
        <f>RTD("nest.scriprtd",,"bse_cm|702HUDCO26","ATP")</f>
        <v>0</v>
      </c>
      <c r="L1718">
        <f>RTD("nest.scriprtd",,"bse_cm|702HUDCO26","Volume Traded Today")</f>
        <v>0</v>
      </c>
      <c r="M1718">
        <f>RTD("nest.scriprtd",,"bse_cm|702HUDCO26","Open")</f>
        <v>0</v>
      </c>
      <c r="N1718">
        <f>RTD("nest.scriprtd",,"bse_cm|702HUDCO26","High")</f>
        <v>1762</v>
      </c>
      <c r="O1718">
        <f>RTD("nest.scriprtd",,"bse_cm|702HUDCO26","Low ")</f>
        <v>1762</v>
      </c>
      <c r="P1718">
        <f>RTD("nest.scriprtd",,"bse_cm|702HUDCO26","Prev Close")</f>
        <v>1762</v>
      </c>
      <c r="Q1718">
        <f>RTD("nest.scriprtd",,"bse_cm|702HUDCO26","Face Value")</f>
        <v>1000</v>
      </c>
      <c r="R1718" t="str">
        <f>RTD("nest.scriprtd",,"bse_cm|702HUDCO26","Isin code")</f>
        <v>INE031A07AL1</v>
      </c>
      <c r="S1718" s="9">
        <f>Table1[[#This Row],[Ask Rate]]*Table1[[#This Row],[Ask Qty]]</f>
        <v>149761.5</v>
      </c>
      <c r="T1718">
        <f>VLOOKUP(Table1[[#This Row],[Isin code]],Table2[#All],7,FALSE)</f>
        <v>7.02</v>
      </c>
      <c r="U1718" s="17" t="str">
        <f>VLOOKUP(Table1[[#This Row],[Isin code]],Table2[#All],8,FALSE)</f>
        <v>08-Feb-2026</v>
      </c>
      <c r="V1718" s="10">
        <f ca="1">Table1[[#This Row],[Maturity]]-TODAY()</f>
        <v>480</v>
      </c>
      <c r="W1718" t="str">
        <f>VLOOKUP(Table1[[#This Row],[Isin code]],Table2[#All],10,FALSE)</f>
        <v>Yearly</v>
      </c>
      <c r="X1718">
        <f ca="1">_xlfn.DAYS(Table1[[#This Row],[Maturity]],TODAY())-15</f>
        <v>465</v>
      </c>
      <c r="Y1718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718">
        <f>IF(Table1[[#This Row],[Ask Rate]]=0,0,Table1[[#This Row],[Face Value]]-Table1[[#This Row],[Ask Rate]])</f>
        <v>-761.90000000000009</v>
      </c>
      <c r="AA1718">
        <f>IF(Table1[[#This Row],[Freq]]="Yearly",Table1[[#This Row],[Coupon_Rate]]/100,IF(Table1[[#This Row],[Freq]]="Monthly",Table1[[#This Row],[Coupon_Rate]]/1200,IF(Table1[[#This Row],[Freq]]="Quarterly",Table1[[#This Row],[Coupon_Rate]]/400,0)))</f>
        <v>7.0199999999999999E-2</v>
      </c>
      <c r="AB1718">
        <f ca="1">Table1[[#This Row],[Face Value]]*Table1[[#This Row],[Rate]]*Table1[[#This Row],[Time]]</f>
        <v>140.4</v>
      </c>
      <c r="AC1718">
        <f ca="1">Table1[[#This Row],[SI]]+Table1[[#This Row],[Disc/Prem]]</f>
        <v>-621.50000000000011</v>
      </c>
      <c r="AD1718" s="3">
        <f ca="1">Table1[[#This Row],[Net Gain]]/Table1[[#This Row],[Ask Rate]]</f>
        <v>-0.35274419660593681</v>
      </c>
      <c r="AE1718" s="3">
        <f ca="1">IF(Table1[[#This Row],[Ask Qty]]=0,0,Table1[[#This Row],[Gross Yield]]*365/Table1[[#This Row],[Days Left]])</f>
        <v>-0.2682325661690978</v>
      </c>
      <c r="AF1718" s="9">
        <f ca="1">+Table1[[#This Row],[Net Gain]]*Table1[[#This Row],[Ask Qty]]</f>
        <v>-52827.500000000007</v>
      </c>
      <c r="AG1718" t="str">
        <f ca="1">IF(Table1[[#This Row],[YTM]]&gt;0.12,IF(Table1[[#This Row],[Gross Profit]]&gt;10000,"Invest","Review"),"Low YTM")</f>
        <v>Low YTM</v>
      </c>
    </row>
    <row r="1719" spans="1:33" x14ac:dyDescent="0.3">
      <c r="A1719" t="str">
        <f>RTD("nest.scriprtd",,"bse_cm|MFLVI26","Symbol")</f>
        <v>MFLVI26</v>
      </c>
      <c r="B1719" t="str">
        <f>RTD("nest.scriprtd",,"bse_cm|MFLVI26","Trading Symbol")</f>
        <v>MFLVI26</v>
      </c>
      <c r="C1719" t="str">
        <f>RTD("nest.scriprtd",,"bse_cm|MFLVI26","Exchange")</f>
        <v>BSE</v>
      </c>
      <c r="D1719">
        <f>RTD("nest.scriprtd",,"bse_cm|MFLVI26","Bid Qty")</f>
        <v>180</v>
      </c>
      <c r="E1719">
        <f>RTD("nest.scriprtd",,"bse_cm|MFLVI26","Bid Rate")</f>
        <v>1270</v>
      </c>
      <c r="F1719">
        <f>RTD("nest.scriprtd",,"bse_cm|MFLVI26","Ask Rate")</f>
        <v>1500</v>
      </c>
      <c r="G1719">
        <f>RTD("nest.scriprtd",,"bse_cm|MFLVI26","Ask Qty")</f>
        <v>50</v>
      </c>
      <c r="H1719">
        <f>RTD("nest.scriprtd",,"bse_cm|MFLVI26","LTP")</f>
        <v>1285.8</v>
      </c>
      <c r="I1719" t="str">
        <f>RTD("nest.scriprtd",,"bse_cm|MFLVI26","LTT")</f>
        <v>11:15:16</v>
      </c>
      <c r="J1719">
        <f>RTD("nest.scriprtd",,"bse_cm|MFLVI26","% Change")</f>
        <v>0.06</v>
      </c>
      <c r="K1719">
        <f>RTD("nest.scriprtd",,"bse_cm|MFLVI26","ATP")</f>
        <v>1285.8</v>
      </c>
      <c r="L1719">
        <f>RTD("nest.scriprtd",,"bse_cm|MFLVI26","Volume Traded Today")</f>
        <v>70</v>
      </c>
      <c r="M1719">
        <f>RTD("nest.scriprtd",,"bse_cm|MFLVI26","Open")</f>
        <v>1285.8</v>
      </c>
      <c r="N1719">
        <f>RTD("nest.scriprtd",,"bse_cm|MFLVI26","High")</f>
        <v>1285.8</v>
      </c>
      <c r="O1719">
        <f>RTD("nest.scriprtd",,"bse_cm|MFLVI26","Low ")</f>
        <v>1285.8</v>
      </c>
      <c r="P1719">
        <f>RTD("nest.scriprtd",,"bse_cm|MFLVI26","Prev Close")</f>
        <v>1285</v>
      </c>
      <c r="Q1719">
        <f>RTD("nest.scriprtd",,"bse_cm|MFLVI26","Face Value")</f>
        <v>1000</v>
      </c>
      <c r="R1719" t="str">
        <f>RTD("nest.scriprtd",,"bse_cm|MFLVI26","Isin code")</f>
        <v>INE414G07FO9</v>
      </c>
      <c r="S1719" s="9">
        <f>Table1[[#This Row],[Ask Rate]]*Table1[[#This Row],[Ask Qty]]</f>
        <v>75000</v>
      </c>
      <c r="T1719" t="str">
        <f>VLOOKUP(Table1[[#This Row],[Isin code]],Table2[#All],7,FALSE)</f>
        <v>--</v>
      </c>
      <c r="U1719" s="17" t="str">
        <f>VLOOKUP(Table1[[#This Row],[Isin code]],Table2[#All],8,FALSE)</f>
        <v>11-Jan-2026</v>
      </c>
      <c r="V1719" s="10">
        <f ca="1">Table1[[#This Row],[Maturity]]-TODAY()</f>
        <v>452</v>
      </c>
      <c r="W1719" t="str">
        <f>VLOOKUP(Table1[[#This Row],[Isin code]],Table2[#All],10,FALSE)</f>
        <v>At the End</v>
      </c>
      <c r="X1719">
        <f ca="1">_xlfn.DAYS(Table1[[#This Row],[Maturity]],TODAY())-15</f>
        <v>437</v>
      </c>
      <c r="Y171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19">
        <f>IF(Table1[[#This Row],[Ask Rate]]=0,0,Table1[[#This Row],[Face Value]]-Table1[[#This Row],[Ask Rate]])</f>
        <v>-500</v>
      </c>
      <c r="AA171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19">
        <f>Table1[[#This Row],[Face Value]]*Table1[[#This Row],[Rate]]*Table1[[#This Row],[Time]]</f>
        <v>0</v>
      </c>
      <c r="AC1719">
        <f>Table1[[#This Row],[SI]]+Table1[[#This Row],[Disc/Prem]]</f>
        <v>-500</v>
      </c>
      <c r="AD1719" s="3">
        <f>Table1[[#This Row],[Net Gain]]/Table1[[#This Row],[Ask Rate]]</f>
        <v>-0.33333333333333331</v>
      </c>
      <c r="AE1719" s="3">
        <f ca="1">IF(Table1[[#This Row],[Ask Qty]]=0,0,Table1[[#This Row],[Gross Yield]]*365/Table1[[#This Row],[Days Left]])</f>
        <v>-0.2691740412979351</v>
      </c>
      <c r="AF1719" s="9">
        <f>+Table1[[#This Row],[Net Gain]]*Table1[[#This Row],[Ask Qty]]</f>
        <v>-25000</v>
      </c>
      <c r="AG1719" t="str">
        <f ca="1">IF(Table1[[#This Row],[YTM]]&gt;0.12,IF(Table1[[#This Row],[Gross Profit]]&gt;10000,"Invest","Review"),"Low YTM")</f>
        <v>Low YTM</v>
      </c>
    </row>
    <row r="1720" spans="1:33" x14ac:dyDescent="0.3">
      <c r="A1720" t="str">
        <f>RTD("nest.scriprtd",,"bse_cm|MFLZC26","Symbol")</f>
        <v>MFLZC26</v>
      </c>
      <c r="B1720" t="str">
        <f>RTD("nest.scriprtd",,"bse_cm|MFLZC26","Trading Symbol")</f>
        <v>MFLZC26</v>
      </c>
      <c r="C1720" t="str">
        <f>RTD("nest.scriprtd",,"bse_cm|MFLZC26","Exchange")</f>
        <v>BSE</v>
      </c>
      <c r="D1720">
        <f>RTD("nest.scriprtd",,"bse_cm|MFLZC26","Bid Qty")</f>
        <v>5</v>
      </c>
      <c r="E1720">
        <f>RTD("nest.scriprtd",,"bse_cm|MFLZC26","Bid Rate")</f>
        <v>1675.1</v>
      </c>
      <c r="F1720">
        <f>RTD("nest.scriprtd",,"bse_cm|MFLZC26","Ask Rate")</f>
        <v>1750</v>
      </c>
      <c r="G1720">
        <f>RTD("nest.scriprtd",,"bse_cm|MFLZC26","Ask Qty")</f>
        <v>100</v>
      </c>
      <c r="H1720">
        <f>RTD("nest.scriprtd",,"bse_cm|MFLZC26","LTP")</f>
        <v>0</v>
      </c>
      <c r="I1720" t="str">
        <f>RTD("nest.scriprtd",,"bse_cm|MFLZC26","LTT")</f>
        <v>00:00:00</v>
      </c>
      <c r="J1720">
        <f>RTD("nest.scriprtd",,"bse_cm|MFLZC26","% Change")</f>
        <v>-100</v>
      </c>
      <c r="K1720">
        <f>RTD("nest.scriprtd",,"bse_cm|MFLZC26","ATP")</f>
        <v>0</v>
      </c>
      <c r="L1720">
        <f>RTD("nest.scriprtd",,"bse_cm|MFLZC26","Volume Traded Today")</f>
        <v>0</v>
      </c>
      <c r="M1720">
        <f>RTD("nest.scriprtd",,"bse_cm|MFLZC26","Open")</f>
        <v>0</v>
      </c>
      <c r="N1720">
        <f>RTD("nest.scriprtd",,"bse_cm|MFLZC26","High")</f>
        <v>1720</v>
      </c>
      <c r="O1720">
        <f>RTD("nest.scriprtd",,"bse_cm|MFLZC26","Low ")</f>
        <v>1720</v>
      </c>
      <c r="P1720">
        <f>RTD("nest.scriprtd",,"bse_cm|MFLZC26","Prev Close")</f>
        <v>1720</v>
      </c>
      <c r="Q1720">
        <f>RTD("nest.scriprtd",,"bse_cm|MFLZC26","Face Value")</f>
        <v>1000</v>
      </c>
      <c r="R1720" t="str">
        <f>RTD("nest.scriprtd",,"bse_cm|MFLZC26","Isin code")</f>
        <v>INE522D07BA4</v>
      </c>
      <c r="S1720" s="9">
        <f>Table1[[#This Row],[Ask Rate]]*Table1[[#This Row],[Ask Qty]]</f>
        <v>175000</v>
      </c>
      <c r="T1720" t="str">
        <f>VLOOKUP(Table1[[#This Row],[Isin code]],Table2[#All],7,FALSE)</f>
        <v>--</v>
      </c>
      <c r="U1720" s="17" t="str">
        <f>VLOOKUP(Table1[[#This Row],[Isin code]],Table2[#All],8,FALSE)</f>
        <v>05-May-2026</v>
      </c>
      <c r="V1720" s="10">
        <f ca="1">Table1[[#This Row],[Maturity]]-TODAY()</f>
        <v>566</v>
      </c>
      <c r="W1720" t="str">
        <f>VLOOKUP(Table1[[#This Row],[Isin code]],Table2[#All],10,FALSE)</f>
        <v>At the End</v>
      </c>
      <c r="X1720">
        <f ca="1">_xlfn.DAYS(Table1[[#This Row],[Maturity]],TODAY())-15</f>
        <v>551</v>
      </c>
      <c r="Y172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20">
        <f>IF(Table1[[#This Row],[Ask Rate]]=0,0,Table1[[#This Row],[Face Value]]-Table1[[#This Row],[Ask Rate]])</f>
        <v>-750</v>
      </c>
      <c r="AA172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20">
        <f>Table1[[#This Row],[Face Value]]*Table1[[#This Row],[Rate]]*Table1[[#This Row],[Time]]</f>
        <v>0</v>
      </c>
      <c r="AC1720">
        <f>Table1[[#This Row],[SI]]+Table1[[#This Row],[Disc/Prem]]</f>
        <v>-750</v>
      </c>
      <c r="AD1720" s="3">
        <f>Table1[[#This Row],[Net Gain]]/Table1[[#This Row],[Ask Rate]]</f>
        <v>-0.42857142857142855</v>
      </c>
      <c r="AE1720" s="3">
        <f ca="1">IF(Table1[[#This Row],[Ask Qty]]=0,0,Table1[[#This Row],[Gross Yield]]*365/Table1[[#This Row],[Days Left]])</f>
        <v>-0.27637556789500251</v>
      </c>
      <c r="AF1720" s="9">
        <f>+Table1[[#This Row],[Net Gain]]*Table1[[#This Row],[Ask Qty]]</f>
        <v>-75000</v>
      </c>
      <c r="AG1720" t="str">
        <f ca="1">IF(Table1[[#This Row],[YTM]]&gt;0.12,IF(Table1[[#This Row],[Gross Profit]]&gt;10000,"Invest","Review"),"Low YTM")</f>
        <v>Low YTM</v>
      </c>
    </row>
    <row r="1721" spans="1:33" hidden="1" x14ac:dyDescent="0.3">
      <c r="A1721" t="str">
        <f>RTD("nest.scriprtd",,"bse_cm|MFLTDIII24","Symbol")</f>
        <v>MFLTDIII24</v>
      </c>
      <c r="B1721" t="str">
        <f>RTD("nest.scriprtd",,"bse_cm|MFLTDIII24","Trading Symbol")</f>
        <v>MFLTDIII24</v>
      </c>
      <c r="C1721" t="str">
        <f>RTD("nest.scriprtd",,"bse_cm|MFLTDIII24","Exchange")</f>
        <v>BSE</v>
      </c>
      <c r="D1721">
        <f>RTD("nest.scriprtd",,"bse_cm|MFLTDIII24","Bid Qty")</f>
        <v>190</v>
      </c>
      <c r="E1721">
        <f>RTD("nest.scriprtd",,"bse_cm|MFLTDIII24","Bid Rate")</f>
        <v>1052.5</v>
      </c>
      <c r="F1721">
        <f>RTD("nest.scriprtd",,"bse_cm|MFLTDIII24","Ask Rate")</f>
        <v>1085</v>
      </c>
      <c r="G1721">
        <f>RTD("nest.scriprtd",,"bse_cm|MFLTDIII24","Ask Qty")</f>
        <v>277</v>
      </c>
      <c r="H1721">
        <f>RTD("nest.scriprtd",,"bse_cm|MFLTDIII24","LTP")</f>
        <v>0</v>
      </c>
      <c r="I1721" t="str">
        <f>RTD("nest.scriprtd",,"bse_cm|MFLTDIII24","LTT")</f>
        <v>00:00:00</v>
      </c>
      <c r="J1721">
        <f>RTD("nest.scriprtd",,"bse_cm|MFLTDIII24","% Change")</f>
        <v>-100</v>
      </c>
      <c r="K1721">
        <f>RTD("nest.scriprtd",,"bse_cm|MFLTDIII24","ATP")</f>
        <v>0</v>
      </c>
      <c r="L1721">
        <f>RTD("nest.scriprtd",,"bse_cm|MFLTDIII24","Volume Traded Today")</f>
        <v>0</v>
      </c>
      <c r="M1721">
        <f>RTD("nest.scriprtd",,"bse_cm|MFLTDIII24","Open")</f>
        <v>0</v>
      </c>
      <c r="N1721">
        <f>RTD("nest.scriprtd",,"bse_cm|MFLTDIII24","High")</f>
        <v>1052</v>
      </c>
      <c r="O1721">
        <f>RTD("nest.scriprtd",,"bse_cm|MFLTDIII24","Low ")</f>
        <v>1051</v>
      </c>
      <c r="P1721">
        <f>RTD("nest.scriprtd",,"bse_cm|MFLTDIII24","Prev Close")</f>
        <v>1052</v>
      </c>
      <c r="Q1721">
        <f>RTD("nest.scriprtd",,"bse_cm|MFLTDIII24","Face Value")</f>
        <v>1000</v>
      </c>
      <c r="R1721" t="str">
        <f>RTD("nest.scriprtd",,"bse_cm|MFLTDIII24","Isin code")</f>
        <v>INE414G07GW0</v>
      </c>
      <c r="S1721" s="9">
        <f>Table1[[#This Row],[Ask Rate]]*Table1[[#This Row],[Ask Qty]]</f>
        <v>300545</v>
      </c>
      <c r="T1721">
        <f>VLOOKUP(Table1[[#This Row],[Isin code]],Table2[#All],7,FALSE)</f>
        <v>7.0000000000000009</v>
      </c>
      <c r="U1721" s="17" t="str">
        <f>VLOOKUP(Table1[[#This Row],[Isin code]],Table2[#All],8,FALSE)</f>
        <v>03-Nov-2024</v>
      </c>
      <c r="V1721" s="10">
        <f ca="1">Table1[[#This Row],[Maturity]]-TODAY()</f>
        <v>18</v>
      </c>
      <c r="W1721" t="str">
        <f>VLOOKUP(Table1[[#This Row],[Isin code]],Table2[#All],10,FALSE)</f>
        <v>Yearly</v>
      </c>
      <c r="X1721">
        <f ca="1">_xlfn.DAYS(Table1[[#This Row],[Maturity]],TODAY())-15</f>
        <v>3</v>
      </c>
      <c r="Y1721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721">
        <f>IF(Table1[[#This Row],[Ask Rate]]=0,0,Table1[[#This Row],[Face Value]]-Table1[[#This Row],[Ask Rate]])</f>
        <v>-85</v>
      </c>
      <c r="AA1721">
        <f>IF(Table1[[#This Row],[Freq]]="Yearly",Table1[[#This Row],[Coupon_Rate]]/100,IF(Table1[[#This Row],[Freq]]="Monthly",Table1[[#This Row],[Coupon_Rate]]/1200,IF(Table1[[#This Row],[Freq]]="Quarterly",Table1[[#This Row],[Coupon_Rate]]/400,0)))</f>
        <v>7.0000000000000007E-2</v>
      </c>
      <c r="AB1721">
        <f ca="1">Table1[[#This Row],[Face Value]]*Table1[[#This Row],[Rate]]*Table1[[#This Row],[Time]]</f>
        <v>70</v>
      </c>
      <c r="AC1721">
        <f ca="1">Table1[[#This Row],[SI]]+Table1[[#This Row],[Disc/Prem]]</f>
        <v>-15</v>
      </c>
      <c r="AD1721" s="3">
        <f ca="1">Table1[[#This Row],[Net Gain]]/Table1[[#This Row],[Ask Rate]]</f>
        <v>-1.3824884792626729E-2</v>
      </c>
      <c r="AE1721" s="3">
        <f ca="1">IF(Table1[[#This Row],[Ask Qty]]=0,0,Table1[[#This Row],[Gross Yield]]*365/Table1[[#This Row],[Days Left]])</f>
        <v>-0.28033794162826425</v>
      </c>
      <c r="AF1721" s="9">
        <f ca="1">+Table1[[#This Row],[Net Gain]]*Table1[[#This Row],[Ask Qty]]</f>
        <v>-4155</v>
      </c>
      <c r="AG1721" t="str">
        <f ca="1">IF(Table1[[#This Row],[YTM]]&gt;0.12,IF(Table1[[#This Row],[Gross Profit]]&gt;10000,"Invest","Review"),"Low YTM")</f>
        <v>Low YTM</v>
      </c>
    </row>
    <row r="1722" spans="1:33" x14ac:dyDescent="0.3">
      <c r="A1722" t="str">
        <f>RTD("nest.scriprtd",,"bse_cm|MMFSL26A","Symbol")</f>
        <v>MMFSL26A</v>
      </c>
      <c r="B1722" t="str">
        <f>RTD("nest.scriprtd",,"bse_cm|MMFSL26A","Trading Symbol")</f>
        <v>MMFSL26A</v>
      </c>
      <c r="C1722" t="str">
        <f>RTD("nest.scriprtd",,"bse_cm|MMFSL26A","Exchange")</f>
        <v>BSE</v>
      </c>
      <c r="D1722">
        <f>RTD("nest.scriprtd",,"bse_cm|MMFSL26A","Bid Qty")</f>
        <v>20</v>
      </c>
      <c r="E1722">
        <f>RTD("nest.scriprtd",,"bse_cm|MMFSL26A","Bid Rate")</f>
        <v>2022.22</v>
      </c>
      <c r="F1722">
        <f>RTD("nest.scriprtd",,"bse_cm|MMFSL26A","Ask Rate")</f>
        <v>2070</v>
      </c>
      <c r="G1722">
        <f>RTD("nest.scriprtd",,"bse_cm|MMFSL26A","Ask Qty")</f>
        <v>3</v>
      </c>
      <c r="H1722">
        <f>RTD("nest.scriprtd",,"bse_cm|MMFSL26A","LTP")</f>
        <v>0</v>
      </c>
      <c r="I1722" t="str">
        <f>RTD("nest.scriprtd",,"bse_cm|MMFSL26A","LTT")</f>
        <v>00:00:00</v>
      </c>
      <c r="J1722">
        <f>RTD("nest.scriprtd",,"bse_cm|MMFSL26A","% Change")</f>
        <v>-100</v>
      </c>
      <c r="K1722">
        <f>RTD("nest.scriprtd",,"bse_cm|MMFSL26A","ATP")</f>
        <v>0</v>
      </c>
      <c r="L1722">
        <f>RTD("nest.scriprtd",,"bse_cm|MMFSL26A","Volume Traded Today")</f>
        <v>0</v>
      </c>
      <c r="M1722">
        <f>RTD("nest.scriprtd",,"bse_cm|MMFSL26A","Open")</f>
        <v>0</v>
      </c>
      <c r="N1722">
        <f>RTD("nest.scriprtd",,"bse_cm|MMFSL26A","High")</f>
        <v>1850</v>
      </c>
      <c r="O1722">
        <f>RTD("nest.scriprtd",,"bse_cm|MMFSL26A","Low ")</f>
        <v>1850</v>
      </c>
      <c r="P1722">
        <f>RTD("nest.scriprtd",,"bse_cm|MMFSL26A","Prev Close")</f>
        <v>1850</v>
      </c>
      <c r="Q1722">
        <f>RTD("nest.scriprtd",,"bse_cm|MMFSL26A","Face Value")</f>
        <v>1000</v>
      </c>
      <c r="R1722" t="str">
        <f>RTD("nest.scriprtd",,"bse_cm|MMFSL26A","Isin code")</f>
        <v>INE774D08MG3</v>
      </c>
      <c r="S1722" s="9">
        <f>Table1[[#This Row],[Ask Rate]]*Table1[[#This Row],[Ask Qty]]</f>
        <v>6210</v>
      </c>
      <c r="T1722" t="str">
        <f>VLOOKUP(Table1[[#This Row],[Isin code]],Table2[#All],7,FALSE)</f>
        <v>--</v>
      </c>
      <c r="U1722" s="17" t="str">
        <f>VLOOKUP(Table1[[#This Row],[Isin code]],Table2[#All],8,FALSE)</f>
        <v>06-Jun-2026</v>
      </c>
      <c r="V1722" s="10">
        <f ca="1">Table1[[#This Row],[Maturity]]-TODAY()</f>
        <v>598</v>
      </c>
      <c r="W1722" t="str">
        <f>VLOOKUP(Table1[[#This Row],[Isin code]],Table2[#All],10,FALSE)</f>
        <v>At the End</v>
      </c>
      <c r="X1722">
        <f ca="1">_xlfn.DAYS(Table1[[#This Row],[Maturity]],TODAY())-15</f>
        <v>583</v>
      </c>
      <c r="Y172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22">
        <f>IF(Table1[[#This Row],[Ask Rate]]=0,0,Table1[[#This Row],[Face Value]]-Table1[[#This Row],[Ask Rate]])</f>
        <v>-1070</v>
      </c>
      <c r="AA172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22">
        <f>Table1[[#This Row],[Face Value]]*Table1[[#This Row],[Rate]]*Table1[[#This Row],[Time]]</f>
        <v>0</v>
      </c>
      <c r="AC1722">
        <f>Table1[[#This Row],[SI]]+Table1[[#This Row],[Disc/Prem]]</f>
        <v>-1070</v>
      </c>
      <c r="AD1722" s="3">
        <f>Table1[[#This Row],[Net Gain]]/Table1[[#This Row],[Ask Rate]]</f>
        <v>-0.51690821256038644</v>
      </c>
      <c r="AE1722" s="3">
        <f ca="1">IF(Table1[[#This Row],[Ask Qty]]=0,0,Table1[[#This Row],[Gross Yield]]*365/Table1[[#This Row],[Days Left]])</f>
        <v>-0.31550417656277768</v>
      </c>
      <c r="AF1722" s="9">
        <f>+Table1[[#This Row],[Net Gain]]*Table1[[#This Row],[Ask Qty]]</f>
        <v>-3210</v>
      </c>
      <c r="AG1722" t="str">
        <f ca="1">IF(Table1[[#This Row],[YTM]]&gt;0.12,IF(Table1[[#This Row],[Gross Profit]]&gt;10000,"Invest","Review"),"Low YTM")</f>
        <v>Low YTM</v>
      </c>
    </row>
    <row r="1723" spans="1:33" x14ac:dyDescent="0.3">
      <c r="A1723" t="str">
        <f>RTD("nest.scriprtd",,"nse_cm|M&amp;MFIN-N3","Symbol")</f>
        <v>M&amp;MFIN</v>
      </c>
      <c r="B1723" t="str">
        <f>RTD("nest.scriprtd",,"nse_cm|M&amp;MFIN-N3","Trading Symbol")</f>
        <v>M&amp;MFIN-N3</v>
      </c>
      <c r="C1723" t="str">
        <f>RTD("nest.scriprtd",,"nse_cm|M&amp;MFIN-N3","Exchange")</f>
        <v>NSE</v>
      </c>
      <c r="D1723">
        <f>RTD("nest.scriprtd",,"nse_cm|M&amp;MFIN-N3","Bid Qty")</f>
        <v>20</v>
      </c>
      <c r="E1723">
        <f>RTD("nest.scriprtd",,"nse_cm|M&amp;MFIN-N3","Bid Rate")</f>
        <v>2060</v>
      </c>
      <c r="F1723">
        <f>RTD("nest.scriprtd",,"nse_cm|M&amp;MFIN-N3","Ask Rate")</f>
        <v>2076</v>
      </c>
      <c r="G1723">
        <f>RTD("nest.scriprtd",,"nse_cm|M&amp;MFIN-N3","Ask Qty")</f>
        <v>130</v>
      </c>
      <c r="H1723">
        <f>RTD("nest.scriprtd",,"nse_cm|M&amp;MFIN-N3","LTP")</f>
        <v>2076</v>
      </c>
      <c r="I1723" t="str">
        <f>RTD("nest.scriprtd",,"nse_cm|M&amp;MFIN-N3","LTT")</f>
        <v/>
      </c>
      <c r="J1723">
        <f>RTD("nest.scriprtd",,"nse_cm|M&amp;MFIN-N3","% Change")</f>
        <v>0</v>
      </c>
      <c r="K1723">
        <f>RTD("nest.scriprtd",,"nse_cm|M&amp;MFIN-N3","ATP")</f>
        <v>0</v>
      </c>
      <c r="L1723">
        <f>RTD("nest.scriprtd",,"nse_cm|M&amp;MFIN-N3","Volume Traded Today")</f>
        <v>0</v>
      </c>
      <c r="M1723">
        <f>RTD("nest.scriprtd",,"nse_cm|M&amp;MFIN-N3","Open")</f>
        <v>0</v>
      </c>
      <c r="N1723">
        <f>RTD("nest.scriprtd",,"nse_cm|M&amp;MFIN-N3","High")</f>
        <v>2076</v>
      </c>
      <c r="O1723">
        <f>RTD("nest.scriprtd",,"nse_cm|M&amp;MFIN-N3","Low ")</f>
        <v>2076</v>
      </c>
      <c r="P1723">
        <f>RTD("nest.scriprtd",,"nse_cm|M&amp;MFIN-N3","Prev Close")</f>
        <v>2076</v>
      </c>
      <c r="Q1723">
        <f>RTD("nest.scriprtd",,"nse_cm|M&amp;MFIN-N3","Face Value")</f>
        <v>1000</v>
      </c>
      <c r="R1723" t="str">
        <f>RTD("nest.scriprtd",,"nse_cm|M&amp;MFIN-N3","Isin code")</f>
        <v>INE774D08MG3</v>
      </c>
      <c r="S1723" s="9">
        <f>Table1[[#This Row],[Ask Rate]]*Table1[[#This Row],[Ask Qty]]</f>
        <v>269880</v>
      </c>
      <c r="T1723" t="str">
        <f>VLOOKUP(Table1[[#This Row],[Isin code]],Table2[#All],7,FALSE)</f>
        <v>--</v>
      </c>
      <c r="U1723" s="17" t="str">
        <f>VLOOKUP(Table1[[#This Row],[Isin code]],Table2[#All],8,FALSE)</f>
        <v>06-Jun-2026</v>
      </c>
      <c r="V1723" s="10">
        <f ca="1">Table1[[#This Row],[Maturity]]-TODAY()</f>
        <v>598</v>
      </c>
      <c r="W1723" t="str">
        <f>VLOOKUP(Table1[[#This Row],[Isin code]],Table2[#All],10,FALSE)</f>
        <v>At the End</v>
      </c>
      <c r="X1723">
        <f ca="1">_xlfn.DAYS(Table1[[#This Row],[Maturity]],TODAY())-15</f>
        <v>583</v>
      </c>
      <c r="Y172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23">
        <f>IF(Table1[[#This Row],[Ask Rate]]=0,0,Table1[[#This Row],[Face Value]]-Table1[[#This Row],[Ask Rate]])</f>
        <v>-1076</v>
      </c>
      <c r="AA172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23">
        <f>Table1[[#This Row],[Face Value]]*Table1[[#This Row],[Rate]]*Table1[[#This Row],[Time]]</f>
        <v>0</v>
      </c>
      <c r="AC1723">
        <f>Table1[[#This Row],[SI]]+Table1[[#This Row],[Disc/Prem]]</f>
        <v>-1076</v>
      </c>
      <c r="AD1723" s="3">
        <f>Table1[[#This Row],[Net Gain]]/Table1[[#This Row],[Ask Rate]]</f>
        <v>-0.51830443159922923</v>
      </c>
      <c r="AE1723" s="3">
        <f ca="1">IF(Table1[[#This Row],[Ask Qty]]=0,0,Table1[[#This Row],[Gross Yield]]*365/Table1[[#This Row],[Days Left]])</f>
        <v>-0.31635638383564996</v>
      </c>
      <c r="AF1723" s="9">
        <f>+Table1[[#This Row],[Net Gain]]*Table1[[#This Row],[Ask Qty]]</f>
        <v>-139880</v>
      </c>
      <c r="AG1723" t="str">
        <f ca="1">IF(Table1[[#This Row],[YTM]]&gt;0.12,IF(Table1[[#This Row],[Gross Profit]]&gt;10000,"Invest","Review"),"Low YTM")</f>
        <v>Low YTM</v>
      </c>
    </row>
    <row r="1724" spans="1:33" x14ac:dyDescent="0.3">
      <c r="A1724" t="str">
        <f>RTD("nest.scriprtd",,"bse_cm|704HUDCO26","Symbol")</f>
        <v>704HUDCO26</v>
      </c>
      <c r="B1724" t="str">
        <f>RTD("nest.scriprtd",,"bse_cm|704HUDCO26","Trading Symbol")</f>
        <v>704HUDCO26</v>
      </c>
      <c r="C1724" t="str">
        <f>RTD("nest.scriprtd",,"bse_cm|704HUDCO26","Exchange")</f>
        <v>BSE</v>
      </c>
      <c r="D1724">
        <f>RTD("nest.scriprtd",,"bse_cm|704HUDCO26","Bid Qty")</f>
        <v>0</v>
      </c>
      <c r="E1724">
        <f>RTD("nest.scriprtd",,"bse_cm|704HUDCO26","Bid Rate")</f>
        <v>0</v>
      </c>
      <c r="F1724">
        <f>RTD("nest.scriprtd",,"bse_cm|704HUDCO26","Ask Rate")</f>
        <v>2107.8000000000002</v>
      </c>
      <c r="G1724">
        <f>RTD("nest.scriprtd",,"bse_cm|704HUDCO26","Ask Qty")</f>
        <v>184</v>
      </c>
      <c r="H1724">
        <f>RTD("nest.scriprtd",,"bse_cm|704HUDCO26","LTP")</f>
        <v>0</v>
      </c>
      <c r="I1724" t="str">
        <f>RTD("nest.scriprtd",,"bse_cm|704HUDCO26","LTT")</f>
        <v>00:00:00</v>
      </c>
      <c r="J1724">
        <f>RTD("nest.scriprtd",,"bse_cm|704HUDCO26","% Change")</f>
        <v>-100</v>
      </c>
      <c r="K1724">
        <f>RTD("nest.scriprtd",,"bse_cm|704HUDCO26","ATP")</f>
        <v>0</v>
      </c>
      <c r="L1724">
        <f>RTD("nest.scriprtd",,"bse_cm|704HUDCO26","Volume Traded Today")</f>
        <v>0</v>
      </c>
      <c r="M1724">
        <f>RTD("nest.scriprtd",,"bse_cm|704HUDCO26","Open")</f>
        <v>0</v>
      </c>
      <c r="N1724">
        <f>RTD("nest.scriprtd",,"bse_cm|704HUDCO26","High")</f>
        <v>1756.5</v>
      </c>
      <c r="O1724">
        <f>RTD("nest.scriprtd",,"bse_cm|704HUDCO26","Low ")</f>
        <v>1756.5</v>
      </c>
      <c r="P1724">
        <f>RTD("nest.scriprtd",,"bse_cm|704HUDCO26","Prev Close")</f>
        <v>1756.5</v>
      </c>
      <c r="Q1724">
        <f>RTD("nest.scriprtd",,"bse_cm|704HUDCO26","Face Value")</f>
        <v>1000</v>
      </c>
      <c r="R1724" t="str">
        <f>RTD("nest.scriprtd",,"bse_cm|704HUDCO26","Isin code")</f>
        <v>INE031A07AQ0</v>
      </c>
      <c r="S1724" s="9">
        <f>Table1[[#This Row],[Ask Rate]]*Table1[[#This Row],[Ask Qty]]</f>
        <v>387835.2</v>
      </c>
      <c r="T1724">
        <f>VLOOKUP(Table1[[#This Row],[Isin code]],Table2[#All],7,FALSE)</f>
        <v>7.04</v>
      </c>
      <c r="U1724" s="17" t="str">
        <f>VLOOKUP(Table1[[#This Row],[Isin code]],Table2[#All],8,FALSE)</f>
        <v>15-Mar-2026</v>
      </c>
      <c r="V1724" s="10">
        <f ca="1">Table1[[#This Row],[Maturity]]-TODAY()</f>
        <v>515</v>
      </c>
      <c r="W1724" t="str">
        <f>VLOOKUP(Table1[[#This Row],[Isin code]],Table2[#All],10,FALSE)</f>
        <v>Yearly</v>
      </c>
      <c r="X1724">
        <f ca="1">_xlfn.DAYS(Table1[[#This Row],[Maturity]],TODAY())-15</f>
        <v>500</v>
      </c>
      <c r="Y1724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2</v>
      </c>
      <c r="Z1724">
        <f>IF(Table1[[#This Row],[Ask Rate]]=0,0,Table1[[#This Row],[Face Value]]-Table1[[#This Row],[Ask Rate]])</f>
        <v>-1107.8000000000002</v>
      </c>
      <c r="AA1724">
        <f>IF(Table1[[#This Row],[Freq]]="Yearly",Table1[[#This Row],[Coupon_Rate]]/100,IF(Table1[[#This Row],[Freq]]="Monthly",Table1[[#This Row],[Coupon_Rate]]/1200,IF(Table1[[#This Row],[Freq]]="Quarterly",Table1[[#This Row],[Coupon_Rate]]/400,0)))</f>
        <v>7.0400000000000004E-2</v>
      </c>
      <c r="AB1724">
        <f ca="1">Table1[[#This Row],[Face Value]]*Table1[[#This Row],[Rate]]*Table1[[#This Row],[Time]]</f>
        <v>140.80000000000001</v>
      </c>
      <c r="AC1724">
        <f ca="1">Table1[[#This Row],[SI]]+Table1[[#This Row],[Disc/Prem]]</f>
        <v>-967.00000000000023</v>
      </c>
      <c r="AD1724" s="3">
        <f ca="1">Table1[[#This Row],[Net Gain]]/Table1[[#This Row],[Ask Rate]]</f>
        <v>-0.45877217952367405</v>
      </c>
      <c r="AE1724" s="3">
        <f ca="1">IF(Table1[[#This Row],[Ask Qty]]=0,0,Table1[[#This Row],[Gross Yield]]*365/Table1[[#This Row],[Days Left]])</f>
        <v>-0.32514921461386609</v>
      </c>
      <c r="AF1724" s="9">
        <f ca="1">+Table1[[#This Row],[Net Gain]]*Table1[[#This Row],[Ask Qty]]</f>
        <v>-177928.00000000003</v>
      </c>
      <c r="AG1724" t="str">
        <f ca="1">IF(Table1[[#This Row],[YTM]]&gt;0.12,IF(Table1[[#This Row],[Gross Profit]]&gt;10000,"Invest","Review"),"Low YTM")</f>
        <v>Low YTM</v>
      </c>
    </row>
    <row r="1725" spans="1:33" x14ac:dyDescent="0.3">
      <c r="A1725" t="str">
        <f>RTD("nest.scriprtd",,"bse_cm|MMFL25","Symbol")</f>
        <v>MMFL25</v>
      </c>
      <c r="B1725" t="str">
        <f>RTD("nest.scriprtd",,"bse_cm|MMFL25","Trading Symbol")</f>
        <v>MMFL25</v>
      </c>
      <c r="C1725" t="str">
        <f>RTD("nest.scriprtd",,"bse_cm|MMFL25","Exchange")</f>
        <v>BSE</v>
      </c>
      <c r="D1725">
        <f>RTD("nest.scriprtd",,"bse_cm|MMFL25","Bid Qty")</f>
        <v>27</v>
      </c>
      <c r="E1725">
        <f>RTD("nest.scriprtd",,"bse_cm|MMFL25","Bid Rate")</f>
        <v>1052.8</v>
      </c>
      <c r="F1725">
        <f>RTD("nest.scriprtd",,"bse_cm|MMFL25","Ask Rate")</f>
        <v>1248</v>
      </c>
      <c r="G1725">
        <f>RTD("nest.scriprtd",,"bse_cm|MMFL25","Ask Qty")</f>
        <v>48</v>
      </c>
      <c r="H1725">
        <f>RTD("nest.scriprtd",,"bse_cm|MMFL25","LTP")</f>
        <v>0</v>
      </c>
      <c r="I1725" t="str">
        <f>RTD("nest.scriprtd",,"bse_cm|MMFL25","LTT")</f>
        <v>00:00:00</v>
      </c>
      <c r="J1725">
        <f>RTD("nest.scriprtd",,"bse_cm|MMFL25","% Change")</f>
        <v>-100</v>
      </c>
      <c r="K1725">
        <f>RTD("nest.scriprtd",,"bse_cm|MMFL25","ATP")</f>
        <v>0</v>
      </c>
      <c r="L1725">
        <f>RTD("nest.scriprtd",,"bse_cm|MMFL25","Volume Traded Today")</f>
        <v>0</v>
      </c>
      <c r="M1725">
        <f>RTD("nest.scriprtd",,"bse_cm|MMFL25","Open")</f>
        <v>0</v>
      </c>
      <c r="N1725">
        <f>RTD("nest.scriprtd",,"bse_cm|MMFL25","High")</f>
        <v>1350</v>
      </c>
      <c r="O1725">
        <f>RTD("nest.scriprtd",,"bse_cm|MMFL25","Low ")</f>
        <v>1248</v>
      </c>
      <c r="P1725">
        <f>RTD("nest.scriprtd",,"bse_cm|MMFL25","Prev Close")</f>
        <v>1248</v>
      </c>
      <c r="Q1725">
        <f>RTD("nest.scriprtd",,"bse_cm|MMFL25","Face Value")</f>
        <v>1000</v>
      </c>
      <c r="R1725" t="str">
        <f>RTD("nest.scriprtd",,"bse_cm|MMFL25","Isin code")</f>
        <v>INE101Q07AK0</v>
      </c>
      <c r="S1725" s="9">
        <f>Table1[[#This Row],[Ask Rate]]*Table1[[#This Row],[Ask Qty]]</f>
        <v>59904</v>
      </c>
      <c r="T1725" t="str">
        <f>VLOOKUP(Table1[[#This Row],[Isin code]],Table2[#All],7,FALSE)</f>
        <v>--</v>
      </c>
      <c r="U1725" s="17" t="str">
        <f>VLOOKUP(Table1[[#This Row],[Isin code]],Table2[#All],8,FALSE)</f>
        <v>22-May-2025</v>
      </c>
      <c r="V1725" s="10">
        <f ca="1">Table1[[#This Row],[Maturity]]-TODAY()</f>
        <v>218</v>
      </c>
      <c r="W1725" t="str">
        <f>VLOOKUP(Table1[[#This Row],[Isin code]],Table2[#All],10,FALSE)</f>
        <v>At the End</v>
      </c>
      <c r="X1725">
        <f ca="1">_xlfn.DAYS(Table1[[#This Row],[Maturity]],TODAY())-15</f>
        <v>203</v>
      </c>
      <c r="Y172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25">
        <f>IF(Table1[[#This Row],[Ask Rate]]=0,0,Table1[[#This Row],[Face Value]]-Table1[[#This Row],[Ask Rate]])</f>
        <v>-248</v>
      </c>
      <c r="AA172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25">
        <f>Table1[[#This Row],[Face Value]]*Table1[[#This Row],[Rate]]*Table1[[#This Row],[Time]]</f>
        <v>0</v>
      </c>
      <c r="AC1725">
        <f>Table1[[#This Row],[SI]]+Table1[[#This Row],[Disc/Prem]]</f>
        <v>-248</v>
      </c>
      <c r="AD1725" s="3">
        <f>Table1[[#This Row],[Net Gain]]/Table1[[#This Row],[Ask Rate]]</f>
        <v>-0.19871794871794871</v>
      </c>
      <c r="AE1725" s="3">
        <f ca="1">IF(Table1[[#This Row],[Ask Qty]]=0,0,Table1[[#This Row],[Gross Yield]]*365/Table1[[#This Row],[Days Left]])</f>
        <v>-0.33271583156904261</v>
      </c>
      <c r="AF1725" s="9">
        <f>+Table1[[#This Row],[Net Gain]]*Table1[[#This Row],[Ask Qty]]</f>
        <v>-11904</v>
      </c>
      <c r="AG1725" t="str">
        <f ca="1">IF(Table1[[#This Row],[YTM]]&gt;0.12,IF(Table1[[#This Row],[Gross Profit]]&gt;10000,"Invest","Review"),"Low YTM")</f>
        <v>Low YTM</v>
      </c>
    </row>
    <row r="1726" spans="1:33" x14ac:dyDescent="0.3">
      <c r="A1726" t="str">
        <f>RTD("nest.scriprtd",,"bse_cm|NIDO25","Symbol")</f>
        <v>NIDO25</v>
      </c>
      <c r="B1726" t="str">
        <f>RTD("nest.scriprtd",,"bse_cm|NIDO25","Trading Symbol")</f>
        <v>NIDO25</v>
      </c>
      <c r="C1726" t="str">
        <f>RTD("nest.scriprtd",,"bse_cm|NIDO25","Exchange")</f>
        <v>BSE</v>
      </c>
      <c r="D1726">
        <f>RTD("nest.scriprtd",,"bse_cm|NIDO25","Bid Qty")</f>
        <v>180</v>
      </c>
      <c r="E1726">
        <f>RTD("nest.scriprtd",,"bse_cm|NIDO25","Bid Rate")</f>
        <v>1183.2</v>
      </c>
      <c r="F1726">
        <f>RTD("nest.scriprtd",,"bse_cm|NIDO25","Ask Rate")</f>
        <v>1217.75</v>
      </c>
      <c r="G1726">
        <f>RTD("nest.scriprtd",,"bse_cm|NIDO25","Ask Qty")</f>
        <v>5</v>
      </c>
      <c r="H1726">
        <f>RTD("nest.scriprtd",,"bse_cm|NIDO25","LTP")</f>
        <v>0</v>
      </c>
      <c r="I1726" t="str">
        <f>RTD("nest.scriprtd",,"bse_cm|NIDO25","LTT")</f>
        <v>00:00:00</v>
      </c>
      <c r="J1726">
        <f>RTD("nest.scriprtd",,"bse_cm|NIDO25","% Change")</f>
        <v>-100</v>
      </c>
      <c r="K1726">
        <f>RTD("nest.scriprtd",,"bse_cm|NIDO25","ATP")</f>
        <v>0</v>
      </c>
      <c r="L1726">
        <f>RTD("nest.scriprtd",,"bse_cm|NIDO25","Volume Traded Today")</f>
        <v>0</v>
      </c>
      <c r="M1726">
        <f>RTD("nest.scriprtd",,"bse_cm|NIDO25","Open")</f>
        <v>0</v>
      </c>
      <c r="N1726">
        <f>RTD("nest.scriprtd",,"bse_cm|NIDO25","High")</f>
        <v>1196.8</v>
      </c>
      <c r="O1726">
        <f>RTD("nest.scriprtd",,"bse_cm|NIDO25","Low ")</f>
        <v>1196.7</v>
      </c>
      <c r="P1726">
        <f>RTD("nest.scriprtd",,"bse_cm|NIDO25","Prev Close")</f>
        <v>1196.8</v>
      </c>
      <c r="Q1726">
        <f>RTD("nest.scriprtd",,"bse_cm|NIDO25","Face Value")</f>
        <v>1000</v>
      </c>
      <c r="R1726" t="str">
        <f>RTD("nest.scriprtd",,"bse_cm|NIDO25","Isin code")</f>
        <v>INE530L07467</v>
      </c>
      <c r="S1726" s="9">
        <f>Table1[[#This Row],[Ask Rate]]*Table1[[#This Row],[Ask Qty]]</f>
        <v>6088.75</v>
      </c>
      <c r="T1726" t="str">
        <f>VLOOKUP(Table1[[#This Row],[Isin code]],Table2[#All],7,FALSE)</f>
        <v>--</v>
      </c>
      <c r="U1726" s="17" t="str">
        <f>VLOOKUP(Table1[[#This Row],[Isin code]],Table2[#All],8,FALSE)</f>
        <v>29-Apr-2025</v>
      </c>
      <c r="V1726" s="10">
        <f ca="1">Table1[[#This Row],[Maturity]]-TODAY()</f>
        <v>195</v>
      </c>
      <c r="W1726" t="str">
        <f>VLOOKUP(Table1[[#This Row],[Isin code]],Table2[#All],10,FALSE)</f>
        <v>At the End</v>
      </c>
      <c r="X1726">
        <f ca="1">_xlfn.DAYS(Table1[[#This Row],[Maturity]],TODAY())-15</f>
        <v>180</v>
      </c>
      <c r="Y172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26">
        <f>IF(Table1[[#This Row],[Ask Rate]]=0,0,Table1[[#This Row],[Face Value]]-Table1[[#This Row],[Ask Rate]])</f>
        <v>-217.75</v>
      </c>
      <c r="AA172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26">
        <f>Table1[[#This Row],[Face Value]]*Table1[[#This Row],[Rate]]*Table1[[#This Row],[Time]]</f>
        <v>0</v>
      </c>
      <c r="AC1726">
        <f>Table1[[#This Row],[SI]]+Table1[[#This Row],[Disc/Prem]]</f>
        <v>-217.75</v>
      </c>
      <c r="AD1726" s="3">
        <f>Table1[[#This Row],[Net Gain]]/Table1[[#This Row],[Ask Rate]]</f>
        <v>-0.17881338534181893</v>
      </c>
      <c r="AE1726" s="3">
        <f ca="1">IF(Table1[[#This Row],[Ask Qty]]=0,0,Table1[[#This Row],[Gross Yield]]*365/Table1[[#This Row],[Days Left]])</f>
        <v>-0.33470197769109694</v>
      </c>
      <c r="AF1726" s="9">
        <f>+Table1[[#This Row],[Net Gain]]*Table1[[#This Row],[Ask Qty]]</f>
        <v>-1088.75</v>
      </c>
      <c r="AG1726" t="str">
        <f ca="1">IF(Table1[[#This Row],[YTM]]&gt;0.12,IF(Table1[[#This Row],[Gross Profit]]&gt;10000,"Invest","Review"),"Low YTM")</f>
        <v>Low YTM</v>
      </c>
    </row>
    <row r="1727" spans="1:33" x14ac:dyDescent="0.3">
      <c r="A1727" t="str">
        <f>RTD("nest.scriprtd",,"nse_cm|SCLZC25-YN","Symbol")</f>
        <v>SCLZC25</v>
      </c>
      <c r="B1727" t="str">
        <f>RTD("nest.scriprtd",,"nse_cm|SCLZC25-YN","Trading Symbol")</f>
        <v>SCLZC25-YN</v>
      </c>
      <c r="C1727" t="str">
        <f>RTD("nest.scriprtd",,"nse_cm|SCLZC25-YN","Exchange")</f>
        <v>NSE</v>
      </c>
      <c r="D1727">
        <f>RTD("nest.scriprtd",,"nse_cm|SCLZC25-YN","Bid Qty")</f>
        <v>10</v>
      </c>
      <c r="E1727">
        <f>RTD("nest.scriprtd",,"nse_cm|SCLZC25-YN","Bid Rate")</f>
        <v>1187</v>
      </c>
      <c r="F1727">
        <f>RTD("nest.scriprtd",,"nse_cm|SCLZC25-YN","Ask Rate")</f>
        <v>1220.6500000000001</v>
      </c>
      <c r="G1727">
        <f>RTD("nest.scriprtd",,"nse_cm|SCLZC25-YN","Ask Qty")</f>
        <v>5</v>
      </c>
      <c r="H1727">
        <f>RTD("nest.scriprtd",,"nse_cm|SCLZC25-YN","LTP")</f>
        <v>1152.55</v>
      </c>
      <c r="I1727" t="str">
        <f>RTD("nest.scriprtd",,"nse_cm|SCLZC25-YN","LTT")</f>
        <v/>
      </c>
      <c r="J1727">
        <f>RTD("nest.scriprtd",,"nse_cm|SCLZC25-YN","% Change")</f>
        <v>0</v>
      </c>
      <c r="K1727">
        <f>RTD("nest.scriprtd",,"nse_cm|SCLZC25-YN","ATP")</f>
        <v>0</v>
      </c>
      <c r="L1727">
        <f>RTD("nest.scriprtd",,"nse_cm|SCLZC25-YN","Volume Traded Today")</f>
        <v>0</v>
      </c>
      <c r="M1727">
        <f>RTD("nest.scriprtd",,"nse_cm|SCLZC25-YN","Open")</f>
        <v>0</v>
      </c>
      <c r="N1727">
        <f>RTD("nest.scriprtd",,"nse_cm|SCLZC25-YN","High")</f>
        <v>1152.55</v>
      </c>
      <c r="O1727">
        <f>RTD("nest.scriprtd",,"nse_cm|SCLZC25-YN","Low ")</f>
        <v>1152.55</v>
      </c>
      <c r="P1727">
        <f>RTD("nest.scriprtd",,"nse_cm|SCLZC25-YN","Prev Close")</f>
        <v>1152.55</v>
      </c>
      <c r="Q1727">
        <f>RTD("nest.scriprtd",,"nse_cm|SCLZC25-YN","Face Value")</f>
        <v>1000</v>
      </c>
      <c r="R1727" t="str">
        <f>RTD("nest.scriprtd",,"nse_cm|SCLZC25-YN","Isin code")</f>
        <v>INE148I07LP4</v>
      </c>
      <c r="S1727" s="9">
        <f>Table1[[#This Row],[Ask Rate]]*Table1[[#This Row],[Ask Qty]]</f>
        <v>6103.25</v>
      </c>
      <c r="T1727">
        <f>VLOOKUP(Table1[[#This Row],[Isin code]],Table2[#All],7,FALSE)</f>
        <v>0</v>
      </c>
      <c r="U1727" s="17" t="str">
        <f>VLOOKUP(Table1[[#This Row],[Isin code]],Table2[#All],8,FALSE)</f>
        <v>28-Apr-2025</v>
      </c>
      <c r="V1727" s="10">
        <f ca="1">Table1[[#This Row],[Maturity]]-TODAY()</f>
        <v>194</v>
      </c>
      <c r="W1727" t="str">
        <f>VLOOKUP(Table1[[#This Row],[Isin code]],Table2[#All],10,FALSE)</f>
        <v>0</v>
      </c>
      <c r="X1727">
        <f ca="1">_xlfn.DAYS(Table1[[#This Row],[Maturity]],TODAY())-15</f>
        <v>179</v>
      </c>
      <c r="Y172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27">
        <f>IF(Table1[[#This Row],[Ask Rate]]=0,0,Table1[[#This Row],[Face Value]]-Table1[[#This Row],[Ask Rate]])</f>
        <v>-220.65000000000009</v>
      </c>
      <c r="AA172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27">
        <f>Table1[[#This Row],[Face Value]]*Table1[[#This Row],[Rate]]*Table1[[#This Row],[Time]]</f>
        <v>0</v>
      </c>
      <c r="AC1727">
        <f>Table1[[#This Row],[SI]]+Table1[[#This Row],[Disc/Prem]]</f>
        <v>-220.65000000000009</v>
      </c>
      <c r="AD1727" s="3">
        <f>Table1[[#This Row],[Net Gain]]/Table1[[#This Row],[Ask Rate]]</f>
        <v>-0.18076434686437559</v>
      </c>
      <c r="AE1727" s="3">
        <f ca="1">IF(Table1[[#This Row],[Ask Qty]]=0,0,Table1[[#This Row],[Gross Yield]]*365/Table1[[#This Row],[Days Left]])</f>
        <v>-0.34009786910050044</v>
      </c>
      <c r="AF1727" s="9">
        <f>+Table1[[#This Row],[Net Gain]]*Table1[[#This Row],[Ask Qty]]</f>
        <v>-1103.2500000000005</v>
      </c>
      <c r="AG1727" t="str">
        <f ca="1">IF(Table1[[#This Row],[YTM]]&gt;0.12,IF(Table1[[#This Row],[Gross Profit]]&gt;10000,"Invest","Review"),"Low YTM")</f>
        <v>Low YTM</v>
      </c>
    </row>
    <row r="1728" spans="1:33" hidden="1" x14ac:dyDescent="0.3">
      <c r="A1728" t="str">
        <f>RTD("nest.scriprtd",,"bse_cm|CIFCZC25A","Symbol")</f>
        <v>CIFCZC25A</v>
      </c>
      <c r="B1728" t="str">
        <f>RTD("nest.scriprtd",,"bse_cm|CIFCZC25A","Trading Symbol")</f>
        <v>CIFCZC25A</v>
      </c>
      <c r="C1728" t="str">
        <f>RTD("nest.scriprtd",,"bse_cm|CIFCZC25A","Exchange")</f>
        <v>BSE</v>
      </c>
      <c r="D1728">
        <f>RTD("nest.scriprtd",,"bse_cm|CIFCZC25A","Bid Qty")</f>
        <v>45</v>
      </c>
      <c r="E1728">
        <f>RTD("nest.scriprtd",,"bse_cm|CIFCZC25A","Bid Rate")</f>
        <v>1021</v>
      </c>
      <c r="F1728">
        <f>RTD("nest.scriprtd",,"bse_cm|CIFCZC25A","Ask Rate")</f>
        <v>1149.8</v>
      </c>
      <c r="G1728">
        <f>RTD("nest.scriprtd",,"bse_cm|CIFCZC25A","Ask Qty")</f>
        <v>50</v>
      </c>
      <c r="H1728">
        <f>RTD("nest.scriprtd",,"bse_cm|CIFCZC25A","LTP")</f>
        <v>0</v>
      </c>
      <c r="I1728" t="str">
        <f>RTD("nest.scriprtd",,"bse_cm|CIFCZC25A","LTT")</f>
        <v>00:00:00</v>
      </c>
      <c r="J1728">
        <f>RTD("nest.scriprtd",,"bse_cm|CIFCZC25A","% Change")</f>
        <v>-100</v>
      </c>
      <c r="K1728">
        <f>RTD("nest.scriprtd",,"bse_cm|CIFCZC25A","ATP")</f>
        <v>0</v>
      </c>
      <c r="L1728">
        <f>RTD("nest.scriprtd",,"bse_cm|CIFCZC25A","Volume Traded Today")</f>
        <v>0</v>
      </c>
      <c r="M1728">
        <f>RTD("nest.scriprtd",,"bse_cm|CIFCZC25A","Open")</f>
        <v>0</v>
      </c>
      <c r="N1728">
        <f>RTD("nest.scriprtd",,"bse_cm|CIFCZC25A","High")</f>
        <v>1010.8</v>
      </c>
      <c r="O1728">
        <f>RTD("nest.scriprtd",,"bse_cm|CIFCZC25A","Low ")</f>
        <v>1010.8</v>
      </c>
      <c r="P1728">
        <f>RTD("nest.scriprtd",,"bse_cm|CIFCZC25A","Prev Close")</f>
        <v>1010.8</v>
      </c>
      <c r="Q1728">
        <f>RTD("nest.scriprtd",,"bse_cm|CIFCZC25A","Face Value")</f>
        <v>1000</v>
      </c>
      <c r="R1728" t="str">
        <f>RTD("nest.scriprtd",,"bse_cm|CIFCZC25A","Isin code")</f>
        <v>INE121A07RA7</v>
      </c>
      <c r="S1728" s="9">
        <f>Table1[[#This Row],[Ask Rate]]*Table1[[#This Row],[Ask Qty]]</f>
        <v>57490</v>
      </c>
      <c r="T1728">
        <f>VLOOKUP(Table1[[#This Row],[Isin code]],Table2[#All],7,FALSE)</f>
        <v>0</v>
      </c>
      <c r="U1728" s="17" t="str">
        <f>VLOOKUP(Table1[[#This Row],[Isin code]],Table2[#All],8,FALSE)</f>
        <v>04-Mar-2025</v>
      </c>
      <c r="V1728" s="10">
        <f ca="1">Table1[[#This Row],[Maturity]]-TODAY()</f>
        <v>139</v>
      </c>
      <c r="W1728" t="str">
        <f>VLOOKUP(Table1[[#This Row],[Isin code]],Table2[#All],10,FALSE)</f>
        <v>HALF YEARLY</v>
      </c>
      <c r="X1728">
        <f ca="1">_xlfn.DAYS(Table1[[#This Row],[Maturity]],TODAY())-15</f>
        <v>124</v>
      </c>
      <c r="Y172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28">
        <f>IF(Table1[[#This Row],[Ask Rate]]=0,0,Table1[[#This Row],[Face Value]]-Table1[[#This Row],[Ask Rate]])</f>
        <v>-149.79999999999995</v>
      </c>
      <c r="AA172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28">
        <f>Table1[[#This Row],[Face Value]]*Table1[[#This Row],[Rate]]*Table1[[#This Row],[Time]]</f>
        <v>0</v>
      </c>
      <c r="AC1728">
        <f>Table1[[#This Row],[SI]]+Table1[[#This Row],[Disc/Prem]]</f>
        <v>-149.79999999999995</v>
      </c>
      <c r="AD1728" s="3">
        <f>Table1[[#This Row],[Net Gain]]/Table1[[#This Row],[Ask Rate]]</f>
        <v>-0.13028352757001213</v>
      </c>
      <c r="AE1728" s="3">
        <f ca="1">IF(Table1[[#This Row],[Ask Qty]]=0,0,Table1[[#This Row],[Gross Yield]]*365/Table1[[#This Row],[Days Left]])</f>
        <v>-0.34211142131693834</v>
      </c>
      <c r="AF1728" s="9">
        <f>+Table1[[#This Row],[Net Gain]]*Table1[[#This Row],[Ask Qty]]</f>
        <v>-7489.9999999999982</v>
      </c>
      <c r="AG1728" t="str">
        <f ca="1">IF(Table1[[#This Row],[YTM]]&gt;0.12,IF(Table1[[#This Row],[Gross Profit]]&gt;10000,"Invest","Review"),"Low YTM")</f>
        <v>Low YTM</v>
      </c>
    </row>
    <row r="1729" spans="1:33" x14ac:dyDescent="0.3">
      <c r="A1729" t="str">
        <f>RTD("nest.scriprtd",,"bse_cm|MFLVII25G","Symbol")</f>
        <v>MFLVII25G</v>
      </c>
      <c r="B1729" t="str">
        <f>RTD("nest.scriprtd",,"bse_cm|MFLVII25G","Trading Symbol")</f>
        <v>MFLVII25G</v>
      </c>
      <c r="C1729" t="str">
        <f>RTD("nest.scriprtd",,"bse_cm|MFLVII25G","Exchange")</f>
        <v>BSE</v>
      </c>
      <c r="D1729">
        <f>RTD("nest.scriprtd",,"bse_cm|MFLVII25G","Bid Qty")</f>
        <v>180</v>
      </c>
      <c r="E1729">
        <f>RTD("nest.scriprtd",,"bse_cm|MFLVII25G","Bid Rate")</f>
        <v>1140.2</v>
      </c>
      <c r="F1729">
        <f>RTD("nest.scriprtd",,"bse_cm|MFLVII25G","Ask Rate")</f>
        <v>1250.5</v>
      </c>
      <c r="G1729">
        <f>RTD("nest.scriprtd",,"bse_cm|MFLVII25G","Ask Qty")</f>
        <v>107</v>
      </c>
      <c r="H1729">
        <f>RTD("nest.scriprtd",,"bse_cm|MFLVII25G","LTP")</f>
        <v>0</v>
      </c>
      <c r="I1729" t="str">
        <f>RTD("nest.scriprtd",,"bse_cm|MFLVII25G","LTT")</f>
        <v>00:00:00</v>
      </c>
      <c r="J1729">
        <f>RTD("nest.scriprtd",,"bse_cm|MFLVII25G","% Change")</f>
        <v>-100</v>
      </c>
      <c r="K1729">
        <f>RTD("nest.scriprtd",,"bse_cm|MFLVII25G","ATP")</f>
        <v>0</v>
      </c>
      <c r="L1729">
        <f>RTD("nest.scriprtd",,"bse_cm|MFLVII25G","Volume Traded Today")</f>
        <v>0</v>
      </c>
      <c r="M1729">
        <f>RTD("nest.scriprtd",,"bse_cm|MFLVII25G","Open")</f>
        <v>0</v>
      </c>
      <c r="N1729">
        <f>RTD("nest.scriprtd",,"bse_cm|MFLVII25G","High")</f>
        <v>1159.8</v>
      </c>
      <c r="O1729">
        <f>RTD("nest.scriprtd",,"bse_cm|MFLVII25G","Low ")</f>
        <v>1159.8</v>
      </c>
      <c r="P1729">
        <f>RTD("nest.scriprtd",,"bse_cm|MFLVII25G","Prev Close")</f>
        <v>1159.8</v>
      </c>
      <c r="Q1729">
        <f>RTD("nest.scriprtd",,"bse_cm|MFLVII25G","Face Value")</f>
        <v>1000</v>
      </c>
      <c r="R1729" t="str">
        <f>RTD("nest.scriprtd",,"bse_cm|MFLVII25G","Isin code")</f>
        <v>INE414G07GJ7</v>
      </c>
      <c r="S1729" s="9">
        <f>Table1[[#This Row],[Ask Rate]]*Table1[[#This Row],[Ask Qty]]</f>
        <v>133803.5</v>
      </c>
      <c r="T1729" t="str">
        <f>VLOOKUP(Table1[[#This Row],[Isin code]],Table2[#All],7,FALSE)</f>
        <v>--</v>
      </c>
      <c r="U1729" s="17" t="str">
        <f>VLOOKUP(Table1[[#This Row],[Isin code]],Table2[#All],8,FALSE)</f>
        <v>05-May-2025</v>
      </c>
      <c r="V1729" s="10">
        <f ca="1">Table1[[#This Row],[Maturity]]-TODAY()</f>
        <v>201</v>
      </c>
      <c r="W1729" t="str">
        <f>VLOOKUP(Table1[[#This Row],[Isin code]],Table2[#All],10,FALSE)</f>
        <v>At the End</v>
      </c>
      <c r="X1729">
        <f ca="1">_xlfn.DAYS(Table1[[#This Row],[Maturity]],TODAY())-15</f>
        <v>186</v>
      </c>
      <c r="Y172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29">
        <f>IF(Table1[[#This Row],[Ask Rate]]=0,0,Table1[[#This Row],[Face Value]]-Table1[[#This Row],[Ask Rate]])</f>
        <v>-250.5</v>
      </c>
      <c r="AA172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29">
        <f>Table1[[#This Row],[Face Value]]*Table1[[#This Row],[Rate]]*Table1[[#This Row],[Time]]</f>
        <v>0</v>
      </c>
      <c r="AC1729">
        <f>Table1[[#This Row],[SI]]+Table1[[#This Row],[Disc/Prem]]</f>
        <v>-250.5</v>
      </c>
      <c r="AD1729" s="3">
        <f>Table1[[#This Row],[Net Gain]]/Table1[[#This Row],[Ask Rate]]</f>
        <v>-0.20031987205117952</v>
      </c>
      <c r="AE1729" s="3">
        <f ca="1">IF(Table1[[#This Row],[Ask Qty]]=0,0,Table1[[#This Row],[Gross Yield]]*365/Table1[[#This Row],[Days Left]])</f>
        <v>-0.36376494178448021</v>
      </c>
      <c r="AF1729" s="9">
        <f>+Table1[[#This Row],[Net Gain]]*Table1[[#This Row],[Ask Qty]]</f>
        <v>-26803.5</v>
      </c>
      <c r="AG1729" t="str">
        <f ca="1">IF(Table1[[#This Row],[YTM]]&gt;0.12,IF(Table1[[#This Row],[Gross Profit]]&gt;10000,"Invest","Review"),"Low YTM")</f>
        <v>Low YTM</v>
      </c>
    </row>
    <row r="1730" spans="1:33" hidden="1" x14ac:dyDescent="0.3">
      <c r="A1730" t="str">
        <f>RTD("nest.scriprtd",,"nse_cm|CIFCZC25A-N1","Symbol")</f>
        <v>CIFCZC25A</v>
      </c>
      <c r="B1730" t="str">
        <f>RTD("nest.scriprtd",,"nse_cm|CIFCZC25A-N1","Trading Symbol")</f>
        <v>CIFCZC25A-N1</v>
      </c>
      <c r="C1730" t="str">
        <f>RTD("nest.scriprtd",,"nse_cm|CIFCZC25A-N1","Exchange")</f>
        <v>NSE</v>
      </c>
      <c r="D1730">
        <f>RTD("nest.scriprtd",,"nse_cm|CIFCZC25A-N1","Bid Qty")</f>
        <v>10</v>
      </c>
      <c r="E1730">
        <f>RTD("nest.scriprtd",,"nse_cm|CIFCZC25A-N1","Bid Rate")</f>
        <v>1086</v>
      </c>
      <c r="F1730">
        <f>RTD("nest.scriprtd",,"nse_cm|CIFCZC25A-N1","Ask Rate")</f>
        <v>1164.8</v>
      </c>
      <c r="G1730">
        <f>RTD("nest.scriprtd",,"nse_cm|CIFCZC25A-N1","Ask Qty")</f>
        <v>50</v>
      </c>
      <c r="H1730">
        <f>RTD("nest.scriprtd",,"nse_cm|CIFCZC25A-N1","LTP")</f>
        <v>1136</v>
      </c>
      <c r="I1730" t="str">
        <f>RTD("nest.scriprtd",,"nse_cm|CIFCZC25A-N1","LTT")</f>
        <v/>
      </c>
      <c r="J1730">
        <f>RTD("nest.scriprtd",,"nse_cm|CIFCZC25A-N1","% Change")</f>
        <v>0</v>
      </c>
      <c r="K1730">
        <f>RTD("nest.scriprtd",,"nse_cm|CIFCZC25A-N1","ATP")</f>
        <v>0</v>
      </c>
      <c r="L1730">
        <f>RTD("nest.scriprtd",,"nse_cm|CIFCZC25A-N1","Volume Traded Today")</f>
        <v>0</v>
      </c>
      <c r="M1730">
        <f>RTD("nest.scriprtd",,"nse_cm|CIFCZC25A-N1","Open")</f>
        <v>0</v>
      </c>
      <c r="N1730">
        <f>RTD("nest.scriprtd",,"nse_cm|CIFCZC25A-N1","High")</f>
        <v>1136</v>
      </c>
      <c r="O1730">
        <f>RTD("nest.scriprtd",,"nse_cm|CIFCZC25A-N1","Low ")</f>
        <v>1136</v>
      </c>
      <c r="P1730">
        <f>RTD("nest.scriprtd",,"nse_cm|CIFCZC25A-N1","Prev Close")</f>
        <v>1136</v>
      </c>
      <c r="Q1730">
        <f>RTD("nest.scriprtd",,"nse_cm|CIFCZC25A-N1","Face Value")</f>
        <v>1000</v>
      </c>
      <c r="R1730" t="str">
        <f>RTD("nest.scriprtd",,"nse_cm|CIFCZC25A-N1","Isin code")</f>
        <v>INE121A07RA7</v>
      </c>
      <c r="S1730" s="9">
        <f>Table1[[#This Row],[Ask Rate]]*Table1[[#This Row],[Ask Qty]]</f>
        <v>58240</v>
      </c>
      <c r="T1730">
        <f>VLOOKUP(Table1[[#This Row],[Isin code]],Table2[#All],7,FALSE)</f>
        <v>0</v>
      </c>
      <c r="U1730" s="17" t="str">
        <f>VLOOKUP(Table1[[#This Row],[Isin code]],Table2[#All],8,FALSE)</f>
        <v>04-Mar-2025</v>
      </c>
      <c r="V1730" s="10">
        <f ca="1">Table1[[#This Row],[Maturity]]-TODAY()</f>
        <v>139</v>
      </c>
      <c r="W1730" t="str">
        <f>VLOOKUP(Table1[[#This Row],[Isin code]],Table2[#All],10,FALSE)</f>
        <v>HALF YEARLY</v>
      </c>
      <c r="X1730">
        <f ca="1">_xlfn.DAYS(Table1[[#This Row],[Maturity]],TODAY())-15</f>
        <v>124</v>
      </c>
      <c r="Y173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30">
        <f>IF(Table1[[#This Row],[Ask Rate]]=0,0,Table1[[#This Row],[Face Value]]-Table1[[#This Row],[Ask Rate]])</f>
        <v>-164.79999999999995</v>
      </c>
      <c r="AA173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0">
        <f>Table1[[#This Row],[Face Value]]*Table1[[#This Row],[Rate]]*Table1[[#This Row],[Time]]</f>
        <v>0</v>
      </c>
      <c r="AC1730">
        <f>Table1[[#This Row],[SI]]+Table1[[#This Row],[Disc/Prem]]</f>
        <v>-164.79999999999995</v>
      </c>
      <c r="AD1730" s="3">
        <f>Table1[[#This Row],[Net Gain]]/Table1[[#This Row],[Ask Rate]]</f>
        <v>-0.14148351648351645</v>
      </c>
      <c r="AE1730" s="3">
        <f ca="1">IF(Table1[[#This Row],[Ask Qty]]=0,0,Table1[[#This Row],[Gross Yield]]*365/Table1[[#This Row],[Days Left]])</f>
        <v>-0.37152146414736331</v>
      </c>
      <c r="AF1730" s="9">
        <f>+Table1[[#This Row],[Net Gain]]*Table1[[#This Row],[Ask Qty]]</f>
        <v>-8239.9999999999982</v>
      </c>
      <c r="AG1730" t="str">
        <f ca="1">IF(Table1[[#This Row],[YTM]]&gt;0.12,IF(Table1[[#This Row],[Gross Profit]]&gt;10000,"Invest","Review"),"Low YTM")</f>
        <v>Low YTM</v>
      </c>
    </row>
    <row r="1731" spans="1:33" x14ac:dyDescent="0.3">
      <c r="A1731" t="str">
        <f>RTD("nest.scriprtd",,"bse_cm|MMFLZC25","Symbol")</f>
        <v>MMFLZC25</v>
      </c>
      <c r="B1731" t="str">
        <f>RTD("nest.scriprtd",,"bse_cm|MMFLZC25","Trading Symbol")</f>
        <v>MMFLZC25</v>
      </c>
      <c r="C1731" t="str">
        <f>RTD("nest.scriprtd",,"bse_cm|MMFLZC25","Exchange")</f>
        <v>BSE</v>
      </c>
      <c r="D1731">
        <f>RTD("nest.scriprtd",,"bse_cm|MMFLZC25","Bid Qty")</f>
        <v>24</v>
      </c>
      <c r="E1731">
        <f>RTD("nest.scriprtd",,"bse_cm|MMFLZC25","Bid Rate")</f>
        <v>1140.2</v>
      </c>
      <c r="F1731">
        <f>RTD("nest.scriprtd",,"bse_cm|MMFLZC25","Ask Rate")</f>
        <v>1392</v>
      </c>
      <c r="G1731">
        <f>RTD("nest.scriprtd",,"bse_cm|MMFLZC25","Ask Qty")</f>
        <v>10</v>
      </c>
      <c r="H1731">
        <f>RTD("nest.scriprtd",,"bse_cm|MMFLZC25","LTP")</f>
        <v>0</v>
      </c>
      <c r="I1731" t="str">
        <f>RTD("nest.scriprtd",,"bse_cm|MMFLZC25","LTT")</f>
        <v>00:00:00</v>
      </c>
      <c r="J1731">
        <f>RTD("nest.scriprtd",,"bse_cm|MMFLZC25","% Change")</f>
        <v>-100</v>
      </c>
      <c r="K1731">
        <f>RTD("nest.scriprtd",,"bse_cm|MMFLZC25","ATP")</f>
        <v>0</v>
      </c>
      <c r="L1731">
        <f>RTD("nest.scriprtd",,"bse_cm|MMFLZC25","Volume Traded Today")</f>
        <v>0</v>
      </c>
      <c r="M1731">
        <f>RTD("nest.scriprtd",,"bse_cm|MMFLZC25","Open")</f>
        <v>0</v>
      </c>
      <c r="N1731">
        <f>RTD("nest.scriprtd",,"bse_cm|MMFLZC25","High")</f>
        <v>1317</v>
      </c>
      <c r="O1731">
        <f>RTD("nest.scriprtd",,"bse_cm|MMFLZC25","Low ")</f>
        <v>1317</v>
      </c>
      <c r="P1731">
        <f>RTD("nest.scriprtd",,"bse_cm|MMFLZC25","Prev Close")</f>
        <v>1317</v>
      </c>
      <c r="Q1731">
        <f>RTD("nest.scriprtd",,"bse_cm|MMFLZC25","Face Value")</f>
        <v>1000</v>
      </c>
      <c r="R1731" t="str">
        <f>RTD("nest.scriprtd",,"bse_cm|MMFLZC25","Isin code")</f>
        <v>INE101Q07953</v>
      </c>
      <c r="S1731" s="9">
        <f>Table1[[#This Row],[Ask Rate]]*Table1[[#This Row],[Ask Qty]]</f>
        <v>13920</v>
      </c>
      <c r="T1731" t="str">
        <f>VLOOKUP(Table1[[#This Row],[Isin code]],Table2[#All],7,FALSE)</f>
        <v>--</v>
      </c>
      <c r="U1731" s="17" t="str">
        <f>VLOOKUP(Table1[[#This Row],[Isin code]],Table2[#All],8,FALSE)</f>
        <v>02-Jul-2025</v>
      </c>
      <c r="V1731" s="10">
        <f ca="1">Table1[[#This Row],[Maturity]]-TODAY()</f>
        <v>259</v>
      </c>
      <c r="W1731" t="str">
        <f>VLOOKUP(Table1[[#This Row],[Isin code]],Table2[#All],10,FALSE)</f>
        <v>At the End</v>
      </c>
      <c r="X1731">
        <f ca="1">_xlfn.DAYS(Table1[[#This Row],[Maturity]],TODAY())-15</f>
        <v>244</v>
      </c>
      <c r="Y173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31">
        <f>IF(Table1[[#This Row],[Ask Rate]]=0,0,Table1[[#This Row],[Face Value]]-Table1[[#This Row],[Ask Rate]])</f>
        <v>-392</v>
      </c>
      <c r="AA173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1">
        <f>Table1[[#This Row],[Face Value]]*Table1[[#This Row],[Rate]]*Table1[[#This Row],[Time]]</f>
        <v>0</v>
      </c>
      <c r="AC1731">
        <f>Table1[[#This Row],[SI]]+Table1[[#This Row],[Disc/Prem]]</f>
        <v>-392</v>
      </c>
      <c r="AD1731" s="3">
        <f>Table1[[#This Row],[Net Gain]]/Table1[[#This Row],[Ask Rate]]</f>
        <v>-0.28160919540229884</v>
      </c>
      <c r="AE1731" s="3">
        <f ca="1">IF(Table1[[#This Row],[Ask Qty]]=0,0,Table1[[#This Row],[Gross Yield]]*365/Table1[[#This Row],[Days Left]])</f>
        <v>-0.39686237962100029</v>
      </c>
      <c r="AF1731" s="9">
        <f>+Table1[[#This Row],[Net Gain]]*Table1[[#This Row],[Ask Qty]]</f>
        <v>-3920</v>
      </c>
      <c r="AG1731" t="str">
        <f ca="1">IF(Table1[[#This Row],[YTM]]&gt;0.12,IF(Table1[[#This Row],[Gross Profit]]&gt;10000,"Invest","Review"),"Low YTM")</f>
        <v>Low YTM</v>
      </c>
    </row>
    <row r="1732" spans="1:33" x14ac:dyDescent="0.3">
      <c r="A1732" t="str">
        <f>RTD("nest.scriprtd",,"nse_cm|DLSL25A-Y4","Symbol")</f>
        <v>DLSL25A</v>
      </c>
      <c r="B1732" t="str">
        <f>RTD("nest.scriprtd",,"nse_cm|DLSL25A-Y4","Trading Symbol")</f>
        <v>DLSL25A-Y4</v>
      </c>
      <c r="C1732" t="str">
        <f>RTD("nest.scriprtd",,"nse_cm|DLSL25A-Y4","Exchange")</f>
        <v>NSE</v>
      </c>
      <c r="D1732">
        <f>RTD("nest.scriprtd",,"nse_cm|DLSL25A-Y4","Bid Qty")</f>
        <v>150</v>
      </c>
      <c r="E1732">
        <f>RTD("nest.scriprtd",,"nse_cm|DLSL25A-Y4","Bid Rate")</f>
        <v>1225.3</v>
      </c>
      <c r="F1732">
        <f>RTD("nest.scriprtd",,"nse_cm|DLSL25A-Y4","Ask Rate")</f>
        <v>1300</v>
      </c>
      <c r="G1732">
        <f>RTD("nest.scriprtd",,"nse_cm|DLSL25A-Y4","Ask Qty")</f>
        <v>50</v>
      </c>
      <c r="H1732">
        <f>RTD("nest.scriprtd",,"nse_cm|DLSL25A-Y4","LTP")</f>
        <v>1300</v>
      </c>
      <c r="I1732" t="str">
        <f>RTD("nest.scriprtd",,"nse_cm|DLSL25A-Y4","LTT")</f>
        <v/>
      </c>
      <c r="J1732">
        <f>RTD("nest.scriprtd",,"nse_cm|DLSL25A-Y4","% Change")</f>
        <v>0</v>
      </c>
      <c r="K1732">
        <f>RTD("nest.scriprtd",,"nse_cm|DLSL25A-Y4","ATP")</f>
        <v>0</v>
      </c>
      <c r="L1732">
        <f>RTD("nest.scriprtd",,"nse_cm|DLSL25A-Y4","Volume Traded Today")</f>
        <v>0</v>
      </c>
      <c r="M1732">
        <f>RTD("nest.scriprtd",,"nse_cm|DLSL25A-Y4","Open")</f>
        <v>0</v>
      </c>
      <c r="N1732">
        <f>RTD("nest.scriprtd",,"nse_cm|DLSL25A-Y4","High")</f>
        <v>1300</v>
      </c>
      <c r="O1732">
        <f>RTD("nest.scriprtd",,"nse_cm|DLSL25A-Y4","Low ")</f>
        <v>1300</v>
      </c>
      <c r="P1732">
        <f>RTD("nest.scriprtd",,"nse_cm|DLSL25A-Y4","Prev Close")</f>
        <v>1300</v>
      </c>
      <c r="Q1732">
        <f>RTD("nest.scriprtd",,"nse_cm|DLSL25A-Y4","Face Value")</f>
        <v>1000</v>
      </c>
      <c r="R1732" t="str">
        <f>RTD("nest.scriprtd",,"nse_cm|DLSL25A-Y4","Isin code")</f>
        <v>INE614X07431</v>
      </c>
      <c r="S1732" s="9">
        <f>Table1[[#This Row],[Ask Rate]]*Table1[[#This Row],[Ask Qty]]</f>
        <v>65000</v>
      </c>
      <c r="T1732">
        <f>VLOOKUP(Table1[[#This Row],[Isin code]],Table2[#All],7,FALSE)</f>
        <v>0</v>
      </c>
      <c r="U1732" s="17" t="str">
        <f>VLOOKUP(Table1[[#This Row],[Isin code]],Table2[#All],8,FALSE)</f>
        <v>16-May-2025</v>
      </c>
      <c r="V1732" s="10">
        <f ca="1">Table1[[#This Row],[Maturity]]-TODAY()</f>
        <v>212</v>
      </c>
      <c r="W1732" t="str">
        <f>VLOOKUP(Table1[[#This Row],[Isin code]],Table2[#All],10,FALSE)</f>
        <v>At the End</v>
      </c>
      <c r="X1732">
        <f ca="1">_xlfn.DAYS(Table1[[#This Row],[Maturity]],TODAY())-15</f>
        <v>197</v>
      </c>
      <c r="Y173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32">
        <f>IF(Table1[[#This Row],[Ask Rate]]=0,0,Table1[[#This Row],[Face Value]]-Table1[[#This Row],[Ask Rate]])</f>
        <v>-300</v>
      </c>
      <c r="AA173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2">
        <f>Table1[[#This Row],[Face Value]]*Table1[[#This Row],[Rate]]*Table1[[#This Row],[Time]]</f>
        <v>0</v>
      </c>
      <c r="AC1732">
        <f>Table1[[#This Row],[SI]]+Table1[[#This Row],[Disc/Prem]]</f>
        <v>-300</v>
      </c>
      <c r="AD1732" s="3">
        <f>Table1[[#This Row],[Net Gain]]/Table1[[#This Row],[Ask Rate]]</f>
        <v>-0.23076923076923078</v>
      </c>
      <c r="AE1732" s="3">
        <f ca="1">IF(Table1[[#This Row],[Ask Qty]]=0,0,Table1[[#This Row],[Gross Yield]]*365/Table1[[#This Row],[Days Left]])</f>
        <v>-0.39731494920174171</v>
      </c>
      <c r="AF1732" s="9">
        <f>+Table1[[#This Row],[Net Gain]]*Table1[[#This Row],[Ask Qty]]</f>
        <v>-15000</v>
      </c>
      <c r="AG1732" t="str">
        <f ca="1">IF(Table1[[#This Row],[YTM]]&gt;0.12,IF(Table1[[#This Row],[Gross Profit]]&gt;10000,"Invest","Review"),"Low YTM")</f>
        <v>Low YTM</v>
      </c>
    </row>
    <row r="1733" spans="1:33" x14ac:dyDescent="0.3">
      <c r="A1733" t="str">
        <f>RTD("nest.scriprtd",,"bse_cm|MFL25","Symbol")</f>
        <v>MFL25</v>
      </c>
      <c r="B1733" t="str">
        <f>RTD("nest.scriprtd",,"bse_cm|MFL25","Trading Symbol")</f>
        <v>MFL25</v>
      </c>
      <c r="C1733" t="str">
        <f>RTD("nest.scriprtd",,"bse_cm|MFL25","Exchange")</f>
        <v>BSE</v>
      </c>
      <c r="D1733">
        <f>RTD("nest.scriprtd",,"bse_cm|MFL25","Bid Qty")</f>
        <v>50</v>
      </c>
      <c r="E1733">
        <f>RTD("nest.scriprtd",,"bse_cm|MFL25","Bid Rate")</f>
        <v>1773.25</v>
      </c>
      <c r="F1733">
        <f>RTD("nest.scriprtd",,"bse_cm|MFL25","Ask Rate")</f>
        <v>1799</v>
      </c>
      <c r="G1733">
        <f>RTD("nest.scriprtd",,"bse_cm|MFL25","Ask Qty")</f>
        <v>50</v>
      </c>
      <c r="H1733">
        <f>RTD("nest.scriprtd",,"bse_cm|MFL25","LTP")</f>
        <v>0</v>
      </c>
      <c r="I1733" t="str">
        <f>RTD("nest.scriprtd",,"bse_cm|MFL25","LTT")</f>
        <v>00:00:00</v>
      </c>
      <c r="J1733">
        <f>RTD("nest.scriprtd",,"bse_cm|MFL25","% Change")</f>
        <v>-100</v>
      </c>
      <c r="K1733">
        <f>RTD("nest.scriprtd",,"bse_cm|MFL25","ATP")</f>
        <v>0</v>
      </c>
      <c r="L1733">
        <f>RTD("nest.scriprtd",,"bse_cm|MFL25","Volume Traded Today")</f>
        <v>0</v>
      </c>
      <c r="M1733">
        <f>RTD("nest.scriprtd",,"bse_cm|MFL25","Open")</f>
        <v>0</v>
      </c>
      <c r="N1733">
        <f>RTD("nest.scriprtd",,"bse_cm|MFL25","High")</f>
        <v>1800</v>
      </c>
      <c r="O1733">
        <f>RTD("nest.scriprtd",,"bse_cm|MFL25","Low ")</f>
        <v>1800</v>
      </c>
      <c r="P1733">
        <f>RTD("nest.scriprtd",,"bse_cm|MFL25","Prev Close")</f>
        <v>1800</v>
      </c>
      <c r="Q1733">
        <f>RTD("nest.scriprtd",,"bse_cm|MFL25","Face Value")</f>
        <v>1000</v>
      </c>
      <c r="R1733" t="str">
        <f>RTD("nest.scriprtd",,"bse_cm|MFL25","Isin code")</f>
        <v>INE522D07AP4</v>
      </c>
      <c r="S1733" s="9">
        <f>Table1[[#This Row],[Ask Rate]]*Table1[[#This Row],[Ask Qty]]</f>
        <v>89950</v>
      </c>
      <c r="T1733" t="str">
        <f>VLOOKUP(Table1[[#This Row],[Isin code]],Table2[#All],7,FALSE)</f>
        <v>--</v>
      </c>
      <c r="U1733" s="17" t="str">
        <f>VLOOKUP(Table1[[#This Row],[Isin code]],Table2[#All],8,FALSE)</f>
        <v>29-Nov-2025</v>
      </c>
      <c r="V1733" s="10">
        <f ca="1">Table1[[#This Row],[Maturity]]-TODAY()</f>
        <v>409</v>
      </c>
      <c r="W1733" t="str">
        <f>VLOOKUP(Table1[[#This Row],[Isin code]],Table2[#All],10,FALSE)</f>
        <v>At the End</v>
      </c>
      <c r="X1733">
        <f ca="1">_xlfn.DAYS(Table1[[#This Row],[Maturity]],TODAY())-15</f>
        <v>394</v>
      </c>
      <c r="Y173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33">
        <f>IF(Table1[[#This Row],[Ask Rate]]=0,0,Table1[[#This Row],[Face Value]]-Table1[[#This Row],[Ask Rate]])</f>
        <v>-799</v>
      </c>
      <c r="AA173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3">
        <f>Table1[[#This Row],[Face Value]]*Table1[[#This Row],[Rate]]*Table1[[#This Row],[Time]]</f>
        <v>0</v>
      </c>
      <c r="AC1733">
        <f>Table1[[#This Row],[SI]]+Table1[[#This Row],[Disc/Prem]]</f>
        <v>-799</v>
      </c>
      <c r="AD1733" s="3">
        <f>Table1[[#This Row],[Net Gain]]/Table1[[#This Row],[Ask Rate]]</f>
        <v>-0.4441356309060589</v>
      </c>
      <c r="AE1733" s="3">
        <f ca="1">IF(Table1[[#This Row],[Ask Qty]]=0,0,Table1[[#This Row],[Gross Yield]]*365/Table1[[#This Row],[Days Left]])</f>
        <v>-0.39635575863254641</v>
      </c>
      <c r="AF1733" s="9">
        <f>+Table1[[#This Row],[Net Gain]]*Table1[[#This Row],[Ask Qty]]</f>
        <v>-39950</v>
      </c>
      <c r="AG1733" t="str">
        <f ca="1">IF(Table1[[#This Row],[YTM]]&gt;0.12,IF(Table1[[#This Row],[Gross Profit]]&gt;10000,"Invest","Review"),"Low YTM")</f>
        <v>Low YTM</v>
      </c>
    </row>
    <row r="1734" spans="1:33" x14ac:dyDescent="0.3">
      <c r="A1734" t="str">
        <f>RTD("nest.scriprtd",,"bse_cm|DLSL25A","Symbol")</f>
        <v>DLSL25A</v>
      </c>
      <c r="B1734" t="str">
        <f>RTD("nest.scriprtd",,"bse_cm|DLSL25A","Trading Symbol")</f>
        <v>DLSL25A</v>
      </c>
      <c r="C1734" t="str">
        <f>RTD("nest.scriprtd",,"bse_cm|DLSL25A","Exchange")</f>
        <v>BSE</v>
      </c>
      <c r="D1734">
        <f>RTD("nest.scriprtd",,"bse_cm|DLSL25A","Bid Qty")</f>
        <v>150</v>
      </c>
      <c r="E1734">
        <f>RTD("nest.scriprtd",,"bse_cm|DLSL25A","Bid Rate")</f>
        <v>1225.25</v>
      </c>
      <c r="F1734">
        <f>RTD("nest.scriprtd",,"bse_cm|DLSL25A","Ask Rate")</f>
        <v>1325.3</v>
      </c>
      <c r="G1734">
        <f>RTD("nest.scriprtd",,"bse_cm|DLSL25A","Ask Qty")</f>
        <v>258</v>
      </c>
      <c r="H1734">
        <f>RTD("nest.scriprtd",,"bse_cm|DLSL25A","LTP")</f>
        <v>0</v>
      </c>
      <c r="I1734" t="str">
        <f>RTD("nest.scriprtd",,"bse_cm|DLSL25A","LTT")</f>
        <v>00:00:00</v>
      </c>
      <c r="J1734">
        <f>RTD("nest.scriprtd",,"bse_cm|DLSL25A","% Change")</f>
        <v>-100</v>
      </c>
      <c r="K1734">
        <f>RTD("nest.scriprtd",,"bse_cm|DLSL25A","ATP")</f>
        <v>0</v>
      </c>
      <c r="L1734">
        <f>RTD("nest.scriprtd",,"bse_cm|DLSL25A","Volume Traded Today")</f>
        <v>0</v>
      </c>
      <c r="M1734">
        <f>RTD("nest.scriprtd",,"bse_cm|DLSL25A","Open")</f>
        <v>0</v>
      </c>
      <c r="N1734">
        <f>RTD("nest.scriprtd",,"bse_cm|DLSL25A","High")</f>
        <v>1199.99</v>
      </c>
      <c r="O1734">
        <f>RTD("nest.scriprtd",,"bse_cm|DLSL25A","Low ")</f>
        <v>1199.99</v>
      </c>
      <c r="P1734">
        <f>RTD("nest.scriprtd",,"bse_cm|DLSL25A","Prev Close")</f>
        <v>1199.99</v>
      </c>
      <c r="Q1734">
        <f>RTD("nest.scriprtd",,"bse_cm|DLSL25A","Face Value")</f>
        <v>1000</v>
      </c>
      <c r="R1734" t="str">
        <f>RTD("nest.scriprtd",,"bse_cm|DLSL25A","Isin code")</f>
        <v>INE614X07431</v>
      </c>
      <c r="S1734" s="9">
        <f>Table1[[#This Row],[Ask Rate]]*Table1[[#This Row],[Ask Qty]]</f>
        <v>341927.39999999997</v>
      </c>
      <c r="T1734">
        <f>VLOOKUP(Table1[[#This Row],[Isin code]],Table2[#All],7,FALSE)</f>
        <v>0</v>
      </c>
      <c r="U1734" s="17" t="str">
        <f>VLOOKUP(Table1[[#This Row],[Isin code]],Table2[#All],8,FALSE)</f>
        <v>16-May-2025</v>
      </c>
      <c r="V1734" s="10">
        <f ca="1">Table1[[#This Row],[Maturity]]-TODAY()</f>
        <v>212</v>
      </c>
      <c r="W1734" t="str">
        <f>VLOOKUP(Table1[[#This Row],[Isin code]],Table2[#All],10,FALSE)</f>
        <v>At the End</v>
      </c>
      <c r="X1734">
        <f ca="1">_xlfn.DAYS(Table1[[#This Row],[Maturity]],TODAY())-15</f>
        <v>197</v>
      </c>
      <c r="Y173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34">
        <f>IF(Table1[[#This Row],[Ask Rate]]=0,0,Table1[[#This Row],[Face Value]]-Table1[[#This Row],[Ask Rate]])</f>
        <v>-325.29999999999995</v>
      </c>
      <c r="AA173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4">
        <f>Table1[[#This Row],[Face Value]]*Table1[[#This Row],[Rate]]*Table1[[#This Row],[Time]]</f>
        <v>0</v>
      </c>
      <c r="AC1734">
        <f>Table1[[#This Row],[SI]]+Table1[[#This Row],[Disc/Prem]]</f>
        <v>-325.29999999999995</v>
      </c>
      <c r="AD1734" s="3">
        <f>Table1[[#This Row],[Net Gain]]/Table1[[#This Row],[Ask Rate]]</f>
        <v>-0.24545385950350862</v>
      </c>
      <c r="AE1734" s="3">
        <f ca="1">IF(Table1[[#This Row],[Ask Qty]]=0,0,Table1[[#This Row],[Gross Yield]]*365/Table1[[#This Row],[Days Left]])</f>
        <v>-0.42259744678670114</v>
      </c>
      <c r="AF1734" s="9">
        <f>+Table1[[#This Row],[Net Gain]]*Table1[[#This Row],[Ask Qty]]</f>
        <v>-83927.4</v>
      </c>
      <c r="AG1734" t="str">
        <f ca="1">IF(Table1[[#This Row],[YTM]]&gt;0.12,IF(Table1[[#This Row],[Gross Profit]]&gt;10000,"Invest","Review"),"Low YTM")</f>
        <v>Low YTM</v>
      </c>
    </row>
    <row r="1735" spans="1:33" x14ac:dyDescent="0.3">
      <c r="A1735" t="str">
        <f>RTD("nest.scriprtd",,"bse_cm|KFLZC25D","Symbol")</f>
        <v>KFLZC25D</v>
      </c>
      <c r="B1735" t="str">
        <f>RTD("nest.scriprtd",,"bse_cm|KFLZC25D","Trading Symbol")</f>
        <v>KFLZC25D</v>
      </c>
      <c r="C1735" t="str">
        <f>RTD("nest.scriprtd",,"bse_cm|KFLZC25D","Exchange")</f>
        <v>BSE</v>
      </c>
      <c r="D1735">
        <f>RTD("nest.scriprtd",,"bse_cm|KFLZC25D","Bid Qty")</f>
        <v>50</v>
      </c>
      <c r="E1735">
        <f>RTD("nest.scriprtd",,"bse_cm|KFLZC25D","Bid Rate")</f>
        <v>1117.1099999999999</v>
      </c>
      <c r="F1735">
        <f>RTD("nest.scriprtd",,"bse_cm|KFLZC25D","Ask Rate")</f>
        <v>1274.8</v>
      </c>
      <c r="G1735">
        <f>RTD("nest.scriprtd",,"bse_cm|KFLZC25D","Ask Qty")</f>
        <v>60</v>
      </c>
      <c r="H1735">
        <f>RTD("nest.scriprtd",,"bse_cm|KFLZC25D","LTP")</f>
        <v>0</v>
      </c>
      <c r="I1735" t="str">
        <f>RTD("nest.scriprtd",,"bse_cm|KFLZC25D","LTT")</f>
        <v>00:00:00</v>
      </c>
      <c r="J1735">
        <f>RTD("nest.scriprtd",,"bse_cm|KFLZC25D","% Change")</f>
        <v>-100</v>
      </c>
      <c r="K1735">
        <f>RTD("nest.scriprtd",,"bse_cm|KFLZC25D","ATP")</f>
        <v>0</v>
      </c>
      <c r="L1735">
        <f>RTD("nest.scriprtd",,"bse_cm|KFLZC25D","Volume Traded Today")</f>
        <v>0</v>
      </c>
      <c r="M1735">
        <f>RTD("nest.scriprtd",,"bse_cm|KFLZC25D","Open")</f>
        <v>0</v>
      </c>
      <c r="N1735">
        <f>RTD("nest.scriprtd",,"bse_cm|KFLZC25D","High")</f>
        <v>1223</v>
      </c>
      <c r="O1735">
        <f>RTD("nest.scriprtd",,"bse_cm|KFLZC25D","Low ")</f>
        <v>1223</v>
      </c>
      <c r="P1735">
        <f>RTD("nest.scriprtd",,"bse_cm|KFLZC25D","Prev Close")</f>
        <v>1223</v>
      </c>
      <c r="Q1735">
        <f>RTD("nest.scriprtd",,"bse_cm|KFLZC25D","Face Value")</f>
        <v>1000</v>
      </c>
      <c r="R1735" t="str">
        <f>RTD("nest.scriprtd",,"bse_cm|KFLZC25D","Isin code")</f>
        <v>INE403Q07CK6</v>
      </c>
      <c r="S1735" s="9">
        <f>Table1[[#This Row],[Ask Rate]]*Table1[[#This Row],[Ask Qty]]</f>
        <v>76488</v>
      </c>
      <c r="T1735" t="str">
        <f>VLOOKUP(Table1[[#This Row],[Isin code]],Table2[#All],7,FALSE)</f>
        <v>--</v>
      </c>
      <c r="U1735" s="17" t="str">
        <f>VLOOKUP(Table1[[#This Row],[Isin code]],Table2[#All],8,FALSE)</f>
        <v>17-Apr-2025</v>
      </c>
      <c r="V1735" s="10">
        <f ca="1">Table1[[#This Row],[Maturity]]-TODAY()</f>
        <v>183</v>
      </c>
      <c r="W1735" t="str">
        <f>VLOOKUP(Table1[[#This Row],[Isin code]],Table2[#All],10,FALSE)</f>
        <v>At the End</v>
      </c>
      <c r="X1735">
        <f ca="1">_xlfn.DAYS(Table1[[#This Row],[Maturity]],TODAY())-15</f>
        <v>168</v>
      </c>
      <c r="Y173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35">
        <f>IF(Table1[[#This Row],[Ask Rate]]=0,0,Table1[[#This Row],[Face Value]]-Table1[[#This Row],[Ask Rate]])</f>
        <v>-274.79999999999995</v>
      </c>
      <c r="AA173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5">
        <f>Table1[[#This Row],[Face Value]]*Table1[[#This Row],[Rate]]*Table1[[#This Row],[Time]]</f>
        <v>0</v>
      </c>
      <c r="AC1735">
        <f>Table1[[#This Row],[SI]]+Table1[[#This Row],[Disc/Prem]]</f>
        <v>-274.79999999999995</v>
      </c>
      <c r="AD1735" s="3">
        <f>Table1[[#This Row],[Net Gain]]/Table1[[#This Row],[Ask Rate]]</f>
        <v>-0.21556322560401628</v>
      </c>
      <c r="AE1735" s="3">
        <f ca="1">IF(Table1[[#This Row],[Ask Qty]]=0,0,Table1[[#This Row],[Gross Yield]]*365/Table1[[#This Row],[Days Left]])</f>
        <v>-0.4299485100845134</v>
      </c>
      <c r="AF1735" s="9">
        <f>+Table1[[#This Row],[Net Gain]]*Table1[[#This Row],[Ask Qty]]</f>
        <v>-16487.999999999996</v>
      </c>
      <c r="AG1735" t="str">
        <f ca="1">IF(Table1[[#This Row],[YTM]]&gt;0.12,IF(Table1[[#This Row],[Gross Profit]]&gt;10000,"Invest","Review"),"Low YTM")</f>
        <v>Low YTM</v>
      </c>
    </row>
    <row r="1736" spans="1:33" hidden="1" x14ac:dyDescent="0.3">
      <c r="A1736" t="str">
        <f>RTD("nest.scriprtd",,"nse_cm|948ICCL25A-NG","Symbol")</f>
        <v>948ICCL25A</v>
      </c>
      <c r="B1736" t="str">
        <f>RTD("nest.scriprtd",,"nse_cm|948ICCL25A-NG","Trading Symbol")</f>
        <v>948ICCL25A-NG</v>
      </c>
      <c r="C1736" t="str">
        <f>RTD("nest.scriprtd",,"nse_cm|948ICCL25A-NG","Exchange")</f>
        <v>NSE</v>
      </c>
      <c r="D1736">
        <f>RTD("nest.scriprtd",,"nse_cm|948ICCL25A-NG","Bid Qty")</f>
        <v>5</v>
      </c>
      <c r="E1736">
        <f>RTD("nest.scriprtd",,"nse_cm|948ICCL25A-NG","Bid Rate")</f>
        <v>1100.0999999999999</v>
      </c>
      <c r="F1736">
        <f>RTD("nest.scriprtd",,"nse_cm|948ICCL25A-NG","Ask Rate")</f>
        <v>1170</v>
      </c>
      <c r="G1736">
        <f>RTD("nest.scriprtd",,"nse_cm|948ICCL25A-NG","Ask Qty")</f>
        <v>5</v>
      </c>
      <c r="H1736">
        <f>RTD("nest.scriprtd",,"nse_cm|948ICCL25A-NG","LTP")</f>
        <v>1136.7</v>
      </c>
      <c r="I1736" t="str">
        <f>RTD("nest.scriprtd",,"nse_cm|948ICCL25A-NG","LTT")</f>
        <v>11:08:50</v>
      </c>
      <c r="J1736">
        <f>RTD("nest.scriprtd",,"nse_cm|948ICCL25A-NG","% Change")</f>
        <v>-1.97</v>
      </c>
      <c r="K1736">
        <f>RTD("nest.scriprtd",,"nse_cm|948ICCL25A-NG","ATP")</f>
        <v>1137.56</v>
      </c>
      <c r="L1736">
        <f>RTD("nest.scriprtd",,"nse_cm|948ICCL25A-NG","Volume Traded Today")</f>
        <v>15</v>
      </c>
      <c r="M1736">
        <f>RTD("nest.scriprtd",,"nse_cm|948ICCL25A-NG","Open")</f>
        <v>1138</v>
      </c>
      <c r="N1736">
        <f>RTD("nest.scriprtd",,"nse_cm|948ICCL25A-NG","High")</f>
        <v>1138</v>
      </c>
      <c r="O1736">
        <f>RTD("nest.scriprtd",,"nse_cm|948ICCL25A-NG","Low ")</f>
        <v>1136.7</v>
      </c>
      <c r="P1736">
        <f>RTD("nest.scriprtd",,"nse_cm|948ICCL25A-NG","Prev Close")</f>
        <v>1159.5</v>
      </c>
      <c r="Q1736">
        <f>RTD("nest.scriprtd",,"nse_cm|948ICCL25A-NG","Face Value")</f>
        <v>1000</v>
      </c>
      <c r="R1736" t="str">
        <f>RTD("nest.scriprtd",,"nse_cm|948ICCL25A-NG","Isin code")</f>
        <v>INE244L07358</v>
      </c>
      <c r="S1736" s="9">
        <f>Table1[[#This Row],[Ask Rate]]*Table1[[#This Row],[Ask Qty]]</f>
        <v>5850</v>
      </c>
      <c r="T1736">
        <f>VLOOKUP(Table1[[#This Row],[Isin code]],Table2[#All],7,FALSE)</f>
        <v>0</v>
      </c>
      <c r="U1736" s="17" t="str">
        <f>VLOOKUP(Table1[[#This Row],[Isin code]],Table2[#All],8,FALSE)</f>
        <v>02-Feb-2025</v>
      </c>
      <c r="V1736" s="10">
        <f ca="1">Table1[[#This Row],[Maturity]]-TODAY()</f>
        <v>109</v>
      </c>
      <c r="W1736" t="str">
        <f>VLOOKUP(Table1[[#This Row],[Isin code]],Table2[#All],10,FALSE)</f>
        <v>At the End</v>
      </c>
      <c r="X1736">
        <f ca="1">_xlfn.DAYS(Table1[[#This Row],[Maturity]],TODAY())-15</f>
        <v>94</v>
      </c>
      <c r="Y173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36">
        <f>IF(Table1[[#This Row],[Ask Rate]]=0,0,Table1[[#This Row],[Face Value]]-Table1[[#This Row],[Ask Rate]])</f>
        <v>-170</v>
      </c>
      <c r="AA173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6">
        <f>Table1[[#This Row],[Face Value]]*Table1[[#This Row],[Rate]]*Table1[[#This Row],[Time]]</f>
        <v>0</v>
      </c>
      <c r="AC1736">
        <f>Table1[[#This Row],[SI]]+Table1[[#This Row],[Disc/Prem]]</f>
        <v>-170</v>
      </c>
      <c r="AD1736" s="3">
        <f>Table1[[#This Row],[Net Gain]]/Table1[[#This Row],[Ask Rate]]</f>
        <v>-0.14529914529914531</v>
      </c>
      <c r="AE1736" s="3">
        <f ca="1">IF(Table1[[#This Row],[Ask Qty]]=0,0,Table1[[#This Row],[Gross Yield]]*365/Table1[[#This Row],[Days Left]])</f>
        <v>-0.48655218379989029</v>
      </c>
      <c r="AF1736" s="9">
        <f>+Table1[[#This Row],[Net Gain]]*Table1[[#This Row],[Ask Qty]]</f>
        <v>-850</v>
      </c>
      <c r="AG1736" t="str">
        <f ca="1">IF(Table1[[#This Row],[YTM]]&gt;0.12,IF(Table1[[#This Row],[Gross Profit]]&gt;10000,"Invest","Review"),"Low YTM")</f>
        <v>Low YTM</v>
      </c>
    </row>
    <row r="1737" spans="1:33" hidden="1" x14ac:dyDescent="0.3">
      <c r="A1737" t="str">
        <f>RTD("nest.scriprtd",,"bse_cm|IIFLZC25A","Symbol")</f>
        <v>IIFLZC25A</v>
      </c>
      <c r="B1737" t="str">
        <f>RTD("nest.scriprtd",,"bse_cm|IIFLZC25A","Trading Symbol")</f>
        <v>IIFLZC25A</v>
      </c>
      <c r="C1737" t="str">
        <f>RTD("nest.scriprtd",,"bse_cm|IIFLZC25A","Exchange")</f>
        <v>BSE</v>
      </c>
      <c r="D1737">
        <f>RTD("nest.scriprtd",,"bse_cm|IIFLZC25A","Bid Qty")</f>
        <v>180</v>
      </c>
      <c r="E1737">
        <f>RTD("nest.scriprtd",,"bse_cm|IIFLZC25A","Bid Rate")</f>
        <v>1121.8</v>
      </c>
      <c r="F1737">
        <f>RTD("nest.scriprtd",,"bse_cm|IIFLZC25A","Ask Rate")</f>
        <v>1170.55</v>
      </c>
      <c r="G1737">
        <f>RTD("nest.scriprtd",,"bse_cm|IIFLZC25A","Ask Qty")</f>
        <v>10</v>
      </c>
      <c r="H1737">
        <f>RTD("nest.scriprtd",,"bse_cm|IIFLZC25A","LTP")</f>
        <v>0</v>
      </c>
      <c r="I1737" t="str">
        <f>RTD("nest.scriprtd",,"bse_cm|IIFLZC25A","LTT")</f>
        <v>00:00:00</v>
      </c>
      <c r="J1737">
        <f>RTD("nest.scriprtd",,"bse_cm|IIFLZC25A","% Change")</f>
        <v>-100</v>
      </c>
      <c r="K1737">
        <f>RTD("nest.scriprtd",,"bse_cm|IIFLZC25A","ATP")</f>
        <v>0</v>
      </c>
      <c r="L1737">
        <f>RTD("nest.scriprtd",,"bse_cm|IIFLZC25A","Volume Traded Today")</f>
        <v>0</v>
      </c>
      <c r="M1737">
        <f>RTD("nest.scriprtd",,"bse_cm|IIFLZC25A","Open")</f>
        <v>0</v>
      </c>
      <c r="N1737">
        <f>RTD("nest.scriprtd",,"bse_cm|IIFLZC25A","High")</f>
        <v>1134.94</v>
      </c>
      <c r="O1737">
        <f>RTD("nest.scriprtd",,"bse_cm|IIFLZC25A","Low ")</f>
        <v>1134.94</v>
      </c>
      <c r="P1737">
        <f>RTD("nest.scriprtd",,"bse_cm|IIFLZC25A","Prev Close")</f>
        <v>1134.94</v>
      </c>
      <c r="Q1737">
        <f>RTD("nest.scriprtd",,"bse_cm|IIFLZC25A","Face Value")</f>
        <v>1000</v>
      </c>
      <c r="R1737" t="str">
        <f>RTD("nest.scriprtd",,"bse_cm|IIFLZC25A","Isin code")</f>
        <v>INE530B07302</v>
      </c>
      <c r="S1737" s="9">
        <f>Table1[[#This Row],[Ask Rate]]*Table1[[#This Row],[Ask Qty]]</f>
        <v>11705.5</v>
      </c>
      <c r="T1737">
        <f>VLOOKUP(Table1[[#This Row],[Isin code]],Table2[#All],7,FALSE)</f>
        <v>0</v>
      </c>
      <c r="U1737" s="17" t="str">
        <f>VLOOKUP(Table1[[#This Row],[Isin code]],Table2[#All],8,FALSE)</f>
        <v>24-Jan-2025</v>
      </c>
      <c r="V1737" s="10">
        <f ca="1">Table1[[#This Row],[Maturity]]-TODAY()</f>
        <v>100</v>
      </c>
      <c r="W1737" t="str">
        <f>VLOOKUP(Table1[[#This Row],[Isin code]],Table2[#All],10,FALSE)</f>
        <v>Monthly</v>
      </c>
      <c r="X1737">
        <f ca="1">_xlfn.DAYS(Table1[[#This Row],[Maturity]],TODAY())-15</f>
        <v>85</v>
      </c>
      <c r="Y173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3</v>
      </c>
      <c r="Z1737">
        <f>IF(Table1[[#This Row],[Ask Rate]]=0,0,Table1[[#This Row],[Face Value]]-Table1[[#This Row],[Ask Rate]])</f>
        <v>-170.54999999999995</v>
      </c>
      <c r="AA173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7">
        <f ca="1">Table1[[#This Row],[Face Value]]*Table1[[#This Row],[Rate]]*Table1[[#This Row],[Time]]</f>
        <v>0</v>
      </c>
      <c r="AC1737">
        <f ca="1">Table1[[#This Row],[SI]]+Table1[[#This Row],[Disc/Prem]]</f>
        <v>-170.54999999999995</v>
      </c>
      <c r="AD1737" s="3">
        <f ca="1">Table1[[#This Row],[Net Gain]]/Table1[[#This Row],[Ask Rate]]</f>
        <v>-0.14570073896886077</v>
      </c>
      <c r="AE1737" s="3">
        <f ca="1">IF(Table1[[#This Row],[Ask Qty]]=0,0,Table1[[#This Row],[Gross Yield]]*365/Table1[[#This Row],[Days Left]])</f>
        <v>-0.5318076972363418</v>
      </c>
      <c r="AF1737" s="9">
        <f ca="1">+Table1[[#This Row],[Net Gain]]*Table1[[#This Row],[Ask Qty]]</f>
        <v>-1705.4999999999995</v>
      </c>
      <c r="AG1737" t="str">
        <f ca="1">IF(Table1[[#This Row],[YTM]]&gt;0.12,IF(Table1[[#This Row],[Gross Profit]]&gt;10000,"Invest","Review"),"Low YTM")</f>
        <v>Low YTM</v>
      </c>
    </row>
    <row r="1738" spans="1:33" x14ac:dyDescent="0.3">
      <c r="A1738" t="str">
        <f>RTD("nest.scriprtd",,"bse_cm|KFLZC25A","Symbol")</f>
        <v>KFLZC25A</v>
      </c>
      <c r="B1738" t="str">
        <f>RTD("nest.scriprtd",,"bse_cm|KFLZC25A","Trading Symbol")</f>
        <v>KFLZC25A</v>
      </c>
      <c r="C1738" t="str">
        <f>RTD("nest.scriprtd",,"bse_cm|KFLZC25A","Exchange")</f>
        <v>BSE</v>
      </c>
      <c r="D1738">
        <f>RTD("nest.scriprtd",,"bse_cm|KFLZC25A","Bid Qty")</f>
        <v>54</v>
      </c>
      <c r="E1738">
        <f>RTD("nest.scriprtd",,"bse_cm|KFLZC25A","Bid Rate")</f>
        <v>1655.46</v>
      </c>
      <c r="F1738">
        <f>RTD("nest.scriprtd",,"bse_cm|KFLZC25A","Ask Rate")</f>
        <v>1855.49</v>
      </c>
      <c r="G1738">
        <f>RTD("nest.scriprtd",,"bse_cm|KFLZC25A","Ask Qty")</f>
        <v>25</v>
      </c>
      <c r="H1738">
        <f>RTD("nest.scriprtd",,"bse_cm|KFLZC25A","LTP")</f>
        <v>0</v>
      </c>
      <c r="I1738" t="str">
        <f>RTD("nest.scriprtd",,"bse_cm|KFLZC25A","LTT")</f>
        <v>00:00:00</v>
      </c>
      <c r="J1738">
        <f>RTD("nest.scriprtd",,"bse_cm|KFLZC25A","% Change")</f>
        <v>-100</v>
      </c>
      <c r="K1738">
        <f>RTD("nest.scriprtd",,"bse_cm|KFLZC25A","ATP")</f>
        <v>0</v>
      </c>
      <c r="L1738">
        <f>RTD("nest.scriprtd",,"bse_cm|KFLZC25A","Volume Traded Today")</f>
        <v>0</v>
      </c>
      <c r="M1738">
        <f>RTD("nest.scriprtd",,"bse_cm|KFLZC25A","Open")</f>
        <v>0</v>
      </c>
      <c r="N1738">
        <f>RTD("nest.scriprtd",,"bse_cm|KFLZC25A","High")</f>
        <v>1655.45</v>
      </c>
      <c r="O1738">
        <f>RTD("nest.scriprtd",,"bse_cm|KFLZC25A","Low ")</f>
        <v>1655.45</v>
      </c>
      <c r="P1738">
        <f>RTD("nest.scriprtd",,"bse_cm|KFLZC25A","Prev Close")</f>
        <v>1655.45</v>
      </c>
      <c r="Q1738">
        <f>RTD("nest.scriprtd",,"bse_cm|KFLZC25A","Face Value")</f>
        <v>1000</v>
      </c>
      <c r="R1738" t="str">
        <f>RTD("nest.scriprtd",,"bse_cm|KFLZC25A","Isin code")</f>
        <v>INE403Q07912</v>
      </c>
      <c r="S1738" s="9">
        <f>Table1[[#This Row],[Ask Rate]]*Table1[[#This Row],[Ask Qty]]</f>
        <v>46387.25</v>
      </c>
      <c r="T1738" t="str">
        <f>VLOOKUP(Table1[[#This Row],[Isin code]],Table2[#All],7,FALSE)</f>
        <v>--</v>
      </c>
      <c r="U1738" s="17" t="str">
        <f>VLOOKUP(Table1[[#This Row],[Isin code]],Table2[#All],8,FALSE)</f>
        <v>22-Aug-2025</v>
      </c>
      <c r="V1738" s="10">
        <f ca="1">Table1[[#This Row],[Maturity]]-TODAY()</f>
        <v>310</v>
      </c>
      <c r="W1738" t="str">
        <f>VLOOKUP(Table1[[#This Row],[Isin code]],Table2[#All],10,FALSE)</f>
        <v>At the End</v>
      </c>
      <c r="X1738">
        <f ca="1">_xlfn.DAYS(Table1[[#This Row],[Maturity]],TODAY())-15</f>
        <v>295</v>
      </c>
      <c r="Y173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38">
        <f>IF(Table1[[#This Row],[Ask Rate]]=0,0,Table1[[#This Row],[Face Value]]-Table1[[#This Row],[Ask Rate]])</f>
        <v>-855.49</v>
      </c>
      <c r="AA173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8">
        <f>Table1[[#This Row],[Face Value]]*Table1[[#This Row],[Rate]]*Table1[[#This Row],[Time]]</f>
        <v>0</v>
      </c>
      <c r="AC1738">
        <f>Table1[[#This Row],[SI]]+Table1[[#This Row],[Disc/Prem]]</f>
        <v>-855.49</v>
      </c>
      <c r="AD1738" s="3">
        <f>Table1[[#This Row],[Net Gain]]/Table1[[#This Row],[Ask Rate]]</f>
        <v>-0.4610588038739093</v>
      </c>
      <c r="AE1738" s="3">
        <f ca="1">IF(Table1[[#This Row],[Ask Qty]]=0,0,Table1[[#This Row],[Gross Yield]]*365/Table1[[#This Row],[Days Left]])</f>
        <v>-0.54285955939992547</v>
      </c>
      <c r="AF1738" s="9">
        <f>+Table1[[#This Row],[Net Gain]]*Table1[[#This Row],[Ask Qty]]</f>
        <v>-21387.25</v>
      </c>
      <c r="AG1738" t="str">
        <f ca="1">IF(Table1[[#This Row],[YTM]]&gt;0.12,IF(Table1[[#This Row],[Gross Profit]]&gt;10000,"Invest","Review"),"Low YTM")</f>
        <v>Low YTM</v>
      </c>
    </row>
    <row r="1739" spans="1:33" x14ac:dyDescent="0.3">
      <c r="A1739" t="str">
        <f>RTD("nest.scriprtd",,"bse_cm|KFLZC25B","Symbol")</f>
        <v>KFLZC25B</v>
      </c>
      <c r="B1739" t="str">
        <f>RTD("nest.scriprtd",,"bse_cm|KFLZC25B","Trading Symbol")</f>
        <v>KFLZC25B</v>
      </c>
      <c r="C1739" t="str">
        <f>RTD("nest.scriprtd",,"bse_cm|KFLZC25B","Exchange")</f>
        <v>BSE</v>
      </c>
      <c r="D1739">
        <f>RTD("nest.scriprtd",,"bse_cm|KFLZC25B","Bid Qty")</f>
        <v>25</v>
      </c>
      <c r="E1739">
        <f>RTD("nest.scriprtd",,"bse_cm|KFLZC25B","Bid Rate")</f>
        <v>1685.51</v>
      </c>
      <c r="F1739">
        <f>RTD("nest.scriprtd",,"bse_cm|KFLZC25B","Ask Rate")</f>
        <v>2086</v>
      </c>
      <c r="G1739">
        <f>RTD("nest.scriprtd",,"bse_cm|KFLZC25B","Ask Qty")</f>
        <v>14</v>
      </c>
      <c r="H1739">
        <f>RTD("nest.scriprtd",,"bse_cm|KFLZC25B","LTP")</f>
        <v>0</v>
      </c>
      <c r="I1739" t="str">
        <f>RTD("nest.scriprtd",,"bse_cm|KFLZC25B","LTT")</f>
        <v>00:00:00</v>
      </c>
      <c r="J1739">
        <f>RTD("nest.scriprtd",,"bse_cm|KFLZC25B","% Change")</f>
        <v>-100</v>
      </c>
      <c r="K1739">
        <f>RTD("nest.scriprtd",,"bse_cm|KFLZC25B","ATP")</f>
        <v>0</v>
      </c>
      <c r="L1739">
        <f>RTD("nest.scriprtd",,"bse_cm|KFLZC25B","Volume Traded Today")</f>
        <v>0</v>
      </c>
      <c r="M1739">
        <f>RTD("nest.scriprtd",,"bse_cm|KFLZC25B","Open")</f>
        <v>0</v>
      </c>
      <c r="N1739">
        <f>RTD("nest.scriprtd",,"bse_cm|KFLZC25B","High")</f>
        <v>1762.11</v>
      </c>
      <c r="O1739">
        <f>RTD("nest.scriprtd",,"bse_cm|KFLZC25B","Low ")</f>
        <v>1696.5</v>
      </c>
      <c r="P1739">
        <f>RTD("nest.scriprtd",,"bse_cm|KFLZC25B","Prev Close")</f>
        <v>1762.11</v>
      </c>
      <c r="Q1739">
        <f>RTD("nest.scriprtd",,"bse_cm|KFLZC25B","Face Value")</f>
        <v>1000</v>
      </c>
      <c r="R1739" t="str">
        <f>RTD("nest.scriprtd",,"bse_cm|KFLZC25B","Isin code")</f>
        <v>INE403Q08126</v>
      </c>
      <c r="S1739" s="9">
        <f>Table1[[#This Row],[Ask Rate]]*Table1[[#This Row],[Ask Qty]]</f>
        <v>29204</v>
      </c>
      <c r="T1739" t="str">
        <f>VLOOKUP(Table1[[#This Row],[Isin code]],Table2[#All],7,FALSE)</f>
        <v>--</v>
      </c>
      <c r="U1739" s="17" t="str">
        <f>VLOOKUP(Table1[[#This Row],[Isin code]],Table2[#All],8,FALSE)</f>
        <v>23-Sep-2025</v>
      </c>
      <c r="V1739" s="10">
        <f ca="1">Table1[[#This Row],[Maturity]]-TODAY()</f>
        <v>342</v>
      </c>
      <c r="W1739" t="str">
        <f>VLOOKUP(Table1[[#This Row],[Isin code]],Table2[#All],10,FALSE)</f>
        <v>At the End</v>
      </c>
      <c r="X1739">
        <f ca="1">_xlfn.DAYS(Table1[[#This Row],[Maturity]],TODAY())-15</f>
        <v>327</v>
      </c>
      <c r="Y173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39">
        <f>IF(Table1[[#This Row],[Ask Rate]]=0,0,Table1[[#This Row],[Face Value]]-Table1[[#This Row],[Ask Rate]])</f>
        <v>-1086</v>
      </c>
      <c r="AA173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39">
        <f>Table1[[#This Row],[Face Value]]*Table1[[#This Row],[Rate]]*Table1[[#This Row],[Time]]</f>
        <v>0</v>
      </c>
      <c r="AC1739">
        <f>Table1[[#This Row],[SI]]+Table1[[#This Row],[Disc/Prem]]</f>
        <v>-1086</v>
      </c>
      <c r="AD1739" s="3">
        <f>Table1[[#This Row],[Net Gain]]/Table1[[#This Row],[Ask Rate]]</f>
        <v>-0.5206136145733461</v>
      </c>
      <c r="AE1739" s="3">
        <f ca="1">IF(Table1[[#This Row],[Ask Qty]]=0,0,Table1[[#This Row],[Gross Yield]]*365/Table1[[#This Row],[Days Left]])</f>
        <v>-0.55562564128441905</v>
      </c>
      <c r="AF1739" s="9">
        <f>+Table1[[#This Row],[Net Gain]]*Table1[[#This Row],[Ask Qty]]</f>
        <v>-15204</v>
      </c>
      <c r="AG1739" t="str">
        <f ca="1">IF(Table1[[#This Row],[YTM]]&gt;0.12,IF(Table1[[#This Row],[Gross Profit]]&gt;10000,"Invest","Review"),"Low YTM")</f>
        <v>Low YTM</v>
      </c>
    </row>
    <row r="1740" spans="1:33" hidden="1" x14ac:dyDescent="0.3">
      <c r="A1740" t="str">
        <f>RTD("nest.scriprtd",,"bse_cm|MML24","Symbol")</f>
        <v>MML24</v>
      </c>
      <c r="B1740" t="str">
        <f>RTD("nest.scriprtd",,"bse_cm|MML24","Trading Symbol")</f>
        <v>MML24</v>
      </c>
      <c r="C1740" t="str">
        <f>RTD("nest.scriprtd",,"bse_cm|MML24","Exchange")</f>
        <v>BSE</v>
      </c>
      <c r="D1740">
        <f>RTD("nest.scriprtd",,"bse_cm|MML24","Bid Qty")</f>
        <v>100</v>
      </c>
      <c r="E1740">
        <f>RTD("nest.scriprtd",,"bse_cm|MML24","Bid Rate")</f>
        <v>1010.15</v>
      </c>
      <c r="F1740">
        <f>RTD("nest.scriprtd",,"bse_cm|MML24","Ask Rate")</f>
        <v>1110.2</v>
      </c>
      <c r="G1740">
        <f>RTD("nest.scriprtd",,"bse_cm|MML24","Ask Qty")</f>
        <v>51</v>
      </c>
      <c r="H1740">
        <f>RTD("nest.scriprtd",,"bse_cm|MML24","LTP")</f>
        <v>0</v>
      </c>
      <c r="I1740" t="str">
        <f>RTD("nest.scriprtd",,"bse_cm|MML24","LTT")</f>
        <v>00:00:00</v>
      </c>
      <c r="J1740">
        <f>RTD("nest.scriprtd",,"bse_cm|MML24","% Change")</f>
        <v>-100</v>
      </c>
      <c r="K1740">
        <f>RTD("nest.scriprtd",,"bse_cm|MML24","ATP")</f>
        <v>0</v>
      </c>
      <c r="L1740">
        <f>RTD("nest.scriprtd",,"bse_cm|MML24","Volume Traded Today")</f>
        <v>0</v>
      </c>
      <c r="M1740">
        <f>RTD("nest.scriprtd",,"bse_cm|MML24","Open")</f>
        <v>0</v>
      </c>
      <c r="N1740">
        <f>RTD("nest.scriprtd",,"bse_cm|MML24","High")</f>
        <v>1070.73</v>
      </c>
      <c r="O1740">
        <f>RTD("nest.scriprtd",,"bse_cm|MML24","Low ")</f>
        <v>1067.6099999999999</v>
      </c>
      <c r="P1740">
        <f>RTD("nest.scriprtd",,"bse_cm|MML24","Prev Close")</f>
        <v>1067.6099999999999</v>
      </c>
      <c r="Q1740">
        <f>RTD("nest.scriprtd",,"bse_cm|MML24","Face Value")</f>
        <v>1000</v>
      </c>
      <c r="R1740" t="str">
        <f>RTD("nest.scriprtd",,"bse_cm|MML24","Isin code")</f>
        <v>INE05F407BA8</v>
      </c>
      <c r="S1740" s="9">
        <f>Table1[[#This Row],[Ask Rate]]*Table1[[#This Row],[Ask Qty]]</f>
        <v>56620.200000000004</v>
      </c>
      <c r="T1740" t="str">
        <f>VLOOKUP(Table1[[#This Row],[Isin code]],Table2[#All],7,FALSE)</f>
        <v>--</v>
      </c>
      <c r="U1740" s="17" t="str">
        <f>VLOOKUP(Table1[[#This Row],[Isin code]],Table2[#All],8,FALSE)</f>
        <v>20-Dec-2024</v>
      </c>
      <c r="V1740" s="10">
        <f ca="1">Table1[[#This Row],[Maturity]]-TODAY()</f>
        <v>65</v>
      </c>
      <c r="W1740" t="str">
        <f>VLOOKUP(Table1[[#This Row],[Isin code]],Table2[#All],10,FALSE)</f>
        <v>At the End</v>
      </c>
      <c r="X1740">
        <f ca="1">_xlfn.DAYS(Table1[[#This Row],[Maturity]],TODAY())-15</f>
        <v>50</v>
      </c>
      <c r="Y174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40">
        <f>IF(Table1[[#This Row],[Ask Rate]]=0,0,Table1[[#This Row],[Face Value]]-Table1[[#This Row],[Ask Rate]])</f>
        <v>-110.20000000000005</v>
      </c>
      <c r="AA174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0">
        <f>Table1[[#This Row],[Face Value]]*Table1[[#This Row],[Rate]]*Table1[[#This Row],[Time]]</f>
        <v>0</v>
      </c>
      <c r="AC1740">
        <f>Table1[[#This Row],[SI]]+Table1[[#This Row],[Disc/Prem]]</f>
        <v>-110.20000000000005</v>
      </c>
      <c r="AD1740" s="3">
        <f>Table1[[#This Row],[Net Gain]]/Table1[[#This Row],[Ask Rate]]</f>
        <v>-9.9261394343361592E-2</v>
      </c>
      <c r="AE1740" s="3">
        <f ca="1">IF(Table1[[#This Row],[Ask Qty]]=0,0,Table1[[#This Row],[Gross Yield]]*365/Table1[[#This Row],[Days Left]])</f>
        <v>-0.55739090669733826</v>
      </c>
      <c r="AF1740" s="9">
        <f>+Table1[[#This Row],[Net Gain]]*Table1[[#This Row],[Ask Qty]]</f>
        <v>-5620.2000000000025</v>
      </c>
      <c r="AG1740" t="str">
        <f ca="1">IF(Table1[[#This Row],[YTM]]&gt;0.12,IF(Table1[[#This Row],[Gross Profit]]&gt;10000,"Invest","Review"),"Low YTM")</f>
        <v>Low YTM</v>
      </c>
    </row>
    <row r="1741" spans="1:33" hidden="1" x14ac:dyDescent="0.3">
      <c r="A1741" t="str">
        <f>RTD("nest.scriprtd",,"bse_cm|EFSLZC25","Symbol")</f>
        <v>EFSLZC25</v>
      </c>
      <c r="B1741" t="str">
        <f>RTD("nest.scriprtd",,"bse_cm|EFSLZC25","Trading Symbol")</f>
        <v>EFSLZC25</v>
      </c>
      <c r="C1741" t="str">
        <f>RTD("nest.scriprtd",,"bse_cm|EFSLZC25","Exchange")</f>
        <v>BSE</v>
      </c>
      <c r="D1741">
        <f>RTD("nest.scriprtd",,"bse_cm|EFSLZC25","Bid Qty")</f>
        <v>180</v>
      </c>
      <c r="E1741">
        <f>RTD("nest.scriprtd",,"bse_cm|EFSLZC25","Bid Rate")</f>
        <v>1134.2</v>
      </c>
      <c r="F1741">
        <f>RTD("nest.scriprtd",,"bse_cm|EFSLZC25","Ask Rate")</f>
        <v>1180.55</v>
      </c>
      <c r="G1741">
        <f>RTD("nest.scriprtd",,"bse_cm|EFSLZC25","Ask Qty")</f>
        <v>15</v>
      </c>
      <c r="H1741">
        <f>RTD("nest.scriprtd",,"bse_cm|EFSLZC25","LTP")</f>
        <v>0</v>
      </c>
      <c r="I1741" t="str">
        <f>RTD("nest.scriprtd",,"bse_cm|EFSLZC25","LTT")</f>
        <v>00:00:00</v>
      </c>
      <c r="J1741">
        <f>RTD("nest.scriprtd",,"bse_cm|EFSLZC25","% Change")</f>
        <v>-100</v>
      </c>
      <c r="K1741">
        <f>RTD("nest.scriprtd",,"bse_cm|EFSLZC25","ATP")</f>
        <v>0</v>
      </c>
      <c r="L1741">
        <f>RTD("nest.scriprtd",,"bse_cm|EFSLZC25","Volume Traded Today")</f>
        <v>0</v>
      </c>
      <c r="M1741">
        <f>RTD("nest.scriprtd",,"bse_cm|EFSLZC25","Open")</f>
        <v>0</v>
      </c>
      <c r="N1741">
        <f>RTD("nest.scriprtd",,"bse_cm|EFSLZC25","High")</f>
        <v>1145</v>
      </c>
      <c r="O1741">
        <f>RTD("nest.scriprtd",,"bse_cm|EFSLZC25","Low ")</f>
        <v>1145</v>
      </c>
      <c r="P1741">
        <f>RTD("nest.scriprtd",,"bse_cm|EFSLZC25","Prev Close")</f>
        <v>1145</v>
      </c>
      <c r="Q1741">
        <f>RTD("nest.scriprtd",,"bse_cm|EFSLZC25","Face Value")</f>
        <v>1000</v>
      </c>
      <c r="R1741" t="str">
        <f>RTD("nest.scriprtd",,"bse_cm|EFSLZC25","Isin code")</f>
        <v>INE532F07DO5</v>
      </c>
      <c r="S1741" s="9">
        <f>Table1[[#This Row],[Ask Rate]]*Table1[[#This Row],[Ask Qty]]</f>
        <v>17708.25</v>
      </c>
      <c r="T1741" t="str">
        <f>VLOOKUP(Table1[[#This Row],[Isin code]],Table2[#All],7,FALSE)</f>
        <v>--</v>
      </c>
      <c r="U1741" s="17" t="str">
        <f>VLOOKUP(Table1[[#This Row],[Isin code]],Table2[#All],8,FALSE)</f>
        <v>20-Jan-2025</v>
      </c>
      <c r="V1741" s="10">
        <f ca="1">Table1[[#This Row],[Maturity]]-TODAY()</f>
        <v>96</v>
      </c>
      <c r="W1741" t="str">
        <f>VLOOKUP(Table1[[#This Row],[Isin code]],Table2[#All],10,FALSE)</f>
        <v>At the End</v>
      </c>
      <c r="X1741">
        <f ca="1">_xlfn.DAYS(Table1[[#This Row],[Maturity]],TODAY())-15</f>
        <v>81</v>
      </c>
      <c r="Y174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41">
        <f>IF(Table1[[#This Row],[Ask Rate]]=0,0,Table1[[#This Row],[Face Value]]-Table1[[#This Row],[Ask Rate]])</f>
        <v>-180.54999999999995</v>
      </c>
      <c r="AA174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1">
        <f>Table1[[#This Row],[Face Value]]*Table1[[#This Row],[Rate]]*Table1[[#This Row],[Time]]</f>
        <v>0</v>
      </c>
      <c r="AC1741">
        <f>Table1[[#This Row],[SI]]+Table1[[#This Row],[Disc/Prem]]</f>
        <v>-180.54999999999995</v>
      </c>
      <c r="AD1741" s="3">
        <f>Table1[[#This Row],[Net Gain]]/Table1[[#This Row],[Ask Rate]]</f>
        <v>-0.15293719029266017</v>
      </c>
      <c r="AE1741" s="3">
        <f ca="1">IF(Table1[[#This Row],[Ask Qty]]=0,0,Table1[[#This Row],[Gross Yield]]*365/Table1[[#This Row],[Days Left]])</f>
        <v>-0.58147994225855171</v>
      </c>
      <c r="AF1741" s="9">
        <f>+Table1[[#This Row],[Net Gain]]*Table1[[#This Row],[Ask Qty]]</f>
        <v>-2708.2499999999991</v>
      </c>
      <c r="AG1741" t="str">
        <f ca="1">IF(Table1[[#This Row],[YTM]]&gt;0.12,IF(Table1[[#This Row],[Gross Profit]]&gt;10000,"Invest","Review"),"Low YTM")</f>
        <v>Low YTM</v>
      </c>
    </row>
    <row r="1742" spans="1:33" x14ac:dyDescent="0.3">
      <c r="A1742" t="str">
        <f>RTD("nest.scriprtd",,"nse_cm|IIFLZC25-ND","Symbol")</f>
        <v>IIFLZC25</v>
      </c>
      <c r="B1742" t="str">
        <f>RTD("nest.scriprtd",,"nse_cm|IIFLZC25-ND","Trading Symbol")</f>
        <v>IIFLZC25-ND</v>
      </c>
      <c r="C1742" t="str">
        <f>RTD("nest.scriprtd",,"nse_cm|IIFLZC25-ND","Exchange")</f>
        <v>NSE</v>
      </c>
      <c r="D1742">
        <f>RTD("nest.scriprtd",,"nse_cm|IIFLZC25-ND","Bid Qty")</f>
        <v>10</v>
      </c>
      <c r="E1742">
        <f>RTD("nest.scriprtd",,"nse_cm|IIFLZC25-ND","Bid Rate")</f>
        <v>1640</v>
      </c>
      <c r="F1742">
        <f>RTD("nest.scriprtd",,"nse_cm|IIFLZC25-ND","Ask Rate")</f>
        <v>1650</v>
      </c>
      <c r="G1742">
        <f>RTD("nest.scriprtd",,"nse_cm|IIFLZC25-ND","Ask Qty")</f>
        <v>45</v>
      </c>
      <c r="H1742">
        <f>RTD("nest.scriprtd",,"nse_cm|IIFLZC25-ND","LTP")</f>
        <v>1601</v>
      </c>
      <c r="I1742" t="str">
        <f>RTD("nest.scriprtd",,"nse_cm|IIFLZC25-ND","LTT")</f>
        <v/>
      </c>
      <c r="J1742">
        <f>RTD("nest.scriprtd",,"nse_cm|IIFLZC25-ND","% Change")</f>
        <v>-1.17</v>
      </c>
      <c r="K1742">
        <f>RTD("nest.scriprtd",,"nse_cm|IIFLZC25-ND","ATP")</f>
        <v>0</v>
      </c>
      <c r="L1742">
        <f>RTD("nest.scriprtd",,"nse_cm|IIFLZC25-ND","Volume Traded Today")</f>
        <v>0</v>
      </c>
      <c r="M1742">
        <f>RTD("nest.scriprtd",,"nse_cm|IIFLZC25-ND","Open")</f>
        <v>0</v>
      </c>
      <c r="N1742">
        <f>RTD("nest.scriprtd",,"nse_cm|IIFLZC25-ND","High")</f>
        <v>1650</v>
      </c>
      <c r="O1742">
        <f>RTD("nest.scriprtd",,"nse_cm|IIFLZC25-ND","Low ")</f>
        <v>1601</v>
      </c>
      <c r="P1742">
        <f>RTD("nest.scriprtd",,"nse_cm|IIFLZC25-ND","Prev Close")</f>
        <v>1620</v>
      </c>
      <c r="Q1742">
        <f>RTD("nest.scriprtd",,"nse_cm|IIFLZC25-ND","Face Value")</f>
        <v>1000</v>
      </c>
      <c r="R1742" t="str">
        <f>RTD("nest.scriprtd",,"nse_cm|IIFLZC25-ND","Isin code")</f>
        <v>INE866I08311</v>
      </c>
      <c r="S1742" s="9">
        <f>Table1[[#This Row],[Ask Rate]]*Table1[[#This Row],[Ask Qty]]</f>
        <v>74250</v>
      </c>
      <c r="T1742">
        <f>VLOOKUP(Table1[[#This Row],[Isin code]],Table2[#All],7,FALSE)</f>
        <v>0</v>
      </c>
      <c r="U1742" s="17">
        <f>VLOOKUP(Table1[[#This Row],[Isin code]],Table2[#All],8,FALSE)</f>
        <v>45814</v>
      </c>
      <c r="V1742" s="10">
        <f ca="1">Table1[[#This Row],[Maturity]]-TODAY()</f>
        <v>233</v>
      </c>
      <c r="W1742" t="str">
        <f>VLOOKUP(Table1[[#This Row],[Isin code]],Table2[#All],10,FALSE)</f>
        <v>At the End</v>
      </c>
      <c r="X1742">
        <f ca="1">_xlfn.DAYS(Table1[[#This Row],[Maturity]],TODAY())-15</f>
        <v>218</v>
      </c>
      <c r="Y174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42">
        <f>IF(Table1[[#This Row],[Ask Rate]]=0,0,Table1[[#This Row],[Face Value]]-Table1[[#This Row],[Ask Rate]])</f>
        <v>-650</v>
      </c>
      <c r="AA174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2">
        <f>Table1[[#This Row],[Face Value]]*Table1[[#This Row],[Rate]]*Table1[[#This Row],[Time]]</f>
        <v>0</v>
      </c>
      <c r="AC1742">
        <f>Table1[[#This Row],[SI]]+Table1[[#This Row],[Disc/Prem]]</f>
        <v>-650</v>
      </c>
      <c r="AD1742" s="3">
        <f>Table1[[#This Row],[Net Gain]]/Table1[[#This Row],[Ask Rate]]</f>
        <v>-0.39393939393939392</v>
      </c>
      <c r="AE1742" s="3">
        <f ca="1">IF(Table1[[#This Row],[Ask Qty]]=0,0,Table1[[#This Row],[Gross Yield]]*365/Table1[[#This Row],[Days Left]])</f>
        <v>-0.61711535960462993</v>
      </c>
      <c r="AF1742" s="9">
        <f>+Table1[[#This Row],[Net Gain]]*Table1[[#This Row],[Ask Qty]]</f>
        <v>-29250</v>
      </c>
      <c r="AG1742" t="str">
        <f ca="1">IF(Table1[[#This Row],[YTM]]&gt;0.12,IF(Table1[[#This Row],[Gross Profit]]&gt;10000,"Invest","Review"),"Low YTM")</f>
        <v>Low YTM</v>
      </c>
    </row>
    <row r="1743" spans="1:33" x14ac:dyDescent="0.3">
      <c r="A1743" t="str">
        <f>RTD("nest.scriprtd",,"bse_cm|IIFLZC25","Symbol")</f>
        <v>IIFLZC25</v>
      </c>
      <c r="B1743" t="str">
        <f>RTD("nest.scriprtd",,"bse_cm|IIFLZC25","Trading Symbol")</f>
        <v>IIFLZC25</v>
      </c>
      <c r="C1743" t="str">
        <f>RTD("nest.scriprtd",,"bse_cm|IIFLZC25","Exchange")</f>
        <v>BSE</v>
      </c>
      <c r="D1743">
        <f>RTD("nest.scriprtd",,"bse_cm|IIFLZC25","Bid Qty")</f>
        <v>50</v>
      </c>
      <c r="E1743">
        <f>RTD("nest.scriprtd",,"bse_cm|IIFLZC25","Bid Rate")</f>
        <v>1513.4</v>
      </c>
      <c r="F1743">
        <f>RTD("nest.scriprtd",,"bse_cm|IIFLZC25","Ask Rate")</f>
        <v>1712.5</v>
      </c>
      <c r="G1743">
        <f>RTD("nest.scriprtd",,"bse_cm|IIFLZC25","Ask Qty")</f>
        <v>72</v>
      </c>
      <c r="H1743">
        <f>RTD("nest.scriprtd",,"bse_cm|IIFLZC25","LTP")</f>
        <v>0</v>
      </c>
      <c r="I1743" t="str">
        <f>RTD("nest.scriprtd",,"bse_cm|IIFLZC25","LTT")</f>
        <v>00:00:00</v>
      </c>
      <c r="J1743">
        <f>RTD("nest.scriprtd",,"bse_cm|IIFLZC25","% Change")</f>
        <v>-100</v>
      </c>
      <c r="K1743">
        <f>RTD("nest.scriprtd",,"bse_cm|IIFLZC25","ATP")</f>
        <v>0</v>
      </c>
      <c r="L1743">
        <f>RTD("nest.scriprtd",,"bse_cm|IIFLZC25","Volume Traded Today")</f>
        <v>0</v>
      </c>
      <c r="M1743">
        <f>RTD("nest.scriprtd",,"bse_cm|IIFLZC25","Open")</f>
        <v>0</v>
      </c>
      <c r="N1743">
        <f>RTD("nest.scriprtd",,"bse_cm|IIFLZC25","High")</f>
        <v>1640</v>
      </c>
      <c r="O1743">
        <f>RTD("nest.scriprtd",,"bse_cm|IIFLZC25","Low ")</f>
        <v>1640</v>
      </c>
      <c r="P1743">
        <f>RTD("nest.scriprtd",,"bse_cm|IIFLZC25","Prev Close")</f>
        <v>1640</v>
      </c>
      <c r="Q1743">
        <f>RTD("nest.scriprtd",,"bse_cm|IIFLZC25","Face Value")</f>
        <v>1000</v>
      </c>
      <c r="R1743" t="str">
        <f>RTD("nest.scriprtd",,"bse_cm|IIFLZC25","Isin code")</f>
        <v>INE866I08311</v>
      </c>
      <c r="S1743" s="9">
        <f>Table1[[#This Row],[Ask Rate]]*Table1[[#This Row],[Ask Qty]]</f>
        <v>123300</v>
      </c>
      <c r="T1743">
        <f>VLOOKUP(Table1[[#This Row],[Isin code]],Table2[#All],7,FALSE)</f>
        <v>0</v>
      </c>
      <c r="U1743" s="17">
        <f>VLOOKUP(Table1[[#This Row],[Isin code]],Table2[#All],8,FALSE)</f>
        <v>45814</v>
      </c>
      <c r="V1743" s="10">
        <f ca="1">Table1[[#This Row],[Maturity]]-TODAY()</f>
        <v>233</v>
      </c>
      <c r="W1743" t="str">
        <f>VLOOKUP(Table1[[#This Row],[Isin code]],Table2[#All],10,FALSE)</f>
        <v>At the End</v>
      </c>
      <c r="X1743">
        <f ca="1">_xlfn.DAYS(Table1[[#This Row],[Maturity]],TODAY())-15</f>
        <v>218</v>
      </c>
      <c r="Y174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43">
        <f>IF(Table1[[#This Row],[Ask Rate]]=0,0,Table1[[#This Row],[Face Value]]-Table1[[#This Row],[Ask Rate]])</f>
        <v>-712.5</v>
      </c>
      <c r="AA174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3">
        <f>Table1[[#This Row],[Face Value]]*Table1[[#This Row],[Rate]]*Table1[[#This Row],[Time]]</f>
        <v>0</v>
      </c>
      <c r="AC1743">
        <f>Table1[[#This Row],[SI]]+Table1[[#This Row],[Disc/Prem]]</f>
        <v>-712.5</v>
      </c>
      <c r="AD1743" s="3">
        <f>Table1[[#This Row],[Net Gain]]/Table1[[#This Row],[Ask Rate]]</f>
        <v>-0.41605839416058393</v>
      </c>
      <c r="AE1743" s="3">
        <f ca="1">IF(Table1[[#This Row],[Ask Qty]]=0,0,Table1[[#This Row],[Gross Yield]]*365/Table1[[#This Row],[Days Left]])</f>
        <v>-0.65176529557344698</v>
      </c>
      <c r="AF1743" s="9">
        <f>+Table1[[#This Row],[Net Gain]]*Table1[[#This Row],[Ask Qty]]</f>
        <v>-51300</v>
      </c>
      <c r="AG1743" t="str">
        <f ca="1">IF(Table1[[#This Row],[YTM]]&gt;0.12,IF(Table1[[#This Row],[Gross Profit]]&gt;10000,"Invest","Review"),"Low YTM")</f>
        <v>Low YTM</v>
      </c>
    </row>
    <row r="1744" spans="1:33" x14ac:dyDescent="0.3">
      <c r="A1744" t="str">
        <f>RTD("nest.scriprtd",,"bse_cm|KFLZC26C","Symbol")</f>
        <v>KFLZC26C</v>
      </c>
      <c r="B1744" t="str">
        <f>RTD("nest.scriprtd",,"bse_cm|KFLZC26C","Trading Symbol")</f>
        <v>KFLZC26C</v>
      </c>
      <c r="C1744" t="str">
        <f>RTD("nest.scriprtd",,"bse_cm|KFLZC26C","Exchange")</f>
        <v>BSE</v>
      </c>
      <c r="D1744">
        <f>RTD("nest.scriprtd",,"bse_cm|KFLZC26C","Bid Qty")</f>
        <v>50</v>
      </c>
      <c r="E1744">
        <f>RTD("nest.scriprtd",,"bse_cm|KFLZC26C","Bid Rate")</f>
        <v>1275.8599999999999</v>
      </c>
      <c r="F1744">
        <f>RTD("nest.scriprtd",,"bse_cm|KFLZC26C","Ask Rate")</f>
        <v>1577</v>
      </c>
      <c r="G1744">
        <f>RTD("nest.scriprtd",,"bse_cm|KFLZC26C","Ask Qty")</f>
        <v>50</v>
      </c>
      <c r="H1744">
        <f>RTD("nest.scriprtd",,"bse_cm|KFLZC26C","LTP")</f>
        <v>0</v>
      </c>
      <c r="I1744" t="str">
        <f>RTD("nest.scriprtd",,"bse_cm|KFLZC26C","LTT")</f>
        <v>00:00:00</v>
      </c>
      <c r="J1744">
        <f>RTD("nest.scriprtd",,"bse_cm|KFLZC26C","% Change")</f>
        <v>-100</v>
      </c>
      <c r="K1744">
        <f>RTD("nest.scriprtd",,"bse_cm|KFLZC26C","ATP")</f>
        <v>0</v>
      </c>
      <c r="L1744">
        <f>RTD("nest.scriprtd",,"bse_cm|KFLZC26C","Volume Traded Today")</f>
        <v>0</v>
      </c>
      <c r="M1744">
        <f>RTD("nest.scriprtd",,"bse_cm|KFLZC26C","Open")</f>
        <v>0</v>
      </c>
      <c r="N1744">
        <f>RTD("nest.scriprtd",,"bse_cm|KFLZC26C","High")</f>
        <v>1339</v>
      </c>
      <c r="O1744">
        <f>RTD("nest.scriprtd",,"bse_cm|KFLZC26C","Low ")</f>
        <v>1319.2</v>
      </c>
      <c r="P1744">
        <f>RTD("nest.scriprtd",,"bse_cm|KFLZC26C","Prev Close")</f>
        <v>1339</v>
      </c>
      <c r="Q1744">
        <f>RTD("nest.scriprtd",,"bse_cm|KFLZC26C","Face Value")</f>
        <v>1000</v>
      </c>
      <c r="R1744" t="str">
        <f>RTD("nest.scriprtd",,"bse_cm|KFLZC26C","Isin code")</f>
        <v>INE403Q07BZ6</v>
      </c>
      <c r="S1744" s="9">
        <f>Table1[[#This Row],[Ask Rate]]*Table1[[#This Row],[Ask Qty]]</f>
        <v>78850</v>
      </c>
      <c r="T1744" t="str">
        <f>VLOOKUP(Table1[[#This Row],[Isin code]],Table2[#All],7,FALSE)</f>
        <v>--</v>
      </c>
      <c r="U1744" s="17" t="str">
        <f>VLOOKUP(Table1[[#This Row],[Isin code]],Table2[#All],8,FALSE)</f>
        <v>28-Apr-2025</v>
      </c>
      <c r="V1744" s="10">
        <f ca="1">Table1[[#This Row],[Maturity]]-TODAY()</f>
        <v>194</v>
      </c>
      <c r="W1744" t="str">
        <f>VLOOKUP(Table1[[#This Row],[Isin code]],Table2[#All],10,FALSE)</f>
        <v>At the End</v>
      </c>
      <c r="X1744">
        <f ca="1">_xlfn.DAYS(Table1[[#This Row],[Maturity]],TODAY())-15</f>
        <v>179</v>
      </c>
      <c r="Y174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44">
        <f>IF(Table1[[#This Row],[Ask Rate]]=0,0,Table1[[#This Row],[Face Value]]-Table1[[#This Row],[Ask Rate]])</f>
        <v>-577</v>
      </c>
      <c r="AA174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4">
        <f>Table1[[#This Row],[Face Value]]*Table1[[#This Row],[Rate]]*Table1[[#This Row],[Time]]</f>
        <v>0</v>
      </c>
      <c r="AC1744">
        <f>Table1[[#This Row],[SI]]+Table1[[#This Row],[Disc/Prem]]</f>
        <v>-577</v>
      </c>
      <c r="AD1744" s="3">
        <f>Table1[[#This Row],[Net Gain]]/Table1[[#This Row],[Ask Rate]]</f>
        <v>-0.3658845909955612</v>
      </c>
      <c r="AE1744" s="3">
        <f ca="1">IF(Table1[[#This Row],[Ask Qty]]=0,0,Table1[[#This Row],[Gross Yield]]*365/Table1[[#This Row],[Days Left]])</f>
        <v>-0.68839111192463831</v>
      </c>
      <c r="AF1744" s="9">
        <f>+Table1[[#This Row],[Net Gain]]*Table1[[#This Row],[Ask Qty]]</f>
        <v>-28850</v>
      </c>
      <c r="AG1744" t="str">
        <f ca="1">IF(Table1[[#This Row],[YTM]]&gt;0.12,IF(Table1[[#This Row],[Gross Profit]]&gt;10000,"Invest","Review"),"Low YTM")</f>
        <v>Low YTM</v>
      </c>
    </row>
    <row r="1745" spans="1:33" hidden="1" x14ac:dyDescent="0.3">
      <c r="A1745" t="str">
        <f>RTD("nest.scriprtd",,"nse_cm|DLSL25-NW","Symbol")</f>
        <v>DLSL25</v>
      </c>
      <c r="B1745" t="str">
        <f>RTD("nest.scriprtd",,"nse_cm|DLSL25-NW","Trading Symbol")</f>
        <v>DLSL25-NW</v>
      </c>
      <c r="C1745" t="str">
        <f>RTD("nest.scriprtd",,"nse_cm|DLSL25-NW","Exchange")</f>
        <v>NSE</v>
      </c>
      <c r="D1745">
        <f>RTD("nest.scriprtd",,"nse_cm|DLSL25-NW","Bid Qty")</f>
        <v>5</v>
      </c>
      <c r="E1745">
        <f>RTD("nest.scriprtd",,"nse_cm|DLSL25-NW","Bid Rate")</f>
        <v>1281.8499999999999</v>
      </c>
      <c r="F1745">
        <f>RTD("nest.scriprtd",,"nse_cm|DLSL25-NW","Ask Rate")</f>
        <v>1299.3</v>
      </c>
      <c r="G1745">
        <f>RTD("nest.scriprtd",,"nse_cm|DLSL25-NW","Ask Qty")</f>
        <v>10</v>
      </c>
      <c r="H1745">
        <f>RTD("nest.scriprtd",,"nse_cm|DLSL25-NW","LTP")</f>
        <v>1291.83</v>
      </c>
      <c r="I1745" t="str">
        <f>RTD("nest.scriprtd",,"nse_cm|DLSL25-NW","LTT")</f>
        <v/>
      </c>
      <c r="J1745">
        <f>RTD("nest.scriprtd",,"nse_cm|DLSL25-NW","% Change")</f>
        <v>0</v>
      </c>
      <c r="K1745">
        <f>RTD("nest.scriprtd",,"nse_cm|DLSL25-NW","ATP")</f>
        <v>0</v>
      </c>
      <c r="L1745">
        <f>RTD("nest.scriprtd",,"nse_cm|DLSL25-NW","Volume Traded Today")</f>
        <v>0</v>
      </c>
      <c r="M1745">
        <f>RTD("nest.scriprtd",,"nse_cm|DLSL25-NW","Open")</f>
        <v>0</v>
      </c>
      <c r="N1745">
        <f>RTD("nest.scriprtd",,"nse_cm|DLSL25-NW","High")</f>
        <v>1291.83</v>
      </c>
      <c r="O1745">
        <f>RTD("nest.scriprtd",,"nse_cm|DLSL25-NW","Low ")</f>
        <v>1291.83</v>
      </c>
      <c r="P1745">
        <f>RTD("nest.scriprtd",,"nse_cm|DLSL25-NW","Prev Close")</f>
        <v>1291.83</v>
      </c>
      <c r="Q1745">
        <f>RTD("nest.scriprtd",,"nse_cm|DLSL25-NW","Face Value")</f>
        <v>1000</v>
      </c>
      <c r="R1745" t="str">
        <f>RTD("nest.scriprtd",,"nse_cm|DLSL25-NW","Isin code")</f>
        <v>INE614X07373</v>
      </c>
      <c r="S1745" s="9">
        <f>Table1[[#This Row],[Ask Rate]]*Table1[[#This Row],[Ask Qty]]</f>
        <v>12993</v>
      </c>
      <c r="T1745">
        <f>VLOOKUP(Table1[[#This Row],[Isin code]],Table2[#All],7,FALSE)</f>
        <v>0</v>
      </c>
      <c r="U1745" s="17" t="str">
        <f>VLOOKUP(Table1[[#This Row],[Isin code]],Table2[#All],8,FALSE)</f>
        <v>31-Jan-2025</v>
      </c>
      <c r="V1745" s="10">
        <f ca="1">Table1[[#This Row],[Maturity]]-TODAY()</f>
        <v>107</v>
      </c>
      <c r="W1745" t="str">
        <f>VLOOKUP(Table1[[#This Row],[Isin code]],Table2[#All],10,FALSE)</f>
        <v>Yearly</v>
      </c>
      <c r="X1745">
        <f ca="1">_xlfn.DAYS(Table1[[#This Row],[Maturity]],TODAY())-15</f>
        <v>92</v>
      </c>
      <c r="Y1745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745">
        <f>IF(Table1[[#This Row],[Ask Rate]]=0,0,Table1[[#This Row],[Face Value]]-Table1[[#This Row],[Ask Rate]])</f>
        <v>-299.29999999999995</v>
      </c>
      <c r="AA174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5">
        <f ca="1">Table1[[#This Row],[Face Value]]*Table1[[#This Row],[Rate]]*Table1[[#This Row],[Time]]</f>
        <v>0</v>
      </c>
      <c r="AC1745">
        <f ca="1">Table1[[#This Row],[SI]]+Table1[[#This Row],[Disc/Prem]]</f>
        <v>-299.29999999999995</v>
      </c>
      <c r="AD1745" s="3">
        <f ca="1">Table1[[#This Row],[Net Gain]]/Table1[[#This Row],[Ask Rate]]</f>
        <v>-0.23035480643423378</v>
      </c>
      <c r="AE1745" s="3">
        <f ca="1">IF(Table1[[#This Row],[Ask Qty]]=0,0,Table1[[#This Row],[Gross Yield]]*365/Table1[[#This Row],[Days Left]])</f>
        <v>-0.78578976026631153</v>
      </c>
      <c r="AF1745" s="9">
        <f ca="1">+Table1[[#This Row],[Net Gain]]*Table1[[#This Row],[Ask Qty]]</f>
        <v>-2992.9999999999995</v>
      </c>
      <c r="AG1745" t="str">
        <f ca="1">IF(Table1[[#This Row],[YTM]]&gt;0.12,IF(Table1[[#This Row],[Gross Profit]]&gt;10000,"Invest","Review"),"Low YTM")</f>
        <v>Low YTM</v>
      </c>
    </row>
    <row r="1746" spans="1:33" x14ac:dyDescent="0.3">
      <c r="A1746" t="str">
        <f>RTD("nest.scriprtd",,"bse_cm|MVAFZC25","Symbol")</f>
        <v>MVAFZC25</v>
      </c>
      <c r="B1746" t="str">
        <f>RTD("nest.scriprtd",,"bse_cm|MVAFZC25","Trading Symbol")</f>
        <v>MVAFZC25</v>
      </c>
      <c r="C1746" t="str">
        <f>RTD("nest.scriprtd",,"bse_cm|MVAFZC25","Exchange")</f>
        <v>BSE</v>
      </c>
      <c r="D1746">
        <f>RTD("nest.scriprtd",,"bse_cm|MVAFZC25","Bid Qty")</f>
        <v>1</v>
      </c>
      <c r="E1746">
        <f>RTD("nest.scriprtd",,"bse_cm|MVAFZC25","Bid Rate")</f>
        <v>1490</v>
      </c>
      <c r="F1746">
        <f>RTD("nest.scriprtd",,"bse_cm|MVAFZC25","Ask Rate")</f>
        <v>1509.8</v>
      </c>
      <c r="G1746">
        <f>RTD("nest.scriprtd",,"bse_cm|MVAFZC25","Ask Qty")</f>
        <v>327</v>
      </c>
      <c r="H1746">
        <f>RTD("nest.scriprtd",,"bse_cm|MVAFZC25","LTP")</f>
        <v>0</v>
      </c>
      <c r="I1746" t="str">
        <f>RTD("nest.scriprtd",,"bse_cm|MVAFZC25","LTT")</f>
        <v>00:00:00</v>
      </c>
      <c r="J1746">
        <f>RTD("nest.scriprtd",,"bse_cm|MVAFZC25","% Change")</f>
        <v>-100</v>
      </c>
      <c r="K1746">
        <f>RTD("nest.scriprtd",,"bse_cm|MVAFZC25","ATP")</f>
        <v>0</v>
      </c>
      <c r="L1746">
        <f>RTD("nest.scriprtd",,"bse_cm|MVAFZC25","Volume Traded Today")</f>
        <v>0</v>
      </c>
      <c r="M1746">
        <f>RTD("nest.scriprtd",,"bse_cm|MVAFZC25","Open")</f>
        <v>0</v>
      </c>
      <c r="N1746">
        <f>RTD("nest.scriprtd",,"bse_cm|MVAFZC25","High")</f>
        <v>1509.8</v>
      </c>
      <c r="O1746">
        <f>RTD("nest.scriprtd",,"bse_cm|MVAFZC25","Low ")</f>
        <v>1509.8</v>
      </c>
      <c r="P1746">
        <f>RTD("nest.scriprtd",,"bse_cm|MVAFZC25","Prev Close")</f>
        <v>1509.8</v>
      </c>
      <c r="Q1746">
        <f>RTD("nest.scriprtd",,"bse_cm|MVAFZC25","Face Value")</f>
        <v>1000</v>
      </c>
      <c r="R1746" t="str">
        <f>RTD("nest.scriprtd",,"bse_cm|MVAFZC25","Isin code")</f>
        <v>INE00XE07176</v>
      </c>
      <c r="S1746" s="9">
        <f>Table1[[#This Row],[Ask Rate]]*Table1[[#This Row],[Ask Qty]]</f>
        <v>493704.6</v>
      </c>
      <c r="T1746" t="str">
        <f>VLOOKUP(Table1[[#This Row],[Isin code]],Table2[#All],7,FALSE)</f>
        <v>--</v>
      </c>
      <c r="U1746" s="17" t="str">
        <f>VLOOKUP(Table1[[#This Row],[Isin code]],Table2[#All],8,FALSE)</f>
        <v>17-Mar-2025</v>
      </c>
      <c r="V1746" s="10">
        <f ca="1">Table1[[#This Row],[Maturity]]-TODAY()</f>
        <v>152</v>
      </c>
      <c r="W1746" t="str">
        <f>VLOOKUP(Table1[[#This Row],[Isin code]],Table2[#All],10,FALSE)</f>
        <v>At the End</v>
      </c>
      <c r="X1746">
        <f ca="1">_xlfn.DAYS(Table1[[#This Row],[Maturity]],TODAY())-15</f>
        <v>137</v>
      </c>
      <c r="Y174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46">
        <f>IF(Table1[[#This Row],[Ask Rate]]=0,0,Table1[[#This Row],[Face Value]]-Table1[[#This Row],[Ask Rate]])</f>
        <v>-509.79999999999995</v>
      </c>
      <c r="AA174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6">
        <f>Table1[[#This Row],[Face Value]]*Table1[[#This Row],[Rate]]*Table1[[#This Row],[Time]]</f>
        <v>0</v>
      </c>
      <c r="AC1746">
        <f>Table1[[#This Row],[SI]]+Table1[[#This Row],[Disc/Prem]]</f>
        <v>-509.79999999999995</v>
      </c>
      <c r="AD1746" s="3">
        <f>Table1[[#This Row],[Net Gain]]/Table1[[#This Row],[Ask Rate]]</f>
        <v>-0.33766061730030467</v>
      </c>
      <c r="AE1746" s="3">
        <f ca="1">IF(Table1[[#This Row],[Ask Qty]]=0,0,Table1[[#This Row],[Gross Yield]]*365/Table1[[#This Row],[Days Left]])</f>
        <v>-0.81082977180665272</v>
      </c>
      <c r="AF1746" s="9">
        <f>+Table1[[#This Row],[Net Gain]]*Table1[[#This Row],[Ask Qty]]</f>
        <v>-166704.59999999998</v>
      </c>
      <c r="AG1746" t="str">
        <f ca="1">IF(Table1[[#This Row],[YTM]]&gt;0.12,IF(Table1[[#This Row],[Gross Profit]]&gt;10000,"Invest","Review"),"Low YTM")</f>
        <v>Low YTM</v>
      </c>
    </row>
    <row r="1747" spans="1:33" hidden="1" x14ac:dyDescent="0.3">
      <c r="A1747" t="str">
        <f>RTD("nest.scriprtd",,"bse_cm|DLSL25","Symbol")</f>
        <v>DLSL25</v>
      </c>
      <c r="B1747" t="str">
        <f>RTD("nest.scriprtd",,"bse_cm|DLSL25","Trading Symbol")</f>
        <v>DLSL25</v>
      </c>
      <c r="C1747" t="str">
        <f>RTD("nest.scriprtd",,"bse_cm|DLSL25","Exchange")</f>
        <v>BSE</v>
      </c>
      <c r="D1747">
        <f>RTD("nest.scriprtd",,"bse_cm|DLSL25","Bid Qty")</f>
        <v>5</v>
      </c>
      <c r="E1747">
        <f>RTD("nest.scriprtd",,"bse_cm|DLSL25","Bid Rate")</f>
        <v>1275.45</v>
      </c>
      <c r="F1747">
        <f>RTD("nest.scriprtd",,"bse_cm|DLSL25","Ask Rate")</f>
        <v>1325.55</v>
      </c>
      <c r="G1747">
        <f>RTD("nest.scriprtd",,"bse_cm|DLSL25","Ask Qty")</f>
        <v>5</v>
      </c>
      <c r="H1747">
        <f>RTD("nest.scriprtd",,"bse_cm|DLSL25","LTP")</f>
        <v>0</v>
      </c>
      <c r="I1747" t="str">
        <f>RTD("nest.scriprtd",,"bse_cm|DLSL25","LTT")</f>
        <v>00:00:00</v>
      </c>
      <c r="J1747">
        <f>RTD("nest.scriprtd",,"bse_cm|DLSL25","% Change")</f>
        <v>-100</v>
      </c>
      <c r="K1747">
        <f>RTD("nest.scriprtd",,"bse_cm|DLSL25","ATP")</f>
        <v>0</v>
      </c>
      <c r="L1747">
        <f>RTD("nest.scriprtd",,"bse_cm|DLSL25","Volume Traded Today")</f>
        <v>0</v>
      </c>
      <c r="M1747">
        <f>RTD("nest.scriprtd",,"bse_cm|DLSL25","Open")</f>
        <v>0</v>
      </c>
      <c r="N1747">
        <f>RTD("nest.scriprtd",,"bse_cm|DLSL25","High")</f>
        <v>1258.26</v>
      </c>
      <c r="O1747">
        <f>RTD("nest.scriprtd",,"bse_cm|DLSL25","Low ")</f>
        <v>1258.25</v>
      </c>
      <c r="P1747">
        <f>RTD("nest.scriprtd",,"bse_cm|DLSL25","Prev Close")</f>
        <v>1258.25</v>
      </c>
      <c r="Q1747">
        <f>RTD("nest.scriprtd",,"bse_cm|DLSL25","Face Value")</f>
        <v>1000</v>
      </c>
      <c r="R1747" t="str">
        <f>RTD("nest.scriprtd",,"bse_cm|DLSL25","Isin code")</f>
        <v>INE614X07373</v>
      </c>
      <c r="S1747" s="9">
        <f>Table1[[#This Row],[Ask Rate]]*Table1[[#This Row],[Ask Qty]]</f>
        <v>6627.75</v>
      </c>
      <c r="T1747">
        <f>VLOOKUP(Table1[[#This Row],[Isin code]],Table2[#All],7,FALSE)</f>
        <v>0</v>
      </c>
      <c r="U1747" s="17" t="str">
        <f>VLOOKUP(Table1[[#This Row],[Isin code]],Table2[#All],8,FALSE)</f>
        <v>31-Jan-2025</v>
      </c>
      <c r="V1747" s="10">
        <f ca="1">Table1[[#This Row],[Maturity]]-TODAY()</f>
        <v>107</v>
      </c>
      <c r="W1747" t="str">
        <f>VLOOKUP(Table1[[#This Row],[Isin code]],Table2[#All],10,FALSE)</f>
        <v>Yearly</v>
      </c>
      <c r="X1747">
        <f ca="1">_xlfn.DAYS(Table1[[#This Row],[Maturity]],TODAY())-15</f>
        <v>92</v>
      </c>
      <c r="Y1747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747">
        <f>IF(Table1[[#This Row],[Ask Rate]]=0,0,Table1[[#This Row],[Face Value]]-Table1[[#This Row],[Ask Rate]])</f>
        <v>-325.54999999999995</v>
      </c>
      <c r="AA174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7">
        <f ca="1">Table1[[#This Row],[Face Value]]*Table1[[#This Row],[Rate]]*Table1[[#This Row],[Time]]</f>
        <v>0</v>
      </c>
      <c r="AC1747">
        <f ca="1">Table1[[#This Row],[SI]]+Table1[[#This Row],[Disc/Prem]]</f>
        <v>-325.54999999999995</v>
      </c>
      <c r="AD1747" s="3">
        <f ca="1">Table1[[#This Row],[Net Gain]]/Table1[[#This Row],[Ask Rate]]</f>
        <v>-0.24559616762853154</v>
      </c>
      <c r="AE1747" s="3">
        <f ca="1">IF(Table1[[#This Row],[Ask Qty]]=0,0,Table1[[#This Row],[Gross Yield]]*365/Table1[[#This Row],[Days Left]])</f>
        <v>-0.83778131948050472</v>
      </c>
      <c r="AF1747" s="9">
        <f ca="1">+Table1[[#This Row],[Net Gain]]*Table1[[#This Row],[Ask Qty]]</f>
        <v>-1627.7499999999998</v>
      </c>
      <c r="AG1747" t="str">
        <f ca="1">IF(Table1[[#This Row],[YTM]]&gt;0.12,IF(Table1[[#This Row],[Gross Profit]]&gt;10000,"Invest","Review"),"Low YTM")</f>
        <v>Low YTM</v>
      </c>
    </row>
    <row r="1748" spans="1:33" hidden="1" x14ac:dyDescent="0.3">
      <c r="A1748" t="str">
        <f>RTD("nest.scriprtd",,"nse_cm|IIFLZC25C-N8","Symbol")</f>
        <v>IIFLZC25C</v>
      </c>
      <c r="B1748" t="str">
        <f>RTD("nest.scriprtd",,"nse_cm|IIFLZC25C-N8","Trading Symbol")</f>
        <v>IIFLZC25C-N8</v>
      </c>
      <c r="C1748" t="str">
        <f>RTD("nest.scriprtd",,"nse_cm|IIFLZC25C-N8","Exchange")</f>
        <v>NSE</v>
      </c>
      <c r="D1748">
        <f>RTD("nest.scriprtd",,"nse_cm|IIFLZC25C-N8","Bid Qty")</f>
        <v>60</v>
      </c>
      <c r="E1748">
        <f>RTD("nest.scriprtd",,"nse_cm|IIFLZC25C-N8","Bid Rate")</f>
        <v>1226</v>
      </c>
      <c r="F1748">
        <f>RTD("nest.scriprtd",,"nse_cm|IIFLZC25C-N8","Ask Rate")</f>
        <v>1229.5</v>
      </c>
      <c r="G1748">
        <f>RTD("nest.scriprtd",,"nse_cm|IIFLZC25C-N8","Ask Qty")</f>
        <v>25</v>
      </c>
      <c r="H1748">
        <f>RTD("nest.scriprtd",,"nse_cm|IIFLZC25C-N8","LTP")</f>
        <v>1232</v>
      </c>
      <c r="I1748" t="str">
        <f>RTD("nest.scriprtd",,"nse_cm|IIFLZC25C-N8","LTT")</f>
        <v/>
      </c>
      <c r="J1748">
        <f>RTD("nest.scriprtd",,"nse_cm|IIFLZC25C-N8","% Change")</f>
        <v>0</v>
      </c>
      <c r="K1748">
        <f>RTD("nest.scriprtd",,"nse_cm|IIFLZC25C-N8","ATP")</f>
        <v>0</v>
      </c>
      <c r="L1748">
        <f>RTD("nest.scriprtd",,"nse_cm|IIFLZC25C-N8","Volume Traded Today")</f>
        <v>0</v>
      </c>
      <c r="M1748">
        <f>RTD("nest.scriprtd",,"nse_cm|IIFLZC25C-N8","Open")</f>
        <v>0</v>
      </c>
      <c r="N1748">
        <f>RTD("nest.scriprtd",,"nse_cm|IIFLZC25C-N8","High")</f>
        <v>1232</v>
      </c>
      <c r="O1748">
        <f>RTD("nest.scriprtd",,"nse_cm|IIFLZC25C-N8","Low ")</f>
        <v>1216</v>
      </c>
      <c r="P1748">
        <f>RTD("nest.scriprtd",,"nse_cm|IIFLZC25C-N8","Prev Close")</f>
        <v>1232</v>
      </c>
      <c r="Q1748">
        <f>RTD("nest.scriprtd",,"nse_cm|IIFLZC25C-N8","Face Value")</f>
        <v>1000</v>
      </c>
      <c r="R1748" t="str">
        <f>RTD("nest.scriprtd",,"nse_cm|IIFLZC25C-N8","Isin code")</f>
        <v>INE477L07AM1</v>
      </c>
      <c r="S1748" s="9">
        <f>Table1[[#This Row],[Ask Rate]]*Table1[[#This Row],[Ask Qty]]</f>
        <v>30737.5</v>
      </c>
      <c r="T1748">
        <f>VLOOKUP(Table1[[#This Row],[Isin code]],Table2[#All],7,FALSE)</f>
        <v>0</v>
      </c>
      <c r="U1748" s="17" t="str">
        <f>VLOOKUP(Table1[[#This Row],[Isin code]],Table2[#All],8,FALSE)</f>
        <v>03-Jan-2025</v>
      </c>
      <c r="V1748" s="10">
        <f ca="1">Table1[[#This Row],[Maturity]]-TODAY()</f>
        <v>79</v>
      </c>
      <c r="W1748" t="str">
        <f>VLOOKUP(Table1[[#This Row],[Isin code]],Table2[#All],10,FALSE)</f>
        <v>At the End</v>
      </c>
      <c r="X1748">
        <f ca="1">_xlfn.DAYS(Table1[[#This Row],[Maturity]],TODAY())-15</f>
        <v>64</v>
      </c>
      <c r="Y174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48">
        <f>IF(Table1[[#This Row],[Ask Rate]]=0,0,Table1[[#This Row],[Face Value]]-Table1[[#This Row],[Ask Rate]])</f>
        <v>-229.5</v>
      </c>
      <c r="AA174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8">
        <f>Table1[[#This Row],[Face Value]]*Table1[[#This Row],[Rate]]*Table1[[#This Row],[Time]]</f>
        <v>0</v>
      </c>
      <c r="AC1748">
        <f>Table1[[#This Row],[SI]]+Table1[[#This Row],[Disc/Prem]]</f>
        <v>-229.5</v>
      </c>
      <c r="AD1748" s="3">
        <f>Table1[[#This Row],[Net Gain]]/Table1[[#This Row],[Ask Rate]]</f>
        <v>-0.18666124440829607</v>
      </c>
      <c r="AE1748" s="3">
        <f ca="1">IF(Table1[[#This Row],[Ask Qty]]=0,0,Table1[[#This Row],[Gross Yield]]*365/Table1[[#This Row],[Days Left]])</f>
        <v>-0.8624222051775704</v>
      </c>
      <c r="AF1748" s="9">
        <f>+Table1[[#This Row],[Net Gain]]*Table1[[#This Row],[Ask Qty]]</f>
        <v>-5737.5</v>
      </c>
      <c r="AG1748" t="str">
        <f ca="1">IF(Table1[[#This Row],[YTM]]&gt;0.12,IF(Table1[[#This Row],[Gross Profit]]&gt;10000,"Invest","Review"),"Low YTM")</f>
        <v>Low YTM</v>
      </c>
    </row>
    <row r="1749" spans="1:33" hidden="1" x14ac:dyDescent="0.3">
      <c r="A1749" t="str">
        <f>RTD("nest.scriprtd",,"bse_cm|SCL24A","Symbol")</f>
        <v>SCL24A</v>
      </c>
      <c r="B1749" t="str">
        <f>RTD("nest.scriprtd",,"bse_cm|SCL24A","Trading Symbol")</f>
        <v>SCL24A</v>
      </c>
      <c r="C1749" t="str">
        <f>RTD("nest.scriprtd",,"bse_cm|SCL24A","Exchange")</f>
        <v>BSE</v>
      </c>
      <c r="D1749">
        <f>RTD("nest.scriprtd",,"bse_cm|SCL24A","Bid Qty")</f>
        <v>50</v>
      </c>
      <c r="E1749">
        <f>RTD("nest.scriprtd",,"bse_cm|SCL24A","Bid Rate")</f>
        <v>1110.0999999999999</v>
      </c>
      <c r="F1749">
        <f>RTD("nest.scriprtd",,"bse_cm|SCL24A","Ask Rate")</f>
        <v>1210.1500000000001</v>
      </c>
      <c r="G1749">
        <f>RTD("nest.scriprtd",,"bse_cm|SCL24A","Ask Qty")</f>
        <v>59</v>
      </c>
      <c r="H1749">
        <f>RTD("nest.scriprtd",,"bse_cm|SCL24A","LTP")</f>
        <v>0</v>
      </c>
      <c r="I1749" t="str">
        <f>RTD("nest.scriprtd",,"bse_cm|SCL24A","LTT")</f>
        <v>00:00:00</v>
      </c>
      <c r="J1749">
        <f>RTD("nest.scriprtd",,"bse_cm|SCL24A","% Change")</f>
        <v>-100</v>
      </c>
      <c r="K1749">
        <f>RTD("nest.scriprtd",,"bse_cm|SCL24A","ATP")</f>
        <v>0</v>
      </c>
      <c r="L1749">
        <f>RTD("nest.scriprtd",,"bse_cm|SCL24A","Volume Traded Today")</f>
        <v>0</v>
      </c>
      <c r="M1749">
        <f>RTD("nest.scriprtd",,"bse_cm|SCL24A","Open")</f>
        <v>0</v>
      </c>
      <c r="N1749">
        <f>RTD("nest.scriprtd",,"bse_cm|SCL24A","High")</f>
        <v>1150</v>
      </c>
      <c r="O1749">
        <f>RTD("nest.scriprtd",,"bse_cm|SCL24A","Low ")</f>
        <v>1032.5</v>
      </c>
      <c r="P1749">
        <f>RTD("nest.scriprtd",,"bse_cm|SCL24A","Prev Close")</f>
        <v>1032.5</v>
      </c>
      <c r="Q1749">
        <f>RTD("nest.scriprtd",,"bse_cm|SCL24A","Face Value")</f>
        <v>1000</v>
      </c>
      <c r="R1749" t="str">
        <f>RTD("nest.scriprtd",,"bse_cm|SCL24A","Isin code")</f>
        <v>INE148I07NK1</v>
      </c>
      <c r="S1749" s="9">
        <f>Table1[[#This Row],[Ask Rate]]*Table1[[#This Row],[Ask Qty]]</f>
        <v>71398.850000000006</v>
      </c>
      <c r="T1749">
        <f>VLOOKUP(Table1[[#This Row],[Isin code]],Table2[#All],7,FALSE)</f>
        <v>0</v>
      </c>
      <c r="U1749" s="17">
        <f>VLOOKUP(Table1[[#This Row],[Isin code]],Table2[#All],8,FALSE)</f>
        <v>45654</v>
      </c>
      <c r="V1749" s="10">
        <f ca="1">Table1[[#This Row],[Maturity]]-TODAY()</f>
        <v>73</v>
      </c>
      <c r="W1749" t="str">
        <f>VLOOKUP(Table1[[#This Row],[Isin code]],Table2[#All],10,FALSE)</f>
        <v>At the End</v>
      </c>
      <c r="X1749">
        <f ca="1">_xlfn.DAYS(Table1[[#This Row],[Maturity]],TODAY())-15</f>
        <v>58</v>
      </c>
      <c r="Y174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49">
        <f>IF(Table1[[#This Row],[Ask Rate]]=0,0,Table1[[#This Row],[Face Value]]-Table1[[#This Row],[Ask Rate]])</f>
        <v>-210.15000000000009</v>
      </c>
      <c r="AA174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49">
        <f>Table1[[#This Row],[Face Value]]*Table1[[#This Row],[Rate]]*Table1[[#This Row],[Time]]</f>
        <v>0</v>
      </c>
      <c r="AC1749">
        <f>Table1[[#This Row],[SI]]+Table1[[#This Row],[Disc/Prem]]</f>
        <v>-210.15000000000009</v>
      </c>
      <c r="AD1749" s="3">
        <f>Table1[[#This Row],[Net Gain]]/Table1[[#This Row],[Ask Rate]]</f>
        <v>-0.17365615832748013</v>
      </c>
      <c r="AE1749" s="3">
        <f ca="1">IF(Table1[[#This Row],[Ask Qty]]=0,0,Table1[[#This Row],[Gross Yield]]*365/Table1[[#This Row],[Days Left]])</f>
        <v>-0.86828079163740068</v>
      </c>
      <c r="AF1749" s="9">
        <f>+Table1[[#This Row],[Net Gain]]*Table1[[#This Row],[Ask Qty]]</f>
        <v>-12398.850000000006</v>
      </c>
      <c r="AG1749" t="str">
        <f ca="1">IF(Table1[[#This Row],[YTM]]&gt;0.12,IF(Table1[[#This Row],[Gross Profit]]&gt;10000,"Invest","Review"),"Low YTM")</f>
        <v>Low YTM</v>
      </c>
    </row>
    <row r="1750" spans="1:33" hidden="1" x14ac:dyDescent="0.3">
      <c r="A1750" t="str">
        <f>RTD("nest.scriprtd",,"bse_cm|IIFLZC25C","Symbol")</f>
        <v>IIFLZC25C</v>
      </c>
      <c r="B1750" t="str">
        <f>RTD("nest.scriprtd",,"bse_cm|IIFLZC25C","Trading Symbol")</f>
        <v>IIFLZC25C</v>
      </c>
      <c r="C1750" t="str">
        <f>RTD("nest.scriprtd",,"bse_cm|IIFLZC25C","Exchange")</f>
        <v>BSE</v>
      </c>
      <c r="D1750">
        <f>RTD("nest.scriprtd",,"bse_cm|IIFLZC25C","Bid Qty")</f>
        <v>5</v>
      </c>
      <c r="E1750">
        <f>RTD("nest.scriprtd",,"bse_cm|IIFLZC25C","Bid Rate")</f>
        <v>1214.8</v>
      </c>
      <c r="F1750">
        <f>RTD("nest.scriprtd",,"bse_cm|IIFLZC25C","Ask Rate")</f>
        <v>1232.8</v>
      </c>
      <c r="G1750">
        <f>RTD("nest.scriprtd",,"bse_cm|IIFLZC25C","Ask Qty")</f>
        <v>321</v>
      </c>
      <c r="H1750">
        <f>RTD("nest.scriprtd",,"bse_cm|IIFLZC25C","LTP")</f>
        <v>0</v>
      </c>
      <c r="I1750" t="str">
        <f>RTD("nest.scriprtd",,"bse_cm|IIFLZC25C","LTT")</f>
        <v>00:00:00</v>
      </c>
      <c r="J1750">
        <f>RTD("nest.scriprtd",,"bse_cm|IIFLZC25C","% Change")</f>
        <v>-100</v>
      </c>
      <c r="K1750">
        <f>RTD("nest.scriprtd",,"bse_cm|IIFLZC25C","ATP")</f>
        <v>0</v>
      </c>
      <c r="L1750">
        <f>RTD("nest.scriprtd",,"bse_cm|IIFLZC25C","Volume Traded Today")</f>
        <v>0</v>
      </c>
      <c r="M1750">
        <f>RTD("nest.scriprtd",,"bse_cm|IIFLZC25C","Open")</f>
        <v>0</v>
      </c>
      <c r="N1750">
        <f>RTD("nest.scriprtd",,"bse_cm|IIFLZC25C","High")</f>
        <v>1216.25</v>
      </c>
      <c r="O1750">
        <f>RTD("nest.scriprtd",,"bse_cm|IIFLZC25C","Low ")</f>
        <v>1216.25</v>
      </c>
      <c r="P1750">
        <f>RTD("nest.scriprtd",,"bse_cm|IIFLZC25C","Prev Close")</f>
        <v>1216.25</v>
      </c>
      <c r="Q1750">
        <f>RTD("nest.scriprtd",,"bse_cm|IIFLZC25C","Face Value")</f>
        <v>1000</v>
      </c>
      <c r="R1750" t="str">
        <f>RTD("nest.scriprtd",,"bse_cm|IIFLZC25C","Isin code")</f>
        <v>INE477L07AM1</v>
      </c>
      <c r="S1750" s="9">
        <f>Table1[[#This Row],[Ask Rate]]*Table1[[#This Row],[Ask Qty]]</f>
        <v>395728.8</v>
      </c>
      <c r="T1750">
        <f>VLOOKUP(Table1[[#This Row],[Isin code]],Table2[#All],7,FALSE)</f>
        <v>0</v>
      </c>
      <c r="U1750" s="17" t="str">
        <f>VLOOKUP(Table1[[#This Row],[Isin code]],Table2[#All],8,FALSE)</f>
        <v>03-Jan-2025</v>
      </c>
      <c r="V1750" s="10">
        <f ca="1">Table1[[#This Row],[Maturity]]-TODAY()</f>
        <v>79</v>
      </c>
      <c r="W1750" t="str">
        <f>VLOOKUP(Table1[[#This Row],[Isin code]],Table2[#All],10,FALSE)</f>
        <v>At the End</v>
      </c>
      <c r="X1750">
        <f ca="1">_xlfn.DAYS(Table1[[#This Row],[Maturity]],TODAY())-15</f>
        <v>64</v>
      </c>
      <c r="Y175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50">
        <f>IF(Table1[[#This Row],[Ask Rate]]=0,0,Table1[[#This Row],[Face Value]]-Table1[[#This Row],[Ask Rate]])</f>
        <v>-232.79999999999995</v>
      </c>
      <c r="AA175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0">
        <f>Table1[[#This Row],[Face Value]]*Table1[[#This Row],[Rate]]*Table1[[#This Row],[Time]]</f>
        <v>0</v>
      </c>
      <c r="AC1750">
        <f>Table1[[#This Row],[SI]]+Table1[[#This Row],[Disc/Prem]]</f>
        <v>-232.79999999999995</v>
      </c>
      <c r="AD1750" s="3">
        <f>Table1[[#This Row],[Net Gain]]/Table1[[#This Row],[Ask Rate]]</f>
        <v>-0.18883841661258921</v>
      </c>
      <c r="AE1750" s="3">
        <f ca="1">IF(Table1[[#This Row],[Ask Qty]]=0,0,Table1[[#This Row],[Gross Yield]]*365/Table1[[#This Row],[Days Left]])</f>
        <v>-0.87248129194424118</v>
      </c>
      <c r="AF1750" s="9">
        <f>+Table1[[#This Row],[Net Gain]]*Table1[[#This Row],[Ask Qty]]</f>
        <v>-74728.799999999988</v>
      </c>
      <c r="AG1750" t="str">
        <f ca="1">IF(Table1[[#This Row],[YTM]]&gt;0.12,IF(Table1[[#This Row],[Gross Profit]]&gt;10000,"Invest","Review"),"Low YTM")</f>
        <v>Low YTM</v>
      </c>
    </row>
    <row r="1751" spans="1:33" hidden="1" x14ac:dyDescent="0.3">
      <c r="A1751" t="str">
        <f>RTD("nest.scriprtd",,"nse_cm|SCL24A-ZS","Symbol")</f>
        <v>SCL24A</v>
      </c>
      <c r="B1751" t="str">
        <f>RTD("nest.scriprtd",,"nse_cm|SCL24A-ZS","Trading Symbol")</f>
        <v>SCL24A-ZS</v>
      </c>
      <c r="C1751" t="str">
        <f>RTD("nest.scriprtd",,"nse_cm|SCL24A-ZS","Exchange")</f>
        <v>NSE</v>
      </c>
      <c r="D1751">
        <f>RTD("nest.scriprtd",,"nse_cm|SCL24A-ZS","Bid Qty")</f>
        <v>10</v>
      </c>
      <c r="E1751">
        <f>RTD("nest.scriprtd",,"nse_cm|SCL24A-ZS","Bid Rate")</f>
        <v>1155</v>
      </c>
      <c r="F1751">
        <f>RTD("nest.scriprtd",,"nse_cm|SCL24A-ZS","Ask Rate")</f>
        <v>1224.8</v>
      </c>
      <c r="G1751">
        <f>RTD("nest.scriprtd",,"nse_cm|SCL24A-ZS","Ask Qty")</f>
        <v>9</v>
      </c>
      <c r="H1751">
        <f>RTD("nest.scriprtd",,"nse_cm|SCL24A-ZS","LTP")</f>
        <v>1151</v>
      </c>
      <c r="I1751" t="str">
        <f>RTD("nest.scriprtd",,"nse_cm|SCL24A-ZS","LTT")</f>
        <v/>
      </c>
      <c r="J1751">
        <f>RTD("nest.scriprtd",,"nse_cm|SCL24A-ZS","% Change")</f>
        <v>0</v>
      </c>
      <c r="K1751">
        <f>RTD("nest.scriprtd",,"nse_cm|SCL24A-ZS","ATP")</f>
        <v>0</v>
      </c>
      <c r="L1751">
        <f>RTD("nest.scriprtd",,"nse_cm|SCL24A-ZS","Volume Traded Today")</f>
        <v>0</v>
      </c>
      <c r="M1751">
        <f>RTD("nest.scriprtd",,"nse_cm|SCL24A-ZS","Open")</f>
        <v>0</v>
      </c>
      <c r="N1751">
        <f>RTD("nest.scriprtd",,"nse_cm|SCL24A-ZS","High")</f>
        <v>1151</v>
      </c>
      <c r="O1751">
        <f>RTD("nest.scriprtd",,"nse_cm|SCL24A-ZS","Low ")</f>
        <v>1151</v>
      </c>
      <c r="P1751">
        <f>RTD("nest.scriprtd",,"nse_cm|SCL24A-ZS","Prev Close")</f>
        <v>1151</v>
      </c>
      <c r="Q1751">
        <f>RTD("nest.scriprtd",,"nse_cm|SCL24A-ZS","Face Value")</f>
        <v>1000</v>
      </c>
      <c r="R1751" t="str">
        <f>RTD("nest.scriprtd",,"nse_cm|SCL24A-ZS","Isin code")</f>
        <v>INE148I07NK1</v>
      </c>
      <c r="S1751" s="9">
        <f>Table1[[#This Row],[Ask Rate]]*Table1[[#This Row],[Ask Qty]]</f>
        <v>11023.199999999999</v>
      </c>
      <c r="T1751">
        <f>VLOOKUP(Table1[[#This Row],[Isin code]],Table2[#All],7,FALSE)</f>
        <v>0</v>
      </c>
      <c r="U1751" s="17">
        <f>VLOOKUP(Table1[[#This Row],[Isin code]],Table2[#All],8,FALSE)</f>
        <v>45654</v>
      </c>
      <c r="V1751" s="10">
        <f ca="1">Table1[[#This Row],[Maturity]]-TODAY()</f>
        <v>73</v>
      </c>
      <c r="W1751" t="str">
        <f>VLOOKUP(Table1[[#This Row],[Isin code]],Table2[#All],10,FALSE)</f>
        <v>At the End</v>
      </c>
      <c r="X1751">
        <f ca="1">_xlfn.DAYS(Table1[[#This Row],[Maturity]],TODAY())-15</f>
        <v>58</v>
      </c>
      <c r="Y175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51">
        <f>IF(Table1[[#This Row],[Ask Rate]]=0,0,Table1[[#This Row],[Face Value]]-Table1[[#This Row],[Ask Rate]])</f>
        <v>-224.79999999999995</v>
      </c>
      <c r="AA175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1">
        <f>Table1[[#This Row],[Face Value]]*Table1[[#This Row],[Rate]]*Table1[[#This Row],[Time]]</f>
        <v>0</v>
      </c>
      <c r="AC1751">
        <f>Table1[[#This Row],[SI]]+Table1[[#This Row],[Disc/Prem]]</f>
        <v>-224.79999999999995</v>
      </c>
      <c r="AD1751" s="3">
        <f>Table1[[#This Row],[Net Gain]]/Table1[[#This Row],[Ask Rate]]</f>
        <v>-0.18354016982364466</v>
      </c>
      <c r="AE1751" s="3">
        <f ca="1">IF(Table1[[#This Row],[Ask Qty]]=0,0,Table1[[#This Row],[Gross Yield]]*365/Table1[[#This Row],[Days Left]])</f>
        <v>-0.91770084911822336</v>
      </c>
      <c r="AF1751" s="9">
        <f>+Table1[[#This Row],[Net Gain]]*Table1[[#This Row],[Ask Qty]]</f>
        <v>-2023.1999999999996</v>
      </c>
      <c r="AG1751" t="str">
        <f ca="1">IF(Table1[[#This Row],[YTM]]&gt;0.12,IF(Table1[[#This Row],[Gross Profit]]&gt;10000,"Invest","Review"),"Low YTM")</f>
        <v>Low YTM</v>
      </c>
    </row>
    <row r="1752" spans="1:33" x14ac:dyDescent="0.3">
      <c r="A1752" t="str">
        <f>RTD("nest.scriprtd",,"bse_cm|915MMFS24","Symbol")</f>
        <v>915MMFS24</v>
      </c>
      <c r="B1752" t="str">
        <f>RTD("nest.scriprtd",,"bse_cm|915MMFS24","Trading Symbol")</f>
        <v>915MMFS24</v>
      </c>
      <c r="C1752" t="str">
        <f>RTD("nest.scriprtd",,"bse_cm|915MMFS24","Exchange")</f>
        <v>BSE</v>
      </c>
      <c r="D1752">
        <f>RTD("nest.scriprtd",,"bse_cm|915MMFS24","Bid Qty")</f>
        <v>50</v>
      </c>
      <c r="E1752">
        <f>RTD("nest.scriprtd",,"bse_cm|915MMFS24","Bid Rate")</f>
        <v>1857.27</v>
      </c>
      <c r="F1752">
        <f>RTD("nest.scriprtd",,"bse_cm|915MMFS24","Ask Rate")</f>
        <v>1957.3</v>
      </c>
      <c r="G1752">
        <f>RTD("nest.scriprtd",,"bse_cm|915MMFS24","Ask Qty")</f>
        <v>100</v>
      </c>
      <c r="H1752">
        <f>RTD("nest.scriprtd",,"bse_cm|915MMFS24","LTP")</f>
        <v>0</v>
      </c>
      <c r="I1752" t="str">
        <f>RTD("nest.scriprtd",,"bse_cm|915MMFS24","LTT")</f>
        <v>00:00:00</v>
      </c>
      <c r="J1752">
        <f>RTD("nest.scriprtd",,"bse_cm|915MMFS24","% Change")</f>
        <v>-100</v>
      </c>
      <c r="K1752">
        <f>RTD("nest.scriprtd",,"bse_cm|915MMFS24","ATP")</f>
        <v>0</v>
      </c>
      <c r="L1752">
        <f>RTD("nest.scriprtd",,"bse_cm|915MMFS24","Volume Traded Today")</f>
        <v>0</v>
      </c>
      <c r="M1752">
        <f>RTD("nest.scriprtd",,"bse_cm|915MMFS24","Open")</f>
        <v>0</v>
      </c>
      <c r="N1752">
        <f>RTD("nest.scriprtd",,"bse_cm|915MMFS24","High")</f>
        <v>1890</v>
      </c>
      <c r="O1752">
        <f>RTD("nest.scriprtd",,"bse_cm|915MMFS24","Low ")</f>
        <v>1890</v>
      </c>
      <c r="P1752">
        <f>RTD("nest.scriprtd",,"bse_cm|915MMFS24","Prev Close")</f>
        <v>1890</v>
      </c>
      <c r="Q1752">
        <f>RTD("nest.scriprtd",,"bse_cm|915MMFS24","Face Value")</f>
        <v>1000</v>
      </c>
      <c r="R1752" t="str">
        <f>RTD("nest.scriprtd",,"bse_cm|915MMFS24","Isin code")</f>
        <v>INE414G08348</v>
      </c>
      <c r="S1752" s="9">
        <f>Table1[[#This Row],[Ask Rate]]*Table1[[#This Row],[Ask Qty]]</f>
        <v>195730</v>
      </c>
      <c r="T1752" t="str">
        <f>VLOOKUP(Table1[[#This Row],[Isin code]],Table2[#All],7,FALSE)</f>
        <v>--</v>
      </c>
      <c r="U1752" s="17" t="str">
        <f>VLOOKUP(Table1[[#This Row],[Isin code]],Table2[#All],8,FALSE)</f>
        <v>24-Apr-2025</v>
      </c>
      <c r="V1752" s="10">
        <f ca="1">Table1[[#This Row],[Maturity]]-TODAY()</f>
        <v>190</v>
      </c>
      <c r="W1752" t="str">
        <f>VLOOKUP(Table1[[#This Row],[Isin code]],Table2[#All],10,FALSE)</f>
        <v>At the End</v>
      </c>
      <c r="X1752">
        <f ca="1">_xlfn.DAYS(Table1[[#This Row],[Maturity]],TODAY())-15</f>
        <v>175</v>
      </c>
      <c r="Y175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52">
        <f>IF(Table1[[#This Row],[Ask Rate]]=0,0,Table1[[#This Row],[Face Value]]-Table1[[#This Row],[Ask Rate]])</f>
        <v>-957.3</v>
      </c>
      <c r="AA175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2">
        <f>Table1[[#This Row],[Face Value]]*Table1[[#This Row],[Rate]]*Table1[[#This Row],[Time]]</f>
        <v>0</v>
      </c>
      <c r="AC1752">
        <f>Table1[[#This Row],[SI]]+Table1[[#This Row],[Disc/Prem]]</f>
        <v>-957.3</v>
      </c>
      <c r="AD1752" s="3">
        <f>Table1[[#This Row],[Net Gain]]/Table1[[#This Row],[Ask Rate]]</f>
        <v>-0.48909211669136055</v>
      </c>
      <c r="AE1752" s="3">
        <f ca="1">IF(Table1[[#This Row],[Ask Qty]]=0,0,Table1[[#This Row],[Gross Yield]]*365/Table1[[#This Row],[Days Left]])</f>
        <v>-0.93957169785445571</v>
      </c>
      <c r="AF1752" s="9">
        <f>+Table1[[#This Row],[Net Gain]]*Table1[[#This Row],[Ask Qty]]</f>
        <v>-95730</v>
      </c>
      <c r="AG1752" t="str">
        <f ca="1">IF(Table1[[#This Row],[YTM]]&gt;0.12,IF(Table1[[#This Row],[Gross Profit]]&gt;10000,"Invest","Review"),"Low YTM")</f>
        <v>Low YTM</v>
      </c>
    </row>
    <row r="1753" spans="1:33" hidden="1" x14ac:dyDescent="0.3">
      <c r="A1753" t="str">
        <f>RTD("nest.scriprtd",,"nse_cm|SCL25-Y6","Symbol")</f>
        <v>SCL25</v>
      </c>
      <c r="B1753" t="str">
        <f>RTD("nest.scriprtd",,"nse_cm|SCL25-Y6","Trading Symbol")</f>
        <v>SCL25-Y6</v>
      </c>
      <c r="C1753" t="str">
        <f>RTD("nest.scriprtd",,"nse_cm|SCL25-Y6","Exchange")</f>
        <v>NSE</v>
      </c>
      <c r="D1753">
        <f>RTD("nest.scriprtd",,"nse_cm|SCL25-Y6","Bid Qty")</f>
        <v>5</v>
      </c>
      <c r="E1753">
        <f>RTD("nest.scriprtd",,"nse_cm|SCL25-Y6","Bid Rate")</f>
        <v>1226.7</v>
      </c>
      <c r="F1753">
        <f>RTD("nest.scriprtd",,"nse_cm|SCL25-Y6","Ask Rate")</f>
        <v>1268.55</v>
      </c>
      <c r="G1753">
        <f>RTD("nest.scriprtd",,"nse_cm|SCL25-Y6","Ask Qty")</f>
        <v>5</v>
      </c>
      <c r="H1753">
        <f>RTD("nest.scriprtd",,"nse_cm|SCL25-Y6","LTP")</f>
        <v>1259</v>
      </c>
      <c r="I1753" t="str">
        <f>RTD("nest.scriprtd",,"nse_cm|SCL25-Y6","LTT")</f>
        <v/>
      </c>
      <c r="J1753">
        <f>RTD("nest.scriprtd",,"nse_cm|SCL25-Y6","% Change")</f>
        <v>0</v>
      </c>
      <c r="K1753">
        <f>RTD("nest.scriprtd",,"nse_cm|SCL25-Y6","ATP")</f>
        <v>0</v>
      </c>
      <c r="L1753">
        <f>RTD("nest.scriprtd",,"nse_cm|SCL25-Y6","Volume Traded Today")</f>
        <v>0</v>
      </c>
      <c r="M1753">
        <f>RTD("nest.scriprtd",,"nse_cm|SCL25-Y6","Open")</f>
        <v>0</v>
      </c>
      <c r="N1753">
        <f>RTD("nest.scriprtd",,"nse_cm|SCL25-Y6","High")</f>
        <v>1259</v>
      </c>
      <c r="O1753">
        <f>RTD("nest.scriprtd",,"nse_cm|SCL25-Y6","Low ")</f>
        <v>1259</v>
      </c>
      <c r="P1753">
        <f>RTD("nest.scriprtd",,"nse_cm|SCL25-Y6","Prev Close")</f>
        <v>1259</v>
      </c>
      <c r="Q1753">
        <f>RTD("nest.scriprtd",,"nse_cm|SCL25-Y6","Face Value")</f>
        <v>1000</v>
      </c>
      <c r="R1753" t="str">
        <f>RTD("nest.scriprtd",,"nse_cm|SCL25-Y6","Isin code")</f>
        <v>INE148I07KY8</v>
      </c>
      <c r="S1753" s="9">
        <f>Table1[[#This Row],[Ask Rate]]*Table1[[#This Row],[Ask Qty]]</f>
        <v>6342.75</v>
      </c>
      <c r="T1753">
        <f>VLOOKUP(Table1[[#This Row],[Isin code]],Table2[#All],7,FALSE)</f>
        <v>0</v>
      </c>
      <c r="U1753" s="17" t="str">
        <f>VLOOKUP(Table1[[#This Row],[Isin code]],Table2[#All],8,FALSE)</f>
        <v>06-Jan-2025</v>
      </c>
      <c r="V1753" s="10">
        <f ca="1">Table1[[#This Row],[Maturity]]-TODAY()</f>
        <v>82</v>
      </c>
      <c r="W1753" t="str">
        <f>VLOOKUP(Table1[[#This Row],[Isin code]],Table2[#All],10,FALSE)</f>
        <v>Yearly</v>
      </c>
      <c r="X1753">
        <f ca="1">_xlfn.DAYS(Table1[[#This Row],[Maturity]],TODAY())-15</f>
        <v>67</v>
      </c>
      <c r="Y1753">
        <f ca="1"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1</v>
      </c>
      <c r="Z1753">
        <f>IF(Table1[[#This Row],[Ask Rate]]=0,0,Table1[[#This Row],[Face Value]]-Table1[[#This Row],[Ask Rate]])</f>
        <v>-268.54999999999995</v>
      </c>
      <c r="AA175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3">
        <f ca="1">Table1[[#This Row],[Face Value]]*Table1[[#This Row],[Rate]]*Table1[[#This Row],[Time]]</f>
        <v>0</v>
      </c>
      <c r="AC1753">
        <f ca="1">Table1[[#This Row],[SI]]+Table1[[#This Row],[Disc/Prem]]</f>
        <v>-268.54999999999995</v>
      </c>
      <c r="AD1753" s="3">
        <f ca="1">Table1[[#This Row],[Net Gain]]/Table1[[#This Row],[Ask Rate]]</f>
        <v>-0.21169839580623545</v>
      </c>
      <c r="AE1753" s="3">
        <f ca="1">IF(Table1[[#This Row],[Ask Qty]]=0,0,Table1[[#This Row],[Gross Yield]]*365/Table1[[#This Row],[Days Left]])</f>
        <v>-0.94231603011312126</v>
      </c>
      <c r="AF1753" s="9">
        <f ca="1">+Table1[[#This Row],[Net Gain]]*Table1[[#This Row],[Ask Qty]]</f>
        <v>-1342.7499999999998</v>
      </c>
      <c r="AG1753" t="str">
        <f ca="1">IF(Table1[[#This Row],[YTM]]&gt;0.12,IF(Table1[[#This Row],[Gross Profit]]&gt;10000,"Invest","Review"),"Low YTM")</f>
        <v>Low YTM</v>
      </c>
    </row>
    <row r="1754" spans="1:33" x14ac:dyDescent="0.3">
      <c r="A1754" t="str">
        <f>RTD("nest.scriprtd",,"bse_cm|KFLZC25","Symbol")</f>
        <v>KFLZC25</v>
      </c>
      <c r="B1754" t="str">
        <f>RTD("nest.scriprtd",,"bse_cm|KFLZC25","Trading Symbol")</f>
        <v>KFLZC25</v>
      </c>
      <c r="C1754" t="str">
        <f>RTD("nest.scriprtd",,"bse_cm|KFLZC25","Exchange")</f>
        <v>BSE</v>
      </c>
      <c r="D1754">
        <f>RTD("nest.scriprtd",,"bse_cm|KFLZC25","Bid Qty")</f>
        <v>45</v>
      </c>
      <c r="E1754">
        <f>RTD("nest.scriprtd",,"bse_cm|KFLZC25","Bid Rate")</f>
        <v>1705.21</v>
      </c>
      <c r="F1754">
        <f>RTD("nest.scriprtd",,"bse_cm|KFLZC25","Ask Rate")</f>
        <v>2110</v>
      </c>
      <c r="G1754">
        <f>RTD("nest.scriprtd",,"bse_cm|KFLZC25","Ask Qty")</f>
        <v>50</v>
      </c>
      <c r="H1754">
        <f>RTD("nest.scriprtd",,"bse_cm|KFLZC25","LTP")</f>
        <v>0</v>
      </c>
      <c r="I1754" t="str">
        <f>RTD("nest.scriprtd",,"bse_cm|KFLZC25","LTT")</f>
        <v>00:00:00</v>
      </c>
      <c r="J1754">
        <f>RTD("nest.scriprtd",,"bse_cm|KFLZC25","% Change")</f>
        <v>-100</v>
      </c>
      <c r="K1754">
        <f>RTD("nest.scriprtd",,"bse_cm|KFLZC25","ATP")</f>
        <v>0</v>
      </c>
      <c r="L1754">
        <f>RTD("nest.scriprtd",,"bse_cm|KFLZC25","Volume Traded Today")</f>
        <v>0</v>
      </c>
      <c r="M1754">
        <f>RTD("nest.scriprtd",,"bse_cm|KFLZC25","Open")</f>
        <v>0</v>
      </c>
      <c r="N1754">
        <f>RTD("nest.scriprtd",,"bse_cm|KFLZC25","High")</f>
        <v>1880</v>
      </c>
      <c r="O1754">
        <f>RTD("nest.scriprtd",,"bse_cm|KFLZC25","Low ")</f>
        <v>1880</v>
      </c>
      <c r="P1754">
        <f>RTD("nest.scriprtd",,"bse_cm|KFLZC25","Prev Close")</f>
        <v>1880</v>
      </c>
      <c r="Q1754">
        <f>RTD("nest.scriprtd",,"bse_cm|KFLZC25","Face Value")</f>
        <v>1000</v>
      </c>
      <c r="R1754" t="str">
        <f>RTD("nest.scriprtd",,"bse_cm|KFLZC25","Isin code")</f>
        <v>INE403Q08100</v>
      </c>
      <c r="S1754" s="9">
        <f>Table1[[#This Row],[Ask Rate]]*Table1[[#This Row],[Ask Qty]]</f>
        <v>105500</v>
      </c>
      <c r="T1754" t="str">
        <f>VLOOKUP(Table1[[#This Row],[Isin code]],Table2[#All],7,FALSE)</f>
        <v>--</v>
      </c>
      <c r="U1754" s="17" t="str">
        <f>VLOOKUP(Table1[[#This Row],[Isin code]],Table2[#All],8,FALSE)</f>
        <v>07-May-2025</v>
      </c>
      <c r="V1754" s="10">
        <f ca="1">Table1[[#This Row],[Maturity]]-TODAY()</f>
        <v>203</v>
      </c>
      <c r="W1754" t="str">
        <f>VLOOKUP(Table1[[#This Row],[Isin code]],Table2[#All],10,FALSE)</f>
        <v>At the End</v>
      </c>
      <c r="X1754">
        <f ca="1">_xlfn.DAYS(Table1[[#This Row],[Maturity]],TODAY())-15</f>
        <v>188</v>
      </c>
      <c r="Y175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54">
        <f>IF(Table1[[#This Row],[Ask Rate]]=0,0,Table1[[#This Row],[Face Value]]-Table1[[#This Row],[Ask Rate]])</f>
        <v>-1110</v>
      </c>
      <c r="AA175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4">
        <f>Table1[[#This Row],[Face Value]]*Table1[[#This Row],[Rate]]*Table1[[#This Row],[Time]]</f>
        <v>0</v>
      </c>
      <c r="AC1754">
        <f>Table1[[#This Row],[SI]]+Table1[[#This Row],[Disc/Prem]]</f>
        <v>-1110</v>
      </c>
      <c r="AD1754" s="3">
        <f>Table1[[#This Row],[Net Gain]]/Table1[[#This Row],[Ask Rate]]</f>
        <v>-0.52606635071090047</v>
      </c>
      <c r="AE1754" s="3">
        <f ca="1">IF(Table1[[#This Row],[Ask Qty]]=0,0,Table1[[#This Row],[Gross Yield]]*365/Table1[[#This Row],[Days Left]])</f>
        <v>-0.9458828473373333</v>
      </c>
      <c r="AF1754" s="9">
        <f>+Table1[[#This Row],[Net Gain]]*Table1[[#This Row],[Ask Qty]]</f>
        <v>-55500</v>
      </c>
      <c r="AG1754" t="str">
        <f ca="1">IF(Table1[[#This Row],[YTM]]&gt;0.12,IF(Table1[[#This Row],[Gross Profit]]&gt;10000,"Invest","Review"),"Low YTM")</f>
        <v>Low YTM</v>
      </c>
    </row>
    <row r="1755" spans="1:33" hidden="1" x14ac:dyDescent="0.3">
      <c r="A1755" t="str">
        <f>RTD("nest.scriprtd",,"bse_cm|EFSL24C","Symbol")</f>
        <v>EFSL24C</v>
      </c>
      <c r="B1755" t="str">
        <f>RTD("nest.scriprtd",,"bse_cm|EFSL24C","Trading Symbol")</f>
        <v>EFSL24C</v>
      </c>
      <c r="C1755" t="str">
        <f>RTD("nest.scriprtd",,"bse_cm|EFSL24C","Exchange")</f>
        <v>BSE</v>
      </c>
      <c r="D1755">
        <f>RTD("nest.scriprtd",,"bse_cm|EFSL24C","Bid Qty")</f>
        <v>160</v>
      </c>
      <c r="E1755">
        <f>RTD("nest.scriprtd",,"bse_cm|EFSL24C","Bid Rate")</f>
        <v>1252.8</v>
      </c>
      <c r="F1755">
        <f>RTD("nest.scriprtd",,"bse_cm|EFSL24C","Ask Rate")</f>
        <v>1267.8</v>
      </c>
      <c r="G1755">
        <f>RTD("nest.scriprtd",,"bse_cm|EFSL24C","Ask Qty")</f>
        <v>90</v>
      </c>
      <c r="H1755">
        <f>RTD("nest.scriprtd",,"bse_cm|EFSL24C","LTP")</f>
        <v>0</v>
      </c>
      <c r="I1755" t="str">
        <f>RTD("nest.scriprtd",,"bse_cm|EFSL24C","LTT")</f>
        <v>00:00:00</v>
      </c>
      <c r="J1755">
        <f>RTD("nest.scriprtd",,"bse_cm|EFSL24C","% Change")</f>
        <v>-100</v>
      </c>
      <c r="K1755">
        <f>RTD("nest.scriprtd",,"bse_cm|EFSL24C","ATP")</f>
        <v>0</v>
      </c>
      <c r="L1755">
        <f>RTD("nest.scriprtd",,"bse_cm|EFSL24C","Volume Traded Today")</f>
        <v>0</v>
      </c>
      <c r="M1755">
        <f>RTD("nest.scriprtd",,"bse_cm|EFSL24C","Open")</f>
        <v>0</v>
      </c>
      <c r="N1755">
        <f>RTD("nest.scriprtd",,"bse_cm|EFSL24C","High")</f>
        <v>1257</v>
      </c>
      <c r="O1755">
        <f>RTD("nest.scriprtd",,"bse_cm|EFSL24C","Low ")</f>
        <v>1257</v>
      </c>
      <c r="P1755">
        <f>RTD("nest.scriprtd",,"bse_cm|EFSL24C","Prev Close")</f>
        <v>1257</v>
      </c>
      <c r="Q1755">
        <f>RTD("nest.scriprtd",,"bse_cm|EFSL24C","Face Value")</f>
        <v>1000</v>
      </c>
      <c r="R1755" t="str">
        <f>RTD("nest.scriprtd",,"bse_cm|EFSL24C","Isin code")</f>
        <v>INE532F07CP4</v>
      </c>
      <c r="S1755" s="9">
        <f>Table1[[#This Row],[Ask Rate]]*Table1[[#This Row],[Ask Qty]]</f>
        <v>114102</v>
      </c>
      <c r="T1755" t="str">
        <f>VLOOKUP(Table1[[#This Row],[Isin code]],Table2[#All],7,FALSE)</f>
        <v>--</v>
      </c>
      <c r="U1755" s="17" t="str">
        <f>VLOOKUP(Table1[[#This Row],[Isin code]],Table2[#All],8,FALSE)</f>
        <v>28-Dec-2024</v>
      </c>
      <c r="V1755" s="10">
        <f ca="1">Table1[[#This Row],[Maturity]]-TODAY()</f>
        <v>73</v>
      </c>
      <c r="W1755" t="str">
        <f>VLOOKUP(Table1[[#This Row],[Isin code]],Table2[#All],10,FALSE)</f>
        <v>At the End</v>
      </c>
      <c r="X1755">
        <f ca="1">_xlfn.DAYS(Table1[[#This Row],[Maturity]],TODAY())-15</f>
        <v>58</v>
      </c>
      <c r="Y175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55">
        <f>IF(Table1[[#This Row],[Ask Rate]]=0,0,Table1[[#This Row],[Face Value]]-Table1[[#This Row],[Ask Rate]])</f>
        <v>-267.79999999999995</v>
      </c>
      <c r="AA175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5">
        <f>Table1[[#This Row],[Face Value]]*Table1[[#This Row],[Rate]]*Table1[[#This Row],[Time]]</f>
        <v>0</v>
      </c>
      <c r="AC1755">
        <f>Table1[[#This Row],[SI]]+Table1[[#This Row],[Disc/Prem]]</f>
        <v>-267.79999999999995</v>
      </c>
      <c r="AD1755" s="3">
        <f>Table1[[#This Row],[Net Gain]]/Table1[[#This Row],[Ask Rate]]</f>
        <v>-0.21123205552926327</v>
      </c>
      <c r="AE1755" s="3">
        <f ca="1">IF(Table1[[#This Row],[Ask Qty]]=0,0,Table1[[#This Row],[Gross Yield]]*365/Table1[[#This Row],[Days Left]])</f>
        <v>-1.0561602776463164</v>
      </c>
      <c r="AF1755" s="9">
        <f>+Table1[[#This Row],[Net Gain]]*Table1[[#This Row],[Ask Qty]]</f>
        <v>-24101.999999999996</v>
      </c>
      <c r="AG1755" t="str">
        <f ca="1">IF(Table1[[#This Row],[YTM]]&gt;0.12,IF(Table1[[#This Row],[Gross Profit]]&gt;10000,"Invest","Review"),"Low YTM")</f>
        <v>Low YTM</v>
      </c>
    </row>
    <row r="1756" spans="1:33" hidden="1" x14ac:dyDescent="0.3">
      <c r="A1756" t="str">
        <f>RTD("nest.scriprtd",,"bse_cm|MFL24B","Symbol")</f>
        <v>MFL24B</v>
      </c>
      <c r="B1756" t="str">
        <f>RTD("nest.scriprtd",,"bse_cm|MFL24B","Trading Symbol")</f>
        <v>MFL24B</v>
      </c>
      <c r="C1756" t="str">
        <f>RTD("nest.scriprtd",,"bse_cm|MFL24B","Exchange")</f>
        <v>BSE</v>
      </c>
      <c r="D1756">
        <f>RTD("nest.scriprtd",,"bse_cm|MFL24B","Bid Qty")</f>
        <v>15</v>
      </c>
      <c r="E1756">
        <f>RTD("nest.scriprtd",,"bse_cm|MFL24B","Bid Rate")</f>
        <v>1169</v>
      </c>
      <c r="F1756">
        <f>RTD("nest.scriprtd",,"bse_cm|MFL24B","Ask Rate")</f>
        <v>1173</v>
      </c>
      <c r="G1756">
        <f>RTD("nest.scriprtd",,"bse_cm|MFL24B","Ask Qty")</f>
        <v>34</v>
      </c>
      <c r="H1756">
        <f>RTD("nest.scriprtd",,"bse_cm|MFL24B","LTP")</f>
        <v>1172.2</v>
      </c>
      <c r="I1756" t="str">
        <f>RTD("nest.scriprtd",,"bse_cm|MFL24B","LTT")</f>
        <v>15:10:51</v>
      </c>
      <c r="J1756">
        <f>RTD("nest.scriprtd",,"bse_cm|MFL24B","% Change")</f>
        <v>0.62</v>
      </c>
      <c r="K1756">
        <f>RTD("nest.scriprtd",,"bse_cm|MFL24B","ATP")</f>
        <v>1166.5899999999999</v>
      </c>
      <c r="L1756">
        <f>RTD("nest.scriprtd",,"bse_cm|MFL24B","Volume Traded Today")</f>
        <v>28916</v>
      </c>
      <c r="M1756">
        <f>RTD("nest.scriprtd",,"bse_cm|MFL24B","Open")</f>
        <v>0</v>
      </c>
      <c r="N1756">
        <f>RTD("nest.scriprtd",,"bse_cm|MFL24B","High")</f>
        <v>1173</v>
      </c>
      <c r="O1756">
        <f>RTD("nest.scriprtd",,"bse_cm|MFL24B","Low ")</f>
        <v>1166.5</v>
      </c>
      <c r="P1756">
        <f>RTD("nest.scriprtd",,"bse_cm|MFL24B","Prev Close")</f>
        <v>1165</v>
      </c>
      <c r="Q1756">
        <f>RTD("nest.scriprtd",,"bse_cm|MFL24B","Face Value")</f>
        <v>1000</v>
      </c>
      <c r="R1756" t="str">
        <f>RTD("nest.scriprtd",,"bse_cm|MFL24B","Isin code")</f>
        <v>INE549K07BM7</v>
      </c>
      <c r="S1756" s="9">
        <f>Table1[[#This Row],[Ask Rate]]*Table1[[#This Row],[Ask Qty]]</f>
        <v>39882</v>
      </c>
      <c r="T1756" t="str">
        <f>VLOOKUP(Table1[[#This Row],[Isin code]],Table2[#All],7,FALSE)</f>
        <v>--</v>
      </c>
      <c r="U1756" s="17" t="str">
        <f>VLOOKUP(Table1[[#This Row],[Isin code]],Table2[#All],8,FALSE)</f>
        <v>05-Dec-2024</v>
      </c>
      <c r="V1756" s="10">
        <f ca="1">Table1[[#This Row],[Maturity]]-TODAY()</f>
        <v>50</v>
      </c>
      <c r="W1756" t="str">
        <f>VLOOKUP(Table1[[#This Row],[Isin code]],Table2[#All],10,FALSE)</f>
        <v>At the End</v>
      </c>
      <c r="X1756">
        <f ca="1">_xlfn.DAYS(Table1[[#This Row],[Maturity]],TODAY())-15</f>
        <v>35</v>
      </c>
      <c r="Y175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56">
        <f>IF(Table1[[#This Row],[Ask Rate]]=0,0,Table1[[#This Row],[Face Value]]-Table1[[#This Row],[Ask Rate]])</f>
        <v>-173</v>
      </c>
      <c r="AA175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6">
        <f>Table1[[#This Row],[Face Value]]*Table1[[#This Row],[Rate]]*Table1[[#This Row],[Time]]</f>
        <v>0</v>
      </c>
      <c r="AC1756">
        <f>Table1[[#This Row],[SI]]+Table1[[#This Row],[Disc/Prem]]</f>
        <v>-173</v>
      </c>
      <c r="AD1756" s="3">
        <f>Table1[[#This Row],[Net Gain]]/Table1[[#This Row],[Ask Rate]]</f>
        <v>-0.1474850809889173</v>
      </c>
      <c r="AE1756" s="3">
        <f ca="1">IF(Table1[[#This Row],[Ask Qty]]=0,0,Table1[[#This Row],[Gross Yield]]*365/Table1[[#This Row],[Days Left]])</f>
        <v>-1.0766410912190962</v>
      </c>
      <c r="AF1756" s="9">
        <f>+Table1[[#This Row],[Net Gain]]*Table1[[#This Row],[Ask Qty]]</f>
        <v>-5882</v>
      </c>
      <c r="AG1756" t="str">
        <f ca="1">IF(Table1[[#This Row],[YTM]]&gt;0.12,IF(Table1[[#This Row],[Gross Profit]]&gt;10000,"Invest","Review"),"Low YTM")</f>
        <v>Low YTM</v>
      </c>
    </row>
    <row r="1757" spans="1:33" hidden="1" x14ac:dyDescent="0.3">
      <c r="A1757" t="str">
        <f>RTD("nest.scriprtd",,"bse_cm|MFLZC25A","Symbol")</f>
        <v>MFLZC25A</v>
      </c>
      <c r="B1757" t="str">
        <f>RTD("nest.scriprtd",,"bse_cm|MFLZC25A","Trading Symbol")</f>
        <v>MFLZC25A</v>
      </c>
      <c r="C1757" t="str">
        <f>RTD("nest.scriprtd",,"bse_cm|MFLZC25A","Exchange")</f>
        <v>BSE</v>
      </c>
      <c r="D1757">
        <f>RTD("nest.scriprtd",,"bse_cm|MFLZC25A","Bid Qty")</f>
        <v>50</v>
      </c>
      <c r="E1757">
        <f>RTD("nest.scriprtd",,"bse_cm|MFLZC25A","Bid Rate")</f>
        <v>1426.02</v>
      </c>
      <c r="F1757">
        <f>RTD("nest.scriprtd",,"bse_cm|MFLZC25A","Ask Rate")</f>
        <v>1546.8</v>
      </c>
      <c r="G1757">
        <f>RTD("nest.scriprtd",,"bse_cm|MFLZC25A","Ask Qty")</f>
        <v>110</v>
      </c>
      <c r="H1757">
        <f>RTD("nest.scriprtd",,"bse_cm|MFLZC25A","LTP")</f>
        <v>0</v>
      </c>
      <c r="I1757" t="str">
        <f>RTD("nest.scriprtd",,"bse_cm|MFLZC25A","LTT")</f>
        <v>00:00:00</v>
      </c>
      <c r="J1757">
        <f>RTD("nest.scriprtd",,"bse_cm|MFLZC25A","% Change")</f>
        <v>-100</v>
      </c>
      <c r="K1757">
        <f>RTD("nest.scriprtd",,"bse_cm|MFLZC25A","ATP")</f>
        <v>0</v>
      </c>
      <c r="L1757">
        <f>RTD("nest.scriprtd",,"bse_cm|MFLZC25A","Volume Traded Today")</f>
        <v>0</v>
      </c>
      <c r="M1757">
        <f>RTD("nest.scriprtd",,"bse_cm|MFLZC25A","Open")</f>
        <v>0</v>
      </c>
      <c r="N1757">
        <f>RTD("nest.scriprtd",,"bse_cm|MFLZC25A","High")</f>
        <v>1546.8</v>
      </c>
      <c r="O1757">
        <f>RTD("nest.scriprtd",,"bse_cm|MFLZC25A","Low ")</f>
        <v>1535</v>
      </c>
      <c r="P1757">
        <f>RTD("nest.scriprtd",,"bse_cm|MFLZC25A","Prev Close")</f>
        <v>1535.68</v>
      </c>
      <c r="Q1757">
        <f>RTD("nest.scriprtd",,"bse_cm|MFLZC25A","Face Value")</f>
        <v>1000</v>
      </c>
      <c r="R1757" t="str">
        <f>RTD("nest.scriprtd",,"bse_cm|MFLZC25A","Isin code")</f>
        <v>INE549K07618</v>
      </c>
      <c r="S1757" s="9">
        <f>Table1[[#This Row],[Ask Rate]]*Table1[[#This Row],[Ask Qty]]</f>
        <v>170148</v>
      </c>
      <c r="T1757" t="str">
        <f>VLOOKUP(Table1[[#This Row],[Isin code]],Table2[#All],7,FALSE)</f>
        <v>--</v>
      </c>
      <c r="U1757" s="17" t="str">
        <f>VLOOKUP(Table1[[#This Row],[Isin code]],Table2[#All],8,FALSE)</f>
        <v>07-Feb-2025</v>
      </c>
      <c r="V1757" s="10">
        <f ca="1">Table1[[#This Row],[Maturity]]-TODAY()</f>
        <v>114</v>
      </c>
      <c r="W1757" t="str">
        <f>VLOOKUP(Table1[[#This Row],[Isin code]],Table2[#All],10,FALSE)</f>
        <v>At the End</v>
      </c>
      <c r="X1757">
        <f ca="1">_xlfn.DAYS(Table1[[#This Row],[Maturity]],TODAY())-15</f>
        <v>99</v>
      </c>
      <c r="Y175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57">
        <f>IF(Table1[[#This Row],[Ask Rate]]=0,0,Table1[[#This Row],[Face Value]]-Table1[[#This Row],[Ask Rate]])</f>
        <v>-546.79999999999995</v>
      </c>
      <c r="AA175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7">
        <f>Table1[[#This Row],[Face Value]]*Table1[[#This Row],[Rate]]*Table1[[#This Row],[Time]]</f>
        <v>0</v>
      </c>
      <c r="AC1757">
        <f>Table1[[#This Row],[SI]]+Table1[[#This Row],[Disc/Prem]]</f>
        <v>-546.79999999999995</v>
      </c>
      <c r="AD1757" s="3">
        <f>Table1[[#This Row],[Net Gain]]/Table1[[#This Row],[Ask Rate]]</f>
        <v>-0.35350400827514866</v>
      </c>
      <c r="AE1757" s="3">
        <f ca="1">IF(Table1[[#This Row],[Ask Qty]]=0,0,Table1[[#This Row],[Gross Yield]]*365/Table1[[#This Row],[Days Left]])</f>
        <v>-1.1318330089511339</v>
      </c>
      <c r="AF1757" s="9">
        <f>+Table1[[#This Row],[Net Gain]]*Table1[[#This Row],[Ask Qty]]</f>
        <v>-60147.999999999993</v>
      </c>
      <c r="AG1757" t="str">
        <f ca="1">IF(Table1[[#This Row],[YTM]]&gt;0.12,IF(Table1[[#This Row],[Gross Profit]]&gt;10000,"Invest","Review"),"Low YTM")</f>
        <v>Low YTM</v>
      </c>
    </row>
    <row r="1758" spans="1:33" hidden="1" x14ac:dyDescent="0.3">
      <c r="A1758" t="str">
        <f>RTD("nest.scriprtd",,"bse_cm|NWFLZC25","Symbol")</f>
        <v>NWFLZC25</v>
      </c>
      <c r="B1758" t="str">
        <f>RTD("nest.scriprtd",,"bse_cm|NWFLZC25","Trading Symbol")</f>
        <v>NWFLZC25</v>
      </c>
      <c r="C1758" t="str">
        <f>RTD("nest.scriprtd",,"bse_cm|NWFLZC25","Exchange")</f>
        <v>BSE</v>
      </c>
      <c r="D1758">
        <f>RTD("nest.scriprtd",,"bse_cm|NWFLZC25","Bid Qty")</f>
        <v>190</v>
      </c>
      <c r="E1758">
        <f>RTD("nest.scriprtd",,"bse_cm|NWFLZC25","Bid Rate")</f>
        <v>1550.2</v>
      </c>
      <c r="F1758">
        <f>RTD("nest.scriprtd",,"bse_cm|NWFLZC25","Ask Rate")</f>
        <v>1585.8</v>
      </c>
      <c r="G1758">
        <f>RTD("nest.scriprtd",,"bse_cm|NWFLZC25","Ask Qty")</f>
        <v>57</v>
      </c>
      <c r="H1758">
        <f>RTD("nest.scriprtd",,"bse_cm|NWFLZC25","LTP")</f>
        <v>0</v>
      </c>
      <c r="I1758" t="str">
        <f>RTD("nest.scriprtd",,"bse_cm|NWFLZC25","LTT")</f>
        <v>00:00:00</v>
      </c>
      <c r="J1758">
        <f>RTD("nest.scriprtd",,"bse_cm|NWFLZC25","% Change")</f>
        <v>-100</v>
      </c>
      <c r="K1758">
        <f>RTD("nest.scriprtd",,"bse_cm|NWFLZC25","ATP")</f>
        <v>0</v>
      </c>
      <c r="L1758">
        <f>RTD("nest.scriprtd",,"bse_cm|NWFLZC25","Volume Traded Today")</f>
        <v>0</v>
      </c>
      <c r="M1758">
        <f>RTD("nest.scriprtd",,"bse_cm|NWFLZC25","Open")</f>
        <v>0</v>
      </c>
      <c r="N1758">
        <f>RTD("nest.scriprtd",,"bse_cm|NWFLZC25","High")</f>
        <v>1565</v>
      </c>
      <c r="O1758">
        <f>RTD("nest.scriprtd",,"bse_cm|NWFLZC25","Low ")</f>
        <v>1565</v>
      </c>
      <c r="P1758">
        <f>RTD("nest.scriprtd",,"bse_cm|NWFLZC25","Prev Close")</f>
        <v>1565</v>
      </c>
      <c r="Q1758">
        <f>RTD("nest.scriprtd",,"bse_cm|NWFLZC25","Face Value")</f>
        <v>1000</v>
      </c>
      <c r="R1758" t="str">
        <f>RTD("nest.scriprtd",,"bse_cm|NWFLZC25","Isin code")</f>
        <v>INE918K07FT0</v>
      </c>
      <c r="S1758" s="9">
        <f>Table1[[#This Row],[Ask Rate]]*Table1[[#This Row],[Ask Qty]]</f>
        <v>90390.599999999991</v>
      </c>
      <c r="T1758" t="str">
        <f>VLOOKUP(Table1[[#This Row],[Isin code]],Table2[#All],7,FALSE)</f>
        <v>--</v>
      </c>
      <c r="U1758" s="17" t="str">
        <f>VLOOKUP(Table1[[#This Row],[Isin code]],Table2[#All],8,FALSE)</f>
        <v>05-Feb-2025</v>
      </c>
      <c r="V1758" s="10">
        <f ca="1">Table1[[#This Row],[Maturity]]-TODAY()</f>
        <v>112</v>
      </c>
      <c r="W1758" t="str">
        <f>VLOOKUP(Table1[[#This Row],[Isin code]],Table2[#All],10,FALSE)</f>
        <v>At the End</v>
      </c>
      <c r="X1758">
        <f ca="1">_xlfn.DAYS(Table1[[#This Row],[Maturity]],TODAY())-15</f>
        <v>97</v>
      </c>
      <c r="Y175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58">
        <f>IF(Table1[[#This Row],[Ask Rate]]=0,0,Table1[[#This Row],[Face Value]]-Table1[[#This Row],[Ask Rate]])</f>
        <v>-585.79999999999995</v>
      </c>
      <c r="AA175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8">
        <f>Table1[[#This Row],[Face Value]]*Table1[[#This Row],[Rate]]*Table1[[#This Row],[Time]]</f>
        <v>0</v>
      </c>
      <c r="AC1758">
        <f>Table1[[#This Row],[SI]]+Table1[[#This Row],[Disc/Prem]]</f>
        <v>-585.79999999999995</v>
      </c>
      <c r="AD1758" s="3">
        <f>Table1[[#This Row],[Net Gain]]/Table1[[#This Row],[Ask Rate]]</f>
        <v>-0.36940345566906291</v>
      </c>
      <c r="AE1758" s="3">
        <f ca="1">IF(Table1[[#This Row],[Ask Qty]]=0,0,Table1[[#This Row],[Gross Yield]]*365/Table1[[#This Row],[Days Left]])</f>
        <v>-1.2038594760643568</v>
      </c>
      <c r="AF1758" s="9">
        <f>+Table1[[#This Row],[Net Gain]]*Table1[[#This Row],[Ask Qty]]</f>
        <v>-33390.6</v>
      </c>
      <c r="AG1758" t="str">
        <f ca="1">IF(Table1[[#This Row],[YTM]]&gt;0.12,IF(Table1[[#This Row],[Gross Profit]]&gt;10000,"Invest","Review"),"Low YTM")</f>
        <v>Low YTM</v>
      </c>
    </row>
    <row r="1759" spans="1:33" hidden="1" x14ac:dyDescent="0.3">
      <c r="A1759" t="str">
        <f>RTD("nest.scriprtd",,"bse_cm|MFL24A","Symbol")</f>
        <v>MFL24A</v>
      </c>
      <c r="B1759" t="str">
        <f>RTD("nest.scriprtd",,"bse_cm|MFL24A","Trading Symbol")</f>
        <v>MFL24A</v>
      </c>
      <c r="C1759" t="str">
        <f>RTD("nest.scriprtd",,"bse_cm|MFL24A","Exchange")</f>
        <v>BSE</v>
      </c>
      <c r="D1759">
        <f>RTD("nest.scriprtd",,"bse_cm|MFL24A","Bid Qty")</f>
        <v>180</v>
      </c>
      <c r="E1759">
        <f>RTD("nest.scriprtd",,"bse_cm|MFL24A","Bid Rate")</f>
        <v>1250.2</v>
      </c>
      <c r="F1759">
        <f>RTD("nest.scriprtd",,"bse_cm|MFL24A","Ask Rate")</f>
        <v>1350.25</v>
      </c>
      <c r="G1759">
        <f>RTD("nest.scriprtd",,"bse_cm|MFL24A","Ask Qty")</f>
        <v>50</v>
      </c>
      <c r="H1759">
        <f>RTD("nest.scriprtd",,"bse_cm|MFL24A","LTP")</f>
        <v>0</v>
      </c>
      <c r="I1759" t="str">
        <f>RTD("nest.scriprtd",,"bse_cm|MFL24A","LTT")</f>
        <v>00:00:00</v>
      </c>
      <c r="J1759">
        <f>RTD("nest.scriprtd",,"bse_cm|MFL24A","% Change")</f>
        <v>-100</v>
      </c>
      <c r="K1759">
        <f>RTD("nest.scriprtd",,"bse_cm|MFL24A","ATP")</f>
        <v>0</v>
      </c>
      <c r="L1759">
        <f>RTD("nest.scriprtd",,"bse_cm|MFL24A","Volume Traded Today")</f>
        <v>0</v>
      </c>
      <c r="M1759">
        <f>RTD("nest.scriprtd",,"bse_cm|MFL24A","Open")</f>
        <v>0</v>
      </c>
      <c r="N1759">
        <f>RTD("nest.scriprtd",,"bse_cm|MFL24A","High")</f>
        <v>1256</v>
      </c>
      <c r="O1759">
        <f>RTD("nest.scriprtd",,"bse_cm|MFL24A","Low ")</f>
        <v>1256</v>
      </c>
      <c r="P1759">
        <f>RTD("nest.scriprtd",,"bse_cm|MFL24A","Prev Close")</f>
        <v>1256</v>
      </c>
      <c r="Q1759">
        <f>RTD("nest.scriprtd",,"bse_cm|MFL24A","Face Value")</f>
        <v>1000</v>
      </c>
      <c r="R1759" t="str">
        <f>RTD("nest.scriprtd",,"bse_cm|MFL24A","Isin code")</f>
        <v>INE549K07AW8</v>
      </c>
      <c r="S1759" s="9">
        <f>Table1[[#This Row],[Ask Rate]]*Table1[[#This Row],[Ask Qty]]</f>
        <v>67512.5</v>
      </c>
      <c r="T1759" t="str">
        <f>VLOOKUP(Table1[[#This Row],[Isin code]],Table2[#All],7,FALSE)</f>
        <v>--</v>
      </c>
      <c r="U1759" s="17" t="str">
        <f>VLOOKUP(Table1[[#This Row],[Isin code]],Table2[#All],8,FALSE)</f>
        <v>28-Dec-2024</v>
      </c>
      <c r="V1759" s="10">
        <f ca="1">Table1[[#This Row],[Maturity]]-TODAY()</f>
        <v>73</v>
      </c>
      <c r="W1759" t="str">
        <f>VLOOKUP(Table1[[#This Row],[Isin code]],Table2[#All],10,FALSE)</f>
        <v>At the End</v>
      </c>
      <c r="X1759">
        <f ca="1">_xlfn.DAYS(Table1[[#This Row],[Maturity]],TODAY())-15</f>
        <v>58</v>
      </c>
      <c r="Y175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59">
        <f>IF(Table1[[#This Row],[Ask Rate]]=0,0,Table1[[#This Row],[Face Value]]-Table1[[#This Row],[Ask Rate]])</f>
        <v>-350.25</v>
      </c>
      <c r="AA175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59">
        <f>Table1[[#This Row],[Face Value]]*Table1[[#This Row],[Rate]]*Table1[[#This Row],[Time]]</f>
        <v>0</v>
      </c>
      <c r="AC1759">
        <f>Table1[[#This Row],[SI]]+Table1[[#This Row],[Disc/Prem]]</f>
        <v>-350.25</v>
      </c>
      <c r="AD1759" s="3">
        <f>Table1[[#This Row],[Net Gain]]/Table1[[#This Row],[Ask Rate]]</f>
        <v>-0.25939640807257913</v>
      </c>
      <c r="AE1759" s="3">
        <f ca="1">IF(Table1[[#This Row],[Ask Qty]]=0,0,Table1[[#This Row],[Gross Yield]]*365/Table1[[#This Row],[Days Left]])</f>
        <v>-1.2969820403628955</v>
      </c>
      <c r="AF1759" s="9">
        <f>+Table1[[#This Row],[Net Gain]]*Table1[[#This Row],[Ask Qty]]</f>
        <v>-17512.5</v>
      </c>
      <c r="AG1759" t="str">
        <f ca="1">IF(Table1[[#This Row],[YTM]]&gt;0.12,IF(Table1[[#This Row],[Gross Profit]]&gt;10000,"Invest","Review"),"Low YTM")</f>
        <v>Low YTM</v>
      </c>
    </row>
    <row r="1760" spans="1:33" hidden="1" x14ac:dyDescent="0.3">
      <c r="A1760" t="str">
        <f>RTD("nest.scriprtd",,"bse_cm|KFLZC2A","Symbol")</f>
        <v>KFLZC2A</v>
      </c>
      <c r="B1760" t="str">
        <f>RTD("nest.scriprtd",,"bse_cm|KFLZC2A","Trading Symbol")</f>
        <v>KFLZC2A</v>
      </c>
      <c r="C1760" t="str">
        <f>RTD("nest.scriprtd",,"bse_cm|KFLZC2A","Exchange")</f>
        <v>BSE</v>
      </c>
      <c r="D1760">
        <f>RTD("nest.scriprtd",,"bse_cm|KFLZC2A","Bid Qty")</f>
        <v>31</v>
      </c>
      <c r="E1760">
        <f>RTD("nest.scriprtd",,"bse_cm|KFLZC2A","Bid Rate")</f>
        <v>1390.21</v>
      </c>
      <c r="F1760">
        <f>RTD("nest.scriprtd",,"bse_cm|KFLZC2A","Ask Rate")</f>
        <v>1692</v>
      </c>
      <c r="G1760">
        <f>RTD("nest.scriprtd",,"bse_cm|KFLZC2A","Ask Qty")</f>
        <v>50</v>
      </c>
      <c r="H1760">
        <f>RTD("nest.scriprtd",,"bse_cm|KFLZC2A","LTP")</f>
        <v>0</v>
      </c>
      <c r="I1760" t="str">
        <f>RTD("nest.scriprtd",,"bse_cm|KFLZC2A","LTT")</f>
        <v>00:00:00</v>
      </c>
      <c r="J1760">
        <f>RTD("nest.scriprtd",,"bse_cm|KFLZC2A","% Change")</f>
        <v>-100</v>
      </c>
      <c r="K1760">
        <f>RTD("nest.scriprtd",,"bse_cm|KFLZC2A","ATP")</f>
        <v>0</v>
      </c>
      <c r="L1760">
        <f>RTD("nest.scriprtd",,"bse_cm|KFLZC2A","Volume Traded Today")</f>
        <v>0</v>
      </c>
      <c r="M1760">
        <f>RTD("nest.scriprtd",,"bse_cm|KFLZC2A","Open")</f>
        <v>0</v>
      </c>
      <c r="N1760">
        <f>RTD("nest.scriprtd",,"bse_cm|KFLZC2A","High")</f>
        <v>1431</v>
      </c>
      <c r="O1760">
        <f>RTD("nest.scriprtd",,"bse_cm|KFLZC2A","Low ")</f>
        <v>1431</v>
      </c>
      <c r="P1760">
        <f>RTD("nest.scriprtd",,"bse_cm|KFLZC2A","Prev Close")</f>
        <v>1431</v>
      </c>
      <c r="Q1760">
        <f>RTD("nest.scriprtd",,"bse_cm|KFLZC2A","Face Value")</f>
        <v>1000</v>
      </c>
      <c r="R1760" t="str">
        <f>RTD("nest.scriprtd",,"bse_cm|KFLZC2A","Isin code")</f>
        <v>INE403Q07BQ5</v>
      </c>
      <c r="S1760" s="9">
        <f>Table1[[#This Row],[Ask Rate]]*Table1[[#This Row],[Ask Qty]]</f>
        <v>84600</v>
      </c>
      <c r="T1760" t="str">
        <f>VLOOKUP(Table1[[#This Row],[Isin code]],Table2[#All],7,FALSE)</f>
        <v>--</v>
      </c>
      <c r="U1760" s="17" t="str">
        <f>VLOOKUP(Table1[[#This Row],[Isin code]],Table2[#All],8,FALSE)</f>
        <v>22-Jan-2025</v>
      </c>
      <c r="V1760" s="10">
        <f ca="1">Table1[[#This Row],[Maturity]]-TODAY()</f>
        <v>98</v>
      </c>
      <c r="W1760" t="str">
        <f>VLOOKUP(Table1[[#This Row],[Isin code]],Table2[#All],10,FALSE)</f>
        <v>At the End</v>
      </c>
      <c r="X1760">
        <f ca="1">_xlfn.DAYS(Table1[[#This Row],[Maturity]],TODAY())-15</f>
        <v>83</v>
      </c>
      <c r="Y1760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0">
        <f>IF(Table1[[#This Row],[Ask Rate]]=0,0,Table1[[#This Row],[Face Value]]-Table1[[#This Row],[Ask Rate]])</f>
        <v>-692</v>
      </c>
      <c r="AA1760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0">
        <f>Table1[[#This Row],[Face Value]]*Table1[[#This Row],[Rate]]*Table1[[#This Row],[Time]]</f>
        <v>0</v>
      </c>
      <c r="AC1760">
        <f>Table1[[#This Row],[SI]]+Table1[[#This Row],[Disc/Prem]]</f>
        <v>-692</v>
      </c>
      <c r="AD1760" s="3">
        <f>Table1[[#This Row],[Net Gain]]/Table1[[#This Row],[Ask Rate]]</f>
        <v>-0.40898345153664301</v>
      </c>
      <c r="AE1760" s="3">
        <f ca="1">IF(Table1[[#This Row],[Ask Qty]]=0,0,Table1[[#This Row],[Gross Yield]]*365/Table1[[#This Row],[Days Left]])</f>
        <v>-1.523254691947701</v>
      </c>
      <c r="AF1760" s="9">
        <f>+Table1[[#This Row],[Net Gain]]*Table1[[#This Row],[Ask Qty]]</f>
        <v>-34600</v>
      </c>
      <c r="AG1760" t="str">
        <f ca="1">IF(Table1[[#This Row],[YTM]]&gt;0.12,IF(Table1[[#This Row],[Gross Profit]]&gt;10000,"Invest","Review"),"Low YTM")</f>
        <v>Low YTM</v>
      </c>
    </row>
    <row r="1761" spans="1:33" hidden="1" x14ac:dyDescent="0.3">
      <c r="A1761" t="str">
        <f>RTD("nest.scriprtd",,"bse_cm|CAGL24","Symbol")</f>
        <v>CAGL24</v>
      </c>
      <c r="B1761" t="str">
        <f>RTD("nest.scriprtd",,"bse_cm|CAGL24","Trading Symbol")</f>
        <v>CAGL24</v>
      </c>
      <c r="C1761" t="str">
        <f>RTD("nest.scriprtd",,"bse_cm|CAGL24","Exchange")</f>
        <v>BSE</v>
      </c>
      <c r="D1761">
        <f>RTD("nest.scriprtd",,"bse_cm|CAGL24","Bid Qty")</f>
        <v>25</v>
      </c>
      <c r="E1761">
        <f>RTD("nest.scriprtd",,"bse_cm|CAGL24","Bid Rate")</f>
        <v>1109.2</v>
      </c>
      <c r="F1761">
        <f>RTD("nest.scriprtd",,"bse_cm|CAGL24","Ask Rate")</f>
        <v>1198</v>
      </c>
      <c r="G1761">
        <f>RTD("nest.scriprtd",,"bse_cm|CAGL24","Ask Qty")</f>
        <v>8</v>
      </c>
      <c r="H1761">
        <f>RTD("nest.scriprtd",,"bse_cm|CAGL24","LTP")</f>
        <v>0</v>
      </c>
      <c r="I1761" t="str">
        <f>RTD("nest.scriprtd",,"bse_cm|CAGL24","LTT")</f>
        <v>00:00:00</v>
      </c>
      <c r="J1761">
        <f>RTD("nest.scriprtd",,"bse_cm|CAGL24","% Change")</f>
        <v>-100</v>
      </c>
      <c r="K1761">
        <f>RTD("nest.scriprtd",,"bse_cm|CAGL24","ATP")</f>
        <v>0</v>
      </c>
      <c r="L1761">
        <f>RTD("nest.scriprtd",,"bse_cm|CAGL24","Volume Traded Today")</f>
        <v>0</v>
      </c>
      <c r="M1761">
        <f>RTD("nest.scriprtd",,"bse_cm|CAGL24","Open")</f>
        <v>0</v>
      </c>
      <c r="N1761">
        <f>RTD("nest.scriprtd",,"bse_cm|CAGL24","High")</f>
        <v>1190</v>
      </c>
      <c r="O1761">
        <f>RTD("nest.scriprtd",,"bse_cm|CAGL24","Low ")</f>
        <v>1190</v>
      </c>
      <c r="P1761">
        <f>RTD("nest.scriprtd",,"bse_cm|CAGL24","Prev Close")</f>
        <v>1190</v>
      </c>
      <c r="Q1761">
        <f>RTD("nest.scriprtd",,"bse_cm|CAGL24","Face Value")</f>
        <v>1000</v>
      </c>
      <c r="R1761" t="str">
        <f>RTD("nest.scriprtd",,"bse_cm|CAGL24","Isin code")</f>
        <v>INE741K07454</v>
      </c>
      <c r="S1761" s="9">
        <f>Table1[[#This Row],[Ask Rate]]*Table1[[#This Row],[Ask Qty]]</f>
        <v>9584</v>
      </c>
      <c r="T1761">
        <f>VLOOKUP(Table1[[#This Row],[Isin code]],Table2[#All],7,FALSE)</f>
        <v>0</v>
      </c>
      <c r="U1761" s="17" t="str">
        <f>VLOOKUP(Table1[[#This Row],[Isin code]],Table2[#All],8,FALSE)</f>
        <v>23-Nov-2024</v>
      </c>
      <c r="V1761" s="10">
        <f ca="1">Table1[[#This Row],[Maturity]]-TODAY()</f>
        <v>38</v>
      </c>
      <c r="W1761" t="str">
        <f>VLOOKUP(Table1[[#This Row],[Isin code]],Table2[#All],10,FALSE)</f>
        <v>At the End</v>
      </c>
      <c r="X1761">
        <f ca="1">_xlfn.DAYS(Table1[[#This Row],[Maturity]],TODAY())-15</f>
        <v>23</v>
      </c>
      <c r="Y1761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1">
        <f>IF(Table1[[#This Row],[Ask Rate]]=0,0,Table1[[#This Row],[Face Value]]-Table1[[#This Row],[Ask Rate]])</f>
        <v>-198</v>
      </c>
      <c r="AA1761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1">
        <f>Table1[[#This Row],[Face Value]]*Table1[[#This Row],[Rate]]*Table1[[#This Row],[Time]]</f>
        <v>0</v>
      </c>
      <c r="AC1761">
        <f>Table1[[#This Row],[SI]]+Table1[[#This Row],[Disc/Prem]]</f>
        <v>-198</v>
      </c>
      <c r="AD1761" s="3">
        <f>Table1[[#This Row],[Net Gain]]/Table1[[#This Row],[Ask Rate]]</f>
        <v>-0.1652754590984975</v>
      </c>
      <c r="AE1761" s="3">
        <f ca="1">IF(Table1[[#This Row],[Ask Qty]]=0,0,Table1[[#This Row],[Gross Yield]]*365/Table1[[#This Row],[Days Left]])</f>
        <v>-1.5875142781829366</v>
      </c>
      <c r="AF1761" s="9">
        <f>+Table1[[#This Row],[Net Gain]]*Table1[[#This Row],[Ask Qty]]</f>
        <v>-1584</v>
      </c>
      <c r="AG1761" t="str">
        <f ca="1">IF(Table1[[#This Row],[YTM]]&gt;0.12,IF(Table1[[#This Row],[Gross Profit]]&gt;10000,"Invest","Review"),"Low YTM")</f>
        <v>Low YTM</v>
      </c>
    </row>
    <row r="1762" spans="1:33" hidden="1" x14ac:dyDescent="0.3">
      <c r="A1762" t="str">
        <f>RTD("nest.scriprtd",,"nse_cm|CAGL24-N2","Symbol")</f>
        <v>CAGL24</v>
      </c>
      <c r="B1762" t="str">
        <f>RTD("nest.scriprtd",,"nse_cm|CAGL24-N2","Trading Symbol")</f>
        <v>CAGL24-N2</v>
      </c>
      <c r="C1762" t="str">
        <f>RTD("nest.scriprtd",,"nse_cm|CAGL24-N2","Exchange")</f>
        <v>NSE</v>
      </c>
      <c r="D1762">
        <f>RTD("nest.scriprtd",,"nse_cm|CAGL24-N2","Bid Qty")</f>
        <v>1</v>
      </c>
      <c r="E1762">
        <f>RTD("nest.scriprtd",,"nse_cm|CAGL24-N2","Bid Rate")</f>
        <v>1116</v>
      </c>
      <c r="F1762">
        <f>RTD("nest.scriprtd",,"nse_cm|CAGL24-N2","Ask Rate")</f>
        <v>1198</v>
      </c>
      <c r="G1762">
        <f>RTD("nest.scriprtd",,"nse_cm|CAGL24-N2","Ask Qty")</f>
        <v>8</v>
      </c>
      <c r="H1762">
        <f>RTD("nest.scriprtd",,"nse_cm|CAGL24-N2","LTP")</f>
        <v>1191</v>
      </c>
      <c r="I1762" t="str">
        <f>RTD("nest.scriprtd",,"nse_cm|CAGL24-N2","LTT")</f>
        <v/>
      </c>
      <c r="J1762">
        <f>RTD("nest.scriprtd",,"nse_cm|CAGL24-N2","% Change")</f>
        <v>0</v>
      </c>
      <c r="K1762">
        <f>RTD("nest.scriprtd",,"nse_cm|CAGL24-N2","ATP")</f>
        <v>0</v>
      </c>
      <c r="L1762">
        <f>RTD("nest.scriprtd",,"nse_cm|CAGL24-N2","Volume Traded Today")</f>
        <v>0</v>
      </c>
      <c r="M1762">
        <f>RTD("nest.scriprtd",,"nse_cm|CAGL24-N2","Open")</f>
        <v>0</v>
      </c>
      <c r="N1762">
        <f>RTD("nest.scriprtd",,"nse_cm|CAGL24-N2","High")</f>
        <v>1191</v>
      </c>
      <c r="O1762">
        <f>RTD("nest.scriprtd",,"nse_cm|CAGL24-N2","Low ")</f>
        <v>1191</v>
      </c>
      <c r="P1762">
        <f>RTD("nest.scriprtd",,"nse_cm|CAGL24-N2","Prev Close")</f>
        <v>1191</v>
      </c>
      <c r="Q1762">
        <f>RTD("nest.scriprtd",,"nse_cm|CAGL24-N2","Face Value")</f>
        <v>1000</v>
      </c>
      <c r="R1762" t="str">
        <f>RTD("nest.scriprtd",,"nse_cm|CAGL24-N2","Isin code")</f>
        <v>INE741K07454</v>
      </c>
      <c r="S1762" s="9">
        <f>Table1[[#This Row],[Ask Rate]]*Table1[[#This Row],[Ask Qty]]</f>
        <v>9584</v>
      </c>
      <c r="T1762">
        <f>VLOOKUP(Table1[[#This Row],[Isin code]],Table2[#All],7,FALSE)</f>
        <v>0</v>
      </c>
      <c r="U1762" s="17" t="str">
        <f>VLOOKUP(Table1[[#This Row],[Isin code]],Table2[#All],8,FALSE)</f>
        <v>23-Nov-2024</v>
      </c>
      <c r="V1762" s="10">
        <f ca="1">Table1[[#This Row],[Maturity]]-TODAY()</f>
        <v>38</v>
      </c>
      <c r="W1762" t="str">
        <f>VLOOKUP(Table1[[#This Row],[Isin code]],Table2[#All],10,FALSE)</f>
        <v>At the End</v>
      </c>
      <c r="X1762">
        <f ca="1">_xlfn.DAYS(Table1[[#This Row],[Maturity]],TODAY())-15</f>
        <v>23</v>
      </c>
      <c r="Y1762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2">
        <f>IF(Table1[[#This Row],[Ask Rate]]=0,0,Table1[[#This Row],[Face Value]]-Table1[[#This Row],[Ask Rate]])</f>
        <v>-198</v>
      </c>
      <c r="AA1762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2">
        <f>Table1[[#This Row],[Face Value]]*Table1[[#This Row],[Rate]]*Table1[[#This Row],[Time]]</f>
        <v>0</v>
      </c>
      <c r="AC1762">
        <f>Table1[[#This Row],[SI]]+Table1[[#This Row],[Disc/Prem]]</f>
        <v>-198</v>
      </c>
      <c r="AD1762" s="3">
        <f>Table1[[#This Row],[Net Gain]]/Table1[[#This Row],[Ask Rate]]</f>
        <v>-0.1652754590984975</v>
      </c>
      <c r="AE1762" s="3">
        <f ca="1">IF(Table1[[#This Row],[Ask Qty]]=0,0,Table1[[#This Row],[Gross Yield]]*365/Table1[[#This Row],[Days Left]])</f>
        <v>-1.5875142781829366</v>
      </c>
      <c r="AF1762" s="9">
        <f>+Table1[[#This Row],[Net Gain]]*Table1[[#This Row],[Ask Qty]]</f>
        <v>-1584</v>
      </c>
      <c r="AG1762" t="str">
        <f ca="1">IF(Table1[[#This Row],[YTM]]&gt;0.12,IF(Table1[[#This Row],[Gross Profit]]&gt;10000,"Invest","Review"),"Low YTM")</f>
        <v>Low YTM</v>
      </c>
    </row>
    <row r="1763" spans="1:33" hidden="1" x14ac:dyDescent="0.3">
      <c r="A1763" t="str">
        <f>RTD("nest.scriprtd",,"bse_cm|805MMFS32","Symbol")</f>
        <v>805MMFS32</v>
      </c>
      <c r="B1763" t="str">
        <f>RTD("nest.scriprtd",,"bse_cm|805MMFS32","Trading Symbol")</f>
        <v>805MMFS32</v>
      </c>
      <c r="C1763" t="str">
        <f>RTD("nest.scriprtd",,"bse_cm|805MMFS32","Exchange")</f>
        <v>BSE</v>
      </c>
      <c r="D1763">
        <f>RTD("nest.scriprtd",,"bse_cm|805MMFS32","Bid Qty")</f>
        <v>1</v>
      </c>
      <c r="E1763">
        <f>RTD("nest.scriprtd",,"bse_cm|805MMFS32","Bid Rate")</f>
        <v>1897.05</v>
      </c>
      <c r="F1763">
        <f>RTD("nest.scriprtd",,"bse_cm|805MMFS32","Ask Rate")</f>
        <v>1920</v>
      </c>
      <c r="G1763">
        <f>RTD("nest.scriprtd",,"bse_cm|805MMFS32","Ask Qty")</f>
        <v>79</v>
      </c>
      <c r="H1763">
        <f>RTD("nest.scriprtd",,"bse_cm|805MMFS32","LTP")</f>
        <v>0</v>
      </c>
      <c r="I1763" t="str">
        <f>RTD("nest.scriprtd",,"bse_cm|805MMFS32","LTT")</f>
        <v>00:00:00</v>
      </c>
      <c r="J1763">
        <f>RTD("nest.scriprtd",,"bse_cm|805MMFS32","% Change")</f>
        <v>-100</v>
      </c>
      <c r="K1763">
        <f>RTD("nest.scriprtd",,"bse_cm|805MMFS32","ATP")</f>
        <v>0</v>
      </c>
      <c r="L1763">
        <f>RTD("nest.scriprtd",,"bse_cm|805MMFS32","Volume Traded Today")</f>
        <v>0</v>
      </c>
      <c r="M1763">
        <f>RTD("nest.scriprtd",,"bse_cm|805MMFS32","Open")</f>
        <v>0</v>
      </c>
      <c r="N1763">
        <f>RTD("nest.scriprtd",,"bse_cm|805MMFS32","High")</f>
        <v>1900</v>
      </c>
      <c r="O1763">
        <f>RTD("nest.scriprtd",,"bse_cm|805MMFS32","Low ")</f>
        <v>1900</v>
      </c>
      <c r="P1763">
        <f>RTD("nest.scriprtd",,"bse_cm|805MMFS32","Prev Close")</f>
        <v>1900</v>
      </c>
      <c r="Q1763">
        <f>RTD("nest.scriprtd",,"bse_cm|805MMFS32","Face Value")</f>
        <v>1000</v>
      </c>
      <c r="R1763" t="str">
        <f>RTD("nest.scriprtd",,"bse_cm|805MMFS32","Isin code")</f>
        <v>INE414G08330</v>
      </c>
      <c r="S1763" s="9">
        <f>Table1[[#This Row],[Ask Rate]]*Table1[[#This Row],[Ask Qty]]</f>
        <v>151680</v>
      </c>
      <c r="T1763" t="str">
        <f>VLOOKUP(Table1[[#This Row],[Isin code]],Table2[#All],7,FALSE)</f>
        <v>--</v>
      </c>
      <c r="U1763" s="17" t="str">
        <f>VLOOKUP(Table1[[#This Row],[Isin code]],Table2[#All],8,FALSE)</f>
        <v>30-Jan-2025</v>
      </c>
      <c r="V1763" s="10">
        <f ca="1">Table1[[#This Row],[Maturity]]-TODAY()</f>
        <v>106</v>
      </c>
      <c r="W1763" t="str">
        <f>VLOOKUP(Table1[[#This Row],[Isin code]],Table2[#All],10,FALSE)</f>
        <v>At the End</v>
      </c>
      <c r="X1763">
        <f ca="1">_xlfn.DAYS(Table1[[#This Row],[Maturity]],TODAY())-15</f>
        <v>91</v>
      </c>
      <c r="Y1763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3">
        <f>IF(Table1[[#This Row],[Ask Rate]]=0,0,Table1[[#This Row],[Face Value]]-Table1[[#This Row],[Ask Rate]])</f>
        <v>-920</v>
      </c>
      <c r="AA1763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3">
        <f>Table1[[#This Row],[Face Value]]*Table1[[#This Row],[Rate]]*Table1[[#This Row],[Time]]</f>
        <v>0</v>
      </c>
      <c r="AC1763">
        <f>Table1[[#This Row],[SI]]+Table1[[#This Row],[Disc/Prem]]</f>
        <v>-920</v>
      </c>
      <c r="AD1763" s="3">
        <f>Table1[[#This Row],[Net Gain]]/Table1[[#This Row],[Ask Rate]]</f>
        <v>-0.47916666666666669</v>
      </c>
      <c r="AE1763" s="3">
        <f ca="1">IF(Table1[[#This Row],[Ask Qty]]=0,0,Table1[[#This Row],[Gross Yield]]*365/Table1[[#This Row],[Days Left]])</f>
        <v>-1.6499606918238994</v>
      </c>
      <c r="AF1763" s="9">
        <f>+Table1[[#This Row],[Net Gain]]*Table1[[#This Row],[Ask Qty]]</f>
        <v>-72680</v>
      </c>
      <c r="AG1763" t="str">
        <f ca="1">IF(Table1[[#This Row],[YTM]]&gt;0.12,IF(Table1[[#This Row],[Gross Profit]]&gt;10000,"Invest","Review"),"Low YTM")</f>
        <v>Low YTM</v>
      </c>
    </row>
    <row r="1764" spans="1:33" hidden="1" x14ac:dyDescent="0.3">
      <c r="A1764" t="str">
        <f>RTD("nest.scriprtd",,"bse_cm|IFCIZC25","Symbol")</f>
        <v>IFCIZC25</v>
      </c>
      <c r="B1764" t="str">
        <f>RTD("nest.scriprtd",,"bse_cm|IFCIZC25","Trading Symbol")</f>
        <v>IFCIZC25</v>
      </c>
      <c r="C1764" t="str">
        <f>RTD("nest.scriprtd",,"bse_cm|IFCIZC25","Exchange")</f>
        <v>BSE</v>
      </c>
      <c r="D1764">
        <f>RTD("nest.scriprtd",,"bse_cm|IFCIZC25","Bid Qty")</f>
        <v>10</v>
      </c>
      <c r="E1764">
        <f>RTD("nest.scriprtd",,"bse_cm|IFCIZC25","Bid Rate")</f>
        <v>2301</v>
      </c>
      <c r="F1764">
        <f>RTD("nest.scriprtd",,"bse_cm|IFCIZC25","Ask Rate")</f>
        <v>2375.8000000000002</v>
      </c>
      <c r="G1764">
        <f>RTD("nest.scriprtd",,"bse_cm|IFCIZC25","Ask Qty")</f>
        <v>20</v>
      </c>
      <c r="H1764">
        <f>RTD("nest.scriprtd",,"bse_cm|IFCIZC25","LTP")</f>
        <v>0</v>
      </c>
      <c r="I1764" t="str">
        <f>RTD("nest.scriprtd",,"bse_cm|IFCIZC25","LTT")</f>
        <v>00:00:00</v>
      </c>
      <c r="J1764">
        <f>RTD("nest.scriprtd",,"bse_cm|IFCIZC25","% Change")</f>
        <v>-100</v>
      </c>
      <c r="K1764">
        <f>RTD("nest.scriprtd",,"bse_cm|IFCIZC25","ATP")</f>
        <v>0</v>
      </c>
      <c r="L1764">
        <f>RTD("nest.scriprtd",,"bse_cm|IFCIZC25","Volume Traded Today")</f>
        <v>0</v>
      </c>
      <c r="M1764">
        <f>RTD("nest.scriprtd",,"bse_cm|IFCIZC25","Open")</f>
        <v>0</v>
      </c>
      <c r="N1764">
        <f>RTD("nest.scriprtd",,"bse_cm|IFCIZC25","High")</f>
        <v>2424.5</v>
      </c>
      <c r="O1764">
        <f>RTD("nest.scriprtd",,"bse_cm|IFCIZC25","Low ")</f>
        <v>2424.5</v>
      </c>
      <c r="P1764">
        <f>RTD("nest.scriprtd",,"bse_cm|IFCIZC25","Prev Close")</f>
        <v>2424.5</v>
      </c>
      <c r="Q1764">
        <f>RTD("nest.scriprtd",,"bse_cm|IFCIZC25","Face Value")</f>
        <v>1000</v>
      </c>
      <c r="R1764" t="str">
        <f>RTD("nest.scriprtd",,"bse_cm|IFCIZC25","Isin code")</f>
        <v>INE039A07850</v>
      </c>
      <c r="S1764" s="9">
        <f>Table1[[#This Row],[Ask Rate]]*Table1[[#This Row],[Ask Qty]]</f>
        <v>47516</v>
      </c>
      <c r="T1764">
        <f>VLOOKUP(Table1[[#This Row],[Isin code]],Table2[#All],7,FALSE)</f>
        <v>0</v>
      </c>
      <c r="U1764" s="17" t="str">
        <f>VLOOKUP(Table1[[#This Row],[Isin code]],Table2[#All],8,FALSE)</f>
        <v>13-Feb-2025</v>
      </c>
      <c r="V1764" s="10">
        <f ca="1">Table1[[#This Row],[Maturity]]-TODAY()</f>
        <v>120</v>
      </c>
      <c r="W1764" t="str">
        <f>VLOOKUP(Table1[[#This Row],[Isin code]],Table2[#All],10,FALSE)</f>
        <v>Cumulative</v>
      </c>
      <c r="X1764">
        <f ca="1">_xlfn.DAYS(Table1[[#This Row],[Maturity]],TODAY())-15</f>
        <v>105</v>
      </c>
      <c r="Y1764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4">
        <f>IF(Table1[[#This Row],[Ask Rate]]=0,0,Table1[[#This Row],[Face Value]]-Table1[[#This Row],[Ask Rate]])</f>
        <v>-1375.8000000000002</v>
      </c>
      <c r="AA1764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4">
        <f>Table1[[#This Row],[Face Value]]*Table1[[#This Row],[Rate]]*Table1[[#This Row],[Time]]</f>
        <v>0</v>
      </c>
      <c r="AC1764">
        <f>Table1[[#This Row],[SI]]+Table1[[#This Row],[Disc/Prem]]</f>
        <v>-1375.8000000000002</v>
      </c>
      <c r="AD1764" s="3">
        <f>Table1[[#This Row],[Net Gain]]/Table1[[#This Row],[Ask Rate]]</f>
        <v>-0.57908914891825913</v>
      </c>
      <c r="AE1764" s="3">
        <f ca="1">IF(Table1[[#This Row],[Ask Qty]]=0,0,Table1[[#This Row],[Gross Yield]]*365/Table1[[#This Row],[Days Left]])</f>
        <v>-1.7613961612930382</v>
      </c>
      <c r="AF1764" s="9">
        <f>+Table1[[#This Row],[Net Gain]]*Table1[[#This Row],[Ask Qty]]</f>
        <v>-27516.000000000004</v>
      </c>
      <c r="AG1764" t="str">
        <f ca="1">IF(Table1[[#This Row],[YTM]]&gt;0.12,IF(Table1[[#This Row],[Gross Profit]]&gt;10000,"Invest","Review"),"Low YTM")</f>
        <v>Low YTM</v>
      </c>
    </row>
    <row r="1765" spans="1:33" hidden="1" x14ac:dyDescent="0.3">
      <c r="A1765" t="str">
        <f>RTD("nest.scriprtd",,"nse_cm|IFCIZC25-NM","Symbol")</f>
        <v>IFCIZC25</v>
      </c>
      <c r="B1765" t="str">
        <f>RTD("nest.scriprtd",,"nse_cm|IFCIZC25-NM","Trading Symbol")</f>
        <v>IFCIZC25-NM</v>
      </c>
      <c r="C1765" t="str">
        <f>RTD("nest.scriprtd",,"nse_cm|IFCIZC25-NM","Exchange")</f>
        <v>NSE</v>
      </c>
      <c r="D1765">
        <f>RTD("nest.scriprtd",,"nse_cm|IFCIZC25-NM","Bid Qty")</f>
        <v>10</v>
      </c>
      <c r="E1765">
        <f>RTD("nest.scriprtd",,"nse_cm|IFCIZC25-NM","Bid Rate")</f>
        <v>2341</v>
      </c>
      <c r="F1765">
        <f>RTD("nest.scriprtd",,"nse_cm|IFCIZC25-NM","Ask Rate")</f>
        <v>2423.9899999999998</v>
      </c>
      <c r="G1765">
        <f>RTD("nest.scriprtd",,"nse_cm|IFCIZC25-NM","Ask Qty")</f>
        <v>40</v>
      </c>
      <c r="H1765">
        <f>RTD("nest.scriprtd",,"nse_cm|IFCIZC25-NM","LTP")</f>
        <v>2330</v>
      </c>
      <c r="I1765" t="str">
        <f>RTD("nest.scriprtd",,"nse_cm|IFCIZC25-NM","LTT")</f>
        <v/>
      </c>
      <c r="J1765">
        <f>RTD("nest.scriprtd",,"nse_cm|IFCIZC25-NM","% Change")</f>
        <v>0</v>
      </c>
      <c r="K1765">
        <f>RTD("nest.scriprtd",,"nse_cm|IFCIZC25-NM","ATP")</f>
        <v>0</v>
      </c>
      <c r="L1765">
        <f>RTD("nest.scriprtd",,"nse_cm|IFCIZC25-NM","Volume Traded Today")</f>
        <v>0</v>
      </c>
      <c r="M1765">
        <f>RTD("nest.scriprtd",,"nse_cm|IFCIZC25-NM","Open")</f>
        <v>0</v>
      </c>
      <c r="N1765">
        <f>RTD("nest.scriprtd",,"nse_cm|IFCIZC25-NM","High")</f>
        <v>2330</v>
      </c>
      <c r="O1765">
        <f>RTD("nest.scriprtd",,"nse_cm|IFCIZC25-NM","Low ")</f>
        <v>2330</v>
      </c>
      <c r="P1765">
        <f>RTD("nest.scriprtd",,"nse_cm|IFCIZC25-NM","Prev Close")</f>
        <v>2330</v>
      </c>
      <c r="Q1765">
        <f>RTD("nest.scriprtd",,"nse_cm|IFCIZC25-NM","Face Value")</f>
        <v>1000</v>
      </c>
      <c r="R1765" t="str">
        <f>RTD("nest.scriprtd",,"nse_cm|IFCIZC25-NM","Isin code")</f>
        <v>INE039A07850</v>
      </c>
      <c r="S1765" s="9">
        <f>Table1[[#This Row],[Ask Rate]]*Table1[[#This Row],[Ask Qty]]</f>
        <v>96959.599999999991</v>
      </c>
      <c r="T1765">
        <f>VLOOKUP(Table1[[#This Row],[Isin code]],Table2[#All],7,FALSE)</f>
        <v>0</v>
      </c>
      <c r="U1765" s="17" t="str">
        <f>VLOOKUP(Table1[[#This Row],[Isin code]],Table2[#All],8,FALSE)</f>
        <v>13-Feb-2025</v>
      </c>
      <c r="V1765" s="10">
        <f ca="1">Table1[[#This Row],[Maturity]]-TODAY()</f>
        <v>120</v>
      </c>
      <c r="W1765" t="str">
        <f>VLOOKUP(Table1[[#This Row],[Isin code]],Table2[#All],10,FALSE)</f>
        <v>Cumulative</v>
      </c>
      <c r="X1765">
        <f ca="1">_xlfn.DAYS(Table1[[#This Row],[Maturity]],TODAY())-15</f>
        <v>105</v>
      </c>
      <c r="Y1765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5">
        <f>IF(Table1[[#This Row],[Ask Rate]]=0,0,Table1[[#This Row],[Face Value]]-Table1[[#This Row],[Ask Rate]])</f>
        <v>-1423.9899999999998</v>
      </c>
      <c r="AA1765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5">
        <f>Table1[[#This Row],[Face Value]]*Table1[[#This Row],[Rate]]*Table1[[#This Row],[Time]]</f>
        <v>0</v>
      </c>
      <c r="AC1765">
        <f>Table1[[#This Row],[SI]]+Table1[[#This Row],[Disc/Prem]]</f>
        <v>-1423.9899999999998</v>
      </c>
      <c r="AD1765" s="3">
        <f>Table1[[#This Row],[Net Gain]]/Table1[[#This Row],[Ask Rate]]</f>
        <v>-0.58745704396470277</v>
      </c>
      <c r="AE1765" s="3">
        <f ca="1">IF(Table1[[#This Row],[Ask Qty]]=0,0,Table1[[#This Row],[Gross Yield]]*365/Table1[[#This Row],[Days Left]])</f>
        <v>-1.7868485087259709</v>
      </c>
      <c r="AF1765" s="9">
        <f>+Table1[[#This Row],[Net Gain]]*Table1[[#This Row],[Ask Qty]]</f>
        <v>-56959.599999999991</v>
      </c>
      <c r="AG1765" t="str">
        <f ca="1">IF(Table1[[#This Row],[YTM]]&gt;0.12,IF(Table1[[#This Row],[Gross Profit]]&gt;10000,"Invest","Review"),"Low YTM")</f>
        <v>Low YTM</v>
      </c>
    </row>
    <row r="1766" spans="1:33" hidden="1" x14ac:dyDescent="0.3">
      <c r="A1766" t="str">
        <f>RTD("nest.scriprtd",,"bse_cm|KFLZC24","Symbol")</f>
        <v>KFLZC24</v>
      </c>
      <c r="B1766" t="str">
        <f>RTD("nest.scriprtd",,"bse_cm|KFLZC24","Trading Symbol")</f>
        <v>KFLZC24</v>
      </c>
      <c r="C1766" t="str">
        <f>RTD("nest.scriprtd",,"bse_cm|KFLZC24","Exchange")</f>
        <v>BSE</v>
      </c>
      <c r="D1766">
        <f>RTD("nest.scriprtd",,"bse_cm|KFLZC24","Bid Qty")</f>
        <v>31</v>
      </c>
      <c r="E1766">
        <f>RTD("nest.scriprtd",,"bse_cm|KFLZC24","Bid Rate")</f>
        <v>1820.81</v>
      </c>
      <c r="F1766">
        <f>RTD("nest.scriprtd",,"bse_cm|KFLZC24","Ask Rate")</f>
        <v>2175</v>
      </c>
      <c r="G1766">
        <f>RTD("nest.scriprtd",,"bse_cm|KFLZC24","Ask Qty")</f>
        <v>50</v>
      </c>
      <c r="H1766">
        <f>RTD("nest.scriprtd",,"bse_cm|KFLZC24","LTP")</f>
        <v>0</v>
      </c>
      <c r="I1766" t="str">
        <f>RTD("nest.scriprtd",,"bse_cm|KFLZC24","LTT")</f>
        <v>00:00:00</v>
      </c>
      <c r="J1766">
        <f>RTD("nest.scriprtd",,"bse_cm|KFLZC24","% Change")</f>
        <v>-100</v>
      </c>
      <c r="K1766">
        <f>RTD("nest.scriprtd",,"bse_cm|KFLZC24","ATP")</f>
        <v>0</v>
      </c>
      <c r="L1766">
        <f>RTD("nest.scriprtd",,"bse_cm|KFLZC24","Volume Traded Today")</f>
        <v>0</v>
      </c>
      <c r="M1766">
        <f>RTD("nest.scriprtd",,"bse_cm|KFLZC24","Open")</f>
        <v>0</v>
      </c>
      <c r="N1766">
        <f>RTD("nest.scriprtd",,"bse_cm|KFLZC24","High")</f>
        <v>1812.81</v>
      </c>
      <c r="O1766">
        <f>RTD("nest.scriprtd",,"bse_cm|KFLZC24","Low ")</f>
        <v>1812.81</v>
      </c>
      <c r="P1766">
        <f>RTD("nest.scriprtd",,"bse_cm|KFLZC24","Prev Close")</f>
        <v>1812.81</v>
      </c>
      <c r="Q1766">
        <f>RTD("nest.scriprtd",,"bse_cm|KFLZC24","Face Value")</f>
        <v>1000</v>
      </c>
      <c r="R1766" t="str">
        <f>RTD("nest.scriprtd",,"bse_cm|KFLZC24","Isin code")</f>
        <v>INE403Q07771</v>
      </c>
      <c r="S1766" s="9">
        <f>Table1[[#This Row],[Ask Rate]]*Table1[[#This Row],[Ask Qty]]</f>
        <v>108750</v>
      </c>
      <c r="T1766" t="str">
        <f>VLOOKUP(Table1[[#This Row],[Isin code]],Table2[#All],7,FALSE)</f>
        <v>--</v>
      </c>
      <c r="U1766" s="17" t="str">
        <f>VLOOKUP(Table1[[#This Row],[Isin code]],Table2[#All],8,FALSE)</f>
        <v>27-Dec-2024</v>
      </c>
      <c r="V1766" s="10">
        <f ca="1">Table1[[#This Row],[Maturity]]-TODAY()</f>
        <v>72</v>
      </c>
      <c r="W1766" t="str">
        <f>VLOOKUP(Table1[[#This Row],[Isin code]],Table2[#All],10,FALSE)</f>
        <v>At the End</v>
      </c>
      <c r="X1766">
        <f ca="1">_xlfn.DAYS(Table1[[#This Row],[Maturity]],TODAY())-15</f>
        <v>57</v>
      </c>
      <c r="Y1766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6">
        <f>IF(Table1[[#This Row],[Ask Rate]]=0,0,Table1[[#This Row],[Face Value]]-Table1[[#This Row],[Ask Rate]])</f>
        <v>-1175</v>
      </c>
      <c r="AA1766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6">
        <f>Table1[[#This Row],[Face Value]]*Table1[[#This Row],[Rate]]*Table1[[#This Row],[Time]]</f>
        <v>0</v>
      </c>
      <c r="AC1766">
        <f>Table1[[#This Row],[SI]]+Table1[[#This Row],[Disc/Prem]]</f>
        <v>-1175</v>
      </c>
      <c r="AD1766" s="3">
        <f>Table1[[#This Row],[Net Gain]]/Table1[[#This Row],[Ask Rate]]</f>
        <v>-0.54022988505747127</v>
      </c>
      <c r="AE1766" s="3">
        <f ca="1">IF(Table1[[#This Row],[Ask Qty]]=0,0,Table1[[#This Row],[Gross Yield]]*365/Table1[[#This Row],[Days Left]])</f>
        <v>-2.7386653895274584</v>
      </c>
      <c r="AF1766" s="9">
        <f>+Table1[[#This Row],[Net Gain]]*Table1[[#This Row],[Ask Qty]]</f>
        <v>-58750</v>
      </c>
      <c r="AG1766" t="str">
        <f ca="1">IF(Table1[[#This Row],[YTM]]&gt;0.12,IF(Table1[[#This Row],[Gross Profit]]&gt;10000,"Invest","Review"),"Low YTM")</f>
        <v>Low YTM</v>
      </c>
    </row>
    <row r="1767" spans="1:33" hidden="1" x14ac:dyDescent="0.3">
      <c r="A1767" t="str">
        <f>RTD("nest.scriprtd",,"bse_cm|ECLZC24B","Symbol")</f>
        <v>ECLZC24B</v>
      </c>
      <c r="B1767" t="str">
        <f>RTD("nest.scriprtd",,"bse_cm|ECLZC24B","Trading Symbol")</f>
        <v>ECLZC24B</v>
      </c>
      <c r="C1767" t="str">
        <f>RTD("nest.scriprtd",,"bse_cm|ECLZC24B","Exchange")</f>
        <v>BSE</v>
      </c>
      <c r="D1767">
        <f>RTD("nest.scriprtd",,"bse_cm|ECLZC24B","Bid Qty")</f>
        <v>59</v>
      </c>
      <c r="E1767">
        <f>RTD("nest.scriprtd",,"bse_cm|ECLZC24B","Bid Rate")</f>
        <v>1593.88</v>
      </c>
      <c r="F1767">
        <f>RTD("nest.scriprtd",,"bse_cm|ECLZC24B","Ask Rate")</f>
        <v>1598.5</v>
      </c>
      <c r="G1767">
        <f>RTD("nest.scriprtd",,"bse_cm|ECLZC24B","Ask Qty")</f>
        <v>20</v>
      </c>
      <c r="H1767">
        <f>RTD("nest.scriprtd",,"bse_cm|ECLZC24B","LTP")</f>
        <v>1593.88</v>
      </c>
      <c r="I1767" t="str">
        <f>RTD("nest.scriprtd",,"bse_cm|ECLZC24B","LTT")</f>
        <v>15:10:17</v>
      </c>
      <c r="J1767">
        <f>RTD("nest.scriprtd",,"bse_cm|ECLZC24B","% Change")</f>
        <v>-0.09</v>
      </c>
      <c r="K1767">
        <f>RTD("nest.scriprtd",,"bse_cm|ECLZC24B","ATP")</f>
        <v>1594.86</v>
      </c>
      <c r="L1767">
        <f>RTD("nest.scriprtd",,"bse_cm|ECLZC24B","Volume Traded Today")</f>
        <v>121</v>
      </c>
      <c r="M1767">
        <f>RTD("nest.scriprtd",,"bse_cm|ECLZC24B","Open")</f>
        <v>0</v>
      </c>
      <c r="N1767">
        <f>RTD("nest.scriprtd",,"bse_cm|ECLZC24B","High")</f>
        <v>1598.99</v>
      </c>
      <c r="O1767">
        <f>RTD("nest.scriprtd",,"bse_cm|ECLZC24B","Low ")</f>
        <v>1593.88</v>
      </c>
      <c r="P1767">
        <f>RTD("nest.scriprtd",,"bse_cm|ECLZC24B","Prev Close")</f>
        <v>1595.29</v>
      </c>
      <c r="Q1767">
        <f>RTD("nest.scriprtd",,"bse_cm|ECLZC24B","Face Value")</f>
        <v>1000</v>
      </c>
      <c r="R1767" t="str">
        <f>RTD("nest.scriprtd",,"bse_cm|ECLZC24B","Isin code")</f>
        <v>INE804IA7238</v>
      </c>
      <c r="S1767" s="9">
        <f>Table1[[#This Row],[Ask Rate]]*Table1[[#This Row],[Ask Qty]]</f>
        <v>31970</v>
      </c>
      <c r="T1767" t="str">
        <f>VLOOKUP(Table1[[#This Row],[Isin code]],Table2[#All],7,FALSE)</f>
        <v>--</v>
      </c>
      <c r="U1767" s="17" t="str">
        <f>VLOOKUP(Table1[[#This Row],[Isin code]],Table2[#All],8,FALSE)</f>
        <v>28-Nov-2024</v>
      </c>
      <c r="V1767" s="10">
        <f ca="1">Table1[[#This Row],[Maturity]]-TODAY()</f>
        <v>43</v>
      </c>
      <c r="W1767" t="str">
        <f>VLOOKUP(Table1[[#This Row],[Isin code]],Table2[#All],10,FALSE)</f>
        <v>At the End</v>
      </c>
      <c r="X1767">
        <f ca="1">_xlfn.DAYS(Table1[[#This Row],[Maturity]],TODAY())-15</f>
        <v>28</v>
      </c>
      <c r="Y1767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7">
        <f>IF(Table1[[#This Row],[Ask Rate]]=0,0,Table1[[#This Row],[Face Value]]-Table1[[#This Row],[Ask Rate]])</f>
        <v>-598.5</v>
      </c>
      <c r="AA1767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7">
        <f>Table1[[#This Row],[Face Value]]*Table1[[#This Row],[Rate]]*Table1[[#This Row],[Time]]</f>
        <v>0</v>
      </c>
      <c r="AC1767">
        <f>Table1[[#This Row],[SI]]+Table1[[#This Row],[Disc/Prem]]</f>
        <v>-598.5</v>
      </c>
      <c r="AD1767" s="3">
        <f>Table1[[#This Row],[Net Gain]]/Table1[[#This Row],[Ask Rate]]</f>
        <v>-0.37441351266812639</v>
      </c>
      <c r="AE1767" s="3">
        <f ca="1">IF(Table1[[#This Row],[Ask Qty]]=0,0,Table1[[#This Row],[Gross Yield]]*365/Table1[[#This Row],[Days Left]])</f>
        <v>-3.1781612121829332</v>
      </c>
      <c r="AF1767" s="9">
        <f>+Table1[[#This Row],[Net Gain]]*Table1[[#This Row],[Ask Qty]]</f>
        <v>-11970</v>
      </c>
      <c r="AG1767" t="str">
        <f ca="1">IF(Table1[[#This Row],[YTM]]&gt;0.12,IF(Table1[[#This Row],[Gross Profit]]&gt;10000,"Invest","Review"),"Low YTM")</f>
        <v>Low YTM</v>
      </c>
    </row>
    <row r="1768" spans="1:33" hidden="1" x14ac:dyDescent="0.3">
      <c r="A1768" t="str">
        <f>RTD("nest.scriprtd",,"nse_cm|IFCIZC24-NI","Symbol")</f>
        <v>IFCIZC24</v>
      </c>
      <c r="B1768" t="str">
        <f>RTD("nest.scriprtd",,"nse_cm|IFCIZC24-NI","Trading Symbol")</f>
        <v>IFCIZC24-NI</v>
      </c>
      <c r="C1768" t="str">
        <f>RTD("nest.scriprtd",,"nse_cm|IFCIZC24-NI","Exchange")</f>
        <v>NSE</v>
      </c>
      <c r="D1768">
        <f>RTD("nest.scriprtd",,"nse_cm|IFCIZC24-NI","Bid Qty")</f>
        <v>10</v>
      </c>
      <c r="E1768">
        <f>RTD("nest.scriprtd",,"nse_cm|IFCIZC24-NI","Bid Rate")</f>
        <v>2455</v>
      </c>
      <c r="F1768">
        <f>RTD("nest.scriprtd",,"nse_cm|IFCIZC24-NI","Ask Rate")</f>
        <v>2516</v>
      </c>
      <c r="G1768">
        <f>RTD("nest.scriprtd",,"nse_cm|IFCIZC24-NI","Ask Qty")</f>
        <v>119</v>
      </c>
      <c r="H1768">
        <f>RTD("nest.scriprtd",,"nse_cm|IFCIZC24-NI","LTP")</f>
        <v>2516</v>
      </c>
      <c r="I1768" t="str">
        <f>RTD("nest.scriprtd",,"nse_cm|IFCIZC24-NI","LTT")</f>
        <v/>
      </c>
      <c r="J1768">
        <f>RTD("nest.scriprtd",,"nse_cm|IFCIZC24-NI","% Change")</f>
        <v>0</v>
      </c>
      <c r="K1768">
        <f>RTD("nest.scriprtd",,"nse_cm|IFCIZC24-NI","ATP")</f>
        <v>0</v>
      </c>
      <c r="L1768">
        <f>RTD("nest.scriprtd",,"nse_cm|IFCIZC24-NI","Volume Traded Today")</f>
        <v>0</v>
      </c>
      <c r="M1768">
        <f>RTD("nest.scriprtd",,"nse_cm|IFCIZC24-NI","Open")</f>
        <v>0</v>
      </c>
      <c r="N1768">
        <f>RTD("nest.scriprtd",,"nse_cm|IFCIZC24-NI","High")</f>
        <v>2516</v>
      </c>
      <c r="O1768">
        <f>RTD("nest.scriprtd",,"nse_cm|IFCIZC24-NI","Low ")</f>
        <v>2516</v>
      </c>
      <c r="P1768">
        <f>RTD("nest.scriprtd",,"nse_cm|IFCIZC24-NI","Prev Close")</f>
        <v>2516</v>
      </c>
      <c r="Q1768">
        <f>RTD("nest.scriprtd",,"nse_cm|IFCIZC24-NI","Face Value")</f>
        <v>1000</v>
      </c>
      <c r="R1768" t="str">
        <f>RTD("nest.scriprtd",,"nse_cm|IFCIZC24-NI","Isin code")</f>
        <v>INE039A07819</v>
      </c>
      <c r="S1768" s="9">
        <f>Table1[[#This Row],[Ask Rate]]*Table1[[#This Row],[Ask Qty]]</f>
        <v>299404</v>
      </c>
      <c r="T1768">
        <f>VLOOKUP(Table1[[#This Row],[Isin code]],Table2[#All],7,FALSE)</f>
        <v>0</v>
      </c>
      <c r="U1768" s="17" t="str">
        <f>VLOOKUP(Table1[[#This Row],[Isin code]],Table2[#All],8,FALSE)</f>
        <v>01-Dec-2024</v>
      </c>
      <c r="V1768" s="10">
        <f ca="1">Table1[[#This Row],[Maturity]]-TODAY()</f>
        <v>46</v>
      </c>
      <c r="W1768" t="str">
        <f>VLOOKUP(Table1[[#This Row],[Isin code]],Table2[#All],10,FALSE)</f>
        <v>At the End</v>
      </c>
      <c r="X1768">
        <f ca="1">_xlfn.DAYS(Table1[[#This Row],[Maturity]],TODAY())-15</f>
        <v>31</v>
      </c>
      <c r="Y1768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8">
        <f>IF(Table1[[#This Row],[Ask Rate]]=0,0,Table1[[#This Row],[Face Value]]-Table1[[#This Row],[Ask Rate]])</f>
        <v>-1516</v>
      </c>
      <c r="AA1768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8">
        <f>Table1[[#This Row],[Face Value]]*Table1[[#This Row],[Rate]]*Table1[[#This Row],[Time]]</f>
        <v>0</v>
      </c>
      <c r="AC1768">
        <f>Table1[[#This Row],[SI]]+Table1[[#This Row],[Disc/Prem]]</f>
        <v>-1516</v>
      </c>
      <c r="AD1768" s="3">
        <f>Table1[[#This Row],[Net Gain]]/Table1[[#This Row],[Ask Rate]]</f>
        <v>-0.60254372019077906</v>
      </c>
      <c r="AE1768" s="3">
        <f ca="1">IF(Table1[[#This Row],[Ask Qty]]=0,0,Table1[[#This Row],[Gross Yield]]*365/Table1[[#This Row],[Days Left]])</f>
        <v>-4.7810534319485729</v>
      </c>
      <c r="AF1768" s="9">
        <f>+Table1[[#This Row],[Net Gain]]*Table1[[#This Row],[Ask Qty]]</f>
        <v>-180404</v>
      </c>
      <c r="AG1768" t="str">
        <f ca="1">IF(Table1[[#This Row],[YTM]]&gt;0.12,IF(Table1[[#This Row],[Gross Profit]]&gt;10000,"Invest","Review"),"Low YTM")</f>
        <v>Low YTM</v>
      </c>
    </row>
    <row r="1769" spans="1:33" hidden="1" x14ac:dyDescent="0.3">
      <c r="A1769" t="str">
        <f>RTD("nest.scriprtd",,"bse_cm|IFCIZC24","Symbol")</f>
        <v>IFCIZC24</v>
      </c>
      <c r="B1769" t="str">
        <f>RTD("nest.scriprtd",,"bse_cm|IFCIZC24","Trading Symbol")</f>
        <v>IFCIZC24</v>
      </c>
      <c r="C1769" t="str">
        <f>RTD("nest.scriprtd",,"bse_cm|IFCIZC24","Exchange")</f>
        <v>BSE</v>
      </c>
      <c r="D1769">
        <f>RTD("nest.scriprtd",,"bse_cm|IFCIZC24","Bid Qty")</f>
        <v>20</v>
      </c>
      <c r="E1769">
        <f>RTD("nest.scriprtd",,"bse_cm|IFCIZC24","Bid Rate")</f>
        <v>2250</v>
      </c>
      <c r="F1769">
        <f>RTD("nest.scriprtd",,"bse_cm|IFCIZC24","Ask Rate")</f>
        <v>2602.35</v>
      </c>
      <c r="G1769">
        <f>RTD("nest.scriprtd",,"bse_cm|IFCIZC24","Ask Qty")</f>
        <v>49</v>
      </c>
      <c r="H1769">
        <f>RTD("nest.scriprtd",,"bse_cm|IFCIZC24","LTP")</f>
        <v>0</v>
      </c>
      <c r="I1769" t="str">
        <f>RTD("nest.scriprtd",,"bse_cm|IFCIZC24","LTT")</f>
        <v>00:00:00</v>
      </c>
      <c r="J1769">
        <f>RTD("nest.scriprtd",,"bse_cm|IFCIZC24","% Change")</f>
        <v>-100</v>
      </c>
      <c r="K1769">
        <f>RTD("nest.scriprtd",,"bse_cm|IFCIZC24","ATP")</f>
        <v>0</v>
      </c>
      <c r="L1769">
        <f>RTD("nest.scriprtd",,"bse_cm|IFCIZC24","Volume Traded Today")</f>
        <v>0</v>
      </c>
      <c r="M1769">
        <f>RTD("nest.scriprtd",,"bse_cm|IFCIZC24","Open")</f>
        <v>0</v>
      </c>
      <c r="N1769">
        <f>RTD("nest.scriprtd",,"bse_cm|IFCIZC24","High")</f>
        <v>2525.35</v>
      </c>
      <c r="O1769">
        <f>RTD("nest.scriprtd",,"bse_cm|IFCIZC24","Low ")</f>
        <v>2510.66</v>
      </c>
      <c r="P1769">
        <f>RTD("nest.scriprtd",,"bse_cm|IFCIZC24","Prev Close")</f>
        <v>2525.35</v>
      </c>
      <c r="Q1769">
        <f>RTD("nest.scriprtd",,"bse_cm|IFCIZC24","Face Value")</f>
        <v>1000</v>
      </c>
      <c r="R1769" t="str">
        <f>RTD("nest.scriprtd",,"bse_cm|IFCIZC24","Isin code")</f>
        <v>INE039A07819</v>
      </c>
      <c r="S1769" s="9">
        <f>Table1[[#This Row],[Ask Rate]]*Table1[[#This Row],[Ask Qty]]</f>
        <v>127515.15</v>
      </c>
      <c r="T1769">
        <f>VLOOKUP(Table1[[#This Row],[Isin code]],Table2[#All],7,FALSE)</f>
        <v>0</v>
      </c>
      <c r="U1769" s="17" t="str">
        <f>VLOOKUP(Table1[[#This Row],[Isin code]],Table2[#All],8,FALSE)</f>
        <v>01-Dec-2024</v>
      </c>
      <c r="V1769" s="10">
        <f ca="1">Table1[[#This Row],[Maturity]]-TODAY()</f>
        <v>46</v>
      </c>
      <c r="W1769" t="str">
        <f>VLOOKUP(Table1[[#This Row],[Isin code]],Table2[#All],10,FALSE)</f>
        <v>At the End</v>
      </c>
      <c r="X1769">
        <f ca="1">_xlfn.DAYS(Table1[[#This Row],[Maturity]],TODAY())-15</f>
        <v>31</v>
      </c>
      <c r="Y1769">
        <f>IF(Table1[[#This Row],[Freq]]="Yearly",ROUNDUP(Table1[[#This Row],[Time Remain]]/365,0),IF(Table1[[#This Row],[Freq]]="Monthly",ROUNDUP(Table1[[#This Row],[Time Remain]]/30,0),IF(Table1[[#This Row],[Freq]]="Quarterly",ROUNDUP(Table1[[#This Row],[Time Remain]]/90,0),0)))</f>
        <v>0</v>
      </c>
      <c r="Z1769">
        <f>IF(Table1[[#This Row],[Ask Rate]]=0,0,Table1[[#This Row],[Face Value]]-Table1[[#This Row],[Ask Rate]])</f>
        <v>-1602.35</v>
      </c>
      <c r="AA1769">
        <f>IF(Table1[[#This Row],[Freq]]="Yearly",Table1[[#This Row],[Coupon_Rate]]/100,IF(Table1[[#This Row],[Freq]]="Monthly",Table1[[#This Row],[Coupon_Rate]]/1200,IF(Table1[[#This Row],[Freq]]="Quarterly",Table1[[#This Row],[Coupon_Rate]]/400,0)))</f>
        <v>0</v>
      </c>
      <c r="AB1769">
        <f>Table1[[#This Row],[Face Value]]*Table1[[#This Row],[Rate]]*Table1[[#This Row],[Time]]</f>
        <v>0</v>
      </c>
      <c r="AC1769">
        <f>Table1[[#This Row],[SI]]+Table1[[#This Row],[Disc/Prem]]</f>
        <v>-1602.35</v>
      </c>
      <c r="AD1769" s="3">
        <f>Table1[[#This Row],[Net Gain]]/Table1[[#This Row],[Ask Rate]]</f>
        <v>-0.61573193459757525</v>
      </c>
      <c r="AE1769" s="3">
        <f ca="1">IF(Table1[[#This Row],[Ask Qty]]=0,0,Table1[[#This Row],[Gross Yield]]*365/Table1[[#This Row],[Days Left]])</f>
        <v>-4.8856990462633689</v>
      </c>
      <c r="AF1769" s="9">
        <f>+Table1[[#This Row],[Net Gain]]*Table1[[#This Row],[Ask Qty]]</f>
        <v>-78515.149999999994</v>
      </c>
      <c r="AG1769" t="str">
        <f ca="1">IF(Table1[[#This Row],[YTM]]&gt;0.12,IF(Table1[[#This Row],[Gross Profit]]&gt;10000,"Invest","Review"),"Low YTM")</f>
        <v>Low YTM</v>
      </c>
    </row>
  </sheetData>
  <conditionalFormatting sqref="AE2:AE1769">
    <cfRule type="cellIs" dxfId="0" priority="2" operator="greaterThan">
      <formula>0.12</formula>
    </cfRule>
  </conditionalFormatting>
  <conditionalFormatting sqref="AE33">
    <cfRule type="cellIs" priority="1" operator="greaterThan">
      <formula>0.13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509D6-5F55-4D98-AFE4-3C3C51876EF4}">
  <dimension ref="B3:B6"/>
  <sheetViews>
    <sheetView workbookViewId="0">
      <selection activeCell="C3" sqref="C3"/>
    </sheetView>
  </sheetViews>
  <sheetFormatPr defaultRowHeight="14.4" x14ac:dyDescent="0.3"/>
  <cols>
    <col min="2" max="2" width="17.21875" bestFit="1" customWidth="1"/>
  </cols>
  <sheetData>
    <row r="3" spans="2:2" x14ac:dyDescent="0.3">
      <c r="B3" t="s">
        <v>30</v>
      </c>
    </row>
    <row r="4" spans="2:2" x14ac:dyDescent="0.3">
      <c r="B4" t="s">
        <v>31</v>
      </c>
    </row>
    <row r="5" spans="2:2" x14ac:dyDescent="0.3">
      <c r="B5" t="s">
        <v>3877</v>
      </c>
    </row>
    <row r="6" spans="2:2" x14ac:dyDescent="0.3">
      <c r="B6" t="s">
        <v>3878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3400-7D93-4C16-8A2D-5AAB8ABFA922}">
  <dimension ref="A1:J2211"/>
  <sheetViews>
    <sheetView workbookViewId="0">
      <selection activeCell="B14" sqref="B14"/>
    </sheetView>
  </sheetViews>
  <sheetFormatPr defaultRowHeight="14.4" x14ac:dyDescent="0.3"/>
  <cols>
    <col min="1" max="1" width="14.5546875" bestFit="1" customWidth="1"/>
    <col min="2" max="2" width="27.6640625" bestFit="1" customWidth="1"/>
    <col min="3" max="3" width="8.5546875" customWidth="1"/>
    <col min="4" max="4" width="13.77734375" customWidth="1"/>
    <col min="5" max="5" width="8" bestFit="1" customWidth="1"/>
    <col min="6" max="6" width="6.21875" customWidth="1"/>
    <col min="7" max="7" width="15.77734375" customWidth="1"/>
    <col min="8" max="8" width="17.33203125" customWidth="1"/>
    <col min="9" max="9" width="25.5546875" bestFit="1" customWidth="1"/>
    <col min="10" max="10" width="12.109375" bestFit="1" customWidth="1"/>
  </cols>
  <sheetData>
    <row r="1" spans="1:10" x14ac:dyDescent="0.3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</row>
    <row r="2" spans="1:10" x14ac:dyDescent="0.3">
      <c r="A2" t="s">
        <v>42</v>
      </c>
      <c r="B2" t="s">
        <v>43</v>
      </c>
      <c r="C2" t="s">
        <v>44</v>
      </c>
      <c r="D2" s="9" t="s">
        <v>45</v>
      </c>
      <c r="E2" t="s">
        <v>45</v>
      </c>
      <c r="F2" t="s">
        <v>45</v>
      </c>
      <c r="G2" s="12">
        <v>0</v>
      </c>
      <c r="H2" t="s">
        <v>45</v>
      </c>
      <c r="I2" t="s">
        <v>42</v>
      </c>
      <c r="J2" t="s">
        <v>46</v>
      </c>
    </row>
    <row r="3" spans="1:10" x14ac:dyDescent="0.3">
      <c r="A3" t="s">
        <v>47</v>
      </c>
      <c r="B3" t="s">
        <v>43</v>
      </c>
      <c r="C3" t="s">
        <v>48</v>
      </c>
      <c r="D3" s="9" t="s">
        <v>45</v>
      </c>
      <c r="E3" t="s">
        <v>45</v>
      </c>
      <c r="F3" t="s">
        <v>45</v>
      </c>
      <c r="G3" s="12">
        <v>0</v>
      </c>
      <c r="H3" t="s">
        <v>45</v>
      </c>
      <c r="I3" t="s">
        <v>47</v>
      </c>
      <c r="J3" t="s">
        <v>49</v>
      </c>
    </row>
    <row r="4" spans="1:10" x14ac:dyDescent="0.3">
      <c r="A4" t="s">
        <v>50</v>
      </c>
      <c r="B4" t="s">
        <v>43</v>
      </c>
      <c r="C4" t="s">
        <v>51</v>
      </c>
      <c r="D4" s="9" t="s">
        <v>45</v>
      </c>
      <c r="E4" t="s">
        <v>45</v>
      </c>
      <c r="F4" t="s">
        <v>45</v>
      </c>
      <c r="G4" s="12">
        <v>0</v>
      </c>
      <c r="H4" t="s">
        <v>45</v>
      </c>
      <c r="I4" t="s">
        <v>45</v>
      </c>
      <c r="J4" t="s">
        <v>52</v>
      </c>
    </row>
    <row r="5" spans="1:10" x14ac:dyDescent="0.3">
      <c r="A5" t="s">
        <v>53</v>
      </c>
      <c r="B5" t="s">
        <v>43</v>
      </c>
      <c r="C5" t="s">
        <v>54</v>
      </c>
      <c r="D5" s="9" t="s">
        <v>45</v>
      </c>
      <c r="E5" t="s">
        <v>45</v>
      </c>
      <c r="F5" t="s">
        <v>45</v>
      </c>
      <c r="G5" s="12">
        <v>0</v>
      </c>
      <c r="H5" t="s">
        <v>45</v>
      </c>
      <c r="I5" t="s">
        <v>53</v>
      </c>
      <c r="J5" t="s">
        <v>55</v>
      </c>
    </row>
    <row r="6" spans="1:10" x14ac:dyDescent="0.3">
      <c r="A6" t="s">
        <v>56</v>
      </c>
      <c r="B6" t="s">
        <v>57</v>
      </c>
      <c r="D6" s="6">
        <v>1000</v>
      </c>
      <c r="G6" s="7">
        <v>9.75</v>
      </c>
      <c r="H6" s="4" t="s">
        <v>58</v>
      </c>
      <c r="J6" t="s">
        <v>59</v>
      </c>
    </row>
    <row r="7" spans="1:10" x14ac:dyDescent="0.3">
      <c r="A7" t="s">
        <v>60</v>
      </c>
      <c r="B7" t="s">
        <v>61</v>
      </c>
      <c r="D7" s="6">
        <v>1000</v>
      </c>
      <c r="G7" s="7">
        <v>10</v>
      </c>
      <c r="H7" s="4" t="s">
        <v>58</v>
      </c>
      <c r="J7" t="s">
        <v>62</v>
      </c>
    </row>
    <row r="8" spans="1:10" x14ac:dyDescent="0.3">
      <c r="A8" t="s">
        <v>63</v>
      </c>
      <c r="B8" t="s">
        <v>64</v>
      </c>
      <c r="D8" s="6">
        <v>1000</v>
      </c>
      <c r="G8" s="7" t="s">
        <v>65</v>
      </c>
      <c r="H8" s="4" t="s">
        <v>58</v>
      </c>
      <c r="J8" t="s">
        <v>49</v>
      </c>
    </row>
    <row r="9" spans="1:10" x14ac:dyDescent="0.3">
      <c r="A9" t="s">
        <v>66</v>
      </c>
      <c r="B9" t="s">
        <v>67</v>
      </c>
      <c r="D9" s="6">
        <v>1000</v>
      </c>
      <c r="G9" s="7" t="s">
        <v>65</v>
      </c>
      <c r="H9" s="4" t="s">
        <v>68</v>
      </c>
      <c r="J9" t="s">
        <v>49</v>
      </c>
    </row>
    <row r="10" spans="1:10" x14ac:dyDescent="0.3">
      <c r="A10" t="s">
        <v>69</v>
      </c>
      <c r="B10" t="s">
        <v>70</v>
      </c>
      <c r="D10" s="6">
        <v>1000</v>
      </c>
      <c r="G10" s="7">
        <v>12</v>
      </c>
      <c r="H10" s="4" t="s">
        <v>71</v>
      </c>
      <c r="J10" t="s">
        <v>72</v>
      </c>
    </row>
    <row r="11" spans="1:10" x14ac:dyDescent="0.3">
      <c r="A11" t="s">
        <v>73</v>
      </c>
      <c r="B11" t="s">
        <v>74</v>
      </c>
      <c r="D11" s="6">
        <v>1000</v>
      </c>
      <c r="G11" s="7">
        <v>12.25</v>
      </c>
      <c r="H11" s="4" t="s">
        <v>71</v>
      </c>
      <c r="J11" t="s">
        <v>62</v>
      </c>
    </row>
    <row r="12" spans="1:10" x14ac:dyDescent="0.3">
      <c r="A12" t="s">
        <v>75</v>
      </c>
      <c r="B12" t="s">
        <v>76</v>
      </c>
      <c r="D12" s="6">
        <v>1000</v>
      </c>
      <c r="G12" s="7">
        <v>11</v>
      </c>
      <c r="H12" s="4" t="s">
        <v>77</v>
      </c>
      <c r="J12" t="s">
        <v>72</v>
      </c>
    </row>
    <row r="13" spans="1:10" x14ac:dyDescent="0.3">
      <c r="A13" t="s">
        <v>78</v>
      </c>
      <c r="B13" t="s">
        <v>79</v>
      </c>
      <c r="D13" s="6">
        <v>1000</v>
      </c>
      <c r="G13" s="7">
        <v>12.5</v>
      </c>
      <c r="H13" s="4" t="s">
        <v>80</v>
      </c>
      <c r="J13" t="s">
        <v>72</v>
      </c>
    </row>
    <row r="14" spans="1:10" x14ac:dyDescent="0.3">
      <c r="A14" t="s">
        <v>81</v>
      </c>
      <c r="B14" t="s">
        <v>82</v>
      </c>
      <c r="D14" s="6">
        <v>1000</v>
      </c>
      <c r="G14" s="7">
        <v>12</v>
      </c>
      <c r="H14" s="4" t="s">
        <v>83</v>
      </c>
      <c r="J14" t="s">
        <v>49</v>
      </c>
    </row>
    <row r="15" spans="1:10" x14ac:dyDescent="0.3">
      <c r="A15" t="s">
        <v>84</v>
      </c>
      <c r="B15" t="s">
        <v>85</v>
      </c>
      <c r="D15" s="6">
        <v>1000</v>
      </c>
      <c r="G15" s="7">
        <v>11.5</v>
      </c>
      <c r="H15" s="4" t="s">
        <v>83</v>
      </c>
      <c r="J15" t="s">
        <v>72</v>
      </c>
    </row>
    <row r="16" spans="1:10" x14ac:dyDescent="0.3">
      <c r="A16" t="s">
        <v>86</v>
      </c>
      <c r="B16" t="s">
        <v>87</v>
      </c>
      <c r="D16" s="6">
        <v>1000</v>
      </c>
      <c r="G16" s="7">
        <v>11.5</v>
      </c>
      <c r="H16" s="4" t="s">
        <v>77</v>
      </c>
      <c r="J16" t="s">
        <v>49</v>
      </c>
    </row>
    <row r="17" spans="1:10" x14ac:dyDescent="0.3">
      <c r="A17" t="s">
        <v>88</v>
      </c>
      <c r="B17" t="s">
        <v>89</v>
      </c>
      <c r="D17" s="6">
        <v>1000</v>
      </c>
      <c r="G17" s="7">
        <v>11.75</v>
      </c>
      <c r="H17" s="4" t="s">
        <v>83</v>
      </c>
      <c r="J17" t="s">
        <v>62</v>
      </c>
    </row>
    <row r="18" spans="1:10" x14ac:dyDescent="0.3">
      <c r="A18" t="s">
        <v>90</v>
      </c>
      <c r="B18" t="s">
        <v>91</v>
      </c>
      <c r="D18" s="6">
        <v>1000</v>
      </c>
      <c r="G18" s="7">
        <v>12.5</v>
      </c>
      <c r="H18" s="4" t="s">
        <v>71</v>
      </c>
      <c r="J18" t="s">
        <v>49</v>
      </c>
    </row>
    <row r="19" spans="1:10" x14ac:dyDescent="0.3">
      <c r="A19" t="s">
        <v>92</v>
      </c>
      <c r="B19" t="s">
        <v>93</v>
      </c>
      <c r="D19" s="6">
        <v>1000</v>
      </c>
      <c r="G19" s="7" t="s">
        <v>65</v>
      </c>
      <c r="H19" s="4" t="s">
        <v>94</v>
      </c>
      <c r="J19" t="s">
        <v>49</v>
      </c>
    </row>
    <row r="20" spans="1:10" x14ac:dyDescent="0.3">
      <c r="A20" t="s">
        <v>95</v>
      </c>
      <c r="B20" t="s">
        <v>96</v>
      </c>
      <c r="D20" s="6">
        <v>1000</v>
      </c>
      <c r="G20" s="7">
        <v>11</v>
      </c>
      <c r="H20" s="4" t="s">
        <v>97</v>
      </c>
      <c r="J20" t="s">
        <v>59</v>
      </c>
    </row>
    <row r="21" spans="1:10" x14ac:dyDescent="0.3">
      <c r="A21" t="s">
        <v>98</v>
      </c>
      <c r="B21" t="s">
        <v>99</v>
      </c>
      <c r="D21" s="6">
        <v>1000</v>
      </c>
      <c r="G21" s="7">
        <v>12.25</v>
      </c>
      <c r="H21" s="4" t="s">
        <v>100</v>
      </c>
      <c r="J21" t="s">
        <v>101</v>
      </c>
    </row>
    <row r="22" spans="1:10" x14ac:dyDescent="0.3">
      <c r="A22" t="s">
        <v>102</v>
      </c>
      <c r="B22" t="s">
        <v>103</v>
      </c>
      <c r="D22" s="6">
        <v>1000</v>
      </c>
      <c r="G22" s="7" t="s">
        <v>65</v>
      </c>
      <c r="H22" s="4" t="s">
        <v>100</v>
      </c>
      <c r="J22" t="s">
        <v>49</v>
      </c>
    </row>
    <row r="23" spans="1:10" x14ac:dyDescent="0.3">
      <c r="A23" t="s">
        <v>104</v>
      </c>
      <c r="B23" t="s">
        <v>105</v>
      </c>
      <c r="D23" s="6">
        <v>1000</v>
      </c>
      <c r="G23" s="7" t="s">
        <v>65</v>
      </c>
      <c r="H23" s="4" t="s">
        <v>106</v>
      </c>
      <c r="J23" t="s">
        <v>49</v>
      </c>
    </row>
    <row r="24" spans="1:10" x14ac:dyDescent="0.3">
      <c r="A24" t="s">
        <v>107</v>
      </c>
      <c r="B24" t="s">
        <v>108</v>
      </c>
      <c r="D24" s="6">
        <v>1000</v>
      </c>
      <c r="G24" s="7">
        <v>12.5</v>
      </c>
      <c r="H24" s="4" t="s">
        <v>109</v>
      </c>
      <c r="J24" t="s">
        <v>59</v>
      </c>
    </row>
    <row r="25" spans="1:10" x14ac:dyDescent="0.3">
      <c r="A25" t="s">
        <v>110</v>
      </c>
      <c r="B25" t="s">
        <v>111</v>
      </c>
      <c r="D25" s="6">
        <v>1000</v>
      </c>
      <c r="G25" s="7" t="s">
        <v>65</v>
      </c>
      <c r="H25" s="4" t="s">
        <v>112</v>
      </c>
      <c r="J25" t="s">
        <v>49</v>
      </c>
    </row>
    <row r="26" spans="1:10" x14ac:dyDescent="0.3">
      <c r="A26" t="s">
        <v>113</v>
      </c>
      <c r="B26" t="s">
        <v>114</v>
      </c>
      <c r="D26" s="6">
        <v>1000</v>
      </c>
      <c r="G26" s="7">
        <v>12</v>
      </c>
      <c r="H26" s="4" t="s">
        <v>100</v>
      </c>
      <c r="J26" t="s">
        <v>59</v>
      </c>
    </row>
    <row r="27" spans="1:10" x14ac:dyDescent="0.3">
      <c r="A27" t="s">
        <v>115</v>
      </c>
      <c r="B27" t="s">
        <v>116</v>
      </c>
      <c r="D27" s="6">
        <v>1000</v>
      </c>
      <c r="G27" s="7">
        <v>11.75</v>
      </c>
      <c r="H27" s="4" t="s">
        <v>106</v>
      </c>
      <c r="J27" t="s">
        <v>101</v>
      </c>
    </row>
    <row r="28" spans="1:10" x14ac:dyDescent="0.3">
      <c r="A28" t="s">
        <v>117</v>
      </c>
      <c r="B28" t="s">
        <v>118</v>
      </c>
      <c r="D28" s="6">
        <v>1000</v>
      </c>
      <c r="G28" s="7">
        <v>11.5</v>
      </c>
      <c r="H28" s="4" t="s">
        <v>106</v>
      </c>
      <c r="J28" t="s">
        <v>59</v>
      </c>
    </row>
    <row r="29" spans="1:10" x14ac:dyDescent="0.3">
      <c r="A29" t="s">
        <v>119</v>
      </c>
      <c r="B29" t="s">
        <v>120</v>
      </c>
      <c r="D29" s="6">
        <v>1000</v>
      </c>
      <c r="G29" s="7" t="s">
        <v>65</v>
      </c>
      <c r="H29" s="4" t="s">
        <v>97</v>
      </c>
      <c r="J29" t="s">
        <v>49</v>
      </c>
    </row>
    <row r="30" spans="1:10" x14ac:dyDescent="0.3">
      <c r="A30" t="s">
        <v>121</v>
      </c>
      <c r="B30" t="s">
        <v>122</v>
      </c>
      <c r="D30" s="6">
        <v>1000</v>
      </c>
      <c r="G30" s="7">
        <v>10</v>
      </c>
      <c r="H30" s="4" t="s">
        <v>123</v>
      </c>
      <c r="J30" t="s">
        <v>49</v>
      </c>
    </row>
    <row r="31" spans="1:10" x14ac:dyDescent="0.3">
      <c r="A31" t="s">
        <v>124</v>
      </c>
      <c r="B31" t="s">
        <v>125</v>
      </c>
      <c r="D31" s="6">
        <v>1000</v>
      </c>
      <c r="G31" s="7">
        <v>9.5699999999999985</v>
      </c>
      <c r="H31" s="4" t="s">
        <v>123</v>
      </c>
      <c r="J31" t="s">
        <v>72</v>
      </c>
    </row>
    <row r="32" spans="1:10" x14ac:dyDescent="0.3">
      <c r="A32" t="s">
        <v>126</v>
      </c>
      <c r="B32" t="s">
        <v>127</v>
      </c>
      <c r="D32">
        <v>500</v>
      </c>
      <c r="G32">
        <v>9.65</v>
      </c>
      <c r="H32" s="4">
        <v>45906</v>
      </c>
      <c r="I32" t="s">
        <v>126</v>
      </c>
      <c r="J32" t="s">
        <v>128</v>
      </c>
    </row>
    <row r="33" spans="1:10" x14ac:dyDescent="0.3">
      <c r="A33" t="s">
        <v>126</v>
      </c>
      <c r="B33" t="s">
        <v>129</v>
      </c>
      <c r="D33" s="6">
        <v>1000</v>
      </c>
      <c r="G33" s="7">
        <v>9.65</v>
      </c>
      <c r="H33" s="4" t="s">
        <v>130</v>
      </c>
      <c r="J33" t="s">
        <v>128</v>
      </c>
    </row>
    <row r="34" spans="1:10" x14ac:dyDescent="0.3">
      <c r="A34" t="s">
        <v>131</v>
      </c>
      <c r="B34" t="s">
        <v>132</v>
      </c>
      <c r="D34" s="6">
        <v>1000</v>
      </c>
      <c r="G34" s="7">
        <v>10.029999999999999</v>
      </c>
      <c r="H34" s="4" t="s">
        <v>130</v>
      </c>
      <c r="J34" t="s">
        <v>72</v>
      </c>
    </row>
    <row r="35" spans="1:10" x14ac:dyDescent="0.3">
      <c r="A35" t="s">
        <v>133</v>
      </c>
      <c r="B35" t="s">
        <v>134</v>
      </c>
      <c r="D35" s="6">
        <v>1000</v>
      </c>
      <c r="G35" s="7">
        <v>10.5</v>
      </c>
      <c r="H35" s="4" t="s">
        <v>130</v>
      </c>
      <c r="J35" t="s">
        <v>49</v>
      </c>
    </row>
    <row r="36" spans="1:10" x14ac:dyDescent="0.3">
      <c r="A36" t="s">
        <v>135</v>
      </c>
      <c r="B36" t="s">
        <v>136</v>
      </c>
      <c r="D36" s="6">
        <v>1000</v>
      </c>
      <c r="G36" s="7" t="s">
        <v>65</v>
      </c>
      <c r="H36" s="4" t="s">
        <v>137</v>
      </c>
      <c r="J36" t="s">
        <v>49</v>
      </c>
    </row>
    <row r="37" spans="1:10" x14ac:dyDescent="0.3">
      <c r="A37" t="s">
        <v>138</v>
      </c>
      <c r="B37" t="s">
        <v>139</v>
      </c>
      <c r="D37" s="6">
        <v>1000</v>
      </c>
      <c r="G37" s="7" t="s">
        <v>65</v>
      </c>
      <c r="H37" s="4" t="s">
        <v>140</v>
      </c>
      <c r="J37" t="s">
        <v>49</v>
      </c>
    </row>
    <row r="38" spans="1:10" x14ac:dyDescent="0.3">
      <c r="A38" t="s">
        <v>141</v>
      </c>
      <c r="B38" t="s">
        <v>142</v>
      </c>
      <c r="D38" s="6">
        <v>1000</v>
      </c>
      <c r="G38" s="7">
        <v>11.75</v>
      </c>
      <c r="H38" s="4" t="s">
        <v>143</v>
      </c>
      <c r="J38" t="s">
        <v>59</v>
      </c>
    </row>
    <row r="39" spans="1:10" x14ac:dyDescent="0.3">
      <c r="A39" t="s">
        <v>144</v>
      </c>
      <c r="B39" t="s">
        <v>145</v>
      </c>
      <c r="D39" s="6">
        <v>1000</v>
      </c>
      <c r="G39" s="7">
        <v>12</v>
      </c>
      <c r="H39" s="4" t="s">
        <v>143</v>
      </c>
      <c r="J39" t="s">
        <v>62</v>
      </c>
    </row>
    <row r="40" spans="1:10" x14ac:dyDescent="0.3">
      <c r="A40" t="s">
        <v>146</v>
      </c>
      <c r="B40" t="s">
        <v>147</v>
      </c>
      <c r="D40" s="6">
        <v>1000</v>
      </c>
      <c r="G40" s="7" t="s">
        <v>65</v>
      </c>
      <c r="H40" s="4" t="s">
        <v>148</v>
      </c>
      <c r="J40" t="s">
        <v>49</v>
      </c>
    </row>
    <row r="41" spans="1:10" x14ac:dyDescent="0.3">
      <c r="A41" t="s">
        <v>149</v>
      </c>
      <c r="B41" t="s">
        <v>150</v>
      </c>
      <c r="D41" s="6">
        <v>1000</v>
      </c>
      <c r="G41" s="7">
        <v>11.25</v>
      </c>
      <c r="H41" s="4" t="s">
        <v>151</v>
      </c>
      <c r="J41" t="s">
        <v>59</v>
      </c>
    </row>
    <row r="42" spans="1:10" x14ac:dyDescent="0.3">
      <c r="A42" t="s">
        <v>152</v>
      </c>
      <c r="B42" t="s">
        <v>153</v>
      </c>
      <c r="D42" s="6">
        <v>1000</v>
      </c>
      <c r="G42" s="7">
        <v>11.5</v>
      </c>
      <c r="H42" s="4" t="s">
        <v>151</v>
      </c>
      <c r="J42" t="s">
        <v>62</v>
      </c>
    </row>
    <row r="43" spans="1:10" x14ac:dyDescent="0.3">
      <c r="A43" t="s">
        <v>154</v>
      </c>
      <c r="B43" t="s">
        <v>155</v>
      </c>
      <c r="D43" s="6">
        <v>1000</v>
      </c>
      <c r="G43" s="7" t="s">
        <v>65</v>
      </c>
      <c r="H43" s="4" t="s">
        <v>156</v>
      </c>
      <c r="J43" t="s">
        <v>49</v>
      </c>
    </row>
    <row r="44" spans="1:10" x14ac:dyDescent="0.3">
      <c r="A44" t="s">
        <v>157</v>
      </c>
      <c r="B44" t="s">
        <v>158</v>
      </c>
      <c r="D44" s="6">
        <v>1000</v>
      </c>
      <c r="G44" s="7">
        <v>10.5</v>
      </c>
      <c r="H44" s="4" t="s">
        <v>159</v>
      </c>
      <c r="J44" t="s">
        <v>59</v>
      </c>
    </row>
    <row r="45" spans="1:10" x14ac:dyDescent="0.3">
      <c r="A45" t="s">
        <v>160</v>
      </c>
      <c r="B45" t="s">
        <v>161</v>
      </c>
      <c r="D45" s="6">
        <v>1000</v>
      </c>
      <c r="G45" s="7">
        <v>10.75</v>
      </c>
      <c r="H45" s="4" t="s">
        <v>159</v>
      </c>
      <c r="J45" t="s">
        <v>62</v>
      </c>
    </row>
    <row r="46" spans="1:10" x14ac:dyDescent="0.3">
      <c r="A46" t="s">
        <v>162</v>
      </c>
      <c r="B46" t="s">
        <v>163</v>
      </c>
      <c r="D46" s="6">
        <v>1000</v>
      </c>
      <c r="G46" s="7">
        <v>11</v>
      </c>
      <c r="H46" s="4" t="s">
        <v>164</v>
      </c>
      <c r="J46" t="s">
        <v>59</v>
      </c>
    </row>
    <row r="47" spans="1:10" x14ac:dyDescent="0.3">
      <c r="A47" t="s">
        <v>165</v>
      </c>
      <c r="B47" t="s">
        <v>166</v>
      </c>
      <c r="D47" s="6">
        <v>1000</v>
      </c>
      <c r="G47" s="7">
        <v>11.25</v>
      </c>
      <c r="H47" s="4" t="s">
        <v>164</v>
      </c>
      <c r="J47" t="s">
        <v>62</v>
      </c>
    </row>
    <row r="48" spans="1:10" x14ac:dyDescent="0.3">
      <c r="A48" t="s">
        <v>167</v>
      </c>
      <c r="B48" t="s">
        <v>168</v>
      </c>
      <c r="D48" s="6">
        <v>1000</v>
      </c>
      <c r="G48" s="7" t="s">
        <v>65</v>
      </c>
      <c r="H48" s="4" t="s">
        <v>169</v>
      </c>
      <c r="J48" t="s">
        <v>49</v>
      </c>
    </row>
    <row r="49" spans="1:10" x14ac:dyDescent="0.3">
      <c r="A49" t="s">
        <v>170</v>
      </c>
      <c r="B49" t="s">
        <v>171</v>
      </c>
      <c r="D49" s="6">
        <v>1000</v>
      </c>
      <c r="G49" s="7">
        <v>10.25</v>
      </c>
      <c r="H49" s="4" t="s">
        <v>172</v>
      </c>
      <c r="J49" t="s">
        <v>59</v>
      </c>
    </row>
    <row r="50" spans="1:10" x14ac:dyDescent="0.3">
      <c r="A50" t="s">
        <v>173</v>
      </c>
      <c r="B50" t="s">
        <v>174</v>
      </c>
      <c r="D50" s="6">
        <v>1000</v>
      </c>
      <c r="G50" s="7">
        <v>10.5</v>
      </c>
      <c r="H50" s="4" t="s">
        <v>172</v>
      </c>
      <c r="J50" t="s">
        <v>62</v>
      </c>
    </row>
    <row r="51" spans="1:10" x14ac:dyDescent="0.3">
      <c r="A51" t="s">
        <v>175</v>
      </c>
      <c r="B51" t="s">
        <v>176</v>
      </c>
      <c r="D51" s="6">
        <v>1000</v>
      </c>
      <c r="G51" s="7">
        <v>11</v>
      </c>
      <c r="H51" s="4" t="s">
        <v>177</v>
      </c>
      <c r="J51" t="s">
        <v>59</v>
      </c>
    </row>
    <row r="52" spans="1:10" x14ac:dyDescent="0.3">
      <c r="A52" t="s">
        <v>178</v>
      </c>
      <c r="B52" t="s">
        <v>179</v>
      </c>
      <c r="D52" s="6">
        <v>1000</v>
      </c>
      <c r="G52" s="7">
        <v>11.25</v>
      </c>
      <c r="H52" s="4" t="s">
        <v>177</v>
      </c>
      <c r="J52" t="s">
        <v>62</v>
      </c>
    </row>
    <row r="53" spans="1:10" x14ac:dyDescent="0.3">
      <c r="A53" t="s">
        <v>180</v>
      </c>
      <c r="B53" t="s">
        <v>181</v>
      </c>
      <c r="D53" s="6">
        <v>1000</v>
      </c>
      <c r="G53" s="7" t="s">
        <v>65</v>
      </c>
      <c r="H53" s="4" t="s">
        <v>182</v>
      </c>
      <c r="J53" t="s">
        <v>49</v>
      </c>
    </row>
    <row r="54" spans="1:10" x14ac:dyDescent="0.3">
      <c r="A54" t="s">
        <v>183</v>
      </c>
      <c r="B54" t="s">
        <v>184</v>
      </c>
      <c r="D54" s="6">
        <v>1000</v>
      </c>
      <c r="G54" s="7">
        <v>9.5</v>
      </c>
      <c r="H54" s="4" t="s">
        <v>185</v>
      </c>
      <c r="J54" t="s">
        <v>59</v>
      </c>
    </row>
    <row r="55" spans="1:10" x14ac:dyDescent="0.3">
      <c r="A55" t="s">
        <v>186</v>
      </c>
      <c r="B55" t="s">
        <v>187</v>
      </c>
      <c r="D55" s="6">
        <v>1000</v>
      </c>
      <c r="G55" s="7">
        <v>9.75</v>
      </c>
      <c r="H55" s="4" t="s">
        <v>185</v>
      </c>
      <c r="J55" t="s">
        <v>62</v>
      </c>
    </row>
    <row r="56" spans="1:10" x14ac:dyDescent="0.3">
      <c r="A56" t="s">
        <v>188</v>
      </c>
      <c r="B56" t="s">
        <v>189</v>
      </c>
      <c r="D56" s="6">
        <v>1000</v>
      </c>
      <c r="G56" s="7">
        <v>10.5</v>
      </c>
      <c r="H56" s="4" t="s">
        <v>190</v>
      </c>
      <c r="J56" t="s">
        <v>59</v>
      </c>
    </row>
    <row r="57" spans="1:10" x14ac:dyDescent="0.3">
      <c r="A57" t="s">
        <v>191</v>
      </c>
      <c r="B57" t="s">
        <v>192</v>
      </c>
      <c r="D57" s="6">
        <v>1000</v>
      </c>
      <c r="G57" s="7">
        <v>10.75</v>
      </c>
      <c r="H57" s="4" t="s">
        <v>190</v>
      </c>
      <c r="J57" t="s">
        <v>62</v>
      </c>
    </row>
    <row r="58" spans="1:10" x14ac:dyDescent="0.3">
      <c r="A58" t="s">
        <v>193</v>
      </c>
      <c r="B58" t="s">
        <v>194</v>
      </c>
      <c r="D58" s="6">
        <v>1000</v>
      </c>
      <c r="G58" s="7" t="s">
        <v>65</v>
      </c>
      <c r="H58" s="4" t="s">
        <v>195</v>
      </c>
      <c r="J58" t="s">
        <v>49</v>
      </c>
    </row>
    <row r="59" spans="1:10" x14ac:dyDescent="0.3">
      <c r="A59" t="s">
        <v>196</v>
      </c>
      <c r="B59" t="s">
        <v>197</v>
      </c>
      <c r="D59" s="6">
        <v>1000</v>
      </c>
      <c r="G59" s="7">
        <v>10.75</v>
      </c>
      <c r="H59" s="4" t="s">
        <v>198</v>
      </c>
      <c r="J59" t="s">
        <v>62</v>
      </c>
    </row>
    <row r="60" spans="1:10" x14ac:dyDescent="0.3">
      <c r="A60" t="s">
        <v>199</v>
      </c>
      <c r="B60" t="s">
        <v>200</v>
      </c>
      <c r="D60" s="6">
        <v>1000</v>
      </c>
      <c r="G60" s="7">
        <v>9.75</v>
      </c>
      <c r="H60" s="4" t="s">
        <v>201</v>
      </c>
      <c r="J60" t="s">
        <v>62</v>
      </c>
    </row>
    <row r="61" spans="1:10" x14ac:dyDescent="0.3">
      <c r="A61" t="s">
        <v>202</v>
      </c>
      <c r="B61" t="s">
        <v>203</v>
      </c>
      <c r="D61" s="6">
        <v>1000</v>
      </c>
      <c r="G61" s="7">
        <v>10.5</v>
      </c>
      <c r="H61" s="4" t="s">
        <v>198</v>
      </c>
      <c r="J61" t="s">
        <v>59</v>
      </c>
    </row>
    <row r="62" spans="1:10" x14ac:dyDescent="0.3">
      <c r="A62" t="s">
        <v>204</v>
      </c>
      <c r="B62" t="s">
        <v>205</v>
      </c>
      <c r="D62" s="6">
        <v>1000</v>
      </c>
      <c r="G62" s="7" t="s">
        <v>65</v>
      </c>
      <c r="H62" s="4" t="s">
        <v>206</v>
      </c>
      <c r="J62" t="s">
        <v>49</v>
      </c>
    </row>
    <row r="63" spans="1:10" x14ac:dyDescent="0.3">
      <c r="A63" t="s">
        <v>207</v>
      </c>
      <c r="B63" t="s">
        <v>208</v>
      </c>
      <c r="D63" s="6">
        <v>1000</v>
      </c>
      <c r="G63" s="7">
        <v>9.25</v>
      </c>
      <c r="H63" s="4" t="s">
        <v>209</v>
      </c>
      <c r="J63" t="s">
        <v>59</v>
      </c>
    </row>
    <row r="64" spans="1:10" x14ac:dyDescent="0.3">
      <c r="A64" t="s">
        <v>210</v>
      </c>
      <c r="B64" t="s">
        <v>211</v>
      </c>
      <c r="D64" s="6">
        <v>1000</v>
      </c>
      <c r="G64" s="7">
        <v>9.5</v>
      </c>
      <c r="H64" s="4" t="s">
        <v>209</v>
      </c>
      <c r="J64" t="s">
        <v>62</v>
      </c>
    </row>
    <row r="65" spans="1:10" x14ac:dyDescent="0.3">
      <c r="A65" t="s">
        <v>212</v>
      </c>
      <c r="B65" t="s">
        <v>213</v>
      </c>
      <c r="D65" s="6">
        <v>1000</v>
      </c>
      <c r="G65" s="7">
        <v>9.5</v>
      </c>
      <c r="H65" s="4" t="s">
        <v>201</v>
      </c>
      <c r="J65" t="s">
        <v>59</v>
      </c>
    </row>
    <row r="66" spans="1:10" x14ac:dyDescent="0.3">
      <c r="A66" t="s">
        <v>214</v>
      </c>
      <c r="B66" t="s">
        <v>215</v>
      </c>
      <c r="D66" s="6">
        <v>1000</v>
      </c>
      <c r="G66" s="7">
        <v>10.75</v>
      </c>
      <c r="H66" s="4" t="s">
        <v>216</v>
      </c>
      <c r="J66" t="s">
        <v>62</v>
      </c>
    </row>
    <row r="67" spans="1:10" x14ac:dyDescent="0.3">
      <c r="A67" t="s">
        <v>217</v>
      </c>
      <c r="B67" t="s">
        <v>218</v>
      </c>
      <c r="D67" s="6">
        <v>1000</v>
      </c>
      <c r="G67" s="7" t="s">
        <v>65</v>
      </c>
      <c r="H67" s="4" t="s">
        <v>219</v>
      </c>
      <c r="J67" t="s">
        <v>49</v>
      </c>
    </row>
    <row r="68" spans="1:10" x14ac:dyDescent="0.3">
      <c r="A68" t="s">
        <v>220</v>
      </c>
      <c r="B68" t="s">
        <v>221</v>
      </c>
      <c r="D68" s="6">
        <v>1000</v>
      </c>
      <c r="G68" s="7" t="s">
        <v>65</v>
      </c>
      <c r="H68" s="4" t="s">
        <v>222</v>
      </c>
      <c r="J68" t="s">
        <v>49</v>
      </c>
    </row>
    <row r="69" spans="1:10" x14ac:dyDescent="0.3">
      <c r="A69" t="s">
        <v>223</v>
      </c>
      <c r="B69" t="s">
        <v>224</v>
      </c>
      <c r="D69" s="6">
        <v>1000</v>
      </c>
      <c r="G69" s="7">
        <v>9.35</v>
      </c>
      <c r="H69" s="4" t="s">
        <v>225</v>
      </c>
      <c r="J69" t="s">
        <v>59</v>
      </c>
    </row>
    <row r="70" spans="1:10" x14ac:dyDescent="0.3">
      <c r="A70" t="s">
        <v>226</v>
      </c>
      <c r="B70" t="s">
        <v>227</v>
      </c>
      <c r="D70" s="6">
        <v>1000</v>
      </c>
      <c r="G70" s="7">
        <v>9.5</v>
      </c>
      <c r="H70" s="4" t="s">
        <v>228</v>
      </c>
      <c r="J70" t="s">
        <v>59</v>
      </c>
    </row>
    <row r="71" spans="1:10" x14ac:dyDescent="0.3">
      <c r="A71" t="s">
        <v>229</v>
      </c>
      <c r="B71" t="s">
        <v>230</v>
      </c>
      <c r="D71" s="6">
        <v>1000</v>
      </c>
      <c r="G71" s="7">
        <v>9.75</v>
      </c>
      <c r="H71" s="4" t="s">
        <v>228</v>
      </c>
      <c r="J71" t="s">
        <v>62</v>
      </c>
    </row>
    <row r="72" spans="1:10" x14ac:dyDescent="0.3">
      <c r="A72" t="s">
        <v>231</v>
      </c>
      <c r="B72" t="s">
        <v>232</v>
      </c>
      <c r="D72" s="6">
        <v>1000</v>
      </c>
      <c r="G72" s="7">
        <v>9.75</v>
      </c>
      <c r="H72" s="4" t="s">
        <v>233</v>
      </c>
      <c r="J72" t="s">
        <v>59</v>
      </c>
    </row>
    <row r="73" spans="1:10" x14ac:dyDescent="0.3">
      <c r="A73" t="s">
        <v>234</v>
      </c>
      <c r="B73" t="s">
        <v>235</v>
      </c>
      <c r="D73" s="6">
        <v>1000</v>
      </c>
      <c r="G73" s="7">
        <v>10</v>
      </c>
      <c r="H73" s="4" t="s">
        <v>233</v>
      </c>
      <c r="J73" t="s">
        <v>62</v>
      </c>
    </row>
    <row r="74" spans="1:10" x14ac:dyDescent="0.3">
      <c r="A74" t="s">
        <v>236</v>
      </c>
      <c r="B74" t="s">
        <v>237</v>
      </c>
      <c r="D74" s="6">
        <v>1000</v>
      </c>
      <c r="G74" s="7">
        <v>10.5</v>
      </c>
      <c r="H74" s="4" t="s">
        <v>216</v>
      </c>
      <c r="J74" t="s">
        <v>59</v>
      </c>
    </row>
    <row r="75" spans="1:10" x14ac:dyDescent="0.3">
      <c r="A75" t="s">
        <v>238</v>
      </c>
      <c r="B75" t="s">
        <v>239</v>
      </c>
      <c r="D75" s="6">
        <v>1000</v>
      </c>
      <c r="G75" s="7">
        <v>9.5</v>
      </c>
      <c r="H75" s="4" t="s">
        <v>228</v>
      </c>
      <c r="J75" t="s">
        <v>72</v>
      </c>
    </row>
    <row r="76" spans="1:10" x14ac:dyDescent="0.3">
      <c r="A76" t="s">
        <v>240</v>
      </c>
      <c r="B76" t="s">
        <v>241</v>
      </c>
      <c r="D76" s="6">
        <v>1000</v>
      </c>
      <c r="G76" s="7">
        <v>9.85</v>
      </c>
      <c r="H76" s="4" t="s">
        <v>242</v>
      </c>
      <c r="J76" t="s">
        <v>72</v>
      </c>
    </row>
    <row r="77" spans="1:10" x14ac:dyDescent="0.3">
      <c r="A77" t="s">
        <v>243</v>
      </c>
      <c r="B77" t="s">
        <v>244</v>
      </c>
      <c r="D77" s="6">
        <v>1000</v>
      </c>
      <c r="G77" s="7">
        <v>10</v>
      </c>
      <c r="H77" s="4" t="s">
        <v>245</v>
      </c>
      <c r="J77" t="s">
        <v>72</v>
      </c>
    </row>
    <row r="78" spans="1:10" x14ac:dyDescent="0.3">
      <c r="A78" t="s">
        <v>246</v>
      </c>
      <c r="B78" t="s">
        <v>247</v>
      </c>
      <c r="D78" s="6">
        <v>1000</v>
      </c>
      <c r="G78" s="7">
        <v>10.25</v>
      </c>
      <c r="H78" s="4" t="s">
        <v>245</v>
      </c>
      <c r="J78" t="s">
        <v>248</v>
      </c>
    </row>
    <row r="79" spans="1:10" x14ac:dyDescent="0.3">
      <c r="A79" t="s">
        <v>249</v>
      </c>
      <c r="B79" t="s">
        <v>250</v>
      </c>
      <c r="D79" s="6">
        <v>1000</v>
      </c>
      <c r="G79" s="7">
        <v>10.25</v>
      </c>
      <c r="H79" s="4" t="s">
        <v>251</v>
      </c>
      <c r="J79" t="s">
        <v>72</v>
      </c>
    </row>
    <row r="80" spans="1:10" x14ac:dyDescent="0.3">
      <c r="A80" t="s">
        <v>252</v>
      </c>
      <c r="B80" t="s">
        <v>253</v>
      </c>
      <c r="D80" s="6">
        <v>1000</v>
      </c>
      <c r="G80" s="7">
        <v>10.73</v>
      </c>
      <c r="H80" s="4" t="s">
        <v>254</v>
      </c>
      <c r="J80" t="s">
        <v>72</v>
      </c>
    </row>
    <row r="81" spans="1:10" x14ac:dyDescent="0.3">
      <c r="A81" t="s">
        <v>255</v>
      </c>
      <c r="B81" t="s">
        <v>256</v>
      </c>
      <c r="D81" s="6">
        <v>1000</v>
      </c>
      <c r="G81" s="7">
        <v>11</v>
      </c>
      <c r="H81" s="4" t="s">
        <v>254</v>
      </c>
      <c r="J81" t="s">
        <v>248</v>
      </c>
    </row>
    <row r="82" spans="1:10" x14ac:dyDescent="0.3">
      <c r="A82" t="s">
        <v>257</v>
      </c>
      <c r="B82" t="s">
        <v>258</v>
      </c>
      <c r="D82" s="6">
        <v>1000</v>
      </c>
      <c r="G82" s="7" t="s">
        <v>65</v>
      </c>
      <c r="H82" s="4" t="s">
        <v>259</v>
      </c>
      <c r="J82" t="s">
        <v>46</v>
      </c>
    </row>
    <row r="83" spans="1:10" x14ac:dyDescent="0.3">
      <c r="A83" t="s">
        <v>260</v>
      </c>
      <c r="B83" t="s">
        <v>261</v>
      </c>
      <c r="D83" s="6">
        <v>1000</v>
      </c>
      <c r="G83" s="7" t="s">
        <v>65</v>
      </c>
      <c r="H83" s="4" t="s">
        <v>262</v>
      </c>
      <c r="J83" t="s">
        <v>46</v>
      </c>
    </row>
    <row r="84" spans="1:10" x14ac:dyDescent="0.3">
      <c r="A84" t="s">
        <v>263</v>
      </c>
      <c r="B84" t="s">
        <v>264</v>
      </c>
      <c r="D84" s="6">
        <v>1000</v>
      </c>
      <c r="G84" s="7">
        <v>10.5</v>
      </c>
      <c r="H84" s="4" t="s">
        <v>251</v>
      </c>
      <c r="J84" t="s">
        <v>248</v>
      </c>
    </row>
    <row r="85" spans="1:10" x14ac:dyDescent="0.3">
      <c r="A85" t="s">
        <v>265</v>
      </c>
      <c r="B85" t="s">
        <v>266</v>
      </c>
      <c r="C85" t="s">
        <v>267</v>
      </c>
      <c r="D85" s="9">
        <v>1000</v>
      </c>
      <c r="E85" t="s">
        <v>45</v>
      </c>
      <c r="F85" t="s">
        <v>45</v>
      </c>
      <c r="G85" s="12">
        <v>8.1199999999999992</v>
      </c>
      <c r="H85" s="4">
        <v>46473</v>
      </c>
      <c r="I85" t="s">
        <v>265</v>
      </c>
      <c r="J85" t="s">
        <v>62</v>
      </c>
    </row>
    <row r="86" spans="1:10" x14ac:dyDescent="0.3">
      <c r="A86" t="s">
        <v>265</v>
      </c>
      <c r="B86" t="s">
        <v>268</v>
      </c>
      <c r="D86" s="6">
        <v>1000</v>
      </c>
      <c r="G86" s="7">
        <v>8.1199999999999992</v>
      </c>
      <c r="H86" s="4" t="s">
        <v>269</v>
      </c>
      <c r="J86" t="s">
        <v>62</v>
      </c>
    </row>
    <row r="87" spans="1:10" x14ac:dyDescent="0.3">
      <c r="A87" t="s">
        <v>270</v>
      </c>
      <c r="B87" t="s">
        <v>266</v>
      </c>
      <c r="C87" t="s">
        <v>48</v>
      </c>
      <c r="D87" s="9">
        <v>1000</v>
      </c>
      <c r="E87" t="s">
        <v>45</v>
      </c>
      <c r="F87" t="s">
        <v>45</v>
      </c>
      <c r="G87">
        <v>7.38</v>
      </c>
      <c r="H87" t="s">
        <v>271</v>
      </c>
      <c r="I87" t="s">
        <v>272</v>
      </c>
      <c r="J87" t="s">
        <v>62</v>
      </c>
    </row>
    <row r="88" spans="1:10" x14ac:dyDescent="0.3">
      <c r="A88" t="s">
        <v>270</v>
      </c>
      <c r="B88" t="s">
        <v>273</v>
      </c>
      <c r="D88" s="6">
        <v>1000</v>
      </c>
      <c r="G88" s="7">
        <v>7.3800000000000008</v>
      </c>
      <c r="H88" s="4" t="s">
        <v>271</v>
      </c>
      <c r="J88" t="s">
        <v>62</v>
      </c>
    </row>
    <row r="89" spans="1:10" x14ac:dyDescent="0.3">
      <c r="A89" t="s">
        <v>274</v>
      </c>
      <c r="B89" t="s">
        <v>266</v>
      </c>
      <c r="C89" t="s">
        <v>275</v>
      </c>
      <c r="D89" s="9">
        <v>1000</v>
      </c>
      <c r="E89" t="s">
        <v>276</v>
      </c>
      <c r="F89" t="s">
        <v>277</v>
      </c>
      <c r="G89">
        <v>7.04</v>
      </c>
      <c r="H89" t="s">
        <v>278</v>
      </c>
      <c r="I89" t="s">
        <v>279</v>
      </c>
      <c r="J89" t="s">
        <v>62</v>
      </c>
    </row>
    <row r="90" spans="1:10" x14ac:dyDescent="0.3">
      <c r="A90" t="s">
        <v>280</v>
      </c>
      <c r="B90" t="s">
        <v>266</v>
      </c>
      <c r="C90" t="s">
        <v>281</v>
      </c>
      <c r="D90" s="9">
        <v>1000</v>
      </c>
      <c r="E90" t="s">
        <v>282</v>
      </c>
      <c r="F90" t="s">
        <v>283</v>
      </c>
      <c r="G90">
        <v>8.4600000000000009</v>
      </c>
      <c r="H90" t="s">
        <v>284</v>
      </c>
      <c r="I90" t="s">
        <v>285</v>
      </c>
      <c r="J90" t="s">
        <v>62</v>
      </c>
    </row>
    <row r="91" spans="1:10" x14ac:dyDescent="0.3">
      <c r="A91" t="s">
        <v>280</v>
      </c>
      <c r="B91" t="s">
        <v>286</v>
      </c>
      <c r="D91" s="6">
        <v>1000</v>
      </c>
      <c r="G91" s="7">
        <v>8.4599999999999991</v>
      </c>
      <c r="H91" s="4" t="s">
        <v>284</v>
      </c>
      <c r="J91" t="s">
        <v>62</v>
      </c>
    </row>
    <row r="92" spans="1:10" x14ac:dyDescent="0.3">
      <c r="A92" t="s">
        <v>287</v>
      </c>
      <c r="B92" t="s">
        <v>266</v>
      </c>
      <c r="C92" t="s">
        <v>288</v>
      </c>
      <c r="D92" s="9">
        <v>1000</v>
      </c>
      <c r="E92" t="s">
        <v>45</v>
      </c>
      <c r="F92" t="s">
        <v>45</v>
      </c>
      <c r="G92">
        <v>8.7100000000000009</v>
      </c>
      <c r="H92" t="s">
        <v>284</v>
      </c>
      <c r="I92" t="s">
        <v>289</v>
      </c>
      <c r="J92" t="s">
        <v>62</v>
      </c>
    </row>
    <row r="93" spans="1:10" x14ac:dyDescent="0.3">
      <c r="A93" t="s">
        <v>287</v>
      </c>
      <c r="B93" t="s">
        <v>290</v>
      </c>
      <c r="D93" s="6">
        <v>1000</v>
      </c>
      <c r="G93" s="7">
        <v>8.7099999999999991</v>
      </c>
      <c r="H93" s="4" t="s">
        <v>284</v>
      </c>
      <c r="J93" t="s">
        <v>62</v>
      </c>
    </row>
    <row r="94" spans="1:10" x14ac:dyDescent="0.3">
      <c r="A94" t="s">
        <v>291</v>
      </c>
      <c r="B94" t="s">
        <v>266</v>
      </c>
      <c r="C94" t="s">
        <v>292</v>
      </c>
      <c r="D94" s="9">
        <v>1000</v>
      </c>
      <c r="E94" t="s">
        <v>45</v>
      </c>
      <c r="F94" t="s">
        <v>45</v>
      </c>
      <c r="G94">
        <v>8.6199999999999992</v>
      </c>
      <c r="H94" t="s">
        <v>293</v>
      </c>
      <c r="I94" t="s">
        <v>294</v>
      </c>
      <c r="J94" t="s">
        <v>62</v>
      </c>
    </row>
    <row r="95" spans="1:10" x14ac:dyDescent="0.3">
      <c r="A95" t="s">
        <v>291</v>
      </c>
      <c r="B95" t="s">
        <v>295</v>
      </c>
      <c r="D95" s="6">
        <v>1000</v>
      </c>
      <c r="G95" s="7">
        <v>8.6199999999999992</v>
      </c>
      <c r="H95" s="4" t="s">
        <v>293</v>
      </c>
      <c r="J95" t="s">
        <v>62</v>
      </c>
    </row>
    <row r="96" spans="1:10" x14ac:dyDescent="0.3">
      <c r="A96" t="s">
        <v>296</v>
      </c>
      <c r="B96" t="s">
        <v>266</v>
      </c>
      <c r="C96" t="s">
        <v>297</v>
      </c>
      <c r="D96" s="9">
        <v>1000</v>
      </c>
      <c r="E96" t="s">
        <v>45</v>
      </c>
      <c r="F96" t="s">
        <v>45</v>
      </c>
      <c r="G96">
        <v>8.6300000000000008</v>
      </c>
      <c r="H96" t="s">
        <v>298</v>
      </c>
      <c r="I96" t="s">
        <v>299</v>
      </c>
      <c r="J96" t="s">
        <v>62</v>
      </c>
    </row>
    <row r="97" spans="1:10" x14ac:dyDescent="0.3">
      <c r="A97" t="s">
        <v>296</v>
      </c>
      <c r="B97" t="s">
        <v>300</v>
      </c>
      <c r="D97" s="6">
        <v>1000</v>
      </c>
      <c r="G97" s="7">
        <v>8.6300000000000008</v>
      </c>
      <c r="H97" s="4" t="s">
        <v>298</v>
      </c>
      <c r="J97" t="s">
        <v>62</v>
      </c>
    </row>
    <row r="98" spans="1:10" x14ac:dyDescent="0.3">
      <c r="A98" t="s">
        <v>301</v>
      </c>
      <c r="B98" t="s">
        <v>266</v>
      </c>
      <c r="C98" t="s">
        <v>302</v>
      </c>
      <c r="D98" s="9">
        <v>1000</v>
      </c>
      <c r="E98" t="s">
        <v>303</v>
      </c>
      <c r="F98" t="s">
        <v>304</v>
      </c>
      <c r="G98">
        <v>8.61</v>
      </c>
      <c r="H98" t="s">
        <v>305</v>
      </c>
      <c r="I98" t="s">
        <v>306</v>
      </c>
      <c r="J98" t="s">
        <v>62</v>
      </c>
    </row>
    <row r="99" spans="1:10" x14ac:dyDescent="0.3">
      <c r="A99" t="s">
        <v>301</v>
      </c>
      <c r="B99" t="s">
        <v>307</v>
      </c>
      <c r="D99" s="6">
        <v>1000</v>
      </c>
      <c r="G99" s="7">
        <v>8.61</v>
      </c>
      <c r="H99" s="4" t="s">
        <v>305</v>
      </c>
      <c r="J99" t="s">
        <v>62</v>
      </c>
    </row>
    <row r="100" spans="1:10" x14ac:dyDescent="0.3">
      <c r="A100" t="s">
        <v>308</v>
      </c>
      <c r="B100" t="s">
        <v>266</v>
      </c>
      <c r="C100" t="s">
        <v>309</v>
      </c>
      <c r="D100" s="9">
        <v>1000</v>
      </c>
      <c r="E100" t="s">
        <v>310</v>
      </c>
      <c r="F100" t="s">
        <v>311</v>
      </c>
      <c r="G100">
        <v>8.8800000000000008</v>
      </c>
      <c r="H100" t="s">
        <v>298</v>
      </c>
      <c r="I100" t="s">
        <v>312</v>
      </c>
      <c r="J100" t="s">
        <v>62</v>
      </c>
    </row>
    <row r="101" spans="1:10" x14ac:dyDescent="0.3">
      <c r="A101" t="s">
        <v>308</v>
      </c>
      <c r="B101" t="s">
        <v>313</v>
      </c>
      <c r="D101" s="6">
        <v>1000</v>
      </c>
      <c r="G101" s="7">
        <v>8.8800000000000008</v>
      </c>
      <c r="H101" s="4" t="s">
        <v>298</v>
      </c>
      <c r="J101" t="s">
        <v>62</v>
      </c>
    </row>
    <row r="102" spans="1:10" x14ac:dyDescent="0.3">
      <c r="A102" t="s">
        <v>314</v>
      </c>
      <c r="B102" t="s">
        <v>266</v>
      </c>
      <c r="D102" s="9">
        <v>1000</v>
      </c>
      <c r="G102">
        <v>8.86</v>
      </c>
      <c r="H102" s="4">
        <v>49027</v>
      </c>
      <c r="I102" t="s">
        <v>314</v>
      </c>
      <c r="J102" t="s">
        <v>62</v>
      </c>
    </row>
    <row r="103" spans="1:10" x14ac:dyDescent="0.3">
      <c r="A103" t="s">
        <v>314</v>
      </c>
      <c r="B103" t="s">
        <v>315</v>
      </c>
      <c r="D103" s="6">
        <v>1000</v>
      </c>
      <c r="G103" s="7">
        <v>8.86</v>
      </c>
      <c r="H103" s="4" t="s">
        <v>305</v>
      </c>
      <c r="J103" t="s">
        <v>62</v>
      </c>
    </row>
    <row r="104" spans="1:10" x14ac:dyDescent="0.3">
      <c r="A104" t="s">
        <v>316</v>
      </c>
      <c r="B104" t="s">
        <v>317</v>
      </c>
      <c r="D104" s="6">
        <v>1000</v>
      </c>
      <c r="G104" s="7">
        <v>6.8900000000000006</v>
      </c>
      <c r="H104" s="4" t="s">
        <v>318</v>
      </c>
      <c r="J104" t="s">
        <v>62</v>
      </c>
    </row>
    <row r="105" spans="1:10" x14ac:dyDescent="0.3">
      <c r="A105" t="s">
        <v>319</v>
      </c>
      <c r="B105" t="s">
        <v>320</v>
      </c>
      <c r="D105" s="6">
        <v>1000</v>
      </c>
      <c r="G105" s="7">
        <v>7.1400000000000006</v>
      </c>
      <c r="H105" s="4" t="s">
        <v>318</v>
      </c>
      <c r="J105" t="s">
        <v>62</v>
      </c>
    </row>
    <row r="106" spans="1:10" x14ac:dyDescent="0.3">
      <c r="A106" t="s">
        <v>321</v>
      </c>
      <c r="B106" t="s">
        <v>322</v>
      </c>
      <c r="D106" s="6">
        <v>1000</v>
      </c>
      <c r="G106" s="7">
        <v>7.0900000000000007</v>
      </c>
      <c r="H106" s="4" t="s">
        <v>323</v>
      </c>
      <c r="J106" t="s">
        <v>62</v>
      </c>
    </row>
    <row r="107" spans="1:10" x14ac:dyDescent="0.3">
      <c r="A107" t="s">
        <v>324</v>
      </c>
      <c r="B107" t="s">
        <v>325</v>
      </c>
      <c r="D107" s="6">
        <v>1000</v>
      </c>
      <c r="G107" s="7">
        <v>7.3400000000000007</v>
      </c>
      <c r="H107" s="4" t="s">
        <v>323</v>
      </c>
      <c r="J107" t="s">
        <v>62</v>
      </c>
    </row>
    <row r="108" spans="1:10" x14ac:dyDescent="0.3">
      <c r="A108" t="s">
        <v>326</v>
      </c>
      <c r="B108" t="s">
        <v>327</v>
      </c>
      <c r="D108" s="6">
        <v>1000</v>
      </c>
      <c r="G108" s="7">
        <v>7.1800000000000006</v>
      </c>
      <c r="H108" s="4" t="s">
        <v>328</v>
      </c>
      <c r="J108" t="s">
        <v>62</v>
      </c>
    </row>
    <row r="109" spans="1:10" x14ac:dyDescent="0.3">
      <c r="A109" t="s">
        <v>329</v>
      </c>
      <c r="B109" t="s">
        <v>266</v>
      </c>
      <c r="C109" t="s">
        <v>330</v>
      </c>
      <c r="D109" s="9">
        <v>1000</v>
      </c>
      <c r="E109" t="s">
        <v>331</v>
      </c>
      <c r="F109" t="s">
        <v>332</v>
      </c>
      <c r="G109" s="12">
        <v>7.43</v>
      </c>
      <c r="H109" s="4">
        <v>49618</v>
      </c>
      <c r="I109" t="s">
        <v>45</v>
      </c>
      <c r="J109" t="s">
        <v>62</v>
      </c>
    </row>
    <row r="110" spans="1:10" x14ac:dyDescent="0.3">
      <c r="A110" t="s">
        <v>329</v>
      </c>
      <c r="B110" t="s">
        <v>333</v>
      </c>
      <c r="D110" s="6">
        <v>1000</v>
      </c>
      <c r="G110" s="7">
        <v>7.4300000000000006</v>
      </c>
      <c r="H110" s="4" t="s">
        <v>328</v>
      </c>
      <c r="J110" t="s">
        <v>62</v>
      </c>
    </row>
    <row r="111" spans="1:10" x14ac:dyDescent="0.3">
      <c r="A111" t="s">
        <v>329</v>
      </c>
      <c r="B111" t="s">
        <v>334</v>
      </c>
      <c r="D111" s="6">
        <v>1000</v>
      </c>
      <c r="G111" s="7">
        <v>7.4300000000000006</v>
      </c>
      <c r="H111" s="4" t="s">
        <v>328</v>
      </c>
      <c r="J111" t="s">
        <v>62</v>
      </c>
    </row>
    <row r="112" spans="1:10" x14ac:dyDescent="0.3">
      <c r="A112" t="s">
        <v>335</v>
      </c>
      <c r="B112" t="s">
        <v>336</v>
      </c>
      <c r="D112" s="6">
        <v>1000</v>
      </c>
      <c r="G112" s="7">
        <v>9.1999999999999993</v>
      </c>
      <c r="H112" s="4" t="s">
        <v>337</v>
      </c>
      <c r="J112" t="s">
        <v>62</v>
      </c>
    </row>
    <row r="113" spans="1:10" x14ac:dyDescent="0.3">
      <c r="A113" t="s">
        <v>335</v>
      </c>
      <c r="B113" t="s">
        <v>336</v>
      </c>
      <c r="D113" s="6">
        <v>1000</v>
      </c>
      <c r="G113" s="7">
        <v>9.1999999999999993</v>
      </c>
      <c r="H113" s="4" t="s">
        <v>337</v>
      </c>
      <c r="J113" t="s">
        <v>62</v>
      </c>
    </row>
    <row r="114" spans="1:10" x14ac:dyDescent="0.3">
      <c r="A114" t="s">
        <v>338</v>
      </c>
      <c r="B114" t="s">
        <v>339</v>
      </c>
      <c r="C114" t="s">
        <v>340</v>
      </c>
      <c r="D114" s="9">
        <v>1000</v>
      </c>
      <c r="E114" t="s">
        <v>45</v>
      </c>
      <c r="F114" t="s">
        <v>45</v>
      </c>
      <c r="G114" s="12">
        <v>9.35</v>
      </c>
      <c r="H114" s="4">
        <v>47190</v>
      </c>
      <c r="I114" t="s">
        <v>45</v>
      </c>
      <c r="J114" t="s">
        <v>62</v>
      </c>
    </row>
    <row r="115" spans="1:10" x14ac:dyDescent="0.3">
      <c r="A115" t="s">
        <v>338</v>
      </c>
      <c r="B115" t="s">
        <v>341</v>
      </c>
      <c r="D115" s="6">
        <v>1000</v>
      </c>
      <c r="G115" s="7">
        <v>9.35</v>
      </c>
      <c r="H115" s="4" t="s">
        <v>337</v>
      </c>
      <c r="J115" t="s">
        <v>62</v>
      </c>
    </row>
    <row r="116" spans="1:10" x14ac:dyDescent="0.3">
      <c r="A116" t="s">
        <v>338</v>
      </c>
      <c r="B116" t="s">
        <v>341</v>
      </c>
      <c r="D116" s="6">
        <v>1000</v>
      </c>
      <c r="G116" s="7">
        <v>9.35</v>
      </c>
      <c r="H116" s="4" t="s">
        <v>337</v>
      </c>
      <c r="J116" t="s">
        <v>62</v>
      </c>
    </row>
    <row r="117" spans="1:10" x14ac:dyDescent="0.3">
      <c r="A117" t="s">
        <v>342</v>
      </c>
      <c r="B117" t="s">
        <v>343</v>
      </c>
      <c r="D117" s="6">
        <v>1000</v>
      </c>
      <c r="G117" s="7">
        <v>8.84</v>
      </c>
      <c r="H117" s="4" t="s">
        <v>337</v>
      </c>
      <c r="J117" t="s">
        <v>59</v>
      </c>
    </row>
    <row r="118" spans="1:10" x14ac:dyDescent="0.3">
      <c r="A118" t="s">
        <v>342</v>
      </c>
      <c r="B118" t="s">
        <v>343</v>
      </c>
      <c r="D118" s="6">
        <v>1000</v>
      </c>
      <c r="G118" s="7">
        <v>8.84</v>
      </c>
      <c r="H118" s="4" t="s">
        <v>337</v>
      </c>
      <c r="J118" t="s">
        <v>59</v>
      </c>
    </row>
    <row r="119" spans="1:10" x14ac:dyDescent="0.3">
      <c r="A119" t="s">
        <v>344</v>
      </c>
      <c r="B119" t="s">
        <v>339</v>
      </c>
      <c r="D119" s="9">
        <v>1000</v>
      </c>
      <c r="G119">
        <v>8.98</v>
      </c>
      <c r="H119" s="4">
        <v>47190</v>
      </c>
      <c r="J119" t="s">
        <v>59</v>
      </c>
    </row>
    <row r="120" spans="1:10" x14ac:dyDescent="0.3">
      <c r="A120" t="s">
        <v>344</v>
      </c>
      <c r="B120" t="s">
        <v>345</v>
      </c>
      <c r="D120" s="6">
        <v>1000</v>
      </c>
      <c r="G120" s="7">
        <v>8.98</v>
      </c>
      <c r="H120" s="4" t="s">
        <v>337</v>
      </c>
      <c r="J120" t="s">
        <v>59</v>
      </c>
    </row>
    <row r="121" spans="1:10" x14ac:dyDescent="0.3">
      <c r="A121" t="s">
        <v>344</v>
      </c>
      <c r="B121" t="s">
        <v>345</v>
      </c>
      <c r="D121" s="6">
        <v>1000</v>
      </c>
      <c r="G121" s="7">
        <v>8.98</v>
      </c>
      <c r="H121" s="4" t="s">
        <v>337</v>
      </c>
      <c r="J121" t="s">
        <v>59</v>
      </c>
    </row>
    <row r="122" spans="1:10" x14ac:dyDescent="0.3">
      <c r="A122" t="s">
        <v>346</v>
      </c>
      <c r="B122" t="s">
        <v>347</v>
      </c>
      <c r="D122" s="6">
        <v>1000</v>
      </c>
      <c r="G122" s="7">
        <v>8.85</v>
      </c>
      <c r="H122" s="4" t="s">
        <v>348</v>
      </c>
      <c r="J122" t="s">
        <v>62</v>
      </c>
    </row>
    <row r="123" spans="1:10" x14ac:dyDescent="0.3">
      <c r="A123" t="s">
        <v>346</v>
      </c>
      <c r="B123" t="s">
        <v>347</v>
      </c>
      <c r="D123" s="6">
        <v>1000</v>
      </c>
      <c r="G123" s="7">
        <v>8.85</v>
      </c>
      <c r="H123" s="4" t="s">
        <v>348</v>
      </c>
      <c r="J123" t="s">
        <v>62</v>
      </c>
    </row>
    <row r="124" spans="1:10" x14ac:dyDescent="0.3">
      <c r="A124" t="s">
        <v>349</v>
      </c>
      <c r="B124" t="s">
        <v>339</v>
      </c>
      <c r="C124" t="s">
        <v>309</v>
      </c>
      <c r="D124" s="9">
        <v>1000</v>
      </c>
      <c r="E124" t="s">
        <v>350</v>
      </c>
      <c r="F124" t="s">
        <v>311</v>
      </c>
      <c r="G124" s="12">
        <v>9.0500000000000007</v>
      </c>
      <c r="H124" s="4">
        <v>46492</v>
      </c>
      <c r="I124" t="s">
        <v>45</v>
      </c>
      <c r="J124" t="s">
        <v>62</v>
      </c>
    </row>
    <row r="125" spans="1:10" x14ac:dyDescent="0.3">
      <c r="A125" t="s">
        <v>349</v>
      </c>
      <c r="B125" t="s">
        <v>351</v>
      </c>
      <c r="D125" s="6">
        <v>1000</v>
      </c>
      <c r="G125" s="7">
        <v>9.0499999999999989</v>
      </c>
      <c r="H125" s="4" t="s">
        <v>348</v>
      </c>
      <c r="J125" t="s">
        <v>62</v>
      </c>
    </row>
    <row r="126" spans="1:10" x14ac:dyDescent="0.3">
      <c r="A126" t="s">
        <v>349</v>
      </c>
      <c r="B126" t="s">
        <v>351</v>
      </c>
      <c r="D126" s="6">
        <v>1000</v>
      </c>
      <c r="G126" s="7">
        <v>9.0499999999999989</v>
      </c>
      <c r="H126" s="4" t="s">
        <v>348</v>
      </c>
      <c r="J126" t="s">
        <v>62</v>
      </c>
    </row>
    <row r="127" spans="1:10" x14ac:dyDescent="0.3">
      <c r="A127" t="s">
        <v>352</v>
      </c>
      <c r="B127" t="s">
        <v>353</v>
      </c>
      <c r="D127" s="6">
        <v>1000</v>
      </c>
      <c r="G127" s="7">
        <v>8.52</v>
      </c>
      <c r="H127" s="4" t="s">
        <v>348</v>
      </c>
      <c r="J127" t="s">
        <v>59</v>
      </c>
    </row>
    <row r="128" spans="1:10" x14ac:dyDescent="0.3">
      <c r="A128" t="s">
        <v>352</v>
      </c>
      <c r="B128" t="s">
        <v>353</v>
      </c>
      <c r="D128" s="6">
        <v>1000</v>
      </c>
      <c r="G128" s="7">
        <v>8.52</v>
      </c>
      <c r="H128" s="4" t="s">
        <v>348</v>
      </c>
      <c r="J128" t="s">
        <v>59</v>
      </c>
    </row>
    <row r="129" spans="1:10" x14ac:dyDescent="0.3">
      <c r="A129" t="s">
        <v>354</v>
      </c>
      <c r="B129" t="s">
        <v>339</v>
      </c>
      <c r="C129" t="s">
        <v>330</v>
      </c>
      <c r="D129" s="9">
        <v>1000</v>
      </c>
      <c r="E129" t="s">
        <v>45</v>
      </c>
      <c r="F129" t="s">
        <v>45</v>
      </c>
      <c r="G129" s="12">
        <v>8.6999999999999993</v>
      </c>
      <c r="H129" s="5">
        <v>46492</v>
      </c>
      <c r="I129" t="s">
        <v>354</v>
      </c>
      <c r="J129" t="s">
        <v>59</v>
      </c>
    </row>
    <row r="130" spans="1:10" x14ac:dyDescent="0.3">
      <c r="A130" t="s">
        <v>354</v>
      </c>
      <c r="B130" t="s">
        <v>355</v>
      </c>
      <c r="D130" s="6">
        <v>1000</v>
      </c>
      <c r="G130" s="7">
        <v>8.6999999999999993</v>
      </c>
      <c r="H130" s="4" t="s">
        <v>348</v>
      </c>
      <c r="J130" t="s">
        <v>59</v>
      </c>
    </row>
    <row r="131" spans="1:10" x14ac:dyDescent="0.3">
      <c r="A131" t="s">
        <v>354</v>
      </c>
      <c r="B131" t="s">
        <v>355</v>
      </c>
      <c r="D131" s="6">
        <v>1000</v>
      </c>
      <c r="G131" s="7">
        <v>8.6999999999999993</v>
      </c>
      <c r="H131" s="4" t="s">
        <v>348</v>
      </c>
      <c r="J131" t="s">
        <v>59</v>
      </c>
    </row>
    <row r="132" spans="1:10" x14ac:dyDescent="0.3">
      <c r="A132" t="s">
        <v>356</v>
      </c>
      <c r="B132" t="s">
        <v>357</v>
      </c>
      <c r="D132" s="6">
        <v>1000</v>
      </c>
      <c r="G132" s="7">
        <v>8.4500000000000011</v>
      </c>
      <c r="H132" s="4" t="s">
        <v>358</v>
      </c>
      <c r="J132" t="s">
        <v>62</v>
      </c>
    </row>
    <row r="133" spans="1:10" x14ac:dyDescent="0.3">
      <c r="A133" t="s">
        <v>356</v>
      </c>
      <c r="B133" t="s">
        <v>357</v>
      </c>
      <c r="D133" s="6">
        <v>1000</v>
      </c>
      <c r="G133" s="7">
        <v>8.4500000000000011</v>
      </c>
      <c r="H133" s="4" t="s">
        <v>358</v>
      </c>
      <c r="J133" t="s">
        <v>62</v>
      </c>
    </row>
    <row r="134" spans="1:10" x14ac:dyDescent="0.3">
      <c r="A134" t="s">
        <v>359</v>
      </c>
      <c r="B134" t="s">
        <v>339</v>
      </c>
      <c r="C134" t="s">
        <v>360</v>
      </c>
      <c r="D134" s="9" t="s">
        <v>45</v>
      </c>
      <c r="E134" t="s">
        <v>45</v>
      </c>
      <c r="F134" t="s">
        <v>45</v>
      </c>
      <c r="G134" s="12">
        <v>0</v>
      </c>
      <c r="H134" t="s">
        <v>45</v>
      </c>
      <c r="I134" t="s">
        <v>359</v>
      </c>
      <c r="J134" t="s">
        <v>361</v>
      </c>
    </row>
    <row r="135" spans="1:10" x14ac:dyDescent="0.3">
      <c r="A135" t="s">
        <v>359</v>
      </c>
      <c r="B135" t="s">
        <v>362</v>
      </c>
      <c r="D135" s="6">
        <v>1000</v>
      </c>
      <c r="G135" s="7">
        <v>8.6</v>
      </c>
      <c r="H135" s="4" t="s">
        <v>358</v>
      </c>
      <c r="J135" t="s">
        <v>62</v>
      </c>
    </row>
    <row r="136" spans="1:10" x14ac:dyDescent="0.3">
      <c r="A136" t="s">
        <v>359</v>
      </c>
      <c r="B136" t="s">
        <v>362</v>
      </c>
      <c r="D136" s="6">
        <v>1000</v>
      </c>
      <c r="G136" s="7">
        <v>8.6</v>
      </c>
      <c r="H136" s="4" t="s">
        <v>358</v>
      </c>
      <c r="J136" t="s">
        <v>62</v>
      </c>
    </row>
    <row r="137" spans="1:10" x14ac:dyDescent="0.3">
      <c r="A137" t="s">
        <v>363</v>
      </c>
      <c r="B137" t="s">
        <v>364</v>
      </c>
      <c r="D137" s="6">
        <v>1000</v>
      </c>
      <c r="G137" s="7">
        <v>8.15</v>
      </c>
      <c r="H137" s="4" t="s">
        <v>358</v>
      </c>
      <c r="J137" t="s">
        <v>59</v>
      </c>
    </row>
    <row r="138" spans="1:10" x14ac:dyDescent="0.3">
      <c r="A138" t="s">
        <v>363</v>
      </c>
      <c r="B138" t="s">
        <v>364</v>
      </c>
      <c r="D138" s="6">
        <v>1000</v>
      </c>
      <c r="G138" s="7">
        <v>8.15</v>
      </c>
      <c r="H138" s="4" t="s">
        <v>358</v>
      </c>
      <c r="J138" t="s">
        <v>59</v>
      </c>
    </row>
    <row r="139" spans="1:10" x14ac:dyDescent="0.3">
      <c r="A139" t="s">
        <v>365</v>
      </c>
      <c r="B139" t="s">
        <v>339</v>
      </c>
      <c r="C139" t="s">
        <v>366</v>
      </c>
      <c r="D139" s="9" t="s">
        <v>45</v>
      </c>
      <c r="E139" t="s">
        <v>45</v>
      </c>
      <c r="F139" t="s">
        <v>45</v>
      </c>
      <c r="G139" s="12">
        <v>0</v>
      </c>
      <c r="H139" t="s">
        <v>45</v>
      </c>
      <c r="I139" t="s">
        <v>45</v>
      </c>
      <c r="J139" t="s">
        <v>59</v>
      </c>
    </row>
    <row r="140" spans="1:10" x14ac:dyDescent="0.3">
      <c r="A140" t="s">
        <v>365</v>
      </c>
      <c r="B140" t="s">
        <v>367</v>
      </c>
      <c r="D140" s="6">
        <v>1000</v>
      </c>
      <c r="G140" s="7">
        <v>8.2900000000000009</v>
      </c>
      <c r="H140" s="4" t="s">
        <v>358</v>
      </c>
      <c r="J140" t="s">
        <v>59</v>
      </c>
    </row>
    <row r="141" spans="1:10" x14ac:dyDescent="0.3">
      <c r="A141" t="s">
        <v>365</v>
      </c>
      <c r="B141" t="s">
        <v>367</v>
      </c>
      <c r="D141" s="6">
        <v>1000</v>
      </c>
      <c r="G141" s="7">
        <v>8.2900000000000009</v>
      </c>
      <c r="H141" s="4" t="s">
        <v>358</v>
      </c>
      <c r="J141" t="s">
        <v>59</v>
      </c>
    </row>
    <row r="142" spans="1:10" x14ac:dyDescent="0.3">
      <c r="A142" t="s">
        <v>368</v>
      </c>
      <c r="B142" t="s">
        <v>369</v>
      </c>
      <c r="D142" s="6">
        <v>1000</v>
      </c>
      <c r="G142" s="7">
        <v>8.5</v>
      </c>
      <c r="H142" s="4" t="s">
        <v>370</v>
      </c>
      <c r="J142" t="s">
        <v>62</v>
      </c>
    </row>
    <row r="143" spans="1:10" x14ac:dyDescent="0.3">
      <c r="A143" t="s">
        <v>368</v>
      </c>
      <c r="B143" t="s">
        <v>369</v>
      </c>
      <c r="D143" s="6">
        <v>1000</v>
      </c>
      <c r="G143" s="7">
        <v>8.5</v>
      </c>
      <c r="H143" s="4" t="s">
        <v>370</v>
      </c>
      <c r="J143" t="s">
        <v>62</v>
      </c>
    </row>
    <row r="144" spans="1:10" x14ac:dyDescent="0.3">
      <c r="A144" t="s">
        <v>371</v>
      </c>
      <c r="B144" t="s">
        <v>339</v>
      </c>
      <c r="C144" t="s">
        <v>372</v>
      </c>
      <c r="D144" s="9">
        <v>1000</v>
      </c>
      <c r="E144" t="s">
        <v>45</v>
      </c>
      <c r="F144" t="s">
        <v>45</v>
      </c>
      <c r="G144" s="12">
        <v>8.65</v>
      </c>
      <c r="H144" s="4">
        <v>46379</v>
      </c>
      <c r="I144" t="s">
        <v>371</v>
      </c>
      <c r="J144" t="s">
        <v>62</v>
      </c>
    </row>
    <row r="145" spans="1:10" x14ac:dyDescent="0.3">
      <c r="A145" t="s">
        <v>371</v>
      </c>
      <c r="B145" t="s">
        <v>373</v>
      </c>
      <c r="D145" s="6">
        <v>1000</v>
      </c>
      <c r="G145" s="7">
        <v>8.6499999999999986</v>
      </c>
      <c r="H145" s="4" t="s">
        <v>370</v>
      </c>
      <c r="J145" t="s">
        <v>62</v>
      </c>
    </row>
    <row r="146" spans="1:10" x14ac:dyDescent="0.3">
      <c r="A146" t="s">
        <v>371</v>
      </c>
      <c r="B146" t="s">
        <v>373</v>
      </c>
      <c r="D146" s="6">
        <v>1000</v>
      </c>
      <c r="G146" s="7">
        <v>8.6499999999999986</v>
      </c>
      <c r="H146" s="4" t="s">
        <v>370</v>
      </c>
      <c r="J146" t="s">
        <v>62</v>
      </c>
    </row>
    <row r="147" spans="1:10" x14ac:dyDescent="0.3">
      <c r="A147" t="s">
        <v>374</v>
      </c>
      <c r="B147" t="s">
        <v>375</v>
      </c>
      <c r="C147" t="s">
        <v>48</v>
      </c>
      <c r="D147" s="9">
        <v>1000</v>
      </c>
      <c r="E147" t="s">
        <v>45</v>
      </c>
      <c r="F147" t="s">
        <v>45</v>
      </c>
      <c r="G147">
        <v>8.1999999999999993</v>
      </c>
      <c r="H147" t="s">
        <v>376</v>
      </c>
      <c r="I147" t="s">
        <v>377</v>
      </c>
      <c r="J147" t="s">
        <v>62</v>
      </c>
    </row>
    <row r="148" spans="1:10" x14ac:dyDescent="0.3">
      <c r="A148" t="s">
        <v>374</v>
      </c>
      <c r="B148" t="s">
        <v>378</v>
      </c>
      <c r="D148" s="6">
        <v>1000</v>
      </c>
      <c r="G148" s="7">
        <v>8.2000000000000011</v>
      </c>
      <c r="H148" s="4" t="s">
        <v>376</v>
      </c>
      <c r="J148" t="s">
        <v>62</v>
      </c>
    </row>
    <row r="149" spans="1:10" x14ac:dyDescent="0.3">
      <c r="A149" t="s">
        <v>379</v>
      </c>
      <c r="B149" t="s">
        <v>375</v>
      </c>
      <c r="C149" t="s">
        <v>340</v>
      </c>
      <c r="D149" s="9">
        <v>1000</v>
      </c>
      <c r="E149" t="s">
        <v>45</v>
      </c>
      <c r="F149" t="s">
        <v>45</v>
      </c>
      <c r="G149">
        <v>7.51</v>
      </c>
      <c r="H149" t="s">
        <v>380</v>
      </c>
      <c r="I149" t="s">
        <v>381</v>
      </c>
      <c r="J149" t="s">
        <v>62</v>
      </c>
    </row>
    <row r="150" spans="1:10" x14ac:dyDescent="0.3">
      <c r="A150" t="s">
        <v>379</v>
      </c>
      <c r="B150" t="s">
        <v>382</v>
      </c>
      <c r="D150" s="6">
        <v>1000</v>
      </c>
      <c r="G150" s="7">
        <v>7.51</v>
      </c>
      <c r="H150" s="4" t="s">
        <v>380</v>
      </c>
      <c r="J150" t="s">
        <v>62</v>
      </c>
    </row>
    <row r="151" spans="1:10" x14ac:dyDescent="0.3">
      <c r="A151" t="s">
        <v>383</v>
      </c>
      <c r="B151" t="s">
        <v>375</v>
      </c>
      <c r="C151" t="s">
        <v>384</v>
      </c>
      <c r="D151" s="9">
        <v>1000</v>
      </c>
      <c r="E151" t="s">
        <v>385</v>
      </c>
      <c r="F151" t="s">
        <v>311</v>
      </c>
      <c r="G151">
        <v>7.19</v>
      </c>
      <c r="H151" t="s">
        <v>386</v>
      </c>
      <c r="I151" t="s">
        <v>387</v>
      </c>
      <c r="J151" t="s">
        <v>62</v>
      </c>
    </row>
    <row r="152" spans="1:10" x14ac:dyDescent="0.3">
      <c r="A152" t="s">
        <v>388</v>
      </c>
      <c r="B152" t="s">
        <v>375</v>
      </c>
      <c r="C152" t="s">
        <v>389</v>
      </c>
      <c r="D152" s="9">
        <v>1000</v>
      </c>
      <c r="E152" t="s">
        <v>390</v>
      </c>
      <c r="F152" t="s">
        <v>391</v>
      </c>
      <c r="G152" s="12">
        <v>8.51</v>
      </c>
      <c r="H152" s="4">
        <v>47051</v>
      </c>
      <c r="I152" t="s">
        <v>388</v>
      </c>
      <c r="J152" t="s">
        <v>62</v>
      </c>
    </row>
    <row r="153" spans="1:10" x14ac:dyDescent="0.3">
      <c r="A153" t="s">
        <v>388</v>
      </c>
      <c r="B153" t="s">
        <v>392</v>
      </c>
      <c r="D153" s="6">
        <v>1000</v>
      </c>
      <c r="G153" s="7">
        <v>8.51</v>
      </c>
      <c r="H153" s="4" t="s">
        <v>393</v>
      </c>
      <c r="J153" t="s">
        <v>62</v>
      </c>
    </row>
    <row r="154" spans="1:10" x14ac:dyDescent="0.3">
      <c r="A154" t="s">
        <v>394</v>
      </c>
      <c r="B154" t="s">
        <v>375</v>
      </c>
      <c r="C154" t="s">
        <v>302</v>
      </c>
      <c r="D154" s="9">
        <v>1000</v>
      </c>
      <c r="E154" t="s">
        <v>395</v>
      </c>
      <c r="F154" t="s">
        <v>396</v>
      </c>
      <c r="G154" s="12">
        <v>8.76</v>
      </c>
      <c r="H154" s="4">
        <v>47051</v>
      </c>
      <c r="I154" t="s">
        <v>394</v>
      </c>
      <c r="J154" t="s">
        <v>62</v>
      </c>
    </row>
    <row r="155" spans="1:10" x14ac:dyDescent="0.3">
      <c r="A155" t="s">
        <v>394</v>
      </c>
      <c r="B155" t="s">
        <v>397</v>
      </c>
      <c r="D155" s="6">
        <v>1000</v>
      </c>
      <c r="G155" s="7">
        <v>8.76</v>
      </c>
      <c r="H155" s="4" t="s">
        <v>393</v>
      </c>
      <c r="J155" t="s">
        <v>62</v>
      </c>
    </row>
    <row r="156" spans="1:10" x14ac:dyDescent="0.3">
      <c r="A156" t="s">
        <v>398</v>
      </c>
      <c r="B156" t="s">
        <v>375</v>
      </c>
      <c r="C156" t="s">
        <v>297</v>
      </c>
      <c r="D156" s="9">
        <v>1000</v>
      </c>
      <c r="E156" t="s">
        <v>399</v>
      </c>
      <c r="F156" t="s">
        <v>400</v>
      </c>
      <c r="G156" s="12">
        <v>8.58</v>
      </c>
      <c r="H156" s="4">
        <v>47131</v>
      </c>
      <c r="I156" t="s">
        <v>398</v>
      </c>
      <c r="J156" t="s">
        <v>62</v>
      </c>
    </row>
    <row r="157" spans="1:10" x14ac:dyDescent="0.3">
      <c r="A157" t="s">
        <v>398</v>
      </c>
      <c r="B157" t="s">
        <v>401</v>
      </c>
      <c r="D157" s="6">
        <v>1000</v>
      </c>
      <c r="G157" s="7">
        <v>8.58</v>
      </c>
      <c r="H157" s="4" t="s">
        <v>402</v>
      </c>
      <c r="J157" t="s">
        <v>62</v>
      </c>
    </row>
    <row r="158" spans="1:10" x14ac:dyDescent="0.3">
      <c r="A158" t="s">
        <v>403</v>
      </c>
      <c r="B158" t="s">
        <v>375</v>
      </c>
      <c r="D158" s="9">
        <v>1000</v>
      </c>
      <c r="G158">
        <v>9.01</v>
      </c>
      <c r="H158" s="4">
        <v>48957</v>
      </c>
      <c r="I158" t="s">
        <v>403</v>
      </c>
      <c r="J158" t="s">
        <v>62</v>
      </c>
    </row>
    <row r="159" spans="1:10" x14ac:dyDescent="0.3">
      <c r="A159" t="s">
        <v>403</v>
      </c>
      <c r="B159" t="s">
        <v>404</v>
      </c>
      <c r="D159" s="6">
        <v>1000</v>
      </c>
      <c r="G159" s="7">
        <v>9.01</v>
      </c>
      <c r="H159" s="4" t="s">
        <v>405</v>
      </c>
      <c r="J159" t="s">
        <v>62</v>
      </c>
    </row>
    <row r="160" spans="1:10" x14ac:dyDescent="0.3">
      <c r="A160" t="s">
        <v>406</v>
      </c>
      <c r="B160" t="s">
        <v>407</v>
      </c>
      <c r="D160" s="6">
        <v>1000</v>
      </c>
      <c r="G160" s="7">
        <v>7.02</v>
      </c>
      <c r="H160" s="4" t="s">
        <v>408</v>
      </c>
      <c r="J160" t="s">
        <v>62</v>
      </c>
    </row>
    <row r="161" spans="1:10" x14ac:dyDescent="0.3">
      <c r="A161" t="s">
        <v>409</v>
      </c>
      <c r="B161" t="s">
        <v>410</v>
      </c>
      <c r="D161" s="6">
        <v>1000</v>
      </c>
      <c r="G161" s="7">
        <v>7.39</v>
      </c>
      <c r="H161" s="4" t="s">
        <v>411</v>
      </c>
      <c r="J161" t="s">
        <v>62</v>
      </c>
    </row>
    <row r="162" spans="1:10" x14ac:dyDescent="0.3">
      <c r="A162" t="s">
        <v>412</v>
      </c>
      <c r="B162" t="s">
        <v>413</v>
      </c>
      <c r="D162" s="6">
        <v>1000</v>
      </c>
      <c r="G162" s="7">
        <v>7.2700000000000005</v>
      </c>
      <c r="H162" s="4" t="s">
        <v>408</v>
      </c>
      <c r="J162" t="s">
        <v>62</v>
      </c>
    </row>
    <row r="163" spans="1:10" x14ac:dyDescent="0.3">
      <c r="A163" t="s">
        <v>414</v>
      </c>
      <c r="B163" t="s">
        <v>375</v>
      </c>
      <c r="C163" t="s">
        <v>415</v>
      </c>
      <c r="D163" s="9" t="s">
        <v>45</v>
      </c>
      <c r="E163" t="s">
        <v>45</v>
      </c>
      <c r="F163" t="s">
        <v>45</v>
      </c>
      <c r="G163" s="12">
        <v>0</v>
      </c>
      <c r="H163" t="s">
        <v>45</v>
      </c>
      <c r="I163" t="s">
        <v>45</v>
      </c>
      <c r="J163" t="s">
        <v>62</v>
      </c>
    </row>
    <row r="164" spans="1:10" x14ac:dyDescent="0.3">
      <c r="A164" t="s">
        <v>414</v>
      </c>
      <c r="B164" t="s">
        <v>416</v>
      </c>
      <c r="D164" s="6">
        <v>1000</v>
      </c>
      <c r="G164" s="7">
        <v>7.64</v>
      </c>
      <c r="H164" s="4" t="s">
        <v>411</v>
      </c>
      <c r="J164" t="s">
        <v>62</v>
      </c>
    </row>
    <row r="165" spans="1:10" x14ac:dyDescent="0.3">
      <c r="A165" t="s">
        <v>414</v>
      </c>
      <c r="B165" t="s">
        <v>417</v>
      </c>
      <c r="D165" s="6">
        <v>1000</v>
      </c>
      <c r="G165" s="7">
        <v>7.64</v>
      </c>
      <c r="H165" s="4" t="s">
        <v>411</v>
      </c>
      <c r="J165" t="s">
        <v>62</v>
      </c>
    </row>
    <row r="166" spans="1:10" x14ac:dyDescent="0.3">
      <c r="A166" t="s">
        <v>418</v>
      </c>
      <c r="B166" t="s">
        <v>419</v>
      </c>
      <c r="D166" s="6">
        <v>1000</v>
      </c>
      <c r="G166" s="7">
        <v>7.04</v>
      </c>
      <c r="H166" s="4" t="s">
        <v>420</v>
      </c>
      <c r="J166" t="s">
        <v>62</v>
      </c>
    </row>
    <row r="167" spans="1:10" x14ac:dyDescent="0.3">
      <c r="A167" t="s">
        <v>421</v>
      </c>
      <c r="B167" t="s">
        <v>422</v>
      </c>
      <c r="D167" s="6">
        <v>1000</v>
      </c>
      <c r="G167" s="7">
        <v>7.39</v>
      </c>
      <c r="H167" s="4" t="s">
        <v>423</v>
      </c>
      <c r="J167" t="s">
        <v>62</v>
      </c>
    </row>
    <row r="168" spans="1:10" x14ac:dyDescent="0.3">
      <c r="A168" t="s">
        <v>421</v>
      </c>
      <c r="B168" t="s">
        <v>424</v>
      </c>
      <c r="D168" s="6">
        <v>1000</v>
      </c>
      <c r="G168" s="7">
        <v>7.39</v>
      </c>
      <c r="H168" s="4" t="s">
        <v>423</v>
      </c>
      <c r="J168" t="s">
        <v>62</v>
      </c>
    </row>
    <row r="169" spans="1:10" x14ac:dyDescent="0.3">
      <c r="A169" t="s">
        <v>425</v>
      </c>
      <c r="B169" t="s">
        <v>426</v>
      </c>
      <c r="D169" s="6">
        <v>1000</v>
      </c>
      <c r="G169" s="7">
        <v>7.2900000000000009</v>
      </c>
      <c r="H169" s="4" t="s">
        <v>420</v>
      </c>
      <c r="J169" t="s">
        <v>62</v>
      </c>
    </row>
    <row r="170" spans="1:10" x14ac:dyDescent="0.3">
      <c r="A170" t="s">
        <v>427</v>
      </c>
      <c r="B170" t="s">
        <v>375</v>
      </c>
      <c r="C170" t="s">
        <v>288</v>
      </c>
      <c r="D170" s="9" t="s">
        <v>45</v>
      </c>
      <c r="E170" t="s">
        <v>45</v>
      </c>
      <c r="F170" t="s">
        <v>45</v>
      </c>
      <c r="G170" s="12">
        <v>0</v>
      </c>
      <c r="H170" t="s">
        <v>45</v>
      </c>
      <c r="I170" t="s">
        <v>45</v>
      </c>
      <c r="J170" t="s">
        <v>62</v>
      </c>
    </row>
    <row r="171" spans="1:10" x14ac:dyDescent="0.3">
      <c r="A171" t="s">
        <v>427</v>
      </c>
      <c r="B171" t="s">
        <v>428</v>
      </c>
      <c r="D171" s="6">
        <v>1000</v>
      </c>
      <c r="G171" s="7">
        <v>7.6899999999999995</v>
      </c>
      <c r="H171" s="4" t="s">
        <v>423</v>
      </c>
      <c r="J171" t="s">
        <v>62</v>
      </c>
    </row>
    <row r="172" spans="1:10" x14ac:dyDescent="0.3">
      <c r="A172" t="s">
        <v>427</v>
      </c>
      <c r="B172" t="s">
        <v>429</v>
      </c>
      <c r="D172" s="6">
        <v>1000</v>
      </c>
      <c r="G172" s="7">
        <v>7.6899999999999995</v>
      </c>
      <c r="H172" s="4" t="s">
        <v>423</v>
      </c>
      <c r="J172" t="s">
        <v>62</v>
      </c>
    </row>
    <row r="173" spans="1:10" x14ac:dyDescent="0.3">
      <c r="A173" t="s">
        <v>430</v>
      </c>
      <c r="B173" t="s">
        <v>431</v>
      </c>
      <c r="C173" t="s">
        <v>51</v>
      </c>
      <c r="D173" s="9">
        <v>1000</v>
      </c>
      <c r="E173" t="s">
        <v>45</v>
      </c>
      <c r="F173" t="s">
        <v>45</v>
      </c>
      <c r="G173">
        <v>7.92</v>
      </c>
      <c r="H173" t="s">
        <v>77</v>
      </c>
      <c r="I173" t="s">
        <v>432</v>
      </c>
      <c r="J173" t="s">
        <v>59</v>
      </c>
    </row>
    <row r="174" spans="1:10" x14ac:dyDescent="0.3">
      <c r="A174" t="s">
        <v>430</v>
      </c>
      <c r="B174" t="s">
        <v>433</v>
      </c>
      <c r="D174" s="6">
        <v>1000</v>
      </c>
      <c r="G174" s="7">
        <v>7.9200000000000008</v>
      </c>
      <c r="H174" s="4" t="s">
        <v>77</v>
      </c>
      <c r="J174" t="s">
        <v>59</v>
      </c>
    </row>
    <row r="175" spans="1:10" x14ac:dyDescent="0.3">
      <c r="A175" t="s">
        <v>430</v>
      </c>
      <c r="B175" t="s">
        <v>433</v>
      </c>
      <c r="D175" s="6">
        <v>1000</v>
      </c>
      <c r="G175" s="7">
        <v>7.9200000000000008</v>
      </c>
      <c r="H175" s="4" t="s">
        <v>77</v>
      </c>
      <c r="J175" t="s">
        <v>59</v>
      </c>
    </row>
    <row r="176" spans="1:10" x14ac:dyDescent="0.3">
      <c r="A176" t="s">
        <v>434</v>
      </c>
      <c r="B176" t="s">
        <v>431</v>
      </c>
      <c r="C176" t="s">
        <v>275</v>
      </c>
      <c r="D176" s="9">
        <v>1000</v>
      </c>
      <c r="E176" t="s">
        <v>45</v>
      </c>
      <c r="F176" t="s">
        <v>45</v>
      </c>
      <c r="G176">
        <v>8.01</v>
      </c>
      <c r="H176" t="s">
        <v>77</v>
      </c>
      <c r="I176" t="s">
        <v>435</v>
      </c>
      <c r="J176" t="s">
        <v>59</v>
      </c>
    </row>
    <row r="177" spans="1:10" x14ac:dyDescent="0.3">
      <c r="A177" t="s">
        <v>434</v>
      </c>
      <c r="B177" t="s">
        <v>436</v>
      </c>
      <c r="D177" s="6">
        <v>1000</v>
      </c>
      <c r="G177" s="7">
        <v>8.01</v>
      </c>
      <c r="H177" s="4" t="s">
        <v>77</v>
      </c>
      <c r="J177" t="s">
        <v>59</v>
      </c>
    </row>
    <row r="178" spans="1:10" x14ac:dyDescent="0.3">
      <c r="A178" t="s">
        <v>434</v>
      </c>
      <c r="B178" t="s">
        <v>436</v>
      </c>
      <c r="D178" s="6">
        <v>1000</v>
      </c>
      <c r="G178" s="7">
        <v>8.01</v>
      </c>
      <c r="H178" s="4" t="s">
        <v>77</v>
      </c>
      <c r="J178" t="s">
        <v>59</v>
      </c>
    </row>
    <row r="179" spans="1:10" x14ac:dyDescent="0.3">
      <c r="A179" t="s">
        <v>437</v>
      </c>
      <c r="B179" t="s">
        <v>431</v>
      </c>
      <c r="C179" t="s">
        <v>340</v>
      </c>
      <c r="D179" s="9">
        <v>1000</v>
      </c>
      <c r="E179" t="s">
        <v>45</v>
      </c>
      <c r="F179" t="s">
        <v>45</v>
      </c>
      <c r="G179">
        <v>8.1999999999999993</v>
      </c>
      <c r="H179" t="s">
        <v>77</v>
      </c>
      <c r="I179" t="s">
        <v>438</v>
      </c>
      <c r="J179" t="s">
        <v>62</v>
      </c>
    </row>
    <row r="180" spans="1:10" x14ac:dyDescent="0.3">
      <c r="A180" t="s">
        <v>437</v>
      </c>
      <c r="B180" t="s">
        <v>439</v>
      </c>
      <c r="D180" s="6">
        <v>1000</v>
      </c>
      <c r="G180" s="7">
        <v>8.2000000000000011</v>
      </c>
      <c r="H180" s="4" t="s">
        <v>77</v>
      </c>
      <c r="J180" t="s">
        <v>62</v>
      </c>
    </row>
    <row r="181" spans="1:10" x14ac:dyDescent="0.3">
      <c r="A181" t="s">
        <v>437</v>
      </c>
      <c r="B181" t="s">
        <v>439</v>
      </c>
      <c r="D181" s="6">
        <v>1000</v>
      </c>
      <c r="G181" s="7">
        <v>8.2000000000000011</v>
      </c>
      <c r="H181" s="4" t="s">
        <v>77</v>
      </c>
      <c r="J181" t="s">
        <v>62</v>
      </c>
    </row>
    <row r="182" spans="1:10" x14ac:dyDescent="0.3">
      <c r="A182" t="s">
        <v>440</v>
      </c>
      <c r="B182" t="s">
        <v>431</v>
      </c>
      <c r="C182" t="s">
        <v>281</v>
      </c>
      <c r="D182" s="9">
        <v>1000</v>
      </c>
      <c r="E182" t="s">
        <v>441</v>
      </c>
      <c r="F182" t="s">
        <v>442</v>
      </c>
      <c r="G182">
        <v>8.3000000000000007</v>
      </c>
      <c r="H182" t="s">
        <v>77</v>
      </c>
      <c r="I182" t="s">
        <v>443</v>
      </c>
      <c r="J182" t="s">
        <v>62</v>
      </c>
    </row>
    <row r="183" spans="1:10" x14ac:dyDescent="0.3">
      <c r="A183" t="s">
        <v>440</v>
      </c>
      <c r="B183" t="s">
        <v>444</v>
      </c>
      <c r="D183" s="6">
        <v>1000</v>
      </c>
      <c r="G183" s="7">
        <v>8.3000000000000007</v>
      </c>
      <c r="H183" s="4" t="s">
        <v>77</v>
      </c>
      <c r="J183" t="s">
        <v>62</v>
      </c>
    </row>
    <row r="184" spans="1:10" x14ac:dyDescent="0.3">
      <c r="A184" t="s">
        <v>440</v>
      </c>
      <c r="B184" t="s">
        <v>444</v>
      </c>
      <c r="D184" s="6">
        <v>1000</v>
      </c>
      <c r="G184" s="7">
        <v>8.3000000000000007</v>
      </c>
      <c r="H184" s="4" t="s">
        <v>77</v>
      </c>
      <c r="J184" t="s">
        <v>62</v>
      </c>
    </row>
    <row r="185" spans="1:10" x14ac:dyDescent="0.3">
      <c r="A185" t="s">
        <v>445</v>
      </c>
      <c r="B185" t="s">
        <v>431</v>
      </c>
      <c r="C185" t="s">
        <v>384</v>
      </c>
      <c r="D185" s="9">
        <v>1000</v>
      </c>
      <c r="E185" t="s">
        <v>45</v>
      </c>
      <c r="F185" t="s">
        <v>45</v>
      </c>
      <c r="G185">
        <v>8.01</v>
      </c>
      <c r="H185" t="s">
        <v>446</v>
      </c>
      <c r="I185" t="s">
        <v>447</v>
      </c>
      <c r="J185" t="s">
        <v>59</v>
      </c>
    </row>
    <row r="186" spans="1:10" x14ac:dyDescent="0.3">
      <c r="A186" t="s">
        <v>445</v>
      </c>
      <c r="B186" t="s">
        <v>448</v>
      </c>
      <c r="D186" s="6">
        <v>1000</v>
      </c>
      <c r="G186" s="7">
        <v>8.01</v>
      </c>
      <c r="H186" s="4" t="s">
        <v>446</v>
      </c>
      <c r="J186" t="s">
        <v>59</v>
      </c>
    </row>
    <row r="187" spans="1:10" x14ac:dyDescent="0.3">
      <c r="A187" t="s">
        <v>445</v>
      </c>
      <c r="B187" t="s">
        <v>448</v>
      </c>
      <c r="D187" s="6">
        <v>1000</v>
      </c>
      <c r="G187" s="7">
        <v>8.01</v>
      </c>
      <c r="H187" s="4" t="s">
        <v>446</v>
      </c>
      <c r="J187" t="s">
        <v>59</v>
      </c>
    </row>
    <row r="188" spans="1:10" x14ac:dyDescent="0.3">
      <c r="A188" t="s">
        <v>449</v>
      </c>
      <c r="B188" t="s">
        <v>431</v>
      </c>
      <c r="C188" t="s">
        <v>415</v>
      </c>
      <c r="D188" s="9">
        <v>1000</v>
      </c>
      <c r="E188" t="s">
        <v>450</v>
      </c>
      <c r="F188" t="s">
        <v>442</v>
      </c>
      <c r="G188">
        <v>8.1</v>
      </c>
      <c r="H188" t="s">
        <v>446</v>
      </c>
      <c r="I188" t="s">
        <v>451</v>
      </c>
      <c r="J188" t="s">
        <v>59</v>
      </c>
    </row>
    <row r="189" spans="1:10" x14ac:dyDescent="0.3">
      <c r="A189" t="s">
        <v>449</v>
      </c>
      <c r="B189" t="s">
        <v>452</v>
      </c>
      <c r="D189" s="6">
        <v>1000</v>
      </c>
      <c r="G189" s="7">
        <v>8.1</v>
      </c>
      <c r="H189" s="4" t="s">
        <v>446</v>
      </c>
      <c r="J189" t="s">
        <v>59</v>
      </c>
    </row>
    <row r="190" spans="1:10" x14ac:dyDescent="0.3">
      <c r="A190" t="s">
        <v>449</v>
      </c>
      <c r="B190" t="s">
        <v>452</v>
      </c>
      <c r="D190" s="6">
        <v>1000</v>
      </c>
      <c r="G190" s="7">
        <v>8.1</v>
      </c>
      <c r="H190" s="4" t="s">
        <v>446</v>
      </c>
      <c r="J190" t="s">
        <v>59</v>
      </c>
    </row>
    <row r="191" spans="1:10" x14ac:dyDescent="0.3">
      <c r="A191" t="s">
        <v>453</v>
      </c>
      <c r="B191" t="s">
        <v>454</v>
      </c>
      <c r="D191" s="6">
        <v>1000</v>
      </c>
      <c r="G191" s="7">
        <v>8.3000000000000007</v>
      </c>
      <c r="H191" s="4" t="s">
        <v>446</v>
      </c>
      <c r="J191" t="s">
        <v>62</v>
      </c>
    </row>
    <row r="192" spans="1:10" x14ac:dyDescent="0.3">
      <c r="A192" t="s">
        <v>453</v>
      </c>
      <c r="B192" t="s">
        <v>454</v>
      </c>
      <c r="D192" s="6">
        <v>1000</v>
      </c>
      <c r="G192" s="7">
        <v>8.3000000000000007</v>
      </c>
      <c r="H192" s="4" t="s">
        <v>446</v>
      </c>
      <c r="J192" t="s">
        <v>62</v>
      </c>
    </row>
    <row r="193" spans="1:10" x14ac:dyDescent="0.3">
      <c r="A193" t="s">
        <v>455</v>
      </c>
      <c r="B193" t="s">
        <v>431</v>
      </c>
      <c r="C193" t="s">
        <v>292</v>
      </c>
      <c r="D193" s="9">
        <v>1000</v>
      </c>
      <c r="E193" t="s">
        <v>45</v>
      </c>
      <c r="F193" t="s">
        <v>45</v>
      </c>
      <c r="G193">
        <v>8.4</v>
      </c>
      <c r="H193" t="s">
        <v>446</v>
      </c>
      <c r="I193" t="s">
        <v>456</v>
      </c>
      <c r="J193" t="s">
        <v>62</v>
      </c>
    </row>
    <row r="194" spans="1:10" x14ac:dyDescent="0.3">
      <c r="A194" t="s">
        <v>455</v>
      </c>
      <c r="B194" t="s">
        <v>457</v>
      </c>
      <c r="D194" s="6">
        <v>1000</v>
      </c>
      <c r="G194" s="7">
        <v>8.4</v>
      </c>
      <c r="H194" s="4" t="s">
        <v>446</v>
      </c>
      <c r="J194" t="s">
        <v>62</v>
      </c>
    </row>
    <row r="195" spans="1:10" x14ac:dyDescent="0.3">
      <c r="A195" t="s">
        <v>455</v>
      </c>
      <c r="B195" t="s">
        <v>457</v>
      </c>
      <c r="D195" s="6">
        <v>1000</v>
      </c>
      <c r="G195" s="7">
        <v>8.4</v>
      </c>
      <c r="H195" s="4" t="s">
        <v>446</v>
      </c>
      <c r="J195" t="s">
        <v>62</v>
      </c>
    </row>
    <row r="196" spans="1:10" x14ac:dyDescent="0.3">
      <c r="A196" t="s">
        <v>458</v>
      </c>
      <c r="B196" t="s">
        <v>459</v>
      </c>
      <c r="D196" t="s">
        <v>460</v>
      </c>
      <c r="G196" s="7" t="s">
        <v>460</v>
      </c>
      <c r="H196" s="4" t="s">
        <v>460</v>
      </c>
      <c r="J196" t="s">
        <v>460</v>
      </c>
    </row>
    <row r="197" spans="1:10" x14ac:dyDescent="0.3">
      <c r="A197" t="s">
        <v>461</v>
      </c>
      <c r="B197" t="s">
        <v>431</v>
      </c>
      <c r="C197" t="s">
        <v>389</v>
      </c>
      <c r="D197" s="9">
        <v>1000</v>
      </c>
      <c r="E197" t="s">
        <v>45</v>
      </c>
      <c r="F197" t="s">
        <v>45</v>
      </c>
      <c r="G197">
        <v>8.5500000000000007</v>
      </c>
      <c r="H197" t="s">
        <v>462</v>
      </c>
      <c r="I197" t="s">
        <v>463</v>
      </c>
      <c r="J197" t="s">
        <v>62</v>
      </c>
    </row>
    <row r="198" spans="1:10" x14ac:dyDescent="0.3">
      <c r="A198" t="s">
        <v>461</v>
      </c>
      <c r="B198" t="s">
        <v>464</v>
      </c>
      <c r="D198" s="6">
        <v>1000</v>
      </c>
      <c r="G198" s="7">
        <v>8.5500000000000007</v>
      </c>
      <c r="H198" s="4" t="s">
        <v>462</v>
      </c>
      <c r="J198" t="s">
        <v>62</v>
      </c>
    </row>
    <row r="199" spans="1:10" x14ac:dyDescent="0.3">
      <c r="A199" t="s">
        <v>461</v>
      </c>
      <c r="B199" t="s">
        <v>464</v>
      </c>
      <c r="D199" s="6">
        <v>1000</v>
      </c>
      <c r="G199" s="7">
        <v>8.5500000000000007</v>
      </c>
      <c r="H199" s="4" t="s">
        <v>462</v>
      </c>
      <c r="J199" t="s">
        <v>62</v>
      </c>
    </row>
    <row r="200" spans="1:10" x14ac:dyDescent="0.3">
      <c r="A200" t="s">
        <v>465</v>
      </c>
      <c r="B200" t="s">
        <v>466</v>
      </c>
      <c r="C200" t="s">
        <v>330</v>
      </c>
      <c r="D200" s="9">
        <v>1000</v>
      </c>
      <c r="E200" t="s">
        <v>467</v>
      </c>
      <c r="F200" t="s">
        <v>311</v>
      </c>
      <c r="G200">
        <v>9.9</v>
      </c>
      <c r="H200" t="s">
        <v>468</v>
      </c>
      <c r="I200" t="s">
        <v>469</v>
      </c>
      <c r="J200" t="s">
        <v>62</v>
      </c>
    </row>
    <row r="201" spans="1:10" x14ac:dyDescent="0.3">
      <c r="A201" t="s">
        <v>465</v>
      </c>
      <c r="B201" t="s">
        <v>470</v>
      </c>
      <c r="D201" s="6">
        <v>1000</v>
      </c>
      <c r="G201" s="7">
        <v>9.9</v>
      </c>
      <c r="H201" s="4" t="s">
        <v>468</v>
      </c>
      <c r="J201" t="s">
        <v>62</v>
      </c>
    </row>
    <row r="202" spans="1:10" x14ac:dyDescent="0.3">
      <c r="A202" t="s">
        <v>465</v>
      </c>
      <c r="B202" t="s">
        <v>470</v>
      </c>
      <c r="D202" s="6">
        <v>1000</v>
      </c>
      <c r="G202" s="7">
        <v>9.9</v>
      </c>
      <c r="H202" s="4" t="s">
        <v>468</v>
      </c>
      <c r="J202" t="s">
        <v>62</v>
      </c>
    </row>
    <row r="203" spans="1:10" x14ac:dyDescent="0.3">
      <c r="A203" t="s">
        <v>471</v>
      </c>
      <c r="B203" t="s">
        <v>466</v>
      </c>
      <c r="C203" t="s">
        <v>267</v>
      </c>
      <c r="D203" s="9">
        <v>1000</v>
      </c>
      <c r="E203" t="s">
        <v>45</v>
      </c>
      <c r="F203" t="s">
        <v>45</v>
      </c>
      <c r="G203" s="12">
        <v>0</v>
      </c>
      <c r="H203" t="s">
        <v>468</v>
      </c>
      <c r="I203" t="s">
        <v>472</v>
      </c>
      <c r="J203" t="s">
        <v>49</v>
      </c>
    </row>
    <row r="204" spans="1:10" x14ac:dyDescent="0.3">
      <c r="A204" t="s">
        <v>471</v>
      </c>
      <c r="B204" t="s">
        <v>473</v>
      </c>
      <c r="D204" s="6">
        <v>1000</v>
      </c>
      <c r="G204" s="7" t="s">
        <v>65</v>
      </c>
      <c r="H204" s="4" t="s">
        <v>468</v>
      </c>
      <c r="J204" t="s">
        <v>49</v>
      </c>
    </row>
    <row r="205" spans="1:10" x14ac:dyDescent="0.3">
      <c r="A205" t="s">
        <v>471</v>
      </c>
      <c r="B205" t="s">
        <v>473</v>
      </c>
      <c r="D205" s="6">
        <v>1000</v>
      </c>
      <c r="G205" s="7" t="s">
        <v>65</v>
      </c>
      <c r="H205" s="4" t="s">
        <v>468</v>
      </c>
      <c r="J205" t="s">
        <v>49</v>
      </c>
    </row>
    <row r="206" spans="1:10" x14ac:dyDescent="0.3">
      <c r="A206" t="s">
        <v>474</v>
      </c>
      <c r="B206" t="s">
        <v>466</v>
      </c>
      <c r="C206" t="s">
        <v>366</v>
      </c>
      <c r="D206" s="9">
        <v>1000</v>
      </c>
      <c r="E206" t="s">
        <v>475</v>
      </c>
      <c r="F206" t="s">
        <v>283</v>
      </c>
      <c r="G206">
        <v>9.4</v>
      </c>
      <c r="H206" t="s">
        <v>476</v>
      </c>
      <c r="I206" t="s">
        <v>477</v>
      </c>
      <c r="J206" t="s">
        <v>62</v>
      </c>
    </row>
    <row r="207" spans="1:10" x14ac:dyDescent="0.3">
      <c r="A207" t="s">
        <v>474</v>
      </c>
      <c r="B207" t="s">
        <v>478</v>
      </c>
      <c r="D207" s="6">
        <v>1000</v>
      </c>
      <c r="G207" s="7">
        <v>9.4</v>
      </c>
      <c r="H207" s="4" t="s">
        <v>476</v>
      </c>
      <c r="J207" t="s">
        <v>62</v>
      </c>
    </row>
    <row r="208" spans="1:10" x14ac:dyDescent="0.3">
      <c r="A208" t="s">
        <v>474</v>
      </c>
      <c r="B208" t="s">
        <v>478</v>
      </c>
      <c r="D208" s="6">
        <v>1000</v>
      </c>
      <c r="G208" s="7">
        <v>9.4</v>
      </c>
      <c r="H208" s="4" t="s">
        <v>476</v>
      </c>
      <c r="J208" t="s">
        <v>62</v>
      </c>
    </row>
    <row r="209" spans="1:10" x14ac:dyDescent="0.3">
      <c r="A209" t="s">
        <v>479</v>
      </c>
      <c r="B209" t="s">
        <v>466</v>
      </c>
      <c r="C209" t="s">
        <v>480</v>
      </c>
      <c r="D209" s="9">
        <v>1000</v>
      </c>
      <c r="E209" t="s">
        <v>481</v>
      </c>
      <c r="F209" t="s">
        <v>311</v>
      </c>
      <c r="G209" s="12">
        <v>0</v>
      </c>
      <c r="H209" t="s">
        <v>476</v>
      </c>
      <c r="I209" t="s">
        <v>479</v>
      </c>
      <c r="J209" t="s">
        <v>482</v>
      </c>
    </row>
    <row r="210" spans="1:10" x14ac:dyDescent="0.3">
      <c r="A210" t="s">
        <v>479</v>
      </c>
      <c r="B210" t="s">
        <v>483</v>
      </c>
      <c r="D210" s="6">
        <v>1000</v>
      </c>
      <c r="G210" s="7" t="s">
        <v>65</v>
      </c>
      <c r="H210" s="4" t="s">
        <v>476</v>
      </c>
      <c r="J210" t="s">
        <v>49</v>
      </c>
    </row>
    <row r="211" spans="1:10" x14ac:dyDescent="0.3">
      <c r="A211" t="s">
        <v>479</v>
      </c>
      <c r="B211" t="s">
        <v>483</v>
      </c>
      <c r="D211" s="6">
        <v>1000</v>
      </c>
      <c r="G211" s="7" t="s">
        <v>65</v>
      </c>
      <c r="H211" s="4" t="s">
        <v>476</v>
      </c>
      <c r="J211" t="s">
        <v>49</v>
      </c>
    </row>
    <row r="212" spans="1:10" x14ac:dyDescent="0.3">
      <c r="A212" t="s">
        <v>484</v>
      </c>
      <c r="B212" t="s">
        <v>485</v>
      </c>
      <c r="D212" s="6">
        <v>1000</v>
      </c>
      <c r="G212" s="7">
        <v>9.3000000000000007</v>
      </c>
      <c r="H212" s="4" t="s">
        <v>486</v>
      </c>
      <c r="J212" t="s">
        <v>62</v>
      </c>
    </row>
    <row r="213" spans="1:10" x14ac:dyDescent="0.3">
      <c r="A213" t="s">
        <v>487</v>
      </c>
      <c r="B213" t="s">
        <v>488</v>
      </c>
      <c r="D213" s="6">
        <v>1000</v>
      </c>
      <c r="G213" s="7">
        <v>10</v>
      </c>
      <c r="H213" s="4" t="s">
        <v>489</v>
      </c>
      <c r="J213" t="s">
        <v>62</v>
      </c>
    </row>
    <row r="214" spans="1:10" x14ac:dyDescent="0.3">
      <c r="A214" t="s">
        <v>490</v>
      </c>
      <c r="B214" t="s">
        <v>491</v>
      </c>
      <c r="D214" s="6">
        <v>1000</v>
      </c>
      <c r="G214" s="7">
        <v>9.3000000000000007</v>
      </c>
      <c r="H214" s="4" t="s">
        <v>492</v>
      </c>
      <c r="J214" t="s">
        <v>128</v>
      </c>
    </row>
    <row r="215" spans="1:10" x14ac:dyDescent="0.3">
      <c r="A215" t="s">
        <v>493</v>
      </c>
      <c r="B215" t="s">
        <v>494</v>
      </c>
      <c r="D215" s="6">
        <v>1000</v>
      </c>
      <c r="G215" s="7">
        <v>9.65</v>
      </c>
      <c r="H215" s="4" t="s">
        <v>492</v>
      </c>
      <c r="J215" t="s">
        <v>62</v>
      </c>
    </row>
    <row r="216" spans="1:10" x14ac:dyDescent="0.3">
      <c r="A216" t="s">
        <v>495</v>
      </c>
      <c r="B216" t="s">
        <v>496</v>
      </c>
      <c r="D216" s="6">
        <v>1000</v>
      </c>
      <c r="G216" s="7">
        <v>9.65</v>
      </c>
      <c r="H216" s="4" t="s">
        <v>489</v>
      </c>
      <c r="J216" t="s">
        <v>128</v>
      </c>
    </row>
    <row r="217" spans="1:10" x14ac:dyDescent="0.3">
      <c r="A217" t="s">
        <v>497</v>
      </c>
      <c r="B217" t="s">
        <v>498</v>
      </c>
      <c r="D217" s="6">
        <v>1000</v>
      </c>
      <c r="G217" s="7">
        <v>9</v>
      </c>
      <c r="H217" s="4" t="s">
        <v>486</v>
      </c>
      <c r="J217" t="s">
        <v>128</v>
      </c>
    </row>
    <row r="218" spans="1:10" x14ac:dyDescent="0.3">
      <c r="A218" t="s">
        <v>499</v>
      </c>
      <c r="B218" t="s">
        <v>500</v>
      </c>
      <c r="D218" s="6">
        <v>1000</v>
      </c>
      <c r="G218" s="7">
        <v>10.75</v>
      </c>
      <c r="H218" s="4" t="s">
        <v>222</v>
      </c>
      <c r="J218" t="s">
        <v>59</v>
      </c>
    </row>
    <row r="219" spans="1:10" x14ac:dyDescent="0.3">
      <c r="A219" t="s">
        <v>501</v>
      </c>
      <c r="B219" t="s">
        <v>502</v>
      </c>
      <c r="D219" s="6">
        <v>1000</v>
      </c>
      <c r="G219" s="7">
        <v>11</v>
      </c>
      <c r="H219" s="4" t="s">
        <v>503</v>
      </c>
      <c r="J219" t="s">
        <v>59</v>
      </c>
    </row>
    <row r="220" spans="1:10" x14ac:dyDescent="0.3">
      <c r="A220" t="s">
        <v>504</v>
      </c>
      <c r="B220" t="s">
        <v>505</v>
      </c>
      <c r="D220" s="6">
        <v>1000</v>
      </c>
      <c r="G220" s="7">
        <v>11.5</v>
      </c>
      <c r="H220" s="4" t="s">
        <v>506</v>
      </c>
      <c r="J220" t="s">
        <v>59</v>
      </c>
    </row>
    <row r="221" spans="1:10" x14ac:dyDescent="0.3">
      <c r="A221" t="s">
        <v>507</v>
      </c>
      <c r="B221" t="s">
        <v>508</v>
      </c>
      <c r="D221" s="6">
        <v>1000</v>
      </c>
      <c r="G221" s="7" t="s">
        <v>65</v>
      </c>
      <c r="H221" s="4" t="s">
        <v>222</v>
      </c>
      <c r="J221" t="s">
        <v>49</v>
      </c>
    </row>
    <row r="222" spans="1:10" x14ac:dyDescent="0.3">
      <c r="A222" t="s">
        <v>509</v>
      </c>
      <c r="B222" t="s">
        <v>510</v>
      </c>
      <c r="D222" s="6">
        <v>1000</v>
      </c>
      <c r="G222" s="7" t="s">
        <v>65</v>
      </c>
      <c r="H222" s="4" t="s">
        <v>503</v>
      </c>
      <c r="J222" t="s">
        <v>49</v>
      </c>
    </row>
    <row r="223" spans="1:10" x14ac:dyDescent="0.3">
      <c r="A223" t="s">
        <v>511</v>
      </c>
      <c r="B223" t="s">
        <v>512</v>
      </c>
      <c r="D223" s="6">
        <v>1000</v>
      </c>
      <c r="G223" s="7" t="s">
        <v>65</v>
      </c>
      <c r="H223" s="4" t="s">
        <v>513</v>
      </c>
      <c r="J223" t="s">
        <v>49</v>
      </c>
    </row>
    <row r="224" spans="1:10" x14ac:dyDescent="0.3">
      <c r="A224" t="s">
        <v>514</v>
      </c>
      <c r="B224" t="s">
        <v>515</v>
      </c>
      <c r="D224" s="6">
        <v>1000</v>
      </c>
      <c r="G224" s="7" t="s">
        <v>65</v>
      </c>
      <c r="H224" s="4" t="s">
        <v>516</v>
      </c>
      <c r="J224" t="s">
        <v>49</v>
      </c>
    </row>
    <row r="225" spans="1:10" x14ac:dyDescent="0.3">
      <c r="A225" t="s">
        <v>517</v>
      </c>
      <c r="B225" t="s">
        <v>518</v>
      </c>
      <c r="D225" s="6">
        <v>1000</v>
      </c>
      <c r="G225" s="7">
        <v>11</v>
      </c>
      <c r="H225" s="4" t="s">
        <v>519</v>
      </c>
      <c r="J225" t="s">
        <v>59</v>
      </c>
    </row>
    <row r="226" spans="1:10" x14ac:dyDescent="0.3">
      <c r="A226" t="s">
        <v>520</v>
      </c>
      <c r="B226" t="s">
        <v>521</v>
      </c>
      <c r="D226" s="6">
        <v>1000</v>
      </c>
      <c r="G226" s="7" t="s">
        <v>65</v>
      </c>
      <c r="H226" s="4" t="s">
        <v>522</v>
      </c>
      <c r="J226" t="s">
        <v>49</v>
      </c>
    </row>
    <row r="227" spans="1:10" x14ac:dyDescent="0.3">
      <c r="A227" t="s">
        <v>523</v>
      </c>
      <c r="B227" t="s">
        <v>524</v>
      </c>
      <c r="D227" t="s">
        <v>460</v>
      </c>
      <c r="G227" s="7" t="s">
        <v>460</v>
      </c>
      <c r="H227" s="4" t="s">
        <v>460</v>
      </c>
      <c r="J227" t="s">
        <v>460</v>
      </c>
    </row>
    <row r="228" spans="1:10" x14ac:dyDescent="0.3">
      <c r="A228" t="s">
        <v>525</v>
      </c>
      <c r="B228" t="s">
        <v>526</v>
      </c>
      <c r="D228" s="6">
        <v>1000</v>
      </c>
      <c r="G228" s="7">
        <v>11.5</v>
      </c>
      <c r="H228" s="4" t="s">
        <v>527</v>
      </c>
      <c r="J228" t="s">
        <v>59</v>
      </c>
    </row>
    <row r="229" spans="1:10" x14ac:dyDescent="0.3">
      <c r="A229" t="s">
        <v>528</v>
      </c>
      <c r="B229" t="s">
        <v>529</v>
      </c>
      <c r="D229" s="6">
        <v>1000</v>
      </c>
      <c r="G229" s="7">
        <v>10.75</v>
      </c>
      <c r="H229" s="4" t="s">
        <v>516</v>
      </c>
      <c r="J229" t="s">
        <v>59</v>
      </c>
    </row>
    <row r="230" spans="1:10" x14ac:dyDescent="0.3">
      <c r="A230" t="s">
        <v>530</v>
      </c>
      <c r="B230" t="s">
        <v>531</v>
      </c>
      <c r="D230" t="s">
        <v>460</v>
      </c>
      <c r="G230" s="7" t="s">
        <v>460</v>
      </c>
      <c r="H230" s="4" t="s">
        <v>460</v>
      </c>
      <c r="J230" t="s">
        <v>460</v>
      </c>
    </row>
    <row r="231" spans="1:10" x14ac:dyDescent="0.3">
      <c r="A231" t="s">
        <v>532</v>
      </c>
      <c r="B231" t="s">
        <v>533</v>
      </c>
      <c r="D231" s="6">
        <v>1000</v>
      </c>
      <c r="G231" s="7">
        <v>9.5</v>
      </c>
      <c r="H231" s="4" t="s">
        <v>534</v>
      </c>
      <c r="J231" t="s">
        <v>59</v>
      </c>
    </row>
    <row r="232" spans="1:10" x14ac:dyDescent="0.3">
      <c r="A232" t="s">
        <v>535</v>
      </c>
      <c r="B232" t="s">
        <v>536</v>
      </c>
      <c r="D232" s="6">
        <v>1000</v>
      </c>
      <c r="G232" s="7" t="s">
        <v>65</v>
      </c>
      <c r="H232" s="4" t="s">
        <v>537</v>
      </c>
      <c r="J232" t="s">
        <v>49</v>
      </c>
    </row>
    <row r="233" spans="1:10" x14ac:dyDescent="0.3">
      <c r="A233" t="s">
        <v>538</v>
      </c>
      <c r="B233" t="s">
        <v>539</v>
      </c>
      <c r="D233" s="6">
        <v>1000</v>
      </c>
      <c r="G233" s="7" t="s">
        <v>65</v>
      </c>
      <c r="H233" s="4" t="s">
        <v>540</v>
      </c>
      <c r="J233" t="s">
        <v>49</v>
      </c>
    </row>
    <row r="234" spans="1:10" x14ac:dyDescent="0.3">
      <c r="A234" t="s">
        <v>541</v>
      </c>
      <c r="B234" t="s">
        <v>542</v>
      </c>
      <c r="D234" s="6">
        <v>1000</v>
      </c>
      <c r="G234" s="7" t="s">
        <v>65</v>
      </c>
      <c r="H234" s="4" t="s">
        <v>543</v>
      </c>
      <c r="J234" t="s">
        <v>49</v>
      </c>
    </row>
    <row r="235" spans="1:10" x14ac:dyDescent="0.3">
      <c r="A235" t="s">
        <v>544</v>
      </c>
      <c r="B235" t="s">
        <v>545</v>
      </c>
      <c r="D235" s="6">
        <v>1000</v>
      </c>
      <c r="G235" s="7">
        <v>11.5</v>
      </c>
      <c r="H235" s="4" t="s">
        <v>527</v>
      </c>
      <c r="J235" t="s">
        <v>59</v>
      </c>
    </row>
    <row r="236" spans="1:10" x14ac:dyDescent="0.3">
      <c r="A236" t="s">
        <v>546</v>
      </c>
      <c r="B236" t="s">
        <v>547</v>
      </c>
      <c r="D236" s="6">
        <v>1000</v>
      </c>
      <c r="G236" s="7">
        <v>11</v>
      </c>
      <c r="H236" s="4" t="s">
        <v>548</v>
      </c>
      <c r="J236" t="s">
        <v>59</v>
      </c>
    </row>
    <row r="237" spans="1:10" x14ac:dyDescent="0.3">
      <c r="A237" t="s">
        <v>549</v>
      </c>
      <c r="B237" t="s">
        <v>550</v>
      </c>
      <c r="D237" s="6">
        <v>1000</v>
      </c>
      <c r="G237" s="7">
        <v>10.75</v>
      </c>
      <c r="H237" s="4" t="s">
        <v>540</v>
      </c>
      <c r="J237" t="s">
        <v>59</v>
      </c>
    </row>
    <row r="238" spans="1:10" x14ac:dyDescent="0.3">
      <c r="A238" t="s">
        <v>551</v>
      </c>
      <c r="B238" t="s">
        <v>552</v>
      </c>
      <c r="D238" s="6">
        <v>1000</v>
      </c>
      <c r="G238" s="7">
        <v>10.5</v>
      </c>
      <c r="H238" s="4" t="s">
        <v>553</v>
      </c>
      <c r="J238" t="s">
        <v>59</v>
      </c>
    </row>
    <row r="239" spans="1:10" x14ac:dyDescent="0.3">
      <c r="A239" t="s">
        <v>554</v>
      </c>
      <c r="B239" t="s">
        <v>555</v>
      </c>
      <c r="D239" s="6">
        <v>1000</v>
      </c>
      <c r="G239" s="7">
        <v>9.5</v>
      </c>
      <c r="H239" s="4" t="s">
        <v>543</v>
      </c>
      <c r="J239" t="s">
        <v>59</v>
      </c>
    </row>
    <row r="240" spans="1:10" x14ac:dyDescent="0.3">
      <c r="A240" t="s">
        <v>556</v>
      </c>
      <c r="B240" t="s">
        <v>557</v>
      </c>
      <c r="D240" s="6">
        <v>1000</v>
      </c>
      <c r="G240" s="7" t="s">
        <v>65</v>
      </c>
      <c r="H240" s="4" t="s">
        <v>558</v>
      </c>
      <c r="J240" t="s">
        <v>49</v>
      </c>
    </row>
    <row r="241" spans="1:10" x14ac:dyDescent="0.3">
      <c r="A241" t="s">
        <v>559</v>
      </c>
      <c r="B241" t="s">
        <v>560</v>
      </c>
      <c r="D241" s="6">
        <v>1000</v>
      </c>
      <c r="G241" s="7">
        <v>10.75</v>
      </c>
      <c r="H241" s="4" t="s">
        <v>561</v>
      </c>
      <c r="J241" t="s">
        <v>72</v>
      </c>
    </row>
    <row r="242" spans="1:10" x14ac:dyDescent="0.3">
      <c r="A242" t="s">
        <v>562</v>
      </c>
      <c r="B242" t="s">
        <v>563</v>
      </c>
      <c r="D242" s="6">
        <v>1000</v>
      </c>
      <c r="G242" s="7">
        <v>11</v>
      </c>
      <c r="H242" s="4" t="s">
        <v>564</v>
      </c>
      <c r="J242" t="s">
        <v>72</v>
      </c>
    </row>
    <row r="243" spans="1:10" x14ac:dyDescent="0.3">
      <c r="A243" t="s">
        <v>565</v>
      </c>
      <c r="B243" t="s">
        <v>566</v>
      </c>
      <c r="D243" s="6">
        <v>1000</v>
      </c>
      <c r="G243" s="7">
        <v>11.25</v>
      </c>
      <c r="H243" s="4" t="s">
        <v>567</v>
      </c>
      <c r="J243" t="s">
        <v>72</v>
      </c>
    </row>
    <row r="244" spans="1:10" x14ac:dyDescent="0.3">
      <c r="A244" t="s">
        <v>568</v>
      </c>
      <c r="B244" t="s">
        <v>569</v>
      </c>
      <c r="D244" s="6">
        <v>1000</v>
      </c>
      <c r="G244" s="7">
        <v>9.5</v>
      </c>
      <c r="H244" s="4" t="s">
        <v>570</v>
      </c>
      <c r="J244" t="s">
        <v>72</v>
      </c>
    </row>
    <row r="245" spans="1:10" x14ac:dyDescent="0.3">
      <c r="A245" t="s">
        <v>571</v>
      </c>
      <c r="B245" t="s">
        <v>572</v>
      </c>
      <c r="D245" s="6">
        <v>1000</v>
      </c>
      <c r="G245" s="7">
        <v>12</v>
      </c>
      <c r="H245" s="4" t="s">
        <v>573</v>
      </c>
      <c r="J245" t="s">
        <v>72</v>
      </c>
    </row>
    <row r="246" spans="1:10" x14ac:dyDescent="0.3">
      <c r="A246" t="s">
        <v>574</v>
      </c>
      <c r="B246" t="s">
        <v>575</v>
      </c>
      <c r="D246" s="6">
        <v>1000</v>
      </c>
      <c r="G246" s="7" t="s">
        <v>65</v>
      </c>
      <c r="H246" s="4" t="s">
        <v>564</v>
      </c>
      <c r="J246" t="s">
        <v>49</v>
      </c>
    </row>
    <row r="247" spans="1:10" x14ac:dyDescent="0.3">
      <c r="A247" t="s">
        <v>576</v>
      </c>
      <c r="B247" t="s">
        <v>577</v>
      </c>
      <c r="D247" s="6">
        <v>1000</v>
      </c>
      <c r="G247" s="7" t="s">
        <v>65</v>
      </c>
      <c r="H247" s="4" t="s">
        <v>573</v>
      </c>
      <c r="J247" t="s">
        <v>49</v>
      </c>
    </row>
    <row r="248" spans="1:10" x14ac:dyDescent="0.3">
      <c r="A248" t="s">
        <v>578</v>
      </c>
      <c r="B248" t="s">
        <v>579</v>
      </c>
      <c r="D248" s="6">
        <v>1000</v>
      </c>
      <c r="G248" s="7" t="s">
        <v>65</v>
      </c>
      <c r="H248" s="4" t="s">
        <v>570</v>
      </c>
      <c r="J248" t="s">
        <v>49</v>
      </c>
    </row>
    <row r="249" spans="1:10" x14ac:dyDescent="0.3">
      <c r="A249" t="s">
        <v>580</v>
      </c>
      <c r="B249" t="s">
        <v>581</v>
      </c>
      <c r="C249" t="s">
        <v>48</v>
      </c>
      <c r="D249" s="9">
        <v>1000</v>
      </c>
      <c r="E249" t="s">
        <v>582</v>
      </c>
      <c r="F249" t="s">
        <v>583</v>
      </c>
      <c r="G249">
        <v>8.1</v>
      </c>
      <c r="H249" t="s">
        <v>584</v>
      </c>
      <c r="I249" t="s">
        <v>585</v>
      </c>
      <c r="J249" t="s">
        <v>62</v>
      </c>
    </row>
    <row r="250" spans="1:10" x14ac:dyDescent="0.3">
      <c r="A250" t="s">
        <v>586</v>
      </c>
      <c r="B250" t="s">
        <v>587</v>
      </c>
      <c r="D250" s="6">
        <v>1000</v>
      </c>
      <c r="G250" s="7">
        <v>7.3400000000000007</v>
      </c>
      <c r="H250" s="4" t="s">
        <v>588</v>
      </c>
      <c r="J250" t="s">
        <v>62</v>
      </c>
    </row>
    <row r="251" spans="1:10" x14ac:dyDescent="0.3">
      <c r="A251" t="s">
        <v>589</v>
      </c>
      <c r="B251" t="s">
        <v>581</v>
      </c>
      <c r="C251" t="s">
        <v>281</v>
      </c>
      <c r="D251" s="9">
        <v>1000</v>
      </c>
      <c r="E251" t="s">
        <v>45</v>
      </c>
      <c r="F251" t="s">
        <v>45</v>
      </c>
      <c r="G251">
        <v>7.04</v>
      </c>
      <c r="H251" t="s">
        <v>590</v>
      </c>
      <c r="I251" t="s">
        <v>279</v>
      </c>
      <c r="J251" t="s">
        <v>62</v>
      </c>
    </row>
    <row r="252" spans="1:10" x14ac:dyDescent="0.3">
      <c r="A252" t="s">
        <v>591</v>
      </c>
      <c r="B252" t="s">
        <v>581</v>
      </c>
      <c r="C252" t="s">
        <v>415</v>
      </c>
      <c r="D252" s="9">
        <v>1000</v>
      </c>
      <c r="E252" t="s">
        <v>592</v>
      </c>
      <c r="F252" t="s">
        <v>593</v>
      </c>
      <c r="G252">
        <v>8.4</v>
      </c>
      <c r="H252" t="s">
        <v>594</v>
      </c>
      <c r="I252" t="s">
        <v>595</v>
      </c>
      <c r="J252" t="s">
        <v>62</v>
      </c>
    </row>
    <row r="253" spans="1:10" x14ac:dyDescent="0.3">
      <c r="A253" t="s">
        <v>591</v>
      </c>
      <c r="B253" t="s">
        <v>596</v>
      </c>
      <c r="D253" s="6">
        <v>1000</v>
      </c>
      <c r="G253" s="7">
        <v>8.4</v>
      </c>
      <c r="H253" s="4" t="s">
        <v>594</v>
      </c>
      <c r="J253" t="s">
        <v>62</v>
      </c>
    </row>
    <row r="254" spans="1:10" x14ac:dyDescent="0.3">
      <c r="A254" t="s">
        <v>591</v>
      </c>
      <c r="B254" t="s">
        <v>596</v>
      </c>
      <c r="D254" s="6">
        <v>1000</v>
      </c>
      <c r="G254" s="7">
        <v>8.4</v>
      </c>
      <c r="H254" s="4" t="s">
        <v>594</v>
      </c>
      <c r="J254" t="s">
        <v>62</v>
      </c>
    </row>
    <row r="255" spans="1:10" x14ac:dyDescent="0.3">
      <c r="A255" t="s">
        <v>597</v>
      </c>
      <c r="B255" t="s">
        <v>581</v>
      </c>
      <c r="C255" t="s">
        <v>292</v>
      </c>
      <c r="D255" s="9">
        <v>1000</v>
      </c>
      <c r="E255" t="s">
        <v>45</v>
      </c>
      <c r="F255" t="s">
        <v>45</v>
      </c>
      <c r="G255">
        <v>8.65</v>
      </c>
      <c r="H255" t="s">
        <v>594</v>
      </c>
      <c r="I255" t="s">
        <v>598</v>
      </c>
      <c r="J255" t="s">
        <v>62</v>
      </c>
    </row>
    <row r="256" spans="1:10" x14ac:dyDescent="0.3">
      <c r="A256" t="s">
        <v>597</v>
      </c>
      <c r="B256" t="s">
        <v>599</v>
      </c>
      <c r="D256" s="6">
        <v>1000</v>
      </c>
      <c r="G256" s="7">
        <v>8.6499999999999986</v>
      </c>
      <c r="H256" s="4" t="s">
        <v>594</v>
      </c>
      <c r="J256" t="s">
        <v>62</v>
      </c>
    </row>
    <row r="257" spans="1:10" x14ac:dyDescent="0.3">
      <c r="A257" t="s">
        <v>597</v>
      </c>
      <c r="B257" t="s">
        <v>599</v>
      </c>
      <c r="D257" s="6">
        <v>1000</v>
      </c>
      <c r="G257" s="7">
        <v>8.6499999999999986</v>
      </c>
      <c r="H257" s="4" t="s">
        <v>594</v>
      </c>
      <c r="J257" t="s">
        <v>62</v>
      </c>
    </row>
    <row r="258" spans="1:10" x14ac:dyDescent="0.3">
      <c r="A258" t="s">
        <v>600</v>
      </c>
      <c r="B258" t="s">
        <v>581</v>
      </c>
      <c r="C258" t="s">
        <v>297</v>
      </c>
      <c r="D258" s="9">
        <v>1000</v>
      </c>
      <c r="E258" t="s">
        <v>45</v>
      </c>
      <c r="F258" t="s">
        <v>45</v>
      </c>
      <c r="G258">
        <v>8.6300000000000008</v>
      </c>
      <c r="H258" t="s">
        <v>601</v>
      </c>
      <c r="I258" t="s">
        <v>602</v>
      </c>
      <c r="J258" t="s">
        <v>62</v>
      </c>
    </row>
    <row r="259" spans="1:10" x14ac:dyDescent="0.3">
      <c r="A259" t="s">
        <v>600</v>
      </c>
      <c r="B259" t="s">
        <v>603</v>
      </c>
      <c r="D259" s="6">
        <v>1000</v>
      </c>
      <c r="G259" s="7">
        <v>8.6300000000000008</v>
      </c>
      <c r="H259" s="4" t="s">
        <v>601</v>
      </c>
      <c r="J259" t="s">
        <v>62</v>
      </c>
    </row>
    <row r="260" spans="1:10" x14ac:dyDescent="0.3">
      <c r="A260" t="s">
        <v>604</v>
      </c>
      <c r="B260" t="s">
        <v>581</v>
      </c>
      <c r="C260" t="s">
        <v>605</v>
      </c>
      <c r="D260" s="9">
        <v>1000</v>
      </c>
      <c r="E260" t="s">
        <v>606</v>
      </c>
      <c r="F260" t="s">
        <v>607</v>
      </c>
      <c r="G260">
        <v>8.8800000000000008</v>
      </c>
      <c r="H260" t="s">
        <v>601</v>
      </c>
      <c r="I260" t="s">
        <v>608</v>
      </c>
      <c r="J260" t="s">
        <v>62</v>
      </c>
    </row>
    <row r="261" spans="1:10" x14ac:dyDescent="0.3">
      <c r="A261" t="s">
        <v>604</v>
      </c>
      <c r="B261" t="s">
        <v>609</v>
      </c>
      <c r="D261" s="6">
        <v>1000</v>
      </c>
      <c r="G261" s="7">
        <v>8.8800000000000008</v>
      </c>
      <c r="H261" s="4" t="s">
        <v>601</v>
      </c>
      <c r="J261" t="s">
        <v>62</v>
      </c>
    </row>
    <row r="262" spans="1:10" x14ac:dyDescent="0.3">
      <c r="A262" t="s">
        <v>610</v>
      </c>
      <c r="B262" t="s">
        <v>581</v>
      </c>
      <c r="C262" t="s">
        <v>309</v>
      </c>
      <c r="D262" s="9">
        <v>1000</v>
      </c>
      <c r="E262" t="s">
        <v>611</v>
      </c>
      <c r="F262" t="s">
        <v>612</v>
      </c>
      <c r="G262">
        <v>7.07</v>
      </c>
      <c r="H262" t="s">
        <v>613</v>
      </c>
      <c r="I262" t="s">
        <v>614</v>
      </c>
      <c r="J262" t="s">
        <v>62</v>
      </c>
    </row>
    <row r="263" spans="1:10" x14ac:dyDescent="0.3">
      <c r="A263" t="s">
        <v>610</v>
      </c>
      <c r="B263" t="s">
        <v>615</v>
      </c>
      <c r="D263" s="6">
        <v>1000</v>
      </c>
      <c r="G263" s="7">
        <v>7.07</v>
      </c>
      <c r="H263" s="4" t="s">
        <v>613</v>
      </c>
      <c r="J263" t="s">
        <v>62</v>
      </c>
    </row>
    <row r="264" spans="1:10" x14ac:dyDescent="0.3">
      <c r="A264" t="s">
        <v>616</v>
      </c>
      <c r="B264" t="s">
        <v>581</v>
      </c>
      <c r="C264" t="s">
        <v>617</v>
      </c>
      <c r="D264" s="9">
        <v>1000</v>
      </c>
      <c r="E264" t="s">
        <v>618</v>
      </c>
      <c r="F264" t="s">
        <v>619</v>
      </c>
      <c r="G264">
        <v>7.28</v>
      </c>
      <c r="H264" t="s">
        <v>620</v>
      </c>
      <c r="I264" t="s">
        <v>621</v>
      </c>
      <c r="J264" t="s">
        <v>62</v>
      </c>
    </row>
    <row r="265" spans="1:10" x14ac:dyDescent="0.3">
      <c r="A265" t="s">
        <v>616</v>
      </c>
      <c r="B265" t="s">
        <v>622</v>
      </c>
      <c r="D265" s="6">
        <v>1000</v>
      </c>
      <c r="G265" s="7">
        <v>7.28</v>
      </c>
      <c r="H265" s="4" t="s">
        <v>620</v>
      </c>
      <c r="J265" t="s">
        <v>62</v>
      </c>
    </row>
    <row r="266" spans="1:10" x14ac:dyDescent="0.3">
      <c r="A266" t="s">
        <v>623</v>
      </c>
      <c r="B266" t="s">
        <v>581</v>
      </c>
      <c r="C266" t="s">
        <v>330</v>
      </c>
      <c r="D266" s="9">
        <v>1000</v>
      </c>
      <c r="E266" t="s">
        <v>624</v>
      </c>
      <c r="F266" t="s">
        <v>625</v>
      </c>
      <c r="G266">
        <v>7.25</v>
      </c>
      <c r="H266" t="s">
        <v>626</v>
      </c>
      <c r="I266" t="s">
        <v>627</v>
      </c>
      <c r="J266" t="s">
        <v>62</v>
      </c>
    </row>
    <row r="267" spans="1:10" x14ac:dyDescent="0.3">
      <c r="A267" t="s">
        <v>623</v>
      </c>
      <c r="B267" t="s">
        <v>628</v>
      </c>
      <c r="D267" s="6">
        <v>1000</v>
      </c>
      <c r="G267" s="7">
        <v>7.2499999999999991</v>
      </c>
      <c r="H267" s="4" t="s">
        <v>626</v>
      </c>
      <c r="J267" t="s">
        <v>62</v>
      </c>
    </row>
    <row r="268" spans="1:10" x14ac:dyDescent="0.3">
      <c r="A268" t="s">
        <v>629</v>
      </c>
      <c r="B268" t="s">
        <v>581</v>
      </c>
      <c r="C268" t="s">
        <v>267</v>
      </c>
      <c r="D268" s="9">
        <v>1000</v>
      </c>
      <c r="E268" t="s">
        <v>630</v>
      </c>
      <c r="F268" t="s">
        <v>583</v>
      </c>
      <c r="G268">
        <v>7.32</v>
      </c>
      <c r="H268" t="s">
        <v>613</v>
      </c>
      <c r="I268" t="s">
        <v>631</v>
      </c>
      <c r="J268" t="s">
        <v>62</v>
      </c>
    </row>
    <row r="269" spans="1:10" x14ac:dyDescent="0.3">
      <c r="A269" t="s">
        <v>629</v>
      </c>
      <c r="B269" t="s">
        <v>632</v>
      </c>
      <c r="D269" s="6">
        <v>1000</v>
      </c>
      <c r="G269" s="7">
        <v>7.32</v>
      </c>
      <c r="H269" s="4" t="s">
        <v>613</v>
      </c>
      <c r="J269" t="s">
        <v>62</v>
      </c>
    </row>
    <row r="270" spans="1:10" x14ac:dyDescent="0.3">
      <c r="A270" t="s">
        <v>633</v>
      </c>
      <c r="B270" t="s">
        <v>581</v>
      </c>
      <c r="C270" t="s">
        <v>360</v>
      </c>
      <c r="D270" s="9">
        <v>1000</v>
      </c>
      <c r="E270" t="s">
        <v>634</v>
      </c>
      <c r="F270" t="s">
        <v>311</v>
      </c>
      <c r="G270">
        <v>7.53</v>
      </c>
      <c r="H270" t="s">
        <v>620</v>
      </c>
      <c r="I270" t="s">
        <v>635</v>
      </c>
      <c r="J270" t="s">
        <v>62</v>
      </c>
    </row>
    <row r="271" spans="1:10" x14ac:dyDescent="0.3">
      <c r="A271" t="s">
        <v>633</v>
      </c>
      <c r="B271" t="s">
        <v>636</v>
      </c>
      <c r="D271" s="6">
        <v>1000</v>
      </c>
      <c r="G271" s="7">
        <v>7.53</v>
      </c>
      <c r="H271" s="4" t="s">
        <v>620</v>
      </c>
      <c r="J271" t="s">
        <v>62</v>
      </c>
    </row>
    <row r="272" spans="1:10" x14ac:dyDescent="0.3">
      <c r="A272" t="s">
        <v>637</v>
      </c>
      <c r="B272" t="s">
        <v>581</v>
      </c>
      <c r="C272" t="s">
        <v>638</v>
      </c>
      <c r="D272" s="9">
        <v>1000</v>
      </c>
      <c r="E272" t="s">
        <v>639</v>
      </c>
      <c r="F272" t="s">
        <v>640</v>
      </c>
      <c r="G272">
        <v>7.5</v>
      </c>
      <c r="H272" t="s">
        <v>626</v>
      </c>
      <c r="I272" t="s">
        <v>641</v>
      </c>
      <c r="J272" t="s">
        <v>62</v>
      </c>
    </row>
    <row r="273" spans="1:10" x14ac:dyDescent="0.3">
      <c r="A273" t="s">
        <v>637</v>
      </c>
      <c r="B273" t="s">
        <v>642</v>
      </c>
      <c r="D273" s="6">
        <v>1000</v>
      </c>
      <c r="G273" s="7">
        <v>7.5</v>
      </c>
      <c r="H273" s="4" t="s">
        <v>626</v>
      </c>
      <c r="J273" t="s">
        <v>62</v>
      </c>
    </row>
    <row r="274" spans="1:10" x14ac:dyDescent="0.3">
      <c r="A274" t="s">
        <v>637</v>
      </c>
      <c r="B274" t="s">
        <v>642</v>
      </c>
      <c r="D274" s="6">
        <v>1000</v>
      </c>
      <c r="G274" s="7">
        <v>7.5</v>
      </c>
      <c r="H274" s="4" t="s">
        <v>626</v>
      </c>
      <c r="J274" t="s">
        <v>62</v>
      </c>
    </row>
    <row r="275" spans="1:10" x14ac:dyDescent="0.3">
      <c r="A275" t="s">
        <v>643</v>
      </c>
      <c r="B275" t="s">
        <v>581</v>
      </c>
      <c r="C275" t="s">
        <v>366</v>
      </c>
      <c r="D275" s="9">
        <v>1000</v>
      </c>
      <c r="E275" t="s">
        <v>644</v>
      </c>
      <c r="F275" t="s">
        <v>645</v>
      </c>
      <c r="G275">
        <v>7.04</v>
      </c>
      <c r="H275" t="s">
        <v>646</v>
      </c>
      <c r="I275" t="s">
        <v>647</v>
      </c>
      <c r="J275" t="s">
        <v>62</v>
      </c>
    </row>
    <row r="276" spans="1:10" x14ac:dyDescent="0.3">
      <c r="A276" t="s">
        <v>643</v>
      </c>
      <c r="B276" t="s">
        <v>648</v>
      </c>
      <c r="D276" s="6">
        <v>1000</v>
      </c>
      <c r="G276" s="7">
        <v>7.04</v>
      </c>
      <c r="H276" s="4" t="s">
        <v>646</v>
      </c>
      <c r="J276" t="s">
        <v>62</v>
      </c>
    </row>
    <row r="277" spans="1:10" x14ac:dyDescent="0.3">
      <c r="A277" t="s">
        <v>649</v>
      </c>
      <c r="B277" t="s">
        <v>581</v>
      </c>
      <c r="C277" t="s">
        <v>480</v>
      </c>
      <c r="D277" s="9">
        <v>1000</v>
      </c>
      <c r="E277" t="s">
        <v>650</v>
      </c>
      <c r="F277" t="s">
        <v>651</v>
      </c>
      <c r="G277">
        <v>7.35</v>
      </c>
      <c r="H277" t="s">
        <v>652</v>
      </c>
      <c r="I277" t="s">
        <v>653</v>
      </c>
      <c r="J277" t="s">
        <v>62</v>
      </c>
    </row>
    <row r="278" spans="1:10" x14ac:dyDescent="0.3">
      <c r="A278" t="s">
        <v>649</v>
      </c>
      <c r="B278" t="s">
        <v>654</v>
      </c>
      <c r="D278" s="6">
        <v>1000</v>
      </c>
      <c r="G278" s="7">
        <v>7.35</v>
      </c>
      <c r="H278" s="4" t="s">
        <v>652</v>
      </c>
      <c r="J278" t="s">
        <v>62</v>
      </c>
    </row>
    <row r="279" spans="1:10" x14ac:dyDescent="0.3">
      <c r="A279" t="s">
        <v>649</v>
      </c>
      <c r="B279" t="s">
        <v>655</v>
      </c>
      <c r="D279" s="6">
        <v>1000</v>
      </c>
      <c r="G279" s="7">
        <v>7.35</v>
      </c>
      <c r="H279" s="4" t="s">
        <v>652</v>
      </c>
      <c r="J279" t="s">
        <v>62</v>
      </c>
    </row>
    <row r="280" spans="1:10" x14ac:dyDescent="0.3">
      <c r="A280" t="s">
        <v>656</v>
      </c>
      <c r="B280" t="s">
        <v>581</v>
      </c>
      <c r="C280" t="s">
        <v>372</v>
      </c>
      <c r="D280" s="9">
        <v>1000</v>
      </c>
      <c r="E280" t="s">
        <v>45</v>
      </c>
      <c r="F280" t="s">
        <v>45</v>
      </c>
      <c r="G280">
        <v>7.29</v>
      </c>
      <c r="H280" t="s">
        <v>646</v>
      </c>
      <c r="I280" t="s">
        <v>657</v>
      </c>
      <c r="J280" t="s">
        <v>62</v>
      </c>
    </row>
    <row r="281" spans="1:10" x14ac:dyDescent="0.3">
      <c r="A281" t="s">
        <v>656</v>
      </c>
      <c r="B281" t="s">
        <v>658</v>
      </c>
      <c r="D281" s="6">
        <v>1000</v>
      </c>
      <c r="G281" s="7">
        <v>7.2900000000000009</v>
      </c>
      <c r="H281" s="4" t="s">
        <v>646</v>
      </c>
      <c r="J281" t="s">
        <v>62</v>
      </c>
    </row>
    <row r="282" spans="1:10" x14ac:dyDescent="0.3">
      <c r="A282" t="s">
        <v>659</v>
      </c>
      <c r="B282" t="s">
        <v>581</v>
      </c>
      <c r="C282" t="s">
        <v>660</v>
      </c>
      <c r="D282" s="9">
        <v>1000</v>
      </c>
      <c r="E282" t="s">
        <v>661</v>
      </c>
      <c r="F282" t="s">
        <v>662</v>
      </c>
      <c r="G282">
        <v>7.64</v>
      </c>
      <c r="H282" t="s">
        <v>652</v>
      </c>
      <c r="I282" t="s">
        <v>663</v>
      </c>
      <c r="J282" t="s">
        <v>62</v>
      </c>
    </row>
    <row r="283" spans="1:10" x14ac:dyDescent="0.3">
      <c r="A283" t="s">
        <v>659</v>
      </c>
      <c r="B283" t="s">
        <v>664</v>
      </c>
      <c r="D283" s="6">
        <v>1000</v>
      </c>
      <c r="G283" s="7">
        <v>7.64</v>
      </c>
      <c r="H283" s="4" t="s">
        <v>652</v>
      </c>
      <c r="J283" t="s">
        <v>62</v>
      </c>
    </row>
    <row r="284" spans="1:10" x14ac:dyDescent="0.3">
      <c r="A284" t="s">
        <v>659</v>
      </c>
      <c r="B284" t="s">
        <v>665</v>
      </c>
      <c r="D284" s="6">
        <v>1000</v>
      </c>
      <c r="G284" s="7">
        <v>7.64</v>
      </c>
      <c r="H284" s="4" t="s">
        <v>652</v>
      </c>
      <c r="J284" t="s">
        <v>62</v>
      </c>
    </row>
    <row r="285" spans="1:10" x14ac:dyDescent="0.3">
      <c r="A285" t="s">
        <v>659</v>
      </c>
      <c r="B285" t="s">
        <v>665</v>
      </c>
      <c r="D285" s="6">
        <v>1000</v>
      </c>
      <c r="G285" s="7">
        <v>7.64</v>
      </c>
      <c r="H285" s="4" t="s">
        <v>652</v>
      </c>
      <c r="J285" t="s">
        <v>62</v>
      </c>
    </row>
    <row r="286" spans="1:10" x14ac:dyDescent="0.3">
      <c r="A286" t="s">
        <v>666</v>
      </c>
      <c r="B286" t="s">
        <v>667</v>
      </c>
      <c r="D286" s="6">
        <v>1000</v>
      </c>
      <c r="G286" s="7" t="s">
        <v>65</v>
      </c>
      <c r="H286" s="4" t="s">
        <v>620</v>
      </c>
      <c r="J286" t="s">
        <v>49</v>
      </c>
    </row>
    <row r="287" spans="1:10" x14ac:dyDescent="0.3">
      <c r="A287" t="s">
        <v>668</v>
      </c>
      <c r="B287" t="s">
        <v>669</v>
      </c>
      <c r="D287" s="6">
        <v>1000</v>
      </c>
      <c r="G287" s="13" t="s">
        <v>65</v>
      </c>
      <c r="H287" s="4" t="s">
        <v>670</v>
      </c>
      <c r="J287" t="s">
        <v>49</v>
      </c>
    </row>
    <row r="288" spans="1:10" x14ac:dyDescent="0.3">
      <c r="A288" t="s">
        <v>671</v>
      </c>
      <c r="B288" t="s">
        <v>672</v>
      </c>
      <c r="D288" s="6">
        <v>1000</v>
      </c>
      <c r="G288" s="13">
        <v>10.5</v>
      </c>
      <c r="H288" s="4" t="s">
        <v>673</v>
      </c>
      <c r="J288" t="s">
        <v>59</v>
      </c>
    </row>
    <row r="289" spans="1:10" x14ac:dyDescent="0.3">
      <c r="A289" t="s">
        <v>674</v>
      </c>
      <c r="B289" t="s">
        <v>675</v>
      </c>
      <c r="D289" s="6">
        <v>1000</v>
      </c>
      <c r="G289" s="13" t="s">
        <v>65</v>
      </c>
      <c r="H289" s="4" t="s">
        <v>676</v>
      </c>
      <c r="J289" t="s">
        <v>49</v>
      </c>
    </row>
    <row r="290" spans="1:10" x14ac:dyDescent="0.3">
      <c r="A290" t="s">
        <v>677</v>
      </c>
      <c r="B290" t="s">
        <v>678</v>
      </c>
      <c r="D290" s="6">
        <v>1000</v>
      </c>
      <c r="G290" s="13">
        <v>9.5</v>
      </c>
      <c r="H290" s="4" t="s">
        <v>670</v>
      </c>
      <c r="J290" t="s">
        <v>59</v>
      </c>
    </row>
    <row r="291" spans="1:10" x14ac:dyDescent="0.3">
      <c r="A291" t="s">
        <v>679</v>
      </c>
      <c r="B291" t="s">
        <v>680</v>
      </c>
      <c r="D291" s="6">
        <v>1000</v>
      </c>
      <c r="G291" s="13">
        <v>9.65</v>
      </c>
      <c r="H291" s="4" t="s">
        <v>676</v>
      </c>
      <c r="J291" t="s">
        <v>59</v>
      </c>
    </row>
    <row r="292" spans="1:10" x14ac:dyDescent="0.3">
      <c r="A292" t="s">
        <v>681</v>
      </c>
      <c r="B292" t="s">
        <v>682</v>
      </c>
      <c r="D292" s="6">
        <v>1000</v>
      </c>
      <c r="G292" s="13">
        <v>9.75</v>
      </c>
      <c r="H292" s="4" t="s">
        <v>613</v>
      </c>
      <c r="J292" t="s">
        <v>59</v>
      </c>
    </row>
    <row r="293" spans="1:10" x14ac:dyDescent="0.3">
      <c r="A293" t="s">
        <v>683</v>
      </c>
      <c r="B293" t="s">
        <v>684</v>
      </c>
      <c r="D293" s="6">
        <v>1000</v>
      </c>
      <c r="G293" s="13">
        <v>10.25</v>
      </c>
      <c r="H293" s="4" t="s">
        <v>685</v>
      </c>
      <c r="J293" t="s">
        <v>59</v>
      </c>
    </row>
    <row r="294" spans="1:10" x14ac:dyDescent="0.3">
      <c r="A294" t="s">
        <v>686</v>
      </c>
      <c r="B294" t="s">
        <v>687</v>
      </c>
      <c r="D294" s="6">
        <v>1000</v>
      </c>
      <c r="G294" s="13" t="s">
        <v>65</v>
      </c>
      <c r="H294" s="4" t="s">
        <v>685</v>
      </c>
      <c r="J294" t="s">
        <v>49</v>
      </c>
    </row>
    <row r="295" spans="1:10" x14ac:dyDescent="0.3">
      <c r="A295" t="s">
        <v>688</v>
      </c>
      <c r="B295" t="s">
        <v>689</v>
      </c>
      <c r="D295" s="6">
        <v>1000</v>
      </c>
      <c r="G295" s="13" t="s">
        <v>65</v>
      </c>
      <c r="H295" s="4" t="s">
        <v>613</v>
      </c>
      <c r="J295" t="s">
        <v>49</v>
      </c>
    </row>
    <row r="296" spans="1:10" x14ac:dyDescent="0.3">
      <c r="A296" t="s">
        <v>690</v>
      </c>
      <c r="B296" t="s">
        <v>691</v>
      </c>
      <c r="D296" s="6">
        <v>1000</v>
      </c>
      <c r="G296" s="13" t="s">
        <v>65</v>
      </c>
      <c r="H296" s="4" t="s">
        <v>673</v>
      </c>
      <c r="J296" t="s">
        <v>49</v>
      </c>
    </row>
    <row r="297" spans="1:10" x14ac:dyDescent="0.3">
      <c r="A297" t="s">
        <v>692</v>
      </c>
      <c r="B297" t="s">
        <v>693</v>
      </c>
      <c r="D297" s="6">
        <v>1000</v>
      </c>
      <c r="G297" s="13">
        <v>10</v>
      </c>
      <c r="H297" s="4" t="s">
        <v>670</v>
      </c>
      <c r="J297" t="s">
        <v>59</v>
      </c>
    </row>
    <row r="298" spans="1:10" x14ac:dyDescent="0.3">
      <c r="A298" t="s">
        <v>694</v>
      </c>
      <c r="B298" t="s">
        <v>695</v>
      </c>
      <c r="D298" s="6">
        <v>1000</v>
      </c>
      <c r="G298" s="13">
        <v>11</v>
      </c>
      <c r="H298" s="4" t="s">
        <v>673</v>
      </c>
      <c r="J298" t="s">
        <v>59</v>
      </c>
    </row>
    <row r="299" spans="1:10" x14ac:dyDescent="0.3">
      <c r="A299" t="s">
        <v>696</v>
      </c>
      <c r="B299" t="s">
        <v>697</v>
      </c>
      <c r="D299" s="6">
        <v>1000</v>
      </c>
      <c r="G299" s="13">
        <v>10.75</v>
      </c>
      <c r="H299" s="4" t="s">
        <v>685</v>
      </c>
      <c r="J299" t="s">
        <v>59</v>
      </c>
    </row>
    <row r="300" spans="1:10" x14ac:dyDescent="0.3">
      <c r="A300" t="s">
        <v>698</v>
      </c>
      <c r="B300" t="s">
        <v>699</v>
      </c>
      <c r="D300" s="6">
        <v>1000</v>
      </c>
      <c r="G300" s="13">
        <v>10.25</v>
      </c>
      <c r="H300" s="4" t="s">
        <v>613</v>
      </c>
      <c r="J300" t="s">
        <v>59</v>
      </c>
    </row>
    <row r="301" spans="1:10" x14ac:dyDescent="0.3">
      <c r="A301" t="s">
        <v>700</v>
      </c>
      <c r="B301" t="s">
        <v>701</v>
      </c>
      <c r="D301" s="6">
        <v>1000</v>
      </c>
      <c r="G301" s="13" t="s">
        <v>65</v>
      </c>
      <c r="H301" s="4" t="s">
        <v>685</v>
      </c>
      <c r="J301" t="s">
        <v>49</v>
      </c>
    </row>
    <row r="302" spans="1:10" x14ac:dyDescent="0.3">
      <c r="A302" t="s">
        <v>702</v>
      </c>
      <c r="B302" t="s">
        <v>703</v>
      </c>
      <c r="D302" s="6">
        <v>1000</v>
      </c>
      <c r="G302" s="13" t="s">
        <v>65</v>
      </c>
      <c r="H302" s="4" t="s">
        <v>613</v>
      </c>
      <c r="J302" t="s">
        <v>49</v>
      </c>
    </row>
    <row r="303" spans="1:10" x14ac:dyDescent="0.3">
      <c r="A303" t="s">
        <v>704</v>
      </c>
      <c r="B303" t="s">
        <v>705</v>
      </c>
      <c r="D303" s="6">
        <v>1000</v>
      </c>
      <c r="G303" s="13" t="s">
        <v>65</v>
      </c>
      <c r="H303" s="4" t="s">
        <v>673</v>
      </c>
      <c r="J303" t="s">
        <v>49</v>
      </c>
    </row>
    <row r="304" spans="1:10" x14ac:dyDescent="0.3">
      <c r="A304" t="s">
        <v>706</v>
      </c>
      <c r="B304" t="s">
        <v>707</v>
      </c>
      <c r="D304" s="6">
        <v>1000</v>
      </c>
      <c r="G304" s="13" t="s">
        <v>65</v>
      </c>
      <c r="H304" s="4" t="s">
        <v>670</v>
      </c>
      <c r="J304" t="s">
        <v>49</v>
      </c>
    </row>
    <row r="305" spans="1:10" x14ac:dyDescent="0.3">
      <c r="A305" t="s">
        <v>708</v>
      </c>
      <c r="B305" t="s">
        <v>709</v>
      </c>
      <c r="D305" s="6">
        <v>1000</v>
      </c>
      <c r="G305" s="13">
        <v>10.15</v>
      </c>
      <c r="H305" s="4" t="s">
        <v>676</v>
      </c>
      <c r="J305" t="s">
        <v>59</v>
      </c>
    </row>
    <row r="306" spans="1:10" x14ac:dyDescent="0.3">
      <c r="A306" t="s">
        <v>710</v>
      </c>
      <c r="B306" t="s">
        <v>711</v>
      </c>
      <c r="D306" s="6">
        <v>1000</v>
      </c>
      <c r="G306" s="13" t="s">
        <v>65</v>
      </c>
      <c r="H306" s="4" t="s">
        <v>676</v>
      </c>
      <c r="J306" t="s">
        <v>49</v>
      </c>
    </row>
    <row r="307" spans="1:10" x14ac:dyDescent="0.3">
      <c r="A307" t="s">
        <v>712</v>
      </c>
      <c r="B307" t="s">
        <v>713</v>
      </c>
      <c r="D307" s="6">
        <v>1000</v>
      </c>
      <c r="G307" s="13">
        <v>10.5</v>
      </c>
      <c r="H307" s="4" t="s">
        <v>714</v>
      </c>
      <c r="J307" t="s">
        <v>59</v>
      </c>
    </row>
    <row r="308" spans="1:10" x14ac:dyDescent="0.3">
      <c r="A308" t="s">
        <v>715</v>
      </c>
      <c r="B308" t="s">
        <v>716</v>
      </c>
      <c r="D308" s="6">
        <v>1000</v>
      </c>
      <c r="G308" s="13" t="s">
        <v>65</v>
      </c>
      <c r="H308" s="4" t="s">
        <v>714</v>
      </c>
      <c r="J308" t="s">
        <v>49</v>
      </c>
    </row>
    <row r="309" spans="1:10" x14ac:dyDescent="0.3">
      <c r="A309" t="s">
        <v>717</v>
      </c>
      <c r="B309" t="s">
        <v>718</v>
      </c>
      <c r="D309" s="6">
        <v>1000</v>
      </c>
      <c r="G309" s="13">
        <v>10.75</v>
      </c>
      <c r="H309" s="4" t="s">
        <v>719</v>
      </c>
      <c r="J309" t="s">
        <v>59</v>
      </c>
    </row>
    <row r="310" spans="1:10" x14ac:dyDescent="0.3">
      <c r="A310" t="s">
        <v>720</v>
      </c>
      <c r="B310" t="s">
        <v>721</v>
      </c>
      <c r="D310" s="6">
        <v>1000</v>
      </c>
      <c r="G310" s="13" t="s">
        <v>65</v>
      </c>
      <c r="H310" s="4" t="s">
        <v>722</v>
      </c>
      <c r="J310" t="s">
        <v>49</v>
      </c>
    </row>
    <row r="311" spans="1:10" x14ac:dyDescent="0.3">
      <c r="A311" t="s">
        <v>723</v>
      </c>
      <c r="B311" t="s">
        <v>724</v>
      </c>
      <c r="D311" s="6">
        <v>1000</v>
      </c>
      <c r="G311" s="13" t="s">
        <v>65</v>
      </c>
      <c r="H311" s="4" t="s">
        <v>719</v>
      </c>
      <c r="J311" t="s">
        <v>49</v>
      </c>
    </row>
    <row r="312" spans="1:10" x14ac:dyDescent="0.3">
      <c r="A312" t="s">
        <v>725</v>
      </c>
      <c r="B312" t="s">
        <v>726</v>
      </c>
      <c r="D312" s="6">
        <v>1000</v>
      </c>
      <c r="G312" s="13" t="s">
        <v>65</v>
      </c>
      <c r="H312" s="4" t="s">
        <v>727</v>
      </c>
      <c r="J312" t="s">
        <v>49</v>
      </c>
    </row>
    <row r="313" spans="1:10" x14ac:dyDescent="0.3">
      <c r="A313" t="s">
        <v>728</v>
      </c>
      <c r="B313" t="s">
        <v>729</v>
      </c>
      <c r="D313" s="6">
        <v>1000</v>
      </c>
      <c r="G313" s="13" t="s">
        <v>65</v>
      </c>
      <c r="H313" s="4" t="s">
        <v>730</v>
      </c>
      <c r="J313" t="s">
        <v>49</v>
      </c>
    </row>
    <row r="314" spans="1:10" x14ac:dyDescent="0.3">
      <c r="A314" t="s">
        <v>731</v>
      </c>
      <c r="B314" t="s">
        <v>732</v>
      </c>
      <c r="D314" s="6">
        <v>1000</v>
      </c>
      <c r="G314" s="13" t="s">
        <v>65</v>
      </c>
      <c r="H314" s="4" t="s">
        <v>733</v>
      </c>
      <c r="J314" t="s">
        <v>49</v>
      </c>
    </row>
    <row r="315" spans="1:10" x14ac:dyDescent="0.3">
      <c r="A315" t="s">
        <v>734</v>
      </c>
      <c r="B315" t="s">
        <v>735</v>
      </c>
      <c r="D315" s="6">
        <v>1000</v>
      </c>
      <c r="G315" s="7">
        <v>10.8</v>
      </c>
      <c r="H315" s="4" t="s">
        <v>722</v>
      </c>
      <c r="J315" t="s">
        <v>59</v>
      </c>
    </row>
    <row r="316" spans="1:10" x14ac:dyDescent="0.3">
      <c r="A316" t="s">
        <v>736</v>
      </c>
      <c r="B316" t="s">
        <v>737</v>
      </c>
      <c r="D316" s="6">
        <v>1000</v>
      </c>
      <c r="G316" s="13">
        <v>10.6</v>
      </c>
      <c r="H316" s="4" t="s">
        <v>733</v>
      </c>
      <c r="J316" t="s">
        <v>59</v>
      </c>
    </row>
    <row r="317" spans="1:10" x14ac:dyDescent="0.3">
      <c r="A317" t="s">
        <v>738</v>
      </c>
      <c r="B317" t="s">
        <v>739</v>
      </c>
      <c r="D317" s="6">
        <v>1000</v>
      </c>
      <c r="G317" s="13">
        <v>10.5</v>
      </c>
      <c r="H317" s="4" t="s">
        <v>730</v>
      </c>
      <c r="J317" t="s">
        <v>59</v>
      </c>
    </row>
    <row r="318" spans="1:10" x14ac:dyDescent="0.3">
      <c r="A318" t="s">
        <v>740</v>
      </c>
      <c r="B318" t="s">
        <v>741</v>
      </c>
      <c r="D318" s="6">
        <v>1000</v>
      </c>
      <c r="G318" s="13" t="s">
        <v>65</v>
      </c>
      <c r="H318" s="4" t="s">
        <v>742</v>
      </c>
      <c r="J318" t="s">
        <v>49</v>
      </c>
    </row>
    <row r="319" spans="1:10" x14ac:dyDescent="0.3">
      <c r="A319" t="s">
        <v>743</v>
      </c>
      <c r="B319" t="s">
        <v>744</v>
      </c>
      <c r="D319" s="6">
        <v>1000</v>
      </c>
      <c r="G319" s="13" t="s">
        <v>65</v>
      </c>
      <c r="H319" s="4" t="s">
        <v>745</v>
      </c>
      <c r="J319" t="s">
        <v>49</v>
      </c>
    </row>
    <row r="320" spans="1:10" x14ac:dyDescent="0.3">
      <c r="A320" t="s">
        <v>746</v>
      </c>
      <c r="B320" t="s">
        <v>747</v>
      </c>
      <c r="D320" s="6">
        <v>1000</v>
      </c>
      <c r="G320" s="13">
        <v>11.25</v>
      </c>
      <c r="H320" s="4" t="s">
        <v>748</v>
      </c>
      <c r="J320" t="s">
        <v>59</v>
      </c>
    </row>
    <row r="321" spans="1:10" x14ac:dyDescent="0.3">
      <c r="A321" t="s">
        <v>749</v>
      </c>
      <c r="B321" t="s">
        <v>750</v>
      </c>
      <c r="D321" s="6">
        <v>1000</v>
      </c>
      <c r="G321" s="13" t="s">
        <v>65</v>
      </c>
      <c r="H321" s="4" t="s">
        <v>751</v>
      </c>
      <c r="J321" t="s">
        <v>49</v>
      </c>
    </row>
    <row r="322" spans="1:10" x14ac:dyDescent="0.3">
      <c r="A322" t="s">
        <v>752</v>
      </c>
      <c r="B322" t="s">
        <v>753</v>
      </c>
      <c r="D322" s="6">
        <v>1000</v>
      </c>
      <c r="G322" s="13">
        <v>11.5</v>
      </c>
      <c r="H322" s="4" t="s">
        <v>745</v>
      </c>
      <c r="J322" t="s">
        <v>59</v>
      </c>
    </row>
    <row r="323" spans="1:10" x14ac:dyDescent="0.3">
      <c r="A323" t="s">
        <v>754</v>
      </c>
      <c r="B323" t="s">
        <v>755</v>
      </c>
      <c r="D323" s="6">
        <v>1000</v>
      </c>
      <c r="G323" s="13">
        <v>10.8</v>
      </c>
      <c r="H323" s="4" t="s">
        <v>751</v>
      </c>
      <c r="J323" t="s">
        <v>59</v>
      </c>
    </row>
    <row r="324" spans="1:10" x14ac:dyDescent="0.3">
      <c r="A324" t="s">
        <v>756</v>
      </c>
      <c r="B324" t="s">
        <v>757</v>
      </c>
      <c r="D324" s="6">
        <v>1000</v>
      </c>
      <c r="G324" s="13" t="s">
        <v>65</v>
      </c>
      <c r="H324" s="4" t="s">
        <v>748</v>
      </c>
      <c r="J324" t="s">
        <v>49</v>
      </c>
    </row>
    <row r="325" spans="1:10" x14ac:dyDescent="0.3">
      <c r="A325" t="s">
        <v>758</v>
      </c>
      <c r="B325" t="s">
        <v>759</v>
      </c>
      <c r="D325" s="6">
        <v>1000</v>
      </c>
      <c r="G325" s="13" t="s">
        <v>65</v>
      </c>
      <c r="H325" s="4" t="s">
        <v>760</v>
      </c>
      <c r="J325" t="s">
        <v>49</v>
      </c>
    </row>
    <row r="326" spans="1:10" x14ac:dyDescent="0.3">
      <c r="A326" t="s">
        <v>761</v>
      </c>
      <c r="B326" t="s">
        <v>762</v>
      </c>
      <c r="D326" s="6">
        <v>1000</v>
      </c>
      <c r="G326" s="13">
        <v>10.7</v>
      </c>
      <c r="H326" s="4" t="s">
        <v>742</v>
      </c>
      <c r="J326" t="s">
        <v>59</v>
      </c>
    </row>
    <row r="327" spans="1:10" x14ac:dyDescent="0.3">
      <c r="A327" t="s">
        <v>763</v>
      </c>
      <c r="B327" t="s">
        <v>764</v>
      </c>
      <c r="D327" t="s">
        <v>460</v>
      </c>
      <c r="G327" s="13" t="s">
        <v>460</v>
      </c>
      <c r="H327" s="4" t="s">
        <v>460</v>
      </c>
      <c r="J327" t="s">
        <v>460</v>
      </c>
    </row>
    <row r="328" spans="1:10" x14ac:dyDescent="0.3">
      <c r="A328" t="s">
        <v>765</v>
      </c>
      <c r="B328" t="s">
        <v>766</v>
      </c>
      <c r="D328" s="6">
        <v>1000</v>
      </c>
      <c r="G328" s="13">
        <v>10.75</v>
      </c>
      <c r="H328" s="4" t="s">
        <v>767</v>
      </c>
      <c r="J328" t="s">
        <v>59</v>
      </c>
    </row>
    <row r="329" spans="1:10" x14ac:dyDescent="0.3">
      <c r="A329" t="s">
        <v>768</v>
      </c>
      <c r="B329" t="s">
        <v>769</v>
      </c>
      <c r="D329" s="6">
        <v>1000</v>
      </c>
      <c r="G329" s="13">
        <v>10.75</v>
      </c>
      <c r="H329" s="4" t="s">
        <v>767</v>
      </c>
      <c r="J329" t="s">
        <v>62</v>
      </c>
    </row>
    <row r="330" spans="1:10" x14ac:dyDescent="0.3">
      <c r="A330" t="s">
        <v>770</v>
      </c>
      <c r="B330" t="s">
        <v>771</v>
      </c>
      <c r="D330" s="6">
        <v>1000</v>
      </c>
      <c r="G330" s="13" t="s">
        <v>65</v>
      </c>
      <c r="H330" s="4" t="s">
        <v>767</v>
      </c>
      <c r="J330" t="s">
        <v>49</v>
      </c>
    </row>
    <row r="331" spans="1:10" x14ac:dyDescent="0.3">
      <c r="A331" t="s">
        <v>772</v>
      </c>
      <c r="B331" t="s">
        <v>773</v>
      </c>
      <c r="D331" s="6">
        <v>1000</v>
      </c>
      <c r="G331" s="13">
        <v>11</v>
      </c>
      <c r="H331" s="4" t="s">
        <v>774</v>
      </c>
      <c r="J331" t="s">
        <v>59</v>
      </c>
    </row>
    <row r="332" spans="1:10" x14ac:dyDescent="0.3">
      <c r="A332" t="s">
        <v>775</v>
      </c>
      <c r="B332" t="s">
        <v>776</v>
      </c>
      <c r="D332" s="6">
        <v>1000</v>
      </c>
      <c r="G332" s="13">
        <v>11</v>
      </c>
      <c r="H332" s="4" t="s">
        <v>777</v>
      </c>
      <c r="J332" t="s">
        <v>59</v>
      </c>
    </row>
    <row r="333" spans="1:10" x14ac:dyDescent="0.3">
      <c r="A333" t="s">
        <v>778</v>
      </c>
      <c r="B333" t="s">
        <v>779</v>
      </c>
      <c r="D333" s="6">
        <v>1000</v>
      </c>
      <c r="G333" s="13" t="s">
        <v>65</v>
      </c>
      <c r="H333" s="4" t="s">
        <v>780</v>
      </c>
      <c r="J333" t="s">
        <v>49</v>
      </c>
    </row>
    <row r="334" spans="1:10" x14ac:dyDescent="0.3">
      <c r="A334" t="s">
        <v>781</v>
      </c>
      <c r="B334" t="s">
        <v>782</v>
      </c>
      <c r="D334" s="6">
        <v>1000</v>
      </c>
      <c r="G334" s="13">
        <v>11.5</v>
      </c>
      <c r="H334" s="4" t="s">
        <v>783</v>
      </c>
      <c r="J334" t="s">
        <v>59</v>
      </c>
    </row>
    <row r="335" spans="1:10" x14ac:dyDescent="0.3">
      <c r="A335" t="s">
        <v>784</v>
      </c>
      <c r="B335" t="s">
        <v>785</v>
      </c>
      <c r="D335" s="6">
        <v>1000</v>
      </c>
      <c r="G335" s="13" t="s">
        <v>65</v>
      </c>
      <c r="H335" s="4" t="s">
        <v>783</v>
      </c>
      <c r="J335" t="s">
        <v>49</v>
      </c>
    </row>
    <row r="336" spans="1:10" x14ac:dyDescent="0.3">
      <c r="A336" t="s">
        <v>786</v>
      </c>
      <c r="B336" t="s">
        <v>787</v>
      </c>
      <c r="D336" s="6">
        <v>1000</v>
      </c>
      <c r="G336" s="13" t="s">
        <v>65</v>
      </c>
      <c r="H336" s="4" t="s">
        <v>788</v>
      </c>
      <c r="J336" t="s">
        <v>49</v>
      </c>
    </row>
    <row r="337" spans="1:10" x14ac:dyDescent="0.3">
      <c r="A337" t="s">
        <v>789</v>
      </c>
      <c r="B337" t="s">
        <v>790</v>
      </c>
      <c r="D337" s="6">
        <v>1000</v>
      </c>
      <c r="G337" s="13" t="s">
        <v>65</v>
      </c>
      <c r="H337" s="4" t="s">
        <v>791</v>
      </c>
      <c r="J337" t="s">
        <v>49</v>
      </c>
    </row>
    <row r="338" spans="1:10" x14ac:dyDescent="0.3">
      <c r="A338" t="s">
        <v>792</v>
      </c>
      <c r="B338" t="s">
        <v>793</v>
      </c>
      <c r="D338" s="6">
        <v>1000</v>
      </c>
      <c r="G338" s="13">
        <v>10.5</v>
      </c>
      <c r="H338" s="4" t="s">
        <v>791</v>
      </c>
      <c r="J338" t="s">
        <v>59</v>
      </c>
    </row>
    <row r="339" spans="1:10" x14ac:dyDescent="0.3">
      <c r="A339" t="s">
        <v>794</v>
      </c>
      <c r="B339" t="s">
        <v>795</v>
      </c>
      <c r="D339" s="6">
        <v>1000</v>
      </c>
      <c r="G339" s="13">
        <v>10.75</v>
      </c>
      <c r="H339" s="4" t="s">
        <v>796</v>
      </c>
      <c r="J339" t="s">
        <v>59</v>
      </c>
    </row>
    <row r="340" spans="1:10" x14ac:dyDescent="0.3">
      <c r="A340" t="s">
        <v>797</v>
      </c>
      <c r="B340" t="s">
        <v>798</v>
      </c>
      <c r="D340" s="6">
        <v>1000</v>
      </c>
      <c r="G340" s="13">
        <v>11.5</v>
      </c>
      <c r="H340" s="4" t="s">
        <v>799</v>
      </c>
      <c r="J340" t="s">
        <v>59</v>
      </c>
    </row>
    <row r="341" spans="1:10" x14ac:dyDescent="0.3">
      <c r="A341" t="s">
        <v>800</v>
      </c>
      <c r="B341" t="s">
        <v>801</v>
      </c>
      <c r="D341" s="6">
        <v>1000</v>
      </c>
      <c r="G341" s="13" t="s">
        <v>65</v>
      </c>
      <c r="H341" s="4" t="s">
        <v>796</v>
      </c>
      <c r="J341" t="s">
        <v>49</v>
      </c>
    </row>
    <row r="342" spans="1:10" x14ac:dyDescent="0.3">
      <c r="A342" t="s">
        <v>802</v>
      </c>
      <c r="B342" t="s">
        <v>803</v>
      </c>
      <c r="D342" s="6">
        <v>1000</v>
      </c>
      <c r="G342" s="13" t="s">
        <v>65</v>
      </c>
      <c r="H342" s="4" t="s">
        <v>804</v>
      </c>
      <c r="J342" t="s">
        <v>49</v>
      </c>
    </row>
    <row r="343" spans="1:10" x14ac:dyDescent="0.3">
      <c r="A343" t="s">
        <v>805</v>
      </c>
      <c r="B343" t="s">
        <v>806</v>
      </c>
      <c r="D343" s="6">
        <v>1000</v>
      </c>
      <c r="G343" s="13" t="s">
        <v>65</v>
      </c>
      <c r="H343" s="4" t="s">
        <v>561</v>
      </c>
      <c r="J343" t="s">
        <v>49</v>
      </c>
    </row>
    <row r="344" spans="1:10" x14ac:dyDescent="0.3">
      <c r="A344" t="s">
        <v>807</v>
      </c>
      <c r="B344" t="s">
        <v>808</v>
      </c>
      <c r="D344" s="6">
        <v>1000</v>
      </c>
      <c r="G344" s="13">
        <v>9.75</v>
      </c>
      <c r="H344" s="4" t="s">
        <v>561</v>
      </c>
      <c r="J344" t="s">
        <v>59</v>
      </c>
    </row>
    <row r="345" spans="1:10" x14ac:dyDescent="0.3">
      <c r="A345" t="s">
        <v>809</v>
      </c>
      <c r="B345" t="s">
        <v>810</v>
      </c>
      <c r="D345" s="6">
        <v>1000</v>
      </c>
      <c r="G345" s="13">
        <v>9</v>
      </c>
      <c r="H345" s="4" t="s">
        <v>811</v>
      </c>
      <c r="J345" t="s">
        <v>59</v>
      </c>
    </row>
    <row r="346" spans="1:10" x14ac:dyDescent="0.3">
      <c r="A346" t="s">
        <v>812</v>
      </c>
      <c r="B346" t="s">
        <v>813</v>
      </c>
      <c r="D346" s="6">
        <v>1000</v>
      </c>
      <c r="G346" s="13" t="s">
        <v>65</v>
      </c>
      <c r="H346" s="4" t="s">
        <v>811</v>
      </c>
      <c r="J346" t="s">
        <v>49</v>
      </c>
    </row>
    <row r="347" spans="1:10" x14ac:dyDescent="0.3">
      <c r="A347" t="s">
        <v>814</v>
      </c>
      <c r="B347" t="s">
        <v>815</v>
      </c>
      <c r="D347" s="6">
        <v>1000</v>
      </c>
      <c r="G347" s="13">
        <v>12</v>
      </c>
      <c r="H347" s="4" t="s">
        <v>816</v>
      </c>
      <c r="J347" t="s">
        <v>59</v>
      </c>
    </row>
    <row r="348" spans="1:10" x14ac:dyDescent="0.3">
      <c r="A348" t="s">
        <v>817</v>
      </c>
      <c r="B348" t="s">
        <v>818</v>
      </c>
      <c r="D348" s="6">
        <v>1000</v>
      </c>
      <c r="G348" s="13">
        <v>12</v>
      </c>
      <c r="H348" s="4" t="s">
        <v>816</v>
      </c>
      <c r="J348" t="s">
        <v>62</v>
      </c>
    </row>
    <row r="349" spans="1:10" x14ac:dyDescent="0.3">
      <c r="A349" t="s">
        <v>819</v>
      </c>
      <c r="B349" t="s">
        <v>820</v>
      </c>
      <c r="D349" s="6">
        <v>1000</v>
      </c>
      <c r="G349" s="13" t="s">
        <v>65</v>
      </c>
      <c r="H349" s="4" t="s">
        <v>821</v>
      </c>
      <c r="J349" t="s">
        <v>49</v>
      </c>
    </row>
    <row r="350" spans="1:10" x14ac:dyDescent="0.3">
      <c r="A350" t="s">
        <v>822</v>
      </c>
      <c r="B350" t="s">
        <v>823</v>
      </c>
      <c r="C350" t="s">
        <v>54</v>
      </c>
      <c r="D350" s="9">
        <v>300</v>
      </c>
      <c r="E350" t="s">
        <v>45</v>
      </c>
      <c r="F350" t="s">
        <v>45</v>
      </c>
      <c r="G350" s="14">
        <v>7.9</v>
      </c>
      <c r="H350" t="s">
        <v>824</v>
      </c>
      <c r="I350" t="s">
        <v>825</v>
      </c>
      <c r="J350" t="s">
        <v>52</v>
      </c>
    </row>
    <row r="351" spans="1:10" x14ac:dyDescent="0.3">
      <c r="A351" t="s">
        <v>822</v>
      </c>
      <c r="B351" t="s">
        <v>826</v>
      </c>
      <c r="D351">
        <v>300</v>
      </c>
      <c r="G351" s="13">
        <v>7.9</v>
      </c>
      <c r="H351" s="4" t="s">
        <v>827</v>
      </c>
      <c r="J351" t="s">
        <v>52</v>
      </c>
    </row>
    <row r="352" spans="1:10" x14ac:dyDescent="0.3">
      <c r="A352" t="s">
        <v>828</v>
      </c>
      <c r="B352" t="s">
        <v>823</v>
      </c>
      <c r="C352" t="s">
        <v>48</v>
      </c>
      <c r="D352" s="9">
        <v>300</v>
      </c>
      <c r="E352" t="s">
        <v>45</v>
      </c>
      <c r="F352" t="s">
        <v>45</v>
      </c>
      <c r="G352" s="14">
        <v>7.9</v>
      </c>
      <c r="H352" t="s">
        <v>829</v>
      </c>
      <c r="I352" t="s">
        <v>830</v>
      </c>
      <c r="J352" t="s">
        <v>52</v>
      </c>
    </row>
    <row r="353" spans="1:10" x14ac:dyDescent="0.3">
      <c r="A353" t="s">
        <v>828</v>
      </c>
      <c r="B353" t="s">
        <v>831</v>
      </c>
      <c r="D353">
        <v>300</v>
      </c>
      <c r="G353" s="13">
        <v>7.9</v>
      </c>
      <c r="H353" s="4" t="s">
        <v>832</v>
      </c>
      <c r="J353" t="s">
        <v>52</v>
      </c>
    </row>
    <row r="354" spans="1:10" x14ac:dyDescent="0.3">
      <c r="A354" t="s">
        <v>833</v>
      </c>
      <c r="B354" t="s">
        <v>823</v>
      </c>
      <c r="C354" t="s">
        <v>51</v>
      </c>
      <c r="D354" s="9">
        <v>400</v>
      </c>
      <c r="E354" t="s">
        <v>45</v>
      </c>
      <c r="F354" t="s">
        <v>45</v>
      </c>
      <c r="G354" s="14">
        <v>7.9</v>
      </c>
      <c r="H354" t="s">
        <v>834</v>
      </c>
      <c r="I354" t="s">
        <v>835</v>
      </c>
      <c r="J354" t="s">
        <v>52</v>
      </c>
    </row>
    <row r="355" spans="1:10" x14ac:dyDescent="0.3">
      <c r="A355" t="s">
        <v>833</v>
      </c>
      <c r="B355" t="s">
        <v>836</v>
      </c>
      <c r="D355">
        <v>400</v>
      </c>
      <c r="G355" s="13">
        <v>7.9</v>
      </c>
      <c r="H355" s="4" t="s">
        <v>837</v>
      </c>
      <c r="J355" t="s">
        <v>52</v>
      </c>
    </row>
    <row r="356" spans="1:10" x14ac:dyDescent="0.3">
      <c r="A356" t="s">
        <v>838</v>
      </c>
      <c r="B356" t="s">
        <v>839</v>
      </c>
      <c r="D356" s="6">
        <v>1000</v>
      </c>
      <c r="G356" s="13">
        <v>10.5</v>
      </c>
      <c r="H356" s="4" t="s">
        <v>840</v>
      </c>
      <c r="J356" t="s">
        <v>59</v>
      </c>
    </row>
    <row r="357" spans="1:10" x14ac:dyDescent="0.3">
      <c r="A357" t="s">
        <v>841</v>
      </c>
      <c r="B357" t="s">
        <v>842</v>
      </c>
      <c r="D357" s="6">
        <v>1000</v>
      </c>
      <c r="G357" s="13" t="s">
        <v>65</v>
      </c>
      <c r="H357" s="4" t="s">
        <v>843</v>
      </c>
      <c r="J357" t="s">
        <v>49</v>
      </c>
    </row>
    <row r="358" spans="1:10" x14ac:dyDescent="0.3">
      <c r="A358" t="s">
        <v>844</v>
      </c>
      <c r="B358" t="s">
        <v>845</v>
      </c>
      <c r="D358" s="6">
        <v>1000</v>
      </c>
      <c r="G358" s="13" t="s">
        <v>65</v>
      </c>
      <c r="H358" s="4" t="s">
        <v>846</v>
      </c>
      <c r="J358" t="s">
        <v>49</v>
      </c>
    </row>
    <row r="359" spans="1:10" x14ac:dyDescent="0.3">
      <c r="A359" t="s">
        <v>847</v>
      </c>
      <c r="B359" t="s">
        <v>848</v>
      </c>
      <c r="D359" s="6">
        <v>1000</v>
      </c>
      <c r="G359" s="13">
        <v>10.5</v>
      </c>
      <c r="H359" s="4" t="s">
        <v>143</v>
      </c>
      <c r="J359" t="s">
        <v>59</v>
      </c>
    </row>
    <row r="360" spans="1:10" x14ac:dyDescent="0.3">
      <c r="A360" t="s">
        <v>849</v>
      </c>
      <c r="B360" t="s">
        <v>850</v>
      </c>
      <c r="D360" s="6">
        <v>1000</v>
      </c>
      <c r="G360" s="13" t="s">
        <v>65</v>
      </c>
      <c r="H360" s="4" t="s">
        <v>851</v>
      </c>
      <c r="J360" t="s">
        <v>49</v>
      </c>
    </row>
    <row r="361" spans="1:10" x14ac:dyDescent="0.3">
      <c r="A361" t="s">
        <v>852</v>
      </c>
      <c r="B361" t="s">
        <v>853</v>
      </c>
      <c r="D361" s="6">
        <v>1000</v>
      </c>
      <c r="G361" s="13" t="s">
        <v>65</v>
      </c>
      <c r="H361" s="4" t="s">
        <v>854</v>
      </c>
      <c r="J361" t="s">
        <v>49</v>
      </c>
    </row>
    <row r="362" spans="1:10" x14ac:dyDescent="0.3">
      <c r="A362" t="s">
        <v>855</v>
      </c>
      <c r="B362" t="s">
        <v>856</v>
      </c>
      <c r="D362" s="6">
        <v>1000</v>
      </c>
      <c r="G362" s="13">
        <v>10.5</v>
      </c>
      <c r="H362" s="4" t="s">
        <v>857</v>
      </c>
      <c r="J362" t="s">
        <v>59</v>
      </c>
    </row>
    <row r="363" spans="1:10" x14ac:dyDescent="0.3">
      <c r="A363" t="s">
        <v>858</v>
      </c>
      <c r="B363" t="s">
        <v>859</v>
      </c>
      <c r="D363" s="6">
        <v>1000</v>
      </c>
      <c r="G363" s="13" t="s">
        <v>65</v>
      </c>
      <c r="H363" s="4" t="s">
        <v>860</v>
      </c>
      <c r="J363" t="s">
        <v>49</v>
      </c>
    </row>
    <row r="364" spans="1:10" x14ac:dyDescent="0.3">
      <c r="A364" t="s">
        <v>861</v>
      </c>
      <c r="B364" t="s">
        <v>862</v>
      </c>
      <c r="D364" s="6">
        <v>1000</v>
      </c>
      <c r="G364" s="13" t="s">
        <v>65</v>
      </c>
      <c r="H364" s="4" t="s">
        <v>863</v>
      </c>
      <c r="J364" t="s">
        <v>49</v>
      </c>
    </row>
    <row r="365" spans="1:10" x14ac:dyDescent="0.3">
      <c r="A365" t="s">
        <v>864</v>
      </c>
      <c r="B365" t="s">
        <v>865</v>
      </c>
      <c r="D365" s="6">
        <v>1000</v>
      </c>
      <c r="G365" s="13">
        <v>10.5</v>
      </c>
      <c r="H365" s="4" t="s">
        <v>866</v>
      </c>
      <c r="J365" t="s">
        <v>59</v>
      </c>
    </row>
    <row r="366" spans="1:10" x14ac:dyDescent="0.3">
      <c r="A366" t="s">
        <v>867</v>
      </c>
      <c r="B366" t="s">
        <v>868</v>
      </c>
      <c r="D366" s="6">
        <v>1000</v>
      </c>
      <c r="G366" s="13" t="s">
        <v>65</v>
      </c>
      <c r="H366" s="4" t="s">
        <v>869</v>
      </c>
      <c r="J366" t="s">
        <v>49</v>
      </c>
    </row>
    <row r="367" spans="1:10" x14ac:dyDescent="0.3">
      <c r="A367" t="s">
        <v>870</v>
      </c>
      <c r="B367" t="s">
        <v>871</v>
      </c>
      <c r="D367" s="6">
        <v>1000</v>
      </c>
      <c r="G367" s="13" t="s">
        <v>65</v>
      </c>
      <c r="H367" s="4" t="s">
        <v>872</v>
      </c>
      <c r="J367" t="s">
        <v>49</v>
      </c>
    </row>
    <row r="368" spans="1:10" x14ac:dyDescent="0.3">
      <c r="A368" t="s">
        <v>873</v>
      </c>
      <c r="B368" t="s">
        <v>874</v>
      </c>
      <c r="D368" s="6">
        <v>1000</v>
      </c>
      <c r="G368" s="13">
        <v>9.75</v>
      </c>
      <c r="H368" s="4" t="s">
        <v>534</v>
      </c>
      <c r="J368" t="s">
        <v>59</v>
      </c>
    </row>
    <row r="369" spans="1:10" x14ac:dyDescent="0.3">
      <c r="A369" t="s">
        <v>875</v>
      </c>
      <c r="B369" t="s">
        <v>876</v>
      </c>
      <c r="D369" s="6">
        <v>1000</v>
      </c>
      <c r="G369" s="13" t="s">
        <v>65</v>
      </c>
      <c r="H369" s="4" t="s">
        <v>877</v>
      </c>
      <c r="J369" t="s">
        <v>49</v>
      </c>
    </row>
    <row r="370" spans="1:10" x14ac:dyDescent="0.3">
      <c r="A370" t="s">
        <v>878</v>
      </c>
      <c r="B370" t="s">
        <v>879</v>
      </c>
      <c r="D370" s="6">
        <v>1000</v>
      </c>
      <c r="G370" s="13">
        <v>9.5</v>
      </c>
      <c r="H370" s="4" t="s">
        <v>172</v>
      </c>
      <c r="J370" t="s">
        <v>59</v>
      </c>
    </row>
    <row r="371" spans="1:10" x14ac:dyDescent="0.3">
      <c r="A371" t="s">
        <v>880</v>
      </c>
      <c r="B371" t="s">
        <v>881</v>
      </c>
      <c r="D371" s="6">
        <v>1000</v>
      </c>
      <c r="G371" s="13" t="s">
        <v>65</v>
      </c>
      <c r="H371" s="4" t="s">
        <v>882</v>
      </c>
      <c r="J371" t="s">
        <v>49</v>
      </c>
    </row>
    <row r="372" spans="1:10" x14ac:dyDescent="0.3">
      <c r="A372" t="s">
        <v>883</v>
      </c>
      <c r="B372" t="s">
        <v>884</v>
      </c>
      <c r="D372" s="6">
        <v>1000</v>
      </c>
      <c r="G372" s="13" t="s">
        <v>65</v>
      </c>
      <c r="H372" s="4" t="s">
        <v>885</v>
      </c>
      <c r="J372" t="s">
        <v>49</v>
      </c>
    </row>
    <row r="373" spans="1:10" x14ac:dyDescent="0.3">
      <c r="A373" t="s">
        <v>886</v>
      </c>
      <c r="B373" t="s">
        <v>887</v>
      </c>
      <c r="D373" s="6">
        <v>1000</v>
      </c>
      <c r="G373" s="13">
        <v>9.75</v>
      </c>
      <c r="H373" s="4" t="s">
        <v>140</v>
      </c>
      <c r="J373" t="s">
        <v>59</v>
      </c>
    </row>
    <row r="374" spans="1:10" x14ac:dyDescent="0.3">
      <c r="A374" t="s">
        <v>888</v>
      </c>
      <c r="B374" t="s">
        <v>889</v>
      </c>
      <c r="D374" s="6">
        <v>1000</v>
      </c>
      <c r="G374" s="13" t="s">
        <v>65</v>
      </c>
      <c r="H374" s="4" t="s">
        <v>890</v>
      </c>
      <c r="J374" t="s">
        <v>49</v>
      </c>
    </row>
    <row r="375" spans="1:10" x14ac:dyDescent="0.3">
      <c r="A375" t="s">
        <v>891</v>
      </c>
      <c r="B375" t="s">
        <v>892</v>
      </c>
      <c r="D375" s="6">
        <v>1000</v>
      </c>
      <c r="G375" s="13" t="s">
        <v>65</v>
      </c>
      <c r="H375" s="4" t="s">
        <v>893</v>
      </c>
      <c r="J375" t="s">
        <v>49</v>
      </c>
    </row>
    <row r="376" spans="1:10" x14ac:dyDescent="0.3">
      <c r="A376" t="s">
        <v>894</v>
      </c>
      <c r="B376" t="s">
        <v>895</v>
      </c>
      <c r="D376" s="6">
        <v>1000</v>
      </c>
      <c r="G376" s="13">
        <v>9.5</v>
      </c>
      <c r="H376" s="4" t="s">
        <v>896</v>
      </c>
      <c r="J376" t="s">
        <v>59</v>
      </c>
    </row>
    <row r="377" spans="1:10" x14ac:dyDescent="0.3">
      <c r="A377" t="s">
        <v>897</v>
      </c>
      <c r="B377" t="s">
        <v>898</v>
      </c>
      <c r="D377" s="6">
        <v>1000</v>
      </c>
      <c r="G377" s="13" t="s">
        <v>65</v>
      </c>
      <c r="H377" s="4" t="s">
        <v>899</v>
      </c>
      <c r="J377" t="s">
        <v>49</v>
      </c>
    </row>
    <row r="378" spans="1:10" x14ac:dyDescent="0.3">
      <c r="A378" t="s">
        <v>900</v>
      </c>
      <c r="B378" t="s">
        <v>901</v>
      </c>
      <c r="D378" s="6">
        <v>1000</v>
      </c>
      <c r="G378" s="13">
        <v>10.25</v>
      </c>
      <c r="H378" s="4" t="s">
        <v>902</v>
      </c>
      <c r="J378" t="s">
        <v>59</v>
      </c>
    </row>
    <row r="379" spans="1:10" x14ac:dyDescent="0.3">
      <c r="A379" t="s">
        <v>903</v>
      </c>
      <c r="B379" t="s">
        <v>904</v>
      </c>
      <c r="D379" s="6">
        <v>1000</v>
      </c>
      <c r="G379" s="13" t="s">
        <v>65</v>
      </c>
      <c r="H379" s="4" t="s">
        <v>905</v>
      </c>
      <c r="J379" t="s">
        <v>49</v>
      </c>
    </row>
    <row r="380" spans="1:10" x14ac:dyDescent="0.3">
      <c r="A380" t="s">
        <v>906</v>
      </c>
      <c r="B380" t="s">
        <v>907</v>
      </c>
      <c r="D380" s="6">
        <v>1000</v>
      </c>
      <c r="G380" s="13">
        <v>10.25</v>
      </c>
      <c r="H380" s="4" t="s">
        <v>908</v>
      </c>
      <c r="J380" t="s">
        <v>59</v>
      </c>
    </row>
    <row r="381" spans="1:10" x14ac:dyDescent="0.3">
      <c r="A381" t="s">
        <v>909</v>
      </c>
      <c r="B381" t="s">
        <v>910</v>
      </c>
      <c r="D381" s="6">
        <v>1000</v>
      </c>
      <c r="G381" s="13" t="s">
        <v>65</v>
      </c>
      <c r="H381" s="4" t="s">
        <v>911</v>
      </c>
      <c r="J381" t="s">
        <v>49</v>
      </c>
    </row>
    <row r="382" spans="1:10" x14ac:dyDescent="0.3">
      <c r="A382" t="s">
        <v>912</v>
      </c>
      <c r="B382" t="s">
        <v>913</v>
      </c>
      <c r="D382" s="6">
        <v>1000</v>
      </c>
      <c r="G382" s="13">
        <v>10</v>
      </c>
      <c r="H382" s="4" t="s">
        <v>914</v>
      </c>
      <c r="J382" t="s">
        <v>59</v>
      </c>
    </row>
    <row r="383" spans="1:10" x14ac:dyDescent="0.3">
      <c r="A383" t="s">
        <v>915</v>
      </c>
      <c r="B383" t="s">
        <v>916</v>
      </c>
      <c r="D383" s="6">
        <v>1000</v>
      </c>
      <c r="G383" s="13" t="s">
        <v>65</v>
      </c>
      <c r="H383" s="4" t="s">
        <v>917</v>
      </c>
      <c r="J383" t="s">
        <v>49</v>
      </c>
    </row>
    <row r="384" spans="1:10" x14ac:dyDescent="0.3">
      <c r="A384" t="s">
        <v>918</v>
      </c>
      <c r="B384" t="s">
        <v>919</v>
      </c>
      <c r="D384" s="6">
        <v>1000</v>
      </c>
      <c r="G384" s="13">
        <v>10.199999999999999</v>
      </c>
      <c r="H384" s="4" t="s">
        <v>251</v>
      </c>
      <c r="J384" t="s">
        <v>62</v>
      </c>
    </row>
    <row r="385" spans="1:10" x14ac:dyDescent="0.3">
      <c r="A385" t="s">
        <v>920</v>
      </c>
      <c r="B385" t="s">
        <v>921</v>
      </c>
      <c r="D385" s="6">
        <v>1000</v>
      </c>
      <c r="G385" s="13">
        <v>10</v>
      </c>
      <c r="H385" s="4" t="s">
        <v>245</v>
      </c>
      <c r="J385" t="s">
        <v>62</v>
      </c>
    </row>
    <row r="386" spans="1:10" x14ac:dyDescent="0.3">
      <c r="A386" t="s">
        <v>922</v>
      </c>
      <c r="B386" t="s">
        <v>923</v>
      </c>
      <c r="D386" s="6">
        <v>1000</v>
      </c>
      <c r="G386" s="13" t="s">
        <v>65</v>
      </c>
      <c r="H386" s="4" t="s">
        <v>245</v>
      </c>
      <c r="J386" t="s">
        <v>46</v>
      </c>
    </row>
    <row r="387" spans="1:10" x14ac:dyDescent="0.3">
      <c r="A387" t="s">
        <v>924</v>
      </c>
      <c r="B387" t="s">
        <v>925</v>
      </c>
      <c r="D387" s="6">
        <v>1000</v>
      </c>
      <c r="G387" s="13">
        <v>9.94</v>
      </c>
      <c r="H387" s="4" t="s">
        <v>254</v>
      </c>
      <c r="J387" t="s">
        <v>72</v>
      </c>
    </row>
    <row r="388" spans="1:10" x14ac:dyDescent="0.3">
      <c r="A388" t="s">
        <v>926</v>
      </c>
      <c r="B388" t="s">
        <v>927</v>
      </c>
      <c r="D388" s="6">
        <v>1000</v>
      </c>
      <c r="G388" s="13" t="s">
        <v>65</v>
      </c>
      <c r="H388" s="4" t="s">
        <v>251</v>
      </c>
      <c r="J388" t="s">
        <v>46</v>
      </c>
    </row>
    <row r="389" spans="1:10" x14ac:dyDescent="0.3">
      <c r="A389" t="s">
        <v>928</v>
      </c>
      <c r="B389" t="s">
        <v>929</v>
      </c>
      <c r="D389" s="6">
        <v>1000</v>
      </c>
      <c r="G389" s="13">
        <v>10.4</v>
      </c>
      <c r="H389" s="4" t="s">
        <v>254</v>
      </c>
      <c r="J389" t="s">
        <v>62</v>
      </c>
    </row>
    <row r="390" spans="1:10" x14ac:dyDescent="0.3">
      <c r="A390" t="s">
        <v>930</v>
      </c>
      <c r="B390" t="s">
        <v>931</v>
      </c>
      <c r="C390" t="s">
        <v>48</v>
      </c>
      <c r="D390" s="9">
        <v>1000</v>
      </c>
      <c r="E390" t="s">
        <v>932</v>
      </c>
      <c r="F390" t="s">
        <v>442</v>
      </c>
      <c r="G390" s="14">
        <v>8.3000000000000007</v>
      </c>
      <c r="H390" t="s">
        <v>933</v>
      </c>
      <c r="I390" t="s">
        <v>934</v>
      </c>
      <c r="J390" t="s">
        <v>62</v>
      </c>
    </row>
    <row r="391" spans="1:10" x14ac:dyDescent="0.3">
      <c r="A391" t="s">
        <v>930</v>
      </c>
      <c r="B391" t="s">
        <v>935</v>
      </c>
      <c r="D391" s="6">
        <v>1000</v>
      </c>
      <c r="G391" s="13">
        <v>8.3000000000000007</v>
      </c>
      <c r="H391" s="4" t="s">
        <v>933</v>
      </c>
      <c r="J391" t="s">
        <v>62</v>
      </c>
    </row>
    <row r="392" spans="1:10" x14ac:dyDescent="0.3">
      <c r="A392" t="s">
        <v>930</v>
      </c>
      <c r="B392" t="s">
        <v>935</v>
      </c>
      <c r="D392" s="6">
        <v>1000</v>
      </c>
      <c r="G392" s="13">
        <v>8.3000000000000007</v>
      </c>
      <c r="H392" s="4" t="s">
        <v>933</v>
      </c>
      <c r="J392" t="s">
        <v>62</v>
      </c>
    </row>
    <row r="393" spans="1:10" x14ac:dyDescent="0.3">
      <c r="A393" t="s">
        <v>936</v>
      </c>
      <c r="B393" t="s">
        <v>931</v>
      </c>
      <c r="C393" t="s">
        <v>340</v>
      </c>
      <c r="D393" s="9">
        <v>1000</v>
      </c>
      <c r="E393" t="s">
        <v>937</v>
      </c>
      <c r="F393" t="s">
        <v>651</v>
      </c>
      <c r="G393" s="8">
        <v>0</v>
      </c>
      <c r="H393" t="s">
        <v>938</v>
      </c>
      <c r="I393" t="s">
        <v>936</v>
      </c>
      <c r="J393" t="s">
        <v>62</v>
      </c>
    </row>
    <row r="394" spans="1:10" x14ac:dyDescent="0.3">
      <c r="A394" t="s">
        <v>936</v>
      </c>
      <c r="B394" t="s">
        <v>939</v>
      </c>
      <c r="D394" s="6">
        <v>1000</v>
      </c>
      <c r="G394" s="13" t="s">
        <v>65</v>
      </c>
      <c r="H394" s="4" t="s">
        <v>938</v>
      </c>
      <c r="J394" t="s">
        <v>49</v>
      </c>
    </row>
    <row r="395" spans="1:10" x14ac:dyDescent="0.3">
      <c r="A395" t="s">
        <v>936</v>
      </c>
      <c r="B395" t="s">
        <v>939</v>
      </c>
      <c r="D395" s="6">
        <v>1000</v>
      </c>
      <c r="G395" s="13" t="s">
        <v>65</v>
      </c>
      <c r="H395" s="4" t="s">
        <v>938</v>
      </c>
      <c r="J395" t="s">
        <v>49</v>
      </c>
    </row>
    <row r="396" spans="1:10" x14ac:dyDescent="0.3">
      <c r="A396" t="s">
        <v>940</v>
      </c>
      <c r="B396" t="s">
        <v>931</v>
      </c>
      <c r="C396" t="s">
        <v>275</v>
      </c>
      <c r="D396" s="9">
        <v>1000</v>
      </c>
      <c r="E396" t="s">
        <v>941</v>
      </c>
      <c r="F396" t="s">
        <v>942</v>
      </c>
      <c r="G396" s="14">
        <v>8.4</v>
      </c>
      <c r="H396" t="s">
        <v>938</v>
      </c>
      <c r="I396" t="s">
        <v>943</v>
      </c>
      <c r="J396" t="s">
        <v>62</v>
      </c>
    </row>
    <row r="397" spans="1:10" x14ac:dyDescent="0.3">
      <c r="A397" t="s">
        <v>940</v>
      </c>
      <c r="B397" t="s">
        <v>944</v>
      </c>
      <c r="D397" s="6">
        <v>1000</v>
      </c>
      <c r="G397" s="13">
        <v>8.4</v>
      </c>
      <c r="H397" s="4" t="s">
        <v>938</v>
      </c>
      <c r="J397" t="s">
        <v>62</v>
      </c>
    </row>
    <row r="398" spans="1:10" x14ac:dyDescent="0.3">
      <c r="A398" t="s">
        <v>940</v>
      </c>
      <c r="B398" t="s">
        <v>944</v>
      </c>
      <c r="D398" s="6">
        <v>1000</v>
      </c>
      <c r="G398" s="7">
        <v>8.4</v>
      </c>
      <c r="H398" s="4" t="s">
        <v>938</v>
      </c>
      <c r="J398" t="s">
        <v>62</v>
      </c>
    </row>
    <row r="399" spans="1:10" x14ac:dyDescent="0.3">
      <c r="A399" t="s">
        <v>945</v>
      </c>
      <c r="B399" t="s">
        <v>931</v>
      </c>
      <c r="C399" t="s">
        <v>51</v>
      </c>
      <c r="D399" s="9">
        <v>1000</v>
      </c>
      <c r="E399" t="s">
        <v>946</v>
      </c>
      <c r="F399" t="s">
        <v>947</v>
      </c>
      <c r="G399" s="12">
        <v>0</v>
      </c>
      <c r="H399" t="s">
        <v>933</v>
      </c>
      <c r="I399" t="s">
        <v>945</v>
      </c>
      <c r="J399" t="s">
        <v>62</v>
      </c>
    </row>
    <row r="400" spans="1:10" x14ac:dyDescent="0.3">
      <c r="A400" t="s">
        <v>945</v>
      </c>
      <c r="B400" t="s">
        <v>948</v>
      </c>
      <c r="D400" s="6">
        <v>1000</v>
      </c>
      <c r="G400" s="7" t="s">
        <v>65</v>
      </c>
      <c r="H400" s="4" t="s">
        <v>933</v>
      </c>
      <c r="I400" s="14"/>
      <c r="J400" t="s">
        <v>49</v>
      </c>
    </row>
    <row r="401" spans="1:10" x14ac:dyDescent="0.3">
      <c r="A401" t="s">
        <v>945</v>
      </c>
      <c r="B401" t="s">
        <v>948</v>
      </c>
      <c r="D401" s="6">
        <v>1000</v>
      </c>
      <c r="G401" s="7" t="s">
        <v>65</v>
      </c>
      <c r="H401" s="4" t="s">
        <v>933</v>
      </c>
      <c r="J401" t="s">
        <v>49</v>
      </c>
    </row>
    <row r="402" spans="1:10" x14ac:dyDescent="0.3">
      <c r="A402" t="s">
        <v>949</v>
      </c>
      <c r="B402" t="s">
        <v>931</v>
      </c>
      <c r="C402" t="s">
        <v>54</v>
      </c>
      <c r="D402" s="9">
        <v>1000</v>
      </c>
      <c r="E402" t="s">
        <v>950</v>
      </c>
      <c r="F402" t="s">
        <v>277</v>
      </c>
      <c r="G402" s="12">
        <v>0</v>
      </c>
      <c r="H402" t="s">
        <v>951</v>
      </c>
      <c r="I402" t="s">
        <v>949</v>
      </c>
      <c r="J402" t="s">
        <v>55</v>
      </c>
    </row>
    <row r="403" spans="1:10" x14ac:dyDescent="0.3">
      <c r="A403" t="s">
        <v>949</v>
      </c>
      <c r="B403" t="s">
        <v>952</v>
      </c>
      <c r="D403" s="6">
        <v>1000</v>
      </c>
      <c r="G403" s="7" t="s">
        <v>65</v>
      </c>
      <c r="H403" s="4" t="s">
        <v>951</v>
      </c>
      <c r="J403" t="s">
        <v>49</v>
      </c>
    </row>
    <row r="404" spans="1:10" x14ac:dyDescent="0.3">
      <c r="A404" t="s">
        <v>949</v>
      </c>
      <c r="B404" t="s">
        <v>952</v>
      </c>
      <c r="D404" s="6">
        <v>1000</v>
      </c>
      <c r="G404" s="7" t="s">
        <v>65</v>
      </c>
      <c r="H404" s="4" t="s">
        <v>951</v>
      </c>
      <c r="J404" t="s">
        <v>49</v>
      </c>
    </row>
    <row r="405" spans="1:10" x14ac:dyDescent="0.3">
      <c r="A405" t="s">
        <v>953</v>
      </c>
      <c r="B405" t="s">
        <v>931</v>
      </c>
      <c r="C405" t="s">
        <v>44</v>
      </c>
      <c r="D405" s="9">
        <v>1000</v>
      </c>
      <c r="E405" t="s">
        <v>45</v>
      </c>
      <c r="F405" t="s">
        <v>45</v>
      </c>
      <c r="G405">
        <v>8.25</v>
      </c>
      <c r="H405" t="s">
        <v>951</v>
      </c>
      <c r="I405" t="s">
        <v>954</v>
      </c>
      <c r="J405" t="s">
        <v>62</v>
      </c>
    </row>
    <row r="406" spans="1:10" x14ac:dyDescent="0.3">
      <c r="A406" t="s">
        <v>953</v>
      </c>
      <c r="B406" t="s">
        <v>955</v>
      </c>
      <c r="D406" s="6">
        <v>1000</v>
      </c>
      <c r="G406" s="7">
        <v>8.25</v>
      </c>
      <c r="H406" s="4" t="s">
        <v>951</v>
      </c>
      <c r="J406" t="s">
        <v>62</v>
      </c>
    </row>
    <row r="407" spans="1:10" x14ac:dyDescent="0.3">
      <c r="A407" t="s">
        <v>953</v>
      </c>
      <c r="B407" t="s">
        <v>955</v>
      </c>
      <c r="D407" s="6">
        <v>1000</v>
      </c>
      <c r="G407" s="7">
        <v>8.25</v>
      </c>
      <c r="H407" s="4" t="s">
        <v>951</v>
      </c>
      <c r="J407" t="s">
        <v>62</v>
      </c>
    </row>
    <row r="408" spans="1:10" x14ac:dyDescent="0.3">
      <c r="A408" t="s">
        <v>956</v>
      </c>
      <c r="B408" t="s">
        <v>931</v>
      </c>
      <c r="C408" t="s">
        <v>288</v>
      </c>
      <c r="D408" s="9">
        <v>1000</v>
      </c>
      <c r="E408" t="s">
        <v>45</v>
      </c>
      <c r="F408" t="s">
        <v>45</v>
      </c>
      <c r="G408" s="12">
        <v>0</v>
      </c>
      <c r="H408" t="s">
        <v>957</v>
      </c>
      <c r="I408" t="s">
        <v>956</v>
      </c>
      <c r="J408" t="s">
        <v>49</v>
      </c>
    </row>
    <row r="409" spans="1:10" x14ac:dyDescent="0.3">
      <c r="A409" t="s">
        <v>956</v>
      </c>
      <c r="B409" t="s">
        <v>958</v>
      </c>
      <c r="D409" s="6">
        <v>1000</v>
      </c>
      <c r="G409" s="7" t="s">
        <v>65</v>
      </c>
      <c r="H409" s="4" t="s">
        <v>957</v>
      </c>
      <c r="J409" t="s">
        <v>49</v>
      </c>
    </row>
    <row r="410" spans="1:10" x14ac:dyDescent="0.3">
      <c r="A410" t="s">
        <v>956</v>
      </c>
      <c r="B410" t="s">
        <v>958</v>
      </c>
      <c r="D410" s="6">
        <v>1000</v>
      </c>
      <c r="G410" s="7" t="s">
        <v>65</v>
      </c>
      <c r="H410" s="4" t="s">
        <v>957</v>
      </c>
      <c r="J410" t="s">
        <v>49</v>
      </c>
    </row>
    <row r="411" spans="1:10" x14ac:dyDescent="0.3">
      <c r="A411" t="s">
        <v>959</v>
      </c>
      <c r="B411" t="s">
        <v>931</v>
      </c>
      <c r="C411" t="s">
        <v>292</v>
      </c>
      <c r="D411" s="9">
        <v>1000</v>
      </c>
      <c r="E411" t="s">
        <v>960</v>
      </c>
      <c r="F411" t="s">
        <v>961</v>
      </c>
      <c r="G411">
        <v>8.4</v>
      </c>
      <c r="H411" t="s">
        <v>962</v>
      </c>
      <c r="I411" t="s">
        <v>963</v>
      </c>
      <c r="J411" t="s">
        <v>62</v>
      </c>
    </row>
    <row r="412" spans="1:10" x14ac:dyDescent="0.3">
      <c r="A412" t="s">
        <v>959</v>
      </c>
      <c r="B412" t="s">
        <v>964</v>
      </c>
      <c r="D412" s="6">
        <v>1000</v>
      </c>
      <c r="G412" s="7">
        <v>8.4</v>
      </c>
      <c r="H412" s="4" t="s">
        <v>962</v>
      </c>
      <c r="J412" t="s">
        <v>62</v>
      </c>
    </row>
    <row r="413" spans="1:10" x14ac:dyDescent="0.3">
      <c r="A413" t="s">
        <v>959</v>
      </c>
      <c r="B413" t="s">
        <v>964</v>
      </c>
      <c r="D413" s="6">
        <v>1000</v>
      </c>
      <c r="G413" s="7">
        <v>8.4</v>
      </c>
      <c r="H413" s="4" t="s">
        <v>962</v>
      </c>
      <c r="J413" t="s">
        <v>62</v>
      </c>
    </row>
    <row r="414" spans="1:10" x14ac:dyDescent="0.3">
      <c r="A414" t="s">
        <v>965</v>
      </c>
      <c r="B414" t="s">
        <v>931</v>
      </c>
      <c r="C414" t="s">
        <v>415</v>
      </c>
      <c r="D414" s="9">
        <v>1000</v>
      </c>
      <c r="E414" t="s">
        <v>45</v>
      </c>
      <c r="F414" t="s">
        <v>45</v>
      </c>
      <c r="G414">
        <v>8.3000000000000007</v>
      </c>
      <c r="H414" t="s">
        <v>957</v>
      </c>
      <c r="I414" t="s">
        <v>966</v>
      </c>
      <c r="J414" t="s">
        <v>62</v>
      </c>
    </row>
    <row r="415" spans="1:10" x14ac:dyDescent="0.3">
      <c r="A415" t="s">
        <v>965</v>
      </c>
      <c r="B415" t="s">
        <v>967</v>
      </c>
      <c r="D415" s="6">
        <v>1000</v>
      </c>
      <c r="G415" s="7">
        <v>8.3000000000000007</v>
      </c>
      <c r="H415" s="4" t="s">
        <v>957</v>
      </c>
      <c r="J415" t="s">
        <v>62</v>
      </c>
    </row>
    <row r="416" spans="1:10" x14ac:dyDescent="0.3">
      <c r="A416" t="s">
        <v>965</v>
      </c>
      <c r="B416" t="s">
        <v>967</v>
      </c>
      <c r="D416" s="6">
        <v>1000</v>
      </c>
      <c r="G416" s="7">
        <v>8.3000000000000007</v>
      </c>
      <c r="H416" s="4" t="s">
        <v>957</v>
      </c>
      <c r="J416" t="s">
        <v>62</v>
      </c>
    </row>
    <row r="417" spans="1:10" x14ac:dyDescent="0.3">
      <c r="A417" t="s">
        <v>968</v>
      </c>
      <c r="B417" t="s">
        <v>931</v>
      </c>
      <c r="C417" t="s">
        <v>384</v>
      </c>
      <c r="D417" s="9">
        <v>1000</v>
      </c>
      <c r="E417" t="s">
        <v>969</v>
      </c>
      <c r="F417" t="s">
        <v>970</v>
      </c>
      <c r="G417" s="12">
        <v>0</v>
      </c>
      <c r="H417" t="s">
        <v>971</v>
      </c>
      <c r="I417" t="s">
        <v>968</v>
      </c>
      <c r="J417" t="s">
        <v>59</v>
      </c>
    </row>
    <row r="418" spans="1:10" x14ac:dyDescent="0.3">
      <c r="A418" t="s">
        <v>968</v>
      </c>
      <c r="B418" t="s">
        <v>972</v>
      </c>
      <c r="D418" s="6">
        <v>1000</v>
      </c>
      <c r="G418" s="7" t="s">
        <v>65</v>
      </c>
      <c r="H418" s="4" t="s">
        <v>971</v>
      </c>
      <c r="J418" t="s">
        <v>49</v>
      </c>
    </row>
    <row r="419" spans="1:10" x14ac:dyDescent="0.3">
      <c r="A419" t="s">
        <v>968</v>
      </c>
      <c r="B419" t="s">
        <v>972</v>
      </c>
      <c r="D419" s="6">
        <v>1000</v>
      </c>
      <c r="G419" s="7" t="s">
        <v>65</v>
      </c>
      <c r="H419" s="4" t="s">
        <v>971</v>
      </c>
      <c r="J419" t="s">
        <v>49</v>
      </c>
    </row>
    <row r="420" spans="1:10" x14ac:dyDescent="0.3">
      <c r="A420" t="s">
        <v>973</v>
      </c>
      <c r="B420" t="s">
        <v>931</v>
      </c>
      <c r="C420" t="s">
        <v>281</v>
      </c>
      <c r="D420" s="9">
        <v>1000</v>
      </c>
      <c r="E420" t="s">
        <v>974</v>
      </c>
      <c r="F420" t="s">
        <v>975</v>
      </c>
      <c r="G420">
        <v>8.25</v>
      </c>
      <c r="H420" t="s">
        <v>971</v>
      </c>
      <c r="I420" t="s">
        <v>976</v>
      </c>
      <c r="J420" t="s">
        <v>62</v>
      </c>
    </row>
    <row r="421" spans="1:10" x14ac:dyDescent="0.3">
      <c r="A421" t="s">
        <v>973</v>
      </c>
      <c r="B421" t="s">
        <v>977</v>
      </c>
      <c r="D421" s="6">
        <v>1000</v>
      </c>
      <c r="G421" s="7">
        <v>8.25</v>
      </c>
      <c r="H421" s="4" t="s">
        <v>971</v>
      </c>
      <c r="J421" t="s">
        <v>62</v>
      </c>
    </row>
    <row r="422" spans="1:10" x14ac:dyDescent="0.3">
      <c r="A422" t="s">
        <v>973</v>
      </c>
      <c r="B422" t="s">
        <v>977</v>
      </c>
      <c r="D422" s="6">
        <v>1000</v>
      </c>
      <c r="G422" s="7">
        <v>8.25</v>
      </c>
      <c r="H422" s="4" t="s">
        <v>971</v>
      </c>
      <c r="J422" t="s">
        <v>62</v>
      </c>
    </row>
    <row r="423" spans="1:10" x14ac:dyDescent="0.3">
      <c r="A423" t="s">
        <v>978</v>
      </c>
      <c r="B423" t="s">
        <v>931</v>
      </c>
      <c r="C423" t="s">
        <v>389</v>
      </c>
      <c r="D423" s="9">
        <v>1000</v>
      </c>
      <c r="E423" t="s">
        <v>45</v>
      </c>
      <c r="F423" t="s">
        <v>45</v>
      </c>
      <c r="G423" s="12">
        <v>0</v>
      </c>
      <c r="H423" t="s">
        <v>962</v>
      </c>
      <c r="I423" t="s">
        <v>978</v>
      </c>
      <c r="J423" t="s">
        <v>361</v>
      </c>
    </row>
    <row r="424" spans="1:10" x14ac:dyDescent="0.3">
      <c r="A424" t="s">
        <v>978</v>
      </c>
      <c r="B424" t="s">
        <v>979</v>
      </c>
      <c r="D424" s="6">
        <v>1000</v>
      </c>
      <c r="G424" s="7" t="s">
        <v>65</v>
      </c>
      <c r="H424" s="4" t="s">
        <v>962</v>
      </c>
      <c r="J424" t="s">
        <v>49</v>
      </c>
    </row>
    <row r="425" spans="1:10" x14ac:dyDescent="0.3">
      <c r="A425" t="s">
        <v>978</v>
      </c>
      <c r="B425" t="s">
        <v>979</v>
      </c>
      <c r="D425" s="6">
        <v>1000</v>
      </c>
      <c r="G425" s="7" t="s">
        <v>65</v>
      </c>
      <c r="H425" s="4" t="s">
        <v>962</v>
      </c>
      <c r="J425" t="s">
        <v>49</v>
      </c>
    </row>
    <row r="426" spans="1:10" x14ac:dyDescent="0.3">
      <c r="A426" t="s">
        <v>980</v>
      </c>
      <c r="B426" t="s">
        <v>931</v>
      </c>
      <c r="C426" t="s">
        <v>297</v>
      </c>
      <c r="D426" s="9">
        <v>1000</v>
      </c>
      <c r="E426" t="s">
        <v>981</v>
      </c>
      <c r="F426" t="s">
        <v>662</v>
      </c>
      <c r="G426">
        <v>8.4</v>
      </c>
      <c r="H426" t="s">
        <v>982</v>
      </c>
      <c r="I426" t="s">
        <v>983</v>
      </c>
      <c r="J426" t="s">
        <v>62</v>
      </c>
    </row>
    <row r="427" spans="1:10" x14ac:dyDescent="0.3">
      <c r="A427" t="s">
        <v>980</v>
      </c>
      <c r="B427" t="s">
        <v>984</v>
      </c>
      <c r="D427" s="6">
        <v>1000</v>
      </c>
      <c r="G427" s="7">
        <v>8.4</v>
      </c>
      <c r="H427" s="4" t="s">
        <v>982</v>
      </c>
      <c r="J427" t="s">
        <v>62</v>
      </c>
    </row>
    <row r="428" spans="1:10" x14ac:dyDescent="0.3">
      <c r="A428" t="s">
        <v>980</v>
      </c>
      <c r="B428" t="s">
        <v>984</v>
      </c>
      <c r="D428" s="6">
        <v>1000</v>
      </c>
      <c r="G428" s="7">
        <v>8.4</v>
      </c>
      <c r="H428" s="4" t="s">
        <v>982</v>
      </c>
      <c r="J428" t="s">
        <v>62</v>
      </c>
    </row>
    <row r="429" spans="1:10" x14ac:dyDescent="0.3">
      <c r="A429" t="s">
        <v>985</v>
      </c>
      <c r="B429" t="s">
        <v>931</v>
      </c>
      <c r="C429" t="s">
        <v>309</v>
      </c>
      <c r="D429" s="9">
        <v>1000</v>
      </c>
      <c r="E429" t="s">
        <v>986</v>
      </c>
      <c r="F429" t="s">
        <v>987</v>
      </c>
      <c r="G429" s="12">
        <v>0</v>
      </c>
      <c r="H429" t="s">
        <v>988</v>
      </c>
      <c r="I429" t="s">
        <v>985</v>
      </c>
      <c r="J429" t="s">
        <v>361</v>
      </c>
    </row>
    <row r="430" spans="1:10" x14ac:dyDescent="0.3">
      <c r="A430" t="s">
        <v>985</v>
      </c>
      <c r="B430" t="s">
        <v>989</v>
      </c>
      <c r="D430" s="6">
        <v>1000</v>
      </c>
      <c r="G430" s="7" t="s">
        <v>65</v>
      </c>
      <c r="H430" s="4" t="s">
        <v>988</v>
      </c>
      <c r="J430" t="s">
        <v>49</v>
      </c>
    </row>
    <row r="431" spans="1:10" x14ac:dyDescent="0.3">
      <c r="A431" t="s">
        <v>985</v>
      </c>
      <c r="B431" t="s">
        <v>989</v>
      </c>
      <c r="D431" s="6">
        <v>1000</v>
      </c>
      <c r="G431" s="7" t="s">
        <v>65</v>
      </c>
      <c r="H431" s="4" t="s">
        <v>988</v>
      </c>
      <c r="J431" t="s">
        <v>49</v>
      </c>
    </row>
    <row r="432" spans="1:10" x14ac:dyDescent="0.3">
      <c r="A432" t="s">
        <v>990</v>
      </c>
      <c r="B432" t="s">
        <v>931</v>
      </c>
      <c r="C432" t="s">
        <v>302</v>
      </c>
      <c r="D432" s="9">
        <v>1000</v>
      </c>
      <c r="E432" t="s">
        <v>45</v>
      </c>
      <c r="F432" t="s">
        <v>45</v>
      </c>
      <c r="G432" s="12">
        <v>0</v>
      </c>
      <c r="H432" t="s">
        <v>982</v>
      </c>
      <c r="I432" t="s">
        <v>990</v>
      </c>
      <c r="J432" t="s">
        <v>361</v>
      </c>
    </row>
    <row r="433" spans="1:10" x14ac:dyDescent="0.3">
      <c r="A433" t="s">
        <v>990</v>
      </c>
      <c r="B433" t="s">
        <v>991</v>
      </c>
      <c r="D433" s="6">
        <v>1000</v>
      </c>
      <c r="G433" s="7" t="s">
        <v>65</v>
      </c>
      <c r="H433" s="4" t="s">
        <v>982</v>
      </c>
      <c r="J433" t="s">
        <v>49</v>
      </c>
    </row>
    <row r="434" spans="1:10" x14ac:dyDescent="0.3">
      <c r="A434" t="s">
        <v>990</v>
      </c>
      <c r="B434" t="s">
        <v>991</v>
      </c>
      <c r="D434" s="6">
        <v>1000</v>
      </c>
      <c r="G434" s="7" t="s">
        <v>65</v>
      </c>
      <c r="H434" s="4" t="s">
        <v>982</v>
      </c>
      <c r="J434" t="s">
        <v>49</v>
      </c>
    </row>
    <row r="435" spans="1:10" x14ac:dyDescent="0.3">
      <c r="A435" t="s">
        <v>992</v>
      </c>
      <c r="B435" t="s">
        <v>931</v>
      </c>
      <c r="C435" t="s">
        <v>617</v>
      </c>
      <c r="D435" s="9">
        <v>1000</v>
      </c>
      <c r="E435" t="s">
        <v>986</v>
      </c>
      <c r="F435" t="s">
        <v>993</v>
      </c>
      <c r="G435">
        <v>8.6</v>
      </c>
      <c r="H435" t="s">
        <v>994</v>
      </c>
      <c r="I435" t="s">
        <v>995</v>
      </c>
      <c r="J435" t="s">
        <v>62</v>
      </c>
    </row>
    <row r="436" spans="1:10" x14ac:dyDescent="0.3">
      <c r="A436" t="s">
        <v>992</v>
      </c>
      <c r="B436" t="s">
        <v>996</v>
      </c>
      <c r="D436" s="6">
        <v>1000</v>
      </c>
      <c r="G436" s="7">
        <v>8.6</v>
      </c>
      <c r="H436" s="4" t="s">
        <v>994</v>
      </c>
      <c r="J436" t="s">
        <v>62</v>
      </c>
    </row>
    <row r="437" spans="1:10" x14ac:dyDescent="0.3">
      <c r="A437" t="s">
        <v>992</v>
      </c>
      <c r="B437" t="s">
        <v>996</v>
      </c>
      <c r="D437" s="6">
        <v>1000</v>
      </c>
      <c r="G437" s="7">
        <v>8.6</v>
      </c>
      <c r="H437" s="4" t="s">
        <v>994</v>
      </c>
      <c r="J437" t="s">
        <v>62</v>
      </c>
    </row>
    <row r="438" spans="1:10" x14ac:dyDescent="0.3">
      <c r="A438" t="s">
        <v>997</v>
      </c>
      <c r="B438" t="s">
        <v>931</v>
      </c>
      <c r="C438" t="s">
        <v>330</v>
      </c>
      <c r="D438" s="9">
        <v>1000</v>
      </c>
      <c r="E438" t="s">
        <v>986</v>
      </c>
      <c r="F438" t="s">
        <v>998</v>
      </c>
      <c r="G438" s="12">
        <v>0</v>
      </c>
      <c r="H438" t="s">
        <v>994</v>
      </c>
      <c r="I438" t="s">
        <v>997</v>
      </c>
      <c r="J438" t="s">
        <v>62</v>
      </c>
    </row>
    <row r="439" spans="1:10" x14ac:dyDescent="0.3">
      <c r="A439" t="s">
        <v>997</v>
      </c>
      <c r="B439" t="s">
        <v>999</v>
      </c>
      <c r="D439" s="6">
        <v>1000</v>
      </c>
      <c r="G439" s="7" t="s">
        <v>65</v>
      </c>
      <c r="H439" s="4" t="s">
        <v>994</v>
      </c>
      <c r="J439" t="s">
        <v>49</v>
      </c>
    </row>
    <row r="440" spans="1:10" x14ac:dyDescent="0.3">
      <c r="A440" t="s">
        <v>997</v>
      </c>
      <c r="B440" t="s">
        <v>999</v>
      </c>
      <c r="D440" s="6">
        <v>1000</v>
      </c>
      <c r="G440" s="7" t="s">
        <v>65</v>
      </c>
      <c r="H440" s="4" t="s">
        <v>994</v>
      </c>
      <c r="J440" t="s">
        <v>49</v>
      </c>
    </row>
    <row r="441" spans="1:10" x14ac:dyDescent="0.3">
      <c r="A441" t="s">
        <v>1000</v>
      </c>
      <c r="B441" t="s">
        <v>931</v>
      </c>
      <c r="C441" t="s">
        <v>605</v>
      </c>
      <c r="D441" s="9">
        <v>1000</v>
      </c>
      <c r="E441" t="s">
        <v>950</v>
      </c>
      <c r="F441" t="s">
        <v>947</v>
      </c>
      <c r="G441">
        <v>8.5</v>
      </c>
      <c r="H441" t="s">
        <v>988</v>
      </c>
      <c r="I441" t="s">
        <v>1001</v>
      </c>
      <c r="J441" t="s">
        <v>62</v>
      </c>
    </row>
    <row r="442" spans="1:10" x14ac:dyDescent="0.3">
      <c r="A442" t="s">
        <v>1000</v>
      </c>
      <c r="B442" t="s">
        <v>1002</v>
      </c>
      <c r="D442" s="6">
        <v>1000</v>
      </c>
      <c r="G442" s="7">
        <v>8.5</v>
      </c>
      <c r="H442" s="4" t="s">
        <v>988</v>
      </c>
      <c r="J442" t="s">
        <v>62</v>
      </c>
    </row>
    <row r="443" spans="1:10" x14ac:dyDescent="0.3">
      <c r="A443" t="s">
        <v>1000</v>
      </c>
      <c r="B443" t="s">
        <v>1002</v>
      </c>
      <c r="D443" s="6">
        <v>1000</v>
      </c>
      <c r="G443" s="7">
        <v>8.5</v>
      </c>
      <c r="H443" s="4" t="s">
        <v>988</v>
      </c>
      <c r="J443" t="s">
        <v>62</v>
      </c>
    </row>
    <row r="444" spans="1:10" x14ac:dyDescent="0.3">
      <c r="A444" t="s">
        <v>1003</v>
      </c>
      <c r="B444" t="s">
        <v>931</v>
      </c>
      <c r="C444" t="s">
        <v>360</v>
      </c>
      <c r="D444" s="9">
        <v>1000</v>
      </c>
      <c r="E444" t="s">
        <v>1004</v>
      </c>
      <c r="F444" t="s">
        <v>947</v>
      </c>
      <c r="G444">
        <v>8.4499999999999993</v>
      </c>
      <c r="H444" t="s">
        <v>1005</v>
      </c>
      <c r="I444" t="s">
        <v>1006</v>
      </c>
      <c r="J444" t="s">
        <v>62</v>
      </c>
    </row>
    <row r="445" spans="1:10" x14ac:dyDescent="0.3">
      <c r="A445" t="s">
        <v>1003</v>
      </c>
      <c r="B445" t="s">
        <v>1007</v>
      </c>
      <c r="D445" s="6">
        <v>1000</v>
      </c>
      <c r="G445" s="7">
        <v>8.4500000000000011</v>
      </c>
      <c r="H445" s="4" t="s">
        <v>1005</v>
      </c>
      <c r="J445" t="s">
        <v>62</v>
      </c>
    </row>
    <row r="446" spans="1:10" x14ac:dyDescent="0.3">
      <c r="A446" t="s">
        <v>1003</v>
      </c>
      <c r="B446" t="s">
        <v>1007</v>
      </c>
      <c r="D446" s="6">
        <v>1000</v>
      </c>
      <c r="G446" s="7">
        <v>8.4500000000000011</v>
      </c>
      <c r="H446" s="4" t="s">
        <v>1005</v>
      </c>
      <c r="J446" t="s">
        <v>62</v>
      </c>
    </row>
    <row r="447" spans="1:10" x14ac:dyDescent="0.3">
      <c r="A447" t="s">
        <v>1008</v>
      </c>
      <c r="B447" t="s">
        <v>931</v>
      </c>
      <c r="C447" t="s">
        <v>638</v>
      </c>
      <c r="D447" s="9">
        <v>1000</v>
      </c>
      <c r="E447" t="s">
        <v>45</v>
      </c>
      <c r="F447" t="s">
        <v>45</v>
      </c>
      <c r="G447" s="12">
        <v>0</v>
      </c>
      <c r="H447" t="s">
        <v>1005</v>
      </c>
      <c r="I447" t="s">
        <v>1008</v>
      </c>
      <c r="J447" t="s">
        <v>361</v>
      </c>
    </row>
    <row r="448" spans="1:10" x14ac:dyDescent="0.3">
      <c r="A448" t="s">
        <v>1008</v>
      </c>
      <c r="B448" t="s">
        <v>1009</v>
      </c>
      <c r="D448" s="6">
        <v>1000</v>
      </c>
      <c r="G448" s="7" t="s">
        <v>65</v>
      </c>
      <c r="H448" s="4" t="s">
        <v>1005</v>
      </c>
      <c r="J448" t="s">
        <v>49</v>
      </c>
    </row>
    <row r="449" spans="1:10" x14ac:dyDescent="0.3">
      <c r="A449" t="s">
        <v>1008</v>
      </c>
      <c r="B449" t="s">
        <v>1009</v>
      </c>
      <c r="D449" s="6">
        <v>1000</v>
      </c>
      <c r="G449" s="7" t="s">
        <v>65</v>
      </c>
      <c r="H449" s="4" t="s">
        <v>1005</v>
      </c>
      <c r="J449" t="s">
        <v>49</v>
      </c>
    </row>
    <row r="450" spans="1:10" x14ac:dyDescent="0.3">
      <c r="A450" t="s">
        <v>1010</v>
      </c>
      <c r="B450" t="s">
        <v>1011</v>
      </c>
      <c r="D450" s="6">
        <v>1000</v>
      </c>
      <c r="G450" s="7" t="s">
        <v>65</v>
      </c>
      <c r="H450" s="4" t="s">
        <v>1012</v>
      </c>
      <c r="J450" t="s">
        <v>49</v>
      </c>
    </row>
    <row r="451" spans="1:10" x14ac:dyDescent="0.3">
      <c r="A451" t="s">
        <v>1010</v>
      </c>
      <c r="B451" t="s">
        <v>1011</v>
      </c>
      <c r="D451" s="6">
        <v>1000</v>
      </c>
      <c r="G451" s="7" t="s">
        <v>65</v>
      </c>
      <c r="H451" s="4" t="s">
        <v>1012</v>
      </c>
      <c r="J451" t="s">
        <v>49</v>
      </c>
    </row>
    <row r="452" spans="1:10" x14ac:dyDescent="0.3">
      <c r="A452" t="s">
        <v>1013</v>
      </c>
      <c r="B452" t="s">
        <v>931</v>
      </c>
      <c r="C452" t="s">
        <v>366</v>
      </c>
      <c r="D452" s="9">
        <v>1000</v>
      </c>
      <c r="E452" t="s">
        <v>1014</v>
      </c>
      <c r="F452" t="s">
        <v>651</v>
      </c>
      <c r="G452">
        <v>8.5</v>
      </c>
      <c r="H452" t="s">
        <v>1012</v>
      </c>
      <c r="I452" t="s">
        <v>1001</v>
      </c>
      <c r="J452" t="s">
        <v>62</v>
      </c>
    </row>
    <row r="453" spans="1:10" x14ac:dyDescent="0.3">
      <c r="A453" t="s">
        <v>1013</v>
      </c>
      <c r="B453" t="s">
        <v>1015</v>
      </c>
      <c r="D453" s="6">
        <v>1000</v>
      </c>
      <c r="G453" s="7">
        <v>8.5</v>
      </c>
      <c r="H453" s="4" t="s">
        <v>1012</v>
      </c>
      <c r="J453" t="s">
        <v>62</v>
      </c>
    </row>
    <row r="454" spans="1:10" x14ac:dyDescent="0.3">
      <c r="A454" t="s">
        <v>1013</v>
      </c>
      <c r="B454" t="s">
        <v>1015</v>
      </c>
      <c r="D454" s="6">
        <v>1000</v>
      </c>
      <c r="G454" s="7">
        <v>8.5</v>
      </c>
      <c r="H454" s="4" t="s">
        <v>1012</v>
      </c>
      <c r="J454" t="s">
        <v>62</v>
      </c>
    </row>
    <row r="455" spans="1:10" x14ac:dyDescent="0.3">
      <c r="A455" t="s">
        <v>1016</v>
      </c>
      <c r="B455" t="s">
        <v>931</v>
      </c>
      <c r="C455" t="s">
        <v>660</v>
      </c>
      <c r="D455" s="9">
        <v>1000</v>
      </c>
      <c r="E455" t="s">
        <v>45</v>
      </c>
      <c r="F455" t="s">
        <v>45</v>
      </c>
      <c r="G455" s="12">
        <v>0</v>
      </c>
      <c r="H455" t="s">
        <v>1017</v>
      </c>
      <c r="I455" t="s">
        <v>1016</v>
      </c>
      <c r="J455" t="s">
        <v>62</v>
      </c>
    </row>
    <row r="456" spans="1:10" x14ac:dyDescent="0.3">
      <c r="A456" t="s">
        <v>1016</v>
      </c>
      <c r="B456" t="s">
        <v>1018</v>
      </c>
      <c r="D456" s="6">
        <v>1000</v>
      </c>
      <c r="G456" s="7" t="s">
        <v>65</v>
      </c>
      <c r="H456" s="4" t="s">
        <v>1017</v>
      </c>
      <c r="J456" t="s">
        <v>49</v>
      </c>
    </row>
    <row r="457" spans="1:10" x14ac:dyDescent="0.3">
      <c r="A457" t="s">
        <v>1016</v>
      </c>
      <c r="B457" t="s">
        <v>1018</v>
      </c>
      <c r="D457" s="6">
        <v>1000</v>
      </c>
      <c r="G457" s="7" t="s">
        <v>65</v>
      </c>
      <c r="H457" s="4" t="s">
        <v>1017</v>
      </c>
      <c r="J457" t="s">
        <v>49</v>
      </c>
    </row>
    <row r="458" spans="1:10" x14ac:dyDescent="0.3">
      <c r="A458" t="s">
        <v>1019</v>
      </c>
      <c r="B458" t="s">
        <v>931</v>
      </c>
      <c r="C458" t="s">
        <v>372</v>
      </c>
      <c r="D458" s="9">
        <v>1000</v>
      </c>
      <c r="E458" t="s">
        <v>45</v>
      </c>
      <c r="F458" t="s">
        <v>45</v>
      </c>
      <c r="G458">
        <v>8.6</v>
      </c>
      <c r="H458" t="s">
        <v>1017</v>
      </c>
      <c r="I458" t="s">
        <v>995</v>
      </c>
      <c r="J458" t="s">
        <v>62</v>
      </c>
    </row>
    <row r="459" spans="1:10" x14ac:dyDescent="0.3">
      <c r="A459" t="s">
        <v>1019</v>
      </c>
      <c r="B459" t="s">
        <v>1020</v>
      </c>
      <c r="D459" s="6">
        <v>1000</v>
      </c>
      <c r="G459" s="7">
        <v>8.6</v>
      </c>
      <c r="H459" s="4" t="s">
        <v>1017</v>
      </c>
      <c r="J459" t="s">
        <v>62</v>
      </c>
    </row>
    <row r="460" spans="1:10" x14ac:dyDescent="0.3">
      <c r="A460" t="s">
        <v>1019</v>
      </c>
      <c r="B460" t="s">
        <v>1020</v>
      </c>
      <c r="D460" s="6">
        <v>1000</v>
      </c>
      <c r="G460" s="7">
        <v>8.6</v>
      </c>
      <c r="H460" s="4" t="s">
        <v>1017</v>
      </c>
      <c r="J460" t="s">
        <v>62</v>
      </c>
    </row>
    <row r="461" spans="1:10" x14ac:dyDescent="0.3">
      <c r="A461" t="s">
        <v>1021</v>
      </c>
      <c r="B461" t="s">
        <v>1022</v>
      </c>
      <c r="C461" t="s">
        <v>340</v>
      </c>
      <c r="D461" s="9">
        <v>1000</v>
      </c>
      <c r="E461" t="s">
        <v>1023</v>
      </c>
      <c r="F461" t="s">
        <v>612</v>
      </c>
      <c r="G461" s="12">
        <v>8.3000000000000007</v>
      </c>
      <c r="H461" s="4">
        <v>46419</v>
      </c>
      <c r="I461" t="s">
        <v>45</v>
      </c>
      <c r="J461" t="s">
        <v>62</v>
      </c>
    </row>
    <row r="462" spans="1:10" x14ac:dyDescent="0.3">
      <c r="A462" t="s">
        <v>1021</v>
      </c>
      <c r="B462" t="s">
        <v>1024</v>
      </c>
      <c r="D462" s="6">
        <v>1000</v>
      </c>
      <c r="G462" s="7">
        <v>8.3000000000000007</v>
      </c>
      <c r="H462" s="4" t="s">
        <v>1025</v>
      </c>
      <c r="J462" t="s">
        <v>62</v>
      </c>
    </row>
    <row r="463" spans="1:10" x14ac:dyDescent="0.3">
      <c r="A463" t="s">
        <v>1026</v>
      </c>
      <c r="B463" t="s">
        <v>1022</v>
      </c>
      <c r="C463" t="s">
        <v>48</v>
      </c>
      <c r="D463" s="9" t="s">
        <v>45</v>
      </c>
      <c r="E463" t="s">
        <v>1027</v>
      </c>
      <c r="F463" t="s">
        <v>283</v>
      </c>
      <c r="G463" s="12">
        <v>0</v>
      </c>
      <c r="H463" t="s">
        <v>45</v>
      </c>
      <c r="I463" t="s">
        <v>1026</v>
      </c>
      <c r="J463" t="s">
        <v>49</v>
      </c>
    </row>
    <row r="464" spans="1:10" x14ac:dyDescent="0.3">
      <c r="A464" t="s">
        <v>1026</v>
      </c>
      <c r="B464" t="s">
        <v>1028</v>
      </c>
      <c r="D464" s="6">
        <v>1000</v>
      </c>
      <c r="G464" s="7">
        <v>7.3599999999999994</v>
      </c>
      <c r="H464" s="4" t="s">
        <v>1029</v>
      </c>
      <c r="J464" t="s">
        <v>62</v>
      </c>
    </row>
    <row r="465" spans="1:10" x14ac:dyDescent="0.3">
      <c r="A465" t="s">
        <v>1030</v>
      </c>
      <c r="B465" t="s">
        <v>1022</v>
      </c>
      <c r="C465" t="s">
        <v>384</v>
      </c>
      <c r="D465" s="9">
        <v>1000</v>
      </c>
      <c r="E465" t="s">
        <v>1031</v>
      </c>
      <c r="F465" t="s">
        <v>998</v>
      </c>
      <c r="G465" s="12">
        <v>8.67</v>
      </c>
      <c r="H465" s="4">
        <v>48899</v>
      </c>
      <c r="I465" t="s">
        <v>1030</v>
      </c>
      <c r="J465" t="s">
        <v>62</v>
      </c>
    </row>
    <row r="466" spans="1:10" x14ac:dyDescent="0.3">
      <c r="A466" t="s">
        <v>1030</v>
      </c>
      <c r="B466" t="s">
        <v>1032</v>
      </c>
      <c r="D466" s="6">
        <v>1000</v>
      </c>
      <c r="G466" s="7">
        <v>8.67</v>
      </c>
      <c r="H466" s="4" t="s">
        <v>1033</v>
      </c>
      <c r="J466" t="s">
        <v>62</v>
      </c>
    </row>
    <row r="467" spans="1:10" x14ac:dyDescent="0.3">
      <c r="A467" t="s">
        <v>1034</v>
      </c>
      <c r="B467" t="s">
        <v>1022</v>
      </c>
      <c r="C467" t="s">
        <v>415</v>
      </c>
      <c r="D467" s="9">
        <v>1000</v>
      </c>
      <c r="E467" t="s">
        <v>45</v>
      </c>
      <c r="F467" t="s">
        <v>45</v>
      </c>
      <c r="G467" s="12">
        <v>8.92</v>
      </c>
      <c r="H467" s="4">
        <v>48899</v>
      </c>
      <c r="I467" t="s">
        <v>1034</v>
      </c>
      <c r="J467" t="s">
        <v>62</v>
      </c>
    </row>
    <row r="468" spans="1:10" x14ac:dyDescent="0.3">
      <c r="A468" t="s">
        <v>1034</v>
      </c>
      <c r="B468" t="s">
        <v>1035</v>
      </c>
      <c r="D468" s="6">
        <v>1000</v>
      </c>
      <c r="G468" s="7">
        <v>8.92</v>
      </c>
      <c r="H468" s="4" t="s">
        <v>1033</v>
      </c>
      <c r="J468" t="s">
        <v>62</v>
      </c>
    </row>
    <row r="469" spans="1:10" x14ac:dyDescent="0.3">
      <c r="A469" t="s">
        <v>1036</v>
      </c>
      <c r="B469" t="s">
        <v>1022</v>
      </c>
      <c r="C469" t="s">
        <v>54</v>
      </c>
      <c r="D469" s="9" t="s">
        <v>45</v>
      </c>
      <c r="E469" t="s">
        <v>45</v>
      </c>
      <c r="F469" t="s">
        <v>45</v>
      </c>
      <c r="G469" s="12">
        <v>0</v>
      </c>
      <c r="H469" t="s">
        <v>45</v>
      </c>
      <c r="I469" t="s">
        <v>1036</v>
      </c>
      <c r="J469" t="s">
        <v>55</v>
      </c>
    </row>
    <row r="470" spans="1:10" x14ac:dyDescent="0.3">
      <c r="A470" t="s">
        <v>1036</v>
      </c>
      <c r="B470" t="s">
        <v>1037</v>
      </c>
      <c r="D470" s="6">
        <v>1000</v>
      </c>
      <c r="G470" s="7">
        <v>7.35</v>
      </c>
      <c r="H470" s="4" t="s">
        <v>1038</v>
      </c>
      <c r="J470" t="s">
        <v>62</v>
      </c>
    </row>
    <row r="471" spans="1:10" x14ac:dyDescent="0.3">
      <c r="A471" t="s">
        <v>1039</v>
      </c>
      <c r="B471" t="s">
        <v>1022</v>
      </c>
      <c r="C471" t="s">
        <v>51</v>
      </c>
      <c r="D471" s="9" t="s">
        <v>45</v>
      </c>
      <c r="E471" t="s">
        <v>45</v>
      </c>
      <c r="F471" t="s">
        <v>45</v>
      </c>
      <c r="G471" s="12">
        <v>0</v>
      </c>
      <c r="H471" t="s">
        <v>45</v>
      </c>
      <c r="I471" t="s">
        <v>45</v>
      </c>
      <c r="J471" t="s">
        <v>62</v>
      </c>
    </row>
    <row r="472" spans="1:10" x14ac:dyDescent="0.3">
      <c r="A472" t="s">
        <v>1039</v>
      </c>
      <c r="B472" t="s">
        <v>1040</v>
      </c>
      <c r="D472" s="6">
        <v>1000</v>
      </c>
      <c r="G472" s="7">
        <v>7.6</v>
      </c>
      <c r="H472" s="4" t="s">
        <v>1038</v>
      </c>
      <c r="J472" t="s">
        <v>62</v>
      </c>
    </row>
    <row r="473" spans="1:10" x14ac:dyDescent="0.3">
      <c r="A473" t="s">
        <v>1041</v>
      </c>
      <c r="B473" t="s">
        <v>1042</v>
      </c>
      <c r="D473" s="6">
        <v>1000</v>
      </c>
      <c r="G473" s="7">
        <v>5.65</v>
      </c>
      <c r="H473" s="11">
        <v>46044</v>
      </c>
      <c r="J473" t="s">
        <v>62</v>
      </c>
    </row>
    <row r="474" spans="1:10" x14ac:dyDescent="0.3">
      <c r="A474" t="s">
        <v>1043</v>
      </c>
      <c r="B474" t="s">
        <v>1044</v>
      </c>
      <c r="D474" s="6">
        <v>1000</v>
      </c>
      <c r="G474" s="7">
        <v>5.8000000000000007</v>
      </c>
      <c r="H474" s="4">
        <v>46044</v>
      </c>
      <c r="J474" t="s">
        <v>62</v>
      </c>
    </row>
    <row r="475" spans="1:10" x14ac:dyDescent="0.3">
      <c r="A475" t="s">
        <v>1045</v>
      </c>
      <c r="B475" t="s">
        <v>1046</v>
      </c>
      <c r="D475" s="6">
        <v>1000</v>
      </c>
      <c r="G475" s="7">
        <v>6.63</v>
      </c>
      <c r="H475" s="4" t="s">
        <v>1047</v>
      </c>
      <c r="J475" t="s">
        <v>1048</v>
      </c>
    </row>
    <row r="476" spans="1:10" x14ac:dyDescent="0.3">
      <c r="A476" t="s">
        <v>1049</v>
      </c>
      <c r="B476" t="s">
        <v>1050</v>
      </c>
      <c r="D476" s="6">
        <v>1000</v>
      </c>
      <c r="G476" s="7">
        <v>6.8199999999999994</v>
      </c>
      <c r="H476" s="4" t="s">
        <v>1047</v>
      </c>
      <c r="J476" t="s">
        <v>1048</v>
      </c>
    </row>
    <row r="477" spans="1:10" x14ac:dyDescent="0.3">
      <c r="A477" t="s">
        <v>1051</v>
      </c>
      <c r="B477" t="s">
        <v>1052</v>
      </c>
      <c r="D477" s="6">
        <v>1000</v>
      </c>
      <c r="G477" s="7">
        <v>6.8000000000000007</v>
      </c>
      <c r="H477" s="4" t="s">
        <v>1047</v>
      </c>
      <c r="J477" t="s">
        <v>62</v>
      </c>
    </row>
    <row r="478" spans="1:10" x14ac:dyDescent="0.3">
      <c r="A478" t="s">
        <v>1053</v>
      </c>
      <c r="B478" t="s">
        <v>1054</v>
      </c>
      <c r="D478" s="6">
        <v>1000</v>
      </c>
      <c r="G478" s="7">
        <v>7.0000000000000009</v>
      </c>
      <c r="H478" s="4" t="s">
        <v>1047</v>
      </c>
      <c r="J478" t="s">
        <v>62</v>
      </c>
    </row>
    <row r="479" spans="1:10" x14ac:dyDescent="0.3">
      <c r="A479" t="s">
        <v>1055</v>
      </c>
      <c r="B479" t="s">
        <v>1056</v>
      </c>
      <c r="D479" s="6">
        <v>1000</v>
      </c>
      <c r="G479" s="7">
        <v>6.58</v>
      </c>
      <c r="H479" s="4" t="s">
        <v>1047</v>
      </c>
      <c r="J479" t="s">
        <v>62</v>
      </c>
    </row>
    <row r="480" spans="1:10" x14ac:dyDescent="0.3">
      <c r="A480" t="s">
        <v>1057</v>
      </c>
      <c r="B480" t="s">
        <v>1058</v>
      </c>
      <c r="D480" s="6">
        <v>1000</v>
      </c>
      <c r="G480" s="7">
        <v>6.83</v>
      </c>
      <c r="H480" s="4" t="s">
        <v>1047</v>
      </c>
      <c r="J480" t="s">
        <v>62</v>
      </c>
    </row>
    <row r="481" spans="1:10" x14ac:dyDescent="0.3">
      <c r="A481" t="s">
        <v>1059</v>
      </c>
      <c r="B481" t="s">
        <v>1060</v>
      </c>
      <c r="D481" s="6">
        <v>1000</v>
      </c>
      <c r="G481" s="7">
        <v>6.78</v>
      </c>
      <c r="H481" s="4" t="s">
        <v>1061</v>
      </c>
      <c r="J481" t="s">
        <v>1048</v>
      </c>
    </row>
    <row r="482" spans="1:10" x14ac:dyDescent="0.3">
      <c r="A482" t="s">
        <v>1062</v>
      </c>
      <c r="B482" t="s">
        <v>1063</v>
      </c>
      <c r="D482" s="6">
        <v>1000</v>
      </c>
      <c r="G482" s="7">
        <v>6.97</v>
      </c>
      <c r="H482" s="4" t="s">
        <v>1061</v>
      </c>
      <c r="J482" t="s">
        <v>1048</v>
      </c>
    </row>
    <row r="483" spans="1:10" x14ac:dyDescent="0.3">
      <c r="A483" t="s">
        <v>1064</v>
      </c>
      <c r="B483" t="s">
        <v>1065</v>
      </c>
      <c r="D483" s="6">
        <v>1000</v>
      </c>
      <c r="G483" s="7">
        <v>6.9500000000000011</v>
      </c>
      <c r="H483" s="4" t="s">
        <v>1061</v>
      </c>
      <c r="J483" t="s">
        <v>62</v>
      </c>
    </row>
    <row r="484" spans="1:10" x14ac:dyDescent="0.3">
      <c r="A484" t="s">
        <v>1066</v>
      </c>
      <c r="B484" t="s">
        <v>1067</v>
      </c>
      <c r="D484" s="6">
        <v>1000</v>
      </c>
      <c r="G484" s="7">
        <v>7.1499999999999995</v>
      </c>
      <c r="H484" s="4" t="s">
        <v>1061</v>
      </c>
      <c r="J484" t="s">
        <v>62</v>
      </c>
    </row>
    <row r="485" spans="1:10" x14ac:dyDescent="0.3">
      <c r="A485" t="s">
        <v>1068</v>
      </c>
      <c r="B485" t="s">
        <v>1069</v>
      </c>
      <c r="D485" s="6">
        <v>1000</v>
      </c>
      <c r="G485" s="7">
        <v>7.5</v>
      </c>
      <c r="H485" s="4" t="s">
        <v>1070</v>
      </c>
      <c r="J485" t="s">
        <v>62</v>
      </c>
    </row>
    <row r="486" spans="1:10" x14ac:dyDescent="0.3">
      <c r="A486" t="s">
        <v>1071</v>
      </c>
      <c r="B486" t="s">
        <v>1072</v>
      </c>
      <c r="D486" s="6">
        <v>1000</v>
      </c>
      <c r="G486" s="7">
        <v>7.4499999999999993</v>
      </c>
      <c r="H486" s="4" t="s">
        <v>1070</v>
      </c>
      <c r="J486" t="s">
        <v>62</v>
      </c>
    </row>
    <row r="487" spans="1:10" x14ac:dyDescent="0.3">
      <c r="A487" t="s">
        <v>1073</v>
      </c>
      <c r="B487" t="s">
        <v>1074</v>
      </c>
      <c r="D487" s="6">
        <v>1000</v>
      </c>
      <c r="G487" s="7">
        <v>7.53</v>
      </c>
      <c r="H487" s="4" t="s">
        <v>1075</v>
      </c>
      <c r="J487" t="s">
        <v>62</v>
      </c>
    </row>
    <row r="488" spans="1:10" x14ac:dyDescent="0.3">
      <c r="A488" t="s">
        <v>1076</v>
      </c>
      <c r="B488" t="s">
        <v>1077</v>
      </c>
      <c r="D488" s="6">
        <v>1000</v>
      </c>
      <c r="G488" s="7">
        <v>7.4700000000000006</v>
      </c>
      <c r="H488" s="4" t="s">
        <v>1075</v>
      </c>
      <c r="J488" t="s">
        <v>62</v>
      </c>
    </row>
    <row r="489" spans="1:10" x14ac:dyDescent="0.3">
      <c r="A489" t="s">
        <v>1078</v>
      </c>
      <c r="B489" t="s">
        <v>1079</v>
      </c>
      <c r="D489" s="6">
        <v>1000</v>
      </c>
      <c r="G489" s="7">
        <v>7.5</v>
      </c>
      <c r="H489" s="4" t="s">
        <v>1080</v>
      </c>
      <c r="J489" t="s">
        <v>62</v>
      </c>
    </row>
    <row r="490" spans="1:10" x14ac:dyDescent="0.3">
      <c r="A490" t="s">
        <v>1081</v>
      </c>
      <c r="B490" t="s">
        <v>1082</v>
      </c>
      <c r="D490" s="6">
        <v>1000</v>
      </c>
      <c r="G490" s="7">
        <v>7.55</v>
      </c>
      <c r="H490" s="4" t="s">
        <v>1080</v>
      </c>
      <c r="J490" t="s">
        <v>62</v>
      </c>
    </row>
    <row r="491" spans="1:10" x14ac:dyDescent="0.3">
      <c r="A491" t="s">
        <v>1083</v>
      </c>
      <c r="B491" t="s">
        <v>1084</v>
      </c>
      <c r="C491" t="s">
        <v>54</v>
      </c>
      <c r="D491" s="9">
        <v>1000</v>
      </c>
      <c r="E491" t="s">
        <v>1085</v>
      </c>
      <c r="F491" t="s">
        <v>662</v>
      </c>
      <c r="G491">
        <v>9.0500000000000007</v>
      </c>
      <c r="H491" t="s">
        <v>1086</v>
      </c>
      <c r="I491" t="s">
        <v>1087</v>
      </c>
      <c r="J491" t="s">
        <v>62</v>
      </c>
    </row>
    <row r="492" spans="1:10" x14ac:dyDescent="0.3">
      <c r="A492" t="s">
        <v>1083</v>
      </c>
      <c r="B492" t="s">
        <v>1088</v>
      </c>
      <c r="D492" s="6">
        <v>1000</v>
      </c>
      <c r="G492" s="7">
        <v>9.0499999999999989</v>
      </c>
      <c r="H492" s="4" t="s">
        <v>1086</v>
      </c>
      <c r="J492" t="s">
        <v>101</v>
      </c>
    </row>
    <row r="493" spans="1:10" x14ac:dyDescent="0.3">
      <c r="A493" t="s">
        <v>1083</v>
      </c>
      <c r="B493" t="s">
        <v>1088</v>
      </c>
      <c r="D493" s="6">
        <v>1000</v>
      </c>
      <c r="G493" s="7">
        <v>9.0499999999999989</v>
      </c>
      <c r="H493" s="4" t="s">
        <v>1086</v>
      </c>
      <c r="J493" t="s">
        <v>101</v>
      </c>
    </row>
    <row r="494" spans="1:10" x14ac:dyDescent="0.3">
      <c r="A494" t="s">
        <v>1089</v>
      </c>
      <c r="B494" t="s">
        <v>1084</v>
      </c>
      <c r="C494" t="s">
        <v>44</v>
      </c>
      <c r="D494" s="9">
        <v>1000</v>
      </c>
      <c r="E494" t="s">
        <v>1090</v>
      </c>
      <c r="F494" t="s">
        <v>311</v>
      </c>
      <c r="G494">
        <v>9</v>
      </c>
      <c r="H494" t="s">
        <v>1091</v>
      </c>
      <c r="I494" t="s">
        <v>1092</v>
      </c>
      <c r="J494" t="s">
        <v>62</v>
      </c>
    </row>
    <row r="495" spans="1:10" x14ac:dyDescent="0.3">
      <c r="A495" t="s">
        <v>1089</v>
      </c>
      <c r="B495" t="s">
        <v>1093</v>
      </c>
      <c r="D495" s="6">
        <v>1000</v>
      </c>
      <c r="G495" s="7">
        <v>9</v>
      </c>
      <c r="H495" s="4" t="s">
        <v>1091</v>
      </c>
      <c r="J495" t="s">
        <v>101</v>
      </c>
    </row>
    <row r="496" spans="1:10" x14ac:dyDescent="0.3">
      <c r="A496" t="s">
        <v>1089</v>
      </c>
      <c r="B496" t="s">
        <v>1093</v>
      </c>
      <c r="D496" s="6">
        <v>1000</v>
      </c>
      <c r="G496" s="7">
        <v>9</v>
      </c>
      <c r="H496" s="4" t="s">
        <v>1091</v>
      </c>
      <c r="J496" t="s">
        <v>101</v>
      </c>
    </row>
    <row r="497" spans="1:10" x14ac:dyDescent="0.3">
      <c r="A497" t="s">
        <v>1094</v>
      </c>
      <c r="B497" t="s">
        <v>1084</v>
      </c>
      <c r="C497" t="s">
        <v>48</v>
      </c>
      <c r="D497" s="9">
        <v>1000</v>
      </c>
      <c r="E497" t="s">
        <v>1095</v>
      </c>
      <c r="F497" t="s">
        <v>332</v>
      </c>
      <c r="G497">
        <v>9.1999999999999993</v>
      </c>
      <c r="H497" t="s">
        <v>1096</v>
      </c>
      <c r="I497" t="s">
        <v>1097</v>
      </c>
      <c r="J497" t="s">
        <v>62</v>
      </c>
    </row>
    <row r="498" spans="1:10" x14ac:dyDescent="0.3">
      <c r="A498" t="s">
        <v>1094</v>
      </c>
      <c r="B498" t="s">
        <v>1098</v>
      </c>
      <c r="D498" s="6">
        <v>1000</v>
      </c>
      <c r="G498" s="7">
        <v>9.1999999999999993</v>
      </c>
      <c r="H498" s="4" t="s">
        <v>1096</v>
      </c>
      <c r="J498" t="s">
        <v>101</v>
      </c>
    </row>
    <row r="499" spans="1:10" x14ac:dyDescent="0.3">
      <c r="A499" t="s">
        <v>1094</v>
      </c>
      <c r="B499" t="s">
        <v>1098</v>
      </c>
      <c r="D499" s="6">
        <v>1000</v>
      </c>
      <c r="G499" s="7">
        <v>9.1999999999999993</v>
      </c>
      <c r="H499" s="4" t="s">
        <v>1096</v>
      </c>
      <c r="J499" t="s">
        <v>101</v>
      </c>
    </row>
    <row r="500" spans="1:10" x14ac:dyDescent="0.3">
      <c r="A500" t="s">
        <v>1099</v>
      </c>
      <c r="B500" t="s">
        <v>1084</v>
      </c>
      <c r="C500" t="s">
        <v>51</v>
      </c>
      <c r="D500" s="9">
        <v>1000</v>
      </c>
      <c r="E500" t="s">
        <v>986</v>
      </c>
      <c r="F500" t="s">
        <v>311</v>
      </c>
      <c r="G500">
        <v>9.35</v>
      </c>
      <c r="H500" t="s">
        <v>1100</v>
      </c>
      <c r="I500" t="s">
        <v>1101</v>
      </c>
      <c r="J500" t="s">
        <v>62</v>
      </c>
    </row>
    <row r="501" spans="1:10" x14ac:dyDescent="0.3">
      <c r="A501" t="s">
        <v>1099</v>
      </c>
      <c r="B501" t="s">
        <v>1102</v>
      </c>
      <c r="D501" s="6">
        <v>1000</v>
      </c>
      <c r="G501" s="7">
        <v>9.35</v>
      </c>
      <c r="H501" s="4" t="s">
        <v>1100</v>
      </c>
      <c r="J501" t="s">
        <v>101</v>
      </c>
    </row>
    <row r="502" spans="1:10" x14ac:dyDescent="0.3">
      <c r="A502" t="s">
        <v>1099</v>
      </c>
      <c r="B502" t="s">
        <v>1102</v>
      </c>
      <c r="D502" s="6">
        <v>1000</v>
      </c>
      <c r="G502" s="7">
        <v>9.35</v>
      </c>
      <c r="H502" s="4" t="s">
        <v>1100</v>
      </c>
      <c r="J502" t="s">
        <v>101</v>
      </c>
    </row>
    <row r="503" spans="1:10" x14ac:dyDescent="0.3">
      <c r="A503" t="s">
        <v>1103</v>
      </c>
      <c r="B503" t="s">
        <v>1104</v>
      </c>
      <c r="C503" t="s">
        <v>415</v>
      </c>
      <c r="D503" s="9">
        <v>1000</v>
      </c>
      <c r="E503" t="s">
        <v>1105</v>
      </c>
      <c r="F503" t="s">
        <v>1106</v>
      </c>
      <c r="G503">
        <v>8.65</v>
      </c>
      <c r="H503" t="s">
        <v>1107</v>
      </c>
      <c r="I503" t="s">
        <v>1108</v>
      </c>
      <c r="J503" t="s">
        <v>59</v>
      </c>
    </row>
    <row r="504" spans="1:10" x14ac:dyDescent="0.3">
      <c r="A504" t="s">
        <v>1103</v>
      </c>
      <c r="B504" t="s">
        <v>1109</v>
      </c>
      <c r="D504" s="6">
        <v>1000</v>
      </c>
      <c r="G504" s="7">
        <v>8.6499999999999986</v>
      </c>
      <c r="H504" s="4" t="s">
        <v>1107</v>
      </c>
      <c r="J504" t="s">
        <v>59</v>
      </c>
    </row>
    <row r="505" spans="1:10" x14ac:dyDescent="0.3">
      <c r="A505" t="s">
        <v>1103</v>
      </c>
      <c r="B505" t="s">
        <v>1109</v>
      </c>
      <c r="D505" s="6">
        <v>1000</v>
      </c>
      <c r="G505" s="7">
        <v>8.6499999999999986</v>
      </c>
      <c r="H505" s="4" t="s">
        <v>1107</v>
      </c>
      <c r="J505" t="s">
        <v>59</v>
      </c>
    </row>
    <row r="506" spans="1:10" x14ac:dyDescent="0.3">
      <c r="A506" t="s">
        <v>1110</v>
      </c>
      <c r="B506" t="s">
        <v>1104</v>
      </c>
      <c r="C506" t="s">
        <v>288</v>
      </c>
      <c r="D506" s="9">
        <v>1000</v>
      </c>
      <c r="E506" t="s">
        <v>1111</v>
      </c>
      <c r="F506" t="s">
        <v>651</v>
      </c>
      <c r="G506">
        <v>8.85</v>
      </c>
      <c r="H506" t="s">
        <v>1107</v>
      </c>
      <c r="I506" t="s">
        <v>1112</v>
      </c>
      <c r="J506" t="s">
        <v>62</v>
      </c>
    </row>
    <row r="507" spans="1:10" x14ac:dyDescent="0.3">
      <c r="A507" t="s">
        <v>1110</v>
      </c>
      <c r="B507" t="s">
        <v>1113</v>
      </c>
      <c r="D507" s="6">
        <v>1000</v>
      </c>
      <c r="G507" s="7">
        <v>8.85</v>
      </c>
      <c r="H507" s="4" t="s">
        <v>1107</v>
      </c>
      <c r="J507" t="s">
        <v>62</v>
      </c>
    </row>
    <row r="508" spans="1:10" x14ac:dyDescent="0.3">
      <c r="A508" t="s">
        <v>1110</v>
      </c>
      <c r="B508" t="s">
        <v>1113</v>
      </c>
      <c r="D508" s="6">
        <v>1000</v>
      </c>
      <c r="G508" s="7">
        <v>8.85</v>
      </c>
      <c r="H508" s="4" t="s">
        <v>1107</v>
      </c>
      <c r="J508" t="s">
        <v>62</v>
      </c>
    </row>
    <row r="509" spans="1:10" x14ac:dyDescent="0.3">
      <c r="A509" t="s">
        <v>1114</v>
      </c>
      <c r="B509" t="s">
        <v>1104</v>
      </c>
      <c r="C509" t="s">
        <v>292</v>
      </c>
      <c r="D509" s="9">
        <v>1000</v>
      </c>
      <c r="E509" t="s">
        <v>1115</v>
      </c>
      <c r="F509" t="s">
        <v>1116</v>
      </c>
      <c r="G509">
        <v>9</v>
      </c>
      <c r="H509" t="s">
        <v>1107</v>
      </c>
      <c r="I509" t="s">
        <v>1117</v>
      </c>
      <c r="J509" t="s">
        <v>62</v>
      </c>
    </row>
    <row r="510" spans="1:10" x14ac:dyDescent="0.3">
      <c r="A510" t="s">
        <v>1114</v>
      </c>
      <c r="B510" t="s">
        <v>1118</v>
      </c>
      <c r="D510" s="6">
        <v>1000</v>
      </c>
      <c r="G510" s="7">
        <v>9</v>
      </c>
      <c r="H510" s="4" t="s">
        <v>1107</v>
      </c>
      <c r="J510" t="s">
        <v>62</v>
      </c>
    </row>
    <row r="511" spans="1:10" x14ac:dyDescent="0.3">
      <c r="A511" t="s">
        <v>1114</v>
      </c>
      <c r="B511" t="s">
        <v>1118</v>
      </c>
      <c r="D511" s="6">
        <v>1000</v>
      </c>
      <c r="G511" s="7">
        <v>9</v>
      </c>
      <c r="H511" s="4" t="s">
        <v>1107</v>
      </c>
      <c r="J511" t="s">
        <v>62</v>
      </c>
    </row>
    <row r="512" spans="1:10" x14ac:dyDescent="0.3">
      <c r="A512" t="s">
        <v>1119</v>
      </c>
      <c r="B512" t="s">
        <v>1104</v>
      </c>
      <c r="C512" t="s">
        <v>389</v>
      </c>
      <c r="D512" s="9">
        <v>1000</v>
      </c>
      <c r="E512" t="s">
        <v>45</v>
      </c>
      <c r="F512" t="s">
        <v>45</v>
      </c>
      <c r="G512" s="12">
        <v>0</v>
      </c>
      <c r="H512" t="s">
        <v>1107</v>
      </c>
      <c r="I512" t="s">
        <v>1119</v>
      </c>
      <c r="J512" t="s">
        <v>361</v>
      </c>
    </row>
    <row r="513" spans="1:10" x14ac:dyDescent="0.3">
      <c r="A513" t="s">
        <v>1119</v>
      </c>
      <c r="B513" t="s">
        <v>1120</v>
      </c>
      <c r="D513" s="6">
        <v>1000</v>
      </c>
      <c r="G513" s="7" t="s">
        <v>65</v>
      </c>
      <c r="H513" s="4" t="s">
        <v>1107</v>
      </c>
      <c r="J513" t="s">
        <v>49</v>
      </c>
    </row>
    <row r="514" spans="1:10" x14ac:dyDescent="0.3">
      <c r="A514" t="s">
        <v>1119</v>
      </c>
      <c r="B514" t="s">
        <v>1120</v>
      </c>
      <c r="D514" s="6">
        <v>1000</v>
      </c>
      <c r="G514" s="7" t="s">
        <v>65</v>
      </c>
      <c r="H514" s="4" t="s">
        <v>1107</v>
      </c>
      <c r="J514" t="s">
        <v>49</v>
      </c>
    </row>
    <row r="515" spans="1:10" x14ac:dyDescent="0.3">
      <c r="A515" t="s">
        <v>1121</v>
      </c>
      <c r="B515" t="s">
        <v>1104</v>
      </c>
      <c r="C515" t="s">
        <v>480</v>
      </c>
      <c r="D515" s="9">
        <v>1000</v>
      </c>
      <c r="E515" t="s">
        <v>45</v>
      </c>
      <c r="F515" t="s">
        <v>45</v>
      </c>
      <c r="G515">
        <v>8.5</v>
      </c>
      <c r="H515" t="s">
        <v>1122</v>
      </c>
      <c r="I515" t="s">
        <v>1123</v>
      </c>
      <c r="J515" t="s">
        <v>62</v>
      </c>
    </row>
    <row r="516" spans="1:10" x14ac:dyDescent="0.3">
      <c r="A516" t="s">
        <v>1124</v>
      </c>
      <c r="B516" t="s">
        <v>1104</v>
      </c>
      <c r="C516" t="s">
        <v>372</v>
      </c>
      <c r="D516" s="9">
        <v>1000</v>
      </c>
      <c r="E516" t="s">
        <v>1125</v>
      </c>
      <c r="F516" t="s">
        <v>1126</v>
      </c>
      <c r="G516">
        <v>9</v>
      </c>
      <c r="H516" t="s">
        <v>1122</v>
      </c>
      <c r="I516" t="s">
        <v>1127</v>
      </c>
      <c r="J516" t="s">
        <v>62</v>
      </c>
    </row>
    <row r="517" spans="1:10" x14ac:dyDescent="0.3">
      <c r="A517" t="s">
        <v>1128</v>
      </c>
      <c r="B517" t="s">
        <v>1104</v>
      </c>
      <c r="C517" t="s">
        <v>660</v>
      </c>
      <c r="D517" s="9">
        <v>1000</v>
      </c>
      <c r="E517" t="s">
        <v>1129</v>
      </c>
      <c r="F517" t="s">
        <v>442</v>
      </c>
      <c r="G517" s="12">
        <v>0</v>
      </c>
      <c r="H517" t="s">
        <v>1122</v>
      </c>
      <c r="I517" t="s">
        <v>1128</v>
      </c>
      <c r="J517" t="s">
        <v>62</v>
      </c>
    </row>
    <row r="518" spans="1:10" x14ac:dyDescent="0.3">
      <c r="A518" t="s">
        <v>1130</v>
      </c>
      <c r="B518" t="s">
        <v>1104</v>
      </c>
      <c r="C518" t="s">
        <v>1131</v>
      </c>
      <c r="D518" s="9">
        <v>1000</v>
      </c>
      <c r="E518" t="s">
        <v>45</v>
      </c>
      <c r="F518" t="s">
        <v>45</v>
      </c>
      <c r="G518">
        <v>8.66</v>
      </c>
      <c r="H518" t="s">
        <v>1122</v>
      </c>
      <c r="I518" t="s">
        <v>1132</v>
      </c>
      <c r="J518" t="s">
        <v>59</v>
      </c>
    </row>
    <row r="519" spans="1:10" x14ac:dyDescent="0.3">
      <c r="A519" t="s">
        <v>1133</v>
      </c>
      <c r="B519" t="s">
        <v>1104</v>
      </c>
      <c r="C519" t="s">
        <v>1134</v>
      </c>
      <c r="D519" s="9">
        <v>1000</v>
      </c>
      <c r="E519" t="s">
        <v>45</v>
      </c>
      <c r="F519" t="s">
        <v>45</v>
      </c>
      <c r="G519">
        <v>8.75</v>
      </c>
      <c r="H519" t="s">
        <v>1135</v>
      </c>
      <c r="I519" t="s">
        <v>1136</v>
      </c>
      <c r="J519" t="s">
        <v>62</v>
      </c>
    </row>
    <row r="520" spans="1:10" x14ac:dyDescent="0.3">
      <c r="A520" t="s">
        <v>1133</v>
      </c>
      <c r="B520" t="s">
        <v>1137</v>
      </c>
      <c r="D520" s="6">
        <v>1000</v>
      </c>
      <c r="G520" s="7">
        <v>8.75</v>
      </c>
      <c r="H520" s="4" t="s">
        <v>1135</v>
      </c>
      <c r="J520" t="s">
        <v>62</v>
      </c>
    </row>
    <row r="521" spans="1:10" x14ac:dyDescent="0.3">
      <c r="A521" t="s">
        <v>1133</v>
      </c>
      <c r="B521" t="s">
        <v>1137</v>
      </c>
      <c r="D521" s="6">
        <v>1000</v>
      </c>
      <c r="G521" s="7">
        <v>8.75</v>
      </c>
      <c r="H521" s="4" t="s">
        <v>1135</v>
      </c>
      <c r="J521" t="s">
        <v>62</v>
      </c>
    </row>
    <row r="522" spans="1:10" x14ac:dyDescent="0.3">
      <c r="A522" t="s">
        <v>1138</v>
      </c>
      <c r="B522" t="s">
        <v>1104</v>
      </c>
      <c r="C522" t="s">
        <v>1139</v>
      </c>
      <c r="D522" s="9">
        <v>1000</v>
      </c>
      <c r="E522" t="s">
        <v>1140</v>
      </c>
      <c r="F522" t="s">
        <v>1141</v>
      </c>
      <c r="G522">
        <v>9.25</v>
      </c>
      <c r="H522" t="s">
        <v>1135</v>
      </c>
      <c r="I522" t="s">
        <v>1142</v>
      </c>
      <c r="J522" t="s">
        <v>62</v>
      </c>
    </row>
    <row r="523" spans="1:10" x14ac:dyDescent="0.3">
      <c r="A523" t="s">
        <v>1138</v>
      </c>
      <c r="B523" t="s">
        <v>1143</v>
      </c>
      <c r="D523" s="6">
        <v>1000</v>
      </c>
      <c r="G523" s="7">
        <v>9.25</v>
      </c>
      <c r="H523" s="4" t="s">
        <v>1135</v>
      </c>
      <c r="J523" t="s">
        <v>62</v>
      </c>
    </row>
    <row r="524" spans="1:10" x14ac:dyDescent="0.3">
      <c r="A524" t="s">
        <v>1138</v>
      </c>
      <c r="B524" t="s">
        <v>1143</v>
      </c>
      <c r="D524" s="6">
        <v>1000</v>
      </c>
      <c r="G524" s="7">
        <v>9.25</v>
      </c>
      <c r="H524" s="4" t="s">
        <v>1135</v>
      </c>
      <c r="J524" t="s">
        <v>62</v>
      </c>
    </row>
    <row r="525" spans="1:10" x14ac:dyDescent="0.3">
      <c r="A525" t="s">
        <v>1144</v>
      </c>
      <c r="B525" t="s">
        <v>1104</v>
      </c>
      <c r="C525" t="s">
        <v>1145</v>
      </c>
      <c r="D525" s="9">
        <v>1000</v>
      </c>
      <c r="E525" t="s">
        <v>1146</v>
      </c>
      <c r="F525" t="s">
        <v>640</v>
      </c>
      <c r="G525">
        <v>8.89</v>
      </c>
      <c r="H525" t="s">
        <v>1135</v>
      </c>
      <c r="I525" t="s">
        <v>1147</v>
      </c>
      <c r="J525" t="s">
        <v>59</v>
      </c>
    </row>
    <row r="526" spans="1:10" x14ac:dyDescent="0.3">
      <c r="A526" t="s">
        <v>1144</v>
      </c>
      <c r="B526" t="s">
        <v>1148</v>
      </c>
      <c r="D526" s="6">
        <v>1000</v>
      </c>
      <c r="G526" s="7">
        <v>8.89</v>
      </c>
      <c r="H526" s="4" t="s">
        <v>1135</v>
      </c>
      <c r="J526" t="s">
        <v>59</v>
      </c>
    </row>
    <row r="527" spans="1:10" x14ac:dyDescent="0.3">
      <c r="A527" t="s">
        <v>1144</v>
      </c>
      <c r="B527" t="s">
        <v>1148</v>
      </c>
      <c r="D527" s="6">
        <v>1000</v>
      </c>
      <c r="G527" s="7">
        <v>8.89</v>
      </c>
      <c r="H527" s="4" t="s">
        <v>1135</v>
      </c>
      <c r="J527" t="s">
        <v>59</v>
      </c>
    </row>
    <row r="528" spans="1:10" x14ac:dyDescent="0.3">
      <c r="A528" t="s">
        <v>1149</v>
      </c>
      <c r="B528" t="s">
        <v>1104</v>
      </c>
      <c r="C528" t="s">
        <v>1150</v>
      </c>
      <c r="D528" s="9">
        <v>1000</v>
      </c>
      <c r="E528" t="s">
        <v>45</v>
      </c>
      <c r="F528" t="s">
        <v>45</v>
      </c>
      <c r="G528">
        <v>8.5</v>
      </c>
      <c r="H528" t="s">
        <v>1151</v>
      </c>
      <c r="I528" t="s">
        <v>1123</v>
      </c>
      <c r="J528" t="s">
        <v>62</v>
      </c>
    </row>
    <row r="529" spans="1:10" x14ac:dyDescent="0.3">
      <c r="A529" t="s">
        <v>1149</v>
      </c>
      <c r="B529" t="s">
        <v>1152</v>
      </c>
      <c r="D529" s="6">
        <v>1000</v>
      </c>
      <c r="G529" s="7">
        <v>8.5</v>
      </c>
      <c r="H529" s="4" t="s">
        <v>1151</v>
      </c>
      <c r="J529" t="s">
        <v>62</v>
      </c>
    </row>
    <row r="530" spans="1:10" x14ac:dyDescent="0.3">
      <c r="A530" t="s">
        <v>1149</v>
      </c>
      <c r="B530" t="s">
        <v>1152</v>
      </c>
      <c r="D530" s="6">
        <v>1000</v>
      </c>
      <c r="G530" s="7">
        <v>8.5</v>
      </c>
      <c r="H530" s="4" t="s">
        <v>1151</v>
      </c>
      <c r="J530" t="s">
        <v>62</v>
      </c>
    </row>
    <row r="531" spans="1:10" x14ac:dyDescent="0.3">
      <c r="A531" t="s">
        <v>1153</v>
      </c>
      <c r="B531" t="s">
        <v>1104</v>
      </c>
      <c r="C531" t="s">
        <v>1154</v>
      </c>
      <c r="D531" s="9">
        <v>1000</v>
      </c>
      <c r="E531" t="s">
        <v>45</v>
      </c>
      <c r="F531" t="s">
        <v>45</v>
      </c>
      <c r="G531">
        <v>9</v>
      </c>
      <c r="H531" t="s">
        <v>1151</v>
      </c>
      <c r="I531" t="s">
        <v>1127</v>
      </c>
      <c r="J531" t="s">
        <v>62</v>
      </c>
    </row>
    <row r="532" spans="1:10" x14ac:dyDescent="0.3">
      <c r="A532" t="s">
        <v>1153</v>
      </c>
      <c r="B532" t="s">
        <v>1155</v>
      </c>
      <c r="D532" s="6">
        <v>1000</v>
      </c>
      <c r="G532" s="7">
        <v>9</v>
      </c>
      <c r="H532" s="4" t="s">
        <v>1151</v>
      </c>
      <c r="J532" t="s">
        <v>62</v>
      </c>
    </row>
    <row r="533" spans="1:10" x14ac:dyDescent="0.3">
      <c r="A533" t="s">
        <v>1153</v>
      </c>
      <c r="B533" t="s">
        <v>1155</v>
      </c>
      <c r="D533" s="6">
        <v>1000</v>
      </c>
      <c r="G533" s="7">
        <v>9</v>
      </c>
      <c r="H533" s="4" t="s">
        <v>1151</v>
      </c>
      <c r="J533" t="s">
        <v>62</v>
      </c>
    </row>
    <row r="534" spans="1:10" x14ac:dyDescent="0.3">
      <c r="A534" t="s">
        <v>1156</v>
      </c>
      <c r="B534" t="s">
        <v>1104</v>
      </c>
      <c r="C534" t="s">
        <v>1157</v>
      </c>
      <c r="D534" s="9">
        <v>1000</v>
      </c>
      <c r="E534" t="s">
        <v>45</v>
      </c>
      <c r="F534" t="s">
        <v>45</v>
      </c>
      <c r="G534" s="12">
        <v>0</v>
      </c>
      <c r="H534" t="s">
        <v>1151</v>
      </c>
      <c r="I534" t="s">
        <v>1156</v>
      </c>
      <c r="J534" t="s">
        <v>62</v>
      </c>
    </row>
    <row r="535" spans="1:10" x14ac:dyDescent="0.3">
      <c r="A535" t="s">
        <v>1156</v>
      </c>
      <c r="B535" t="s">
        <v>1158</v>
      </c>
      <c r="D535" s="6">
        <v>1000</v>
      </c>
      <c r="G535" s="7" t="s">
        <v>65</v>
      </c>
      <c r="H535" s="4" t="s">
        <v>1151</v>
      </c>
      <c r="J535" t="s">
        <v>49</v>
      </c>
    </row>
    <row r="536" spans="1:10" x14ac:dyDescent="0.3">
      <c r="A536" t="s">
        <v>1156</v>
      </c>
      <c r="B536" t="s">
        <v>1158</v>
      </c>
      <c r="D536" s="6">
        <v>1000</v>
      </c>
      <c r="G536" s="7" t="s">
        <v>65</v>
      </c>
      <c r="H536" s="4" t="s">
        <v>1151</v>
      </c>
      <c r="J536" t="s">
        <v>49</v>
      </c>
    </row>
    <row r="537" spans="1:10" x14ac:dyDescent="0.3">
      <c r="A537" t="s">
        <v>1159</v>
      </c>
      <c r="B537" t="s">
        <v>1104</v>
      </c>
      <c r="C537" t="s">
        <v>1160</v>
      </c>
      <c r="D537" s="9">
        <v>1000</v>
      </c>
      <c r="E537" t="s">
        <v>45</v>
      </c>
      <c r="F537" t="s">
        <v>45</v>
      </c>
      <c r="G537">
        <v>8.1999999999999993</v>
      </c>
      <c r="H537" t="s">
        <v>1151</v>
      </c>
      <c r="I537" t="s">
        <v>1161</v>
      </c>
      <c r="J537" t="s">
        <v>59</v>
      </c>
    </row>
    <row r="538" spans="1:10" x14ac:dyDescent="0.3">
      <c r="A538" t="s">
        <v>1159</v>
      </c>
      <c r="B538" t="s">
        <v>1162</v>
      </c>
      <c r="D538" s="6">
        <v>1000</v>
      </c>
      <c r="G538" s="7">
        <v>8.2000000000000011</v>
      </c>
      <c r="H538" s="4" t="s">
        <v>1151</v>
      </c>
      <c r="J538" t="s">
        <v>59</v>
      </c>
    </row>
    <row r="539" spans="1:10" x14ac:dyDescent="0.3">
      <c r="A539" t="s">
        <v>1159</v>
      </c>
      <c r="B539" t="s">
        <v>1162</v>
      </c>
      <c r="D539" s="6">
        <v>1000</v>
      </c>
      <c r="G539" s="7">
        <v>8.2000000000000011</v>
      </c>
      <c r="H539" s="4" t="s">
        <v>1151</v>
      </c>
      <c r="J539" t="s">
        <v>59</v>
      </c>
    </row>
    <row r="540" spans="1:10" x14ac:dyDescent="0.3">
      <c r="A540" t="s">
        <v>1163</v>
      </c>
      <c r="B540" t="s">
        <v>1104</v>
      </c>
      <c r="C540" t="s">
        <v>1164</v>
      </c>
      <c r="D540" s="9">
        <v>1000</v>
      </c>
      <c r="E540" t="s">
        <v>1165</v>
      </c>
      <c r="F540" t="s">
        <v>283</v>
      </c>
      <c r="G540">
        <v>8.66</v>
      </c>
      <c r="H540" t="s">
        <v>1151</v>
      </c>
      <c r="I540" t="s">
        <v>1132</v>
      </c>
      <c r="J540" t="s">
        <v>59</v>
      </c>
    </row>
    <row r="541" spans="1:10" x14ac:dyDescent="0.3">
      <c r="A541" t="s">
        <v>1163</v>
      </c>
      <c r="B541" t="s">
        <v>1166</v>
      </c>
      <c r="D541" s="6">
        <v>1000</v>
      </c>
      <c r="G541" s="7">
        <v>8.66</v>
      </c>
      <c r="H541" s="4" t="s">
        <v>1151</v>
      </c>
      <c r="J541" t="s">
        <v>59</v>
      </c>
    </row>
    <row r="542" spans="1:10" x14ac:dyDescent="0.3">
      <c r="A542" t="s">
        <v>1163</v>
      </c>
      <c r="B542" t="s">
        <v>1166</v>
      </c>
      <c r="D542" s="6">
        <v>1000</v>
      </c>
      <c r="G542" s="7">
        <v>8.66</v>
      </c>
      <c r="H542" s="4" t="s">
        <v>1151</v>
      </c>
      <c r="J542" t="s">
        <v>59</v>
      </c>
    </row>
    <row r="543" spans="1:10" x14ac:dyDescent="0.3">
      <c r="A543" t="s">
        <v>1167</v>
      </c>
      <c r="B543" t="s">
        <v>1104</v>
      </c>
      <c r="C543" t="s">
        <v>1168</v>
      </c>
      <c r="D543" s="9">
        <v>1000</v>
      </c>
      <c r="E543" t="s">
        <v>45</v>
      </c>
      <c r="F543" t="s">
        <v>45</v>
      </c>
      <c r="G543">
        <v>8.75</v>
      </c>
      <c r="H543" t="s">
        <v>1169</v>
      </c>
      <c r="I543" t="s">
        <v>1136</v>
      </c>
      <c r="J543" t="s">
        <v>62</v>
      </c>
    </row>
    <row r="544" spans="1:10" x14ac:dyDescent="0.3">
      <c r="A544" t="s">
        <v>1167</v>
      </c>
      <c r="B544" t="s">
        <v>1170</v>
      </c>
      <c r="D544" s="6">
        <v>1000</v>
      </c>
      <c r="G544" s="7">
        <v>8.75</v>
      </c>
      <c r="H544" s="4" t="s">
        <v>1169</v>
      </c>
      <c r="J544" t="s">
        <v>62</v>
      </c>
    </row>
    <row r="545" spans="1:10" x14ac:dyDescent="0.3">
      <c r="A545" t="s">
        <v>1167</v>
      </c>
      <c r="B545" t="s">
        <v>1170</v>
      </c>
      <c r="D545" s="6">
        <v>1000</v>
      </c>
      <c r="G545" s="7">
        <v>8.75</v>
      </c>
      <c r="H545" s="4" t="s">
        <v>1169</v>
      </c>
      <c r="J545" t="s">
        <v>62</v>
      </c>
    </row>
    <row r="546" spans="1:10" x14ac:dyDescent="0.3">
      <c r="A546" t="s">
        <v>1171</v>
      </c>
      <c r="B546" t="s">
        <v>1104</v>
      </c>
      <c r="C546" t="s">
        <v>1172</v>
      </c>
      <c r="D546" s="9">
        <v>1000</v>
      </c>
      <c r="E546" t="s">
        <v>1173</v>
      </c>
      <c r="F546" t="s">
        <v>442</v>
      </c>
      <c r="G546">
        <v>9.25</v>
      </c>
      <c r="H546" t="s">
        <v>1169</v>
      </c>
      <c r="I546" t="s">
        <v>1142</v>
      </c>
      <c r="J546" t="s">
        <v>62</v>
      </c>
    </row>
    <row r="547" spans="1:10" x14ac:dyDescent="0.3">
      <c r="A547" t="s">
        <v>1171</v>
      </c>
      <c r="B547" t="s">
        <v>1174</v>
      </c>
      <c r="D547" s="6">
        <v>1000</v>
      </c>
      <c r="G547" s="7">
        <v>9.25</v>
      </c>
      <c r="H547" s="4" t="s">
        <v>1169</v>
      </c>
      <c r="J547" t="s">
        <v>62</v>
      </c>
    </row>
    <row r="548" spans="1:10" x14ac:dyDescent="0.3">
      <c r="A548" t="s">
        <v>1171</v>
      </c>
      <c r="B548" t="s">
        <v>1174</v>
      </c>
      <c r="D548" s="6">
        <v>1000</v>
      </c>
      <c r="G548" s="7">
        <v>9.25</v>
      </c>
      <c r="H548" s="4" t="s">
        <v>1169</v>
      </c>
      <c r="J548" t="s">
        <v>62</v>
      </c>
    </row>
    <row r="549" spans="1:10" x14ac:dyDescent="0.3">
      <c r="A549" t="s">
        <v>1175</v>
      </c>
      <c r="B549" t="s">
        <v>1176</v>
      </c>
      <c r="D549" s="6">
        <v>1000</v>
      </c>
      <c r="G549" s="7">
        <v>8.43</v>
      </c>
      <c r="H549" s="4" t="s">
        <v>1169</v>
      </c>
      <c r="J549" t="s">
        <v>59</v>
      </c>
    </row>
    <row r="550" spans="1:10" x14ac:dyDescent="0.3">
      <c r="A550" t="s">
        <v>1175</v>
      </c>
      <c r="B550" t="s">
        <v>1176</v>
      </c>
      <c r="D550" s="6">
        <v>1000</v>
      </c>
      <c r="G550" s="7">
        <v>8.43</v>
      </c>
      <c r="H550" s="4" t="s">
        <v>1169</v>
      </c>
      <c r="J550" t="s">
        <v>59</v>
      </c>
    </row>
    <row r="551" spans="1:10" x14ac:dyDescent="0.3">
      <c r="A551" t="s">
        <v>1177</v>
      </c>
      <c r="B551" t="s">
        <v>1104</v>
      </c>
      <c r="C551" t="s">
        <v>1178</v>
      </c>
      <c r="D551" s="9">
        <v>1000</v>
      </c>
      <c r="E551" t="s">
        <v>1179</v>
      </c>
      <c r="F551" t="s">
        <v>1180</v>
      </c>
      <c r="G551">
        <v>8.89</v>
      </c>
      <c r="H551" t="s">
        <v>1169</v>
      </c>
      <c r="I551" t="s">
        <v>1147</v>
      </c>
      <c r="J551" t="s">
        <v>59</v>
      </c>
    </row>
    <row r="552" spans="1:10" x14ac:dyDescent="0.3">
      <c r="A552" t="s">
        <v>1177</v>
      </c>
      <c r="B552" t="s">
        <v>1181</v>
      </c>
      <c r="D552" s="6">
        <v>1000</v>
      </c>
      <c r="G552" s="7">
        <v>8.89</v>
      </c>
      <c r="H552" s="4" t="s">
        <v>1169</v>
      </c>
      <c r="J552" t="s">
        <v>59</v>
      </c>
    </row>
    <row r="553" spans="1:10" x14ac:dyDescent="0.3">
      <c r="A553" t="s">
        <v>1177</v>
      </c>
      <c r="B553" t="s">
        <v>1181</v>
      </c>
      <c r="D553" s="6">
        <v>1000</v>
      </c>
      <c r="G553" s="7">
        <v>8.89</v>
      </c>
      <c r="H553" s="4" t="s">
        <v>1169</v>
      </c>
      <c r="J553" t="s">
        <v>59</v>
      </c>
    </row>
    <row r="554" spans="1:10" x14ac:dyDescent="0.3">
      <c r="A554" t="s">
        <v>1182</v>
      </c>
      <c r="B554" t="s">
        <v>1104</v>
      </c>
      <c r="C554" t="s">
        <v>1183</v>
      </c>
      <c r="D554" s="9">
        <v>1000</v>
      </c>
      <c r="E554" t="s">
        <v>45</v>
      </c>
      <c r="F554" t="s">
        <v>45</v>
      </c>
      <c r="G554">
        <v>8.5</v>
      </c>
      <c r="H554" t="s">
        <v>1184</v>
      </c>
      <c r="I554" t="s">
        <v>1123</v>
      </c>
      <c r="J554" t="s">
        <v>62</v>
      </c>
    </row>
    <row r="555" spans="1:10" x14ac:dyDescent="0.3">
      <c r="A555" t="s">
        <v>1182</v>
      </c>
      <c r="B555" t="s">
        <v>1185</v>
      </c>
      <c r="D555" s="6">
        <v>1000</v>
      </c>
      <c r="G555" s="7">
        <v>8.5</v>
      </c>
      <c r="H555" s="4" t="s">
        <v>1184</v>
      </c>
      <c r="J555" t="s">
        <v>62</v>
      </c>
    </row>
    <row r="556" spans="1:10" x14ac:dyDescent="0.3">
      <c r="A556" t="s">
        <v>1182</v>
      </c>
      <c r="B556" t="s">
        <v>1185</v>
      </c>
      <c r="D556" s="6">
        <v>1000</v>
      </c>
      <c r="G556" s="7">
        <v>8.5</v>
      </c>
      <c r="H556" s="4" t="s">
        <v>1184</v>
      </c>
      <c r="J556" t="s">
        <v>62</v>
      </c>
    </row>
    <row r="557" spans="1:10" x14ac:dyDescent="0.3">
      <c r="A557" t="s">
        <v>1186</v>
      </c>
      <c r="B557" t="s">
        <v>1104</v>
      </c>
      <c r="C557" t="s">
        <v>1187</v>
      </c>
      <c r="D557" s="9">
        <v>1000</v>
      </c>
      <c r="E557" t="s">
        <v>45</v>
      </c>
      <c r="F557" t="s">
        <v>45</v>
      </c>
      <c r="G557">
        <v>9</v>
      </c>
      <c r="H557" t="s">
        <v>1184</v>
      </c>
      <c r="I557" t="s">
        <v>1127</v>
      </c>
      <c r="J557" t="s">
        <v>62</v>
      </c>
    </row>
    <row r="558" spans="1:10" x14ac:dyDescent="0.3">
      <c r="A558" t="s">
        <v>1186</v>
      </c>
      <c r="B558" t="s">
        <v>1188</v>
      </c>
      <c r="D558" s="6">
        <v>1000</v>
      </c>
      <c r="G558" s="7">
        <v>9</v>
      </c>
      <c r="H558" s="4" t="s">
        <v>1184</v>
      </c>
      <c r="J558" t="s">
        <v>62</v>
      </c>
    </row>
    <row r="559" spans="1:10" x14ac:dyDescent="0.3">
      <c r="A559" t="s">
        <v>1186</v>
      </c>
      <c r="B559" t="s">
        <v>1188</v>
      </c>
      <c r="D559" s="6">
        <v>1000</v>
      </c>
      <c r="G559" s="7">
        <v>9</v>
      </c>
      <c r="H559" s="4" t="s">
        <v>1184</v>
      </c>
      <c r="J559" t="s">
        <v>62</v>
      </c>
    </row>
    <row r="560" spans="1:10" x14ac:dyDescent="0.3">
      <c r="A560" t="s">
        <v>1189</v>
      </c>
      <c r="B560" t="s">
        <v>1104</v>
      </c>
      <c r="C560" t="s">
        <v>1190</v>
      </c>
      <c r="D560" s="9">
        <v>1000</v>
      </c>
      <c r="E560" t="s">
        <v>45</v>
      </c>
      <c r="F560" t="s">
        <v>45</v>
      </c>
      <c r="G560" s="12">
        <v>0</v>
      </c>
      <c r="H560" t="s">
        <v>1184</v>
      </c>
      <c r="I560" t="s">
        <v>1189</v>
      </c>
      <c r="J560" t="s">
        <v>361</v>
      </c>
    </row>
    <row r="561" spans="1:10" x14ac:dyDescent="0.3">
      <c r="A561" t="s">
        <v>1189</v>
      </c>
      <c r="B561" t="s">
        <v>1191</v>
      </c>
      <c r="D561" s="6">
        <v>1000</v>
      </c>
      <c r="G561" s="7" t="s">
        <v>65</v>
      </c>
      <c r="H561" s="4" t="s">
        <v>1184</v>
      </c>
      <c r="J561" t="s">
        <v>49</v>
      </c>
    </row>
    <row r="562" spans="1:10" x14ac:dyDescent="0.3">
      <c r="A562" t="s">
        <v>1189</v>
      </c>
      <c r="B562" t="s">
        <v>1191</v>
      </c>
      <c r="D562" s="6">
        <v>1000</v>
      </c>
      <c r="G562" s="7" t="s">
        <v>65</v>
      </c>
      <c r="H562" s="4" t="s">
        <v>1184</v>
      </c>
      <c r="J562" t="s">
        <v>49</v>
      </c>
    </row>
    <row r="563" spans="1:10" x14ac:dyDescent="0.3">
      <c r="A563" t="s">
        <v>1192</v>
      </c>
      <c r="B563" t="s">
        <v>1104</v>
      </c>
      <c r="C563" t="s">
        <v>1193</v>
      </c>
      <c r="D563" s="9">
        <v>1000</v>
      </c>
      <c r="E563" t="s">
        <v>45</v>
      </c>
      <c r="F563" t="s">
        <v>45</v>
      </c>
      <c r="G563">
        <v>8.1999999999999993</v>
      </c>
      <c r="H563" t="s">
        <v>1184</v>
      </c>
      <c r="I563" t="s">
        <v>1161</v>
      </c>
      <c r="J563" t="s">
        <v>59</v>
      </c>
    </row>
    <row r="564" spans="1:10" x14ac:dyDescent="0.3">
      <c r="A564" t="s">
        <v>1192</v>
      </c>
      <c r="B564" t="s">
        <v>1194</v>
      </c>
      <c r="D564" s="6">
        <v>1000</v>
      </c>
      <c r="G564" s="7">
        <v>8.2000000000000011</v>
      </c>
      <c r="H564" s="4" t="s">
        <v>1184</v>
      </c>
      <c r="J564" t="s">
        <v>59</v>
      </c>
    </row>
    <row r="565" spans="1:10" x14ac:dyDescent="0.3">
      <c r="A565" t="s">
        <v>1192</v>
      </c>
      <c r="B565" t="s">
        <v>1194</v>
      </c>
      <c r="D565" s="6">
        <v>1000</v>
      </c>
      <c r="G565" s="7">
        <v>8.2000000000000011</v>
      </c>
      <c r="H565" s="4" t="s">
        <v>1184</v>
      </c>
      <c r="J565" t="s">
        <v>59</v>
      </c>
    </row>
    <row r="566" spans="1:10" x14ac:dyDescent="0.3">
      <c r="A566" t="s">
        <v>1195</v>
      </c>
      <c r="B566" t="s">
        <v>1104</v>
      </c>
      <c r="C566" t="s">
        <v>1196</v>
      </c>
      <c r="D566" s="9">
        <v>1000</v>
      </c>
      <c r="E566" t="s">
        <v>45</v>
      </c>
      <c r="F566" t="s">
        <v>45</v>
      </c>
      <c r="G566">
        <v>8.66</v>
      </c>
      <c r="H566" t="s">
        <v>1184</v>
      </c>
      <c r="I566" t="s">
        <v>1132</v>
      </c>
      <c r="J566" t="s">
        <v>59</v>
      </c>
    </row>
    <row r="567" spans="1:10" x14ac:dyDescent="0.3">
      <c r="A567" t="s">
        <v>1195</v>
      </c>
      <c r="B567" t="s">
        <v>1197</v>
      </c>
      <c r="D567" s="6">
        <v>1000</v>
      </c>
      <c r="G567" s="7">
        <v>8.66</v>
      </c>
      <c r="H567" s="4" t="s">
        <v>1184</v>
      </c>
      <c r="J567" t="s">
        <v>59</v>
      </c>
    </row>
    <row r="568" spans="1:10" x14ac:dyDescent="0.3">
      <c r="A568" t="s">
        <v>1195</v>
      </c>
      <c r="B568" t="s">
        <v>1197</v>
      </c>
      <c r="D568" s="6">
        <v>1000</v>
      </c>
      <c r="G568" s="7">
        <v>8.66</v>
      </c>
      <c r="H568" s="4" t="s">
        <v>1184</v>
      </c>
      <c r="J568" t="s">
        <v>59</v>
      </c>
    </row>
    <row r="569" spans="1:10" x14ac:dyDescent="0.3">
      <c r="A569" t="s">
        <v>1198</v>
      </c>
      <c r="B569" t="s">
        <v>1199</v>
      </c>
      <c r="D569" s="6">
        <v>1000</v>
      </c>
      <c r="G569" s="7">
        <v>8.75</v>
      </c>
      <c r="H569" s="4" t="s">
        <v>1200</v>
      </c>
      <c r="J569" t="s">
        <v>62</v>
      </c>
    </row>
    <row r="570" spans="1:10" x14ac:dyDescent="0.3">
      <c r="A570" t="s">
        <v>1198</v>
      </c>
      <c r="B570" t="s">
        <v>1199</v>
      </c>
      <c r="D570" s="6">
        <v>1000</v>
      </c>
      <c r="G570" s="7">
        <v>8.75</v>
      </c>
      <c r="H570" s="4" t="s">
        <v>1200</v>
      </c>
      <c r="J570" t="s">
        <v>62</v>
      </c>
    </row>
    <row r="571" spans="1:10" x14ac:dyDescent="0.3">
      <c r="A571" t="s">
        <v>1201</v>
      </c>
      <c r="B571" t="s">
        <v>1104</v>
      </c>
      <c r="C571" t="s">
        <v>1202</v>
      </c>
      <c r="D571" s="9">
        <v>1000</v>
      </c>
      <c r="E571" t="s">
        <v>45</v>
      </c>
      <c r="F571" t="s">
        <v>45</v>
      </c>
      <c r="G571">
        <v>9.25</v>
      </c>
      <c r="H571" t="s">
        <v>1200</v>
      </c>
      <c r="I571" t="s">
        <v>1142</v>
      </c>
      <c r="J571" t="s">
        <v>62</v>
      </c>
    </row>
    <row r="572" spans="1:10" x14ac:dyDescent="0.3">
      <c r="A572" t="s">
        <v>1201</v>
      </c>
      <c r="B572" t="s">
        <v>1203</v>
      </c>
      <c r="D572" s="6">
        <v>1000</v>
      </c>
      <c r="G572" s="7">
        <v>9.25</v>
      </c>
      <c r="H572" s="4" t="s">
        <v>1200</v>
      </c>
      <c r="J572" t="s">
        <v>62</v>
      </c>
    </row>
    <row r="573" spans="1:10" x14ac:dyDescent="0.3">
      <c r="A573" t="s">
        <v>1201</v>
      </c>
      <c r="B573" t="s">
        <v>1203</v>
      </c>
      <c r="D573" s="6">
        <v>1000</v>
      </c>
      <c r="G573" s="7">
        <v>9.25</v>
      </c>
      <c r="H573" s="4" t="s">
        <v>1200</v>
      </c>
      <c r="J573" t="s">
        <v>62</v>
      </c>
    </row>
    <row r="574" spans="1:10" x14ac:dyDescent="0.3">
      <c r="A574" t="s">
        <v>1204</v>
      </c>
      <c r="B574" t="s">
        <v>1104</v>
      </c>
      <c r="C574" t="s">
        <v>1205</v>
      </c>
      <c r="D574" s="9">
        <v>1000</v>
      </c>
      <c r="E574" t="s">
        <v>45</v>
      </c>
      <c r="F574" t="s">
        <v>45</v>
      </c>
      <c r="G574">
        <v>8.43</v>
      </c>
      <c r="H574" t="s">
        <v>1200</v>
      </c>
      <c r="I574" t="s">
        <v>1206</v>
      </c>
      <c r="J574" t="s">
        <v>59</v>
      </c>
    </row>
    <row r="575" spans="1:10" x14ac:dyDescent="0.3">
      <c r="A575" t="s">
        <v>1204</v>
      </c>
      <c r="B575" t="s">
        <v>1207</v>
      </c>
      <c r="D575" s="6">
        <v>1000</v>
      </c>
      <c r="G575" s="7">
        <v>8.43</v>
      </c>
      <c r="H575" s="4" t="s">
        <v>1200</v>
      </c>
      <c r="J575" t="s">
        <v>59</v>
      </c>
    </row>
    <row r="576" spans="1:10" x14ac:dyDescent="0.3">
      <c r="A576" t="s">
        <v>1204</v>
      </c>
      <c r="B576" t="s">
        <v>1207</v>
      </c>
      <c r="D576" s="6">
        <v>1000</v>
      </c>
      <c r="G576" s="7">
        <v>8.43</v>
      </c>
      <c r="H576" s="4" t="s">
        <v>1200</v>
      </c>
      <c r="J576" t="s">
        <v>59</v>
      </c>
    </row>
    <row r="577" spans="1:10" x14ac:dyDescent="0.3">
      <c r="A577" t="s">
        <v>1208</v>
      </c>
      <c r="B577" t="s">
        <v>1104</v>
      </c>
      <c r="C577" t="s">
        <v>1209</v>
      </c>
      <c r="D577" s="9">
        <v>1000</v>
      </c>
      <c r="E577" t="s">
        <v>950</v>
      </c>
      <c r="F577" t="s">
        <v>283</v>
      </c>
      <c r="G577">
        <v>8.89</v>
      </c>
      <c r="H577" t="s">
        <v>1200</v>
      </c>
      <c r="I577" t="s">
        <v>1147</v>
      </c>
      <c r="J577" t="s">
        <v>59</v>
      </c>
    </row>
    <row r="578" spans="1:10" x14ac:dyDescent="0.3">
      <c r="A578" t="s">
        <v>1208</v>
      </c>
      <c r="B578" t="s">
        <v>1210</v>
      </c>
      <c r="D578" s="6">
        <v>1000</v>
      </c>
      <c r="G578" s="7">
        <v>8.89</v>
      </c>
      <c r="H578" s="4" t="s">
        <v>1200</v>
      </c>
      <c r="J578" t="s">
        <v>59</v>
      </c>
    </row>
    <row r="579" spans="1:10" x14ac:dyDescent="0.3">
      <c r="A579" t="s">
        <v>1208</v>
      </c>
      <c r="B579" t="s">
        <v>1210</v>
      </c>
      <c r="D579" s="6">
        <v>1000</v>
      </c>
      <c r="G579" s="7">
        <v>8.89</v>
      </c>
      <c r="H579" s="4" t="s">
        <v>1200</v>
      </c>
      <c r="J579" t="s">
        <v>59</v>
      </c>
    </row>
    <row r="580" spans="1:10" x14ac:dyDescent="0.3">
      <c r="A580" t="s">
        <v>1211</v>
      </c>
      <c r="B580" t="s">
        <v>1104</v>
      </c>
      <c r="C580" t="s">
        <v>1212</v>
      </c>
      <c r="D580" s="9">
        <v>1000</v>
      </c>
      <c r="E580" t="s">
        <v>1213</v>
      </c>
      <c r="F580" t="s">
        <v>1214</v>
      </c>
      <c r="G580">
        <v>9.0500000000000007</v>
      </c>
      <c r="H580" t="s">
        <v>1215</v>
      </c>
      <c r="I580" t="s">
        <v>1216</v>
      </c>
      <c r="J580" t="s">
        <v>62</v>
      </c>
    </row>
    <row r="581" spans="1:10" x14ac:dyDescent="0.3">
      <c r="A581" t="s">
        <v>1217</v>
      </c>
      <c r="B581" t="s">
        <v>1104</v>
      </c>
      <c r="C581" t="s">
        <v>1218</v>
      </c>
      <c r="D581" s="9">
        <v>1000</v>
      </c>
      <c r="E581" t="s">
        <v>45</v>
      </c>
      <c r="F581" t="s">
        <v>45</v>
      </c>
      <c r="G581">
        <v>8.65</v>
      </c>
      <c r="H581" t="s">
        <v>1215</v>
      </c>
      <c r="I581" t="s">
        <v>1219</v>
      </c>
      <c r="J581" t="s">
        <v>62</v>
      </c>
    </row>
    <row r="582" spans="1:10" x14ac:dyDescent="0.3">
      <c r="A582" t="s">
        <v>1220</v>
      </c>
      <c r="B582" t="s">
        <v>1104</v>
      </c>
      <c r="C582" t="s">
        <v>1221</v>
      </c>
      <c r="D582" s="9">
        <v>1000</v>
      </c>
      <c r="E582" t="s">
        <v>45</v>
      </c>
      <c r="F582" t="s">
        <v>45</v>
      </c>
      <c r="G582" s="12">
        <v>0</v>
      </c>
      <c r="H582" t="s">
        <v>1215</v>
      </c>
      <c r="I582" t="s">
        <v>1220</v>
      </c>
      <c r="J582" t="s">
        <v>65</v>
      </c>
    </row>
    <row r="583" spans="1:10" x14ac:dyDescent="0.3">
      <c r="A583" t="s">
        <v>1222</v>
      </c>
      <c r="B583" t="s">
        <v>1104</v>
      </c>
      <c r="C583" t="s">
        <v>1223</v>
      </c>
      <c r="D583" s="9">
        <v>1000</v>
      </c>
      <c r="E583" t="s">
        <v>1224</v>
      </c>
      <c r="F583" t="s">
        <v>442</v>
      </c>
      <c r="G583" s="12">
        <v>0</v>
      </c>
      <c r="H583" t="s">
        <v>1215</v>
      </c>
      <c r="I583" t="s">
        <v>1222</v>
      </c>
      <c r="J583" t="s">
        <v>65</v>
      </c>
    </row>
    <row r="584" spans="1:10" x14ac:dyDescent="0.3">
      <c r="A584" t="s">
        <v>1225</v>
      </c>
      <c r="B584" t="s">
        <v>1226</v>
      </c>
      <c r="D584" s="6">
        <v>1000</v>
      </c>
      <c r="G584" s="7">
        <v>8.7999999999999989</v>
      </c>
      <c r="H584" s="4" t="s">
        <v>1227</v>
      </c>
      <c r="J584" t="s">
        <v>62</v>
      </c>
    </row>
    <row r="585" spans="1:10" x14ac:dyDescent="0.3">
      <c r="A585" t="s">
        <v>1225</v>
      </c>
      <c r="B585" t="s">
        <v>1226</v>
      </c>
      <c r="D585" s="6">
        <v>1000</v>
      </c>
      <c r="G585" s="7">
        <v>8.7999999999999989</v>
      </c>
      <c r="H585" s="4" t="s">
        <v>1227</v>
      </c>
      <c r="J585" t="s">
        <v>62</v>
      </c>
    </row>
    <row r="586" spans="1:10" x14ac:dyDescent="0.3">
      <c r="A586" t="s">
        <v>1228</v>
      </c>
      <c r="B586" t="s">
        <v>1229</v>
      </c>
      <c r="D586" s="9">
        <v>1000</v>
      </c>
      <c r="G586">
        <v>9.3000000000000007</v>
      </c>
      <c r="H586" s="4">
        <v>45928</v>
      </c>
      <c r="J586" t="s">
        <v>62</v>
      </c>
    </row>
    <row r="587" spans="1:10" x14ac:dyDescent="0.3">
      <c r="A587" t="s">
        <v>1228</v>
      </c>
      <c r="B587" t="s">
        <v>1230</v>
      </c>
      <c r="D587" s="6">
        <v>1000</v>
      </c>
      <c r="G587" s="7">
        <v>9.3000000000000007</v>
      </c>
      <c r="H587" s="4" t="s">
        <v>1227</v>
      </c>
      <c r="J587" t="s">
        <v>62</v>
      </c>
    </row>
    <row r="588" spans="1:10" x14ac:dyDescent="0.3">
      <c r="A588" t="s">
        <v>1228</v>
      </c>
      <c r="B588" t="s">
        <v>1230</v>
      </c>
      <c r="D588" s="6">
        <v>1000</v>
      </c>
      <c r="G588" s="7">
        <v>9.3000000000000007</v>
      </c>
      <c r="H588" s="4" t="s">
        <v>1227</v>
      </c>
      <c r="J588" t="s">
        <v>62</v>
      </c>
    </row>
    <row r="589" spans="1:10" x14ac:dyDescent="0.3">
      <c r="A589" t="s">
        <v>1231</v>
      </c>
      <c r="B589" t="s">
        <v>1232</v>
      </c>
      <c r="D589" s="6">
        <v>1000</v>
      </c>
      <c r="G589" s="7">
        <v>9.0499999999999989</v>
      </c>
      <c r="H589" s="4" t="s">
        <v>1233</v>
      </c>
      <c r="J589" t="s">
        <v>62</v>
      </c>
    </row>
    <row r="590" spans="1:10" x14ac:dyDescent="0.3">
      <c r="A590" t="s">
        <v>1231</v>
      </c>
      <c r="B590" t="s">
        <v>1232</v>
      </c>
      <c r="D590" s="6">
        <v>1000</v>
      </c>
      <c r="G590" s="7">
        <v>9.0499999999999989</v>
      </c>
      <c r="H590" s="4" t="s">
        <v>1233</v>
      </c>
      <c r="J590" t="s">
        <v>62</v>
      </c>
    </row>
    <row r="591" spans="1:10" x14ac:dyDescent="0.3">
      <c r="A591" t="s">
        <v>1234</v>
      </c>
      <c r="B591" t="s">
        <v>1235</v>
      </c>
      <c r="D591" s="6">
        <v>1000</v>
      </c>
      <c r="G591" s="7">
        <v>9.5500000000000007</v>
      </c>
      <c r="H591" s="4" t="s">
        <v>1233</v>
      </c>
      <c r="J591" t="s">
        <v>62</v>
      </c>
    </row>
    <row r="592" spans="1:10" x14ac:dyDescent="0.3">
      <c r="A592" t="s">
        <v>1234</v>
      </c>
      <c r="B592" t="s">
        <v>1235</v>
      </c>
      <c r="D592" s="6">
        <v>1000</v>
      </c>
      <c r="G592" s="7">
        <v>9.5500000000000007</v>
      </c>
      <c r="H592" s="4" t="s">
        <v>1233</v>
      </c>
      <c r="J592" t="s">
        <v>62</v>
      </c>
    </row>
    <row r="593" spans="1:10" x14ac:dyDescent="0.3">
      <c r="A593" t="s">
        <v>1236</v>
      </c>
      <c r="B593" t="s">
        <v>1229</v>
      </c>
      <c r="D593" s="9">
        <v>1000</v>
      </c>
      <c r="G593">
        <v>0</v>
      </c>
      <c r="H593" s="4">
        <v>45928</v>
      </c>
      <c r="J593" t="s">
        <v>49</v>
      </c>
    </row>
    <row r="594" spans="1:10" x14ac:dyDescent="0.3">
      <c r="A594" t="s">
        <v>1236</v>
      </c>
      <c r="B594" t="s">
        <v>1237</v>
      </c>
      <c r="D594" s="6">
        <v>1000</v>
      </c>
      <c r="G594" s="7" t="s">
        <v>65</v>
      </c>
      <c r="H594" s="4" t="s">
        <v>1227</v>
      </c>
      <c r="J594" t="s">
        <v>49</v>
      </c>
    </row>
    <row r="595" spans="1:10" x14ac:dyDescent="0.3">
      <c r="A595" t="s">
        <v>1236</v>
      </c>
      <c r="B595" t="s">
        <v>1237</v>
      </c>
      <c r="D595" s="6">
        <v>1000</v>
      </c>
      <c r="G595" s="7" t="s">
        <v>65</v>
      </c>
      <c r="H595" s="4" t="s">
        <v>1227</v>
      </c>
      <c r="J595" t="s">
        <v>49</v>
      </c>
    </row>
    <row r="596" spans="1:10" x14ac:dyDescent="0.3">
      <c r="A596" t="s">
        <v>1238</v>
      </c>
      <c r="B596" t="s">
        <v>1104</v>
      </c>
      <c r="C596" t="s">
        <v>1239</v>
      </c>
      <c r="D596" s="9">
        <v>1000</v>
      </c>
      <c r="E596" t="s">
        <v>45</v>
      </c>
      <c r="F596" t="s">
        <v>45</v>
      </c>
      <c r="G596">
        <v>8.6999999999999993</v>
      </c>
      <c r="H596" t="s">
        <v>1215</v>
      </c>
      <c r="I596" t="s">
        <v>1240</v>
      </c>
      <c r="J596" t="s">
        <v>59</v>
      </c>
    </row>
    <row r="597" spans="1:10" x14ac:dyDescent="0.3">
      <c r="A597" t="s">
        <v>1241</v>
      </c>
      <c r="B597" t="s">
        <v>1242</v>
      </c>
      <c r="D597" s="6">
        <v>1000</v>
      </c>
      <c r="G597" s="7">
        <v>8.4699999999999989</v>
      </c>
      <c r="H597" s="4" t="s">
        <v>1227</v>
      </c>
      <c r="J597" t="s">
        <v>59</v>
      </c>
    </row>
    <row r="598" spans="1:10" x14ac:dyDescent="0.3">
      <c r="A598" t="s">
        <v>1241</v>
      </c>
      <c r="B598" t="s">
        <v>1242</v>
      </c>
      <c r="D598" s="6">
        <v>1000</v>
      </c>
      <c r="G598" s="7">
        <v>8.4699999999999989</v>
      </c>
      <c r="H598" s="4" t="s">
        <v>1227</v>
      </c>
      <c r="J598" t="s">
        <v>59</v>
      </c>
    </row>
    <row r="599" spans="1:10" x14ac:dyDescent="0.3">
      <c r="A599" t="s">
        <v>1243</v>
      </c>
      <c r="B599" t="s">
        <v>1244</v>
      </c>
      <c r="D599" s="6">
        <v>1000</v>
      </c>
      <c r="G599" s="7">
        <v>8.94</v>
      </c>
      <c r="H599" s="4" t="s">
        <v>1227</v>
      </c>
      <c r="J599" t="s">
        <v>59</v>
      </c>
    </row>
    <row r="600" spans="1:10" x14ac:dyDescent="0.3">
      <c r="A600" t="s">
        <v>1243</v>
      </c>
      <c r="B600" t="s">
        <v>1244</v>
      </c>
      <c r="D600" s="6">
        <v>1000</v>
      </c>
      <c r="G600" s="7">
        <v>8.94</v>
      </c>
      <c r="H600" s="4" t="s">
        <v>1227</v>
      </c>
      <c r="J600" t="s">
        <v>59</v>
      </c>
    </row>
    <row r="601" spans="1:10" x14ac:dyDescent="0.3">
      <c r="A601" t="s">
        <v>1245</v>
      </c>
      <c r="B601" t="s">
        <v>1246</v>
      </c>
      <c r="D601" s="6">
        <v>1000</v>
      </c>
      <c r="G601" s="7">
        <v>8.6999999999999993</v>
      </c>
      <c r="H601" s="4" t="s">
        <v>1233</v>
      </c>
      <c r="J601" t="s">
        <v>59</v>
      </c>
    </row>
    <row r="602" spans="1:10" x14ac:dyDescent="0.3">
      <c r="A602" t="s">
        <v>1245</v>
      </c>
      <c r="B602" t="s">
        <v>1246</v>
      </c>
      <c r="D602" s="6">
        <v>1000</v>
      </c>
      <c r="G602" s="7">
        <v>8.6999999999999993</v>
      </c>
      <c r="H602" s="4" t="s">
        <v>1233</v>
      </c>
      <c r="J602" t="s">
        <v>59</v>
      </c>
    </row>
    <row r="603" spans="1:10" x14ac:dyDescent="0.3">
      <c r="A603" t="s">
        <v>1247</v>
      </c>
      <c r="B603" t="s">
        <v>1229</v>
      </c>
      <c r="D603" s="9">
        <v>1000</v>
      </c>
      <c r="G603" s="7">
        <v>9.15</v>
      </c>
      <c r="H603" s="5">
        <v>46658</v>
      </c>
      <c r="I603" s="15" t="s">
        <v>1247</v>
      </c>
      <c r="J603" t="s">
        <v>59</v>
      </c>
    </row>
    <row r="604" spans="1:10" x14ac:dyDescent="0.3">
      <c r="A604" t="s">
        <v>1247</v>
      </c>
      <c r="B604" t="s">
        <v>1248</v>
      </c>
      <c r="D604" s="6">
        <v>1000</v>
      </c>
      <c r="G604" s="7">
        <v>9.15</v>
      </c>
      <c r="H604" s="4" t="s">
        <v>1233</v>
      </c>
      <c r="J604" t="s">
        <v>59</v>
      </c>
    </row>
    <row r="605" spans="1:10" x14ac:dyDescent="0.3">
      <c r="A605" t="s">
        <v>1247</v>
      </c>
      <c r="B605" t="s">
        <v>1248</v>
      </c>
      <c r="D605" s="6">
        <v>1000</v>
      </c>
      <c r="G605" s="7">
        <v>9.15</v>
      </c>
      <c r="H605" s="4" t="s">
        <v>1233</v>
      </c>
      <c r="J605" t="s">
        <v>59</v>
      </c>
    </row>
    <row r="606" spans="1:10" x14ac:dyDescent="0.3">
      <c r="A606" t="s">
        <v>1249</v>
      </c>
      <c r="B606" t="s">
        <v>1250</v>
      </c>
      <c r="D606" s="6">
        <v>1000</v>
      </c>
      <c r="G606" s="7">
        <v>8.6499999999999986</v>
      </c>
      <c r="H606" s="4" t="s">
        <v>1251</v>
      </c>
      <c r="J606" t="s">
        <v>62</v>
      </c>
    </row>
    <row r="607" spans="1:10" x14ac:dyDescent="0.3">
      <c r="A607" t="s">
        <v>1249</v>
      </c>
      <c r="B607" t="s">
        <v>1250</v>
      </c>
      <c r="D607" s="6">
        <v>1000</v>
      </c>
      <c r="G607" s="7">
        <v>8.6499999999999986</v>
      </c>
      <c r="H607" s="4" t="s">
        <v>1251</v>
      </c>
      <c r="J607" t="s">
        <v>62</v>
      </c>
    </row>
    <row r="608" spans="1:10" x14ac:dyDescent="0.3">
      <c r="A608" t="s">
        <v>1252</v>
      </c>
      <c r="B608" t="s">
        <v>1253</v>
      </c>
      <c r="D608" s="6">
        <v>1000</v>
      </c>
      <c r="G608" s="7">
        <v>9.0499999999999989</v>
      </c>
      <c r="H608" s="4" t="s">
        <v>1251</v>
      </c>
      <c r="J608" t="s">
        <v>62</v>
      </c>
    </row>
    <row r="609" spans="1:10" x14ac:dyDescent="0.3">
      <c r="A609" t="s">
        <v>1252</v>
      </c>
      <c r="B609" t="s">
        <v>1253</v>
      </c>
      <c r="D609" s="6">
        <v>1000</v>
      </c>
      <c r="G609" s="7">
        <v>9.0499999999999989</v>
      </c>
      <c r="H609" s="4" t="s">
        <v>1251</v>
      </c>
      <c r="J609" t="s">
        <v>62</v>
      </c>
    </row>
    <row r="610" spans="1:10" x14ac:dyDescent="0.3">
      <c r="A610" t="s">
        <v>1254</v>
      </c>
      <c r="B610" t="s">
        <v>1255</v>
      </c>
      <c r="D610" s="6">
        <v>1000</v>
      </c>
      <c r="G610" s="7" t="s">
        <v>65</v>
      </c>
      <c r="H610" s="4" t="s">
        <v>1251</v>
      </c>
      <c r="J610" t="s">
        <v>49</v>
      </c>
    </row>
    <row r="611" spans="1:10" x14ac:dyDescent="0.3">
      <c r="A611" t="s">
        <v>1254</v>
      </c>
      <c r="B611" t="s">
        <v>1255</v>
      </c>
      <c r="D611" s="6">
        <v>1000</v>
      </c>
      <c r="G611" s="7" t="s">
        <v>65</v>
      </c>
      <c r="H611" s="4" t="s">
        <v>1251</v>
      </c>
      <c r="J611" t="s">
        <v>49</v>
      </c>
    </row>
    <row r="612" spans="1:10" x14ac:dyDescent="0.3">
      <c r="A612" t="s">
        <v>1256</v>
      </c>
      <c r="B612" t="s">
        <v>1257</v>
      </c>
      <c r="D612" s="6">
        <v>1000</v>
      </c>
      <c r="G612" s="7" t="s">
        <v>65</v>
      </c>
      <c r="H612" s="4" t="s">
        <v>1251</v>
      </c>
      <c r="J612" t="s">
        <v>49</v>
      </c>
    </row>
    <row r="613" spans="1:10" x14ac:dyDescent="0.3">
      <c r="A613" t="s">
        <v>1256</v>
      </c>
      <c r="B613" t="s">
        <v>1257</v>
      </c>
      <c r="D613" s="6">
        <v>1000</v>
      </c>
      <c r="G613" s="7" t="s">
        <v>65</v>
      </c>
      <c r="H613" s="4" t="s">
        <v>1251</v>
      </c>
      <c r="J613" t="s">
        <v>49</v>
      </c>
    </row>
    <row r="614" spans="1:10" x14ac:dyDescent="0.3">
      <c r="A614" t="s">
        <v>1258</v>
      </c>
      <c r="B614" t="s">
        <v>1259</v>
      </c>
      <c r="D614" s="6">
        <v>1000</v>
      </c>
      <c r="G614" s="7">
        <v>8.7999999999999989</v>
      </c>
      <c r="H614" s="4" t="s">
        <v>1091</v>
      </c>
      <c r="J614" t="s">
        <v>62</v>
      </c>
    </row>
    <row r="615" spans="1:10" x14ac:dyDescent="0.3">
      <c r="A615" t="s">
        <v>1258</v>
      </c>
      <c r="B615" t="s">
        <v>1259</v>
      </c>
      <c r="D615" s="6">
        <v>1000</v>
      </c>
      <c r="G615" s="7">
        <v>8.7999999999999989</v>
      </c>
      <c r="H615" s="4" t="s">
        <v>1091</v>
      </c>
      <c r="J615" t="s">
        <v>62</v>
      </c>
    </row>
    <row r="616" spans="1:10" x14ac:dyDescent="0.3">
      <c r="A616" t="s">
        <v>1260</v>
      </c>
      <c r="B616" t="s">
        <v>1261</v>
      </c>
      <c r="D616" s="6">
        <v>1000</v>
      </c>
      <c r="G616" s="7">
        <v>9.3000000000000007</v>
      </c>
      <c r="H616" s="4" t="s">
        <v>1091</v>
      </c>
      <c r="J616" t="s">
        <v>62</v>
      </c>
    </row>
    <row r="617" spans="1:10" x14ac:dyDescent="0.3">
      <c r="A617" t="s">
        <v>1260</v>
      </c>
      <c r="B617" t="s">
        <v>1261</v>
      </c>
      <c r="D617" s="6">
        <v>1000</v>
      </c>
      <c r="G617" s="7">
        <v>9.3000000000000007</v>
      </c>
      <c r="H617" s="4" t="s">
        <v>1091</v>
      </c>
      <c r="J617" t="s">
        <v>62</v>
      </c>
    </row>
    <row r="618" spans="1:10" x14ac:dyDescent="0.3">
      <c r="A618" t="s">
        <v>1262</v>
      </c>
      <c r="B618" t="s">
        <v>1263</v>
      </c>
      <c r="D618" s="6">
        <v>1000</v>
      </c>
      <c r="G618" s="7" t="s">
        <v>65</v>
      </c>
      <c r="H618" s="4" t="s">
        <v>1091</v>
      </c>
      <c r="J618" t="s">
        <v>49</v>
      </c>
    </row>
    <row r="619" spans="1:10" x14ac:dyDescent="0.3">
      <c r="A619" t="s">
        <v>1262</v>
      </c>
      <c r="B619" t="s">
        <v>1263</v>
      </c>
      <c r="D619" s="6">
        <v>1000</v>
      </c>
      <c r="G619" s="7" t="s">
        <v>65</v>
      </c>
      <c r="H619" s="4" t="s">
        <v>1091</v>
      </c>
      <c r="J619" t="s">
        <v>49</v>
      </c>
    </row>
    <row r="620" spans="1:10" x14ac:dyDescent="0.3">
      <c r="A620" t="s">
        <v>1264</v>
      </c>
      <c r="B620" t="s">
        <v>1265</v>
      </c>
      <c r="D620" s="6">
        <v>1000</v>
      </c>
      <c r="G620" s="7" t="s">
        <v>65</v>
      </c>
      <c r="H620" s="4" t="s">
        <v>1091</v>
      </c>
      <c r="J620" t="s">
        <v>49</v>
      </c>
    </row>
    <row r="621" spans="1:10" x14ac:dyDescent="0.3">
      <c r="A621" t="s">
        <v>1264</v>
      </c>
      <c r="B621" t="s">
        <v>1265</v>
      </c>
      <c r="D621" s="6">
        <v>1000</v>
      </c>
      <c r="G621" s="7" t="s">
        <v>65</v>
      </c>
      <c r="H621" s="4" t="s">
        <v>1091</v>
      </c>
      <c r="J621" t="s">
        <v>49</v>
      </c>
    </row>
    <row r="622" spans="1:10" x14ac:dyDescent="0.3">
      <c r="A622" t="s">
        <v>1266</v>
      </c>
      <c r="B622" t="s">
        <v>1267</v>
      </c>
      <c r="D622" s="6">
        <v>1000</v>
      </c>
      <c r="G622" s="7">
        <v>9.5500000000000007</v>
      </c>
      <c r="H622" s="4" t="s">
        <v>1268</v>
      </c>
      <c r="J622" t="s">
        <v>62</v>
      </c>
    </row>
    <row r="623" spans="1:10" x14ac:dyDescent="0.3">
      <c r="A623" t="s">
        <v>1266</v>
      </c>
      <c r="B623" t="s">
        <v>1267</v>
      </c>
      <c r="D623" s="6">
        <v>1000</v>
      </c>
      <c r="G623" s="7">
        <v>9.5500000000000007</v>
      </c>
      <c r="H623" s="4" t="s">
        <v>1268</v>
      </c>
      <c r="J623" t="s">
        <v>62</v>
      </c>
    </row>
    <row r="624" spans="1:10" x14ac:dyDescent="0.3">
      <c r="A624" t="s">
        <v>1269</v>
      </c>
      <c r="B624" t="s">
        <v>1270</v>
      </c>
      <c r="D624" s="6">
        <v>1000</v>
      </c>
      <c r="G624" s="7">
        <v>8.33</v>
      </c>
      <c r="H624" s="4" t="s">
        <v>1251</v>
      </c>
      <c r="J624" t="s">
        <v>59</v>
      </c>
    </row>
    <row r="625" spans="1:10" x14ac:dyDescent="0.3">
      <c r="A625" t="s">
        <v>1269</v>
      </c>
      <c r="B625" t="s">
        <v>1270</v>
      </c>
      <c r="D625" s="6">
        <v>1000</v>
      </c>
      <c r="G625" s="7">
        <v>8.33</v>
      </c>
      <c r="H625" s="4" t="s">
        <v>1251</v>
      </c>
      <c r="J625" t="s">
        <v>59</v>
      </c>
    </row>
    <row r="626" spans="1:10" x14ac:dyDescent="0.3">
      <c r="A626" t="s">
        <v>1271</v>
      </c>
      <c r="B626" t="s">
        <v>1272</v>
      </c>
      <c r="D626" s="6">
        <v>1000</v>
      </c>
      <c r="G626" s="7">
        <v>8.6999999999999993</v>
      </c>
      <c r="H626" s="4" t="s">
        <v>1251</v>
      </c>
      <c r="J626" t="s">
        <v>59</v>
      </c>
    </row>
    <row r="627" spans="1:10" x14ac:dyDescent="0.3">
      <c r="A627" t="s">
        <v>1271</v>
      </c>
      <c r="B627" t="s">
        <v>1272</v>
      </c>
      <c r="D627" s="6">
        <v>1000</v>
      </c>
      <c r="G627" s="7">
        <v>8.6999999999999993</v>
      </c>
      <c r="H627" s="4" t="s">
        <v>1251</v>
      </c>
      <c r="J627" t="s">
        <v>59</v>
      </c>
    </row>
    <row r="628" spans="1:10" x14ac:dyDescent="0.3">
      <c r="A628" t="s">
        <v>1273</v>
      </c>
      <c r="B628" t="s">
        <v>1229</v>
      </c>
      <c r="D628" s="9">
        <v>1000</v>
      </c>
      <c r="G628" s="7">
        <v>8.94</v>
      </c>
      <c r="H628" s="5">
        <v>45964</v>
      </c>
      <c r="J628" t="s">
        <v>59</v>
      </c>
    </row>
    <row r="629" spans="1:10" x14ac:dyDescent="0.3">
      <c r="A629" t="s">
        <v>1273</v>
      </c>
      <c r="B629" t="s">
        <v>1274</v>
      </c>
      <c r="D629" s="6">
        <v>1000</v>
      </c>
      <c r="G629" s="7">
        <v>8.94</v>
      </c>
      <c r="H629" s="4" t="s">
        <v>1091</v>
      </c>
      <c r="J629" t="s">
        <v>59</v>
      </c>
    </row>
    <row r="630" spans="1:10" x14ac:dyDescent="0.3">
      <c r="A630" t="s">
        <v>1273</v>
      </c>
      <c r="B630" t="s">
        <v>1274</v>
      </c>
      <c r="D630" s="6">
        <v>1000</v>
      </c>
      <c r="G630" s="7">
        <v>8.94</v>
      </c>
      <c r="H630" s="4" t="s">
        <v>1091</v>
      </c>
      <c r="J630" t="s">
        <v>59</v>
      </c>
    </row>
    <row r="631" spans="1:10" x14ac:dyDescent="0.3">
      <c r="A631" t="s">
        <v>1275</v>
      </c>
      <c r="B631" t="s">
        <v>1229</v>
      </c>
      <c r="D631" s="9">
        <v>1000</v>
      </c>
      <c r="G631" s="7">
        <v>9.15</v>
      </c>
      <c r="H631" s="5">
        <v>46694</v>
      </c>
      <c r="I631" t="s">
        <v>1275</v>
      </c>
      <c r="J631" t="s">
        <v>59</v>
      </c>
    </row>
    <row r="632" spans="1:10" x14ac:dyDescent="0.3">
      <c r="A632" t="s">
        <v>1275</v>
      </c>
      <c r="B632" t="s">
        <v>1276</v>
      </c>
      <c r="D632" s="6">
        <v>1000</v>
      </c>
      <c r="G632" s="7">
        <v>9.15</v>
      </c>
      <c r="H632" s="4" t="s">
        <v>1268</v>
      </c>
      <c r="J632" t="s">
        <v>59</v>
      </c>
    </row>
    <row r="633" spans="1:10" x14ac:dyDescent="0.3">
      <c r="A633" t="s">
        <v>1275</v>
      </c>
      <c r="B633" t="s">
        <v>1276</v>
      </c>
      <c r="D633" s="6">
        <v>1000</v>
      </c>
      <c r="G633" s="7">
        <v>9.15</v>
      </c>
      <c r="H633" s="4" t="s">
        <v>1268</v>
      </c>
      <c r="J633" t="s">
        <v>59</v>
      </c>
    </row>
    <row r="634" spans="1:10" x14ac:dyDescent="0.3">
      <c r="A634" t="s">
        <v>1277</v>
      </c>
      <c r="B634" t="s">
        <v>1278</v>
      </c>
      <c r="D634" s="6">
        <v>1000</v>
      </c>
      <c r="G634" s="7">
        <v>8.6999999999999993</v>
      </c>
      <c r="H634" s="4" t="s">
        <v>1268</v>
      </c>
      <c r="J634" t="s">
        <v>59</v>
      </c>
    </row>
    <row r="635" spans="1:10" x14ac:dyDescent="0.3">
      <c r="A635" t="s">
        <v>1277</v>
      </c>
      <c r="B635" t="s">
        <v>1278</v>
      </c>
      <c r="D635" s="6">
        <v>1000</v>
      </c>
      <c r="G635" s="7">
        <v>8.6999999999999993</v>
      </c>
      <c r="H635" s="4" t="s">
        <v>1268</v>
      </c>
      <c r="J635" t="s">
        <v>59</v>
      </c>
    </row>
    <row r="636" spans="1:10" x14ac:dyDescent="0.3">
      <c r="A636" t="s">
        <v>1279</v>
      </c>
      <c r="B636" t="s">
        <v>1280</v>
      </c>
      <c r="D636" s="6">
        <v>1000</v>
      </c>
      <c r="G636" s="7">
        <v>9.3000000000000007</v>
      </c>
      <c r="H636" s="4" t="s">
        <v>1281</v>
      </c>
      <c r="J636" t="s">
        <v>62</v>
      </c>
    </row>
    <row r="637" spans="1:10" x14ac:dyDescent="0.3">
      <c r="A637" t="s">
        <v>1279</v>
      </c>
      <c r="B637" t="s">
        <v>1280</v>
      </c>
      <c r="D637" s="6">
        <v>1000</v>
      </c>
      <c r="G637" s="7">
        <v>9.3000000000000007</v>
      </c>
      <c r="H637" s="4" t="s">
        <v>1281</v>
      </c>
      <c r="J637" t="s">
        <v>62</v>
      </c>
    </row>
    <row r="638" spans="1:10" x14ac:dyDescent="0.3">
      <c r="A638" t="s">
        <v>1282</v>
      </c>
      <c r="B638" t="s">
        <v>1104</v>
      </c>
      <c r="C638" t="s">
        <v>44</v>
      </c>
      <c r="D638" s="9">
        <v>1000</v>
      </c>
      <c r="E638" t="s">
        <v>1283</v>
      </c>
      <c r="F638" t="s">
        <v>1284</v>
      </c>
      <c r="G638">
        <v>9.39</v>
      </c>
      <c r="H638" t="s">
        <v>1285</v>
      </c>
      <c r="I638" t="s">
        <v>1286</v>
      </c>
      <c r="J638" t="s">
        <v>59</v>
      </c>
    </row>
    <row r="639" spans="1:10" x14ac:dyDescent="0.3">
      <c r="A639" t="s">
        <v>1282</v>
      </c>
      <c r="B639" t="s">
        <v>1287</v>
      </c>
      <c r="D639" s="6">
        <v>1000</v>
      </c>
      <c r="G639" s="7">
        <v>9.39</v>
      </c>
      <c r="H639" s="4" t="s">
        <v>1285</v>
      </c>
      <c r="J639" t="s">
        <v>59</v>
      </c>
    </row>
    <row r="640" spans="1:10" x14ac:dyDescent="0.3">
      <c r="A640" t="s">
        <v>1282</v>
      </c>
      <c r="B640" t="s">
        <v>1287</v>
      </c>
      <c r="D640" s="6">
        <v>1000</v>
      </c>
      <c r="G640" s="7">
        <v>9.39</v>
      </c>
      <c r="H640" s="4" t="s">
        <v>1285</v>
      </c>
      <c r="J640" t="s">
        <v>59</v>
      </c>
    </row>
    <row r="641" spans="1:10" x14ac:dyDescent="0.3">
      <c r="A641" t="s">
        <v>1288</v>
      </c>
      <c r="B641" t="s">
        <v>1289</v>
      </c>
      <c r="D641" s="6">
        <v>1000</v>
      </c>
      <c r="G641" s="7">
        <v>8.9</v>
      </c>
      <c r="H641" s="4" t="s">
        <v>1281</v>
      </c>
      <c r="J641" t="s">
        <v>62</v>
      </c>
    </row>
    <row r="642" spans="1:10" x14ac:dyDescent="0.3">
      <c r="A642" t="s">
        <v>1288</v>
      </c>
      <c r="B642" t="s">
        <v>1289</v>
      </c>
      <c r="D642" s="6">
        <v>1000</v>
      </c>
      <c r="G642" s="7">
        <v>8.9</v>
      </c>
      <c r="H642" s="4" t="s">
        <v>1281</v>
      </c>
      <c r="J642" t="s">
        <v>62</v>
      </c>
    </row>
    <row r="643" spans="1:10" x14ac:dyDescent="0.3">
      <c r="A643" t="s">
        <v>1290</v>
      </c>
      <c r="B643" t="s">
        <v>1291</v>
      </c>
      <c r="D643" s="6">
        <v>1000</v>
      </c>
      <c r="G643" s="7">
        <v>9.8000000000000007</v>
      </c>
      <c r="H643" s="4" t="s">
        <v>1285</v>
      </c>
      <c r="J643" t="s">
        <v>62</v>
      </c>
    </row>
    <row r="644" spans="1:10" x14ac:dyDescent="0.3">
      <c r="A644" t="s">
        <v>1290</v>
      </c>
      <c r="B644" t="s">
        <v>1291</v>
      </c>
      <c r="D644" s="6">
        <v>1000</v>
      </c>
      <c r="G644" s="7">
        <v>9.8000000000000007</v>
      </c>
      <c r="H644" s="4" t="s">
        <v>1285</v>
      </c>
      <c r="J644" t="s">
        <v>62</v>
      </c>
    </row>
    <row r="645" spans="1:10" x14ac:dyDescent="0.3">
      <c r="A645" t="s">
        <v>1292</v>
      </c>
      <c r="B645" t="s">
        <v>1229</v>
      </c>
      <c r="D645" s="9">
        <v>1000</v>
      </c>
      <c r="G645">
        <v>9.5500000000000007</v>
      </c>
      <c r="H645" s="4">
        <v>46019</v>
      </c>
      <c r="I645" t="s">
        <v>1292</v>
      </c>
      <c r="J645" t="s">
        <v>62</v>
      </c>
    </row>
    <row r="646" spans="1:10" x14ac:dyDescent="0.3">
      <c r="A646" t="s">
        <v>1292</v>
      </c>
      <c r="B646" t="s">
        <v>1293</v>
      </c>
      <c r="D646" s="6">
        <v>1000</v>
      </c>
      <c r="G646" s="7">
        <v>9.5500000000000007</v>
      </c>
      <c r="H646" s="4" t="s">
        <v>1294</v>
      </c>
      <c r="J646" t="s">
        <v>62</v>
      </c>
    </row>
    <row r="647" spans="1:10" x14ac:dyDescent="0.3">
      <c r="A647" t="s">
        <v>1292</v>
      </c>
      <c r="B647" t="s">
        <v>1293</v>
      </c>
      <c r="D647" s="6">
        <v>1000</v>
      </c>
      <c r="G647" s="7">
        <v>9.5500000000000007</v>
      </c>
      <c r="H647" s="4" t="s">
        <v>1294</v>
      </c>
      <c r="J647" t="s">
        <v>62</v>
      </c>
    </row>
    <row r="648" spans="1:10" x14ac:dyDescent="0.3">
      <c r="A648" t="s">
        <v>1295</v>
      </c>
      <c r="B648" t="s">
        <v>1296</v>
      </c>
      <c r="D648" s="6">
        <v>1000</v>
      </c>
      <c r="G648" s="7">
        <v>9.0499999999999989</v>
      </c>
      <c r="H648" s="4" t="s">
        <v>1294</v>
      </c>
      <c r="J648" t="s">
        <v>62</v>
      </c>
    </row>
    <row r="649" spans="1:10" x14ac:dyDescent="0.3">
      <c r="A649" t="s">
        <v>1295</v>
      </c>
      <c r="B649" t="s">
        <v>1296</v>
      </c>
      <c r="D649" s="6">
        <v>1000</v>
      </c>
      <c r="G649" s="7">
        <v>9.0499999999999989</v>
      </c>
      <c r="H649" s="4" t="s">
        <v>1294</v>
      </c>
      <c r="J649" t="s">
        <v>62</v>
      </c>
    </row>
    <row r="650" spans="1:10" x14ac:dyDescent="0.3">
      <c r="A650" t="s">
        <v>1297</v>
      </c>
      <c r="B650" t="s">
        <v>1229</v>
      </c>
      <c r="D650" s="9">
        <v>1000</v>
      </c>
      <c r="G650">
        <v>0</v>
      </c>
      <c r="H650" s="4">
        <v>45654</v>
      </c>
      <c r="I650" t="s">
        <v>1297</v>
      </c>
      <c r="J650" t="s">
        <v>49</v>
      </c>
    </row>
    <row r="651" spans="1:10" x14ac:dyDescent="0.3">
      <c r="A651" t="s">
        <v>1297</v>
      </c>
      <c r="B651" t="s">
        <v>1298</v>
      </c>
      <c r="D651" s="6">
        <v>1000</v>
      </c>
      <c r="G651" s="7" t="s">
        <v>65</v>
      </c>
      <c r="H651" s="4" t="s">
        <v>1281</v>
      </c>
      <c r="J651" t="s">
        <v>49</v>
      </c>
    </row>
    <row r="652" spans="1:10" x14ac:dyDescent="0.3">
      <c r="A652" t="s">
        <v>1297</v>
      </c>
      <c r="B652" t="s">
        <v>1298</v>
      </c>
      <c r="D652" s="6">
        <v>1000</v>
      </c>
      <c r="G652" s="7" t="s">
        <v>65</v>
      </c>
      <c r="H652" s="4" t="s">
        <v>1281</v>
      </c>
      <c r="J652" t="s">
        <v>49</v>
      </c>
    </row>
    <row r="653" spans="1:10" x14ac:dyDescent="0.3">
      <c r="A653" t="s">
        <v>1299</v>
      </c>
      <c r="B653" t="s">
        <v>1300</v>
      </c>
      <c r="D653" s="6">
        <v>1000</v>
      </c>
      <c r="G653" s="7" t="s">
        <v>65</v>
      </c>
      <c r="H653" s="4" t="s">
        <v>1294</v>
      </c>
      <c r="J653" t="s">
        <v>49</v>
      </c>
    </row>
    <row r="654" spans="1:10" x14ac:dyDescent="0.3">
      <c r="A654" t="s">
        <v>1299</v>
      </c>
      <c r="B654" t="s">
        <v>1300</v>
      </c>
      <c r="D654" s="6">
        <v>1000</v>
      </c>
      <c r="G654" s="7" t="s">
        <v>65</v>
      </c>
      <c r="H654" s="4" t="s">
        <v>1294</v>
      </c>
      <c r="J654" t="s">
        <v>49</v>
      </c>
    </row>
    <row r="655" spans="1:10" x14ac:dyDescent="0.3">
      <c r="A655" t="s">
        <v>1301</v>
      </c>
      <c r="B655" t="s">
        <v>1229</v>
      </c>
      <c r="D655" s="9">
        <v>1000</v>
      </c>
      <c r="G655">
        <v>9.16</v>
      </c>
      <c r="H655" s="4">
        <v>46019</v>
      </c>
      <c r="I655" t="s">
        <v>1301</v>
      </c>
      <c r="J655" t="s">
        <v>59</v>
      </c>
    </row>
    <row r="656" spans="1:10" x14ac:dyDescent="0.3">
      <c r="A656" t="s">
        <v>1301</v>
      </c>
      <c r="B656" t="s">
        <v>1302</v>
      </c>
      <c r="D656" s="6">
        <v>1000</v>
      </c>
      <c r="G656" s="7">
        <v>9.16</v>
      </c>
      <c r="H656" s="4" t="s">
        <v>1294</v>
      </c>
      <c r="J656" t="s">
        <v>59</v>
      </c>
    </row>
    <row r="657" spans="1:10" x14ac:dyDescent="0.3">
      <c r="A657" t="s">
        <v>1301</v>
      </c>
      <c r="B657" t="s">
        <v>1302</v>
      </c>
      <c r="D657" s="6">
        <v>1000</v>
      </c>
      <c r="G657" s="7">
        <v>9.16</v>
      </c>
      <c r="H657" s="4" t="s">
        <v>1294</v>
      </c>
      <c r="J657" t="s">
        <v>59</v>
      </c>
    </row>
    <row r="658" spans="1:10" x14ac:dyDescent="0.3">
      <c r="A658" t="s">
        <v>1303</v>
      </c>
      <c r="B658" t="s">
        <v>1304</v>
      </c>
      <c r="D658" s="6">
        <v>1000</v>
      </c>
      <c r="G658" s="7">
        <v>8.94</v>
      </c>
      <c r="H658" s="4" t="s">
        <v>1285</v>
      </c>
      <c r="J658" t="s">
        <v>59</v>
      </c>
    </row>
    <row r="659" spans="1:10" x14ac:dyDescent="0.3">
      <c r="A659" t="s">
        <v>1303</v>
      </c>
      <c r="B659" t="s">
        <v>1304</v>
      </c>
      <c r="D659" s="6">
        <v>1000</v>
      </c>
      <c r="G659" s="7">
        <v>8.94</v>
      </c>
      <c r="H659" s="4" t="s">
        <v>1285</v>
      </c>
      <c r="J659" t="s">
        <v>59</v>
      </c>
    </row>
    <row r="660" spans="1:10" x14ac:dyDescent="0.3">
      <c r="A660" t="s">
        <v>1305</v>
      </c>
      <c r="B660" t="s">
        <v>1306</v>
      </c>
      <c r="D660" s="6">
        <v>1000</v>
      </c>
      <c r="G660" s="7">
        <v>8.6999999999999993</v>
      </c>
      <c r="H660" s="4" t="s">
        <v>1294</v>
      </c>
      <c r="J660" t="s">
        <v>59</v>
      </c>
    </row>
    <row r="661" spans="1:10" x14ac:dyDescent="0.3">
      <c r="A661" t="s">
        <v>1305</v>
      </c>
      <c r="B661" t="s">
        <v>1306</v>
      </c>
      <c r="D661" s="6">
        <v>1000</v>
      </c>
      <c r="G661" s="7">
        <v>8.6999999999999993</v>
      </c>
      <c r="H661" s="4" t="s">
        <v>1294</v>
      </c>
      <c r="J661" t="s">
        <v>59</v>
      </c>
    </row>
    <row r="662" spans="1:10" x14ac:dyDescent="0.3">
      <c r="A662" t="s">
        <v>1307</v>
      </c>
      <c r="B662" t="s">
        <v>1308</v>
      </c>
      <c r="D662" s="6">
        <v>1000</v>
      </c>
      <c r="G662" s="7">
        <v>8.94</v>
      </c>
      <c r="H662" s="4" t="s">
        <v>1281</v>
      </c>
      <c r="J662" t="s">
        <v>59</v>
      </c>
    </row>
    <row r="663" spans="1:10" x14ac:dyDescent="0.3">
      <c r="A663" t="s">
        <v>1307</v>
      </c>
      <c r="B663" t="s">
        <v>1308</v>
      </c>
      <c r="D663" s="6">
        <v>1000</v>
      </c>
      <c r="G663" s="7">
        <v>8.94</v>
      </c>
      <c r="H663" s="4" t="s">
        <v>1281</v>
      </c>
      <c r="J663" t="s">
        <v>59</v>
      </c>
    </row>
    <row r="664" spans="1:10" x14ac:dyDescent="0.3">
      <c r="A664" t="s">
        <v>1309</v>
      </c>
      <c r="B664" t="s">
        <v>1310</v>
      </c>
      <c r="D664" s="6">
        <v>1000</v>
      </c>
      <c r="G664" s="7">
        <v>8.57</v>
      </c>
      <c r="H664" s="4" t="s">
        <v>1281</v>
      </c>
      <c r="J664" t="s">
        <v>59</v>
      </c>
    </row>
    <row r="665" spans="1:10" x14ac:dyDescent="0.3">
      <c r="A665" t="s">
        <v>1309</v>
      </c>
      <c r="B665" t="s">
        <v>1310</v>
      </c>
      <c r="D665" s="6">
        <v>1000</v>
      </c>
      <c r="G665" s="7">
        <v>8.57</v>
      </c>
      <c r="H665" s="4" t="s">
        <v>1281</v>
      </c>
      <c r="J665" t="s">
        <v>59</v>
      </c>
    </row>
    <row r="666" spans="1:10" x14ac:dyDescent="0.3">
      <c r="A666" t="s">
        <v>1311</v>
      </c>
      <c r="B666" t="s">
        <v>1312</v>
      </c>
      <c r="D666" s="6">
        <v>1000</v>
      </c>
      <c r="G666" s="7">
        <v>9.25</v>
      </c>
      <c r="H666" s="4" t="s">
        <v>1313</v>
      </c>
      <c r="J666" t="s">
        <v>62</v>
      </c>
    </row>
    <row r="667" spans="1:10" x14ac:dyDescent="0.3">
      <c r="A667" t="s">
        <v>1311</v>
      </c>
      <c r="B667" t="s">
        <v>1312</v>
      </c>
      <c r="D667" s="6">
        <v>1000</v>
      </c>
      <c r="G667" s="7">
        <v>9.25</v>
      </c>
      <c r="H667" s="4" t="s">
        <v>1313</v>
      </c>
      <c r="J667" t="s">
        <v>62</v>
      </c>
    </row>
    <row r="668" spans="1:10" x14ac:dyDescent="0.3">
      <c r="A668" t="s">
        <v>1314</v>
      </c>
      <c r="B668" t="s">
        <v>1315</v>
      </c>
      <c r="D668" s="6">
        <v>1000</v>
      </c>
      <c r="G668" s="7">
        <v>9.65</v>
      </c>
      <c r="H668" s="4" t="s">
        <v>1313</v>
      </c>
      <c r="J668" t="s">
        <v>62</v>
      </c>
    </row>
    <row r="669" spans="1:10" x14ac:dyDescent="0.3">
      <c r="A669" t="s">
        <v>1314</v>
      </c>
      <c r="B669" t="s">
        <v>1315</v>
      </c>
      <c r="D669" s="6">
        <v>1000</v>
      </c>
      <c r="G669" s="7">
        <v>9.65</v>
      </c>
      <c r="H669" s="4" t="s">
        <v>1313</v>
      </c>
      <c r="J669" t="s">
        <v>62</v>
      </c>
    </row>
    <row r="670" spans="1:10" x14ac:dyDescent="0.3">
      <c r="A670" t="s">
        <v>1316</v>
      </c>
      <c r="B670" t="s">
        <v>1317</v>
      </c>
      <c r="D670" s="6">
        <v>1000</v>
      </c>
      <c r="G670" s="7">
        <v>9.7100000000000009</v>
      </c>
      <c r="H670" s="4" t="s">
        <v>590</v>
      </c>
      <c r="J670" t="s">
        <v>59</v>
      </c>
    </row>
    <row r="671" spans="1:10" x14ac:dyDescent="0.3">
      <c r="A671" t="s">
        <v>1316</v>
      </c>
      <c r="B671" t="s">
        <v>1317</v>
      </c>
      <c r="D671" s="6">
        <v>1000</v>
      </c>
      <c r="G671" s="7">
        <v>9.7100000000000009</v>
      </c>
      <c r="H671" s="4" t="s">
        <v>590</v>
      </c>
      <c r="J671" t="s">
        <v>59</v>
      </c>
    </row>
    <row r="672" spans="1:10" x14ac:dyDescent="0.3">
      <c r="A672" t="s">
        <v>1318</v>
      </c>
      <c r="B672" t="s">
        <v>1319</v>
      </c>
      <c r="D672" s="6">
        <v>1000</v>
      </c>
      <c r="G672" s="7">
        <v>9.65</v>
      </c>
      <c r="H672" s="4" t="s">
        <v>590</v>
      </c>
      <c r="J672" t="s">
        <v>62</v>
      </c>
    </row>
    <row r="673" spans="1:10" x14ac:dyDescent="0.3">
      <c r="A673" t="s">
        <v>1318</v>
      </c>
      <c r="B673" t="s">
        <v>1319</v>
      </c>
      <c r="D673" s="6">
        <v>1000</v>
      </c>
      <c r="G673" s="7">
        <v>9.65</v>
      </c>
      <c r="H673" s="4" t="s">
        <v>590</v>
      </c>
      <c r="J673" t="s">
        <v>62</v>
      </c>
    </row>
    <row r="674" spans="1:10" x14ac:dyDescent="0.3">
      <c r="A674" t="s">
        <v>1320</v>
      </c>
      <c r="B674" t="s">
        <v>1321</v>
      </c>
      <c r="D674" s="6">
        <v>1000</v>
      </c>
      <c r="G674" s="7">
        <v>9.25</v>
      </c>
      <c r="H674" s="4" t="s">
        <v>590</v>
      </c>
      <c r="J674" t="s">
        <v>59</v>
      </c>
    </row>
    <row r="675" spans="1:10" x14ac:dyDescent="0.3">
      <c r="A675" t="s">
        <v>1320</v>
      </c>
      <c r="B675" t="s">
        <v>1321</v>
      </c>
      <c r="D675" s="6">
        <v>1000</v>
      </c>
      <c r="G675" s="7">
        <v>9.25</v>
      </c>
      <c r="H675" s="4" t="s">
        <v>590</v>
      </c>
      <c r="J675" t="s">
        <v>59</v>
      </c>
    </row>
    <row r="676" spans="1:10" x14ac:dyDescent="0.3">
      <c r="A676" t="s">
        <v>1322</v>
      </c>
      <c r="B676" t="s">
        <v>1323</v>
      </c>
      <c r="D676" s="6">
        <v>1000</v>
      </c>
      <c r="G676" s="7" t="s">
        <v>65</v>
      </c>
      <c r="H676" s="4" t="s">
        <v>1324</v>
      </c>
      <c r="J676" t="s">
        <v>49</v>
      </c>
    </row>
    <row r="677" spans="1:10" x14ac:dyDescent="0.3">
      <c r="A677" t="s">
        <v>1322</v>
      </c>
      <c r="B677" t="s">
        <v>1323</v>
      </c>
      <c r="D677" s="6">
        <v>1000</v>
      </c>
      <c r="G677" s="7" t="s">
        <v>65</v>
      </c>
      <c r="H677" s="4" t="s">
        <v>1324</v>
      </c>
      <c r="J677" t="s">
        <v>49</v>
      </c>
    </row>
    <row r="678" spans="1:10" x14ac:dyDescent="0.3">
      <c r="A678" t="s">
        <v>1325</v>
      </c>
      <c r="B678" t="s">
        <v>1326</v>
      </c>
      <c r="D678" s="6">
        <v>1000</v>
      </c>
      <c r="G678" s="7">
        <v>9.48</v>
      </c>
      <c r="H678" s="4" t="s">
        <v>1324</v>
      </c>
      <c r="J678" t="s">
        <v>59</v>
      </c>
    </row>
    <row r="679" spans="1:10" x14ac:dyDescent="0.3">
      <c r="A679" t="s">
        <v>1325</v>
      </c>
      <c r="B679" t="s">
        <v>1326</v>
      </c>
      <c r="D679" s="6">
        <v>1000</v>
      </c>
      <c r="G679" s="7">
        <v>9.48</v>
      </c>
      <c r="H679" s="4" t="s">
        <v>1324</v>
      </c>
      <c r="J679" t="s">
        <v>59</v>
      </c>
    </row>
    <row r="680" spans="1:10" x14ac:dyDescent="0.3">
      <c r="A680" t="s">
        <v>1327</v>
      </c>
      <c r="B680" t="s">
        <v>1328</v>
      </c>
      <c r="D680" s="6">
        <v>1000</v>
      </c>
      <c r="G680" s="7">
        <v>9.9</v>
      </c>
      <c r="H680" s="4" t="s">
        <v>1324</v>
      </c>
      <c r="J680" t="s">
        <v>62</v>
      </c>
    </row>
    <row r="681" spans="1:10" x14ac:dyDescent="0.3">
      <c r="A681" t="s">
        <v>1327</v>
      </c>
      <c r="B681" t="s">
        <v>1328</v>
      </c>
      <c r="D681" s="6">
        <v>1000</v>
      </c>
      <c r="G681" s="7">
        <v>9.9</v>
      </c>
      <c r="H681" s="4" t="s">
        <v>1324</v>
      </c>
      <c r="J681" t="s">
        <v>62</v>
      </c>
    </row>
    <row r="682" spans="1:10" x14ac:dyDescent="0.3">
      <c r="A682" t="s">
        <v>1329</v>
      </c>
      <c r="B682" t="s">
        <v>1330</v>
      </c>
      <c r="D682" s="6">
        <v>1000</v>
      </c>
      <c r="G682" s="7" t="s">
        <v>65</v>
      </c>
      <c r="H682" s="4" t="s">
        <v>1313</v>
      </c>
      <c r="J682" t="s">
        <v>49</v>
      </c>
    </row>
    <row r="683" spans="1:10" x14ac:dyDescent="0.3">
      <c r="A683" t="s">
        <v>1329</v>
      </c>
      <c r="B683" t="s">
        <v>1330</v>
      </c>
      <c r="D683" s="6">
        <v>1000</v>
      </c>
      <c r="G683" s="7" t="s">
        <v>65</v>
      </c>
      <c r="H683" s="4" t="s">
        <v>1313</v>
      </c>
      <c r="J683" t="s">
        <v>49</v>
      </c>
    </row>
    <row r="684" spans="1:10" x14ac:dyDescent="0.3">
      <c r="A684" t="s">
        <v>1331</v>
      </c>
      <c r="B684" t="s">
        <v>1332</v>
      </c>
      <c r="D684" s="6">
        <v>1000</v>
      </c>
      <c r="G684" s="7" t="s">
        <v>65</v>
      </c>
      <c r="H684" s="4" t="s">
        <v>1313</v>
      </c>
      <c r="J684" t="s">
        <v>49</v>
      </c>
    </row>
    <row r="685" spans="1:10" x14ac:dyDescent="0.3">
      <c r="A685" t="s">
        <v>1331</v>
      </c>
      <c r="B685" t="s">
        <v>1332</v>
      </c>
      <c r="D685" s="6">
        <v>1000</v>
      </c>
      <c r="G685" s="7" t="s">
        <v>65</v>
      </c>
      <c r="H685" s="4" t="s">
        <v>1313</v>
      </c>
      <c r="J685" t="s">
        <v>49</v>
      </c>
    </row>
    <row r="686" spans="1:10" x14ac:dyDescent="0.3">
      <c r="A686" t="s">
        <v>1333</v>
      </c>
      <c r="B686" t="s">
        <v>1334</v>
      </c>
      <c r="D686" s="6">
        <v>1000</v>
      </c>
      <c r="G686" s="7">
        <v>9.25</v>
      </c>
      <c r="H686" s="4" t="s">
        <v>1313</v>
      </c>
      <c r="J686" t="s">
        <v>59</v>
      </c>
    </row>
    <row r="687" spans="1:10" x14ac:dyDescent="0.3">
      <c r="A687" t="s">
        <v>1333</v>
      </c>
      <c r="B687" t="s">
        <v>1334</v>
      </c>
      <c r="D687" s="6">
        <v>1000</v>
      </c>
      <c r="G687" s="7">
        <v>9.25</v>
      </c>
      <c r="H687" s="4" t="s">
        <v>1313</v>
      </c>
      <c r="J687" t="s">
        <v>59</v>
      </c>
    </row>
    <row r="688" spans="1:10" x14ac:dyDescent="0.3">
      <c r="A688" t="s">
        <v>1335</v>
      </c>
      <c r="B688" t="s">
        <v>1336</v>
      </c>
      <c r="D688" s="6">
        <v>1000</v>
      </c>
      <c r="G688" s="7">
        <v>10.15</v>
      </c>
      <c r="H688" s="4" t="s">
        <v>590</v>
      </c>
      <c r="J688" t="s">
        <v>62</v>
      </c>
    </row>
    <row r="689" spans="1:10" x14ac:dyDescent="0.3">
      <c r="A689" t="s">
        <v>1335</v>
      </c>
      <c r="B689" t="s">
        <v>1336</v>
      </c>
      <c r="D689" s="6">
        <v>1000</v>
      </c>
      <c r="G689" s="7">
        <v>10.15</v>
      </c>
      <c r="H689" s="4" t="s">
        <v>590</v>
      </c>
      <c r="J689" t="s">
        <v>62</v>
      </c>
    </row>
    <row r="690" spans="1:10" x14ac:dyDescent="0.3">
      <c r="A690" t="s">
        <v>1337</v>
      </c>
      <c r="B690" t="s">
        <v>1338</v>
      </c>
      <c r="D690" s="6">
        <v>1000</v>
      </c>
      <c r="G690" s="7">
        <v>9.25</v>
      </c>
      <c r="H690" s="4" t="s">
        <v>1339</v>
      </c>
      <c r="J690" t="s">
        <v>62</v>
      </c>
    </row>
    <row r="691" spans="1:10" x14ac:dyDescent="0.3">
      <c r="A691" t="s">
        <v>1337</v>
      </c>
      <c r="B691" t="s">
        <v>1338</v>
      </c>
      <c r="D691" s="6">
        <v>1000</v>
      </c>
      <c r="G691" s="7">
        <v>9.25</v>
      </c>
      <c r="H691" s="4" t="s">
        <v>1339</v>
      </c>
      <c r="J691" t="s">
        <v>62</v>
      </c>
    </row>
    <row r="692" spans="1:10" x14ac:dyDescent="0.3">
      <c r="A692" t="s">
        <v>1340</v>
      </c>
      <c r="B692" t="s">
        <v>1341</v>
      </c>
      <c r="D692" s="6">
        <v>1000</v>
      </c>
      <c r="G692" s="7">
        <v>8.8800000000000008</v>
      </c>
      <c r="H692" s="4" t="s">
        <v>1339</v>
      </c>
      <c r="J692" t="s">
        <v>59</v>
      </c>
    </row>
    <row r="693" spans="1:10" x14ac:dyDescent="0.3">
      <c r="A693" t="s">
        <v>1340</v>
      </c>
      <c r="B693" t="s">
        <v>1341</v>
      </c>
      <c r="D693" s="6">
        <v>1000</v>
      </c>
      <c r="G693" s="7">
        <v>8.8800000000000008</v>
      </c>
      <c r="H693" s="4" t="s">
        <v>1339</v>
      </c>
      <c r="J693" t="s">
        <v>59</v>
      </c>
    </row>
    <row r="694" spans="1:10" x14ac:dyDescent="0.3">
      <c r="A694" t="s">
        <v>1342</v>
      </c>
      <c r="B694" t="s">
        <v>1343</v>
      </c>
      <c r="D694" s="6">
        <v>1000</v>
      </c>
      <c r="G694" s="7" t="s">
        <v>65</v>
      </c>
      <c r="H694" s="4" t="s">
        <v>1339</v>
      </c>
      <c r="J694" t="s">
        <v>49</v>
      </c>
    </row>
    <row r="695" spans="1:10" x14ac:dyDescent="0.3">
      <c r="A695" t="s">
        <v>1342</v>
      </c>
      <c r="B695" t="s">
        <v>1343</v>
      </c>
      <c r="D695" s="6">
        <v>1000</v>
      </c>
      <c r="G695" s="7" t="s">
        <v>65</v>
      </c>
      <c r="H695" s="4" t="s">
        <v>1339</v>
      </c>
      <c r="J695" t="s">
        <v>49</v>
      </c>
    </row>
    <row r="696" spans="1:10" x14ac:dyDescent="0.3">
      <c r="A696" t="s">
        <v>1344</v>
      </c>
      <c r="B696" t="s">
        <v>1345</v>
      </c>
      <c r="D696" s="6">
        <v>1000</v>
      </c>
      <c r="G696" s="7">
        <v>9.25</v>
      </c>
      <c r="H696" s="4" t="s">
        <v>1339</v>
      </c>
      <c r="J696" t="s">
        <v>59</v>
      </c>
    </row>
    <row r="697" spans="1:10" x14ac:dyDescent="0.3">
      <c r="A697" t="s">
        <v>1344</v>
      </c>
      <c r="B697" t="s">
        <v>1345</v>
      </c>
      <c r="D697" s="6">
        <v>1000</v>
      </c>
      <c r="G697" s="7">
        <v>9.25</v>
      </c>
      <c r="H697" s="4" t="s">
        <v>1339</v>
      </c>
      <c r="J697" t="s">
        <v>59</v>
      </c>
    </row>
    <row r="698" spans="1:10" x14ac:dyDescent="0.3">
      <c r="A698" t="s">
        <v>1346</v>
      </c>
      <c r="B698" t="s">
        <v>1347</v>
      </c>
      <c r="D698" s="6">
        <v>1000</v>
      </c>
      <c r="G698" s="7">
        <v>9.65</v>
      </c>
      <c r="H698" s="4" t="s">
        <v>1339</v>
      </c>
      <c r="J698" t="s">
        <v>62</v>
      </c>
    </row>
    <row r="699" spans="1:10" x14ac:dyDescent="0.3">
      <c r="A699" t="s">
        <v>1346</v>
      </c>
      <c r="B699" t="s">
        <v>1347</v>
      </c>
      <c r="D699" s="6">
        <v>1000</v>
      </c>
      <c r="G699" s="7">
        <v>9.65</v>
      </c>
      <c r="H699" s="4" t="s">
        <v>1339</v>
      </c>
      <c r="J699" t="s">
        <v>62</v>
      </c>
    </row>
    <row r="700" spans="1:10" x14ac:dyDescent="0.3">
      <c r="A700" t="s">
        <v>1348</v>
      </c>
      <c r="B700" t="s">
        <v>1349</v>
      </c>
      <c r="D700" s="6">
        <v>1000</v>
      </c>
      <c r="G700" s="7">
        <v>9.4</v>
      </c>
      <c r="H700" s="4" t="s">
        <v>1350</v>
      </c>
      <c r="J700" t="s">
        <v>62</v>
      </c>
    </row>
    <row r="701" spans="1:10" x14ac:dyDescent="0.3">
      <c r="A701" t="s">
        <v>1348</v>
      </c>
      <c r="B701" t="s">
        <v>1349</v>
      </c>
      <c r="D701" s="6">
        <v>1000</v>
      </c>
      <c r="G701" s="7">
        <v>9.4</v>
      </c>
      <c r="H701" s="4" t="s">
        <v>1350</v>
      </c>
      <c r="J701" t="s">
        <v>62</v>
      </c>
    </row>
    <row r="702" spans="1:10" x14ac:dyDescent="0.3">
      <c r="A702" t="s">
        <v>1351</v>
      </c>
      <c r="B702" t="s">
        <v>1352</v>
      </c>
      <c r="D702" s="6">
        <v>1000</v>
      </c>
      <c r="G702" s="7" t="s">
        <v>65</v>
      </c>
      <c r="H702" s="4" t="s">
        <v>1339</v>
      </c>
      <c r="J702" t="s">
        <v>49</v>
      </c>
    </row>
    <row r="703" spans="1:10" x14ac:dyDescent="0.3">
      <c r="A703" t="s">
        <v>1351</v>
      </c>
      <c r="B703" t="s">
        <v>1352</v>
      </c>
      <c r="D703" s="6">
        <v>1000</v>
      </c>
      <c r="G703" s="7" t="s">
        <v>65</v>
      </c>
      <c r="H703" s="4" t="s">
        <v>1339</v>
      </c>
      <c r="J703" t="s">
        <v>49</v>
      </c>
    </row>
    <row r="704" spans="1:10" x14ac:dyDescent="0.3">
      <c r="A704" t="s">
        <v>1353</v>
      </c>
      <c r="B704" t="s">
        <v>1354</v>
      </c>
      <c r="D704" s="6">
        <v>1000</v>
      </c>
      <c r="G704" s="7">
        <v>9.48</v>
      </c>
      <c r="H704" s="4" t="s">
        <v>1350</v>
      </c>
      <c r="J704" t="s">
        <v>59</v>
      </c>
    </row>
    <row r="705" spans="1:10" x14ac:dyDescent="0.3">
      <c r="A705" t="s">
        <v>1353</v>
      </c>
      <c r="B705" t="s">
        <v>1354</v>
      </c>
      <c r="D705" s="6">
        <v>1000</v>
      </c>
      <c r="G705" s="7">
        <v>9.48</v>
      </c>
      <c r="H705" s="4" t="s">
        <v>1350</v>
      </c>
      <c r="J705" t="s">
        <v>59</v>
      </c>
    </row>
    <row r="706" spans="1:10" x14ac:dyDescent="0.3">
      <c r="A706" t="s">
        <v>1355</v>
      </c>
      <c r="B706" t="s">
        <v>1356</v>
      </c>
      <c r="D706" s="6">
        <v>1000</v>
      </c>
      <c r="G706" s="7">
        <v>9.02</v>
      </c>
      <c r="H706" s="4" t="s">
        <v>1350</v>
      </c>
      <c r="J706" t="s">
        <v>59</v>
      </c>
    </row>
    <row r="707" spans="1:10" x14ac:dyDescent="0.3">
      <c r="A707" t="s">
        <v>1355</v>
      </c>
      <c r="B707" t="s">
        <v>1356</v>
      </c>
      <c r="D707" s="6">
        <v>1000</v>
      </c>
      <c r="G707" s="7">
        <v>9.02</v>
      </c>
      <c r="H707" s="4" t="s">
        <v>1350</v>
      </c>
      <c r="J707" t="s">
        <v>59</v>
      </c>
    </row>
    <row r="708" spans="1:10" x14ac:dyDescent="0.3">
      <c r="A708" t="s">
        <v>1357</v>
      </c>
      <c r="B708" t="s">
        <v>1358</v>
      </c>
      <c r="D708" s="6">
        <v>1000</v>
      </c>
      <c r="G708" s="7">
        <v>9.9</v>
      </c>
      <c r="H708" s="4" t="s">
        <v>1350</v>
      </c>
      <c r="J708" t="s">
        <v>62</v>
      </c>
    </row>
    <row r="709" spans="1:10" x14ac:dyDescent="0.3">
      <c r="A709" t="s">
        <v>1357</v>
      </c>
      <c r="B709" t="s">
        <v>1358</v>
      </c>
      <c r="D709" s="6">
        <v>1000</v>
      </c>
      <c r="G709" s="7">
        <v>9.9</v>
      </c>
      <c r="H709" s="4" t="s">
        <v>1350</v>
      </c>
      <c r="J709" t="s">
        <v>62</v>
      </c>
    </row>
    <row r="710" spans="1:10" x14ac:dyDescent="0.3">
      <c r="A710" t="s">
        <v>1359</v>
      </c>
      <c r="B710" t="s">
        <v>1360</v>
      </c>
      <c r="D710" s="6">
        <v>1000</v>
      </c>
      <c r="G710" s="7" t="s">
        <v>65</v>
      </c>
      <c r="H710" s="4" t="s">
        <v>1350</v>
      </c>
      <c r="J710" t="s">
        <v>49</v>
      </c>
    </row>
    <row r="711" spans="1:10" x14ac:dyDescent="0.3">
      <c r="A711" t="s">
        <v>1359</v>
      </c>
      <c r="B711" t="s">
        <v>1360</v>
      </c>
      <c r="D711" s="6">
        <v>1000</v>
      </c>
      <c r="G711" s="7" t="s">
        <v>65</v>
      </c>
      <c r="H711" s="4" t="s">
        <v>1350</v>
      </c>
      <c r="J711" t="s">
        <v>49</v>
      </c>
    </row>
    <row r="712" spans="1:10" x14ac:dyDescent="0.3">
      <c r="A712" t="s">
        <v>1361</v>
      </c>
      <c r="B712" t="s">
        <v>1362</v>
      </c>
      <c r="D712" s="6">
        <v>1000</v>
      </c>
      <c r="G712" s="7">
        <v>9.7100000000000009</v>
      </c>
      <c r="H712" s="4" t="s">
        <v>1363</v>
      </c>
      <c r="J712" t="s">
        <v>59</v>
      </c>
    </row>
    <row r="713" spans="1:10" x14ac:dyDescent="0.3">
      <c r="A713" t="s">
        <v>1361</v>
      </c>
      <c r="B713" t="s">
        <v>1362</v>
      </c>
      <c r="D713" s="6">
        <v>1000</v>
      </c>
      <c r="G713" s="7">
        <v>9.7100000000000009</v>
      </c>
      <c r="H713" s="4" t="s">
        <v>1363</v>
      </c>
      <c r="J713" t="s">
        <v>59</v>
      </c>
    </row>
    <row r="714" spans="1:10" x14ac:dyDescent="0.3">
      <c r="A714" t="s">
        <v>1364</v>
      </c>
      <c r="B714" t="s">
        <v>1365</v>
      </c>
      <c r="D714" s="6">
        <v>1000</v>
      </c>
      <c r="G714" s="7">
        <v>9.25</v>
      </c>
      <c r="H714" s="4" t="s">
        <v>1363</v>
      </c>
      <c r="J714" t="s">
        <v>59</v>
      </c>
    </row>
    <row r="715" spans="1:10" x14ac:dyDescent="0.3">
      <c r="A715" t="s">
        <v>1364</v>
      </c>
      <c r="B715" t="s">
        <v>1365</v>
      </c>
      <c r="D715" s="6">
        <v>1000</v>
      </c>
      <c r="G715" s="7">
        <v>9.25</v>
      </c>
      <c r="H715" s="4" t="s">
        <v>1363</v>
      </c>
      <c r="J715" t="s">
        <v>59</v>
      </c>
    </row>
    <row r="716" spans="1:10" x14ac:dyDescent="0.3">
      <c r="A716" t="s">
        <v>1366</v>
      </c>
      <c r="B716" t="s">
        <v>1367</v>
      </c>
      <c r="D716" s="6">
        <v>1000</v>
      </c>
      <c r="G716" s="7">
        <v>10.15</v>
      </c>
      <c r="H716" s="4" t="s">
        <v>1363</v>
      </c>
      <c r="J716" t="s">
        <v>62</v>
      </c>
    </row>
    <row r="717" spans="1:10" x14ac:dyDescent="0.3">
      <c r="A717" t="s">
        <v>1366</v>
      </c>
      <c r="B717" t="s">
        <v>1367</v>
      </c>
      <c r="D717" s="6">
        <v>1000</v>
      </c>
      <c r="G717" s="7">
        <v>10.15</v>
      </c>
      <c r="H717" s="4" t="s">
        <v>1363</v>
      </c>
      <c r="J717" t="s">
        <v>62</v>
      </c>
    </row>
    <row r="718" spans="1:10" x14ac:dyDescent="0.3">
      <c r="A718" t="s">
        <v>1368</v>
      </c>
      <c r="B718" t="s">
        <v>1369</v>
      </c>
      <c r="D718" s="6">
        <v>1000</v>
      </c>
      <c r="G718" s="7">
        <v>9.25</v>
      </c>
      <c r="H718" s="4" t="s">
        <v>1370</v>
      </c>
      <c r="J718" t="s">
        <v>62</v>
      </c>
    </row>
    <row r="719" spans="1:10" x14ac:dyDescent="0.3">
      <c r="A719" t="s">
        <v>1368</v>
      </c>
      <c r="B719" t="s">
        <v>1369</v>
      </c>
      <c r="D719" s="6">
        <v>1000</v>
      </c>
      <c r="G719" s="7">
        <v>9.25</v>
      </c>
      <c r="H719" s="4" t="s">
        <v>1370</v>
      </c>
      <c r="J719" t="s">
        <v>62</v>
      </c>
    </row>
    <row r="720" spans="1:10" x14ac:dyDescent="0.3">
      <c r="A720" t="s">
        <v>1371</v>
      </c>
      <c r="B720" t="s">
        <v>1372</v>
      </c>
      <c r="C720" t="s">
        <v>340</v>
      </c>
      <c r="D720" s="9">
        <v>1000</v>
      </c>
      <c r="E720" t="s">
        <v>1373</v>
      </c>
      <c r="F720" t="s">
        <v>1374</v>
      </c>
      <c r="G720">
        <v>9.25</v>
      </c>
      <c r="H720" t="s">
        <v>1370</v>
      </c>
      <c r="I720" t="s">
        <v>1375</v>
      </c>
      <c r="J720" t="s">
        <v>59</v>
      </c>
    </row>
    <row r="721" spans="1:10" x14ac:dyDescent="0.3">
      <c r="A721" t="s">
        <v>1371</v>
      </c>
      <c r="B721" t="s">
        <v>1376</v>
      </c>
      <c r="D721" t="s">
        <v>460</v>
      </c>
      <c r="G721" s="7" t="s">
        <v>460</v>
      </c>
      <c r="H721" s="4" t="s">
        <v>460</v>
      </c>
      <c r="J721" t="s">
        <v>460</v>
      </c>
    </row>
    <row r="722" spans="1:10" x14ac:dyDescent="0.3">
      <c r="A722" t="s">
        <v>1371</v>
      </c>
      <c r="B722" t="s">
        <v>1376</v>
      </c>
      <c r="D722" t="s">
        <v>460</v>
      </c>
      <c r="G722" s="7" t="s">
        <v>460</v>
      </c>
      <c r="H722" s="4" t="s">
        <v>460</v>
      </c>
      <c r="J722" t="s">
        <v>460</v>
      </c>
    </row>
    <row r="723" spans="1:10" x14ac:dyDescent="0.3">
      <c r="A723" t="s">
        <v>1377</v>
      </c>
      <c r="B723" t="s">
        <v>1378</v>
      </c>
      <c r="D723" s="6">
        <v>1000</v>
      </c>
      <c r="G723" s="7">
        <v>9.65</v>
      </c>
      <c r="H723" s="4" t="s">
        <v>1370</v>
      </c>
      <c r="J723" t="s">
        <v>62</v>
      </c>
    </row>
    <row r="724" spans="1:10" x14ac:dyDescent="0.3">
      <c r="A724" t="s">
        <v>1377</v>
      </c>
      <c r="B724" t="s">
        <v>1378</v>
      </c>
      <c r="D724" s="6">
        <v>1000</v>
      </c>
      <c r="G724" s="7">
        <v>9.65</v>
      </c>
      <c r="H724" s="4" t="s">
        <v>1370</v>
      </c>
      <c r="J724" t="s">
        <v>62</v>
      </c>
    </row>
    <row r="725" spans="1:10" x14ac:dyDescent="0.3">
      <c r="A725" t="s">
        <v>1379</v>
      </c>
      <c r="B725" t="s">
        <v>1380</v>
      </c>
      <c r="D725" s="6">
        <v>1000</v>
      </c>
      <c r="G725" s="7" t="s">
        <v>65</v>
      </c>
      <c r="H725" s="4" t="s">
        <v>1370</v>
      </c>
      <c r="J725" t="s">
        <v>49</v>
      </c>
    </row>
    <row r="726" spans="1:10" x14ac:dyDescent="0.3">
      <c r="A726" t="s">
        <v>1379</v>
      </c>
      <c r="B726" t="s">
        <v>1380</v>
      </c>
      <c r="D726" s="6">
        <v>1000</v>
      </c>
      <c r="G726" s="7" t="s">
        <v>65</v>
      </c>
      <c r="H726" s="4" t="s">
        <v>1370</v>
      </c>
      <c r="J726" t="s">
        <v>49</v>
      </c>
    </row>
    <row r="727" spans="1:10" x14ac:dyDescent="0.3">
      <c r="A727" t="s">
        <v>1381</v>
      </c>
      <c r="B727" t="s">
        <v>1382</v>
      </c>
      <c r="D727" s="6">
        <v>1000</v>
      </c>
      <c r="G727" s="7" t="s">
        <v>65</v>
      </c>
      <c r="H727" s="4" t="s">
        <v>1370</v>
      </c>
      <c r="J727" t="s">
        <v>49</v>
      </c>
    </row>
    <row r="728" spans="1:10" x14ac:dyDescent="0.3">
      <c r="A728" t="s">
        <v>1381</v>
      </c>
      <c r="B728" t="s">
        <v>1382</v>
      </c>
      <c r="D728" s="6">
        <v>1000</v>
      </c>
      <c r="G728" s="7" t="s">
        <v>65</v>
      </c>
      <c r="H728" s="4" t="s">
        <v>1370</v>
      </c>
      <c r="J728" t="s">
        <v>49</v>
      </c>
    </row>
    <row r="729" spans="1:10" x14ac:dyDescent="0.3">
      <c r="A729" t="s">
        <v>1383</v>
      </c>
      <c r="B729" t="s">
        <v>1384</v>
      </c>
      <c r="D729" s="6">
        <v>1000</v>
      </c>
      <c r="G729" s="7">
        <v>9.65</v>
      </c>
      <c r="H729" s="4" t="s">
        <v>1385</v>
      </c>
      <c r="J729" t="s">
        <v>62</v>
      </c>
    </row>
    <row r="730" spans="1:10" x14ac:dyDescent="0.3">
      <c r="A730" t="s">
        <v>1383</v>
      </c>
      <c r="B730" t="s">
        <v>1384</v>
      </c>
      <c r="D730" s="6">
        <v>1000</v>
      </c>
      <c r="G730" s="7">
        <v>9.65</v>
      </c>
      <c r="H730" s="4" t="s">
        <v>1385</v>
      </c>
      <c r="J730" t="s">
        <v>62</v>
      </c>
    </row>
    <row r="731" spans="1:10" x14ac:dyDescent="0.3">
      <c r="A731" t="s">
        <v>1386</v>
      </c>
      <c r="B731" t="s">
        <v>1387</v>
      </c>
      <c r="D731" s="6">
        <v>1000</v>
      </c>
      <c r="G731" s="7">
        <v>10.15</v>
      </c>
      <c r="H731" s="4" t="s">
        <v>1385</v>
      </c>
      <c r="J731" t="s">
        <v>62</v>
      </c>
    </row>
    <row r="732" spans="1:10" x14ac:dyDescent="0.3">
      <c r="A732" t="s">
        <v>1386</v>
      </c>
      <c r="B732" t="s">
        <v>1387</v>
      </c>
      <c r="D732" s="6">
        <v>1000</v>
      </c>
      <c r="G732" s="7">
        <v>10.15</v>
      </c>
      <c r="H732" s="4" t="s">
        <v>1385</v>
      </c>
      <c r="J732" t="s">
        <v>62</v>
      </c>
    </row>
    <row r="733" spans="1:10" x14ac:dyDescent="0.3">
      <c r="A733" t="s">
        <v>1388</v>
      </c>
      <c r="B733" t="s">
        <v>1389</v>
      </c>
      <c r="D733" s="6">
        <v>1000</v>
      </c>
      <c r="G733" s="7">
        <v>9.25</v>
      </c>
      <c r="H733" s="4" t="s">
        <v>1385</v>
      </c>
      <c r="J733" t="s">
        <v>59</v>
      </c>
    </row>
    <row r="734" spans="1:10" x14ac:dyDescent="0.3">
      <c r="A734" t="s">
        <v>1388</v>
      </c>
      <c r="B734" t="s">
        <v>1389</v>
      </c>
      <c r="D734" s="6">
        <v>1000</v>
      </c>
      <c r="G734" s="7">
        <v>9.25</v>
      </c>
      <c r="H734" s="4" t="s">
        <v>1385</v>
      </c>
      <c r="J734" t="s">
        <v>59</v>
      </c>
    </row>
    <row r="735" spans="1:10" x14ac:dyDescent="0.3">
      <c r="A735" t="s">
        <v>1390</v>
      </c>
      <c r="B735" t="s">
        <v>1391</v>
      </c>
      <c r="D735" s="6">
        <v>1000</v>
      </c>
      <c r="G735" s="7">
        <v>10</v>
      </c>
      <c r="H735" s="4" t="s">
        <v>1392</v>
      </c>
      <c r="J735" t="s">
        <v>62</v>
      </c>
    </row>
    <row r="736" spans="1:10" x14ac:dyDescent="0.3">
      <c r="A736" t="s">
        <v>1390</v>
      </c>
      <c r="B736" t="s">
        <v>1391</v>
      </c>
      <c r="D736" s="6">
        <v>1000</v>
      </c>
      <c r="G736" s="7">
        <v>10</v>
      </c>
      <c r="H736" s="4" t="s">
        <v>1392</v>
      </c>
      <c r="J736" t="s">
        <v>62</v>
      </c>
    </row>
    <row r="737" spans="1:10" x14ac:dyDescent="0.3">
      <c r="A737" t="s">
        <v>1393</v>
      </c>
      <c r="B737" t="s">
        <v>1394</v>
      </c>
      <c r="D737" s="6">
        <v>1000</v>
      </c>
      <c r="G737" s="7">
        <v>9.7100000000000009</v>
      </c>
      <c r="H737" s="4" t="s">
        <v>1385</v>
      </c>
      <c r="J737" t="s">
        <v>59</v>
      </c>
    </row>
    <row r="738" spans="1:10" x14ac:dyDescent="0.3">
      <c r="A738" t="s">
        <v>1393</v>
      </c>
      <c r="B738" t="s">
        <v>1394</v>
      </c>
      <c r="D738" s="6">
        <v>1000</v>
      </c>
      <c r="G738" s="7">
        <v>9.7100000000000009</v>
      </c>
      <c r="H738" s="4" t="s">
        <v>1385</v>
      </c>
      <c r="J738" t="s">
        <v>59</v>
      </c>
    </row>
    <row r="739" spans="1:10" x14ac:dyDescent="0.3">
      <c r="A739" t="s">
        <v>1395</v>
      </c>
      <c r="B739" t="s">
        <v>1372</v>
      </c>
      <c r="C739" t="s">
        <v>54</v>
      </c>
      <c r="D739" s="9">
        <v>1000</v>
      </c>
      <c r="E739" t="s">
        <v>45</v>
      </c>
      <c r="F739" t="s">
        <v>45</v>
      </c>
      <c r="G739">
        <v>10.25</v>
      </c>
      <c r="H739" t="s">
        <v>1396</v>
      </c>
      <c r="I739" t="s">
        <v>1397</v>
      </c>
      <c r="J739" t="s">
        <v>62</v>
      </c>
    </row>
    <row r="740" spans="1:10" x14ac:dyDescent="0.3">
      <c r="A740" t="s">
        <v>1395</v>
      </c>
      <c r="B740" t="s">
        <v>1398</v>
      </c>
      <c r="D740" s="6">
        <v>1000</v>
      </c>
      <c r="G740" s="7">
        <v>10.25</v>
      </c>
      <c r="H740" s="4" t="s">
        <v>1396</v>
      </c>
      <c r="J740" t="s">
        <v>62</v>
      </c>
    </row>
    <row r="741" spans="1:10" x14ac:dyDescent="0.3">
      <c r="A741" t="s">
        <v>1395</v>
      </c>
      <c r="B741" t="s">
        <v>1398</v>
      </c>
      <c r="D741" s="6">
        <v>1000</v>
      </c>
      <c r="G741" s="7">
        <v>10.25</v>
      </c>
      <c r="H741" s="4" t="s">
        <v>1396</v>
      </c>
      <c r="J741" t="s">
        <v>62</v>
      </c>
    </row>
    <row r="742" spans="1:10" x14ac:dyDescent="0.3">
      <c r="A742" t="s">
        <v>1399</v>
      </c>
      <c r="B742" t="s">
        <v>1400</v>
      </c>
      <c r="D742" s="6">
        <v>1000</v>
      </c>
      <c r="G742" s="7">
        <v>10.5</v>
      </c>
      <c r="H742" s="4" t="s">
        <v>1392</v>
      </c>
      <c r="J742" t="s">
        <v>62</v>
      </c>
    </row>
    <row r="743" spans="1:10" x14ac:dyDescent="0.3">
      <c r="A743" t="s">
        <v>1399</v>
      </c>
      <c r="B743" t="s">
        <v>1400</v>
      </c>
      <c r="D743" s="6">
        <v>1000</v>
      </c>
      <c r="G743" s="7">
        <v>10.5</v>
      </c>
      <c r="H743" s="4" t="s">
        <v>1392</v>
      </c>
      <c r="J743" t="s">
        <v>62</v>
      </c>
    </row>
    <row r="744" spans="1:10" x14ac:dyDescent="0.3">
      <c r="A744" t="s">
        <v>1401</v>
      </c>
      <c r="B744" t="s">
        <v>1372</v>
      </c>
      <c r="C744" t="s">
        <v>48</v>
      </c>
      <c r="D744" s="9">
        <v>1000</v>
      </c>
      <c r="E744" t="s">
        <v>1165</v>
      </c>
      <c r="F744" t="s">
        <v>651</v>
      </c>
      <c r="G744">
        <v>10.75</v>
      </c>
      <c r="H744" t="s">
        <v>1396</v>
      </c>
      <c r="I744" t="s">
        <v>1402</v>
      </c>
      <c r="J744" t="s">
        <v>62</v>
      </c>
    </row>
    <row r="745" spans="1:10" x14ac:dyDescent="0.3">
      <c r="A745" t="s">
        <v>1401</v>
      </c>
      <c r="B745" t="s">
        <v>1403</v>
      </c>
      <c r="D745" s="6">
        <v>1000</v>
      </c>
      <c r="G745" s="7">
        <v>10.75</v>
      </c>
      <c r="H745" s="4" t="s">
        <v>1396</v>
      </c>
      <c r="J745" t="s">
        <v>62</v>
      </c>
    </row>
    <row r="746" spans="1:10" x14ac:dyDescent="0.3">
      <c r="A746" t="s">
        <v>1401</v>
      </c>
      <c r="B746" t="s">
        <v>1403</v>
      </c>
      <c r="D746" s="6">
        <v>1000</v>
      </c>
      <c r="G746" s="7">
        <v>10.75</v>
      </c>
      <c r="H746" s="4" t="s">
        <v>1396</v>
      </c>
      <c r="J746" t="s">
        <v>62</v>
      </c>
    </row>
    <row r="747" spans="1:10" x14ac:dyDescent="0.3">
      <c r="A747" t="s">
        <v>1404</v>
      </c>
      <c r="B747" t="s">
        <v>1405</v>
      </c>
      <c r="D747" s="6">
        <v>1000</v>
      </c>
      <c r="G747" s="7">
        <v>9.8000000000000007</v>
      </c>
      <c r="H747" s="4" t="s">
        <v>1396</v>
      </c>
      <c r="J747" t="s">
        <v>59</v>
      </c>
    </row>
    <row r="748" spans="1:10" x14ac:dyDescent="0.3">
      <c r="A748" t="s">
        <v>1404</v>
      </c>
      <c r="B748" t="s">
        <v>1405</v>
      </c>
      <c r="D748" s="6">
        <v>1000</v>
      </c>
      <c r="G748" s="7">
        <v>9.8000000000000007</v>
      </c>
      <c r="H748" s="4" t="s">
        <v>1396</v>
      </c>
      <c r="J748" t="s">
        <v>59</v>
      </c>
    </row>
    <row r="749" spans="1:10" x14ac:dyDescent="0.3">
      <c r="A749" t="s">
        <v>1406</v>
      </c>
      <c r="B749" t="s">
        <v>1372</v>
      </c>
      <c r="C749" t="s">
        <v>275</v>
      </c>
      <c r="D749" s="9">
        <v>1000</v>
      </c>
      <c r="E749" t="s">
        <v>1407</v>
      </c>
      <c r="F749" t="s">
        <v>283</v>
      </c>
      <c r="G749">
        <v>10.25</v>
      </c>
      <c r="H749" t="s">
        <v>1396</v>
      </c>
      <c r="I749" t="s">
        <v>1408</v>
      </c>
      <c r="J749" t="s">
        <v>59</v>
      </c>
    </row>
    <row r="750" spans="1:10" x14ac:dyDescent="0.3">
      <c r="A750" t="s">
        <v>1406</v>
      </c>
      <c r="B750" t="s">
        <v>1409</v>
      </c>
      <c r="D750" s="6">
        <v>1000</v>
      </c>
      <c r="G750" s="7">
        <v>10.25</v>
      </c>
      <c r="H750" s="4" t="s">
        <v>1396</v>
      </c>
      <c r="J750" t="s">
        <v>59</v>
      </c>
    </row>
    <row r="751" spans="1:10" x14ac:dyDescent="0.3">
      <c r="A751" t="s">
        <v>1406</v>
      </c>
      <c r="B751" t="s">
        <v>1409</v>
      </c>
      <c r="D751" s="6">
        <v>1000</v>
      </c>
      <c r="G751" s="7">
        <v>10.25</v>
      </c>
      <c r="H751" s="4" t="s">
        <v>1396</v>
      </c>
      <c r="J751" t="s">
        <v>59</v>
      </c>
    </row>
    <row r="752" spans="1:10" x14ac:dyDescent="0.3">
      <c r="A752" t="s">
        <v>1410</v>
      </c>
      <c r="B752" t="s">
        <v>1372</v>
      </c>
      <c r="C752" t="s">
        <v>605</v>
      </c>
      <c r="D752" s="9">
        <v>1000</v>
      </c>
      <c r="E752" t="s">
        <v>45</v>
      </c>
      <c r="F752" t="s">
        <v>45</v>
      </c>
      <c r="G752">
        <v>9.25</v>
      </c>
      <c r="H752" t="s">
        <v>1411</v>
      </c>
      <c r="I752" t="s">
        <v>1412</v>
      </c>
      <c r="J752" t="s">
        <v>62</v>
      </c>
    </row>
    <row r="753" spans="1:10" x14ac:dyDescent="0.3">
      <c r="A753" t="s">
        <v>1410</v>
      </c>
      <c r="B753" t="s">
        <v>1413</v>
      </c>
      <c r="D753" s="6">
        <v>1000</v>
      </c>
      <c r="G753" s="7">
        <v>9.25</v>
      </c>
      <c r="H753" s="4" t="s">
        <v>1411</v>
      </c>
      <c r="J753" t="s">
        <v>101</v>
      </c>
    </row>
    <row r="754" spans="1:10" x14ac:dyDescent="0.3">
      <c r="A754" t="s">
        <v>1410</v>
      </c>
      <c r="B754" t="s">
        <v>1413</v>
      </c>
      <c r="D754" s="6">
        <v>1000</v>
      </c>
      <c r="G754" s="7">
        <v>9.25</v>
      </c>
      <c r="H754" s="4" t="s">
        <v>1411</v>
      </c>
      <c r="J754" t="s">
        <v>101</v>
      </c>
    </row>
    <row r="755" spans="1:10" x14ac:dyDescent="0.3">
      <c r="A755" t="s">
        <v>1414</v>
      </c>
      <c r="B755" t="s">
        <v>1415</v>
      </c>
      <c r="D755" t="s">
        <v>460</v>
      </c>
      <c r="G755" s="7" t="s">
        <v>460</v>
      </c>
      <c r="H755" s="4" t="s">
        <v>460</v>
      </c>
      <c r="J755" t="s">
        <v>460</v>
      </c>
    </row>
    <row r="756" spans="1:10" x14ac:dyDescent="0.3">
      <c r="A756" t="s">
        <v>1414</v>
      </c>
      <c r="B756" t="s">
        <v>1415</v>
      </c>
      <c r="D756" t="s">
        <v>460</v>
      </c>
      <c r="G756" s="7" t="s">
        <v>460</v>
      </c>
      <c r="H756" s="4" t="s">
        <v>460</v>
      </c>
      <c r="J756" t="s">
        <v>460</v>
      </c>
    </row>
    <row r="757" spans="1:10" x14ac:dyDescent="0.3">
      <c r="A757" t="s">
        <v>1416</v>
      </c>
      <c r="B757" t="s">
        <v>1372</v>
      </c>
      <c r="C757" t="s">
        <v>384</v>
      </c>
      <c r="D757" s="9">
        <v>1000</v>
      </c>
      <c r="E757" t="s">
        <v>1417</v>
      </c>
      <c r="F757" t="s">
        <v>1374</v>
      </c>
      <c r="G757">
        <v>9.9</v>
      </c>
      <c r="H757" t="s">
        <v>1107</v>
      </c>
      <c r="I757" t="s">
        <v>1418</v>
      </c>
      <c r="J757" t="s">
        <v>62</v>
      </c>
    </row>
    <row r="758" spans="1:10" x14ac:dyDescent="0.3">
      <c r="A758" t="s">
        <v>1416</v>
      </c>
      <c r="B758" t="s">
        <v>1419</v>
      </c>
      <c r="D758" s="6">
        <v>1000</v>
      </c>
      <c r="G758" s="7">
        <v>9.9</v>
      </c>
      <c r="H758" s="4" t="s">
        <v>1107</v>
      </c>
      <c r="J758" t="s">
        <v>62</v>
      </c>
    </row>
    <row r="759" spans="1:10" x14ac:dyDescent="0.3">
      <c r="A759" t="s">
        <v>1416</v>
      </c>
      <c r="B759" t="s">
        <v>1419</v>
      </c>
      <c r="D759" s="6">
        <v>1000</v>
      </c>
      <c r="G759" s="7">
        <v>9.9</v>
      </c>
      <c r="H759" s="4" t="s">
        <v>1107</v>
      </c>
      <c r="J759" t="s">
        <v>62</v>
      </c>
    </row>
    <row r="760" spans="1:10" x14ac:dyDescent="0.3">
      <c r="A760" t="s">
        <v>1420</v>
      </c>
      <c r="B760" t="s">
        <v>1372</v>
      </c>
      <c r="C760" t="s">
        <v>288</v>
      </c>
      <c r="D760" s="9">
        <v>1000</v>
      </c>
      <c r="E760" t="s">
        <v>1421</v>
      </c>
      <c r="F760" t="s">
        <v>442</v>
      </c>
      <c r="G760">
        <v>9.48</v>
      </c>
      <c r="H760" t="s">
        <v>1107</v>
      </c>
      <c r="I760" t="s">
        <v>1422</v>
      </c>
      <c r="J760" t="s">
        <v>59</v>
      </c>
    </row>
    <row r="761" spans="1:10" x14ac:dyDescent="0.3">
      <c r="A761" t="s">
        <v>1420</v>
      </c>
      <c r="B761" t="s">
        <v>1423</v>
      </c>
      <c r="D761" s="6">
        <v>1000</v>
      </c>
      <c r="G761" s="7">
        <v>9.48</v>
      </c>
      <c r="H761" s="4" t="s">
        <v>1107</v>
      </c>
      <c r="J761" t="s">
        <v>59</v>
      </c>
    </row>
    <row r="762" spans="1:10" x14ac:dyDescent="0.3">
      <c r="A762" t="s">
        <v>1420</v>
      </c>
      <c r="B762" t="s">
        <v>1423</v>
      </c>
      <c r="D762" s="6">
        <v>1000</v>
      </c>
      <c r="G762" s="7">
        <v>9.48</v>
      </c>
      <c r="H762" s="4" t="s">
        <v>1107</v>
      </c>
      <c r="J762" t="s">
        <v>59</v>
      </c>
    </row>
    <row r="763" spans="1:10" x14ac:dyDescent="0.3">
      <c r="A763" t="s">
        <v>1424</v>
      </c>
      <c r="B763" t="s">
        <v>1425</v>
      </c>
      <c r="D763" t="s">
        <v>460</v>
      </c>
      <c r="G763" s="7" t="s">
        <v>460</v>
      </c>
      <c r="H763" s="4" t="s">
        <v>460</v>
      </c>
      <c r="J763" t="s">
        <v>460</v>
      </c>
    </row>
    <row r="764" spans="1:10" x14ac:dyDescent="0.3">
      <c r="A764" t="s">
        <v>1426</v>
      </c>
      <c r="B764" t="s">
        <v>1372</v>
      </c>
      <c r="C764" t="s">
        <v>389</v>
      </c>
      <c r="D764" s="9">
        <v>1000</v>
      </c>
      <c r="E764" t="s">
        <v>45</v>
      </c>
      <c r="F764" t="s">
        <v>45</v>
      </c>
      <c r="G764" s="12">
        <v>0</v>
      </c>
      <c r="H764" t="s">
        <v>1107</v>
      </c>
      <c r="I764" t="s">
        <v>1426</v>
      </c>
      <c r="J764" t="s">
        <v>361</v>
      </c>
    </row>
    <row r="765" spans="1:10" x14ac:dyDescent="0.3">
      <c r="A765" t="s">
        <v>1426</v>
      </c>
      <c r="B765" t="s">
        <v>1427</v>
      </c>
      <c r="D765" s="6">
        <v>1000</v>
      </c>
      <c r="G765" s="7" t="s">
        <v>65</v>
      </c>
      <c r="H765" s="4" t="s">
        <v>1107</v>
      </c>
      <c r="J765" t="s">
        <v>49</v>
      </c>
    </row>
    <row r="766" spans="1:10" x14ac:dyDescent="0.3">
      <c r="A766" t="s">
        <v>1426</v>
      </c>
      <c r="B766" t="s">
        <v>1427</v>
      </c>
      <c r="D766" s="6">
        <v>1000</v>
      </c>
      <c r="G766" s="7" t="s">
        <v>65</v>
      </c>
      <c r="H766" s="4" t="s">
        <v>1107</v>
      </c>
      <c r="J766" t="s">
        <v>49</v>
      </c>
    </row>
    <row r="767" spans="1:10" x14ac:dyDescent="0.3">
      <c r="A767" t="s">
        <v>1428</v>
      </c>
      <c r="B767" t="s">
        <v>1429</v>
      </c>
      <c r="D767" t="s">
        <v>460</v>
      </c>
      <c r="G767" s="7" t="s">
        <v>460</v>
      </c>
      <c r="H767" s="4" t="s">
        <v>460</v>
      </c>
      <c r="J767" t="s">
        <v>460</v>
      </c>
    </row>
    <row r="768" spans="1:10" x14ac:dyDescent="0.3">
      <c r="A768" t="s">
        <v>1428</v>
      </c>
      <c r="B768" t="s">
        <v>1429</v>
      </c>
      <c r="D768" t="s">
        <v>460</v>
      </c>
      <c r="G768" s="7" t="s">
        <v>460</v>
      </c>
      <c r="H768" s="4" t="s">
        <v>460</v>
      </c>
      <c r="J768" t="s">
        <v>460</v>
      </c>
    </row>
    <row r="769" spans="1:10" x14ac:dyDescent="0.3">
      <c r="A769" t="s">
        <v>1430</v>
      </c>
      <c r="B769" t="s">
        <v>1372</v>
      </c>
      <c r="C769" t="s">
        <v>302</v>
      </c>
      <c r="D769" s="9">
        <v>1000</v>
      </c>
      <c r="E769" t="s">
        <v>45</v>
      </c>
      <c r="F769" t="s">
        <v>45</v>
      </c>
      <c r="G769">
        <v>10.029999999999999</v>
      </c>
      <c r="H769" t="s">
        <v>1392</v>
      </c>
      <c r="I769" t="s">
        <v>1431</v>
      </c>
      <c r="J769" t="s">
        <v>361</v>
      </c>
    </row>
    <row r="770" spans="1:10" x14ac:dyDescent="0.3">
      <c r="A770" t="s">
        <v>1430</v>
      </c>
      <c r="B770" t="s">
        <v>1432</v>
      </c>
      <c r="D770" t="s">
        <v>460</v>
      </c>
      <c r="G770" s="7" t="s">
        <v>460</v>
      </c>
      <c r="H770" s="4" t="s">
        <v>460</v>
      </c>
      <c r="J770" t="s">
        <v>460</v>
      </c>
    </row>
    <row r="771" spans="1:10" x14ac:dyDescent="0.3">
      <c r="A771" t="s">
        <v>1430</v>
      </c>
      <c r="B771" t="s">
        <v>1432</v>
      </c>
      <c r="D771" t="s">
        <v>460</v>
      </c>
      <c r="G771" s="7" t="s">
        <v>460</v>
      </c>
      <c r="H771" s="4" t="s">
        <v>460</v>
      </c>
      <c r="J771" t="s">
        <v>460</v>
      </c>
    </row>
    <row r="772" spans="1:10" x14ac:dyDescent="0.3">
      <c r="A772" t="s">
        <v>1433</v>
      </c>
      <c r="B772" t="s">
        <v>1434</v>
      </c>
      <c r="D772" t="s">
        <v>460</v>
      </c>
      <c r="G772" s="7" t="s">
        <v>460</v>
      </c>
      <c r="H772" s="4" t="s">
        <v>460</v>
      </c>
      <c r="J772" t="s">
        <v>460</v>
      </c>
    </row>
    <row r="773" spans="1:10" x14ac:dyDescent="0.3">
      <c r="A773" t="s">
        <v>1433</v>
      </c>
      <c r="B773" t="s">
        <v>1434</v>
      </c>
      <c r="D773" t="s">
        <v>460</v>
      </c>
      <c r="G773" s="7" t="s">
        <v>460</v>
      </c>
      <c r="H773" s="4" t="s">
        <v>460</v>
      </c>
      <c r="J773" t="s">
        <v>460</v>
      </c>
    </row>
    <row r="774" spans="1:10" x14ac:dyDescent="0.3">
      <c r="A774" t="s">
        <v>1435</v>
      </c>
      <c r="B774" t="s">
        <v>1436</v>
      </c>
      <c r="D774" s="6">
        <v>1000</v>
      </c>
      <c r="G774" s="7">
        <v>8.8800000000000008</v>
      </c>
      <c r="H774" s="4" t="s">
        <v>1411</v>
      </c>
      <c r="J774" t="s">
        <v>59</v>
      </c>
    </row>
    <row r="775" spans="1:10" x14ac:dyDescent="0.3">
      <c r="A775" t="s">
        <v>1435</v>
      </c>
      <c r="B775" t="s">
        <v>1436</v>
      </c>
      <c r="D775" s="6">
        <v>1000</v>
      </c>
      <c r="G775" s="7">
        <v>8.8800000000000008</v>
      </c>
      <c r="H775" s="4" t="s">
        <v>1411</v>
      </c>
      <c r="J775" t="s">
        <v>59</v>
      </c>
    </row>
    <row r="776" spans="1:10" x14ac:dyDescent="0.3">
      <c r="A776" t="s">
        <v>1437</v>
      </c>
      <c r="B776" t="s">
        <v>1372</v>
      </c>
      <c r="C776" t="s">
        <v>330</v>
      </c>
      <c r="D776" s="9">
        <v>1000</v>
      </c>
      <c r="E776" t="s">
        <v>1438</v>
      </c>
      <c r="F776" t="s">
        <v>283</v>
      </c>
      <c r="G776">
        <v>9.25</v>
      </c>
      <c r="H776" t="s">
        <v>1411</v>
      </c>
      <c r="I776" t="s">
        <v>1375</v>
      </c>
      <c r="J776" t="s">
        <v>59</v>
      </c>
    </row>
    <row r="777" spans="1:10" x14ac:dyDescent="0.3">
      <c r="A777" t="s">
        <v>1437</v>
      </c>
      <c r="B777" t="s">
        <v>1439</v>
      </c>
      <c r="D777" s="6">
        <v>1000</v>
      </c>
      <c r="G777" s="7">
        <v>9.25</v>
      </c>
      <c r="H777" s="4" t="s">
        <v>1411</v>
      </c>
      <c r="J777" t="s">
        <v>59</v>
      </c>
    </row>
    <row r="778" spans="1:10" x14ac:dyDescent="0.3">
      <c r="A778" t="s">
        <v>1437</v>
      </c>
      <c r="B778" t="s">
        <v>1439</v>
      </c>
      <c r="D778" s="6">
        <v>1000</v>
      </c>
      <c r="G778" s="7">
        <v>9.25</v>
      </c>
      <c r="H778" s="4" t="s">
        <v>1411</v>
      </c>
      <c r="J778" t="s">
        <v>59</v>
      </c>
    </row>
    <row r="779" spans="1:10" x14ac:dyDescent="0.3">
      <c r="A779" t="s">
        <v>1440</v>
      </c>
      <c r="B779" t="s">
        <v>1372</v>
      </c>
      <c r="C779" t="s">
        <v>638</v>
      </c>
      <c r="D779" s="9">
        <v>1000</v>
      </c>
      <c r="E779" t="s">
        <v>45</v>
      </c>
      <c r="F779" t="s">
        <v>45</v>
      </c>
      <c r="G779">
        <v>9.4</v>
      </c>
      <c r="H779" t="s">
        <v>1441</v>
      </c>
      <c r="I779" t="s">
        <v>1442</v>
      </c>
      <c r="J779" t="s">
        <v>62</v>
      </c>
    </row>
    <row r="780" spans="1:10" x14ac:dyDescent="0.3">
      <c r="A780" t="s">
        <v>1440</v>
      </c>
      <c r="B780" t="s">
        <v>1443</v>
      </c>
      <c r="D780" s="6">
        <v>1000</v>
      </c>
      <c r="G780" s="7">
        <v>9.4</v>
      </c>
      <c r="H780" s="4" t="s">
        <v>1441</v>
      </c>
      <c r="J780" t="s">
        <v>101</v>
      </c>
    </row>
    <row r="781" spans="1:10" x14ac:dyDescent="0.3">
      <c r="A781" t="s">
        <v>1440</v>
      </c>
      <c r="B781" t="s">
        <v>1443</v>
      </c>
      <c r="D781" s="6">
        <v>1000</v>
      </c>
      <c r="G781" s="7">
        <v>9.4</v>
      </c>
      <c r="H781" s="4" t="s">
        <v>1441</v>
      </c>
      <c r="J781" t="s">
        <v>101</v>
      </c>
    </row>
    <row r="782" spans="1:10" x14ac:dyDescent="0.3">
      <c r="A782" t="s">
        <v>1444</v>
      </c>
      <c r="B782" t="s">
        <v>1372</v>
      </c>
      <c r="C782" t="s">
        <v>366</v>
      </c>
      <c r="D782" s="9">
        <v>1000</v>
      </c>
      <c r="E782" t="s">
        <v>45</v>
      </c>
      <c r="F782" t="s">
        <v>45</v>
      </c>
      <c r="G782">
        <v>9.9</v>
      </c>
      <c r="H782" t="s">
        <v>1441</v>
      </c>
      <c r="I782" t="s">
        <v>1445</v>
      </c>
      <c r="J782" t="s">
        <v>62</v>
      </c>
    </row>
    <row r="783" spans="1:10" x14ac:dyDescent="0.3">
      <c r="A783" t="s">
        <v>1444</v>
      </c>
      <c r="B783" t="s">
        <v>1446</v>
      </c>
      <c r="D783" s="6">
        <v>1000</v>
      </c>
      <c r="G783" s="7">
        <v>9.9</v>
      </c>
      <c r="H783" s="4" t="s">
        <v>1441</v>
      </c>
      <c r="J783" t="s">
        <v>101</v>
      </c>
    </row>
    <row r="784" spans="1:10" x14ac:dyDescent="0.3">
      <c r="A784" t="s">
        <v>1444</v>
      </c>
      <c r="B784" t="s">
        <v>1446</v>
      </c>
      <c r="D784" s="6">
        <v>1000</v>
      </c>
      <c r="G784" s="7">
        <v>9.9</v>
      </c>
      <c r="H784" s="4" t="s">
        <v>1441</v>
      </c>
      <c r="J784" t="s">
        <v>101</v>
      </c>
    </row>
    <row r="785" spans="1:10" x14ac:dyDescent="0.3">
      <c r="A785" t="s">
        <v>1447</v>
      </c>
      <c r="B785" t="s">
        <v>1372</v>
      </c>
      <c r="C785" t="s">
        <v>267</v>
      </c>
      <c r="D785" s="9">
        <v>1000</v>
      </c>
      <c r="E785" t="s">
        <v>45</v>
      </c>
      <c r="F785" t="s">
        <v>45</v>
      </c>
      <c r="G785" s="12">
        <v>0</v>
      </c>
      <c r="H785" t="s">
        <v>1411</v>
      </c>
      <c r="I785" t="s">
        <v>1447</v>
      </c>
      <c r="J785" t="s">
        <v>361</v>
      </c>
    </row>
    <row r="786" spans="1:10" x14ac:dyDescent="0.3">
      <c r="A786" t="s">
        <v>1447</v>
      </c>
      <c r="B786" t="s">
        <v>1448</v>
      </c>
      <c r="D786" s="6">
        <v>1000</v>
      </c>
      <c r="G786" s="7" t="s">
        <v>65</v>
      </c>
      <c r="H786" s="4" t="s">
        <v>1411</v>
      </c>
      <c r="J786" t="s">
        <v>49</v>
      </c>
    </row>
    <row r="787" spans="1:10" x14ac:dyDescent="0.3">
      <c r="A787" t="s">
        <v>1447</v>
      </c>
      <c r="B787" t="s">
        <v>1448</v>
      </c>
      <c r="D787" s="6">
        <v>1000</v>
      </c>
      <c r="G787" s="7" t="s">
        <v>65</v>
      </c>
      <c r="H787" s="4" t="s">
        <v>1411</v>
      </c>
      <c r="J787" t="s">
        <v>49</v>
      </c>
    </row>
    <row r="788" spans="1:10" x14ac:dyDescent="0.3">
      <c r="A788" t="s">
        <v>1449</v>
      </c>
      <c r="B788" t="s">
        <v>1372</v>
      </c>
      <c r="C788" t="s">
        <v>372</v>
      </c>
      <c r="D788" s="9">
        <v>1000</v>
      </c>
      <c r="E788" t="s">
        <v>45</v>
      </c>
      <c r="F788" t="s">
        <v>45</v>
      </c>
      <c r="G788">
        <v>9.48</v>
      </c>
      <c r="H788" t="s">
        <v>1441</v>
      </c>
      <c r="I788" t="s">
        <v>1422</v>
      </c>
      <c r="J788" t="s">
        <v>59</v>
      </c>
    </row>
    <row r="789" spans="1:10" x14ac:dyDescent="0.3">
      <c r="A789" t="s">
        <v>1449</v>
      </c>
      <c r="B789" t="s">
        <v>1450</v>
      </c>
      <c r="D789" s="6">
        <v>1000</v>
      </c>
      <c r="G789" s="7">
        <v>9.48</v>
      </c>
      <c r="H789" s="4" t="s">
        <v>1441</v>
      </c>
      <c r="J789" t="s">
        <v>59</v>
      </c>
    </row>
    <row r="790" spans="1:10" x14ac:dyDescent="0.3">
      <c r="A790" t="s">
        <v>1449</v>
      </c>
      <c r="B790" t="s">
        <v>1450</v>
      </c>
      <c r="D790" s="6">
        <v>1000</v>
      </c>
      <c r="G790" s="7">
        <v>9.48</v>
      </c>
      <c r="H790" s="4" t="s">
        <v>1441</v>
      </c>
      <c r="J790" t="s">
        <v>59</v>
      </c>
    </row>
    <row r="791" spans="1:10" x14ac:dyDescent="0.3">
      <c r="A791" t="s">
        <v>1451</v>
      </c>
      <c r="B791" t="s">
        <v>1372</v>
      </c>
      <c r="C791" t="s">
        <v>360</v>
      </c>
      <c r="D791" s="9">
        <v>1000</v>
      </c>
      <c r="E791" t="s">
        <v>45</v>
      </c>
      <c r="F791" t="s">
        <v>45</v>
      </c>
      <c r="G791" s="12">
        <v>0</v>
      </c>
      <c r="H791" t="s">
        <v>1411</v>
      </c>
      <c r="I791" t="s">
        <v>1451</v>
      </c>
      <c r="J791" t="s">
        <v>361</v>
      </c>
    </row>
    <row r="792" spans="1:10" x14ac:dyDescent="0.3">
      <c r="A792" t="s">
        <v>1451</v>
      </c>
      <c r="B792" t="s">
        <v>1452</v>
      </c>
      <c r="D792" s="6">
        <v>1000</v>
      </c>
      <c r="G792" s="7" t="s">
        <v>65</v>
      </c>
      <c r="H792" s="4" t="s">
        <v>1411</v>
      </c>
      <c r="J792" t="s">
        <v>49</v>
      </c>
    </row>
    <row r="793" spans="1:10" x14ac:dyDescent="0.3">
      <c r="A793" t="s">
        <v>1451</v>
      </c>
      <c r="B793" t="s">
        <v>1452</v>
      </c>
      <c r="D793" s="6">
        <v>1000</v>
      </c>
      <c r="G793" s="7" t="s">
        <v>65</v>
      </c>
      <c r="H793" s="4" t="s">
        <v>1411</v>
      </c>
      <c r="J793" t="s">
        <v>49</v>
      </c>
    </row>
    <row r="794" spans="1:10" x14ac:dyDescent="0.3">
      <c r="A794" t="s">
        <v>1453</v>
      </c>
      <c r="B794" t="s">
        <v>1372</v>
      </c>
      <c r="C794" t="s">
        <v>480</v>
      </c>
      <c r="D794" s="9">
        <v>1000</v>
      </c>
      <c r="E794" t="s">
        <v>45</v>
      </c>
      <c r="F794" t="s">
        <v>45</v>
      </c>
      <c r="G794">
        <v>9.02</v>
      </c>
      <c r="H794" t="s">
        <v>1441</v>
      </c>
      <c r="I794" t="s">
        <v>1454</v>
      </c>
      <c r="J794" t="s">
        <v>59</v>
      </c>
    </row>
    <row r="795" spans="1:10" x14ac:dyDescent="0.3">
      <c r="A795" t="s">
        <v>1453</v>
      </c>
      <c r="B795" t="s">
        <v>1455</v>
      </c>
      <c r="D795" s="6">
        <v>1000</v>
      </c>
      <c r="G795" s="7">
        <v>9.02</v>
      </c>
      <c r="H795" s="4" t="s">
        <v>1441</v>
      </c>
      <c r="J795" t="s">
        <v>59</v>
      </c>
    </row>
    <row r="796" spans="1:10" x14ac:dyDescent="0.3">
      <c r="A796" t="s">
        <v>1453</v>
      </c>
      <c r="B796" t="s">
        <v>1455</v>
      </c>
      <c r="D796" s="6">
        <v>1000</v>
      </c>
      <c r="G796" s="7">
        <v>9.02</v>
      </c>
      <c r="H796" s="4" t="s">
        <v>1441</v>
      </c>
      <c r="J796" t="s">
        <v>59</v>
      </c>
    </row>
    <row r="797" spans="1:10" x14ac:dyDescent="0.3">
      <c r="A797" t="s">
        <v>1456</v>
      </c>
      <c r="B797" t="s">
        <v>1372</v>
      </c>
      <c r="C797" t="s">
        <v>309</v>
      </c>
      <c r="D797" s="9">
        <v>1000</v>
      </c>
      <c r="E797" t="s">
        <v>45</v>
      </c>
      <c r="F797" t="s">
        <v>45</v>
      </c>
      <c r="G797">
        <v>9.65</v>
      </c>
      <c r="H797" t="s">
        <v>1411</v>
      </c>
      <c r="I797" t="s">
        <v>1457</v>
      </c>
      <c r="J797" t="s">
        <v>62</v>
      </c>
    </row>
    <row r="798" spans="1:10" x14ac:dyDescent="0.3">
      <c r="A798" t="s">
        <v>1456</v>
      </c>
      <c r="B798" t="s">
        <v>1458</v>
      </c>
      <c r="D798" s="6">
        <v>1000</v>
      </c>
      <c r="G798" s="7">
        <v>9.65</v>
      </c>
      <c r="H798" s="4" t="s">
        <v>1411</v>
      </c>
      <c r="J798" t="s">
        <v>101</v>
      </c>
    </row>
    <row r="799" spans="1:10" x14ac:dyDescent="0.3">
      <c r="A799" t="s">
        <v>1456</v>
      </c>
      <c r="B799" t="s">
        <v>1458</v>
      </c>
      <c r="D799" s="6">
        <v>1000</v>
      </c>
      <c r="G799" s="7">
        <v>9.65</v>
      </c>
      <c r="H799" s="4" t="s">
        <v>1411</v>
      </c>
      <c r="J799" t="s">
        <v>101</v>
      </c>
    </row>
    <row r="800" spans="1:10" x14ac:dyDescent="0.3">
      <c r="A800" t="s">
        <v>1459</v>
      </c>
      <c r="B800" t="s">
        <v>1372</v>
      </c>
      <c r="C800" t="s">
        <v>1460</v>
      </c>
      <c r="D800" s="9">
        <v>1000</v>
      </c>
      <c r="E800" t="s">
        <v>45</v>
      </c>
      <c r="F800" t="s">
        <v>45</v>
      </c>
      <c r="G800" s="12">
        <v>0</v>
      </c>
      <c r="H800" t="s">
        <v>1441</v>
      </c>
      <c r="I800" t="s">
        <v>1459</v>
      </c>
      <c r="J800" t="s">
        <v>59</v>
      </c>
    </row>
    <row r="801" spans="1:10" x14ac:dyDescent="0.3">
      <c r="A801" t="s">
        <v>1459</v>
      </c>
      <c r="B801" t="s">
        <v>1461</v>
      </c>
      <c r="D801" s="6">
        <v>1000</v>
      </c>
      <c r="G801" s="7" t="s">
        <v>65</v>
      </c>
      <c r="H801" s="4" t="s">
        <v>1441</v>
      </c>
      <c r="J801" t="s">
        <v>49</v>
      </c>
    </row>
    <row r="802" spans="1:10" x14ac:dyDescent="0.3">
      <c r="A802" t="s">
        <v>1459</v>
      </c>
      <c r="B802" t="s">
        <v>1461</v>
      </c>
      <c r="D802" s="6">
        <v>1000</v>
      </c>
      <c r="G802" s="7" t="s">
        <v>65</v>
      </c>
      <c r="H802" s="4" t="s">
        <v>1441</v>
      </c>
      <c r="J802" t="s">
        <v>49</v>
      </c>
    </row>
    <row r="803" spans="1:10" x14ac:dyDescent="0.3">
      <c r="A803" t="s">
        <v>1462</v>
      </c>
      <c r="B803" t="s">
        <v>1463</v>
      </c>
      <c r="D803" s="6">
        <v>1000</v>
      </c>
      <c r="G803" s="7" t="s">
        <v>65</v>
      </c>
      <c r="H803" s="4" t="s">
        <v>1441</v>
      </c>
      <c r="J803" t="s">
        <v>49</v>
      </c>
    </row>
    <row r="804" spans="1:10" x14ac:dyDescent="0.3">
      <c r="A804" t="s">
        <v>1462</v>
      </c>
      <c r="B804" t="s">
        <v>1463</v>
      </c>
      <c r="D804" s="6">
        <v>1000</v>
      </c>
      <c r="G804" s="7" t="s">
        <v>65</v>
      </c>
      <c r="H804" s="4" t="s">
        <v>1441</v>
      </c>
      <c r="J804" t="s">
        <v>49</v>
      </c>
    </row>
    <row r="805" spans="1:10" x14ac:dyDescent="0.3">
      <c r="A805" t="s">
        <v>1464</v>
      </c>
      <c r="B805" t="s">
        <v>1372</v>
      </c>
      <c r="C805" t="s">
        <v>1131</v>
      </c>
      <c r="D805" s="9">
        <v>1000</v>
      </c>
      <c r="E805" t="s">
        <v>45</v>
      </c>
      <c r="F805" t="s">
        <v>45</v>
      </c>
      <c r="G805">
        <v>9.65</v>
      </c>
      <c r="H805" t="s">
        <v>1465</v>
      </c>
      <c r="I805" t="s">
        <v>1466</v>
      </c>
      <c r="J805" t="s">
        <v>62</v>
      </c>
    </row>
    <row r="806" spans="1:10" x14ac:dyDescent="0.3">
      <c r="A806" t="s">
        <v>1464</v>
      </c>
      <c r="B806" t="s">
        <v>1467</v>
      </c>
      <c r="D806" s="6">
        <v>1000</v>
      </c>
      <c r="G806" s="7">
        <v>9.65</v>
      </c>
      <c r="H806" s="4" t="s">
        <v>1465</v>
      </c>
      <c r="J806" t="s">
        <v>101</v>
      </c>
    </row>
    <row r="807" spans="1:10" x14ac:dyDescent="0.3">
      <c r="A807" t="s">
        <v>1464</v>
      </c>
      <c r="B807" t="s">
        <v>1467</v>
      </c>
      <c r="D807" s="6">
        <v>1000</v>
      </c>
      <c r="G807" s="7">
        <v>9.65</v>
      </c>
      <c r="H807" s="4" t="s">
        <v>1465</v>
      </c>
      <c r="J807" t="s">
        <v>101</v>
      </c>
    </row>
    <row r="808" spans="1:10" x14ac:dyDescent="0.3">
      <c r="A808" t="s">
        <v>1468</v>
      </c>
      <c r="B808" t="s">
        <v>1372</v>
      </c>
      <c r="C808" t="s">
        <v>1134</v>
      </c>
      <c r="D808" s="9">
        <v>1000</v>
      </c>
      <c r="E808" t="s">
        <v>1469</v>
      </c>
      <c r="F808" t="s">
        <v>1470</v>
      </c>
      <c r="G808">
        <v>10.15</v>
      </c>
      <c r="H808" t="s">
        <v>1465</v>
      </c>
      <c r="I808" t="s">
        <v>1471</v>
      </c>
      <c r="J808" t="s">
        <v>62</v>
      </c>
    </row>
    <row r="809" spans="1:10" x14ac:dyDescent="0.3">
      <c r="A809" t="s">
        <v>1468</v>
      </c>
      <c r="B809" t="s">
        <v>1472</v>
      </c>
      <c r="D809" s="6">
        <v>1000</v>
      </c>
      <c r="G809" s="7">
        <v>10.15</v>
      </c>
      <c r="H809" s="4" t="s">
        <v>1465</v>
      </c>
      <c r="J809" t="s">
        <v>101</v>
      </c>
    </row>
    <row r="810" spans="1:10" x14ac:dyDescent="0.3">
      <c r="A810" t="s">
        <v>1468</v>
      </c>
      <c r="B810" t="s">
        <v>1472</v>
      </c>
      <c r="D810" s="6">
        <v>1000</v>
      </c>
      <c r="G810" s="7">
        <v>10.15</v>
      </c>
      <c r="H810" s="4" t="s">
        <v>1465</v>
      </c>
      <c r="J810" t="s">
        <v>101</v>
      </c>
    </row>
    <row r="811" spans="1:10" x14ac:dyDescent="0.3">
      <c r="A811" t="s">
        <v>1473</v>
      </c>
      <c r="B811" t="s">
        <v>1372</v>
      </c>
      <c r="C811" t="s">
        <v>1139</v>
      </c>
      <c r="D811" s="9">
        <v>1000</v>
      </c>
      <c r="E811" t="s">
        <v>45</v>
      </c>
      <c r="F811" t="s">
        <v>45</v>
      </c>
      <c r="G811">
        <v>9.25</v>
      </c>
      <c r="H811" t="s">
        <v>1465</v>
      </c>
      <c r="I811" t="s">
        <v>1474</v>
      </c>
      <c r="J811" t="s">
        <v>59</v>
      </c>
    </row>
    <row r="812" spans="1:10" x14ac:dyDescent="0.3">
      <c r="A812" t="s">
        <v>1473</v>
      </c>
      <c r="B812" t="s">
        <v>1475</v>
      </c>
      <c r="D812" s="6">
        <v>1000</v>
      </c>
      <c r="G812" s="7">
        <v>9.25</v>
      </c>
      <c r="H812" s="4" t="s">
        <v>1465</v>
      </c>
      <c r="J812" t="s">
        <v>59</v>
      </c>
    </row>
    <row r="813" spans="1:10" x14ac:dyDescent="0.3">
      <c r="A813" t="s">
        <v>1473</v>
      </c>
      <c r="B813" t="s">
        <v>1475</v>
      </c>
      <c r="D813" s="6">
        <v>1000</v>
      </c>
      <c r="G813" s="7">
        <v>9.25</v>
      </c>
      <c r="H813" s="4" t="s">
        <v>1465</v>
      </c>
      <c r="J813" t="s">
        <v>59</v>
      </c>
    </row>
    <row r="814" spans="1:10" x14ac:dyDescent="0.3">
      <c r="A814" t="s">
        <v>1476</v>
      </c>
      <c r="B814" t="s">
        <v>1372</v>
      </c>
      <c r="C814" t="s">
        <v>1145</v>
      </c>
      <c r="D814" s="9">
        <v>1000</v>
      </c>
      <c r="E814" t="s">
        <v>45</v>
      </c>
      <c r="F814" t="s">
        <v>45</v>
      </c>
      <c r="G814">
        <v>9.7100000000000009</v>
      </c>
      <c r="H814" t="s">
        <v>1465</v>
      </c>
      <c r="I814" t="s">
        <v>1477</v>
      </c>
      <c r="J814" t="s">
        <v>59</v>
      </c>
    </row>
    <row r="815" spans="1:10" x14ac:dyDescent="0.3">
      <c r="A815" t="s">
        <v>1476</v>
      </c>
      <c r="B815" t="s">
        <v>1478</v>
      </c>
      <c r="D815" s="6">
        <v>1000</v>
      </c>
      <c r="G815" s="7">
        <v>9.7100000000000009</v>
      </c>
      <c r="H815" s="4" t="s">
        <v>1465</v>
      </c>
      <c r="J815" t="s">
        <v>59</v>
      </c>
    </row>
    <row r="816" spans="1:10" x14ac:dyDescent="0.3">
      <c r="A816" t="s">
        <v>1476</v>
      </c>
      <c r="B816" t="s">
        <v>1478</v>
      </c>
      <c r="D816" s="6">
        <v>1000</v>
      </c>
      <c r="G816" s="7">
        <v>9.7100000000000009</v>
      </c>
      <c r="H816" s="4" t="s">
        <v>1465</v>
      </c>
      <c r="J816" t="s">
        <v>59</v>
      </c>
    </row>
    <row r="817" spans="1:10" x14ac:dyDescent="0.3">
      <c r="A817" t="s">
        <v>1479</v>
      </c>
      <c r="B817" t="s">
        <v>1372</v>
      </c>
      <c r="C817" t="s">
        <v>1480</v>
      </c>
      <c r="D817" s="9">
        <v>1000</v>
      </c>
      <c r="E817" t="s">
        <v>45</v>
      </c>
      <c r="F817" t="s">
        <v>45</v>
      </c>
      <c r="G817">
        <v>10.5</v>
      </c>
      <c r="H817" t="s">
        <v>1481</v>
      </c>
      <c r="I817" t="s">
        <v>1482</v>
      </c>
      <c r="J817" t="s">
        <v>62</v>
      </c>
    </row>
    <row r="818" spans="1:10" x14ac:dyDescent="0.3">
      <c r="A818" t="s">
        <v>1479</v>
      </c>
      <c r="B818" t="s">
        <v>1483</v>
      </c>
      <c r="D818" s="6">
        <v>1000</v>
      </c>
      <c r="G818" s="7">
        <v>10.5</v>
      </c>
      <c r="H818" s="4" t="s">
        <v>1481</v>
      </c>
      <c r="J818" t="s">
        <v>101</v>
      </c>
    </row>
    <row r="819" spans="1:10" x14ac:dyDescent="0.3">
      <c r="A819" t="s">
        <v>1479</v>
      </c>
      <c r="B819" t="s">
        <v>1483</v>
      </c>
      <c r="D819" s="6">
        <v>1000</v>
      </c>
      <c r="G819" s="7">
        <v>10.5</v>
      </c>
      <c r="H819" s="4" t="s">
        <v>1481</v>
      </c>
      <c r="J819" t="s">
        <v>101</v>
      </c>
    </row>
    <row r="820" spans="1:10" x14ac:dyDescent="0.3">
      <c r="A820" t="s">
        <v>1484</v>
      </c>
      <c r="B820" t="s">
        <v>1372</v>
      </c>
      <c r="C820" t="s">
        <v>1485</v>
      </c>
      <c r="D820" s="9">
        <v>1000</v>
      </c>
      <c r="E820" t="s">
        <v>1179</v>
      </c>
      <c r="F820" t="s">
        <v>625</v>
      </c>
      <c r="G820">
        <v>10.029999999999999</v>
      </c>
      <c r="H820" t="s">
        <v>1481</v>
      </c>
      <c r="I820" t="s">
        <v>1486</v>
      </c>
      <c r="J820" t="s">
        <v>59</v>
      </c>
    </row>
    <row r="821" spans="1:10" x14ac:dyDescent="0.3">
      <c r="A821" t="s">
        <v>1484</v>
      </c>
      <c r="B821" t="s">
        <v>1487</v>
      </c>
      <c r="D821" s="6">
        <v>1000</v>
      </c>
      <c r="G821" s="7">
        <v>10.029999999999999</v>
      </c>
      <c r="H821" s="4" t="s">
        <v>1481</v>
      </c>
      <c r="J821" t="s">
        <v>59</v>
      </c>
    </row>
    <row r="822" spans="1:10" x14ac:dyDescent="0.3">
      <c r="A822" t="s">
        <v>1484</v>
      </c>
      <c r="B822" t="s">
        <v>1487</v>
      </c>
      <c r="D822" s="6">
        <v>1000</v>
      </c>
      <c r="G822" s="7">
        <v>10.029999999999999</v>
      </c>
      <c r="H822" s="4" t="s">
        <v>1481</v>
      </c>
      <c r="J822" t="s">
        <v>59</v>
      </c>
    </row>
    <row r="823" spans="1:10" x14ac:dyDescent="0.3">
      <c r="A823" t="s">
        <v>1488</v>
      </c>
      <c r="B823" t="s">
        <v>1372</v>
      </c>
      <c r="C823" t="s">
        <v>1489</v>
      </c>
      <c r="D823" s="9">
        <v>1000</v>
      </c>
      <c r="E823" t="s">
        <v>45</v>
      </c>
      <c r="F823" t="s">
        <v>45</v>
      </c>
      <c r="G823">
        <v>10.25</v>
      </c>
      <c r="H823" t="s">
        <v>1490</v>
      </c>
      <c r="I823" t="s">
        <v>1397</v>
      </c>
      <c r="J823" t="s">
        <v>62</v>
      </c>
    </row>
    <row r="824" spans="1:10" x14ac:dyDescent="0.3">
      <c r="A824" t="s">
        <v>1488</v>
      </c>
      <c r="B824" t="s">
        <v>1491</v>
      </c>
      <c r="D824" s="6">
        <v>1000</v>
      </c>
      <c r="G824" s="7">
        <v>10.25</v>
      </c>
      <c r="H824" s="4" t="s">
        <v>1490</v>
      </c>
      <c r="J824" t="s">
        <v>101</v>
      </c>
    </row>
    <row r="825" spans="1:10" x14ac:dyDescent="0.3">
      <c r="A825" t="s">
        <v>1488</v>
      </c>
      <c r="B825" t="s">
        <v>1491</v>
      </c>
      <c r="D825" s="6">
        <v>1000</v>
      </c>
      <c r="G825" s="7">
        <v>10.25</v>
      </c>
      <c r="H825" s="4" t="s">
        <v>1490</v>
      </c>
      <c r="J825" t="s">
        <v>101</v>
      </c>
    </row>
    <row r="826" spans="1:10" x14ac:dyDescent="0.3">
      <c r="A826" t="s">
        <v>1492</v>
      </c>
      <c r="B826" t="s">
        <v>1372</v>
      </c>
      <c r="C826" t="s">
        <v>1493</v>
      </c>
      <c r="D826" s="9">
        <v>1000</v>
      </c>
      <c r="E826" t="s">
        <v>45</v>
      </c>
      <c r="F826" t="s">
        <v>45</v>
      </c>
      <c r="G826">
        <v>10.75</v>
      </c>
      <c r="H826" t="s">
        <v>1490</v>
      </c>
      <c r="I826" t="s">
        <v>1402</v>
      </c>
      <c r="J826" t="s">
        <v>62</v>
      </c>
    </row>
    <row r="827" spans="1:10" x14ac:dyDescent="0.3">
      <c r="A827" t="s">
        <v>1492</v>
      </c>
      <c r="B827" t="s">
        <v>1494</v>
      </c>
      <c r="D827" s="6">
        <v>1000</v>
      </c>
      <c r="G827" s="7">
        <v>10.75</v>
      </c>
      <c r="H827" s="4" t="s">
        <v>1490</v>
      </c>
      <c r="J827" t="s">
        <v>101</v>
      </c>
    </row>
    <row r="828" spans="1:10" x14ac:dyDescent="0.3">
      <c r="A828" t="s">
        <v>1492</v>
      </c>
      <c r="B828" t="s">
        <v>1494</v>
      </c>
      <c r="D828" s="6">
        <v>1000</v>
      </c>
      <c r="G828" s="7">
        <v>10.75</v>
      </c>
      <c r="H828" s="4" t="s">
        <v>1490</v>
      </c>
      <c r="J828" t="s">
        <v>101</v>
      </c>
    </row>
    <row r="829" spans="1:10" x14ac:dyDescent="0.3">
      <c r="A829" t="s">
        <v>1495</v>
      </c>
      <c r="B829" t="s">
        <v>1372</v>
      </c>
      <c r="C829" t="s">
        <v>1496</v>
      </c>
      <c r="D829" s="9">
        <v>1000</v>
      </c>
      <c r="E829" t="s">
        <v>45</v>
      </c>
      <c r="F829" t="s">
        <v>45</v>
      </c>
      <c r="G829">
        <v>9.8000000000000007</v>
      </c>
      <c r="H829" t="s">
        <v>1490</v>
      </c>
      <c r="I829" t="s">
        <v>1497</v>
      </c>
      <c r="J829" t="s">
        <v>59</v>
      </c>
    </row>
    <row r="830" spans="1:10" x14ac:dyDescent="0.3">
      <c r="A830" t="s">
        <v>1495</v>
      </c>
      <c r="B830" t="s">
        <v>1498</v>
      </c>
      <c r="D830" s="6">
        <v>1000</v>
      </c>
      <c r="G830" s="7">
        <v>9.8000000000000007</v>
      </c>
      <c r="H830" s="4" t="s">
        <v>1490</v>
      </c>
      <c r="J830" t="s">
        <v>59</v>
      </c>
    </row>
    <row r="831" spans="1:10" x14ac:dyDescent="0.3">
      <c r="A831" t="s">
        <v>1495</v>
      </c>
      <c r="B831" t="s">
        <v>1498</v>
      </c>
      <c r="D831" s="6">
        <v>1000</v>
      </c>
      <c r="G831" s="7">
        <v>9.8000000000000007</v>
      </c>
      <c r="H831" s="4" t="s">
        <v>1490</v>
      </c>
      <c r="J831" t="s">
        <v>59</v>
      </c>
    </row>
    <row r="832" spans="1:10" x14ac:dyDescent="0.3">
      <c r="A832" t="s">
        <v>1499</v>
      </c>
      <c r="B832" t="s">
        <v>1372</v>
      </c>
      <c r="C832" t="s">
        <v>1500</v>
      </c>
      <c r="D832" s="9">
        <v>1000</v>
      </c>
      <c r="E832" t="s">
        <v>1165</v>
      </c>
      <c r="F832" t="s">
        <v>651</v>
      </c>
      <c r="G832">
        <v>10.25</v>
      </c>
      <c r="H832" t="s">
        <v>1490</v>
      </c>
      <c r="I832" t="s">
        <v>1408</v>
      </c>
      <c r="J832" t="s">
        <v>59</v>
      </c>
    </row>
    <row r="833" spans="1:10" x14ac:dyDescent="0.3">
      <c r="A833" t="s">
        <v>1499</v>
      </c>
      <c r="B833" t="s">
        <v>1501</v>
      </c>
      <c r="D833" s="6">
        <v>1000</v>
      </c>
      <c r="G833" s="7">
        <v>10.25</v>
      </c>
      <c r="H833" s="4" t="s">
        <v>1490</v>
      </c>
      <c r="J833" t="s">
        <v>59</v>
      </c>
    </row>
    <row r="834" spans="1:10" x14ac:dyDescent="0.3">
      <c r="A834" t="s">
        <v>1499</v>
      </c>
      <c r="B834" t="s">
        <v>1501</v>
      </c>
      <c r="D834" s="6">
        <v>1000</v>
      </c>
      <c r="G834" s="7">
        <v>10.25</v>
      </c>
      <c r="H834" s="4" t="s">
        <v>1490</v>
      </c>
      <c r="J834" t="s">
        <v>59</v>
      </c>
    </row>
    <row r="835" spans="1:10" x14ac:dyDescent="0.3">
      <c r="A835" t="s">
        <v>1502</v>
      </c>
      <c r="B835" t="s">
        <v>1503</v>
      </c>
      <c r="D835" s="6">
        <v>1000</v>
      </c>
      <c r="G835" s="7">
        <v>9.25</v>
      </c>
      <c r="H835" s="4" t="s">
        <v>486</v>
      </c>
      <c r="J835" t="s">
        <v>62</v>
      </c>
    </row>
    <row r="836" spans="1:10" x14ac:dyDescent="0.3">
      <c r="A836" t="s">
        <v>1502</v>
      </c>
      <c r="B836" t="s">
        <v>1503</v>
      </c>
      <c r="D836" s="6">
        <v>1000</v>
      </c>
      <c r="G836" s="7">
        <v>9.25</v>
      </c>
      <c r="H836" s="4" t="s">
        <v>486</v>
      </c>
      <c r="J836" t="s">
        <v>62</v>
      </c>
    </row>
    <row r="837" spans="1:10" x14ac:dyDescent="0.3">
      <c r="A837" t="s">
        <v>1504</v>
      </c>
      <c r="B837" t="s">
        <v>1372</v>
      </c>
      <c r="C837" t="s">
        <v>1505</v>
      </c>
      <c r="D837" s="9">
        <v>1000</v>
      </c>
      <c r="E837" t="s">
        <v>1165</v>
      </c>
      <c r="F837" t="s">
        <v>1506</v>
      </c>
      <c r="G837">
        <v>9.65</v>
      </c>
      <c r="H837" t="s">
        <v>486</v>
      </c>
      <c r="I837" t="s">
        <v>1457</v>
      </c>
      <c r="J837" t="s">
        <v>62</v>
      </c>
    </row>
    <row r="838" spans="1:10" x14ac:dyDescent="0.3">
      <c r="A838" t="s">
        <v>1504</v>
      </c>
      <c r="B838" t="s">
        <v>1507</v>
      </c>
      <c r="D838" s="6">
        <v>1000</v>
      </c>
      <c r="G838" s="7">
        <v>9.65</v>
      </c>
      <c r="H838" s="4" t="s">
        <v>486</v>
      </c>
      <c r="J838" t="s">
        <v>62</v>
      </c>
    </row>
    <row r="839" spans="1:10" x14ac:dyDescent="0.3">
      <c r="A839" t="s">
        <v>1504</v>
      </c>
      <c r="B839" t="s">
        <v>1507</v>
      </c>
      <c r="D839" s="6">
        <v>1000</v>
      </c>
      <c r="G839" s="7">
        <v>9.65</v>
      </c>
      <c r="H839" s="4" t="s">
        <v>486</v>
      </c>
      <c r="J839" t="s">
        <v>62</v>
      </c>
    </row>
    <row r="840" spans="1:10" x14ac:dyDescent="0.3">
      <c r="A840" t="s">
        <v>1508</v>
      </c>
      <c r="B840" t="s">
        <v>1372</v>
      </c>
      <c r="C840" t="s">
        <v>1509</v>
      </c>
      <c r="D840" s="9">
        <v>1000</v>
      </c>
      <c r="E840" t="s">
        <v>45</v>
      </c>
      <c r="F840" t="s">
        <v>45</v>
      </c>
      <c r="G840">
        <v>8.8800000000000008</v>
      </c>
      <c r="H840" t="s">
        <v>486</v>
      </c>
      <c r="I840" t="s">
        <v>1510</v>
      </c>
      <c r="J840" t="s">
        <v>59</v>
      </c>
    </row>
    <row r="841" spans="1:10" x14ac:dyDescent="0.3">
      <c r="A841" t="s">
        <v>1508</v>
      </c>
      <c r="B841" t="s">
        <v>1511</v>
      </c>
      <c r="D841" s="6">
        <v>1000</v>
      </c>
      <c r="G841" s="7">
        <v>8.8800000000000008</v>
      </c>
      <c r="H841" s="4" t="s">
        <v>486</v>
      </c>
      <c r="J841" t="s">
        <v>59</v>
      </c>
    </row>
    <row r="842" spans="1:10" x14ac:dyDescent="0.3">
      <c r="A842" t="s">
        <v>1508</v>
      </c>
      <c r="B842" t="s">
        <v>1511</v>
      </c>
      <c r="D842" s="6">
        <v>1000</v>
      </c>
      <c r="G842" s="7">
        <v>8.8800000000000008</v>
      </c>
      <c r="H842" s="4" t="s">
        <v>486</v>
      </c>
      <c r="J842" t="s">
        <v>59</v>
      </c>
    </row>
    <row r="843" spans="1:10" x14ac:dyDescent="0.3">
      <c r="A843" t="s">
        <v>1512</v>
      </c>
      <c r="B843" t="s">
        <v>1372</v>
      </c>
      <c r="C843" t="s">
        <v>1150</v>
      </c>
      <c r="D843" s="9">
        <v>1000</v>
      </c>
      <c r="E843" t="s">
        <v>45</v>
      </c>
      <c r="F843" t="s">
        <v>45</v>
      </c>
      <c r="G843" s="12">
        <v>0</v>
      </c>
      <c r="H843" t="s">
        <v>486</v>
      </c>
      <c r="I843" t="s">
        <v>1512</v>
      </c>
      <c r="J843" t="s">
        <v>62</v>
      </c>
    </row>
    <row r="844" spans="1:10" x14ac:dyDescent="0.3">
      <c r="A844" t="s">
        <v>1512</v>
      </c>
      <c r="B844" t="s">
        <v>1513</v>
      </c>
      <c r="D844" s="6">
        <v>1000</v>
      </c>
      <c r="G844" s="7" t="s">
        <v>65</v>
      </c>
      <c r="H844" s="4" t="s">
        <v>486</v>
      </c>
      <c r="J844" t="s">
        <v>49</v>
      </c>
    </row>
    <row r="845" spans="1:10" x14ac:dyDescent="0.3">
      <c r="A845" t="s">
        <v>1512</v>
      </c>
      <c r="B845" t="s">
        <v>1513</v>
      </c>
      <c r="D845" s="6">
        <v>1000</v>
      </c>
      <c r="G845" s="7" t="s">
        <v>65</v>
      </c>
      <c r="H845" s="4" t="s">
        <v>486</v>
      </c>
      <c r="J845" t="s">
        <v>49</v>
      </c>
    </row>
    <row r="846" spans="1:10" x14ac:dyDescent="0.3">
      <c r="A846" t="s">
        <v>1514</v>
      </c>
      <c r="B846" t="s">
        <v>1372</v>
      </c>
      <c r="C846" t="s">
        <v>1157</v>
      </c>
      <c r="D846" s="9">
        <v>1000</v>
      </c>
      <c r="E846" t="s">
        <v>45</v>
      </c>
      <c r="F846" t="s">
        <v>45</v>
      </c>
      <c r="G846">
        <v>9.4</v>
      </c>
      <c r="H846" t="s">
        <v>492</v>
      </c>
      <c r="I846" t="s">
        <v>1442</v>
      </c>
      <c r="J846" t="s">
        <v>62</v>
      </c>
    </row>
    <row r="847" spans="1:10" x14ac:dyDescent="0.3">
      <c r="A847" t="s">
        <v>1514</v>
      </c>
      <c r="B847" t="s">
        <v>1515</v>
      </c>
      <c r="D847" s="6">
        <v>1000</v>
      </c>
      <c r="G847" s="7">
        <v>9.4</v>
      </c>
      <c r="H847" s="4" t="s">
        <v>492</v>
      </c>
      <c r="J847" t="s">
        <v>62</v>
      </c>
    </row>
    <row r="848" spans="1:10" x14ac:dyDescent="0.3">
      <c r="A848" t="s">
        <v>1514</v>
      </c>
      <c r="B848" t="s">
        <v>1515</v>
      </c>
      <c r="D848" s="6">
        <v>1000</v>
      </c>
      <c r="G848" s="7">
        <v>9.4</v>
      </c>
      <c r="H848" s="4" t="s">
        <v>492</v>
      </c>
      <c r="J848" t="s">
        <v>62</v>
      </c>
    </row>
    <row r="849" spans="1:10" x14ac:dyDescent="0.3">
      <c r="A849" t="s">
        <v>1516</v>
      </c>
      <c r="B849" t="s">
        <v>1372</v>
      </c>
      <c r="C849" t="s">
        <v>1517</v>
      </c>
      <c r="D849" s="9">
        <v>1000</v>
      </c>
      <c r="E849" t="s">
        <v>1111</v>
      </c>
      <c r="F849" t="s">
        <v>332</v>
      </c>
      <c r="G849">
        <v>9.25</v>
      </c>
      <c r="H849" t="s">
        <v>486</v>
      </c>
      <c r="I849" t="s">
        <v>1375</v>
      </c>
      <c r="J849" t="s">
        <v>59</v>
      </c>
    </row>
    <row r="850" spans="1:10" x14ac:dyDescent="0.3">
      <c r="A850" t="s">
        <v>1516</v>
      </c>
      <c r="B850" t="s">
        <v>1518</v>
      </c>
      <c r="D850" s="6">
        <v>1000</v>
      </c>
      <c r="G850" s="7">
        <v>9.25</v>
      </c>
      <c r="H850" s="4" t="s">
        <v>486</v>
      </c>
      <c r="J850" t="s">
        <v>59</v>
      </c>
    </row>
    <row r="851" spans="1:10" x14ac:dyDescent="0.3">
      <c r="A851" t="s">
        <v>1516</v>
      </c>
      <c r="B851" t="s">
        <v>1518</v>
      </c>
      <c r="D851" s="6">
        <v>1000</v>
      </c>
      <c r="G851" s="7">
        <v>9.25</v>
      </c>
      <c r="H851" s="4" t="s">
        <v>486</v>
      </c>
      <c r="J851" t="s">
        <v>59</v>
      </c>
    </row>
    <row r="852" spans="1:10" x14ac:dyDescent="0.3">
      <c r="A852" t="s">
        <v>1519</v>
      </c>
      <c r="B852" t="s">
        <v>1372</v>
      </c>
      <c r="C852" t="s">
        <v>1164</v>
      </c>
      <c r="D852" s="9">
        <v>1000</v>
      </c>
      <c r="E852" t="s">
        <v>45</v>
      </c>
      <c r="F852" t="s">
        <v>45</v>
      </c>
      <c r="G852">
        <v>9.48</v>
      </c>
      <c r="H852" t="s">
        <v>492</v>
      </c>
      <c r="I852" t="s">
        <v>1422</v>
      </c>
      <c r="J852" t="s">
        <v>59</v>
      </c>
    </row>
    <row r="853" spans="1:10" x14ac:dyDescent="0.3">
      <c r="A853" t="s">
        <v>1519</v>
      </c>
      <c r="B853" t="s">
        <v>1520</v>
      </c>
      <c r="D853" s="6">
        <v>1000</v>
      </c>
      <c r="G853" s="7">
        <v>9.48</v>
      </c>
      <c r="H853" s="4" t="s">
        <v>492</v>
      </c>
      <c r="J853" t="s">
        <v>59</v>
      </c>
    </row>
    <row r="854" spans="1:10" x14ac:dyDescent="0.3">
      <c r="A854" t="s">
        <v>1519</v>
      </c>
      <c r="B854" t="s">
        <v>1520</v>
      </c>
      <c r="D854" s="6">
        <v>1000</v>
      </c>
      <c r="G854" s="7">
        <v>9.48</v>
      </c>
      <c r="H854" s="4" t="s">
        <v>492</v>
      </c>
      <c r="J854" t="s">
        <v>59</v>
      </c>
    </row>
    <row r="855" spans="1:10" x14ac:dyDescent="0.3">
      <c r="A855" t="s">
        <v>1521</v>
      </c>
      <c r="B855" t="s">
        <v>1372</v>
      </c>
      <c r="C855" t="s">
        <v>1154</v>
      </c>
      <c r="D855" s="9">
        <v>1000</v>
      </c>
      <c r="E855" t="s">
        <v>1522</v>
      </c>
      <c r="F855" t="s">
        <v>1374</v>
      </c>
      <c r="G855" s="12">
        <v>0</v>
      </c>
      <c r="H855" t="s">
        <v>486</v>
      </c>
      <c r="I855" t="s">
        <v>1521</v>
      </c>
      <c r="J855" t="s">
        <v>62</v>
      </c>
    </row>
    <row r="856" spans="1:10" x14ac:dyDescent="0.3">
      <c r="A856" t="s">
        <v>1521</v>
      </c>
      <c r="B856" t="s">
        <v>1523</v>
      </c>
      <c r="D856" s="6">
        <v>1000</v>
      </c>
      <c r="G856" s="7" t="s">
        <v>65</v>
      </c>
      <c r="H856" s="4" t="s">
        <v>486</v>
      </c>
      <c r="J856" t="s">
        <v>49</v>
      </c>
    </row>
    <row r="857" spans="1:10" x14ac:dyDescent="0.3">
      <c r="A857" t="s">
        <v>1521</v>
      </c>
      <c r="B857" t="s">
        <v>1523</v>
      </c>
      <c r="D857" s="6">
        <v>1000</v>
      </c>
      <c r="G857" s="7" t="s">
        <v>65</v>
      </c>
      <c r="H857" s="4" t="s">
        <v>486</v>
      </c>
      <c r="J857" t="s">
        <v>49</v>
      </c>
    </row>
    <row r="858" spans="1:10" x14ac:dyDescent="0.3">
      <c r="A858" t="s">
        <v>1524</v>
      </c>
      <c r="B858" t="s">
        <v>1372</v>
      </c>
      <c r="C858" t="s">
        <v>1172</v>
      </c>
      <c r="D858" s="9">
        <v>1000</v>
      </c>
      <c r="E858" t="s">
        <v>45</v>
      </c>
      <c r="F858" t="s">
        <v>45</v>
      </c>
      <c r="G858" s="12">
        <v>0</v>
      </c>
      <c r="H858" t="s">
        <v>492</v>
      </c>
      <c r="I858" t="s">
        <v>1524</v>
      </c>
      <c r="J858" t="s">
        <v>361</v>
      </c>
    </row>
    <row r="859" spans="1:10" x14ac:dyDescent="0.3">
      <c r="A859" t="s">
        <v>1524</v>
      </c>
      <c r="B859" t="s">
        <v>1525</v>
      </c>
      <c r="D859" s="6">
        <v>1000</v>
      </c>
      <c r="G859" s="7" t="s">
        <v>65</v>
      </c>
      <c r="H859" s="4" t="s">
        <v>492</v>
      </c>
      <c r="J859" t="s">
        <v>49</v>
      </c>
    </row>
    <row r="860" spans="1:10" x14ac:dyDescent="0.3">
      <c r="A860" t="s">
        <v>1524</v>
      </c>
      <c r="B860" t="s">
        <v>1525</v>
      </c>
      <c r="D860" s="6">
        <v>1000</v>
      </c>
      <c r="G860" s="7" t="s">
        <v>65</v>
      </c>
      <c r="H860" s="4" t="s">
        <v>492</v>
      </c>
      <c r="J860" t="s">
        <v>49</v>
      </c>
    </row>
    <row r="861" spans="1:10" x14ac:dyDescent="0.3">
      <c r="A861" t="s">
        <v>1526</v>
      </c>
      <c r="B861" t="s">
        <v>1372</v>
      </c>
      <c r="C861" t="s">
        <v>1527</v>
      </c>
      <c r="D861" s="9">
        <v>1000</v>
      </c>
      <c r="E861" t="s">
        <v>45</v>
      </c>
      <c r="F861" t="s">
        <v>45</v>
      </c>
      <c r="G861">
        <v>9.65</v>
      </c>
      <c r="H861" t="s">
        <v>489</v>
      </c>
      <c r="I861" t="s">
        <v>1466</v>
      </c>
      <c r="J861" t="s">
        <v>62</v>
      </c>
    </row>
    <row r="862" spans="1:10" x14ac:dyDescent="0.3">
      <c r="A862" t="s">
        <v>1526</v>
      </c>
      <c r="B862" t="s">
        <v>1528</v>
      </c>
      <c r="D862" s="6">
        <v>1000</v>
      </c>
      <c r="G862" s="7">
        <v>9.65</v>
      </c>
      <c r="H862" s="4" t="s">
        <v>489</v>
      </c>
      <c r="J862" t="s">
        <v>62</v>
      </c>
    </row>
    <row r="863" spans="1:10" x14ac:dyDescent="0.3">
      <c r="A863" t="s">
        <v>1526</v>
      </c>
      <c r="B863" t="s">
        <v>1528</v>
      </c>
      <c r="D863" s="6">
        <v>1000</v>
      </c>
      <c r="G863" s="7">
        <v>9.65</v>
      </c>
      <c r="H863" s="4" t="s">
        <v>489</v>
      </c>
      <c r="J863" t="s">
        <v>62</v>
      </c>
    </row>
    <row r="864" spans="1:10" x14ac:dyDescent="0.3">
      <c r="A864" t="s">
        <v>1529</v>
      </c>
      <c r="B864" t="s">
        <v>1372</v>
      </c>
      <c r="C864" t="s">
        <v>1160</v>
      </c>
      <c r="D864" s="9">
        <v>1000</v>
      </c>
      <c r="E864" t="s">
        <v>1027</v>
      </c>
      <c r="F864" t="s">
        <v>640</v>
      </c>
      <c r="G864">
        <v>9.9</v>
      </c>
      <c r="H864" t="s">
        <v>492</v>
      </c>
      <c r="I864" t="s">
        <v>1445</v>
      </c>
      <c r="J864" t="s">
        <v>62</v>
      </c>
    </row>
    <row r="865" spans="1:10" x14ac:dyDescent="0.3">
      <c r="A865" t="s">
        <v>1529</v>
      </c>
      <c r="B865" t="s">
        <v>1530</v>
      </c>
      <c r="D865" s="6">
        <v>1000</v>
      </c>
      <c r="G865" s="7">
        <v>9.9</v>
      </c>
      <c r="H865" s="4" t="s">
        <v>492</v>
      </c>
      <c r="J865" t="s">
        <v>62</v>
      </c>
    </row>
    <row r="866" spans="1:10" x14ac:dyDescent="0.3">
      <c r="A866" t="s">
        <v>1529</v>
      </c>
      <c r="B866" t="s">
        <v>1530</v>
      </c>
      <c r="D866" s="6">
        <v>1000</v>
      </c>
      <c r="G866" s="7">
        <v>9.9</v>
      </c>
      <c r="H866" s="4" t="s">
        <v>492</v>
      </c>
      <c r="J866" t="s">
        <v>62</v>
      </c>
    </row>
    <row r="867" spans="1:10" x14ac:dyDescent="0.3">
      <c r="A867" t="s">
        <v>1531</v>
      </c>
      <c r="B867" t="s">
        <v>1372</v>
      </c>
      <c r="C867" t="s">
        <v>1532</v>
      </c>
      <c r="D867" s="9">
        <v>1000</v>
      </c>
      <c r="E867" t="s">
        <v>45</v>
      </c>
      <c r="F867" t="s">
        <v>45</v>
      </c>
      <c r="G867">
        <v>9.25</v>
      </c>
      <c r="H867" t="s">
        <v>489</v>
      </c>
      <c r="I867" t="s">
        <v>1474</v>
      </c>
      <c r="J867" t="s">
        <v>59</v>
      </c>
    </row>
    <row r="868" spans="1:10" x14ac:dyDescent="0.3">
      <c r="A868" t="s">
        <v>1531</v>
      </c>
      <c r="B868" t="s">
        <v>1533</v>
      </c>
      <c r="D868" s="6">
        <v>1000</v>
      </c>
      <c r="G868" s="7">
        <v>9.25</v>
      </c>
      <c r="H868" s="4" t="s">
        <v>489</v>
      </c>
      <c r="J868" t="s">
        <v>59</v>
      </c>
    </row>
    <row r="869" spans="1:10" x14ac:dyDescent="0.3">
      <c r="A869" t="s">
        <v>1531</v>
      </c>
      <c r="B869" t="s">
        <v>1533</v>
      </c>
      <c r="D869" s="6">
        <v>1000</v>
      </c>
      <c r="G869" s="7">
        <v>9.25</v>
      </c>
      <c r="H869" s="4" t="s">
        <v>489</v>
      </c>
      <c r="J869" t="s">
        <v>59</v>
      </c>
    </row>
    <row r="870" spans="1:10" x14ac:dyDescent="0.3">
      <c r="A870" t="s">
        <v>1534</v>
      </c>
      <c r="B870" t="s">
        <v>1372</v>
      </c>
      <c r="C870" t="s">
        <v>1535</v>
      </c>
      <c r="D870" s="9">
        <v>1000</v>
      </c>
      <c r="E870" t="s">
        <v>45</v>
      </c>
      <c r="F870" t="s">
        <v>45</v>
      </c>
      <c r="G870">
        <v>9.7100000000000009</v>
      </c>
      <c r="H870" t="s">
        <v>489</v>
      </c>
      <c r="I870" t="s">
        <v>1477</v>
      </c>
      <c r="J870" t="s">
        <v>59</v>
      </c>
    </row>
    <row r="871" spans="1:10" x14ac:dyDescent="0.3">
      <c r="A871" t="s">
        <v>1534</v>
      </c>
      <c r="B871" t="s">
        <v>1536</v>
      </c>
      <c r="D871" s="6">
        <v>1000</v>
      </c>
      <c r="G871" s="7">
        <v>9.7100000000000009</v>
      </c>
      <c r="H871" s="4" t="s">
        <v>489</v>
      </c>
      <c r="J871" t="s">
        <v>59</v>
      </c>
    </row>
    <row r="872" spans="1:10" x14ac:dyDescent="0.3">
      <c r="A872" t="s">
        <v>1534</v>
      </c>
      <c r="B872" t="s">
        <v>1536</v>
      </c>
      <c r="D872" s="6">
        <v>1000</v>
      </c>
      <c r="G872" s="7">
        <v>9.7100000000000009</v>
      </c>
      <c r="H872" s="4" t="s">
        <v>489</v>
      </c>
      <c r="J872" t="s">
        <v>59</v>
      </c>
    </row>
    <row r="873" spans="1:10" x14ac:dyDescent="0.3">
      <c r="A873" t="s">
        <v>1537</v>
      </c>
      <c r="B873" t="s">
        <v>1372</v>
      </c>
      <c r="C873" t="s">
        <v>1538</v>
      </c>
      <c r="D873" s="9">
        <v>1000</v>
      </c>
      <c r="E873" t="s">
        <v>45</v>
      </c>
      <c r="F873" t="s">
        <v>45</v>
      </c>
      <c r="G873">
        <v>10.5</v>
      </c>
      <c r="H873" t="s">
        <v>1539</v>
      </c>
      <c r="I873" t="s">
        <v>1482</v>
      </c>
      <c r="J873" t="s">
        <v>62</v>
      </c>
    </row>
    <row r="874" spans="1:10" x14ac:dyDescent="0.3">
      <c r="A874" t="s">
        <v>1537</v>
      </c>
      <c r="B874" t="s">
        <v>1540</v>
      </c>
      <c r="D874" s="6">
        <v>1000</v>
      </c>
      <c r="G874" s="7">
        <v>10.5</v>
      </c>
      <c r="H874" s="4" t="s">
        <v>1539</v>
      </c>
      <c r="J874" t="s">
        <v>62</v>
      </c>
    </row>
    <row r="875" spans="1:10" x14ac:dyDescent="0.3">
      <c r="A875" t="s">
        <v>1537</v>
      </c>
      <c r="B875" t="s">
        <v>1540</v>
      </c>
      <c r="D875" s="6">
        <v>1000</v>
      </c>
      <c r="G875" s="7">
        <v>10.5</v>
      </c>
      <c r="H875" s="4" t="s">
        <v>1539</v>
      </c>
      <c r="J875" t="s">
        <v>62</v>
      </c>
    </row>
    <row r="876" spans="1:10" x14ac:dyDescent="0.3">
      <c r="A876" t="s">
        <v>1541</v>
      </c>
      <c r="B876" t="s">
        <v>1372</v>
      </c>
      <c r="C876" t="s">
        <v>1178</v>
      </c>
      <c r="D876" s="9">
        <v>1000</v>
      </c>
      <c r="E876" t="s">
        <v>45</v>
      </c>
      <c r="F876" t="s">
        <v>45</v>
      </c>
      <c r="G876">
        <v>10.15</v>
      </c>
      <c r="H876" t="s">
        <v>489</v>
      </c>
      <c r="I876" t="s">
        <v>1471</v>
      </c>
      <c r="J876" t="s">
        <v>62</v>
      </c>
    </row>
    <row r="877" spans="1:10" x14ac:dyDescent="0.3">
      <c r="A877" t="s">
        <v>1541</v>
      </c>
      <c r="B877" t="s">
        <v>1542</v>
      </c>
      <c r="D877" s="6">
        <v>1000</v>
      </c>
      <c r="G877" s="7">
        <v>10.15</v>
      </c>
      <c r="H877" s="4" t="s">
        <v>489</v>
      </c>
      <c r="J877" t="s">
        <v>62</v>
      </c>
    </row>
    <row r="878" spans="1:10" x14ac:dyDescent="0.3">
      <c r="A878" t="s">
        <v>1541</v>
      </c>
      <c r="B878" t="s">
        <v>1542</v>
      </c>
      <c r="D878" s="6">
        <v>1000</v>
      </c>
      <c r="G878" s="7">
        <v>10.15</v>
      </c>
      <c r="H878" s="4" t="s">
        <v>489</v>
      </c>
      <c r="J878" t="s">
        <v>62</v>
      </c>
    </row>
    <row r="879" spans="1:10" x14ac:dyDescent="0.3">
      <c r="A879" t="s">
        <v>1543</v>
      </c>
      <c r="B879" t="s">
        <v>1372</v>
      </c>
      <c r="C879" t="s">
        <v>1544</v>
      </c>
      <c r="D879" s="9">
        <v>1000</v>
      </c>
      <c r="E879" t="s">
        <v>45</v>
      </c>
      <c r="F879" t="s">
        <v>45</v>
      </c>
      <c r="G879">
        <v>10.029999999999999</v>
      </c>
      <c r="H879" t="s">
        <v>1539</v>
      </c>
      <c r="I879" t="s">
        <v>1486</v>
      </c>
      <c r="J879" t="s">
        <v>59</v>
      </c>
    </row>
    <row r="880" spans="1:10" x14ac:dyDescent="0.3">
      <c r="A880" t="s">
        <v>1543</v>
      </c>
      <c r="B880" t="s">
        <v>1545</v>
      </c>
      <c r="D880" s="6">
        <v>1000</v>
      </c>
      <c r="G880" s="7">
        <v>10.029999999999999</v>
      </c>
      <c r="H880" s="4" t="s">
        <v>1539</v>
      </c>
      <c r="J880" t="s">
        <v>59</v>
      </c>
    </row>
    <row r="881" spans="1:10" x14ac:dyDescent="0.3">
      <c r="A881" t="s">
        <v>1543</v>
      </c>
      <c r="B881" t="s">
        <v>1545</v>
      </c>
      <c r="D881" s="6">
        <v>1000</v>
      </c>
      <c r="G881" s="7">
        <v>10.029999999999999</v>
      </c>
      <c r="H881" s="4" t="s">
        <v>1539</v>
      </c>
      <c r="J881" t="s">
        <v>59</v>
      </c>
    </row>
    <row r="882" spans="1:10" x14ac:dyDescent="0.3">
      <c r="A882" t="s">
        <v>1546</v>
      </c>
      <c r="B882" t="s">
        <v>1372</v>
      </c>
      <c r="C882" t="s">
        <v>1547</v>
      </c>
      <c r="D882" s="9">
        <v>1000</v>
      </c>
      <c r="E882" t="s">
        <v>45</v>
      </c>
      <c r="F882" t="s">
        <v>45</v>
      </c>
      <c r="G882">
        <v>10.25</v>
      </c>
      <c r="H882" t="s">
        <v>1548</v>
      </c>
      <c r="I882" t="s">
        <v>1397</v>
      </c>
      <c r="J882" t="s">
        <v>62</v>
      </c>
    </row>
    <row r="883" spans="1:10" x14ac:dyDescent="0.3">
      <c r="A883" t="s">
        <v>1546</v>
      </c>
      <c r="B883" t="s">
        <v>1549</v>
      </c>
      <c r="D883" s="6">
        <v>1000</v>
      </c>
      <c r="G883" s="7">
        <v>10.25</v>
      </c>
      <c r="H883" s="4" t="s">
        <v>1548</v>
      </c>
      <c r="J883" t="s">
        <v>62</v>
      </c>
    </row>
    <row r="884" spans="1:10" x14ac:dyDescent="0.3">
      <c r="A884" t="s">
        <v>1546</v>
      </c>
      <c r="B884" t="s">
        <v>1549</v>
      </c>
      <c r="D884" s="6">
        <v>1000</v>
      </c>
      <c r="G884" s="7">
        <v>10.25</v>
      </c>
      <c r="H884" s="4" t="s">
        <v>1548</v>
      </c>
      <c r="J884" t="s">
        <v>62</v>
      </c>
    </row>
    <row r="885" spans="1:10" x14ac:dyDescent="0.3">
      <c r="A885" t="s">
        <v>1550</v>
      </c>
      <c r="B885" t="s">
        <v>1372</v>
      </c>
      <c r="C885" t="s">
        <v>1551</v>
      </c>
      <c r="D885" s="9">
        <v>1000</v>
      </c>
      <c r="E885" t="s">
        <v>1027</v>
      </c>
      <c r="F885" t="s">
        <v>283</v>
      </c>
      <c r="G885">
        <v>10.75</v>
      </c>
      <c r="H885" t="s">
        <v>1548</v>
      </c>
      <c r="I885" t="s">
        <v>1402</v>
      </c>
      <c r="J885" t="s">
        <v>62</v>
      </c>
    </row>
    <row r="886" spans="1:10" x14ac:dyDescent="0.3">
      <c r="A886" t="s">
        <v>1550</v>
      </c>
      <c r="B886" t="s">
        <v>1552</v>
      </c>
      <c r="D886" s="6">
        <v>1000</v>
      </c>
      <c r="G886" s="7">
        <v>10.75</v>
      </c>
      <c r="H886" s="4" t="s">
        <v>1548</v>
      </c>
      <c r="J886" t="s">
        <v>62</v>
      </c>
    </row>
    <row r="887" spans="1:10" x14ac:dyDescent="0.3">
      <c r="A887" t="s">
        <v>1550</v>
      </c>
      <c r="B887" t="s">
        <v>1552</v>
      </c>
      <c r="D887" s="6">
        <v>1000</v>
      </c>
      <c r="G887" s="7">
        <v>10.75</v>
      </c>
      <c r="H887" s="4" t="s">
        <v>1548</v>
      </c>
      <c r="J887" t="s">
        <v>62</v>
      </c>
    </row>
    <row r="888" spans="1:10" x14ac:dyDescent="0.3">
      <c r="A888" t="s">
        <v>1553</v>
      </c>
      <c r="B888" t="s">
        <v>1554</v>
      </c>
      <c r="D888" s="6">
        <v>1000</v>
      </c>
      <c r="G888" s="7">
        <v>9.8000000000000007</v>
      </c>
      <c r="H888" s="4" t="s">
        <v>1548</v>
      </c>
      <c r="J888" t="s">
        <v>59</v>
      </c>
    </row>
    <row r="889" spans="1:10" x14ac:dyDescent="0.3">
      <c r="A889" t="s">
        <v>1553</v>
      </c>
      <c r="B889" t="s">
        <v>1554</v>
      </c>
      <c r="D889" s="6">
        <v>1000</v>
      </c>
      <c r="G889" s="7">
        <v>9.8000000000000007</v>
      </c>
      <c r="H889" s="4" t="s">
        <v>1548</v>
      </c>
      <c r="J889" t="s">
        <v>59</v>
      </c>
    </row>
    <row r="890" spans="1:10" x14ac:dyDescent="0.3">
      <c r="A890" t="s">
        <v>1555</v>
      </c>
      <c r="B890" t="s">
        <v>1556</v>
      </c>
      <c r="D890" s="6">
        <v>1000</v>
      </c>
      <c r="G890" s="7" t="s">
        <v>65</v>
      </c>
      <c r="H890" s="4" t="s">
        <v>492</v>
      </c>
      <c r="J890" t="s">
        <v>49</v>
      </c>
    </row>
    <row r="891" spans="1:10" x14ac:dyDescent="0.3">
      <c r="A891" t="s">
        <v>1555</v>
      </c>
      <c r="B891" t="s">
        <v>1556</v>
      </c>
      <c r="D891" s="6">
        <v>1000</v>
      </c>
      <c r="G891" s="7" t="s">
        <v>65</v>
      </c>
      <c r="H891" s="4" t="s">
        <v>492</v>
      </c>
      <c r="J891" t="s">
        <v>49</v>
      </c>
    </row>
    <row r="892" spans="1:10" x14ac:dyDescent="0.3">
      <c r="A892" t="s">
        <v>1557</v>
      </c>
      <c r="B892" t="s">
        <v>1372</v>
      </c>
      <c r="C892" t="s">
        <v>1187</v>
      </c>
      <c r="D892" s="9">
        <v>1000</v>
      </c>
      <c r="E892" t="s">
        <v>1558</v>
      </c>
      <c r="F892" t="s">
        <v>283</v>
      </c>
      <c r="G892">
        <v>10.25</v>
      </c>
      <c r="H892" t="s">
        <v>1548</v>
      </c>
      <c r="I892" t="s">
        <v>1408</v>
      </c>
      <c r="J892" t="s">
        <v>59</v>
      </c>
    </row>
    <row r="893" spans="1:10" x14ac:dyDescent="0.3">
      <c r="A893" t="s">
        <v>1557</v>
      </c>
      <c r="B893" t="s">
        <v>1559</v>
      </c>
      <c r="D893" s="6">
        <v>1000</v>
      </c>
      <c r="G893" s="7">
        <v>10.25</v>
      </c>
      <c r="H893" s="4" t="s">
        <v>1548</v>
      </c>
      <c r="J893" t="s">
        <v>59</v>
      </c>
    </row>
    <row r="894" spans="1:10" x14ac:dyDescent="0.3">
      <c r="A894" t="s">
        <v>1557</v>
      </c>
      <c r="B894" t="s">
        <v>1559</v>
      </c>
      <c r="D894" s="6">
        <v>1000</v>
      </c>
      <c r="G894" s="7">
        <v>10.25</v>
      </c>
      <c r="H894" s="4" t="s">
        <v>1548</v>
      </c>
      <c r="J894" t="s">
        <v>59</v>
      </c>
    </row>
    <row r="895" spans="1:10" x14ac:dyDescent="0.3">
      <c r="A895" t="s">
        <v>1560</v>
      </c>
      <c r="B895" t="s">
        <v>1372</v>
      </c>
      <c r="C895" t="s">
        <v>1190</v>
      </c>
      <c r="D895" s="9">
        <v>1000</v>
      </c>
      <c r="E895" t="s">
        <v>45</v>
      </c>
      <c r="F895" t="s">
        <v>45</v>
      </c>
      <c r="G895">
        <v>9.25</v>
      </c>
      <c r="H895" t="s">
        <v>1561</v>
      </c>
      <c r="I895" t="s">
        <v>1412</v>
      </c>
      <c r="J895" t="s">
        <v>62</v>
      </c>
    </row>
    <row r="896" spans="1:10" x14ac:dyDescent="0.3">
      <c r="A896" t="s">
        <v>1560</v>
      </c>
      <c r="B896" t="s">
        <v>1562</v>
      </c>
      <c r="D896" s="6">
        <v>1000</v>
      </c>
      <c r="G896" s="7">
        <v>9.25</v>
      </c>
      <c r="H896" s="4" t="s">
        <v>1561</v>
      </c>
      <c r="J896" t="s">
        <v>101</v>
      </c>
    </row>
    <row r="897" spans="1:10" x14ac:dyDescent="0.3">
      <c r="A897" t="s">
        <v>1560</v>
      </c>
      <c r="B897" t="s">
        <v>1562</v>
      </c>
      <c r="D897" s="6">
        <v>1000</v>
      </c>
      <c r="G897" s="7">
        <v>9.25</v>
      </c>
      <c r="H897" s="4" t="s">
        <v>1561</v>
      </c>
      <c r="J897" t="s">
        <v>101</v>
      </c>
    </row>
    <row r="898" spans="1:10" x14ac:dyDescent="0.3">
      <c r="A898" t="s">
        <v>1563</v>
      </c>
      <c r="B898" t="s">
        <v>1564</v>
      </c>
      <c r="D898" s="6">
        <v>1000</v>
      </c>
      <c r="G898" s="7">
        <v>8.8800000000000008</v>
      </c>
      <c r="H898" s="4" t="s">
        <v>1561</v>
      </c>
      <c r="J898" t="s">
        <v>59</v>
      </c>
    </row>
    <row r="899" spans="1:10" x14ac:dyDescent="0.3">
      <c r="A899" t="s">
        <v>1563</v>
      </c>
      <c r="B899" t="s">
        <v>1564</v>
      </c>
      <c r="D899" s="6">
        <v>1000</v>
      </c>
      <c r="G899" s="7">
        <v>8.8800000000000008</v>
      </c>
      <c r="H899" s="4" t="s">
        <v>1561</v>
      </c>
      <c r="J899" t="s">
        <v>59</v>
      </c>
    </row>
    <row r="900" spans="1:10" x14ac:dyDescent="0.3">
      <c r="A900" t="s">
        <v>1565</v>
      </c>
      <c r="B900" t="s">
        <v>1372</v>
      </c>
      <c r="C900" t="s">
        <v>1566</v>
      </c>
      <c r="D900" s="9">
        <v>1000</v>
      </c>
      <c r="E900" t="s">
        <v>1567</v>
      </c>
      <c r="F900" t="s">
        <v>1568</v>
      </c>
      <c r="G900">
        <v>9.25</v>
      </c>
      <c r="H900" t="s">
        <v>1561</v>
      </c>
      <c r="I900" t="s">
        <v>1375</v>
      </c>
      <c r="J900" t="s">
        <v>59</v>
      </c>
    </row>
    <row r="901" spans="1:10" x14ac:dyDescent="0.3">
      <c r="A901" t="s">
        <v>1565</v>
      </c>
      <c r="B901" t="s">
        <v>1569</v>
      </c>
      <c r="D901" s="6">
        <v>1000</v>
      </c>
      <c r="G901" s="7">
        <v>9.25</v>
      </c>
      <c r="H901" s="4" t="s">
        <v>1561</v>
      </c>
      <c r="J901" t="s">
        <v>59</v>
      </c>
    </row>
    <row r="902" spans="1:10" x14ac:dyDescent="0.3">
      <c r="A902" t="s">
        <v>1565</v>
      </c>
      <c r="B902" t="s">
        <v>1569</v>
      </c>
      <c r="D902" s="6">
        <v>1000</v>
      </c>
      <c r="G902" s="7">
        <v>9.25</v>
      </c>
      <c r="H902" s="4" t="s">
        <v>1561</v>
      </c>
      <c r="J902" t="s">
        <v>59</v>
      </c>
    </row>
    <row r="903" spans="1:10" x14ac:dyDescent="0.3">
      <c r="A903" t="s">
        <v>1570</v>
      </c>
      <c r="B903" t="s">
        <v>1372</v>
      </c>
      <c r="C903" t="s">
        <v>1193</v>
      </c>
      <c r="D903" s="9">
        <v>1000</v>
      </c>
      <c r="E903" t="s">
        <v>1571</v>
      </c>
      <c r="F903" t="s">
        <v>396</v>
      </c>
      <c r="G903">
        <v>9.65</v>
      </c>
      <c r="H903" t="s">
        <v>1561</v>
      </c>
      <c r="I903" t="s">
        <v>1457</v>
      </c>
      <c r="J903" t="s">
        <v>62</v>
      </c>
    </row>
    <row r="904" spans="1:10" x14ac:dyDescent="0.3">
      <c r="A904" t="s">
        <v>1570</v>
      </c>
      <c r="B904" t="s">
        <v>1572</v>
      </c>
      <c r="D904" s="6">
        <v>1000</v>
      </c>
      <c r="G904" s="7">
        <v>9.65</v>
      </c>
      <c r="H904" s="4" t="s">
        <v>1561</v>
      </c>
      <c r="J904" t="s">
        <v>101</v>
      </c>
    </row>
    <row r="905" spans="1:10" x14ac:dyDescent="0.3">
      <c r="A905" t="s">
        <v>1570</v>
      </c>
      <c r="B905" t="s">
        <v>1572</v>
      </c>
      <c r="D905" s="6">
        <v>1000</v>
      </c>
      <c r="G905" s="7">
        <v>9.65</v>
      </c>
      <c r="H905" s="4" t="s">
        <v>1561</v>
      </c>
      <c r="J905" t="s">
        <v>101</v>
      </c>
    </row>
    <row r="906" spans="1:10" x14ac:dyDescent="0.3">
      <c r="A906" t="s">
        <v>1573</v>
      </c>
      <c r="B906" t="s">
        <v>1372</v>
      </c>
      <c r="C906" t="s">
        <v>1202</v>
      </c>
      <c r="D906" s="9">
        <v>1000</v>
      </c>
      <c r="E906" t="s">
        <v>45</v>
      </c>
      <c r="F906" t="s">
        <v>45</v>
      </c>
      <c r="G906" s="12">
        <v>0</v>
      </c>
      <c r="H906" t="s">
        <v>1561</v>
      </c>
      <c r="I906" t="s">
        <v>1574</v>
      </c>
      <c r="J906" t="s">
        <v>49</v>
      </c>
    </row>
    <row r="907" spans="1:10" x14ac:dyDescent="0.3">
      <c r="A907" t="s">
        <v>1573</v>
      </c>
      <c r="B907" t="s">
        <v>1575</v>
      </c>
      <c r="D907" s="6">
        <v>1000</v>
      </c>
      <c r="G907" s="7" t="s">
        <v>65</v>
      </c>
      <c r="H907" s="4" t="s">
        <v>1561</v>
      </c>
      <c r="J907" t="s">
        <v>49</v>
      </c>
    </row>
    <row r="908" spans="1:10" x14ac:dyDescent="0.3">
      <c r="A908" t="s">
        <v>1573</v>
      </c>
      <c r="B908" t="s">
        <v>1575</v>
      </c>
      <c r="D908" s="6">
        <v>1000</v>
      </c>
      <c r="G908" s="7" t="s">
        <v>65</v>
      </c>
      <c r="H908" s="4" t="s">
        <v>1561</v>
      </c>
      <c r="J908" t="s">
        <v>49</v>
      </c>
    </row>
    <row r="909" spans="1:10" x14ac:dyDescent="0.3">
      <c r="A909" t="s">
        <v>1576</v>
      </c>
      <c r="B909" t="s">
        <v>1372</v>
      </c>
      <c r="C909" t="s">
        <v>1209</v>
      </c>
      <c r="D909" s="9">
        <v>1000</v>
      </c>
      <c r="E909" t="s">
        <v>1165</v>
      </c>
      <c r="F909" t="s">
        <v>1577</v>
      </c>
      <c r="G909">
        <v>9.9</v>
      </c>
      <c r="H909" t="s">
        <v>1578</v>
      </c>
      <c r="I909" t="s">
        <v>1445</v>
      </c>
      <c r="J909" t="s">
        <v>62</v>
      </c>
    </row>
    <row r="910" spans="1:10" x14ac:dyDescent="0.3">
      <c r="A910" t="s">
        <v>1576</v>
      </c>
      <c r="B910" t="s">
        <v>1579</v>
      </c>
      <c r="D910" s="6">
        <v>1000</v>
      </c>
      <c r="G910" s="7">
        <v>9.9</v>
      </c>
      <c r="H910" s="4" t="s">
        <v>1578</v>
      </c>
      <c r="J910" t="s">
        <v>101</v>
      </c>
    </row>
    <row r="911" spans="1:10" x14ac:dyDescent="0.3">
      <c r="A911" t="s">
        <v>1576</v>
      </c>
      <c r="B911" t="s">
        <v>1579</v>
      </c>
      <c r="D911" s="6">
        <v>1000</v>
      </c>
      <c r="G911" s="7">
        <v>9.9</v>
      </c>
      <c r="H911" s="4" t="s">
        <v>1578</v>
      </c>
      <c r="J911" t="s">
        <v>101</v>
      </c>
    </row>
    <row r="912" spans="1:10" x14ac:dyDescent="0.3">
      <c r="A912" t="s">
        <v>1580</v>
      </c>
      <c r="B912" t="s">
        <v>1581</v>
      </c>
      <c r="D912" s="6">
        <v>1000</v>
      </c>
      <c r="G912" s="7">
        <v>9.4</v>
      </c>
      <c r="H912" s="4" t="s">
        <v>1578</v>
      </c>
      <c r="J912" t="s">
        <v>101</v>
      </c>
    </row>
    <row r="913" spans="1:10" x14ac:dyDescent="0.3">
      <c r="A913" t="s">
        <v>1580</v>
      </c>
      <c r="B913" t="s">
        <v>1581</v>
      </c>
      <c r="D913" s="6">
        <v>1000</v>
      </c>
      <c r="G913" s="7">
        <v>9.4</v>
      </c>
      <c r="H913" s="4" t="s">
        <v>1578</v>
      </c>
      <c r="J913" t="s">
        <v>101</v>
      </c>
    </row>
    <row r="914" spans="1:10" x14ac:dyDescent="0.3">
      <c r="A914" t="s">
        <v>1582</v>
      </c>
      <c r="B914" t="s">
        <v>1372</v>
      </c>
      <c r="C914" t="s">
        <v>1212</v>
      </c>
      <c r="D914" s="9">
        <v>1000</v>
      </c>
      <c r="E914" t="s">
        <v>45</v>
      </c>
      <c r="F914" t="s">
        <v>45</v>
      </c>
      <c r="G914">
        <v>9.48</v>
      </c>
      <c r="H914" t="s">
        <v>1578</v>
      </c>
      <c r="I914" t="s">
        <v>1422</v>
      </c>
      <c r="J914" t="s">
        <v>59</v>
      </c>
    </row>
    <row r="915" spans="1:10" x14ac:dyDescent="0.3">
      <c r="A915" t="s">
        <v>1582</v>
      </c>
      <c r="B915" t="s">
        <v>1583</v>
      </c>
      <c r="D915" s="6">
        <v>1000</v>
      </c>
      <c r="G915" s="7">
        <v>9.48</v>
      </c>
      <c r="H915" s="4" t="s">
        <v>1578</v>
      </c>
      <c r="J915" t="s">
        <v>59</v>
      </c>
    </row>
    <row r="916" spans="1:10" x14ac:dyDescent="0.3">
      <c r="A916" t="s">
        <v>1582</v>
      </c>
      <c r="B916" t="s">
        <v>1583</v>
      </c>
      <c r="D916" s="6">
        <v>1000</v>
      </c>
      <c r="G916" s="7">
        <v>9.48</v>
      </c>
      <c r="H916" s="4" t="s">
        <v>1578</v>
      </c>
      <c r="J916" t="s">
        <v>59</v>
      </c>
    </row>
    <row r="917" spans="1:10" x14ac:dyDescent="0.3">
      <c r="A917" t="s">
        <v>1584</v>
      </c>
      <c r="B917" t="s">
        <v>1585</v>
      </c>
      <c r="D917" s="6">
        <v>1000</v>
      </c>
      <c r="G917" s="7">
        <v>9.02</v>
      </c>
      <c r="H917" s="4" t="s">
        <v>1578</v>
      </c>
      <c r="J917" t="s">
        <v>59</v>
      </c>
    </row>
    <row r="918" spans="1:10" x14ac:dyDescent="0.3">
      <c r="A918" t="s">
        <v>1584</v>
      </c>
      <c r="B918" t="s">
        <v>1585</v>
      </c>
      <c r="D918" s="6">
        <v>1000</v>
      </c>
      <c r="G918" s="7">
        <v>9.02</v>
      </c>
      <c r="H918" s="4" t="s">
        <v>1578</v>
      </c>
      <c r="J918" t="s">
        <v>59</v>
      </c>
    </row>
    <row r="919" spans="1:10" x14ac:dyDescent="0.3">
      <c r="A919" t="s">
        <v>1586</v>
      </c>
      <c r="B919" t="s">
        <v>1372</v>
      </c>
      <c r="C919" t="s">
        <v>1221</v>
      </c>
      <c r="D919" s="9">
        <v>1000</v>
      </c>
      <c r="E919" t="s">
        <v>1165</v>
      </c>
      <c r="F919" t="s">
        <v>283</v>
      </c>
      <c r="G919" s="12">
        <v>0</v>
      </c>
      <c r="H919" t="s">
        <v>1578</v>
      </c>
      <c r="I919" t="s">
        <v>1586</v>
      </c>
      <c r="J919" t="s">
        <v>65</v>
      </c>
    </row>
    <row r="920" spans="1:10" x14ac:dyDescent="0.3">
      <c r="A920" t="s">
        <v>1586</v>
      </c>
      <c r="B920" t="s">
        <v>1587</v>
      </c>
      <c r="D920" s="6">
        <v>1000</v>
      </c>
      <c r="G920" s="7" t="s">
        <v>65</v>
      </c>
      <c r="H920" s="4" t="s">
        <v>1578</v>
      </c>
      <c r="J920" t="s">
        <v>49</v>
      </c>
    </row>
    <row r="921" spans="1:10" x14ac:dyDescent="0.3">
      <c r="A921" t="s">
        <v>1586</v>
      </c>
      <c r="B921" t="s">
        <v>1587</v>
      </c>
      <c r="D921" s="6">
        <v>1000</v>
      </c>
      <c r="G921" s="7" t="s">
        <v>65</v>
      </c>
      <c r="H921" s="4" t="s">
        <v>1578</v>
      </c>
      <c r="J921" t="s">
        <v>49</v>
      </c>
    </row>
    <row r="922" spans="1:10" x14ac:dyDescent="0.3">
      <c r="A922" t="s">
        <v>1588</v>
      </c>
      <c r="B922" t="s">
        <v>1589</v>
      </c>
      <c r="D922" s="6">
        <v>1000</v>
      </c>
      <c r="G922" s="7">
        <v>10.5</v>
      </c>
      <c r="H922" s="4" t="s">
        <v>1590</v>
      </c>
      <c r="J922" t="s">
        <v>101</v>
      </c>
    </row>
    <row r="923" spans="1:10" x14ac:dyDescent="0.3">
      <c r="A923" t="s">
        <v>1588</v>
      </c>
      <c r="B923" t="s">
        <v>1589</v>
      </c>
      <c r="D923" s="6">
        <v>1000</v>
      </c>
      <c r="G923" s="7">
        <v>10.5</v>
      </c>
      <c r="H923" s="4" t="s">
        <v>1590</v>
      </c>
      <c r="J923" t="s">
        <v>101</v>
      </c>
    </row>
    <row r="924" spans="1:10" x14ac:dyDescent="0.3">
      <c r="A924" t="s">
        <v>1591</v>
      </c>
      <c r="B924" t="s">
        <v>1592</v>
      </c>
      <c r="D924" s="6">
        <v>1000</v>
      </c>
      <c r="G924" s="7">
        <v>9.7100000000000009</v>
      </c>
      <c r="H924" s="4" t="s">
        <v>601</v>
      </c>
      <c r="J924" t="s">
        <v>59</v>
      </c>
    </row>
    <row r="925" spans="1:10" x14ac:dyDescent="0.3">
      <c r="A925" t="s">
        <v>1591</v>
      </c>
      <c r="B925" t="s">
        <v>1592</v>
      </c>
      <c r="D925" s="6">
        <v>1000</v>
      </c>
      <c r="G925" s="7">
        <v>9.7100000000000009</v>
      </c>
      <c r="H925" s="4" t="s">
        <v>601</v>
      </c>
      <c r="J925" t="s">
        <v>59</v>
      </c>
    </row>
    <row r="926" spans="1:10" x14ac:dyDescent="0.3">
      <c r="A926" t="s">
        <v>1593</v>
      </c>
      <c r="B926" t="s">
        <v>1372</v>
      </c>
      <c r="C926" t="s">
        <v>1239</v>
      </c>
      <c r="D926" s="9">
        <v>1000</v>
      </c>
      <c r="E926" t="s">
        <v>45</v>
      </c>
      <c r="F926" t="s">
        <v>45</v>
      </c>
      <c r="G926">
        <v>9.25</v>
      </c>
      <c r="H926" t="s">
        <v>601</v>
      </c>
      <c r="I926" t="s">
        <v>1474</v>
      </c>
      <c r="J926" t="s">
        <v>59</v>
      </c>
    </row>
    <row r="927" spans="1:10" x14ac:dyDescent="0.3">
      <c r="A927" t="s">
        <v>1593</v>
      </c>
      <c r="B927" t="s">
        <v>1594</v>
      </c>
      <c r="D927" s="6">
        <v>1000</v>
      </c>
      <c r="G927" s="7">
        <v>9.25</v>
      </c>
      <c r="H927" s="4" t="s">
        <v>601</v>
      </c>
      <c r="J927" t="s">
        <v>59</v>
      </c>
    </row>
    <row r="928" spans="1:10" x14ac:dyDescent="0.3">
      <c r="A928" t="s">
        <v>1593</v>
      </c>
      <c r="B928" t="s">
        <v>1594</v>
      </c>
      <c r="D928" s="6">
        <v>1000</v>
      </c>
      <c r="G928" s="7">
        <v>9.25</v>
      </c>
      <c r="H928" s="4" t="s">
        <v>601</v>
      </c>
      <c r="J928" t="s">
        <v>59</v>
      </c>
    </row>
    <row r="929" spans="1:10" x14ac:dyDescent="0.3">
      <c r="A929" t="s">
        <v>1595</v>
      </c>
      <c r="B929" t="s">
        <v>1372</v>
      </c>
      <c r="C929" t="s">
        <v>1223</v>
      </c>
      <c r="D929" s="9">
        <v>1000</v>
      </c>
      <c r="E929" t="s">
        <v>45</v>
      </c>
      <c r="F929" t="s">
        <v>45</v>
      </c>
      <c r="G929">
        <v>9.65</v>
      </c>
      <c r="H929" t="s">
        <v>601</v>
      </c>
      <c r="I929" t="s">
        <v>1466</v>
      </c>
      <c r="J929" t="s">
        <v>62</v>
      </c>
    </row>
    <row r="930" spans="1:10" x14ac:dyDescent="0.3">
      <c r="A930" t="s">
        <v>1595</v>
      </c>
      <c r="B930" t="s">
        <v>1596</v>
      </c>
      <c r="D930" s="6">
        <v>1000</v>
      </c>
      <c r="G930" s="7">
        <v>9.65</v>
      </c>
      <c r="H930" s="4" t="s">
        <v>601</v>
      </c>
      <c r="J930" t="s">
        <v>101</v>
      </c>
    </row>
    <row r="931" spans="1:10" x14ac:dyDescent="0.3">
      <c r="A931" t="s">
        <v>1595</v>
      </c>
      <c r="B931" t="s">
        <v>1596</v>
      </c>
      <c r="D931" s="6">
        <v>1000</v>
      </c>
      <c r="G931" s="7">
        <v>9.65</v>
      </c>
      <c r="H931" s="4" t="s">
        <v>601</v>
      </c>
      <c r="J931" t="s">
        <v>101</v>
      </c>
    </row>
    <row r="932" spans="1:10" x14ac:dyDescent="0.3">
      <c r="A932" t="s">
        <v>1597</v>
      </c>
      <c r="B932" t="s">
        <v>1229</v>
      </c>
      <c r="D932" s="9">
        <v>1000</v>
      </c>
      <c r="G932" s="7">
        <v>10.25</v>
      </c>
      <c r="H932" s="5">
        <v>49029</v>
      </c>
      <c r="I932" t="s">
        <v>1597</v>
      </c>
      <c r="J932" t="s">
        <v>59</v>
      </c>
    </row>
    <row r="933" spans="1:10" x14ac:dyDescent="0.3">
      <c r="A933" t="s">
        <v>1597</v>
      </c>
      <c r="B933" t="s">
        <v>1598</v>
      </c>
      <c r="D933" s="6">
        <v>1000</v>
      </c>
      <c r="G933" s="7">
        <v>10.25</v>
      </c>
      <c r="H933" s="4" t="s">
        <v>1599</v>
      </c>
      <c r="J933" t="s">
        <v>59</v>
      </c>
    </row>
    <row r="934" spans="1:10" x14ac:dyDescent="0.3">
      <c r="A934" t="s">
        <v>1597</v>
      </c>
      <c r="B934" t="s">
        <v>1598</v>
      </c>
      <c r="D934" s="6">
        <v>1000</v>
      </c>
      <c r="G934" s="7">
        <v>10.25</v>
      </c>
      <c r="H934" s="4" t="s">
        <v>1599</v>
      </c>
      <c r="J934" t="s">
        <v>59</v>
      </c>
    </row>
    <row r="935" spans="1:10" x14ac:dyDescent="0.3">
      <c r="A935" t="s">
        <v>1600</v>
      </c>
      <c r="B935" t="s">
        <v>1601</v>
      </c>
      <c r="D935" s="6">
        <v>1000</v>
      </c>
      <c r="G935" s="7">
        <v>10.75</v>
      </c>
      <c r="H935" s="4" t="s">
        <v>1599</v>
      </c>
      <c r="J935" t="s">
        <v>101</v>
      </c>
    </row>
    <row r="936" spans="1:10" x14ac:dyDescent="0.3">
      <c r="A936" t="s">
        <v>1600</v>
      </c>
      <c r="B936" t="s">
        <v>1601</v>
      </c>
      <c r="D936" s="6">
        <v>1000</v>
      </c>
      <c r="G936" s="7">
        <v>10.75</v>
      </c>
      <c r="H936" s="4" t="s">
        <v>1599</v>
      </c>
      <c r="J936" t="s">
        <v>101</v>
      </c>
    </row>
    <row r="937" spans="1:10" x14ac:dyDescent="0.3">
      <c r="A937" t="s">
        <v>1602</v>
      </c>
      <c r="B937" t="s">
        <v>1372</v>
      </c>
      <c r="C937" t="s">
        <v>1603</v>
      </c>
      <c r="D937" s="9">
        <v>1000</v>
      </c>
      <c r="E937" t="s">
        <v>45</v>
      </c>
      <c r="F937" t="s">
        <v>45</v>
      </c>
      <c r="G937">
        <v>10.15</v>
      </c>
      <c r="H937" t="s">
        <v>601</v>
      </c>
      <c r="I937" t="s">
        <v>1471</v>
      </c>
      <c r="J937" t="s">
        <v>62</v>
      </c>
    </row>
    <row r="938" spans="1:10" x14ac:dyDescent="0.3">
      <c r="A938" t="s">
        <v>1602</v>
      </c>
      <c r="B938" t="s">
        <v>1604</v>
      </c>
      <c r="D938" s="6">
        <v>1000</v>
      </c>
      <c r="G938" s="7">
        <v>10.15</v>
      </c>
      <c r="H938" s="4" t="s">
        <v>601</v>
      </c>
      <c r="J938" t="s">
        <v>101</v>
      </c>
    </row>
    <row r="939" spans="1:10" x14ac:dyDescent="0.3">
      <c r="A939" t="s">
        <v>1602</v>
      </c>
      <c r="B939" t="s">
        <v>1604</v>
      </c>
      <c r="D939" s="6">
        <v>1000</v>
      </c>
      <c r="G939" s="7">
        <v>10.15</v>
      </c>
      <c r="H939" s="4" t="s">
        <v>601</v>
      </c>
      <c r="J939" t="s">
        <v>101</v>
      </c>
    </row>
    <row r="940" spans="1:10" x14ac:dyDescent="0.3">
      <c r="A940" t="s">
        <v>1605</v>
      </c>
      <c r="B940" t="s">
        <v>1606</v>
      </c>
      <c r="D940" s="6">
        <v>1000</v>
      </c>
      <c r="G940" s="7">
        <v>9.5699999999999985</v>
      </c>
      <c r="H940" s="4" t="s">
        <v>1590</v>
      </c>
      <c r="J940" t="s">
        <v>59</v>
      </c>
    </row>
    <row r="941" spans="1:10" x14ac:dyDescent="0.3">
      <c r="A941" t="s">
        <v>1605</v>
      </c>
      <c r="B941" t="s">
        <v>1606</v>
      </c>
      <c r="D941" s="6">
        <v>1000</v>
      </c>
      <c r="G941" s="7">
        <v>9.5699999999999985</v>
      </c>
      <c r="H941" s="4" t="s">
        <v>1590</v>
      </c>
      <c r="J941" t="s">
        <v>59</v>
      </c>
    </row>
    <row r="942" spans="1:10" x14ac:dyDescent="0.3">
      <c r="A942" t="s">
        <v>1607</v>
      </c>
      <c r="B942" t="s">
        <v>1608</v>
      </c>
      <c r="D942" s="6">
        <v>1000</v>
      </c>
      <c r="G942" s="7">
        <v>10</v>
      </c>
      <c r="H942" s="4" t="s">
        <v>1590</v>
      </c>
      <c r="J942" t="s">
        <v>101</v>
      </c>
    </row>
    <row r="943" spans="1:10" x14ac:dyDescent="0.3">
      <c r="A943" t="s">
        <v>1607</v>
      </c>
      <c r="B943" t="s">
        <v>1608</v>
      </c>
      <c r="D943" s="6">
        <v>1000</v>
      </c>
      <c r="G943" s="7">
        <v>10</v>
      </c>
      <c r="H943" s="4" t="s">
        <v>1590</v>
      </c>
      <c r="J943" t="s">
        <v>101</v>
      </c>
    </row>
    <row r="944" spans="1:10" x14ac:dyDescent="0.3">
      <c r="A944" t="s">
        <v>1609</v>
      </c>
      <c r="B944" t="s">
        <v>1610</v>
      </c>
      <c r="D944" s="6">
        <v>1000</v>
      </c>
      <c r="G944" s="7">
        <v>10.25</v>
      </c>
      <c r="H944" s="4" t="s">
        <v>1599</v>
      </c>
      <c r="J944" t="s">
        <v>101</v>
      </c>
    </row>
    <row r="945" spans="1:10" x14ac:dyDescent="0.3">
      <c r="A945" t="s">
        <v>1609</v>
      </c>
      <c r="B945" t="s">
        <v>1610</v>
      </c>
      <c r="D945" s="6">
        <v>1000</v>
      </c>
      <c r="G945" s="7">
        <v>10.25</v>
      </c>
      <c r="H945" s="4" t="s">
        <v>1599</v>
      </c>
      <c r="J945" t="s">
        <v>101</v>
      </c>
    </row>
    <row r="946" spans="1:10" x14ac:dyDescent="0.3">
      <c r="A946" t="s">
        <v>1611</v>
      </c>
      <c r="B946" t="s">
        <v>1612</v>
      </c>
      <c r="D946" s="6">
        <v>1000</v>
      </c>
      <c r="G946" s="7">
        <v>9.8000000000000007</v>
      </c>
      <c r="H946" s="4" t="s">
        <v>1599</v>
      </c>
      <c r="J946" t="s">
        <v>59</v>
      </c>
    </row>
    <row r="947" spans="1:10" x14ac:dyDescent="0.3">
      <c r="A947" t="s">
        <v>1611</v>
      </c>
      <c r="B947" t="s">
        <v>1612</v>
      </c>
      <c r="D947" s="6">
        <v>1000</v>
      </c>
      <c r="G947" s="7">
        <v>9.8000000000000007</v>
      </c>
      <c r="H947" s="4" t="s">
        <v>1599</v>
      </c>
      <c r="J947" t="s">
        <v>59</v>
      </c>
    </row>
    <row r="948" spans="1:10" x14ac:dyDescent="0.3">
      <c r="A948" t="s">
        <v>1613</v>
      </c>
      <c r="B948" t="s">
        <v>1614</v>
      </c>
      <c r="D948" s="6">
        <v>1000</v>
      </c>
      <c r="G948" s="7">
        <v>10.029999999999999</v>
      </c>
      <c r="H948" s="4" t="s">
        <v>1590</v>
      </c>
      <c r="J948" t="s">
        <v>59</v>
      </c>
    </row>
    <row r="949" spans="1:10" x14ac:dyDescent="0.3">
      <c r="A949" t="s">
        <v>1613</v>
      </c>
      <c r="B949" t="s">
        <v>1614</v>
      </c>
      <c r="D949" s="6">
        <v>1000</v>
      </c>
      <c r="G949" s="7">
        <v>10.029999999999999</v>
      </c>
      <c r="H949" s="4" t="s">
        <v>1590</v>
      </c>
      <c r="J949" t="s">
        <v>59</v>
      </c>
    </row>
    <row r="950" spans="1:10" x14ac:dyDescent="0.3">
      <c r="A950" t="s">
        <v>1615</v>
      </c>
      <c r="B950" t="s">
        <v>1616</v>
      </c>
      <c r="D950" s="6">
        <v>100000</v>
      </c>
      <c r="G950" s="7">
        <v>9.75</v>
      </c>
      <c r="H950" s="4" t="s">
        <v>1617</v>
      </c>
      <c r="J950" t="s">
        <v>248</v>
      </c>
    </row>
    <row r="951" spans="1:10" x14ac:dyDescent="0.3">
      <c r="A951" t="s">
        <v>1618</v>
      </c>
      <c r="B951" t="s">
        <v>1619</v>
      </c>
      <c r="D951" s="6">
        <v>1000</v>
      </c>
      <c r="G951" s="7">
        <v>9.25</v>
      </c>
      <c r="H951" s="4" t="s">
        <v>1620</v>
      </c>
      <c r="J951" t="s">
        <v>62</v>
      </c>
    </row>
    <row r="952" spans="1:10" x14ac:dyDescent="0.3">
      <c r="A952" t="s">
        <v>1618</v>
      </c>
      <c r="B952" t="s">
        <v>1619</v>
      </c>
      <c r="D952" s="6">
        <v>1000</v>
      </c>
      <c r="G952" s="7">
        <v>9.25</v>
      </c>
      <c r="H952" s="4" t="s">
        <v>1620</v>
      </c>
      <c r="J952" t="s">
        <v>62</v>
      </c>
    </row>
    <row r="953" spans="1:10" x14ac:dyDescent="0.3">
      <c r="A953" t="s">
        <v>1621</v>
      </c>
      <c r="B953" t="s">
        <v>1622</v>
      </c>
      <c r="D953" s="6">
        <v>1000</v>
      </c>
      <c r="G953" s="7" t="s">
        <v>65</v>
      </c>
      <c r="H953" s="4" t="s">
        <v>1620</v>
      </c>
      <c r="J953" t="s">
        <v>49</v>
      </c>
    </row>
    <row r="954" spans="1:10" x14ac:dyDescent="0.3">
      <c r="A954" t="s">
        <v>1621</v>
      </c>
      <c r="B954" t="s">
        <v>1622</v>
      </c>
      <c r="D954" s="6">
        <v>1000</v>
      </c>
      <c r="G954" s="7" t="s">
        <v>65</v>
      </c>
      <c r="H954" s="4" t="s">
        <v>1620</v>
      </c>
      <c r="J954" t="s">
        <v>49</v>
      </c>
    </row>
    <row r="955" spans="1:10" x14ac:dyDescent="0.3">
      <c r="A955" t="s">
        <v>1623</v>
      </c>
      <c r="B955" t="s">
        <v>1624</v>
      </c>
      <c r="D955" s="6">
        <v>1000</v>
      </c>
      <c r="G955" s="7" t="s">
        <v>65</v>
      </c>
      <c r="H955" s="4" t="s">
        <v>1620</v>
      </c>
      <c r="J955" t="s">
        <v>49</v>
      </c>
    </row>
    <row r="956" spans="1:10" x14ac:dyDescent="0.3">
      <c r="A956" t="s">
        <v>1623</v>
      </c>
      <c r="B956" t="s">
        <v>1624</v>
      </c>
      <c r="D956" s="6">
        <v>1000</v>
      </c>
      <c r="G956" s="7" t="s">
        <v>65</v>
      </c>
      <c r="H956" s="4" t="s">
        <v>1620</v>
      </c>
      <c r="J956" t="s">
        <v>49</v>
      </c>
    </row>
    <row r="957" spans="1:10" x14ac:dyDescent="0.3">
      <c r="A957" t="s">
        <v>1625</v>
      </c>
      <c r="B957" t="s">
        <v>1626</v>
      </c>
      <c r="D957" s="6">
        <v>1000</v>
      </c>
      <c r="G957" s="7">
        <v>9.25</v>
      </c>
      <c r="H957" s="4" t="s">
        <v>1620</v>
      </c>
      <c r="J957" t="s">
        <v>59</v>
      </c>
    </row>
    <row r="958" spans="1:10" x14ac:dyDescent="0.3">
      <c r="A958" t="s">
        <v>1625</v>
      </c>
      <c r="B958" t="s">
        <v>1626</v>
      </c>
      <c r="D958" s="6">
        <v>1000</v>
      </c>
      <c r="G958" s="7">
        <v>9.25</v>
      </c>
      <c r="H958" s="4" t="s">
        <v>1620</v>
      </c>
      <c r="J958" t="s">
        <v>59</v>
      </c>
    </row>
    <row r="959" spans="1:10" x14ac:dyDescent="0.3">
      <c r="A959" t="s">
        <v>1627</v>
      </c>
      <c r="B959" t="s">
        <v>1628</v>
      </c>
      <c r="D959" s="6">
        <v>1000</v>
      </c>
      <c r="G959" s="7">
        <v>8.8800000000000008</v>
      </c>
      <c r="H959" s="4" t="s">
        <v>1620</v>
      </c>
      <c r="J959" t="s">
        <v>59</v>
      </c>
    </row>
    <row r="960" spans="1:10" x14ac:dyDescent="0.3">
      <c r="A960" t="s">
        <v>1627</v>
      </c>
      <c r="B960" t="s">
        <v>1628</v>
      </c>
      <c r="D960" s="6">
        <v>1000</v>
      </c>
      <c r="G960" s="7">
        <v>8.8800000000000008</v>
      </c>
      <c r="H960" s="4" t="s">
        <v>1620</v>
      </c>
      <c r="J960" t="s">
        <v>59</v>
      </c>
    </row>
    <row r="961" spans="1:10" x14ac:dyDescent="0.3">
      <c r="A961" t="s">
        <v>1629</v>
      </c>
      <c r="B961" t="s">
        <v>1630</v>
      </c>
      <c r="D961" s="6">
        <v>1000</v>
      </c>
      <c r="G961" s="7">
        <v>9.65</v>
      </c>
      <c r="H961" s="4" t="s">
        <v>1620</v>
      </c>
      <c r="J961" t="s">
        <v>62</v>
      </c>
    </row>
    <row r="962" spans="1:10" x14ac:dyDescent="0.3">
      <c r="A962" t="s">
        <v>1629</v>
      </c>
      <c r="B962" t="s">
        <v>1630</v>
      </c>
      <c r="D962" s="6">
        <v>1000</v>
      </c>
      <c r="G962" s="7">
        <v>9.65</v>
      </c>
      <c r="H962" s="4" t="s">
        <v>1620</v>
      </c>
      <c r="J962" t="s">
        <v>62</v>
      </c>
    </row>
    <row r="963" spans="1:10" x14ac:dyDescent="0.3">
      <c r="A963" t="s">
        <v>1631</v>
      </c>
      <c r="B963" t="s">
        <v>1632</v>
      </c>
      <c r="D963" s="6">
        <v>1000</v>
      </c>
      <c r="G963" s="7">
        <v>9.9</v>
      </c>
      <c r="H963" s="4" t="s">
        <v>1633</v>
      </c>
      <c r="J963" t="s">
        <v>62</v>
      </c>
    </row>
    <row r="964" spans="1:10" x14ac:dyDescent="0.3">
      <c r="A964" t="s">
        <v>1631</v>
      </c>
      <c r="B964" t="s">
        <v>1632</v>
      </c>
      <c r="D964" s="6">
        <v>1000</v>
      </c>
      <c r="G964" s="7">
        <v>9.9</v>
      </c>
      <c r="H964" s="4" t="s">
        <v>1633</v>
      </c>
      <c r="J964" t="s">
        <v>62</v>
      </c>
    </row>
    <row r="965" spans="1:10" x14ac:dyDescent="0.3">
      <c r="A965" t="s">
        <v>1634</v>
      </c>
      <c r="B965" t="s">
        <v>1635</v>
      </c>
      <c r="D965" s="6">
        <v>1000</v>
      </c>
      <c r="G965" s="7">
        <v>9.7100000000000009</v>
      </c>
      <c r="H965" s="4" t="s">
        <v>1636</v>
      </c>
      <c r="J965" t="s">
        <v>59</v>
      </c>
    </row>
    <row r="966" spans="1:10" x14ac:dyDescent="0.3">
      <c r="A966" t="s">
        <v>1634</v>
      </c>
      <c r="B966" t="s">
        <v>1635</v>
      </c>
      <c r="D966" s="6">
        <v>1000</v>
      </c>
      <c r="G966" s="7">
        <v>9.7100000000000009</v>
      </c>
      <c r="H966" s="4" t="s">
        <v>1636</v>
      </c>
      <c r="J966" t="s">
        <v>59</v>
      </c>
    </row>
    <row r="967" spans="1:10" x14ac:dyDescent="0.3">
      <c r="A967" t="s">
        <v>1637</v>
      </c>
      <c r="B967" t="s">
        <v>1638</v>
      </c>
      <c r="D967" s="6">
        <v>1000</v>
      </c>
      <c r="G967" s="7">
        <v>9.02</v>
      </c>
      <c r="H967" s="4" t="s">
        <v>1633</v>
      </c>
      <c r="J967" t="s">
        <v>59</v>
      </c>
    </row>
    <row r="968" spans="1:10" x14ac:dyDescent="0.3">
      <c r="A968" t="s">
        <v>1637</v>
      </c>
      <c r="B968" t="s">
        <v>1638</v>
      </c>
      <c r="D968" s="6">
        <v>1000</v>
      </c>
      <c r="G968" s="7">
        <v>9.02</v>
      </c>
      <c r="H968" s="4" t="s">
        <v>1633</v>
      </c>
      <c r="J968" t="s">
        <v>59</v>
      </c>
    </row>
    <row r="969" spans="1:10" x14ac:dyDescent="0.3">
      <c r="A969" t="s">
        <v>1639</v>
      </c>
      <c r="B969" t="s">
        <v>1640</v>
      </c>
      <c r="D969" s="6">
        <v>1000</v>
      </c>
      <c r="G969" s="7">
        <v>9.4</v>
      </c>
      <c r="H969" s="4" t="s">
        <v>1633</v>
      </c>
      <c r="J969" t="s">
        <v>62</v>
      </c>
    </row>
    <row r="970" spans="1:10" x14ac:dyDescent="0.3">
      <c r="A970" t="s">
        <v>1639</v>
      </c>
      <c r="B970" t="s">
        <v>1640</v>
      </c>
      <c r="D970" s="6">
        <v>1000</v>
      </c>
      <c r="G970" s="7">
        <v>9.4</v>
      </c>
      <c r="H970" s="4" t="s">
        <v>1633</v>
      </c>
      <c r="J970" t="s">
        <v>62</v>
      </c>
    </row>
    <row r="971" spans="1:10" x14ac:dyDescent="0.3">
      <c r="A971" t="s">
        <v>1641</v>
      </c>
      <c r="B971" t="s">
        <v>1642</v>
      </c>
      <c r="D971" s="6">
        <v>1000</v>
      </c>
      <c r="G971" s="7">
        <v>10.5</v>
      </c>
      <c r="H971" s="4" t="s">
        <v>1643</v>
      </c>
      <c r="J971" t="s">
        <v>62</v>
      </c>
    </row>
    <row r="972" spans="1:10" x14ac:dyDescent="0.3">
      <c r="A972" t="s">
        <v>1641</v>
      </c>
      <c r="B972" t="s">
        <v>1642</v>
      </c>
      <c r="D972" s="6">
        <v>1000</v>
      </c>
      <c r="G972" s="7">
        <v>10.5</v>
      </c>
      <c r="H972" s="4" t="s">
        <v>1643</v>
      </c>
      <c r="J972" t="s">
        <v>62</v>
      </c>
    </row>
    <row r="973" spans="1:10" x14ac:dyDescent="0.3">
      <c r="A973" t="s">
        <v>1644</v>
      </c>
      <c r="B973" t="s">
        <v>1645</v>
      </c>
      <c r="D973" s="6">
        <v>1000</v>
      </c>
      <c r="G973" s="7">
        <v>9.48</v>
      </c>
      <c r="H973" s="4" t="s">
        <v>1633</v>
      </c>
      <c r="J973" t="s">
        <v>59</v>
      </c>
    </row>
    <row r="974" spans="1:10" x14ac:dyDescent="0.3">
      <c r="A974" t="s">
        <v>1644</v>
      </c>
      <c r="B974" t="s">
        <v>1645</v>
      </c>
      <c r="D974" s="6">
        <v>1000</v>
      </c>
      <c r="G974" s="7">
        <v>9.48</v>
      </c>
      <c r="H974" s="4" t="s">
        <v>1633</v>
      </c>
      <c r="J974" t="s">
        <v>59</v>
      </c>
    </row>
    <row r="975" spans="1:10" x14ac:dyDescent="0.3">
      <c r="A975" t="s">
        <v>1646</v>
      </c>
      <c r="B975" t="s">
        <v>1647</v>
      </c>
      <c r="D975" s="6">
        <v>1000</v>
      </c>
      <c r="G975" s="7" t="s">
        <v>65</v>
      </c>
      <c r="H975" s="4" t="s">
        <v>1633</v>
      </c>
      <c r="J975" t="s">
        <v>49</v>
      </c>
    </row>
    <row r="976" spans="1:10" x14ac:dyDescent="0.3">
      <c r="A976" t="s">
        <v>1646</v>
      </c>
      <c r="B976" t="s">
        <v>1647</v>
      </c>
      <c r="D976" s="6">
        <v>1000</v>
      </c>
      <c r="G976" s="7" t="s">
        <v>65</v>
      </c>
      <c r="H976" s="4" t="s">
        <v>1633</v>
      </c>
      <c r="J976" t="s">
        <v>49</v>
      </c>
    </row>
    <row r="977" spans="1:10" x14ac:dyDescent="0.3">
      <c r="A977" t="s">
        <v>1648</v>
      </c>
      <c r="B977" t="s">
        <v>1649</v>
      </c>
      <c r="D977" s="6">
        <v>1000</v>
      </c>
      <c r="G977" s="7">
        <v>10.25</v>
      </c>
      <c r="H977" s="4" t="s">
        <v>1650</v>
      </c>
      <c r="J977" t="s">
        <v>59</v>
      </c>
    </row>
    <row r="978" spans="1:10" x14ac:dyDescent="0.3">
      <c r="A978" t="s">
        <v>1648</v>
      </c>
      <c r="B978" t="s">
        <v>1649</v>
      </c>
      <c r="D978" s="6">
        <v>1000</v>
      </c>
      <c r="G978" s="7">
        <v>10.25</v>
      </c>
      <c r="H978" s="4" t="s">
        <v>1650</v>
      </c>
      <c r="J978" t="s">
        <v>59</v>
      </c>
    </row>
    <row r="979" spans="1:10" x14ac:dyDescent="0.3">
      <c r="A979" t="s">
        <v>1651</v>
      </c>
      <c r="B979" t="s">
        <v>1652</v>
      </c>
      <c r="D979" s="6">
        <v>1000</v>
      </c>
      <c r="G979" s="7">
        <v>10</v>
      </c>
      <c r="H979" s="4" t="s">
        <v>1643</v>
      </c>
      <c r="J979" t="s">
        <v>62</v>
      </c>
    </row>
    <row r="980" spans="1:10" x14ac:dyDescent="0.3">
      <c r="A980" t="s">
        <v>1651</v>
      </c>
      <c r="B980" t="s">
        <v>1652</v>
      </c>
      <c r="D980" s="6">
        <v>1000</v>
      </c>
      <c r="G980" s="7">
        <v>10</v>
      </c>
      <c r="H980" s="4" t="s">
        <v>1643</v>
      </c>
      <c r="J980" t="s">
        <v>62</v>
      </c>
    </row>
    <row r="981" spans="1:10" x14ac:dyDescent="0.3">
      <c r="A981" t="s">
        <v>1653</v>
      </c>
      <c r="B981" t="s">
        <v>1654</v>
      </c>
      <c r="D981" s="6">
        <v>1000</v>
      </c>
      <c r="G981" s="7">
        <v>10.75</v>
      </c>
      <c r="H981" s="4" t="s">
        <v>1650</v>
      </c>
      <c r="J981" t="s">
        <v>62</v>
      </c>
    </row>
    <row r="982" spans="1:10" x14ac:dyDescent="0.3">
      <c r="A982" t="s">
        <v>1653</v>
      </c>
      <c r="B982" t="s">
        <v>1654</v>
      </c>
      <c r="D982" s="6">
        <v>1000</v>
      </c>
      <c r="G982" s="7">
        <v>10.75</v>
      </c>
      <c r="H982" s="4" t="s">
        <v>1650</v>
      </c>
      <c r="J982" t="s">
        <v>62</v>
      </c>
    </row>
    <row r="983" spans="1:10" x14ac:dyDescent="0.3">
      <c r="A983" t="s">
        <v>1655</v>
      </c>
      <c r="B983" t="s">
        <v>1656</v>
      </c>
      <c r="D983" s="6">
        <v>1000</v>
      </c>
      <c r="G983" s="7">
        <v>9.25</v>
      </c>
      <c r="H983" s="4" t="s">
        <v>1636</v>
      </c>
      <c r="J983" t="s">
        <v>59</v>
      </c>
    </row>
    <row r="984" spans="1:10" x14ac:dyDescent="0.3">
      <c r="A984" t="s">
        <v>1655</v>
      </c>
      <c r="B984" t="s">
        <v>1656</v>
      </c>
      <c r="D984" s="6">
        <v>1000</v>
      </c>
      <c r="G984" s="7">
        <v>9.25</v>
      </c>
      <c r="H984" s="4" t="s">
        <v>1636</v>
      </c>
      <c r="J984" t="s">
        <v>59</v>
      </c>
    </row>
    <row r="985" spans="1:10" x14ac:dyDescent="0.3">
      <c r="A985" t="s">
        <v>1657</v>
      </c>
      <c r="B985" t="s">
        <v>1658</v>
      </c>
      <c r="D985" s="6">
        <v>1000</v>
      </c>
      <c r="G985" s="7">
        <v>10.15</v>
      </c>
      <c r="H985" s="4" t="s">
        <v>1636</v>
      </c>
      <c r="J985" t="s">
        <v>62</v>
      </c>
    </row>
    <row r="986" spans="1:10" x14ac:dyDescent="0.3">
      <c r="A986" t="s">
        <v>1657</v>
      </c>
      <c r="B986" t="s">
        <v>1658</v>
      </c>
      <c r="D986" s="6">
        <v>1000</v>
      </c>
      <c r="G986" s="7">
        <v>10.15</v>
      </c>
      <c r="H986" s="4" t="s">
        <v>1636</v>
      </c>
      <c r="J986" t="s">
        <v>62</v>
      </c>
    </row>
    <row r="987" spans="1:10" x14ac:dyDescent="0.3">
      <c r="A987" t="s">
        <v>1659</v>
      </c>
      <c r="B987" t="s">
        <v>1660</v>
      </c>
      <c r="D987" s="6">
        <v>1000</v>
      </c>
      <c r="G987" s="7">
        <v>9.8000000000000007</v>
      </c>
      <c r="H987" s="4" t="s">
        <v>1650</v>
      </c>
      <c r="J987" t="s">
        <v>59</v>
      </c>
    </row>
    <row r="988" spans="1:10" x14ac:dyDescent="0.3">
      <c r="A988" t="s">
        <v>1659</v>
      </c>
      <c r="B988" t="s">
        <v>1660</v>
      </c>
      <c r="D988" s="6">
        <v>1000</v>
      </c>
      <c r="G988" s="7">
        <v>9.8000000000000007</v>
      </c>
      <c r="H988" s="4" t="s">
        <v>1650</v>
      </c>
      <c r="J988" t="s">
        <v>59</v>
      </c>
    </row>
    <row r="989" spans="1:10" x14ac:dyDescent="0.3">
      <c r="A989" t="s">
        <v>1661</v>
      </c>
      <c r="B989" t="s">
        <v>1662</v>
      </c>
      <c r="D989" s="6">
        <v>1000</v>
      </c>
      <c r="G989" s="7">
        <v>10.029999999999999</v>
      </c>
      <c r="H989" s="4" t="s">
        <v>1643</v>
      </c>
      <c r="J989" t="s">
        <v>59</v>
      </c>
    </row>
    <row r="990" spans="1:10" x14ac:dyDescent="0.3">
      <c r="A990" t="s">
        <v>1661</v>
      </c>
      <c r="B990" t="s">
        <v>1662</v>
      </c>
      <c r="D990" s="6">
        <v>1000</v>
      </c>
      <c r="G990" s="7">
        <v>10.029999999999999</v>
      </c>
      <c r="H990" s="4" t="s">
        <v>1643</v>
      </c>
      <c r="J990" t="s">
        <v>59</v>
      </c>
    </row>
    <row r="991" spans="1:10" x14ac:dyDescent="0.3">
      <c r="A991" t="s">
        <v>1663</v>
      </c>
      <c r="B991" t="s">
        <v>1104</v>
      </c>
      <c r="C991" t="s">
        <v>297</v>
      </c>
      <c r="D991" s="9">
        <v>1000</v>
      </c>
      <c r="E991" t="s">
        <v>1558</v>
      </c>
      <c r="F991" t="s">
        <v>619</v>
      </c>
      <c r="G991">
        <v>8.7899999999999991</v>
      </c>
      <c r="H991" t="s">
        <v>1107</v>
      </c>
      <c r="I991" t="s">
        <v>1664</v>
      </c>
      <c r="J991" t="s">
        <v>59</v>
      </c>
    </row>
    <row r="992" spans="1:10" x14ac:dyDescent="0.3">
      <c r="A992" t="s">
        <v>1663</v>
      </c>
      <c r="B992" t="s">
        <v>1665</v>
      </c>
      <c r="D992" s="6">
        <v>1000</v>
      </c>
      <c r="G992" s="7">
        <v>8.7900000000000009</v>
      </c>
      <c r="H992" s="4" t="s">
        <v>1107</v>
      </c>
      <c r="J992" t="s">
        <v>59</v>
      </c>
    </row>
    <row r="993" spans="1:10" x14ac:dyDescent="0.3">
      <c r="A993" t="s">
        <v>1663</v>
      </c>
      <c r="B993" t="s">
        <v>1665</v>
      </c>
      <c r="D993" s="6">
        <v>1000</v>
      </c>
      <c r="G993" s="7">
        <v>8.7900000000000009</v>
      </c>
      <c r="H993" s="4" t="s">
        <v>1107</v>
      </c>
      <c r="J993" t="s">
        <v>59</v>
      </c>
    </row>
    <row r="994" spans="1:10" x14ac:dyDescent="0.3">
      <c r="A994" t="s">
        <v>1666</v>
      </c>
      <c r="B994" t="s">
        <v>1667</v>
      </c>
      <c r="D994" s="6">
        <v>1000</v>
      </c>
      <c r="G994" s="7">
        <v>9</v>
      </c>
      <c r="H994" s="4" t="s">
        <v>1107</v>
      </c>
      <c r="J994" t="s">
        <v>62</v>
      </c>
    </row>
    <row r="995" spans="1:10" x14ac:dyDescent="0.3">
      <c r="A995" t="s">
        <v>1666</v>
      </c>
      <c r="B995" t="s">
        <v>1667</v>
      </c>
      <c r="D995" s="6">
        <v>1000</v>
      </c>
      <c r="G995" s="7">
        <v>9</v>
      </c>
      <c r="H995" s="4" t="s">
        <v>1107</v>
      </c>
      <c r="J995" t="s">
        <v>62</v>
      </c>
    </row>
    <row r="996" spans="1:10" x14ac:dyDescent="0.3">
      <c r="A996" t="s">
        <v>1668</v>
      </c>
      <c r="B996" t="s">
        <v>1104</v>
      </c>
      <c r="C996" t="s">
        <v>605</v>
      </c>
      <c r="D996" s="9">
        <v>1000</v>
      </c>
      <c r="E996" t="s">
        <v>45</v>
      </c>
      <c r="F996" t="s">
        <v>45</v>
      </c>
      <c r="G996">
        <v>9.15</v>
      </c>
      <c r="H996" t="s">
        <v>1107</v>
      </c>
      <c r="I996" t="s">
        <v>1669</v>
      </c>
      <c r="J996" t="s">
        <v>62</v>
      </c>
    </row>
    <row r="997" spans="1:10" x14ac:dyDescent="0.3">
      <c r="A997" t="s">
        <v>1668</v>
      </c>
      <c r="B997" t="s">
        <v>1670</v>
      </c>
      <c r="D997" s="6">
        <v>1000</v>
      </c>
      <c r="G997" s="7">
        <v>9.15</v>
      </c>
      <c r="H997" s="4" t="s">
        <v>1107</v>
      </c>
      <c r="J997" t="s">
        <v>62</v>
      </c>
    </row>
    <row r="998" spans="1:10" x14ac:dyDescent="0.3">
      <c r="A998" t="s">
        <v>1668</v>
      </c>
      <c r="B998" t="s">
        <v>1670</v>
      </c>
      <c r="D998" s="6">
        <v>1000</v>
      </c>
      <c r="G998" s="7">
        <v>9.15</v>
      </c>
      <c r="H998" s="4" t="s">
        <v>1107</v>
      </c>
      <c r="J998" t="s">
        <v>62</v>
      </c>
    </row>
    <row r="999" spans="1:10" x14ac:dyDescent="0.3">
      <c r="A999" t="s">
        <v>1671</v>
      </c>
      <c r="B999" t="s">
        <v>1104</v>
      </c>
      <c r="C999" t="s">
        <v>309</v>
      </c>
      <c r="D999" s="9">
        <v>1000</v>
      </c>
      <c r="E999" t="s">
        <v>45</v>
      </c>
      <c r="F999" t="s">
        <v>45</v>
      </c>
      <c r="G999" s="12">
        <v>0</v>
      </c>
      <c r="H999" t="s">
        <v>1107</v>
      </c>
      <c r="I999" t="s">
        <v>1671</v>
      </c>
      <c r="J999" t="s">
        <v>361</v>
      </c>
    </row>
    <row r="1000" spans="1:10" x14ac:dyDescent="0.3">
      <c r="A1000" t="s">
        <v>1671</v>
      </c>
      <c r="B1000" t="s">
        <v>1672</v>
      </c>
      <c r="D1000" s="6">
        <v>1000</v>
      </c>
      <c r="G1000" s="7" t="s">
        <v>65</v>
      </c>
      <c r="H1000" s="4" t="s">
        <v>1107</v>
      </c>
      <c r="J1000" t="s">
        <v>49</v>
      </c>
    </row>
    <row r="1001" spans="1:10" x14ac:dyDescent="0.3">
      <c r="A1001" t="s">
        <v>1671</v>
      </c>
      <c r="B1001" t="s">
        <v>1672</v>
      </c>
      <c r="D1001" s="6">
        <v>1000</v>
      </c>
      <c r="G1001" s="7" t="s">
        <v>65</v>
      </c>
      <c r="H1001" s="4" t="s">
        <v>1107</v>
      </c>
      <c r="J1001" t="s">
        <v>49</v>
      </c>
    </row>
    <row r="1002" spans="1:10" x14ac:dyDescent="0.3">
      <c r="A1002" t="s">
        <v>1673</v>
      </c>
      <c r="B1002" t="s">
        <v>1104</v>
      </c>
      <c r="C1002" t="s">
        <v>1480</v>
      </c>
      <c r="D1002" s="9">
        <v>1000</v>
      </c>
      <c r="E1002" t="s">
        <v>45</v>
      </c>
      <c r="F1002" t="s">
        <v>45</v>
      </c>
      <c r="G1002">
        <v>9.75</v>
      </c>
      <c r="H1002" t="s">
        <v>1674</v>
      </c>
      <c r="I1002" t="s">
        <v>1675</v>
      </c>
      <c r="J1002" t="s">
        <v>62</v>
      </c>
    </row>
    <row r="1003" spans="1:10" x14ac:dyDescent="0.3">
      <c r="A1003" t="s">
        <v>1673</v>
      </c>
      <c r="B1003" t="s">
        <v>1676</v>
      </c>
      <c r="D1003" s="6">
        <v>1000</v>
      </c>
      <c r="G1003" s="7">
        <v>9.75</v>
      </c>
      <c r="H1003" s="4" t="s">
        <v>1674</v>
      </c>
      <c r="J1003" t="s">
        <v>62</v>
      </c>
    </row>
    <row r="1004" spans="1:10" x14ac:dyDescent="0.3">
      <c r="A1004" t="s">
        <v>1673</v>
      </c>
      <c r="B1004" t="s">
        <v>1676</v>
      </c>
      <c r="D1004" s="6">
        <v>1000</v>
      </c>
      <c r="G1004" s="7">
        <v>9.75</v>
      </c>
      <c r="H1004" s="4" t="s">
        <v>1674</v>
      </c>
      <c r="J1004" t="s">
        <v>62</v>
      </c>
    </row>
    <row r="1005" spans="1:10" x14ac:dyDescent="0.3">
      <c r="A1005" t="s">
        <v>1677</v>
      </c>
      <c r="B1005" t="s">
        <v>1678</v>
      </c>
      <c r="D1005" s="6">
        <v>1000</v>
      </c>
      <c r="G1005" s="7">
        <v>8.89</v>
      </c>
      <c r="H1005" s="4" t="s">
        <v>1674</v>
      </c>
      <c r="J1005" t="s">
        <v>59</v>
      </c>
    </row>
    <row r="1006" spans="1:10" x14ac:dyDescent="0.3">
      <c r="A1006" t="s">
        <v>1677</v>
      </c>
      <c r="B1006" t="s">
        <v>1678</v>
      </c>
      <c r="D1006" s="6">
        <v>1000</v>
      </c>
      <c r="G1006" s="7">
        <v>8.89</v>
      </c>
      <c r="H1006" s="4" t="s">
        <v>1674</v>
      </c>
      <c r="J1006" t="s">
        <v>59</v>
      </c>
    </row>
    <row r="1007" spans="1:10" x14ac:dyDescent="0.3">
      <c r="A1007" t="s">
        <v>1679</v>
      </c>
      <c r="B1007" t="s">
        <v>1104</v>
      </c>
      <c r="C1007" t="s">
        <v>1489</v>
      </c>
      <c r="D1007" s="9">
        <v>1000</v>
      </c>
      <c r="E1007" t="s">
        <v>45</v>
      </c>
      <c r="F1007" t="s">
        <v>45</v>
      </c>
      <c r="G1007">
        <v>9.35</v>
      </c>
      <c r="H1007" t="s">
        <v>1674</v>
      </c>
      <c r="I1007" t="s">
        <v>1680</v>
      </c>
      <c r="J1007" t="s">
        <v>59</v>
      </c>
    </row>
    <row r="1008" spans="1:10" x14ac:dyDescent="0.3">
      <c r="A1008" t="s">
        <v>1679</v>
      </c>
      <c r="B1008" t="s">
        <v>1681</v>
      </c>
      <c r="D1008" s="6">
        <v>1000</v>
      </c>
      <c r="G1008" s="7">
        <v>9.35</v>
      </c>
      <c r="H1008" s="4" t="s">
        <v>1674</v>
      </c>
      <c r="J1008" t="s">
        <v>59</v>
      </c>
    </row>
    <row r="1009" spans="1:10" x14ac:dyDescent="0.3">
      <c r="A1009" t="s">
        <v>1679</v>
      </c>
      <c r="B1009" t="s">
        <v>1681</v>
      </c>
      <c r="D1009" s="6">
        <v>1000</v>
      </c>
      <c r="G1009" s="7">
        <v>9.35</v>
      </c>
      <c r="H1009" s="4" t="s">
        <v>1674</v>
      </c>
      <c r="J1009" t="s">
        <v>59</v>
      </c>
    </row>
    <row r="1010" spans="1:10" x14ac:dyDescent="0.3">
      <c r="A1010" t="s">
        <v>1682</v>
      </c>
      <c r="B1010" t="s">
        <v>1683</v>
      </c>
      <c r="C1010" t="s">
        <v>48</v>
      </c>
      <c r="D1010" s="9">
        <v>1000</v>
      </c>
      <c r="E1010" t="s">
        <v>1684</v>
      </c>
      <c r="F1010" t="s">
        <v>442</v>
      </c>
      <c r="G1010">
        <v>8.5500000000000007</v>
      </c>
      <c r="H1010" t="s">
        <v>337</v>
      </c>
      <c r="I1010" t="s">
        <v>1685</v>
      </c>
      <c r="J1010" t="s">
        <v>62</v>
      </c>
    </row>
    <row r="1011" spans="1:10" x14ac:dyDescent="0.3">
      <c r="A1011" t="s">
        <v>1682</v>
      </c>
      <c r="B1011" t="s">
        <v>1686</v>
      </c>
      <c r="D1011" s="6">
        <v>1000</v>
      </c>
      <c r="G1011" s="7">
        <v>8.5500000000000007</v>
      </c>
      <c r="H1011" s="4" t="s">
        <v>337</v>
      </c>
      <c r="J1011" t="s">
        <v>62</v>
      </c>
    </row>
    <row r="1012" spans="1:10" x14ac:dyDescent="0.3">
      <c r="A1012" t="s">
        <v>1687</v>
      </c>
      <c r="B1012" t="s">
        <v>1683</v>
      </c>
      <c r="C1012" t="s">
        <v>340</v>
      </c>
      <c r="D1012" s="9">
        <v>1000</v>
      </c>
      <c r="E1012" t="s">
        <v>1688</v>
      </c>
      <c r="F1012" t="s">
        <v>311</v>
      </c>
      <c r="G1012">
        <v>8.8000000000000007</v>
      </c>
      <c r="H1012" t="s">
        <v>337</v>
      </c>
      <c r="I1012" t="s">
        <v>1689</v>
      </c>
      <c r="J1012" t="s">
        <v>62</v>
      </c>
    </row>
    <row r="1013" spans="1:10" x14ac:dyDescent="0.3">
      <c r="A1013" t="s">
        <v>1687</v>
      </c>
      <c r="B1013" t="s">
        <v>1690</v>
      </c>
      <c r="D1013" s="6">
        <v>1000</v>
      </c>
      <c r="G1013" s="7">
        <v>8.7999999999999989</v>
      </c>
      <c r="H1013" s="4" t="s">
        <v>337</v>
      </c>
      <c r="J1013" t="s">
        <v>62</v>
      </c>
    </row>
    <row r="1014" spans="1:10" x14ac:dyDescent="0.3">
      <c r="A1014" t="s">
        <v>1691</v>
      </c>
      <c r="B1014" t="s">
        <v>1683</v>
      </c>
      <c r="C1014" t="s">
        <v>51</v>
      </c>
      <c r="D1014" s="9">
        <v>1000</v>
      </c>
      <c r="E1014" t="s">
        <v>45</v>
      </c>
      <c r="F1014" t="s">
        <v>45</v>
      </c>
      <c r="G1014">
        <v>8.5500000000000007</v>
      </c>
      <c r="H1014" t="s">
        <v>1692</v>
      </c>
      <c r="I1014" t="s">
        <v>1693</v>
      </c>
      <c r="J1014" t="s">
        <v>62</v>
      </c>
    </row>
    <row r="1015" spans="1:10" x14ac:dyDescent="0.3">
      <c r="A1015" t="s">
        <v>1691</v>
      </c>
      <c r="B1015" t="s">
        <v>1694</v>
      </c>
      <c r="D1015" s="6">
        <v>1000</v>
      </c>
      <c r="G1015" s="7">
        <v>8.5500000000000007</v>
      </c>
      <c r="H1015" s="4" t="s">
        <v>1692</v>
      </c>
      <c r="J1015" t="s">
        <v>62</v>
      </c>
    </row>
    <row r="1016" spans="1:10" x14ac:dyDescent="0.3">
      <c r="A1016" t="s">
        <v>1695</v>
      </c>
      <c r="B1016" t="s">
        <v>1683</v>
      </c>
      <c r="C1016" t="s">
        <v>281</v>
      </c>
      <c r="D1016" s="9">
        <v>1000</v>
      </c>
      <c r="E1016" t="s">
        <v>1696</v>
      </c>
      <c r="F1016" t="s">
        <v>332</v>
      </c>
      <c r="G1016">
        <v>8.8000000000000007</v>
      </c>
      <c r="H1016" t="s">
        <v>1692</v>
      </c>
      <c r="I1016" t="s">
        <v>1697</v>
      </c>
      <c r="J1016" t="s">
        <v>62</v>
      </c>
    </row>
    <row r="1017" spans="1:10" x14ac:dyDescent="0.3">
      <c r="A1017" t="s">
        <v>1695</v>
      </c>
      <c r="B1017" t="s">
        <v>1698</v>
      </c>
      <c r="D1017" s="6">
        <v>1000</v>
      </c>
      <c r="G1017" s="7">
        <v>8.7999999999999989</v>
      </c>
      <c r="H1017" s="4" t="s">
        <v>1692</v>
      </c>
      <c r="J1017" t="s">
        <v>62</v>
      </c>
    </row>
    <row r="1018" spans="1:10" x14ac:dyDescent="0.3">
      <c r="A1018" t="s">
        <v>1699</v>
      </c>
      <c r="B1018" t="s">
        <v>1700</v>
      </c>
      <c r="D1018" s="6">
        <v>1000</v>
      </c>
      <c r="G1018" s="7">
        <v>7.28</v>
      </c>
      <c r="H1018" s="4" t="s">
        <v>1701</v>
      </c>
      <c r="J1018" t="s">
        <v>62</v>
      </c>
    </row>
    <row r="1019" spans="1:10" x14ac:dyDescent="0.3">
      <c r="A1019" t="s">
        <v>1702</v>
      </c>
      <c r="B1019" t="s">
        <v>1703</v>
      </c>
      <c r="D1019" s="6">
        <v>1000</v>
      </c>
      <c r="G1019" s="7">
        <v>7.4899999999999993</v>
      </c>
      <c r="H1019" s="4" t="s">
        <v>1704</v>
      </c>
      <c r="J1019" t="s">
        <v>62</v>
      </c>
    </row>
    <row r="1020" spans="1:10" x14ac:dyDescent="0.3">
      <c r="A1020" t="s">
        <v>1705</v>
      </c>
      <c r="B1020" t="s">
        <v>1706</v>
      </c>
      <c r="D1020" s="6">
        <v>1000</v>
      </c>
      <c r="G1020" s="7">
        <v>7.4300000000000006</v>
      </c>
      <c r="H1020" s="4" t="s">
        <v>1707</v>
      </c>
      <c r="J1020" t="s">
        <v>62</v>
      </c>
    </row>
    <row r="1021" spans="1:10" x14ac:dyDescent="0.3">
      <c r="A1021" t="s">
        <v>1708</v>
      </c>
      <c r="B1021" t="s">
        <v>1709</v>
      </c>
      <c r="D1021" s="6">
        <v>1000</v>
      </c>
      <c r="G1021" s="7">
        <v>7.53</v>
      </c>
      <c r="H1021" s="4" t="s">
        <v>1701</v>
      </c>
      <c r="J1021" t="s">
        <v>62</v>
      </c>
    </row>
    <row r="1022" spans="1:10" x14ac:dyDescent="0.3">
      <c r="A1022" t="s">
        <v>1710</v>
      </c>
      <c r="B1022" t="s">
        <v>1683</v>
      </c>
      <c r="C1022" t="s">
        <v>384</v>
      </c>
      <c r="D1022" s="9" t="s">
        <v>45</v>
      </c>
      <c r="E1022" t="s">
        <v>45</v>
      </c>
      <c r="F1022" t="s">
        <v>45</v>
      </c>
      <c r="G1022" s="12">
        <v>0</v>
      </c>
      <c r="H1022" t="s">
        <v>45</v>
      </c>
      <c r="I1022" t="s">
        <v>45</v>
      </c>
      <c r="J1022" t="s">
        <v>62</v>
      </c>
    </row>
    <row r="1023" spans="1:10" x14ac:dyDescent="0.3">
      <c r="A1023" t="s">
        <v>1710</v>
      </c>
      <c r="B1023" t="s">
        <v>1711</v>
      </c>
      <c r="D1023" s="6">
        <v>1000</v>
      </c>
      <c r="G1023" s="7">
        <v>7.7399999999999993</v>
      </c>
      <c r="H1023" s="4" t="s">
        <v>1704</v>
      </c>
      <c r="J1023" t="s">
        <v>62</v>
      </c>
    </row>
    <row r="1024" spans="1:10" x14ac:dyDescent="0.3">
      <c r="A1024" t="s">
        <v>1710</v>
      </c>
      <c r="B1024" t="s">
        <v>1712</v>
      </c>
      <c r="D1024" s="6">
        <v>1000</v>
      </c>
      <c r="G1024" s="7">
        <v>7.7399999999999993</v>
      </c>
      <c r="H1024" s="4" t="s">
        <v>1704</v>
      </c>
      <c r="J1024" t="s">
        <v>62</v>
      </c>
    </row>
    <row r="1025" spans="1:10" x14ac:dyDescent="0.3">
      <c r="A1025" t="s">
        <v>1710</v>
      </c>
      <c r="B1025" t="s">
        <v>1712</v>
      </c>
      <c r="D1025" s="6">
        <v>1000</v>
      </c>
      <c r="G1025" s="7">
        <v>7.7399999999999993</v>
      </c>
      <c r="H1025" s="4" t="s">
        <v>1704</v>
      </c>
      <c r="J1025" t="s">
        <v>62</v>
      </c>
    </row>
    <row r="1026" spans="1:10" x14ac:dyDescent="0.3">
      <c r="A1026" t="s">
        <v>1713</v>
      </c>
      <c r="B1026" t="s">
        <v>1714</v>
      </c>
      <c r="D1026" s="6">
        <v>1000</v>
      </c>
      <c r="G1026" s="7">
        <v>7.68</v>
      </c>
      <c r="H1026" s="4" t="s">
        <v>1707</v>
      </c>
      <c r="J1026" t="s">
        <v>62</v>
      </c>
    </row>
    <row r="1027" spans="1:10" x14ac:dyDescent="0.3">
      <c r="A1027" t="s">
        <v>1715</v>
      </c>
      <c r="B1027" t="s">
        <v>1683</v>
      </c>
      <c r="C1027" t="s">
        <v>415</v>
      </c>
      <c r="D1027" s="9" t="s">
        <v>45</v>
      </c>
      <c r="E1027" t="s">
        <v>45</v>
      </c>
      <c r="F1027" t="s">
        <v>45</v>
      </c>
      <c r="G1027" s="12">
        <v>0</v>
      </c>
      <c r="H1027" t="s">
        <v>45</v>
      </c>
      <c r="I1027" t="s">
        <v>1715</v>
      </c>
      <c r="J1027" t="s">
        <v>62</v>
      </c>
    </row>
    <row r="1028" spans="1:10" x14ac:dyDescent="0.3">
      <c r="A1028" t="s">
        <v>1716</v>
      </c>
      <c r="B1028" t="s">
        <v>1717</v>
      </c>
      <c r="C1028" t="s">
        <v>51</v>
      </c>
      <c r="D1028" s="9" t="s">
        <v>45</v>
      </c>
      <c r="E1028" t="s">
        <v>45</v>
      </c>
      <c r="F1028" t="s">
        <v>45</v>
      </c>
      <c r="G1028" s="12">
        <v>0</v>
      </c>
      <c r="H1028" t="s">
        <v>45</v>
      </c>
      <c r="I1028" t="s">
        <v>45</v>
      </c>
      <c r="J1028" t="s">
        <v>65</v>
      </c>
    </row>
    <row r="1029" spans="1:10" x14ac:dyDescent="0.3">
      <c r="A1029" t="s">
        <v>1718</v>
      </c>
      <c r="B1029" t="s">
        <v>1719</v>
      </c>
      <c r="C1029" t="s">
        <v>297</v>
      </c>
      <c r="D1029" s="9">
        <v>1000</v>
      </c>
      <c r="E1029" t="s">
        <v>45</v>
      </c>
      <c r="F1029" t="s">
        <v>45</v>
      </c>
      <c r="G1029">
        <v>7.45</v>
      </c>
      <c r="H1029" t="s">
        <v>1720</v>
      </c>
      <c r="I1029" t="s">
        <v>1721</v>
      </c>
      <c r="J1029" t="s">
        <v>62</v>
      </c>
    </row>
    <row r="1030" spans="1:10" x14ac:dyDescent="0.3">
      <c r="A1030" t="s">
        <v>1718</v>
      </c>
      <c r="B1030" t="s">
        <v>1722</v>
      </c>
      <c r="D1030" s="6">
        <v>1000</v>
      </c>
      <c r="G1030" s="7">
        <v>7.4499999999999993</v>
      </c>
      <c r="H1030" s="4" t="s">
        <v>1720</v>
      </c>
      <c r="J1030" t="s">
        <v>62</v>
      </c>
    </row>
    <row r="1031" spans="1:10" x14ac:dyDescent="0.3">
      <c r="A1031" t="s">
        <v>1718</v>
      </c>
      <c r="B1031" t="s">
        <v>1722</v>
      </c>
      <c r="D1031" s="6">
        <v>1000</v>
      </c>
      <c r="G1031" s="7">
        <v>7.4499999999999993</v>
      </c>
      <c r="H1031" s="4" t="s">
        <v>1720</v>
      </c>
      <c r="J1031" t="s">
        <v>62</v>
      </c>
    </row>
    <row r="1032" spans="1:10" x14ac:dyDescent="0.3">
      <c r="A1032" t="s">
        <v>1723</v>
      </c>
      <c r="B1032" t="s">
        <v>1719</v>
      </c>
      <c r="C1032" t="s">
        <v>302</v>
      </c>
      <c r="D1032" s="9">
        <v>1000</v>
      </c>
      <c r="E1032" t="s">
        <v>45</v>
      </c>
      <c r="F1032" t="s">
        <v>45</v>
      </c>
      <c r="G1032">
        <v>7.6</v>
      </c>
      <c r="H1032" t="s">
        <v>1720</v>
      </c>
      <c r="I1032" t="s">
        <v>1724</v>
      </c>
      <c r="J1032" t="s">
        <v>62</v>
      </c>
    </row>
    <row r="1033" spans="1:10" x14ac:dyDescent="0.3">
      <c r="A1033" t="s">
        <v>1723</v>
      </c>
      <c r="B1033" t="s">
        <v>1725</v>
      </c>
      <c r="D1033" s="6">
        <v>1000</v>
      </c>
      <c r="G1033" s="7">
        <v>7.6</v>
      </c>
      <c r="H1033" s="4" t="s">
        <v>1720</v>
      </c>
      <c r="J1033" t="s">
        <v>62</v>
      </c>
    </row>
    <row r="1034" spans="1:10" x14ac:dyDescent="0.3">
      <c r="A1034" t="s">
        <v>1723</v>
      </c>
      <c r="B1034" t="s">
        <v>1725</v>
      </c>
      <c r="D1034" s="6">
        <v>1000</v>
      </c>
      <c r="G1034" s="7">
        <v>7.6</v>
      </c>
      <c r="H1034" s="4" t="s">
        <v>1720</v>
      </c>
      <c r="J1034" t="s">
        <v>62</v>
      </c>
    </row>
    <row r="1035" spans="1:10" x14ac:dyDescent="0.3">
      <c r="A1035" t="s">
        <v>1726</v>
      </c>
      <c r="B1035" t="s">
        <v>1719</v>
      </c>
      <c r="C1035" t="s">
        <v>605</v>
      </c>
      <c r="D1035" s="9">
        <v>1000</v>
      </c>
      <c r="E1035" t="s">
        <v>45</v>
      </c>
      <c r="F1035" t="s">
        <v>45</v>
      </c>
      <c r="G1035">
        <v>7.7</v>
      </c>
      <c r="H1035" t="s">
        <v>1727</v>
      </c>
      <c r="I1035" t="s">
        <v>1728</v>
      </c>
      <c r="J1035" t="s">
        <v>62</v>
      </c>
    </row>
    <row r="1036" spans="1:10" x14ac:dyDescent="0.3">
      <c r="A1036" t="s">
        <v>1726</v>
      </c>
      <c r="B1036" t="s">
        <v>1729</v>
      </c>
      <c r="D1036" s="6">
        <v>1000</v>
      </c>
      <c r="G1036" s="7">
        <v>7.7</v>
      </c>
      <c r="H1036" s="4" t="s">
        <v>1727</v>
      </c>
      <c r="J1036" t="s">
        <v>62</v>
      </c>
    </row>
    <row r="1037" spans="1:10" x14ac:dyDescent="0.3">
      <c r="A1037" t="s">
        <v>1726</v>
      </c>
      <c r="B1037" t="s">
        <v>1729</v>
      </c>
      <c r="D1037" s="6">
        <v>1000</v>
      </c>
      <c r="G1037" s="7">
        <v>7.7</v>
      </c>
      <c r="H1037" s="4" t="s">
        <v>1727</v>
      </c>
      <c r="J1037" t="s">
        <v>62</v>
      </c>
    </row>
    <row r="1038" spans="1:10" x14ac:dyDescent="0.3">
      <c r="A1038" t="s">
        <v>1730</v>
      </c>
      <c r="B1038" t="s">
        <v>1719</v>
      </c>
      <c r="C1038" t="s">
        <v>309</v>
      </c>
      <c r="D1038" s="9">
        <v>1000</v>
      </c>
      <c r="E1038" t="s">
        <v>1438</v>
      </c>
      <c r="F1038" t="s">
        <v>1731</v>
      </c>
      <c r="G1038">
        <v>7.9</v>
      </c>
      <c r="H1038" t="s">
        <v>1727</v>
      </c>
      <c r="I1038" t="s">
        <v>1732</v>
      </c>
      <c r="J1038" t="s">
        <v>62</v>
      </c>
    </row>
    <row r="1039" spans="1:10" x14ac:dyDescent="0.3">
      <c r="A1039" t="s">
        <v>1730</v>
      </c>
      <c r="B1039" t="s">
        <v>1733</v>
      </c>
      <c r="D1039" s="6">
        <v>1000</v>
      </c>
      <c r="G1039" s="7">
        <v>7.9</v>
      </c>
      <c r="H1039" s="4" t="s">
        <v>1727</v>
      </c>
      <c r="J1039" t="s">
        <v>62</v>
      </c>
    </row>
    <row r="1040" spans="1:10" x14ac:dyDescent="0.3">
      <c r="A1040" t="s">
        <v>1730</v>
      </c>
      <c r="B1040" t="s">
        <v>1733</v>
      </c>
      <c r="D1040" s="6">
        <v>1000</v>
      </c>
      <c r="G1040" s="7">
        <v>7.9</v>
      </c>
      <c r="H1040" s="4" t="s">
        <v>1727</v>
      </c>
      <c r="J1040" t="s">
        <v>62</v>
      </c>
    </row>
    <row r="1041" spans="1:10" x14ac:dyDescent="0.3">
      <c r="A1041" t="s">
        <v>1734</v>
      </c>
      <c r="B1041" t="s">
        <v>1719</v>
      </c>
      <c r="C1041" t="s">
        <v>617</v>
      </c>
      <c r="D1041" s="9">
        <v>1000</v>
      </c>
      <c r="E1041" t="s">
        <v>45</v>
      </c>
      <c r="F1041" t="s">
        <v>45</v>
      </c>
      <c r="G1041">
        <v>7.49</v>
      </c>
      <c r="H1041" t="s">
        <v>1727</v>
      </c>
      <c r="I1041" t="s">
        <v>1735</v>
      </c>
      <c r="J1041" t="s">
        <v>1048</v>
      </c>
    </row>
    <row r="1042" spans="1:10" x14ac:dyDescent="0.3">
      <c r="A1042" t="s">
        <v>1734</v>
      </c>
      <c r="B1042" t="s">
        <v>1736</v>
      </c>
      <c r="D1042" s="6">
        <v>1000</v>
      </c>
      <c r="G1042" s="7">
        <v>7.4899999999999993</v>
      </c>
      <c r="H1042" s="4" t="s">
        <v>1727</v>
      </c>
      <c r="J1042" t="s">
        <v>1048</v>
      </c>
    </row>
    <row r="1043" spans="1:10" x14ac:dyDescent="0.3">
      <c r="A1043" t="s">
        <v>1734</v>
      </c>
      <c r="B1043" t="s">
        <v>1736</v>
      </c>
      <c r="D1043" s="6">
        <v>1000</v>
      </c>
      <c r="G1043" s="7">
        <v>7.4899999999999993</v>
      </c>
      <c r="H1043" s="4" t="s">
        <v>1727</v>
      </c>
      <c r="J1043" t="s">
        <v>1048</v>
      </c>
    </row>
    <row r="1044" spans="1:10" x14ac:dyDescent="0.3">
      <c r="A1044" t="s">
        <v>1737</v>
      </c>
      <c r="B1044" t="s">
        <v>1719</v>
      </c>
      <c r="C1044" t="s">
        <v>330</v>
      </c>
      <c r="D1044" s="9">
        <v>1000</v>
      </c>
      <c r="E1044" t="s">
        <v>45</v>
      </c>
      <c r="F1044" t="s">
        <v>45</v>
      </c>
      <c r="G1044">
        <v>7.69</v>
      </c>
      <c r="H1044" t="s">
        <v>1727</v>
      </c>
      <c r="I1044" t="s">
        <v>1738</v>
      </c>
      <c r="J1044" t="s">
        <v>1048</v>
      </c>
    </row>
    <row r="1045" spans="1:10" x14ac:dyDescent="0.3">
      <c r="A1045" t="s">
        <v>1737</v>
      </c>
      <c r="B1045" t="s">
        <v>1739</v>
      </c>
      <c r="D1045" s="6">
        <v>1000</v>
      </c>
      <c r="G1045" s="7">
        <v>7.6899999999999995</v>
      </c>
      <c r="H1045" s="4" t="s">
        <v>1727</v>
      </c>
      <c r="J1045" t="s">
        <v>1048</v>
      </c>
    </row>
    <row r="1046" spans="1:10" x14ac:dyDescent="0.3">
      <c r="A1046" t="s">
        <v>1737</v>
      </c>
      <c r="B1046" t="s">
        <v>1739</v>
      </c>
      <c r="D1046" s="6">
        <v>1000</v>
      </c>
      <c r="G1046" s="7">
        <v>7.6899999999999995</v>
      </c>
      <c r="H1046" s="4" t="s">
        <v>1727</v>
      </c>
      <c r="J1046" t="s">
        <v>1048</v>
      </c>
    </row>
    <row r="1047" spans="1:10" x14ac:dyDescent="0.3">
      <c r="A1047" t="s">
        <v>1740</v>
      </c>
      <c r="B1047" t="s">
        <v>1719</v>
      </c>
      <c r="C1047" t="s">
        <v>267</v>
      </c>
      <c r="D1047" s="9">
        <v>1000</v>
      </c>
      <c r="E1047" t="s">
        <v>45</v>
      </c>
      <c r="F1047" t="s">
        <v>45</v>
      </c>
      <c r="G1047">
        <v>7.95</v>
      </c>
      <c r="H1047" t="s">
        <v>1741</v>
      </c>
      <c r="I1047" t="s">
        <v>1742</v>
      </c>
      <c r="J1047" t="s">
        <v>62</v>
      </c>
    </row>
    <row r="1048" spans="1:10" x14ac:dyDescent="0.3">
      <c r="A1048" t="s">
        <v>1740</v>
      </c>
      <c r="B1048" t="s">
        <v>1743</v>
      </c>
      <c r="D1048" s="6">
        <v>1000</v>
      </c>
      <c r="G1048" s="7">
        <v>7.95</v>
      </c>
      <c r="H1048" s="4" t="s">
        <v>1741</v>
      </c>
      <c r="J1048" t="s">
        <v>62</v>
      </c>
    </row>
    <row r="1049" spans="1:10" x14ac:dyDescent="0.3">
      <c r="A1049" t="s">
        <v>1740</v>
      </c>
      <c r="B1049" t="s">
        <v>1743</v>
      </c>
      <c r="D1049" s="6">
        <v>1000</v>
      </c>
      <c r="G1049" s="7">
        <v>7.95</v>
      </c>
      <c r="H1049" s="4" t="s">
        <v>1741</v>
      </c>
      <c r="J1049" t="s">
        <v>62</v>
      </c>
    </row>
    <row r="1050" spans="1:10" x14ac:dyDescent="0.3">
      <c r="A1050" t="s">
        <v>1744</v>
      </c>
      <c r="B1050" t="s">
        <v>1719</v>
      </c>
      <c r="C1050" t="s">
        <v>360</v>
      </c>
      <c r="D1050" s="9">
        <v>1000</v>
      </c>
      <c r="E1050" t="s">
        <v>1745</v>
      </c>
      <c r="F1050" t="s">
        <v>1746</v>
      </c>
      <c r="G1050">
        <v>8.1999999999999993</v>
      </c>
      <c r="H1050" t="s">
        <v>1741</v>
      </c>
      <c r="I1050" t="s">
        <v>1747</v>
      </c>
      <c r="J1050" t="s">
        <v>62</v>
      </c>
    </row>
    <row r="1051" spans="1:10" x14ac:dyDescent="0.3">
      <c r="A1051" t="s">
        <v>1744</v>
      </c>
      <c r="B1051" t="s">
        <v>1748</v>
      </c>
      <c r="D1051" s="6">
        <v>1000</v>
      </c>
      <c r="G1051" s="7">
        <v>8.2000000000000011</v>
      </c>
      <c r="H1051" s="4" t="s">
        <v>1741</v>
      </c>
      <c r="J1051" t="s">
        <v>62</v>
      </c>
    </row>
    <row r="1052" spans="1:10" x14ac:dyDescent="0.3">
      <c r="A1052" t="s">
        <v>1744</v>
      </c>
      <c r="B1052" t="s">
        <v>1748</v>
      </c>
      <c r="D1052" s="6">
        <v>1000</v>
      </c>
      <c r="G1052" s="7">
        <v>8.2000000000000011</v>
      </c>
      <c r="H1052" s="4" t="s">
        <v>1741</v>
      </c>
      <c r="J1052" t="s">
        <v>62</v>
      </c>
    </row>
    <row r="1053" spans="1:10" x14ac:dyDescent="0.3">
      <c r="A1053" t="s">
        <v>1749</v>
      </c>
      <c r="B1053" t="s">
        <v>1719</v>
      </c>
      <c r="C1053" t="s">
        <v>638</v>
      </c>
      <c r="D1053" s="9">
        <v>1000</v>
      </c>
      <c r="E1053" t="s">
        <v>45</v>
      </c>
      <c r="F1053" t="s">
        <v>45</v>
      </c>
      <c r="G1053">
        <v>7.72</v>
      </c>
      <c r="H1053" t="s">
        <v>1741</v>
      </c>
      <c r="I1053" t="s">
        <v>1750</v>
      </c>
      <c r="J1053" t="s">
        <v>1048</v>
      </c>
    </row>
    <row r="1054" spans="1:10" x14ac:dyDescent="0.3">
      <c r="A1054" t="s">
        <v>1749</v>
      </c>
      <c r="B1054" t="s">
        <v>1751</v>
      </c>
      <c r="D1054" s="6">
        <v>1000</v>
      </c>
      <c r="G1054" s="7">
        <v>7.7200000000000006</v>
      </c>
      <c r="H1054" s="4" t="s">
        <v>1741</v>
      </c>
      <c r="J1054" t="s">
        <v>1048</v>
      </c>
    </row>
    <row r="1055" spans="1:10" x14ac:dyDescent="0.3">
      <c r="A1055" t="s">
        <v>1749</v>
      </c>
      <c r="B1055" t="s">
        <v>1751</v>
      </c>
      <c r="D1055" s="6">
        <v>1000</v>
      </c>
      <c r="G1055" s="7">
        <v>7.7200000000000006</v>
      </c>
      <c r="H1055" s="4" t="s">
        <v>1741</v>
      </c>
      <c r="J1055" t="s">
        <v>1048</v>
      </c>
    </row>
    <row r="1056" spans="1:10" x14ac:dyDescent="0.3">
      <c r="A1056" t="s">
        <v>1752</v>
      </c>
      <c r="B1056" t="s">
        <v>1719</v>
      </c>
      <c r="C1056" t="s">
        <v>366</v>
      </c>
      <c r="D1056" s="9">
        <v>1000</v>
      </c>
      <c r="E1056" t="s">
        <v>45</v>
      </c>
      <c r="F1056" t="s">
        <v>45</v>
      </c>
      <c r="G1056">
        <v>7.97</v>
      </c>
      <c r="H1056" t="s">
        <v>1741</v>
      </c>
      <c r="I1056" t="s">
        <v>1753</v>
      </c>
      <c r="J1056" t="s">
        <v>1048</v>
      </c>
    </row>
    <row r="1057" spans="1:10" x14ac:dyDescent="0.3">
      <c r="A1057" t="s">
        <v>1752</v>
      </c>
      <c r="B1057" t="s">
        <v>1754</v>
      </c>
      <c r="D1057" s="6">
        <v>1000</v>
      </c>
      <c r="G1057" s="7">
        <v>7.9699999999999989</v>
      </c>
      <c r="H1057" s="4" t="s">
        <v>1741</v>
      </c>
      <c r="J1057" t="s">
        <v>1048</v>
      </c>
    </row>
    <row r="1058" spans="1:10" x14ac:dyDescent="0.3">
      <c r="A1058" t="s">
        <v>1752</v>
      </c>
      <c r="B1058" t="s">
        <v>1754</v>
      </c>
      <c r="D1058" s="6">
        <v>1000</v>
      </c>
      <c r="G1058" s="7">
        <v>7.9699999999999989</v>
      </c>
      <c r="H1058" s="4" t="s">
        <v>1741</v>
      </c>
      <c r="J1058" t="s">
        <v>1048</v>
      </c>
    </row>
    <row r="1059" spans="1:10" x14ac:dyDescent="0.3">
      <c r="A1059" t="s">
        <v>1755</v>
      </c>
      <c r="B1059" t="s">
        <v>1756</v>
      </c>
      <c r="D1059" s="6">
        <v>1000</v>
      </c>
      <c r="G1059" s="7">
        <v>9.1</v>
      </c>
      <c r="H1059" s="4" t="s">
        <v>1757</v>
      </c>
      <c r="J1059" t="s">
        <v>59</v>
      </c>
    </row>
    <row r="1060" spans="1:10" x14ac:dyDescent="0.3">
      <c r="A1060" t="s">
        <v>1755</v>
      </c>
      <c r="B1060" t="s">
        <v>1756</v>
      </c>
      <c r="D1060" s="6">
        <v>1000</v>
      </c>
      <c r="G1060" s="7">
        <v>9.1</v>
      </c>
      <c r="H1060" s="4" t="s">
        <v>1757</v>
      </c>
      <c r="J1060" t="s">
        <v>59</v>
      </c>
    </row>
    <row r="1061" spans="1:10" x14ac:dyDescent="0.3">
      <c r="A1061" t="s">
        <v>1758</v>
      </c>
      <c r="B1061" t="s">
        <v>1759</v>
      </c>
      <c r="C1061" t="s">
        <v>389</v>
      </c>
      <c r="D1061" s="9">
        <v>1000</v>
      </c>
      <c r="E1061" t="s">
        <v>1760</v>
      </c>
      <c r="F1061" t="s">
        <v>1761</v>
      </c>
      <c r="G1061">
        <v>8.84</v>
      </c>
      <c r="H1061" t="s">
        <v>1757</v>
      </c>
      <c r="I1061" t="s">
        <v>1762</v>
      </c>
      <c r="J1061" t="s">
        <v>59</v>
      </c>
    </row>
    <row r="1062" spans="1:10" x14ac:dyDescent="0.3">
      <c r="A1062" t="s">
        <v>1758</v>
      </c>
      <c r="B1062" t="s">
        <v>1763</v>
      </c>
      <c r="D1062" s="6">
        <v>1000</v>
      </c>
      <c r="G1062" s="7">
        <v>9.1999999999999993</v>
      </c>
      <c r="H1062" s="4" t="s">
        <v>1757</v>
      </c>
      <c r="J1062" t="s">
        <v>59</v>
      </c>
    </row>
    <row r="1063" spans="1:10" x14ac:dyDescent="0.3">
      <c r="A1063" t="s">
        <v>1758</v>
      </c>
      <c r="B1063" t="s">
        <v>1763</v>
      </c>
      <c r="D1063" s="6">
        <v>1000</v>
      </c>
      <c r="G1063" s="7">
        <v>9.1999999999999993</v>
      </c>
      <c r="H1063" s="4" t="s">
        <v>1757</v>
      </c>
      <c r="J1063" t="s">
        <v>59</v>
      </c>
    </row>
    <row r="1064" spans="1:10" x14ac:dyDescent="0.3">
      <c r="A1064" t="s">
        <v>1764</v>
      </c>
      <c r="B1064" t="s">
        <v>1765</v>
      </c>
      <c r="D1064" s="6">
        <v>1000</v>
      </c>
      <c r="G1064" s="7">
        <v>9.09</v>
      </c>
      <c r="H1064" s="4" t="s">
        <v>1757</v>
      </c>
      <c r="J1064" t="s">
        <v>62</v>
      </c>
    </row>
    <row r="1065" spans="1:10" x14ac:dyDescent="0.3">
      <c r="A1065" t="s">
        <v>1764</v>
      </c>
      <c r="B1065" t="s">
        <v>1765</v>
      </c>
      <c r="D1065" s="6">
        <v>1000</v>
      </c>
      <c r="G1065" s="7">
        <v>9.09</v>
      </c>
      <c r="H1065" s="4" t="s">
        <v>1757</v>
      </c>
      <c r="J1065" t="s">
        <v>62</v>
      </c>
    </row>
    <row r="1066" spans="1:10" x14ac:dyDescent="0.3">
      <c r="A1066" t="s">
        <v>1766</v>
      </c>
      <c r="B1066" t="s">
        <v>1759</v>
      </c>
      <c r="C1066" t="s">
        <v>302</v>
      </c>
      <c r="D1066" s="9">
        <v>1000</v>
      </c>
      <c r="E1066" t="s">
        <v>1767</v>
      </c>
      <c r="F1066" t="s">
        <v>311</v>
      </c>
      <c r="G1066">
        <v>9.1999999999999993</v>
      </c>
      <c r="H1066" t="s">
        <v>1757</v>
      </c>
      <c r="I1066" t="s">
        <v>1768</v>
      </c>
      <c r="J1066" t="s">
        <v>62</v>
      </c>
    </row>
    <row r="1067" spans="1:10" x14ac:dyDescent="0.3">
      <c r="A1067" t="s">
        <v>1766</v>
      </c>
      <c r="B1067" t="s">
        <v>1769</v>
      </c>
      <c r="D1067" s="6">
        <v>1000</v>
      </c>
      <c r="G1067" s="7">
        <v>9.19</v>
      </c>
      <c r="H1067" s="4" t="s">
        <v>1757</v>
      </c>
      <c r="J1067" t="s">
        <v>62</v>
      </c>
    </row>
    <row r="1068" spans="1:10" x14ac:dyDescent="0.3">
      <c r="A1068" t="s">
        <v>1766</v>
      </c>
      <c r="B1068" t="s">
        <v>1769</v>
      </c>
      <c r="D1068" s="6">
        <v>1000</v>
      </c>
      <c r="G1068" s="7">
        <v>9.19</v>
      </c>
      <c r="H1068" s="4" t="s">
        <v>1757</v>
      </c>
      <c r="J1068" t="s">
        <v>62</v>
      </c>
    </row>
    <row r="1069" spans="1:10" x14ac:dyDescent="0.3">
      <c r="A1069" t="s">
        <v>1770</v>
      </c>
      <c r="B1069" t="s">
        <v>1759</v>
      </c>
      <c r="C1069" t="s">
        <v>605</v>
      </c>
      <c r="D1069" s="9">
        <v>1000</v>
      </c>
      <c r="E1069" t="s">
        <v>45</v>
      </c>
      <c r="F1069" t="s">
        <v>45</v>
      </c>
      <c r="G1069">
        <v>9.8000000000000007</v>
      </c>
      <c r="H1069" t="s">
        <v>1771</v>
      </c>
      <c r="I1069" t="s">
        <v>1772</v>
      </c>
      <c r="J1069" t="s">
        <v>62</v>
      </c>
    </row>
    <row r="1070" spans="1:10" x14ac:dyDescent="0.3">
      <c r="A1070" t="s">
        <v>1770</v>
      </c>
      <c r="B1070" t="s">
        <v>1773</v>
      </c>
      <c r="D1070" s="6">
        <v>1000</v>
      </c>
      <c r="G1070" s="7">
        <v>9.8000000000000007</v>
      </c>
      <c r="H1070" s="4" t="s">
        <v>1771</v>
      </c>
      <c r="J1070" t="s">
        <v>62</v>
      </c>
    </row>
    <row r="1071" spans="1:10" x14ac:dyDescent="0.3">
      <c r="A1071" t="s">
        <v>1770</v>
      </c>
      <c r="B1071" t="s">
        <v>1773</v>
      </c>
      <c r="D1071" s="6">
        <v>1000</v>
      </c>
      <c r="G1071" s="7">
        <v>9.8000000000000007</v>
      </c>
      <c r="H1071" s="4" t="s">
        <v>1771</v>
      </c>
      <c r="J1071" t="s">
        <v>62</v>
      </c>
    </row>
    <row r="1072" spans="1:10" x14ac:dyDescent="0.3">
      <c r="A1072" t="s">
        <v>1774</v>
      </c>
      <c r="B1072" t="s">
        <v>1759</v>
      </c>
      <c r="C1072" t="s">
        <v>480</v>
      </c>
      <c r="D1072" s="9">
        <v>1000</v>
      </c>
      <c r="E1072" t="s">
        <v>1140</v>
      </c>
      <c r="F1072" t="s">
        <v>947</v>
      </c>
      <c r="G1072">
        <v>10.3</v>
      </c>
      <c r="H1072" t="s">
        <v>1775</v>
      </c>
      <c r="I1072" t="s">
        <v>1776</v>
      </c>
      <c r="J1072" t="s">
        <v>62</v>
      </c>
    </row>
    <row r="1073" spans="1:10" x14ac:dyDescent="0.3">
      <c r="A1073" t="s">
        <v>1774</v>
      </c>
      <c r="B1073" t="s">
        <v>1777</v>
      </c>
      <c r="D1073" s="6">
        <v>1000</v>
      </c>
      <c r="G1073" s="7">
        <v>10.299999999999999</v>
      </c>
      <c r="H1073" s="4" t="s">
        <v>1775</v>
      </c>
      <c r="J1073" t="s">
        <v>62</v>
      </c>
    </row>
    <row r="1074" spans="1:10" x14ac:dyDescent="0.3">
      <c r="A1074" t="s">
        <v>1774</v>
      </c>
      <c r="B1074" t="s">
        <v>1777</v>
      </c>
      <c r="D1074" s="6">
        <v>1000</v>
      </c>
      <c r="G1074" s="7">
        <v>10.299999999999999</v>
      </c>
      <c r="H1074" s="4" t="s">
        <v>1775</v>
      </c>
      <c r="J1074" t="s">
        <v>62</v>
      </c>
    </row>
    <row r="1075" spans="1:10" x14ac:dyDescent="0.3">
      <c r="A1075" t="s">
        <v>1778</v>
      </c>
      <c r="B1075" t="s">
        <v>1759</v>
      </c>
      <c r="C1075" t="s">
        <v>309</v>
      </c>
      <c r="D1075" s="9">
        <v>1000</v>
      </c>
      <c r="E1075" t="s">
        <v>45</v>
      </c>
      <c r="F1075" t="s">
        <v>45</v>
      </c>
      <c r="G1075" s="12">
        <v>0</v>
      </c>
      <c r="H1075" s="5" t="s">
        <v>1771</v>
      </c>
      <c r="I1075" t="s">
        <v>1778</v>
      </c>
      <c r="J1075" t="s">
        <v>361</v>
      </c>
    </row>
    <row r="1076" spans="1:10" x14ac:dyDescent="0.3">
      <c r="A1076" t="s">
        <v>1778</v>
      </c>
      <c r="B1076" t="s">
        <v>1779</v>
      </c>
      <c r="D1076" s="6">
        <v>1000</v>
      </c>
      <c r="G1076" s="7" t="s">
        <v>65</v>
      </c>
      <c r="H1076" s="4" t="s">
        <v>1771</v>
      </c>
      <c r="J1076" t="s">
        <v>49</v>
      </c>
    </row>
    <row r="1077" spans="1:10" x14ac:dyDescent="0.3">
      <c r="A1077" t="s">
        <v>1778</v>
      </c>
      <c r="B1077" t="s">
        <v>1779</v>
      </c>
      <c r="D1077" s="6">
        <v>1000</v>
      </c>
      <c r="G1077" s="7" t="s">
        <v>65</v>
      </c>
      <c r="H1077" s="4" t="s">
        <v>1771</v>
      </c>
      <c r="J1077" t="s">
        <v>49</v>
      </c>
    </row>
    <row r="1078" spans="1:10" x14ac:dyDescent="0.3">
      <c r="A1078" t="s">
        <v>1780</v>
      </c>
      <c r="B1078" t="s">
        <v>1759</v>
      </c>
      <c r="C1078" t="s">
        <v>360</v>
      </c>
      <c r="D1078" s="9">
        <v>1000</v>
      </c>
      <c r="E1078" t="s">
        <v>1027</v>
      </c>
      <c r="F1078" t="s">
        <v>283</v>
      </c>
      <c r="G1078" s="12">
        <v>0</v>
      </c>
      <c r="H1078" t="s">
        <v>1781</v>
      </c>
      <c r="I1078" t="s">
        <v>1780</v>
      </c>
      <c r="J1078" t="s">
        <v>361</v>
      </c>
    </row>
    <row r="1079" spans="1:10" x14ac:dyDescent="0.3">
      <c r="A1079" t="s">
        <v>1780</v>
      </c>
      <c r="B1079" t="s">
        <v>1782</v>
      </c>
      <c r="D1079" s="6">
        <v>1000</v>
      </c>
      <c r="G1079" s="7" t="s">
        <v>65</v>
      </c>
      <c r="H1079" s="4" t="s">
        <v>1781</v>
      </c>
      <c r="J1079" t="s">
        <v>49</v>
      </c>
    </row>
    <row r="1080" spans="1:10" x14ac:dyDescent="0.3">
      <c r="A1080" t="s">
        <v>1780</v>
      </c>
      <c r="B1080" t="s">
        <v>1782</v>
      </c>
      <c r="D1080" s="6">
        <v>1000</v>
      </c>
      <c r="G1080" s="7" t="s">
        <v>65</v>
      </c>
      <c r="H1080" s="4" t="s">
        <v>1781</v>
      </c>
      <c r="J1080" t="s">
        <v>49</v>
      </c>
    </row>
    <row r="1081" spans="1:10" x14ac:dyDescent="0.3">
      <c r="A1081" t="s">
        <v>1783</v>
      </c>
      <c r="B1081" t="s">
        <v>1759</v>
      </c>
      <c r="C1081" t="s">
        <v>366</v>
      </c>
      <c r="D1081" s="9">
        <v>1000</v>
      </c>
      <c r="E1081" t="s">
        <v>45</v>
      </c>
      <c r="F1081" t="s">
        <v>45</v>
      </c>
      <c r="G1081">
        <v>9.8000000000000007</v>
      </c>
      <c r="H1081" t="s">
        <v>1775</v>
      </c>
      <c r="I1081" t="s">
        <v>1784</v>
      </c>
      <c r="J1081" t="s">
        <v>62</v>
      </c>
    </row>
    <row r="1082" spans="1:10" x14ac:dyDescent="0.3">
      <c r="A1082" t="s">
        <v>1783</v>
      </c>
      <c r="B1082" t="s">
        <v>1785</v>
      </c>
      <c r="D1082" s="6">
        <v>1000</v>
      </c>
      <c r="G1082" s="7">
        <v>9.8000000000000007</v>
      </c>
      <c r="H1082" s="4" t="s">
        <v>1775</v>
      </c>
      <c r="J1082" t="s">
        <v>62</v>
      </c>
    </row>
    <row r="1083" spans="1:10" x14ac:dyDescent="0.3">
      <c r="A1083" t="s">
        <v>1783</v>
      </c>
      <c r="B1083" t="s">
        <v>1785</v>
      </c>
      <c r="D1083" s="6">
        <v>1000</v>
      </c>
      <c r="G1083" s="7">
        <v>9.8000000000000007</v>
      </c>
      <c r="H1083" s="4" t="s">
        <v>1775</v>
      </c>
      <c r="J1083" t="s">
        <v>62</v>
      </c>
    </row>
    <row r="1084" spans="1:10" x14ac:dyDescent="0.3">
      <c r="A1084" t="s">
        <v>1786</v>
      </c>
      <c r="B1084" t="s">
        <v>1759</v>
      </c>
      <c r="C1084" t="s">
        <v>267</v>
      </c>
      <c r="D1084" s="9">
        <v>1000</v>
      </c>
      <c r="E1084" t="s">
        <v>45</v>
      </c>
      <c r="F1084" t="s">
        <v>45</v>
      </c>
      <c r="G1084">
        <v>10.050000000000001</v>
      </c>
      <c r="H1084" t="s">
        <v>1781</v>
      </c>
      <c r="I1084" t="s">
        <v>1787</v>
      </c>
      <c r="J1084" t="s">
        <v>62</v>
      </c>
    </row>
    <row r="1085" spans="1:10" x14ac:dyDescent="0.3">
      <c r="A1085" t="s">
        <v>1786</v>
      </c>
      <c r="B1085" t="s">
        <v>1788</v>
      </c>
      <c r="D1085" s="6">
        <v>1000</v>
      </c>
      <c r="G1085" s="7">
        <v>10.050000000000001</v>
      </c>
      <c r="H1085" s="4" t="s">
        <v>1781</v>
      </c>
      <c r="J1085" t="s">
        <v>62</v>
      </c>
    </row>
    <row r="1086" spans="1:10" x14ac:dyDescent="0.3">
      <c r="A1086" t="s">
        <v>1786</v>
      </c>
      <c r="B1086" t="s">
        <v>1788</v>
      </c>
      <c r="D1086" s="6">
        <v>1000</v>
      </c>
      <c r="G1086" s="7">
        <v>10.050000000000001</v>
      </c>
      <c r="H1086" s="4" t="s">
        <v>1781</v>
      </c>
      <c r="J1086" t="s">
        <v>62</v>
      </c>
    </row>
    <row r="1087" spans="1:10" x14ac:dyDescent="0.3">
      <c r="A1087" t="s">
        <v>1789</v>
      </c>
      <c r="B1087" t="s">
        <v>1759</v>
      </c>
      <c r="C1087" t="s">
        <v>617</v>
      </c>
      <c r="D1087" s="9">
        <v>1000</v>
      </c>
      <c r="E1087" t="s">
        <v>45</v>
      </c>
      <c r="F1087" t="s">
        <v>45</v>
      </c>
      <c r="G1087" s="12">
        <v>0</v>
      </c>
      <c r="H1087" t="s">
        <v>1771</v>
      </c>
      <c r="I1087" t="s">
        <v>1790</v>
      </c>
      <c r="J1087" t="s">
        <v>49</v>
      </c>
    </row>
    <row r="1088" spans="1:10" x14ac:dyDescent="0.3">
      <c r="A1088" t="s">
        <v>1789</v>
      </c>
      <c r="B1088" t="s">
        <v>1791</v>
      </c>
      <c r="D1088" s="6">
        <v>1000</v>
      </c>
      <c r="G1088" s="7" t="s">
        <v>65</v>
      </c>
      <c r="H1088" s="4" t="s">
        <v>1771</v>
      </c>
      <c r="J1088" t="s">
        <v>49</v>
      </c>
    </row>
    <row r="1089" spans="1:10" x14ac:dyDescent="0.3">
      <c r="A1089" t="s">
        <v>1789</v>
      </c>
      <c r="B1089" t="s">
        <v>1791</v>
      </c>
      <c r="D1089" s="6">
        <v>1000</v>
      </c>
      <c r="G1089" s="7" t="s">
        <v>65</v>
      </c>
      <c r="H1089" s="4" t="s">
        <v>1771</v>
      </c>
      <c r="J1089" t="s">
        <v>49</v>
      </c>
    </row>
    <row r="1090" spans="1:10" x14ac:dyDescent="0.3">
      <c r="A1090" t="s">
        <v>1792</v>
      </c>
      <c r="B1090" t="s">
        <v>1759</v>
      </c>
      <c r="C1090" t="s">
        <v>330</v>
      </c>
      <c r="D1090" s="9">
        <v>1000</v>
      </c>
      <c r="E1090" t="s">
        <v>1793</v>
      </c>
      <c r="F1090" t="s">
        <v>1794</v>
      </c>
      <c r="G1090">
        <v>9.4</v>
      </c>
      <c r="H1090" t="s">
        <v>1771</v>
      </c>
      <c r="I1090" t="s">
        <v>1795</v>
      </c>
      <c r="J1090" t="s">
        <v>59</v>
      </c>
    </row>
    <row r="1091" spans="1:10" x14ac:dyDescent="0.3">
      <c r="A1091" t="s">
        <v>1792</v>
      </c>
      <c r="B1091" t="s">
        <v>1796</v>
      </c>
      <c r="D1091" s="6">
        <v>1000</v>
      </c>
      <c r="G1091" s="7">
        <v>9.4</v>
      </c>
      <c r="H1091" s="4" t="s">
        <v>1771</v>
      </c>
      <c r="J1091" t="s">
        <v>59</v>
      </c>
    </row>
    <row r="1092" spans="1:10" x14ac:dyDescent="0.3">
      <c r="A1092" t="s">
        <v>1792</v>
      </c>
      <c r="B1092" t="s">
        <v>1796</v>
      </c>
      <c r="D1092" s="6">
        <v>1000</v>
      </c>
      <c r="G1092" s="7">
        <v>9.4</v>
      </c>
      <c r="H1092" s="4" t="s">
        <v>1771</v>
      </c>
      <c r="J1092" t="s">
        <v>59</v>
      </c>
    </row>
    <row r="1093" spans="1:10" x14ac:dyDescent="0.3">
      <c r="A1093" t="s">
        <v>1797</v>
      </c>
      <c r="B1093" t="s">
        <v>1759</v>
      </c>
      <c r="C1093" t="s">
        <v>638</v>
      </c>
      <c r="D1093" s="9">
        <v>1000</v>
      </c>
      <c r="E1093" t="s">
        <v>1438</v>
      </c>
      <c r="F1093" t="s">
        <v>283</v>
      </c>
      <c r="G1093">
        <v>9.61</v>
      </c>
      <c r="H1093" t="s">
        <v>1781</v>
      </c>
      <c r="I1093" t="s">
        <v>1798</v>
      </c>
      <c r="J1093" t="s">
        <v>59</v>
      </c>
    </row>
    <row r="1094" spans="1:10" x14ac:dyDescent="0.3">
      <c r="A1094" t="s">
        <v>1797</v>
      </c>
      <c r="B1094" t="s">
        <v>1799</v>
      </c>
      <c r="D1094" s="6">
        <v>1000</v>
      </c>
      <c r="G1094" s="7">
        <v>9.6100000000000012</v>
      </c>
      <c r="H1094" s="4" t="s">
        <v>1781</v>
      </c>
      <c r="J1094" t="s">
        <v>59</v>
      </c>
    </row>
    <row r="1095" spans="1:10" x14ac:dyDescent="0.3">
      <c r="A1095" t="s">
        <v>1797</v>
      </c>
      <c r="B1095" t="s">
        <v>1799</v>
      </c>
      <c r="D1095" s="6">
        <v>1000</v>
      </c>
      <c r="G1095" s="7">
        <v>9.6100000000000012</v>
      </c>
      <c r="H1095" s="4" t="s">
        <v>1781</v>
      </c>
      <c r="J1095" t="s">
        <v>59</v>
      </c>
    </row>
    <row r="1096" spans="1:10" x14ac:dyDescent="0.3">
      <c r="A1096" t="s">
        <v>1800</v>
      </c>
      <c r="B1096" t="s">
        <v>1801</v>
      </c>
      <c r="D1096" s="6">
        <v>1000</v>
      </c>
      <c r="G1096" s="7">
        <v>9.4</v>
      </c>
      <c r="H1096" s="4" t="s">
        <v>1775</v>
      </c>
      <c r="J1096" t="s">
        <v>59</v>
      </c>
    </row>
    <row r="1097" spans="1:10" x14ac:dyDescent="0.3">
      <c r="A1097" t="s">
        <v>1800</v>
      </c>
      <c r="B1097" t="s">
        <v>1801</v>
      </c>
      <c r="D1097" s="6">
        <v>1000</v>
      </c>
      <c r="G1097" s="7">
        <v>9.4</v>
      </c>
      <c r="H1097" s="4" t="s">
        <v>1775</v>
      </c>
      <c r="J1097" t="s">
        <v>59</v>
      </c>
    </row>
    <row r="1098" spans="1:10" x14ac:dyDescent="0.3">
      <c r="A1098" t="s">
        <v>1802</v>
      </c>
      <c r="B1098" t="s">
        <v>1759</v>
      </c>
      <c r="C1098" t="s">
        <v>660</v>
      </c>
      <c r="D1098" s="9">
        <v>1000</v>
      </c>
      <c r="E1098" t="s">
        <v>1803</v>
      </c>
      <c r="F1098" t="s">
        <v>1804</v>
      </c>
      <c r="G1098">
        <v>9.85</v>
      </c>
      <c r="H1098" t="s">
        <v>1775</v>
      </c>
      <c r="I1098" t="s">
        <v>1805</v>
      </c>
      <c r="J1098" t="s">
        <v>59</v>
      </c>
    </row>
    <row r="1099" spans="1:10" x14ac:dyDescent="0.3">
      <c r="A1099" t="s">
        <v>1802</v>
      </c>
      <c r="B1099" t="s">
        <v>1806</v>
      </c>
      <c r="D1099" s="6">
        <v>1000</v>
      </c>
      <c r="G1099" s="7">
        <v>9.85</v>
      </c>
      <c r="H1099" s="4" t="s">
        <v>1775</v>
      </c>
      <c r="J1099" t="s">
        <v>59</v>
      </c>
    </row>
    <row r="1100" spans="1:10" x14ac:dyDescent="0.3">
      <c r="A1100" t="s">
        <v>1802</v>
      </c>
      <c r="B1100" t="s">
        <v>1806</v>
      </c>
      <c r="D1100" s="6">
        <v>1000</v>
      </c>
      <c r="G1100" s="7">
        <v>9.85</v>
      </c>
      <c r="H1100" s="4" t="s">
        <v>1775</v>
      </c>
      <c r="J1100" t="s">
        <v>59</v>
      </c>
    </row>
    <row r="1101" spans="1:10" x14ac:dyDescent="0.3">
      <c r="A1101" t="s">
        <v>1807</v>
      </c>
      <c r="B1101" t="s">
        <v>1759</v>
      </c>
      <c r="C1101" t="s">
        <v>1460</v>
      </c>
      <c r="D1101" s="9">
        <v>1000</v>
      </c>
      <c r="E1101" t="s">
        <v>45</v>
      </c>
      <c r="F1101" t="s">
        <v>45</v>
      </c>
      <c r="G1101">
        <v>9.6</v>
      </c>
      <c r="H1101" t="s">
        <v>1808</v>
      </c>
      <c r="I1101" t="s">
        <v>1809</v>
      </c>
      <c r="J1101" t="s">
        <v>62</v>
      </c>
    </row>
    <row r="1102" spans="1:10" x14ac:dyDescent="0.3">
      <c r="A1102" t="s">
        <v>1807</v>
      </c>
      <c r="B1102" t="s">
        <v>1810</v>
      </c>
      <c r="D1102" s="6">
        <v>1000</v>
      </c>
      <c r="G1102" s="7">
        <v>9.6</v>
      </c>
      <c r="H1102" s="4" t="s">
        <v>1808</v>
      </c>
      <c r="J1102" t="s">
        <v>62</v>
      </c>
    </row>
    <row r="1103" spans="1:10" x14ac:dyDescent="0.3">
      <c r="A1103" t="s">
        <v>1807</v>
      </c>
      <c r="B1103" t="s">
        <v>1810</v>
      </c>
      <c r="D1103" s="6">
        <v>1000</v>
      </c>
      <c r="G1103" s="7">
        <v>9.6</v>
      </c>
      <c r="H1103" s="4" t="s">
        <v>1808</v>
      </c>
      <c r="J1103" t="s">
        <v>62</v>
      </c>
    </row>
    <row r="1104" spans="1:10" x14ac:dyDescent="0.3">
      <c r="A1104" t="s">
        <v>1811</v>
      </c>
      <c r="B1104" t="s">
        <v>1759</v>
      </c>
      <c r="D1104" s="9">
        <v>1000</v>
      </c>
      <c r="G1104">
        <v>9.57</v>
      </c>
      <c r="H1104" s="4">
        <v>45772</v>
      </c>
      <c r="I1104" t="s">
        <v>1811</v>
      </c>
      <c r="J1104" t="s">
        <v>59</v>
      </c>
    </row>
    <row r="1105" spans="1:10" x14ac:dyDescent="0.3">
      <c r="A1105" t="s">
        <v>1811</v>
      </c>
      <c r="B1105" t="s">
        <v>1812</v>
      </c>
      <c r="D1105" s="6">
        <v>1000</v>
      </c>
      <c r="G1105" s="7">
        <v>9.5699999999999985</v>
      </c>
      <c r="H1105" s="4" t="s">
        <v>1808</v>
      </c>
      <c r="J1105" t="s">
        <v>59</v>
      </c>
    </row>
    <row r="1106" spans="1:10" x14ac:dyDescent="0.3">
      <c r="A1106" t="s">
        <v>1811</v>
      </c>
      <c r="B1106" t="s">
        <v>1812</v>
      </c>
      <c r="D1106" s="6">
        <v>1000</v>
      </c>
      <c r="G1106" s="7">
        <v>9.5699999999999985</v>
      </c>
      <c r="H1106" s="4" t="s">
        <v>1808</v>
      </c>
      <c r="J1106" t="s">
        <v>59</v>
      </c>
    </row>
    <row r="1107" spans="1:10" x14ac:dyDescent="0.3">
      <c r="A1107" t="s">
        <v>1813</v>
      </c>
      <c r="B1107" t="s">
        <v>1759</v>
      </c>
      <c r="C1107" t="s">
        <v>1131</v>
      </c>
      <c r="D1107" s="9">
        <v>1000</v>
      </c>
      <c r="E1107" t="s">
        <v>45</v>
      </c>
      <c r="F1107" t="s">
        <v>45</v>
      </c>
      <c r="G1107">
        <v>10</v>
      </c>
      <c r="H1107" t="s">
        <v>1808</v>
      </c>
      <c r="I1107" t="s">
        <v>1814</v>
      </c>
      <c r="J1107" t="s">
        <v>62</v>
      </c>
    </row>
    <row r="1108" spans="1:10" x14ac:dyDescent="0.3">
      <c r="A1108" t="s">
        <v>1813</v>
      </c>
      <c r="B1108" t="s">
        <v>1815</v>
      </c>
      <c r="D1108" s="6">
        <v>1000</v>
      </c>
      <c r="G1108" s="7">
        <v>10</v>
      </c>
      <c r="H1108" s="4" t="s">
        <v>1808</v>
      </c>
      <c r="J1108" t="s">
        <v>62</v>
      </c>
    </row>
    <row r="1109" spans="1:10" x14ac:dyDescent="0.3">
      <c r="A1109" t="s">
        <v>1813</v>
      </c>
      <c r="B1109" t="s">
        <v>1815</v>
      </c>
      <c r="D1109" s="6">
        <v>1000</v>
      </c>
      <c r="G1109" s="7">
        <v>10</v>
      </c>
      <c r="H1109" s="4" t="s">
        <v>1808</v>
      </c>
      <c r="J1109" t="s">
        <v>62</v>
      </c>
    </row>
    <row r="1110" spans="1:10" x14ac:dyDescent="0.3">
      <c r="A1110" t="s">
        <v>1816</v>
      </c>
      <c r="B1110" t="s">
        <v>1759</v>
      </c>
      <c r="C1110" t="s">
        <v>1139</v>
      </c>
      <c r="D1110" s="9">
        <v>1000</v>
      </c>
      <c r="E1110" t="s">
        <v>1817</v>
      </c>
      <c r="F1110" t="s">
        <v>442</v>
      </c>
      <c r="G1110" s="12">
        <v>0</v>
      </c>
      <c r="H1110" t="s">
        <v>1808</v>
      </c>
      <c r="I1110" t="s">
        <v>1818</v>
      </c>
      <c r="J1110" t="s">
        <v>49</v>
      </c>
    </row>
    <row r="1111" spans="1:10" x14ac:dyDescent="0.3">
      <c r="A1111" t="s">
        <v>1816</v>
      </c>
      <c r="B1111" t="s">
        <v>1819</v>
      </c>
      <c r="D1111" s="6">
        <v>1000</v>
      </c>
      <c r="G1111" s="7" t="s">
        <v>65</v>
      </c>
      <c r="H1111" s="4" t="s">
        <v>1808</v>
      </c>
      <c r="J1111" t="s">
        <v>49</v>
      </c>
    </row>
    <row r="1112" spans="1:10" x14ac:dyDescent="0.3">
      <c r="A1112" t="s">
        <v>1816</v>
      </c>
      <c r="B1112" t="s">
        <v>1819</v>
      </c>
      <c r="D1112" s="6">
        <v>1000</v>
      </c>
      <c r="G1112" s="7" t="s">
        <v>65</v>
      </c>
      <c r="H1112" s="4" t="s">
        <v>1808</v>
      </c>
      <c r="J1112" t="s">
        <v>49</v>
      </c>
    </row>
    <row r="1113" spans="1:10" x14ac:dyDescent="0.3">
      <c r="A1113" t="s">
        <v>1820</v>
      </c>
      <c r="B1113" t="s">
        <v>1759</v>
      </c>
      <c r="C1113" t="s">
        <v>1480</v>
      </c>
      <c r="D1113" s="9">
        <v>1000</v>
      </c>
      <c r="E1113" t="s">
        <v>45</v>
      </c>
      <c r="F1113" t="s">
        <v>45</v>
      </c>
      <c r="G1113">
        <v>9.8000000000000007</v>
      </c>
      <c r="H1113" t="s">
        <v>1821</v>
      </c>
      <c r="I1113" t="s">
        <v>1822</v>
      </c>
      <c r="J1113" t="s">
        <v>59</v>
      </c>
    </row>
    <row r="1114" spans="1:10" x14ac:dyDescent="0.3">
      <c r="A1114" t="s">
        <v>1820</v>
      </c>
      <c r="B1114" t="s">
        <v>1823</v>
      </c>
      <c r="D1114" s="6">
        <v>1000</v>
      </c>
      <c r="G1114" s="7">
        <v>9.8000000000000007</v>
      </c>
      <c r="H1114" s="4" t="s">
        <v>1821</v>
      </c>
      <c r="J1114" t="s">
        <v>59</v>
      </c>
    </row>
    <row r="1115" spans="1:10" x14ac:dyDescent="0.3">
      <c r="A1115" t="s">
        <v>1820</v>
      </c>
      <c r="B1115" t="s">
        <v>1823</v>
      </c>
      <c r="D1115" s="6">
        <v>1000</v>
      </c>
      <c r="G1115" s="7">
        <v>9.8000000000000007</v>
      </c>
      <c r="H1115" s="4" t="s">
        <v>1821</v>
      </c>
      <c r="J1115" t="s">
        <v>59</v>
      </c>
    </row>
    <row r="1116" spans="1:10" x14ac:dyDescent="0.3">
      <c r="A1116" t="s">
        <v>1824</v>
      </c>
      <c r="B1116" t="s">
        <v>1825</v>
      </c>
      <c r="D1116" s="9">
        <v>1000</v>
      </c>
      <c r="G1116">
        <v>10.25</v>
      </c>
      <c r="H1116" s="4">
        <v>46137</v>
      </c>
      <c r="J1116" t="s">
        <v>62</v>
      </c>
    </row>
    <row r="1117" spans="1:10" x14ac:dyDescent="0.3">
      <c r="A1117" t="s">
        <v>1824</v>
      </c>
      <c r="B1117" t="s">
        <v>1826</v>
      </c>
      <c r="D1117" s="6">
        <v>1000</v>
      </c>
      <c r="G1117" s="7">
        <v>10.25</v>
      </c>
      <c r="H1117" s="4" t="s">
        <v>1821</v>
      </c>
      <c r="J1117" t="s">
        <v>62</v>
      </c>
    </row>
    <row r="1118" spans="1:10" x14ac:dyDescent="0.3">
      <c r="A1118" t="s">
        <v>1824</v>
      </c>
      <c r="B1118" t="s">
        <v>1826</v>
      </c>
      <c r="D1118" s="6">
        <v>1000</v>
      </c>
      <c r="G1118" s="7">
        <v>10.25</v>
      </c>
      <c r="H1118" s="4" t="s">
        <v>1821</v>
      </c>
      <c r="J1118" t="s">
        <v>62</v>
      </c>
    </row>
    <row r="1119" spans="1:10" x14ac:dyDescent="0.3">
      <c r="A1119" t="s">
        <v>1827</v>
      </c>
      <c r="B1119" t="s">
        <v>1759</v>
      </c>
      <c r="C1119" t="s">
        <v>1500</v>
      </c>
      <c r="D1119" s="9">
        <v>1000</v>
      </c>
      <c r="E1119" t="s">
        <v>45</v>
      </c>
      <c r="F1119" t="s">
        <v>45</v>
      </c>
      <c r="G1119">
        <v>10.029999999999999</v>
      </c>
      <c r="H1119" t="s">
        <v>1828</v>
      </c>
      <c r="I1119" t="s">
        <v>1829</v>
      </c>
      <c r="J1119" t="s">
        <v>59</v>
      </c>
    </row>
    <row r="1120" spans="1:10" x14ac:dyDescent="0.3">
      <c r="A1120" t="s">
        <v>1827</v>
      </c>
      <c r="B1120" t="s">
        <v>1830</v>
      </c>
      <c r="D1120" s="6">
        <v>1000</v>
      </c>
      <c r="G1120" s="7">
        <v>10.029999999999999</v>
      </c>
      <c r="H1120" s="4" t="s">
        <v>1828</v>
      </c>
      <c r="J1120" t="s">
        <v>59</v>
      </c>
    </row>
    <row r="1121" spans="1:10" x14ac:dyDescent="0.3">
      <c r="A1121" t="s">
        <v>1827</v>
      </c>
      <c r="B1121" t="s">
        <v>1830</v>
      </c>
      <c r="D1121" s="6">
        <v>1000</v>
      </c>
      <c r="G1121" s="7">
        <v>10.029999999999999</v>
      </c>
      <c r="H1121" s="4" t="s">
        <v>1828</v>
      </c>
      <c r="J1121" t="s">
        <v>59</v>
      </c>
    </row>
    <row r="1122" spans="1:10" x14ac:dyDescent="0.3">
      <c r="A1122" t="s">
        <v>1831</v>
      </c>
      <c r="B1122" t="s">
        <v>1832</v>
      </c>
      <c r="D1122" s="6">
        <v>1000</v>
      </c>
      <c r="G1122" s="7" t="s">
        <v>65</v>
      </c>
      <c r="H1122" s="4" t="s">
        <v>1821</v>
      </c>
      <c r="J1122" t="s">
        <v>49</v>
      </c>
    </row>
    <row r="1123" spans="1:10" x14ac:dyDescent="0.3">
      <c r="A1123" t="s">
        <v>1831</v>
      </c>
      <c r="B1123" t="s">
        <v>1832</v>
      </c>
      <c r="D1123" s="6">
        <v>1000</v>
      </c>
      <c r="G1123" s="7" t="s">
        <v>65</v>
      </c>
      <c r="H1123" s="4" t="s">
        <v>1821</v>
      </c>
      <c r="J1123" t="s">
        <v>49</v>
      </c>
    </row>
    <row r="1124" spans="1:10" x14ac:dyDescent="0.3">
      <c r="A1124" t="s">
        <v>1833</v>
      </c>
      <c r="B1124" t="s">
        <v>1759</v>
      </c>
      <c r="C1124" t="s">
        <v>1489</v>
      </c>
      <c r="D1124" s="9">
        <v>1000</v>
      </c>
      <c r="E1124" t="s">
        <v>45</v>
      </c>
      <c r="F1124" t="s">
        <v>45</v>
      </c>
      <c r="G1124" s="12">
        <v>0</v>
      </c>
      <c r="H1124" t="s">
        <v>1821</v>
      </c>
      <c r="I1124" t="s">
        <v>1833</v>
      </c>
      <c r="J1124" t="s">
        <v>62</v>
      </c>
    </row>
    <row r="1125" spans="1:10" x14ac:dyDescent="0.3">
      <c r="A1125" t="s">
        <v>1833</v>
      </c>
      <c r="B1125" t="s">
        <v>1834</v>
      </c>
      <c r="D1125" s="6">
        <v>1000</v>
      </c>
      <c r="G1125" s="7" t="s">
        <v>65</v>
      </c>
      <c r="H1125" s="4" t="s">
        <v>1821</v>
      </c>
      <c r="J1125" t="s">
        <v>49</v>
      </c>
    </row>
    <row r="1126" spans="1:10" x14ac:dyDescent="0.3">
      <c r="A1126" t="s">
        <v>1833</v>
      </c>
      <c r="B1126" t="s">
        <v>1834</v>
      </c>
      <c r="D1126" s="6">
        <v>1000</v>
      </c>
      <c r="G1126" s="7" t="s">
        <v>65</v>
      </c>
      <c r="H1126" s="4" t="s">
        <v>1821</v>
      </c>
      <c r="J1126" t="s">
        <v>49</v>
      </c>
    </row>
    <row r="1127" spans="1:10" x14ac:dyDescent="0.3">
      <c r="A1127" t="s">
        <v>1835</v>
      </c>
      <c r="B1127" t="s">
        <v>1759</v>
      </c>
      <c r="C1127" t="s">
        <v>1493</v>
      </c>
      <c r="D1127" s="9">
        <v>1000</v>
      </c>
      <c r="E1127" t="s">
        <v>1836</v>
      </c>
      <c r="F1127" t="s">
        <v>1837</v>
      </c>
      <c r="G1127">
        <v>10.5</v>
      </c>
      <c r="H1127" t="s">
        <v>1828</v>
      </c>
      <c r="I1127" t="s">
        <v>1838</v>
      </c>
      <c r="J1127" t="s">
        <v>62</v>
      </c>
    </row>
    <row r="1128" spans="1:10" x14ac:dyDescent="0.3">
      <c r="A1128" t="s">
        <v>1835</v>
      </c>
      <c r="B1128" t="s">
        <v>1839</v>
      </c>
      <c r="D1128" s="6">
        <v>1000</v>
      </c>
      <c r="G1128" s="7">
        <v>10.5</v>
      </c>
      <c r="H1128" s="4" t="s">
        <v>1828</v>
      </c>
      <c r="J1128" t="s">
        <v>62</v>
      </c>
    </row>
    <row r="1129" spans="1:10" x14ac:dyDescent="0.3">
      <c r="A1129" t="s">
        <v>1835</v>
      </c>
      <c r="B1129" t="s">
        <v>1839</v>
      </c>
      <c r="D1129" s="6">
        <v>1000</v>
      </c>
      <c r="G1129" s="7">
        <v>10.5</v>
      </c>
      <c r="H1129" s="4" t="s">
        <v>1828</v>
      </c>
      <c r="J1129" t="s">
        <v>62</v>
      </c>
    </row>
    <row r="1130" spans="1:10" x14ac:dyDescent="0.3">
      <c r="A1130" t="s">
        <v>1840</v>
      </c>
      <c r="B1130" t="s">
        <v>1841</v>
      </c>
      <c r="D1130" s="6">
        <v>1000</v>
      </c>
      <c r="G1130" s="7">
        <v>9.5699999999999985</v>
      </c>
      <c r="H1130" s="4" t="s">
        <v>1828</v>
      </c>
      <c r="J1130" t="s">
        <v>59</v>
      </c>
    </row>
    <row r="1131" spans="1:10" x14ac:dyDescent="0.3">
      <c r="A1131" t="s">
        <v>1840</v>
      </c>
      <c r="B1131" t="s">
        <v>1841</v>
      </c>
      <c r="D1131" s="6">
        <v>1000</v>
      </c>
      <c r="G1131" s="7">
        <v>9.5699999999999985</v>
      </c>
      <c r="H1131" s="4" t="s">
        <v>1828</v>
      </c>
      <c r="J1131" t="s">
        <v>59</v>
      </c>
    </row>
    <row r="1132" spans="1:10" x14ac:dyDescent="0.3">
      <c r="A1132" t="s">
        <v>1842</v>
      </c>
      <c r="B1132" t="s">
        <v>1843</v>
      </c>
      <c r="D1132" s="6">
        <v>1000</v>
      </c>
      <c r="G1132" s="7">
        <v>9.41</v>
      </c>
      <c r="H1132" s="4" t="s">
        <v>1844</v>
      </c>
      <c r="J1132" t="s">
        <v>62</v>
      </c>
    </row>
    <row r="1133" spans="1:10" x14ac:dyDescent="0.3">
      <c r="A1133" t="s">
        <v>1845</v>
      </c>
      <c r="B1133" t="s">
        <v>1846</v>
      </c>
      <c r="D1133" s="6">
        <v>1000</v>
      </c>
      <c r="G1133" s="7">
        <v>9.66</v>
      </c>
      <c r="H1133" s="4" t="s">
        <v>1847</v>
      </c>
      <c r="J1133" t="s">
        <v>62</v>
      </c>
    </row>
    <row r="1134" spans="1:10" x14ac:dyDescent="0.3">
      <c r="A1134" t="s">
        <v>1848</v>
      </c>
      <c r="B1134" t="s">
        <v>1849</v>
      </c>
      <c r="D1134" s="6">
        <v>1000</v>
      </c>
      <c r="G1134" s="7">
        <v>9.26</v>
      </c>
      <c r="H1134" s="4" t="s">
        <v>1847</v>
      </c>
      <c r="J1134" t="s">
        <v>59</v>
      </c>
    </row>
    <row r="1135" spans="1:10" x14ac:dyDescent="0.3">
      <c r="A1135" t="s">
        <v>1850</v>
      </c>
      <c r="B1135" t="s">
        <v>1851</v>
      </c>
      <c r="D1135" s="6">
        <v>1000</v>
      </c>
      <c r="G1135" s="7">
        <v>9.2100000000000009</v>
      </c>
      <c r="H1135" s="4" t="s">
        <v>1852</v>
      </c>
      <c r="J1135" t="s">
        <v>59</v>
      </c>
    </row>
    <row r="1136" spans="1:10" x14ac:dyDescent="0.3">
      <c r="A1136" t="s">
        <v>1853</v>
      </c>
      <c r="B1136" t="s">
        <v>1854</v>
      </c>
      <c r="D1136" s="6">
        <v>1000</v>
      </c>
      <c r="G1136" s="7">
        <v>9.0300000000000011</v>
      </c>
      <c r="H1136" s="4" t="s">
        <v>1844</v>
      </c>
      <c r="J1136" t="s">
        <v>59</v>
      </c>
    </row>
    <row r="1137" spans="1:10" x14ac:dyDescent="0.3">
      <c r="A1137" t="s">
        <v>1855</v>
      </c>
      <c r="B1137" t="s">
        <v>1856</v>
      </c>
      <c r="D1137" s="6">
        <v>1000</v>
      </c>
      <c r="G1137" s="7">
        <v>9.2200000000000006</v>
      </c>
      <c r="H1137" s="4" t="s">
        <v>1857</v>
      </c>
      <c r="J1137" t="s">
        <v>62</v>
      </c>
    </row>
    <row r="1138" spans="1:10" x14ac:dyDescent="0.3">
      <c r="A1138" t="s">
        <v>1858</v>
      </c>
      <c r="B1138" t="s">
        <v>1859</v>
      </c>
      <c r="D1138" s="6">
        <v>1000</v>
      </c>
      <c r="G1138" s="7">
        <v>9.6100000000000012</v>
      </c>
      <c r="H1138" s="4" t="s">
        <v>1852</v>
      </c>
      <c r="J1138" t="s">
        <v>62</v>
      </c>
    </row>
    <row r="1139" spans="1:10" x14ac:dyDescent="0.3">
      <c r="A1139" t="s">
        <v>1860</v>
      </c>
      <c r="B1139" t="s">
        <v>1861</v>
      </c>
      <c r="D1139" s="6">
        <v>1000</v>
      </c>
      <c r="G1139" s="7">
        <v>8.91</v>
      </c>
      <c r="H1139" s="4" t="s">
        <v>1857</v>
      </c>
      <c r="J1139" t="s">
        <v>59</v>
      </c>
    </row>
    <row r="1140" spans="1:10" x14ac:dyDescent="0.3">
      <c r="A1140" t="s">
        <v>1862</v>
      </c>
      <c r="B1140" t="s">
        <v>1863</v>
      </c>
      <c r="D1140" s="6">
        <v>1000</v>
      </c>
      <c r="G1140" s="7">
        <v>9.16</v>
      </c>
      <c r="H1140" s="4" t="s">
        <v>83</v>
      </c>
      <c r="J1140" t="s">
        <v>101</v>
      </c>
    </row>
    <row r="1141" spans="1:10" x14ac:dyDescent="0.3">
      <c r="A1141" t="s">
        <v>1864</v>
      </c>
      <c r="B1141" t="s">
        <v>1865</v>
      </c>
      <c r="D1141" s="6">
        <v>1000</v>
      </c>
      <c r="G1141" s="7">
        <v>9.6</v>
      </c>
      <c r="H1141" s="4" t="s">
        <v>1866</v>
      </c>
      <c r="J1141" t="s">
        <v>101</v>
      </c>
    </row>
    <row r="1142" spans="1:10" x14ac:dyDescent="0.3">
      <c r="A1142" t="s">
        <v>1867</v>
      </c>
      <c r="B1142" t="s">
        <v>1868</v>
      </c>
      <c r="D1142" s="6">
        <v>1000</v>
      </c>
      <c r="G1142" s="7">
        <v>9.2100000000000009</v>
      </c>
      <c r="H1142" s="4" t="s">
        <v>1866</v>
      </c>
      <c r="J1142" t="s">
        <v>59</v>
      </c>
    </row>
    <row r="1143" spans="1:10" x14ac:dyDescent="0.3">
      <c r="A1143" t="s">
        <v>1869</v>
      </c>
      <c r="B1143" t="s">
        <v>1870</v>
      </c>
      <c r="D1143" s="6">
        <v>1000</v>
      </c>
      <c r="G1143" s="7">
        <v>9.5500000000000007</v>
      </c>
      <c r="H1143" s="4" t="s">
        <v>1871</v>
      </c>
      <c r="J1143" t="s">
        <v>101</v>
      </c>
    </row>
    <row r="1144" spans="1:10" x14ac:dyDescent="0.3">
      <c r="A1144" t="s">
        <v>1872</v>
      </c>
      <c r="B1144" t="s">
        <v>1873</v>
      </c>
      <c r="D1144" s="6">
        <v>1000</v>
      </c>
      <c r="G1144" s="7">
        <v>9.16</v>
      </c>
      <c r="H1144" s="4" t="s">
        <v>1871</v>
      </c>
      <c r="J1144" t="s">
        <v>59</v>
      </c>
    </row>
    <row r="1145" spans="1:10" x14ac:dyDescent="0.3">
      <c r="A1145" t="s">
        <v>1874</v>
      </c>
      <c r="B1145" t="s">
        <v>1875</v>
      </c>
      <c r="D1145" s="6">
        <v>1000</v>
      </c>
      <c r="G1145" s="7">
        <v>9.44</v>
      </c>
      <c r="H1145" s="4" t="s">
        <v>1876</v>
      </c>
      <c r="J1145" t="s">
        <v>59</v>
      </c>
    </row>
    <row r="1146" spans="1:10" x14ac:dyDescent="0.3">
      <c r="A1146" t="s">
        <v>1877</v>
      </c>
      <c r="B1146" t="s">
        <v>1878</v>
      </c>
      <c r="D1146" s="6">
        <v>1000</v>
      </c>
      <c r="G1146" s="7">
        <v>9.35</v>
      </c>
      <c r="H1146" s="4" t="s">
        <v>1879</v>
      </c>
      <c r="J1146" t="s">
        <v>101</v>
      </c>
    </row>
    <row r="1147" spans="1:10" x14ac:dyDescent="0.3">
      <c r="A1147" t="s">
        <v>1880</v>
      </c>
      <c r="B1147" t="s">
        <v>1881</v>
      </c>
      <c r="D1147" s="6">
        <v>1000</v>
      </c>
      <c r="G1147" s="7">
        <v>8.98</v>
      </c>
      <c r="H1147" s="4" t="s">
        <v>1879</v>
      </c>
      <c r="J1147" t="s">
        <v>59</v>
      </c>
    </row>
    <row r="1148" spans="1:10" x14ac:dyDescent="0.3">
      <c r="A1148" t="s">
        <v>1882</v>
      </c>
      <c r="B1148" t="s">
        <v>1883</v>
      </c>
      <c r="D1148" s="6">
        <v>1000</v>
      </c>
      <c r="G1148" s="7">
        <v>8.86</v>
      </c>
      <c r="H1148" s="4" t="s">
        <v>83</v>
      </c>
      <c r="J1148" t="s">
        <v>59</v>
      </c>
    </row>
    <row r="1149" spans="1:10" x14ac:dyDescent="0.3">
      <c r="A1149" t="s">
        <v>1884</v>
      </c>
      <c r="B1149" t="s">
        <v>1885</v>
      </c>
      <c r="D1149" s="6">
        <v>1000</v>
      </c>
      <c r="G1149" s="7">
        <v>9.85</v>
      </c>
      <c r="H1149" s="4" t="s">
        <v>1876</v>
      </c>
      <c r="J1149" t="s">
        <v>101</v>
      </c>
    </row>
    <row r="1150" spans="1:10" x14ac:dyDescent="0.3">
      <c r="A1150" t="s">
        <v>1886</v>
      </c>
      <c r="B1150" t="s">
        <v>1887</v>
      </c>
      <c r="D1150" s="6">
        <v>1000</v>
      </c>
      <c r="G1150" s="7">
        <v>7.2900000000000009</v>
      </c>
      <c r="H1150" s="4" t="s">
        <v>1324</v>
      </c>
      <c r="J1150" t="s">
        <v>62</v>
      </c>
    </row>
    <row r="1151" spans="1:10" x14ac:dyDescent="0.3">
      <c r="A1151" t="s">
        <v>1888</v>
      </c>
      <c r="B1151" t="s">
        <v>1889</v>
      </c>
      <c r="C1151" t="s">
        <v>48</v>
      </c>
      <c r="D1151" s="9">
        <v>1000</v>
      </c>
      <c r="E1151" t="s">
        <v>45</v>
      </c>
      <c r="F1151" t="s">
        <v>45</v>
      </c>
      <c r="G1151" s="12">
        <v>7.64</v>
      </c>
      <c r="H1151" s="4">
        <v>47930</v>
      </c>
      <c r="I1151" t="s">
        <v>45</v>
      </c>
      <c r="J1151" t="s">
        <v>62</v>
      </c>
    </row>
    <row r="1152" spans="1:10" x14ac:dyDescent="0.3">
      <c r="A1152" t="s">
        <v>1888</v>
      </c>
      <c r="B1152" t="s">
        <v>1890</v>
      </c>
      <c r="D1152" s="6">
        <v>1000</v>
      </c>
      <c r="G1152" s="7">
        <v>7.64</v>
      </c>
      <c r="H1152" s="4" t="s">
        <v>1891</v>
      </c>
      <c r="J1152" t="s">
        <v>62</v>
      </c>
    </row>
    <row r="1153" spans="1:10" x14ac:dyDescent="0.3">
      <c r="A1153" t="s">
        <v>1888</v>
      </c>
      <c r="B1153" t="s">
        <v>1892</v>
      </c>
      <c r="D1153" s="6">
        <v>1000</v>
      </c>
      <c r="G1153" s="7">
        <v>7.64</v>
      </c>
      <c r="H1153" s="4" t="s">
        <v>1891</v>
      </c>
      <c r="J1153" t="s">
        <v>62</v>
      </c>
    </row>
    <row r="1154" spans="1:10" x14ac:dyDescent="0.3">
      <c r="A1154" t="s">
        <v>1893</v>
      </c>
      <c r="B1154" t="s">
        <v>1894</v>
      </c>
      <c r="D1154" s="6">
        <v>1000</v>
      </c>
      <c r="G1154" s="7">
        <v>7.04</v>
      </c>
      <c r="H1154" s="4" t="s">
        <v>1324</v>
      </c>
      <c r="J1154" t="s">
        <v>62</v>
      </c>
    </row>
    <row r="1155" spans="1:10" x14ac:dyDescent="0.3">
      <c r="A1155" t="s">
        <v>1895</v>
      </c>
      <c r="B1155" t="s">
        <v>1889</v>
      </c>
      <c r="C1155" t="s">
        <v>54</v>
      </c>
      <c r="D1155" s="9" t="s">
        <v>45</v>
      </c>
      <c r="E1155" t="s">
        <v>45</v>
      </c>
      <c r="F1155" t="s">
        <v>45</v>
      </c>
      <c r="G1155" s="12">
        <v>0</v>
      </c>
      <c r="H1155" t="s">
        <v>45</v>
      </c>
      <c r="I1155" t="s">
        <v>1895</v>
      </c>
      <c r="J1155" t="s">
        <v>55</v>
      </c>
    </row>
    <row r="1156" spans="1:10" x14ac:dyDescent="0.3">
      <c r="A1156" t="s">
        <v>1895</v>
      </c>
      <c r="B1156" t="s">
        <v>1896</v>
      </c>
      <c r="D1156" s="6">
        <v>1000</v>
      </c>
      <c r="G1156" s="7">
        <v>7.35</v>
      </c>
      <c r="H1156" s="4" t="s">
        <v>1891</v>
      </c>
      <c r="J1156" t="s">
        <v>62</v>
      </c>
    </row>
    <row r="1157" spans="1:10" x14ac:dyDescent="0.3">
      <c r="A1157" t="s">
        <v>1895</v>
      </c>
      <c r="B1157" t="s">
        <v>1897</v>
      </c>
      <c r="D1157" s="6">
        <v>1000</v>
      </c>
      <c r="G1157" s="7">
        <v>7.35</v>
      </c>
      <c r="H1157" s="4" t="s">
        <v>1891</v>
      </c>
      <c r="J1157" t="s">
        <v>62</v>
      </c>
    </row>
    <row r="1158" spans="1:10" x14ac:dyDescent="0.3">
      <c r="A1158" t="s">
        <v>1898</v>
      </c>
      <c r="B1158" t="s">
        <v>1899</v>
      </c>
      <c r="D1158" s="6">
        <v>1000</v>
      </c>
      <c r="G1158" s="7">
        <v>9.75</v>
      </c>
      <c r="H1158" s="4" t="s">
        <v>1900</v>
      </c>
      <c r="J1158" t="s">
        <v>59</v>
      </c>
    </row>
    <row r="1159" spans="1:10" x14ac:dyDescent="0.3">
      <c r="A1159" t="s">
        <v>1901</v>
      </c>
      <c r="B1159" t="s">
        <v>1902</v>
      </c>
      <c r="D1159" s="6">
        <v>1000</v>
      </c>
      <c r="G1159" s="7" t="s">
        <v>65</v>
      </c>
      <c r="H1159" s="4" t="s">
        <v>1900</v>
      </c>
      <c r="J1159" t="s">
        <v>49</v>
      </c>
    </row>
    <row r="1160" spans="1:10" x14ac:dyDescent="0.3">
      <c r="A1160" t="s">
        <v>1903</v>
      </c>
      <c r="B1160" t="s">
        <v>1904</v>
      </c>
      <c r="D1160" s="6">
        <v>1000</v>
      </c>
      <c r="G1160" s="7">
        <v>10</v>
      </c>
      <c r="H1160" s="4" t="s">
        <v>1905</v>
      </c>
      <c r="J1160" t="s">
        <v>59</v>
      </c>
    </row>
    <row r="1161" spans="1:10" x14ac:dyDescent="0.3">
      <c r="A1161" t="s">
        <v>1906</v>
      </c>
      <c r="B1161" t="s">
        <v>1907</v>
      </c>
      <c r="D1161" s="6">
        <v>1000</v>
      </c>
      <c r="G1161" s="7" t="s">
        <v>65</v>
      </c>
      <c r="H1161" s="4" t="s">
        <v>1905</v>
      </c>
      <c r="J1161" t="s">
        <v>49</v>
      </c>
    </row>
    <row r="1162" spans="1:10" x14ac:dyDescent="0.3">
      <c r="A1162" t="s">
        <v>1908</v>
      </c>
      <c r="B1162" t="s">
        <v>1909</v>
      </c>
      <c r="D1162" s="6">
        <v>1000</v>
      </c>
      <c r="G1162" s="7">
        <v>8.75</v>
      </c>
      <c r="H1162" s="4" t="s">
        <v>1910</v>
      </c>
      <c r="J1162" t="s">
        <v>59</v>
      </c>
    </row>
    <row r="1163" spans="1:10" x14ac:dyDescent="0.3">
      <c r="A1163" t="s">
        <v>1911</v>
      </c>
      <c r="B1163" t="s">
        <v>1912</v>
      </c>
      <c r="D1163" s="6">
        <v>1000</v>
      </c>
      <c r="G1163" s="7" t="s">
        <v>65</v>
      </c>
      <c r="H1163" s="4" t="s">
        <v>1910</v>
      </c>
      <c r="J1163" t="s">
        <v>49</v>
      </c>
    </row>
    <row r="1164" spans="1:10" x14ac:dyDescent="0.3">
      <c r="A1164" t="s">
        <v>1913</v>
      </c>
      <c r="B1164" t="s">
        <v>1914</v>
      </c>
      <c r="D1164" s="6">
        <v>1000</v>
      </c>
      <c r="G1164" s="7">
        <v>9</v>
      </c>
      <c r="H1164" s="4" t="s">
        <v>1915</v>
      </c>
      <c r="J1164" t="s">
        <v>59</v>
      </c>
    </row>
    <row r="1165" spans="1:10" x14ac:dyDescent="0.3">
      <c r="A1165" t="s">
        <v>1916</v>
      </c>
      <c r="B1165" t="s">
        <v>1917</v>
      </c>
      <c r="D1165" s="6">
        <v>1000</v>
      </c>
      <c r="G1165" s="7" t="s">
        <v>65</v>
      </c>
      <c r="H1165" s="4" t="s">
        <v>1915</v>
      </c>
      <c r="J1165" t="s">
        <v>49</v>
      </c>
    </row>
    <row r="1166" spans="1:10" x14ac:dyDescent="0.3">
      <c r="A1166" t="s">
        <v>1918</v>
      </c>
      <c r="B1166" t="s">
        <v>1919</v>
      </c>
      <c r="D1166" s="6">
        <v>1000</v>
      </c>
      <c r="G1166" s="7">
        <v>10</v>
      </c>
      <c r="H1166" s="4" t="s">
        <v>1920</v>
      </c>
      <c r="J1166" t="s">
        <v>59</v>
      </c>
    </row>
    <row r="1167" spans="1:10" x14ac:dyDescent="0.3">
      <c r="A1167" t="s">
        <v>1921</v>
      </c>
      <c r="B1167" t="s">
        <v>1922</v>
      </c>
      <c r="D1167" s="6">
        <v>1000</v>
      </c>
      <c r="G1167" s="7" t="s">
        <v>65</v>
      </c>
      <c r="H1167" s="4" t="s">
        <v>1920</v>
      </c>
      <c r="J1167" t="s">
        <v>49</v>
      </c>
    </row>
    <row r="1168" spans="1:10" x14ac:dyDescent="0.3">
      <c r="A1168" t="s">
        <v>1923</v>
      </c>
      <c r="B1168" t="s">
        <v>1924</v>
      </c>
      <c r="D1168" s="6">
        <v>1000</v>
      </c>
      <c r="G1168" s="7" t="s">
        <v>65</v>
      </c>
      <c r="H1168" s="4" t="s">
        <v>1925</v>
      </c>
      <c r="J1168" t="s">
        <v>49</v>
      </c>
    </row>
    <row r="1169" spans="1:10" x14ac:dyDescent="0.3">
      <c r="A1169" t="s">
        <v>1926</v>
      </c>
      <c r="B1169" t="s">
        <v>1927</v>
      </c>
      <c r="D1169" s="6">
        <v>1000</v>
      </c>
      <c r="G1169" s="7" t="s">
        <v>65</v>
      </c>
      <c r="H1169" s="4" t="s">
        <v>1928</v>
      </c>
      <c r="J1169" t="s">
        <v>49</v>
      </c>
    </row>
    <row r="1170" spans="1:10" x14ac:dyDescent="0.3">
      <c r="A1170" t="s">
        <v>1929</v>
      </c>
      <c r="B1170" t="s">
        <v>1930</v>
      </c>
      <c r="D1170" s="6">
        <v>1000</v>
      </c>
      <c r="G1170" s="7" t="s">
        <v>65</v>
      </c>
      <c r="H1170" s="4" t="s">
        <v>1931</v>
      </c>
      <c r="J1170" t="s">
        <v>49</v>
      </c>
    </row>
    <row r="1171" spans="1:10" x14ac:dyDescent="0.3">
      <c r="A1171" t="s">
        <v>1932</v>
      </c>
      <c r="B1171" t="s">
        <v>1933</v>
      </c>
      <c r="D1171" s="6">
        <v>1000</v>
      </c>
      <c r="G1171" s="7" t="s">
        <v>65</v>
      </c>
      <c r="H1171" s="4" t="s">
        <v>1934</v>
      </c>
      <c r="J1171" t="s">
        <v>49</v>
      </c>
    </row>
    <row r="1172" spans="1:10" x14ac:dyDescent="0.3">
      <c r="A1172" t="s">
        <v>1935</v>
      </c>
      <c r="B1172" t="s">
        <v>1936</v>
      </c>
      <c r="D1172" s="6">
        <v>1000</v>
      </c>
      <c r="G1172" s="7" t="s">
        <v>65</v>
      </c>
      <c r="H1172" s="4" t="s">
        <v>1937</v>
      </c>
      <c r="J1172" t="s">
        <v>49</v>
      </c>
    </row>
    <row r="1173" spans="1:10" x14ac:dyDescent="0.3">
      <c r="A1173" t="s">
        <v>1938</v>
      </c>
      <c r="B1173" t="s">
        <v>1939</v>
      </c>
      <c r="D1173" s="6">
        <v>1000</v>
      </c>
      <c r="G1173" s="7">
        <v>9.25</v>
      </c>
      <c r="H1173" s="4" t="s">
        <v>1931</v>
      </c>
      <c r="J1173" t="s">
        <v>59</v>
      </c>
    </row>
    <row r="1174" spans="1:10" x14ac:dyDescent="0.3">
      <c r="A1174" t="s">
        <v>1940</v>
      </c>
      <c r="B1174" t="s">
        <v>1941</v>
      </c>
      <c r="D1174" s="6">
        <v>1000</v>
      </c>
      <c r="G1174" s="7">
        <v>9.5</v>
      </c>
      <c r="H1174" s="4" t="s">
        <v>1925</v>
      </c>
      <c r="J1174" t="s">
        <v>59</v>
      </c>
    </row>
    <row r="1175" spans="1:10" x14ac:dyDescent="0.3">
      <c r="A1175" t="s">
        <v>1942</v>
      </c>
      <c r="B1175" t="s">
        <v>1943</v>
      </c>
      <c r="D1175" s="6">
        <v>1000</v>
      </c>
      <c r="G1175" s="7">
        <v>10.25</v>
      </c>
      <c r="H1175" s="4" t="s">
        <v>1934</v>
      </c>
      <c r="J1175" t="s">
        <v>59</v>
      </c>
    </row>
    <row r="1176" spans="1:10" x14ac:dyDescent="0.3">
      <c r="A1176" t="s">
        <v>1944</v>
      </c>
      <c r="B1176" t="s">
        <v>1945</v>
      </c>
      <c r="D1176" s="6">
        <v>1000</v>
      </c>
      <c r="G1176" s="7">
        <v>9</v>
      </c>
      <c r="H1176" s="4" t="s">
        <v>1928</v>
      </c>
      <c r="J1176" t="s">
        <v>59</v>
      </c>
    </row>
    <row r="1177" spans="1:10" x14ac:dyDescent="0.3">
      <c r="A1177" t="s">
        <v>1946</v>
      </c>
      <c r="B1177" t="s">
        <v>1947</v>
      </c>
      <c r="D1177" s="6">
        <v>1000</v>
      </c>
      <c r="G1177" s="7" t="s">
        <v>65</v>
      </c>
      <c r="H1177" s="4" t="s">
        <v>1948</v>
      </c>
      <c r="J1177" t="s">
        <v>49</v>
      </c>
    </row>
    <row r="1178" spans="1:10" x14ac:dyDescent="0.3">
      <c r="A1178" t="s">
        <v>1949</v>
      </c>
      <c r="B1178" t="s">
        <v>1950</v>
      </c>
      <c r="D1178" s="6">
        <v>1000</v>
      </c>
      <c r="G1178" s="7">
        <v>9</v>
      </c>
      <c r="H1178" s="4" t="s">
        <v>1951</v>
      </c>
      <c r="J1178" t="s">
        <v>59</v>
      </c>
    </row>
    <row r="1179" spans="1:10" x14ac:dyDescent="0.3">
      <c r="A1179" t="s">
        <v>1952</v>
      </c>
      <c r="B1179" t="s">
        <v>1953</v>
      </c>
      <c r="D1179" s="6">
        <v>1000</v>
      </c>
      <c r="G1179" s="7" t="s">
        <v>65</v>
      </c>
      <c r="H1179" s="4" t="s">
        <v>1951</v>
      </c>
      <c r="J1179" t="s">
        <v>49</v>
      </c>
    </row>
    <row r="1180" spans="1:10" x14ac:dyDescent="0.3">
      <c r="A1180" t="s">
        <v>1954</v>
      </c>
      <c r="B1180" t="s">
        <v>1955</v>
      </c>
      <c r="D1180" s="6">
        <v>1000</v>
      </c>
      <c r="G1180" s="7" t="s">
        <v>65</v>
      </c>
      <c r="H1180" s="4" t="s">
        <v>1956</v>
      </c>
      <c r="J1180" t="s">
        <v>49</v>
      </c>
    </row>
    <row r="1181" spans="1:10" x14ac:dyDescent="0.3">
      <c r="A1181" t="s">
        <v>1957</v>
      </c>
      <c r="B1181" t="s">
        <v>1958</v>
      </c>
      <c r="D1181" s="6">
        <v>1000</v>
      </c>
      <c r="G1181" s="7" t="s">
        <v>65</v>
      </c>
      <c r="H1181" s="4" t="s">
        <v>1959</v>
      </c>
      <c r="J1181" t="s">
        <v>49</v>
      </c>
    </row>
    <row r="1182" spans="1:10" x14ac:dyDescent="0.3">
      <c r="A1182" t="s">
        <v>1960</v>
      </c>
      <c r="B1182" t="s">
        <v>1961</v>
      </c>
      <c r="D1182" s="6">
        <v>1000</v>
      </c>
      <c r="G1182" s="7">
        <v>10.25</v>
      </c>
      <c r="H1182" s="4" t="s">
        <v>1959</v>
      </c>
      <c r="J1182" t="s">
        <v>59</v>
      </c>
    </row>
    <row r="1183" spans="1:10" x14ac:dyDescent="0.3">
      <c r="A1183" t="s">
        <v>1962</v>
      </c>
      <c r="B1183" t="s">
        <v>1963</v>
      </c>
      <c r="D1183" s="6">
        <v>1000</v>
      </c>
      <c r="G1183" s="7">
        <v>9.25</v>
      </c>
      <c r="H1183" s="4" t="s">
        <v>1948</v>
      </c>
      <c r="J1183" t="s">
        <v>59</v>
      </c>
    </row>
    <row r="1184" spans="1:10" x14ac:dyDescent="0.3">
      <c r="A1184" t="s">
        <v>1964</v>
      </c>
      <c r="B1184" t="s">
        <v>1965</v>
      </c>
      <c r="D1184" s="6">
        <v>1000</v>
      </c>
      <c r="G1184" s="7">
        <v>10.25</v>
      </c>
      <c r="H1184" s="4" t="s">
        <v>1966</v>
      </c>
      <c r="J1184" t="s">
        <v>59</v>
      </c>
    </row>
    <row r="1185" spans="1:10" x14ac:dyDescent="0.3">
      <c r="A1185" t="s">
        <v>1967</v>
      </c>
      <c r="B1185" t="s">
        <v>1968</v>
      </c>
      <c r="D1185" s="6">
        <v>1000</v>
      </c>
      <c r="G1185" s="7" t="s">
        <v>65</v>
      </c>
      <c r="H1185" s="4" t="s">
        <v>1966</v>
      </c>
      <c r="J1185" t="s">
        <v>49</v>
      </c>
    </row>
    <row r="1186" spans="1:10" x14ac:dyDescent="0.3">
      <c r="A1186" t="s">
        <v>1969</v>
      </c>
      <c r="B1186" t="s">
        <v>1970</v>
      </c>
      <c r="D1186" s="6">
        <v>1000</v>
      </c>
      <c r="G1186" s="7" t="s">
        <v>65</v>
      </c>
      <c r="H1186" s="4" t="s">
        <v>1971</v>
      </c>
      <c r="J1186" t="s">
        <v>49</v>
      </c>
    </row>
    <row r="1187" spans="1:10" x14ac:dyDescent="0.3">
      <c r="A1187" t="s">
        <v>1972</v>
      </c>
      <c r="B1187" t="s">
        <v>1973</v>
      </c>
      <c r="D1187" s="6">
        <v>1000</v>
      </c>
      <c r="G1187" s="7">
        <v>9.25</v>
      </c>
      <c r="H1187" s="4" t="s">
        <v>1974</v>
      </c>
      <c r="J1187" t="s">
        <v>59</v>
      </c>
    </row>
    <row r="1188" spans="1:10" x14ac:dyDescent="0.3">
      <c r="A1188" t="s">
        <v>1975</v>
      </c>
      <c r="B1188" t="s">
        <v>1976</v>
      </c>
      <c r="D1188" s="6">
        <v>1000</v>
      </c>
      <c r="G1188" s="7">
        <v>9</v>
      </c>
      <c r="H1188" s="4" t="s">
        <v>1977</v>
      </c>
      <c r="J1188" t="s">
        <v>59</v>
      </c>
    </row>
    <row r="1189" spans="1:10" x14ac:dyDescent="0.3">
      <c r="A1189" t="s">
        <v>1978</v>
      </c>
      <c r="B1189" t="s">
        <v>1979</v>
      </c>
      <c r="D1189" s="6">
        <v>1000</v>
      </c>
      <c r="G1189" s="7" t="s">
        <v>65</v>
      </c>
      <c r="H1189" s="4" t="s">
        <v>1974</v>
      </c>
      <c r="J1189" t="s">
        <v>49</v>
      </c>
    </row>
    <row r="1190" spans="1:10" x14ac:dyDescent="0.3">
      <c r="A1190" t="s">
        <v>1980</v>
      </c>
      <c r="B1190" t="s">
        <v>1981</v>
      </c>
      <c r="D1190" s="6">
        <v>1000</v>
      </c>
      <c r="G1190" s="7" t="s">
        <v>65</v>
      </c>
      <c r="H1190" s="4" t="s">
        <v>1977</v>
      </c>
      <c r="J1190" t="s">
        <v>49</v>
      </c>
    </row>
    <row r="1191" spans="1:10" x14ac:dyDescent="0.3">
      <c r="A1191" t="s">
        <v>1982</v>
      </c>
      <c r="B1191" t="s">
        <v>1983</v>
      </c>
      <c r="D1191" s="6">
        <v>1000</v>
      </c>
      <c r="G1191" s="7">
        <v>10.25</v>
      </c>
      <c r="H1191" s="4" t="s">
        <v>1984</v>
      </c>
      <c r="J1191" t="s">
        <v>59</v>
      </c>
    </row>
    <row r="1192" spans="1:10" x14ac:dyDescent="0.3">
      <c r="A1192" t="s">
        <v>1985</v>
      </c>
      <c r="B1192" t="s">
        <v>1986</v>
      </c>
      <c r="D1192" s="6">
        <v>1000</v>
      </c>
      <c r="G1192" s="7">
        <v>10.25</v>
      </c>
      <c r="H1192" s="4" t="s">
        <v>1984</v>
      </c>
      <c r="J1192" t="s">
        <v>62</v>
      </c>
    </row>
    <row r="1193" spans="1:10" x14ac:dyDescent="0.3">
      <c r="A1193" t="s">
        <v>1987</v>
      </c>
      <c r="B1193" t="s">
        <v>1988</v>
      </c>
      <c r="D1193" s="6">
        <v>1000</v>
      </c>
      <c r="G1193" s="7" t="s">
        <v>65</v>
      </c>
      <c r="H1193" s="4" t="s">
        <v>1984</v>
      </c>
      <c r="J1193" t="s">
        <v>49</v>
      </c>
    </row>
    <row r="1194" spans="1:10" x14ac:dyDescent="0.3">
      <c r="A1194" t="s">
        <v>1989</v>
      </c>
      <c r="B1194" t="s">
        <v>1990</v>
      </c>
      <c r="D1194" s="6">
        <v>1000</v>
      </c>
      <c r="G1194" s="7">
        <v>10.5</v>
      </c>
      <c r="H1194" s="4" t="s">
        <v>1991</v>
      </c>
      <c r="J1194" t="s">
        <v>59</v>
      </c>
    </row>
    <row r="1195" spans="1:10" x14ac:dyDescent="0.3">
      <c r="A1195" t="s">
        <v>1992</v>
      </c>
      <c r="B1195" t="s">
        <v>1993</v>
      </c>
      <c r="D1195" s="6">
        <v>1000</v>
      </c>
      <c r="G1195" s="7" t="s">
        <v>65</v>
      </c>
      <c r="H1195" s="4" t="s">
        <v>1991</v>
      </c>
      <c r="J1195" t="s">
        <v>49</v>
      </c>
    </row>
    <row r="1196" spans="1:10" x14ac:dyDescent="0.3">
      <c r="A1196" t="s">
        <v>1994</v>
      </c>
      <c r="B1196" t="s">
        <v>1995</v>
      </c>
      <c r="C1196" t="s">
        <v>281</v>
      </c>
      <c r="D1196" s="9" t="s">
        <v>45</v>
      </c>
      <c r="E1196" t="s">
        <v>45</v>
      </c>
      <c r="F1196" t="s">
        <v>45</v>
      </c>
      <c r="G1196" s="12">
        <v>0</v>
      </c>
      <c r="H1196" t="s">
        <v>45</v>
      </c>
      <c r="I1196" t="s">
        <v>45</v>
      </c>
      <c r="J1196" t="s">
        <v>62</v>
      </c>
    </row>
    <row r="1197" spans="1:10" x14ac:dyDescent="0.3">
      <c r="A1197" t="s">
        <v>1996</v>
      </c>
      <c r="B1197" t="s">
        <v>1997</v>
      </c>
      <c r="D1197" s="6">
        <v>1000</v>
      </c>
      <c r="G1197" s="7">
        <v>8.5500000000000007</v>
      </c>
      <c r="H1197" s="4" t="s">
        <v>1998</v>
      </c>
      <c r="J1197" t="s">
        <v>62</v>
      </c>
    </row>
    <row r="1198" spans="1:10" x14ac:dyDescent="0.3">
      <c r="A1198" t="s">
        <v>1996</v>
      </c>
      <c r="B1198" t="s">
        <v>1997</v>
      </c>
      <c r="D1198" s="6">
        <v>1000</v>
      </c>
      <c r="G1198" s="7">
        <v>8.5500000000000007</v>
      </c>
      <c r="H1198" s="4" t="s">
        <v>1998</v>
      </c>
      <c r="J1198" t="s">
        <v>62</v>
      </c>
    </row>
    <row r="1199" spans="1:10" x14ac:dyDescent="0.3">
      <c r="A1199" t="s">
        <v>1999</v>
      </c>
      <c r="B1199" t="s">
        <v>1995</v>
      </c>
      <c r="C1199" t="s">
        <v>415</v>
      </c>
      <c r="D1199" s="9">
        <v>1000</v>
      </c>
      <c r="E1199" t="s">
        <v>45</v>
      </c>
      <c r="F1199" t="s">
        <v>45</v>
      </c>
      <c r="G1199" s="12">
        <v>8.65</v>
      </c>
      <c r="H1199" s="4">
        <v>46625</v>
      </c>
      <c r="I1199" t="s">
        <v>45</v>
      </c>
      <c r="J1199" t="s">
        <v>62</v>
      </c>
    </row>
    <row r="1200" spans="1:10" x14ac:dyDescent="0.3">
      <c r="A1200" t="s">
        <v>1999</v>
      </c>
      <c r="B1200" t="s">
        <v>2000</v>
      </c>
      <c r="D1200" s="6">
        <v>1000</v>
      </c>
      <c r="G1200" s="7">
        <v>8.6499999999999986</v>
      </c>
      <c r="H1200" s="4" t="s">
        <v>1998</v>
      </c>
      <c r="J1200" t="s">
        <v>62</v>
      </c>
    </row>
    <row r="1201" spans="1:10" x14ac:dyDescent="0.3">
      <c r="A1201" t="s">
        <v>1999</v>
      </c>
      <c r="B1201" t="s">
        <v>2000</v>
      </c>
      <c r="D1201" s="6">
        <v>1000</v>
      </c>
      <c r="G1201" s="7">
        <v>8.6499999999999986</v>
      </c>
      <c r="H1201" s="4" t="s">
        <v>1998</v>
      </c>
      <c r="J1201" t="s">
        <v>62</v>
      </c>
    </row>
    <row r="1202" spans="1:10" x14ac:dyDescent="0.3">
      <c r="A1202" t="s">
        <v>2001</v>
      </c>
      <c r="B1202" t="s">
        <v>2002</v>
      </c>
      <c r="D1202" s="6">
        <v>1000</v>
      </c>
      <c r="G1202" s="7">
        <v>9</v>
      </c>
      <c r="H1202" s="4" t="s">
        <v>2003</v>
      </c>
      <c r="J1202" t="s">
        <v>62</v>
      </c>
    </row>
    <row r="1203" spans="1:10" x14ac:dyDescent="0.3">
      <c r="A1203" t="s">
        <v>2001</v>
      </c>
      <c r="B1203" t="s">
        <v>2002</v>
      </c>
      <c r="D1203" s="6">
        <v>1000</v>
      </c>
      <c r="G1203" s="7">
        <v>9</v>
      </c>
      <c r="H1203" s="4" t="s">
        <v>2003</v>
      </c>
      <c r="J1203" t="s">
        <v>62</v>
      </c>
    </row>
    <row r="1204" spans="1:10" x14ac:dyDescent="0.3">
      <c r="A1204" t="s">
        <v>2004</v>
      </c>
      <c r="B1204" t="s">
        <v>1995</v>
      </c>
      <c r="D1204" s="9">
        <v>1000</v>
      </c>
      <c r="G1204">
        <v>9.1</v>
      </c>
      <c r="H1204" s="4">
        <v>47023</v>
      </c>
      <c r="I1204" t="s">
        <v>2004</v>
      </c>
      <c r="J1204" t="s">
        <v>62</v>
      </c>
    </row>
    <row r="1205" spans="1:10" x14ac:dyDescent="0.3">
      <c r="A1205" t="s">
        <v>2004</v>
      </c>
      <c r="B1205" t="s">
        <v>2005</v>
      </c>
      <c r="D1205" s="6">
        <v>1000</v>
      </c>
      <c r="G1205" s="7">
        <v>9.1</v>
      </c>
      <c r="H1205" s="4" t="s">
        <v>2003</v>
      </c>
      <c r="J1205" t="s">
        <v>62</v>
      </c>
    </row>
    <row r="1206" spans="1:10" x14ac:dyDescent="0.3">
      <c r="A1206" t="s">
        <v>2004</v>
      </c>
      <c r="B1206" t="s">
        <v>2005</v>
      </c>
      <c r="D1206" s="6">
        <v>1000</v>
      </c>
      <c r="G1206" s="7">
        <v>9.1</v>
      </c>
      <c r="H1206" s="4" t="s">
        <v>2003</v>
      </c>
      <c r="J1206" t="s">
        <v>62</v>
      </c>
    </row>
    <row r="1207" spans="1:10" x14ac:dyDescent="0.3">
      <c r="A1207" t="s">
        <v>2006</v>
      </c>
      <c r="B1207" t="s">
        <v>1995</v>
      </c>
      <c r="C1207" t="s">
        <v>389</v>
      </c>
      <c r="D1207" s="9" t="s">
        <v>45</v>
      </c>
      <c r="E1207" t="s">
        <v>45</v>
      </c>
      <c r="F1207" t="s">
        <v>45</v>
      </c>
      <c r="G1207" s="12">
        <v>0</v>
      </c>
      <c r="H1207" t="s">
        <v>45</v>
      </c>
      <c r="I1207" t="s">
        <v>2006</v>
      </c>
      <c r="J1207" t="s">
        <v>361</v>
      </c>
    </row>
    <row r="1208" spans="1:10" x14ac:dyDescent="0.3">
      <c r="A1208" t="s">
        <v>2006</v>
      </c>
      <c r="B1208" t="s">
        <v>2007</v>
      </c>
      <c r="D1208" s="6">
        <v>1000</v>
      </c>
      <c r="G1208" s="7">
        <v>8.75</v>
      </c>
      <c r="H1208" s="4" t="s">
        <v>2008</v>
      </c>
      <c r="J1208" t="s">
        <v>62</v>
      </c>
    </row>
    <row r="1209" spans="1:10" x14ac:dyDescent="0.3">
      <c r="A1209" t="s">
        <v>2006</v>
      </c>
      <c r="B1209" t="s">
        <v>2007</v>
      </c>
      <c r="D1209" s="6">
        <v>1000</v>
      </c>
      <c r="G1209" s="7">
        <v>8.75</v>
      </c>
      <c r="H1209" s="4" t="s">
        <v>2008</v>
      </c>
      <c r="J1209" t="s">
        <v>62</v>
      </c>
    </row>
    <row r="1210" spans="1:10" x14ac:dyDescent="0.3">
      <c r="A1210" t="s">
        <v>2009</v>
      </c>
      <c r="B1210" t="s">
        <v>1995</v>
      </c>
      <c r="C1210" t="s">
        <v>297</v>
      </c>
      <c r="D1210" s="9" t="s">
        <v>45</v>
      </c>
      <c r="E1210" t="s">
        <v>45</v>
      </c>
      <c r="F1210" t="s">
        <v>45</v>
      </c>
      <c r="G1210" s="12">
        <v>0</v>
      </c>
      <c r="H1210" t="s">
        <v>45</v>
      </c>
      <c r="I1210" t="s">
        <v>2009</v>
      </c>
      <c r="J1210" t="s">
        <v>361</v>
      </c>
    </row>
    <row r="1211" spans="1:10" x14ac:dyDescent="0.3">
      <c r="A1211" t="s">
        <v>2009</v>
      </c>
      <c r="B1211" t="s">
        <v>2010</v>
      </c>
      <c r="D1211" s="6">
        <v>1000</v>
      </c>
      <c r="G1211" s="7">
        <v>8.85</v>
      </c>
      <c r="H1211" s="4" t="s">
        <v>2008</v>
      </c>
      <c r="J1211" t="s">
        <v>62</v>
      </c>
    </row>
    <row r="1212" spans="1:10" x14ac:dyDescent="0.3">
      <c r="A1212" t="s">
        <v>2009</v>
      </c>
      <c r="B1212" t="s">
        <v>2010</v>
      </c>
      <c r="D1212" s="6">
        <v>1000</v>
      </c>
      <c r="G1212" s="7">
        <v>8.85</v>
      </c>
      <c r="H1212" s="4" t="s">
        <v>2008</v>
      </c>
      <c r="J1212" t="s">
        <v>62</v>
      </c>
    </row>
    <row r="1213" spans="1:10" x14ac:dyDescent="0.3">
      <c r="A1213" t="s">
        <v>2011</v>
      </c>
      <c r="B1213" t="s">
        <v>2012</v>
      </c>
      <c r="C1213" t="s">
        <v>281</v>
      </c>
      <c r="D1213" s="9">
        <v>1000</v>
      </c>
      <c r="E1213" t="s">
        <v>1438</v>
      </c>
      <c r="F1213" t="s">
        <v>2013</v>
      </c>
      <c r="G1213">
        <v>9.65</v>
      </c>
      <c r="H1213" t="s">
        <v>2014</v>
      </c>
      <c r="I1213" t="s">
        <v>2015</v>
      </c>
      <c r="J1213" t="s">
        <v>1048</v>
      </c>
    </row>
    <row r="1214" spans="1:10" x14ac:dyDescent="0.3">
      <c r="A1214" t="s">
        <v>2011</v>
      </c>
      <c r="B1214" t="s">
        <v>2016</v>
      </c>
      <c r="D1214" s="6">
        <v>1000</v>
      </c>
      <c r="G1214" s="7">
        <v>9.65</v>
      </c>
      <c r="H1214" s="4" t="s">
        <v>2014</v>
      </c>
      <c r="J1214" t="s">
        <v>1048</v>
      </c>
    </row>
    <row r="1215" spans="1:10" x14ac:dyDescent="0.3">
      <c r="A1215" t="s">
        <v>2011</v>
      </c>
      <c r="B1215" t="s">
        <v>2016</v>
      </c>
      <c r="D1215" s="6">
        <v>1000</v>
      </c>
      <c r="G1215" s="7">
        <v>9.65</v>
      </c>
      <c r="H1215" s="4" t="s">
        <v>2014</v>
      </c>
      <c r="J1215" t="s">
        <v>1048</v>
      </c>
    </row>
    <row r="1216" spans="1:10" x14ac:dyDescent="0.3">
      <c r="A1216" t="s">
        <v>2017</v>
      </c>
      <c r="B1216" t="s">
        <v>2012</v>
      </c>
      <c r="C1216" t="s">
        <v>340</v>
      </c>
      <c r="D1216" s="9">
        <v>1000</v>
      </c>
      <c r="E1216" t="s">
        <v>45</v>
      </c>
      <c r="F1216" t="s">
        <v>45</v>
      </c>
      <c r="G1216">
        <v>9.8000000000000007</v>
      </c>
      <c r="H1216" t="s">
        <v>2018</v>
      </c>
      <c r="I1216" t="s">
        <v>2019</v>
      </c>
      <c r="J1216" t="s">
        <v>62</v>
      </c>
    </row>
    <row r="1217" spans="1:10" x14ac:dyDescent="0.3">
      <c r="A1217" t="s">
        <v>2017</v>
      </c>
      <c r="B1217" t="s">
        <v>2020</v>
      </c>
      <c r="D1217" s="6">
        <v>1000</v>
      </c>
      <c r="G1217" s="7">
        <v>9.8000000000000007</v>
      </c>
      <c r="H1217" s="4" t="s">
        <v>2018</v>
      </c>
      <c r="J1217" t="s">
        <v>62</v>
      </c>
    </row>
    <row r="1218" spans="1:10" x14ac:dyDescent="0.3">
      <c r="A1218" t="s">
        <v>2017</v>
      </c>
      <c r="B1218" t="s">
        <v>2020</v>
      </c>
      <c r="D1218" s="6">
        <v>1000</v>
      </c>
      <c r="G1218" s="7">
        <v>9.8000000000000007</v>
      </c>
      <c r="H1218" s="4" t="s">
        <v>2018</v>
      </c>
      <c r="J1218" t="s">
        <v>62</v>
      </c>
    </row>
    <row r="1219" spans="1:10" x14ac:dyDescent="0.3">
      <c r="A1219" t="s">
        <v>2021</v>
      </c>
      <c r="B1219" t="s">
        <v>2012</v>
      </c>
      <c r="C1219" t="s">
        <v>384</v>
      </c>
      <c r="D1219" s="9">
        <v>1000</v>
      </c>
      <c r="E1219" t="s">
        <v>45</v>
      </c>
      <c r="F1219" t="s">
        <v>45</v>
      </c>
      <c r="G1219">
        <v>10</v>
      </c>
      <c r="H1219" t="s">
        <v>2014</v>
      </c>
      <c r="I1219" t="s">
        <v>2022</v>
      </c>
      <c r="J1219" t="s">
        <v>62</v>
      </c>
    </row>
    <row r="1220" spans="1:10" x14ac:dyDescent="0.3">
      <c r="A1220" t="s">
        <v>2021</v>
      </c>
      <c r="B1220" t="s">
        <v>2023</v>
      </c>
      <c r="D1220" s="6">
        <v>1000</v>
      </c>
      <c r="G1220" s="7">
        <v>10</v>
      </c>
      <c r="H1220" s="4" t="s">
        <v>2014</v>
      </c>
      <c r="J1220" t="s">
        <v>62</v>
      </c>
    </row>
    <row r="1221" spans="1:10" x14ac:dyDescent="0.3">
      <c r="A1221" t="s">
        <v>2021</v>
      </c>
      <c r="B1221" t="s">
        <v>2023</v>
      </c>
      <c r="D1221" s="6">
        <v>1000</v>
      </c>
      <c r="G1221" s="7">
        <v>10</v>
      </c>
      <c r="H1221" s="4" t="s">
        <v>2014</v>
      </c>
      <c r="J1221" t="s">
        <v>62</v>
      </c>
    </row>
    <row r="1222" spans="1:10" x14ac:dyDescent="0.3">
      <c r="A1222" t="s">
        <v>2024</v>
      </c>
      <c r="B1222" t="s">
        <v>2012</v>
      </c>
      <c r="C1222" t="s">
        <v>275</v>
      </c>
      <c r="D1222" s="9">
        <v>1000</v>
      </c>
      <c r="E1222" t="s">
        <v>45</v>
      </c>
      <c r="F1222" t="s">
        <v>45</v>
      </c>
      <c r="G1222">
        <v>9.4499999999999993</v>
      </c>
      <c r="H1222" t="s">
        <v>2018</v>
      </c>
      <c r="I1222" t="s">
        <v>2025</v>
      </c>
      <c r="J1222" t="s">
        <v>1048</v>
      </c>
    </row>
    <row r="1223" spans="1:10" x14ac:dyDescent="0.3">
      <c r="A1223" t="s">
        <v>2024</v>
      </c>
      <c r="B1223" t="s">
        <v>2026</v>
      </c>
      <c r="D1223" s="6">
        <v>1000</v>
      </c>
      <c r="G1223" s="7">
        <v>9.4499999999999993</v>
      </c>
      <c r="H1223" s="4" t="s">
        <v>2018</v>
      </c>
      <c r="J1223" t="s">
        <v>1048</v>
      </c>
    </row>
    <row r="1224" spans="1:10" x14ac:dyDescent="0.3">
      <c r="A1224" t="s">
        <v>2024</v>
      </c>
      <c r="B1224" t="s">
        <v>2026</v>
      </c>
      <c r="D1224" s="6">
        <v>1000</v>
      </c>
      <c r="G1224" s="7">
        <v>9.4499999999999993</v>
      </c>
      <c r="H1224" s="4" t="s">
        <v>2018</v>
      </c>
      <c r="J1224" t="s">
        <v>1048</v>
      </c>
    </row>
    <row r="1225" spans="1:10" x14ac:dyDescent="0.3">
      <c r="A1225" t="s">
        <v>2027</v>
      </c>
      <c r="B1225" t="s">
        <v>2028</v>
      </c>
      <c r="D1225" s="6">
        <v>1000</v>
      </c>
      <c r="G1225" s="7">
        <v>9.5500000000000007</v>
      </c>
      <c r="H1225" s="4" t="s">
        <v>2029</v>
      </c>
      <c r="J1225" t="s">
        <v>1048</v>
      </c>
    </row>
    <row r="1226" spans="1:10" x14ac:dyDescent="0.3">
      <c r="A1226" t="s">
        <v>2030</v>
      </c>
      <c r="B1226" t="s">
        <v>2031</v>
      </c>
      <c r="D1226" s="6">
        <v>1000</v>
      </c>
      <c r="G1226" s="7">
        <v>9.48</v>
      </c>
      <c r="H1226" s="4" t="s">
        <v>2032</v>
      </c>
      <c r="J1226" t="s">
        <v>59</v>
      </c>
    </row>
    <row r="1227" spans="1:10" x14ac:dyDescent="0.3">
      <c r="A1227" t="s">
        <v>2033</v>
      </c>
      <c r="B1227" t="s">
        <v>2034</v>
      </c>
      <c r="D1227" s="6">
        <v>1000</v>
      </c>
      <c r="G1227" s="7">
        <v>9.66</v>
      </c>
      <c r="H1227" s="4" t="s">
        <v>2029</v>
      </c>
      <c r="J1227" t="s">
        <v>59</v>
      </c>
    </row>
    <row r="1228" spans="1:10" x14ac:dyDescent="0.3">
      <c r="A1228" t="s">
        <v>2035</v>
      </c>
      <c r="B1228" t="s">
        <v>2036</v>
      </c>
      <c r="D1228" s="6">
        <v>1000</v>
      </c>
      <c r="G1228" s="7">
        <v>10.299999999999999</v>
      </c>
      <c r="H1228" s="4" t="s">
        <v>2037</v>
      </c>
      <c r="J1228" t="s">
        <v>101</v>
      </c>
    </row>
    <row r="1229" spans="1:10" x14ac:dyDescent="0.3">
      <c r="A1229" t="s">
        <v>2038</v>
      </c>
      <c r="B1229" t="s">
        <v>2039</v>
      </c>
      <c r="D1229" s="6">
        <v>1000</v>
      </c>
      <c r="G1229" s="7">
        <v>9.84</v>
      </c>
      <c r="H1229" s="4" t="s">
        <v>2037</v>
      </c>
      <c r="J1229" t="s">
        <v>59</v>
      </c>
    </row>
    <row r="1230" spans="1:10" x14ac:dyDescent="0.3">
      <c r="A1230" t="s">
        <v>2040</v>
      </c>
      <c r="B1230" t="s">
        <v>2041</v>
      </c>
      <c r="D1230" s="6">
        <v>1000</v>
      </c>
      <c r="G1230" s="7" t="s">
        <v>65</v>
      </c>
      <c r="H1230" s="4" t="s">
        <v>2042</v>
      </c>
      <c r="J1230" t="s">
        <v>49</v>
      </c>
    </row>
    <row r="1231" spans="1:10" x14ac:dyDescent="0.3">
      <c r="A1231" t="s">
        <v>2040</v>
      </c>
      <c r="B1231" t="s">
        <v>2041</v>
      </c>
      <c r="D1231" s="6">
        <v>1000</v>
      </c>
      <c r="G1231" s="7" t="s">
        <v>65</v>
      </c>
      <c r="H1231" s="4" t="s">
        <v>2042</v>
      </c>
      <c r="J1231" t="s">
        <v>49</v>
      </c>
    </row>
    <row r="1232" spans="1:10" x14ac:dyDescent="0.3">
      <c r="A1232" t="s">
        <v>2043</v>
      </c>
      <c r="B1232" t="s">
        <v>2044</v>
      </c>
      <c r="D1232" s="6">
        <v>1000</v>
      </c>
      <c r="G1232" s="7">
        <v>9.35</v>
      </c>
      <c r="H1232" s="4" t="s">
        <v>2045</v>
      </c>
      <c r="J1232" t="s">
        <v>101</v>
      </c>
    </row>
    <row r="1233" spans="1:10" x14ac:dyDescent="0.3">
      <c r="A1233" t="s">
        <v>2043</v>
      </c>
      <c r="B1233" t="s">
        <v>2044</v>
      </c>
      <c r="D1233" s="6">
        <v>1000</v>
      </c>
      <c r="G1233" s="7">
        <v>9.35</v>
      </c>
      <c r="H1233" s="4" t="s">
        <v>2045</v>
      </c>
      <c r="J1233" t="s">
        <v>101</v>
      </c>
    </row>
    <row r="1234" spans="1:10" x14ac:dyDescent="0.3">
      <c r="A1234" t="s">
        <v>2046</v>
      </c>
      <c r="B1234" t="s">
        <v>2047</v>
      </c>
      <c r="D1234" s="6">
        <v>1000</v>
      </c>
      <c r="G1234" s="7">
        <v>9.3000000000000007</v>
      </c>
      <c r="H1234" s="4" t="s">
        <v>2048</v>
      </c>
      <c r="J1234" t="s">
        <v>59</v>
      </c>
    </row>
    <row r="1235" spans="1:10" x14ac:dyDescent="0.3">
      <c r="A1235" t="s">
        <v>2046</v>
      </c>
      <c r="B1235" t="s">
        <v>2047</v>
      </c>
      <c r="D1235" s="6">
        <v>1000</v>
      </c>
      <c r="G1235" s="7">
        <v>9.3000000000000007</v>
      </c>
      <c r="H1235" s="4" t="s">
        <v>2048</v>
      </c>
      <c r="J1235" t="s">
        <v>59</v>
      </c>
    </row>
    <row r="1236" spans="1:10" x14ac:dyDescent="0.3">
      <c r="A1236" t="s">
        <v>2049</v>
      </c>
      <c r="B1236" t="s">
        <v>2050</v>
      </c>
      <c r="D1236" s="6">
        <v>1000</v>
      </c>
      <c r="G1236" s="7">
        <v>9.7000000000000011</v>
      </c>
      <c r="H1236" s="4" t="s">
        <v>2048</v>
      </c>
      <c r="J1236" t="s">
        <v>101</v>
      </c>
    </row>
    <row r="1237" spans="1:10" x14ac:dyDescent="0.3">
      <c r="A1237" t="s">
        <v>2049</v>
      </c>
      <c r="B1237" t="s">
        <v>2050</v>
      </c>
      <c r="D1237" s="6">
        <v>1000</v>
      </c>
      <c r="G1237" s="7">
        <v>9.7000000000000011</v>
      </c>
      <c r="H1237" s="4" t="s">
        <v>2048</v>
      </c>
      <c r="J1237" t="s">
        <v>101</v>
      </c>
    </row>
    <row r="1238" spans="1:10" x14ac:dyDescent="0.3">
      <c r="A1238" t="s">
        <v>2051</v>
      </c>
      <c r="B1238" t="s">
        <v>2052</v>
      </c>
      <c r="D1238" s="6">
        <v>1000</v>
      </c>
      <c r="G1238" s="7">
        <v>8.85</v>
      </c>
      <c r="H1238" s="4" t="s">
        <v>2053</v>
      </c>
      <c r="J1238" t="s">
        <v>101</v>
      </c>
    </row>
    <row r="1239" spans="1:10" x14ac:dyDescent="0.3">
      <c r="A1239" t="s">
        <v>2051</v>
      </c>
      <c r="B1239" t="s">
        <v>2052</v>
      </c>
      <c r="D1239" s="6">
        <v>1000</v>
      </c>
      <c r="G1239" s="7">
        <v>8.85</v>
      </c>
      <c r="H1239" s="4" t="s">
        <v>2053</v>
      </c>
      <c r="J1239" t="s">
        <v>101</v>
      </c>
    </row>
    <row r="1240" spans="1:10" x14ac:dyDescent="0.3">
      <c r="A1240" t="s">
        <v>2054</v>
      </c>
      <c r="B1240" t="s">
        <v>2055</v>
      </c>
      <c r="D1240" s="6">
        <v>1000</v>
      </c>
      <c r="G1240" s="7">
        <v>9.1</v>
      </c>
      <c r="H1240" s="4" t="s">
        <v>2042</v>
      </c>
      <c r="J1240" t="s">
        <v>101</v>
      </c>
    </row>
    <row r="1241" spans="1:10" x14ac:dyDescent="0.3">
      <c r="A1241" t="s">
        <v>2054</v>
      </c>
      <c r="B1241" t="s">
        <v>2055</v>
      </c>
      <c r="D1241" s="6">
        <v>1000</v>
      </c>
      <c r="G1241" s="7">
        <v>9.1</v>
      </c>
      <c r="H1241" s="4" t="s">
        <v>2042</v>
      </c>
      <c r="J1241" t="s">
        <v>101</v>
      </c>
    </row>
    <row r="1242" spans="1:10" x14ac:dyDescent="0.3">
      <c r="A1242" t="s">
        <v>2056</v>
      </c>
      <c r="B1242" t="s">
        <v>2057</v>
      </c>
      <c r="D1242" s="6">
        <v>1000</v>
      </c>
      <c r="G1242" s="7" t="s">
        <v>65</v>
      </c>
      <c r="H1242" s="4" t="s">
        <v>2053</v>
      </c>
      <c r="J1242" t="s">
        <v>49</v>
      </c>
    </row>
    <row r="1243" spans="1:10" x14ac:dyDescent="0.3">
      <c r="A1243" t="s">
        <v>2056</v>
      </c>
      <c r="B1243" t="s">
        <v>2057</v>
      </c>
      <c r="D1243" s="6">
        <v>1000</v>
      </c>
      <c r="G1243" s="7" t="s">
        <v>65</v>
      </c>
      <c r="H1243" s="4" t="s">
        <v>2053</v>
      </c>
      <c r="J1243" t="s">
        <v>49</v>
      </c>
    </row>
    <row r="1244" spans="1:10" x14ac:dyDescent="0.3">
      <c r="A1244" t="s">
        <v>2058</v>
      </c>
      <c r="B1244" t="s">
        <v>2059</v>
      </c>
      <c r="D1244" s="6">
        <v>1000</v>
      </c>
      <c r="G1244" s="7">
        <v>8.9700000000000006</v>
      </c>
      <c r="H1244" s="4" t="s">
        <v>2045</v>
      </c>
      <c r="J1244" t="s">
        <v>59</v>
      </c>
    </row>
    <row r="1245" spans="1:10" x14ac:dyDescent="0.3">
      <c r="A1245" t="s">
        <v>2058</v>
      </c>
      <c r="B1245" t="s">
        <v>2059</v>
      </c>
      <c r="D1245" s="6">
        <v>1000</v>
      </c>
      <c r="G1245" s="7">
        <v>8.9700000000000006</v>
      </c>
      <c r="H1245" s="4" t="s">
        <v>2045</v>
      </c>
      <c r="J1245" t="s">
        <v>59</v>
      </c>
    </row>
    <row r="1246" spans="1:10" x14ac:dyDescent="0.3">
      <c r="A1246" t="s">
        <v>2060</v>
      </c>
      <c r="B1246" t="s">
        <v>2061</v>
      </c>
      <c r="C1246" t="s">
        <v>51</v>
      </c>
      <c r="D1246" s="9">
        <v>1000</v>
      </c>
      <c r="E1246" t="s">
        <v>45</v>
      </c>
      <c r="F1246" t="s">
        <v>45</v>
      </c>
      <c r="G1246">
        <v>9.4</v>
      </c>
      <c r="H1246" t="s">
        <v>2062</v>
      </c>
      <c r="I1246" t="s">
        <v>2063</v>
      </c>
      <c r="J1246" t="s">
        <v>59</v>
      </c>
    </row>
    <row r="1247" spans="1:10" x14ac:dyDescent="0.3">
      <c r="A1247" t="s">
        <v>2064</v>
      </c>
      <c r="B1247" t="s">
        <v>2061</v>
      </c>
      <c r="C1247" t="s">
        <v>275</v>
      </c>
      <c r="D1247" s="9">
        <v>1000</v>
      </c>
      <c r="E1247" t="s">
        <v>2065</v>
      </c>
      <c r="F1247" t="s">
        <v>1837</v>
      </c>
      <c r="G1247">
        <v>9.75</v>
      </c>
      <c r="H1247" t="s">
        <v>2062</v>
      </c>
      <c r="I1247" t="s">
        <v>2066</v>
      </c>
      <c r="J1247" t="s">
        <v>62</v>
      </c>
    </row>
    <row r="1248" spans="1:10" x14ac:dyDescent="0.3">
      <c r="A1248" t="s">
        <v>2067</v>
      </c>
      <c r="B1248" t="s">
        <v>2061</v>
      </c>
      <c r="C1248" t="s">
        <v>340</v>
      </c>
      <c r="D1248" s="9">
        <v>1000</v>
      </c>
      <c r="E1248" t="s">
        <v>45</v>
      </c>
      <c r="F1248" t="s">
        <v>45</v>
      </c>
      <c r="G1248">
        <v>10.25</v>
      </c>
      <c r="H1248" t="s">
        <v>2068</v>
      </c>
      <c r="I1248" t="s">
        <v>2069</v>
      </c>
      <c r="J1248" t="s">
        <v>59</v>
      </c>
    </row>
    <row r="1249" spans="1:10" x14ac:dyDescent="0.3">
      <c r="A1249" t="s">
        <v>2067</v>
      </c>
      <c r="B1249" t="s">
        <v>2070</v>
      </c>
      <c r="D1249" s="6">
        <v>1000</v>
      </c>
      <c r="G1249" s="7">
        <v>10.25</v>
      </c>
      <c r="H1249" s="4" t="s">
        <v>2068</v>
      </c>
      <c r="J1249" t="s">
        <v>59</v>
      </c>
    </row>
    <row r="1250" spans="1:10" x14ac:dyDescent="0.3">
      <c r="A1250" t="s">
        <v>2067</v>
      </c>
      <c r="B1250" t="s">
        <v>2070</v>
      </c>
      <c r="D1250" s="6">
        <v>1000</v>
      </c>
      <c r="G1250" s="7">
        <v>10.25</v>
      </c>
      <c r="H1250" s="4" t="s">
        <v>2068</v>
      </c>
      <c r="J1250" t="s">
        <v>59</v>
      </c>
    </row>
    <row r="1251" spans="1:10" x14ac:dyDescent="0.3">
      <c r="A1251" t="s">
        <v>2071</v>
      </c>
      <c r="B1251" t="s">
        <v>2061</v>
      </c>
      <c r="C1251" t="s">
        <v>384</v>
      </c>
      <c r="D1251" s="9">
        <v>1000</v>
      </c>
      <c r="E1251" t="s">
        <v>2072</v>
      </c>
      <c r="F1251" t="s">
        <v>2073</v>
      </c>
      <c r="G1251">
        <v>10.5</v>
      </c>
      <c r="H1251" t="s">
        <v>2074</v>
      </c>
      <c r="I1251" t="s">
        <v>2075</v>
      </c>
      <c r="J1251" t="s">
        <v>59</v>
      </c>
    </row>
    <row r="1252" spans="1:10" x14ac:dyDescent="0.3">
      <c r="A1252" t="s">
        <v>2071</v>
      </c>
      <c r="B1252" t="s">
        <v>2076</v>
      </c>
      <c r="D1252" s="6">
        <v>1000</v>
      </c>
      <c r="G1252" s="7">
        <v>10.5</v>
      </c>
      <c r="H1252" s="4" t="s">
        <v>2074</v>
      </c>
      <c r="J1252" t="s">
        <v>59</v>
      </c>
    </row>
    <row r="1253" spans="1:10" x14ac:dyDescent="0.3">
      <c r="A1253" t="s">
        <v>2071</v>
      </c>
      <c r="B1253" t="s">
        <v>2076</v>
      </c>
      <c r="D1253" s="6">
        <v>1000</v>
      </c>
      <c r="G1253" s="7">
        <v>10.5</v>
      </c>
      <c r="H1253" s="4" t="s">
        <v>2074</v>
      </c>
      <c r="J1253" t="s">
        <v>59</v>
      </c>
    </row>
    <row r="1254" spans="1:10" x14ac:dyDescent="0.3">
      <c r="A1254" t="s">
        <v>2077</v>
      </c>
      <c r="B1254" t="s">
        <v>2061</v>
      </c>
      <c r="C1254" t="s">
        <v>281</v>
      </c>
      <c r="D1254" s="9">
        <v>1000</v>
      </c>
      <c r="E1254" t="s">
        <v>45</v>
      </c>
      <c r="F1254" t="s">
        <v>45</v>
      </c>
      <c r="G1254">
        <v>10.75</v>
      </c>
      <c r="H1254" t="s">
        <v>2068</v>
      </c>
      <c r="I1254" t="s">
        <v>2078</v>
      </c>
      <c r="J1254" t="s">
        <v>62</v>
      </c>
    </row>
    <row r="1255" spans="1:10" x14ac:dyDescent="0.3">
      <c r="A1255" t="s">
        <v>2077</v>
      </c>
      <c r="B1255" t="s">
        <v>2079</v>
      </c>
      <c r="D1255" s="6">
        <v>1000</v>
      </c>
      <c r="G1255" s="7">
        <v>10.75</v>
      </c>
      <c r="H1255" s="4" t="s">
        <v>2068</v>
      </c>
      <c r="J1255" t="s">
        <v>62</v>
      </c>
    </row>
    <row r="1256" spans="1:10" x14ac:dyDescent="0.3">
      <c r="A1256" t="s">
        <v>2077</v>
      </c>
      <c r="B1256" t="s">
        <v>2079</v>
      </c>
      <c r="D1256" s="6">
        <v>1000</v>
      </c>
      <c r="G1256" s="7">
        <v>10.75</v>
      </c>
      <c r="H1256" s="4" t="s">
        <v>2068</v>
      </c>
      <c r="J1256" t="s">
        <v>62</v>
      </c>
    </row>
    <row r="1257" spans="1:10" x14ac:dyDescent="0.3">
      <c r="A1257" t="s">
        <v>2080</v>
      </c>
      <c r="B1257" t="s">
        <v>2061</v>
      </c>
      <c r="C1257" t="s">
        <v>415</v>
      </c>
      <c r="D1257" s="9">
        <v>1000</v>
      </c>
      <c r="E1257" t="s">
        <v>2081</v>
      </c>
      <c r="F1257" t="s">
        <v>651</v>
      </c>
      <c r="G1257">
        <v>11.02</v>
      </c>
      <c r="H1257" t="s">
        <v>2074</v>
      </c>
      <c r="I1257" t="s">
        <v>2082</v>
      </c>
      <c r="J1257" t="s">
        <v>62</v>
      </c>
    </row>
    <row r="1258" spans="1:10" x14ac:dyDescent="0.3">
      <c r="A1258" t="s">
        <v>2080</v>
      </c>
      <c r="B1258" t="s">
        <v>2083</v>
      </c>
      <c r="D1258" s="6">
        <v>1000</v>
      </c>
      <c r="G1258" s="7">
        <v>11.020000000000001</v>
      </c>
      <c r="H1258" s="4" t="s">
        <v>2074</v>
      </c>
      <c r="J1258" t="s">
        <v>62</v>
      </c>
    </row>
    <row r="1259" spans="1:10" x14ac:dyDescent="0.3">
      <c r="A1259" t="s">
        <v>2080</v>
      </c>
      <c r="B1259" t="s">
        <v>2083</v>
      </c>
      <c r="D1259" s="6">
        <v>1000</v>
      </c>
      <c r="G1259" s="7">
        <v>11.020000000000001</v>
      </c>
      <c r="H1259" s="4" t="s">
        <v>2074</v>
      </c>
      <c r="J1259" t="s">
        <v>62</v>
      </c>
    </row>
    <row r="1260" spans="1:10" x14ac:dyDescent="0.3">
      <c r="A1260" t="s">
        <v>2084</v>
      </c>
      <c r="B1260" t="s">
        <v>2061</v>
      </c>
      <c r="C1260" t="s">
        <v>44</v>
      </c>
      <c r="D1260" s="9">
        <v>1000</v>
      </c>
      <c r="E1260" t="s">
        <v>45</v>
      </c>
      <c r="F1260" t="s">
        <v>45</v>
      </c>
      <c r="G1260">
        <v>9.75</v>
      </c>
      <c r="H1260" t="s">
        <v>2085</v>
      </c>
      <c r="I1260" t="s">
        <v>2086</v>
      </c>
      <c r="J1260" t="s">
        <v>59</v>
      </c>
    </row>
    <row r="1261" spans="1:10" x14ac:dyDescent="0.3">
      <c r="A1261" t="s">
        <v>2084</v>
      </c>
      <c r="B1261" t="s">
        <v>2087</v>
      </c>
      <c r="D1261" s="6">
        <v>1000</v>
      </c>
      <c r="G1261" s="7">
        <v>9.75</v>
      </c>
      <c r="H1261" s="4" t="s">
        <v>2085</v>
      </c>
      <c r="J1261" t="s">
        <v>59</v>
      </c>
    </row>
    <row r="1262" spans="1:10" x14ac:dyDescent="0.3">
      <c r="A1262" t="s">
        <v>2084</v>
      </c>
      <c r="B1262" t="s">
        <v>2087</v>
      </c>
      <c r="D1262" s="6">
        <v>1000</v>
      </c>
      <c r="G1262" s="7">
        <v>9.75</v>
      </c>
      <c r="H1262" s="4" t="s">
        <v>2085</v>
      </c>
      <c r="J1262" t="s">
        <v>59</v>
      </c>
    </row>
    <row r="1263" spans="1:10" x14ac:dyDescent="0.3">
      <c r="A1263" t="s">
        <v>2088</v>
      </c>
      <c r="B1263" t="s">
        <v>2061</v>
      </c>
      <c r="C1263" t="s">
        <v>292</v>
      </c>
      <c r="D1263" s="9">
        <v>1000</v>
      </c>
      <c r="E1263" t="s">
        <v>1165</v>
      </c>
      <c r="F1263" t="s">
        <v>2089</v>
      </c>
      <c r="G1263">
        <v>10.4</v>
      </c>
      <c r="H1263" t="s">
        <v>2090</v>
      </c>
      <c r="I1263" t="s">
        <v>2091</v>
      </c>
      <c r="J1263" t="s">
        <v>59</v>
      </c>
    </row>
    <row r="1264" spans="1:10" x14ac:dyDescent="0.3">
      <c r="A1264" t="s">
        <v>2088</v>
      </c>
      <c r="B1264" t="s">
        <v>2092</v>
      </c>
      <c r="D1264" s="6">
        <v>1000</v>
      </c>
      <c r="G1264" s="7">
        <v>10.4</v>
      </c>
      <c r="H1264" s="4" t="s">
        <v>2090</v>
      </c>
      <c r="J1264" t="s">
        <v>59</v>
      </c>
    </row>
    <row r="1265" spans="1:10" x14ac:dyDescent="0.3">
      <c r="A1265" t="s">
        <v>2088</v>
      </c>
      <c r="B1265" t="s">
        <v>2092</v>
      </c>
      <c r="D1265" s="6">
        <v>1000</v>
      </c>
      <c r="G1265" s="7">
        <v>10.4</v>
      </c>
      <c r="H1265" s="4" t="s">
        <v>2090</v>
      </c>
      <c r="J1265" t="s">
        <v>59</v>
      </c>
    </row>
    <row r="1266" spans="1:10" x14ac:dyDescent="0.3">
      <c r="A1266" t="s">
        <v>2093</v>
      </c>
      <c r="B1266" t="s">
        <v>2061</v>
      </c>
      <c r="C1266" t="s">
        <v>302</v>
      </c>
      <c r="D1266" s="9">
        <v>1000</v>
      </c>
      <c r="E1266" t="s">
        <v>2094</v>
      </c>
      <c r="F1266" t="s">
        <v>396</v>
      </c>
      <c r="G1266">
        <v>11.19</v>
      </c>
      <c r="H1266" t="s">
        <v>2095</v>
      </c>
      <c r="I1266" t="s">
        <v>2096</v>
      </c>
      <c r="J1266" t="s">
        <v>62</v>
      </c>
    </row>
    <row r="1267" spans="1:10" x14ac:dyDescent="0.3">
      <c r="A1267" t="s">
        <v>2093</v>
      </c>
      <c r="B1267" t="s">
        <v>2097</v>
      </c>
      <c r="D1267" s="6">
        <v>1000</v>
      </c>
      <c r="G1267" s="7">
        <v>11.19</v>
      </c>
      <c r="H1267" s="4" t="s">
        <v>2095</v>
      </c>
      <c r="J1267" t="s">
        <v>62</v>
      </c>
    </row>
    <row r="1268" spans="1:10" x14ac:dyDescent="0.3">
      <c r="A1268" t="s">
        <v>2093</v>
      </c>
      <c r="B1268" t="s">
        <v>2097</v>
      </c>
      <c r="D1268" s="6">
        <v>1000</v>
      </c>
      <c r="G1268" s="7">
        <v>11.19</v>
      </c>
      <c r="H1268" s="4" t="s">
        <v>2095</v>
      </c>
      <c r="J1268" t="s">
        <v>62</v>
      </c>
    </row>
    <row r="1269" spans="1:10" x14ac:dyDescent="0.3">
      <c r="A1269" t="s">
        <v>2098</v>
      </c>
      <c r="B1269" t="s">
        <v>2061</v>
      </c>
      <c r="C1269" t="s">
        <v>389</v>
      </c>
      <c r="D1269" s="9">
        <v>1000</v>
      </c>
      <c r="E1269" t="s">
        <v>45</v>
      </c>
      <c r="F1269" t="s">
        <v>45</v>
      </c>
      <c r="G1269">
        <v>10.9</v>
      </c>
      <c r="H1269" t="s">
        <v>2090</v>
      </c>
      <c r="I1269" t="s">
        <v>2099</v>
      </c>
      <c r="J1269" t="s">
        <v>62</v>
      </c>
    </row>
    <row r="1270" spans="1:10" x14ac:dyDescent="0.3">
      <c r="A1270" t="s">
        <v>2098</v>
      </c>
      <c r="B1270" t="s">
        <v>2100</v>
      </c>
      <c r="D1270" s="6">
        <v>1000</v>
      </c>
      <c r="G1270" s="7">
        <v>10.9</v>
      </c>
      <c r="H1270" s="4" t="s">
        <v>2090</v>
      </c>
      <c r="J1270" t="s">
        <v>62</v>
      </c>
    </row>
    <row r="1271" spans="1:10" x14ac:dyDescent="0.3">
      <c r="A1271" t="s">
        <v>2098</v>
      </c>
      <c r="B1271" t="s">
        <v>2100</v>
      </c>
      <c r="D1271" s="6">
        <v>1000</v>
      </c>
      <c r="G1271" s="7">
        <v>10.9</v>
      </c>
      <c r="H1271" s="4" t="s">
        <v>2090</v>
      </c>
      <c r="J1271" t="s">
        <v>62</v>
      </c>
    </row>
    <row r="1272" spans="1:10" x14ac:dyDescent="0.3">
      <c r="A1272" t="s">
        <v>2101</v>
      </c>
      <c r="B1272" t="s">
        <v>2061</v>
      </c>
      <c r="C1272" t="s">
        <v>297</v>
      </c>
      <c r="D1272" s="9">
        <v>1000</v>
      </c>
      <c r="E1272" t="s">
        <v>2102</v>
      </c>
      <c r="F1272" t="s">
        <v>283</v>
      </c>
      <c r="G1272">
        <v>10.65</v>
      </c>
      <c r="H1272" t="s">
        <v>2095</v>
      </c>
      <c r="I1272" t="s">
        <v>2103</v>
      </c>
      <c r="J1272" t="s">
        <v>59</v>
      </c>
    </row>
    <row r="1273" spans="1:10" x14ac:dyDescent="0.3">
      <c r="A1273" t="s">
        <v>2101</v>
      </c>
      <c r="B1273" t="s">
        <v>2104</v>
      </c>
      <c r="D1273" s="6">
        <v>1000</v>
      </c>
      <c r="G1273" s="7">
        <v>10.65</v>
      </c>
      <c r="H1273" s="4" t="s">
        <v>2095</v>
      </c>
      <c r="J1273" t="s">
        <v>59</v>
      </c>
    </row>
    <row r="1274" spans="1:10" x14ac:dyDescent="0.3">
      <c r="A1274" t="s">
        <v>2101</v>
      </c>
      <c r="B1274" t="s">
        <v>2104</v>
      </c>
      <c r="D1274" s="6">
        <v>1000</v>
      </c>
      <c r="G1274" s="7">
        <v>10.65</v>
      </c>
      <c r="H1274" s="4" t="s">
        <v>2095</v>
      </c>
      <c r="J1274" t="s">
        <v>59</v>
      </c>
    </row>
    <row r="1275" spans="1:10" x14ac:dyDescent="0.3">
      <c r="A1275" t="s">
        <v>2105</v>
      </c>
      <c r="B1275" t="s">
        <v>2061</v>
      </c>
      <c r="C1275" t="s">
        <v>288</v>
      </c>
      <c r="D1275" s="9">
        <v>1000</v>
      </c>
      <c r="E1275" t="s">
        <v>1165</v>
      </c>
      <c r="F1275" t="s">
        <v>2106</v>
      </c>
      <c r="G1275">
        <v>10</v>
      </c>
      <c r="H1275" t="s">
        <v>2107</v>
      </c>
      <c r="I1275" t="s">
        <v>2108</v>
      </c>
      <c r="J1275" t="s">
        <v>59</v>
      </c>
    </row>
    <row r="1276" spans="1:10" x14ac:dyDescent="0.3">
      <c r="A1276" t="s">
        <v>2105</v>
      </c>
      <c r="B1276" t="s">
        <v>2109</v>
      </c>
      <c r="D1276" s="6">
        <v>1000</v>
      </c>
      <c r="G1276" s="7">
        <v>10</v>
      </c>
      <c r="H1276" s="4" t="s">
        <v>2107</v>
      </c>
      <c r="J1276" t="s">
        <v>59</v>
      </c>
    </row>
    <row r="1277" spans="1:10" x14ac:dyDescent="0.3">
      <c r="A1277" t="s">
        <v>2105</v>
      </c>
      <c r="B1277" t="s">
        <v>2109</v>
      </c>
      <c r="D1277" s="6">
        <v>1000</v>
      </c>
      <c r="G1277" s="7">
        <v>10</v>
      </c>
      <c r="H1277" s="4" t="s">
        <v>2107</v>
      </c>
      <c r="J1277" t="s">
        <v>59</v>
      </c>
    </row>
    <row r="1278" spans="1:10" x14ac:dyDescent="0.3">
      <c r="A1278" t="s">
        <v>2110</v>
      </c>
      <c r="B1278" t="s">
        <v>2111</v>
      </c>
      <c r="D1278" s="6">
        <v>1000</v>
      </c>
      <c r="G1278" s="7">
        <v>10.25</v>
      </c>
      <c r="H1278" s="4" t="s">
        <v>534</v>
      </c>
      <c r="J1278" t="s">
        <v>59</v>
      </c>
    </row>
    <row r="1279" spans="1:10" x14ac:dyDescent="0.3">
      <c r="A1279" t="s">
        <v>2112</v>
      </c>
      <c r="B1279" t="s">
        <v>2113</v>
      </c>
      <c r="D1279" s="6">
        <v>1000</v>
      </c>
      <c r="G1279" s="7">
        <v>10.65</v>
      </c>
      <c r="H1279" s="4" t="s">
        <v>534</v>
      </c>
      <c r="J1279" t="s">
        <v>62</v>
      </c>
    </row>
    <row r="1280" spans="1:10" x14ac:dyDescent="0.3">
      <c r="A1280" t="s">
        <v>2114</v>
      </c>
      <c r="B1280" t="s">
        <v>2115</v>
      </c>
      <c r="D1280" s="6">
        <v>1000</v>
      </c>
      <c r="G1280" s="7" t="s">
        <v>65</v>
      </c>
      <c r="H1280" s="4" t="s">
        <v>534</v>
      </c>
      <c r="J1280" t="s">
        <v>49</v>
      </c>
    </row>
    <row r="1281" spans="1:10" x14ac:dyDescent="0.3">
      <c r="A1281" t="s">
        <v>2116</v>
      </c>
      <c r="B1281" t="s">
        <v>2117</v>
      </c>
      <c r="D1281" s="6">
        <v>1000</v>
      </c>
      <c r="G1281" s="7" t="s">
        <v>65</v>
      </c>
      <c r="H1281" s="4" t="s">
        <v>2118</v>
      </c>
      <c r="J1281" t="s">
        <v>49</v>
      </c>
    </row>
    <row r="1282" spans="1:10" x14ac:dyDescent="0.3">
      <c r="A1282" t="s">
        <v>2119</v>
      </c>
      <c r="B1282" t="s">
        <v>2120</v>
      </c>
      <c r="D1282" s="6">
        <v>1000</v>
      </c>
      <c r="G1282" s="7" t="s">
        <v>65</v>
      </c>
      <c r="H1282" s="4" t="s">
        <v>2121</v>
      </c>
      <c r="J1282" t="s">
        <v>49</v>
      </c>
    </row>
    <row r="1283" spans="1:10" x14ac:dyDescent="0.3">
      <c r="A1283" t="s">
        <v>2122</v>
      </c>
      <c r="B1283" t="s">
        <v>2123</v>
      </c>
      <c r="D1283" s="6">
        <v>1000</v>
      </c>
      <c r="G1283" s="7" t="s">
        <v>65</v>
      </c>
      <c r="H1283" s="4" t="s">
        <v>2124</v>
      </c>
      <c r="J1283" t="s">
        <v>49</v>
      </c>
    </row>
    <row r="1284" spans="1:10" x14ac:dyDescent="0.3">
      <c r="A1284" t="s">
        <v>2125</v>
      </c>
      <c r="B1284" t="s">
        <v>2126</v>
      </c>
      <c r="D1284" s="6">
        <v>1000</v>
      </c>
      <c r="G1284" s="7" t="s">
        <v>65</v>
      </c>
      <c r="H1284" s="4" t="s">
        <v>971</v>
      </c>
      <c r="J1284" t="s">
        <v>49</v>
      </c>
    </row>
    <row r="1285" spans="1:10" x14ac:dyDescent="0.3">
      <c r="A1285" t="s">
        <v>2127</v>
      </c>
      <c r="B1285" t="s">
        <v>2128</v>
      </c>
      <c r="D1285" s="6">
        <v>1000</v>
      </c>
      <c r="G1285" s="7">
        <v>10.25</v>
      </c>
      <c r="H1285" s="4" t="s">
        <v>2129</v>
      </c>
      <c r="J1285" t="s">
        <v>59</v>
      </c>
    </row>
    <row r="1286" spans="1:10" x14ac:dyDescent="0.3">
      <c r="A1286" t="s">
        <v>2130</v>
      </c>
      <c r="B1286" t="s">
        <v>2131</v>
      </c>
      <c r="D1286" s="6">
        <v>1000</v>
      </c>
      <c r="G1286" s="7" t="s">
        <v>65</v>
      </c>
      <c r="H1286" s="4" t="s">
        <v>2129</v>
      </c>
      <c r="J1286" t="s">
        <v>49</v>
      </c>
    </row>
    <row r="1287" spans="1:10" x14ac:dyDescent="0.3">
      <c r="A1287" t="s">
        <v>2132</v>
      </c>
      <c r="B1287" t="s">
        <v>2133</v>
      </c>
      <c r="D1287" s="6">
        <v>1000</v>
      </c>
      <c r="G1287" s="7" t="s">
        <v>65</v>
      </c>
      <c r="H1287" s="4" t="s">
        <v>2134</v>
      </c>
      <c r="J1287" t="s">
        <v>49</v>
      </c>
    </row>
    <row r="1288" spans="1:10" x14ac:dyDescent="0.3">
      <c r="A1288" t="s">
        <v>2135</v>
      </c>
      <c r="B1288" t="s">
        <v>2136</v>
      </c>
      <c r="D1288" s="6">
        <v>1000</v>
      </c>
      <c r="G1288" s="7" t="s">
        <v>65</v>
      </c>
      <c r="H1288" s="4" t="s">
        <v>2137</v>
      </c>
      <c r="J1288" t="s">
        <v>49</v>
      </c>
    </row>
    <row r="1289" spans="1:10" x14ac:dyDescent="0.3">
      <c r="A1289" t="s">
        <v>2138</v>
      </c>
      <c r="B1289" t="s">
        <v>2139</v>
      </c>
      <c r="D1289" s="6">
        <v>1000</v>
      </c>
      <c r="G1289" s="7">
        <v>10.25</v>
      </c>
      <c r="H1289" s="4" t="s">
        <v>2140</v>
      </c>
      <c r="J1289" t="s">
        <v>59</v>
      </c>
    </row>
    <row r="1290" spans="1:10" x14ac:dyDescent="0.3">
      <c r="A1290" t="s">
        <v>2141</v>
      </c>
      <c r="B1290" t="s">
        <v>2142</v>
      </c>
      <c r="D1290" s="6">
        <v>1000</v>
      </c>
      <c r="G1290" s="7" t="s">
        <v>65</v>
      </c>
      <c r="H1290" s="4" t="s">
        <v>2140</v>
      </c>
      <c r="J1290" t="s">
        <v>49</v>
      </c>
    </row>
    <row r="1291" spans="1:10" x14ac:dyDescent="0.3">
      <c r="A1291" t="s">
        <v>2143</v>
      </c>
      <c r="B1291" t="s">
        <v>2144</v>
      </c>
      <c r="D1291" s="6">
        <v>1000</v>
      </c>
      <c r="G1291" s="7" t="s">
        <v>65</v>
      </c>
      <c r="H1291" s="4" t="s">
        <v>2145</v>
      </c>
      <c r="J1291" t="s">
        <v>49</v>
      </c>
    </row>
    <row r="1292" spans="1:10" x14ac:dyDescent="0.3">
      <c r="A1292" t="s">
        <v>2146</v>
      </c>
      <c r="B1292" t="s">
        <v>2147</v>
      </c>
      <c r="D1292" s="6">
        <v>1000</v>
      </c>
      <c r="G1292" s="7" t="s">
        <v>65</v>
      </c>
      <c r="H1292" s="4" t="s">
        <v>2148</v>
      </c>
      <c r="J1292" t="s">
        <v>49</v>
      </c>
    </row>
    <row r="1293" spans="1:10" x14ac:dyDescent="0.3">
      <c r="A1293" t="s">
        <v>2149</v>
      </c>
      <c r="B1293" t="s">
        <v>2150</v>
      </c>
      <c r="D1293" s="6">
        <v>1000</v>
      </c>
      <c r="G1293" s="7">
        <v>10</v>
      </c>
      <c r="H1293" s="4" t="s">
        <v>2151</v>
      </c>
      <c r="J1293" t="s">
        <v>59</v>
      </c>
    </row>
    <row r="1294" spans="1:10" x14ac:dyDescent="0.3">
      <c r="A1294" t="s">
        <v>2152</v>
      </c>
      <c r="B1294" t="s">
        <v>2153</v>
      </c>
      <c r="D1294" s="6">
        <v>1000</v>
      </c>
      <c r="G1294" s="7" t="s">
        <v>65</v>
      </c>
      <c r="H1294" s="4" t="s">
        <v>1184</v>
      </c>
      <c r="J1294" t="s">
        <v>49</v>
      </c>
    </row>
    <row r="1295" spans="1:10" x14ac:dyDescent="0.3">
      <c r="A1295" t="s">
        <v>2154</v>
      </c>
      <c r="B1295" t="s">
        <v>2155</v>
      </c>
      <c r="D1295" s="6">
        <v>1000</v>
      </c>
      <c r="G1295" s="7" t="s">
        <v>65</v>
      </c>
      <c r="H1295" s="4" t="s">
        <v>2156</v>
      </c>
      <c r="J1295" t="s">
        <v>49</v>
      </c>
    </row>
    <row r="1296" spans="1:10" x14ac:dyDescent="0.3">
      <c r="A1296" t="s">
        <v>2157</v>
      </c>
      <c r="B1296" t="s">
        <v>2158</v>
      </c>
      <c r="D1296" s="6">
        <v>1000</v>
      </c>
      <c r="G1296" s="7" t="s">
        <v>65</v>
      </c>
      <c r="H1296" s="4" t="s">
        <v>2159</v>
      </c>
      <c r="J1296" t="s">
        <v>49</v>
      </c>
    </row>
    <row r="1297" spans="1:10" x14ac:dyDescent="0.3">
      <c r="A1297" t="s">
        <v>2160</v>
      </c>
      <c r="B1297" t="s">
        <v>2161</v>
      </c>
      <c r="D1297" s="6">
        <v>1000</v>
      </c>
      <c r="G1297" s="7">
        <v>10</v>
      </c>
      <c r="H1297" s="4" t="s">
        <v>2162</v>
      </c>
      <c r="J1297" t="s">
        <v>59</v>
      </c>
    </row>
    <row r="1298" spans="1:10" x14ac:dyDescent="0.3">
      <c r="A1298" t="s">
        <v>2163</v>
      </c>
      <c r="B1298" t="s">
        <v>2164</v>
      </c>
      <c r="D1298" s="6">
        <v>1000</v>
      </c>
      <c r="G1298" s="7">
        <v>9</v>
      </c>
      <c r="H1298" s="4" t="s">
        <v>2165</v>
      </c>
      <c r="J1298" t="s">
        <v>59</v>
      </c>
    </row>
    <row r="1299" spans="1:10" x14ac:dyDescent="0.3">
      <c r="A1299" t="s">
        <v>2166</v>
      </c>
      <c r="B1299" t="s">
        <v>2167</v>
      </c>
      <c r="D1299" s="6">
        <v>1000</v>
      </c>
      <c r="G1299" s="7">
        <v>8.75</v>
      </c>
      <c r="H1299" s="4" t="s">
        <v>2168</v>
      </c>
      <c r="J1299" t="s">
        <v>59</v>
      </c>
    </row>
    <row r="1300" spans="1:10" x14ac:dyDescent="0.3">
      <c r="A1300" t="s">
        <v>2169</v>
      </c>
      <c r="B1300" t="s">
        <v>2170</v>
      </c>
      <c r="D1300" s="6">
        <v>1000</v>
      </c>
      <c r="G1300" s="7" t="s">
        <v>65</v>
      </c>
      <c r="H1300" s="4" t="s">
        <v>2168</v>
      </c>
      <c r="J1300" t="s">
        <v>49</v>
      </c>
    </row>
    <row r="1301" spans="1:10" x14ac:dyDescent="0.3">
      <c r="A1301" t="s">
        <v>2171</v>
      </c>
      <c r="B1301" t="s">
        <v>2172</v>
      </c>
      <c r="D1301" s="6">
        <v>1000</v>
      </c>
      <c r="G1301" s="7">
        <v>9.25</v>
      </c>
      <c r="H1301" s="4" t="s">
        <v>185</v>
      </c>
      <c r="J1301" t="s">
        <v>59</v>
      </c>
    </row>
    <row r="1302" spans="1:10" x14ac:dyDescent="0.3">
      <c r="A1302" t="s">
        <v>2173</v>
      </c>
      <c r="B1302" t="s">
        <v>2174</v>
      </c>
      <c r="D1302" s="6">
        <v>1000</v>
      </c>
      <c r="G1302" s="7">
        <v>9.5</v>
      </c>
      <c r="H1302" s="4" t="s">
        <v>2175</v>
      </c>
      <c r="J1302" t="s">
        <v>59</v>
      </c>
    </row>
    <row r="1303" spans="1:10" x14ac:dyDescent="0.3">
      <c r="A1303" t="s">
        <v>2176</v>
      </c>
      <c r="B1303" t="s">
        <v>2177</v>
      </c>
      <c r="D1303" s="6">
        <v>1000</v>
      </c>
      <c r="G1303" s="7" t="s">
        <v>65</v>
      </c>
      <c r="H1303" s="4" t="s">
        <v>2178</v>
      </c>
      <c r="J1303" t="s">
        <v>49</v>
      </c>
    </row>
    <row r="1304" spans="1:10" x14ac:dyDescent="0.3">
      <c r="A1304" t="s">
        <v>2179</v>
      </c>
      <c r="B1304" t="s">
        <v>2180</v>
      </c>
      <c r="D1304" s="6">
        <v>1000</v>
      </c>
      <c r="G1304" s="7">
        <v>10</v>
      </c>
      <c r="H1304" s="4" t="s">
        <v>2181</v>
      </c>
      <c r="J1304" t="s">
        <v>59</v>
      </c>
    </row>
    <row r="1305" spans="1:10" x14ac:dyDescent="0.3">
      <c r="A1305" t="s">
        <v>2182</v>
      </c>
      <c r="B1305" t="s">
        <v>2183</v>
      </c>
      <c r="D1305" s="6">
        <v>1000</v>
      </c>
      <c r="G1305" s="7" t="s">
        <v>65</v>
      </c>
      <c r="H1305" s="4" t="s">
        <v>195</v>
      </c>
      <c r="J1305" t="s">
        <v>49</v>
      </c>
    </row>
    <row r="1306" spans="1:10" x14ac:dyDescent="0.3">
      <c r="A1306" t="s">
        <v>2184</v>
      </c>
      <c r="B1306" t="s">
        <v>2185</v>
      </c>
      <c r="D1306" s="6">
        <v>1000</v>
      </c>
      <c r="G1306" s="7">
        <v>8.5</v>
      </c>
      <c r="H1306" s="4" t="s">
        <v>2186</v>
      </c>
      <c r="J1306" t="s">
        <v>59</v>
      </c>
    </row>
    <row r="1307" spans="1:10" x14ac:dyDescent="0.3">
      <c r="A1307" t="s">
        <v>2187</v>
      </c>
      <c r="B1307" t="s">
        <v>2188</v>
      </c>
      <c r="D1307" s="6">
        <v>1000</v>
      </c>
      <c r="G1307" s="7" t="s">
        <v>65</v>
      </c>
      <c r="H1307" s="4" t="s">
        <v>2186</v>
      </c>
      <c r="J1307" t="s">
        <v>49</v>
      </c>
    </row>
    <row r="1308" spans="1:10" x14ac:dyDescent="0.3">
      <c r="A1308" t="s">
        <v>2189</v>
      </c>
      <c r="B1308" t="s">
        <v>2190</v>
      </c>
      <c r="D1308" s="6">
        <v>1000</v>
      </c>
      <c r="G1308" s="7">
        <v>9</v>
      </c>
      <c r="H1308" s="4" t="s">
        <v>2191</v>
      </c>
      <c r="J1308" t="s">
        <v>59</v>
      </c>
    </row>
    <row r="1309" spans="1:10" x14ac:dyDescent="0.3">
      <c r="A1309" t="s">
        <v>2192</v>
      </c>
      <c r="B1309" t="s">
        <v>2193</v>
      </c>
      <c r="D1309" s="6">
        <v>1000</v>
      </c>
      <c r="G1309" s="7">
        <v>9.5</v>
      </c>
      <c r="H1309" s="4" t="s">
        <v>2194</v>
      </c>
      <c r="J1309" t="s">
        <v>59</v>
      </c>
    </row>
    <row r="1310" spans="1:10" x14ac:dyDescent="0.3">
      <c r="A1310" t="s">
        <v>2195</v>
      </c>
      <c r="B1310" t="s">
        <v>2196</v>
      </c>
      <c r="D1310" s="6">
        <v>1000</v>
      </c>
      <c r="G1310" s="7" t="s">
        <v>65</v>
      </c>
      <c r="H1310" s="4" t="s">
        <v>2197</v>
      </c>
      <c r="J1310" t="s">
        <v>49</v>
      </c>
    </row>
    <row r="1311" spans="1:10" x14ac:dyDescent="0.3">
      <c r="A1311" t="s">
        <v>2198</v>
      </c>
      <c r="B1311" t="s">
        <v>2199</v>
      </c>
      <c r="D1311" s="6">
        <v>1000</v>
      </c>
      <c r="G1311" s="7">
        <v>9.25</v>
      </c>
      <c r="H1311" s="4" t="s">
        <v>2200</v>
      </c>
      <c r="J1311" t="s">
        <v>59</v>
      </c>
    </row>
    <row r="1312" spans="1:10" x14ac:dyDescent="0.3">
      <c r="A1312" t="s">
        <v>2201</v>
      </c>
      <c r="B1312" t="s">
        <v>2202</v>
      </c>
      <c r="D1312" s="6">
        <v>1000</v>
      </c>
      <c r="G1312" s="7" t="s">
        <v>65</v>
      </c>
      <c r="H1312" s="4" t="s">
        <v>2203</v>
      </c>
      <c r="J1312" t="s">
        <v>49</v>
      </c>
    </row>
    <row r="1313" spans="1:10" x14ac:dyDescent="0.3">
      <c r="A1313" t="s">
        <v>2204</v>
      </c>
      <c r="B1313" t="s">
        <v>2205</v>
      </c>
      <c r="D1313" s="6">
        <v>1000</v>
      </c>
      <c r="G1313" s="7">
        <v>8.25</v>
      </c>
      <c r="H1313" s="4" t="s">
        <v>2206</v>
      </c>
      <c r="J1313" t="s">
        <v>59</v>
      </c>
    </row>
    <row r="1314" spans="1:10" x14ac:dyDescent="0.3">
      <c r="A1314" t="s">
        <v>2207</v>
      </c>
      <c r="B1314" t="s">
        <v>2208</v>
      </c>
      <c r="D1314" s="6">
        <v>1000</v>
      </c>
      <c r="G1314" s="7" t="s">
        <v>65</v>
      </c>
      <c r="H1314" s="4" t="s">
        <v>2209</v>
      </c>
      <c r="J1314" t="s">
        <v>49</v>
      </c>
    </row>
    <row r="1315" spans="1:10" x14ac:dyDescent="0.3">
      <c r="A1315" t="s">
        <v>2210</v>
      </c>
      <c r="B1315" t="s">
        <v>2211</v>
      </c>
      <c r="D1315" s="6">
        <v>1000</v>
      </c>
      <c r="G1315" s="7">
        <v>9</v>
      </c>
      <c r="H1315" s="4" t="s">
        <v>2212</v>
      </c>
      <c r="J1315" t="s">
        <v>59</v>
      </c>
    </row>
    <row r="1316" spans="1:10" x14ac:dyDescent="0.3">
      <c r="A1316" t="s">
        <v>2213</v>
      </c>
      <c r="B1316" t="s">
        <v>2214</v>
      </c>
      <c r="D1316" s="6">
        <v>1000</v>
      </c>
      <c r="G1316" s="7" t="s">
        <v>65</v>
      </c>
      <c r="H1316" s="4" t="s">
        <v>2215</v>
      </c>
      <c r="J1316" t="s">
        <v>49</v>
      </c>
    </row>
    <row r="1317" spans="1:10" x14ac:dyDescent="0.3">
      <c r="A1317" t="s">
        <v>2216</v>
      </c>
      <c r="B1317" t="s">
        <v>2217</v>
      </c>
      <c r="D1317" s="6">
        <v>1000</v>
      </c>
      <c r="G1317" s="7" t="s">
        <v>65</v>
      </c>
      <c r="H1317" s="4" t="s">
        <v>2218</v>
      </c>
      <c r="J1317" t="s">
        <v>49</v>
      </c>
    </row>
    <row r="1318" spans="1:10" x14ac:dyDescent="0.3">
      <c r="A1318" t="s">
        <v>2219</v>
      </c>
      <c r="B1318" t="s">
        <v>2220</v>
      </c>
      <c r="D1318" s="6">
        <v>1000</v>
      </c>
      <c r="G1318" s="7" t="s">
        <v>65</v>
      </c>
      <c r="H1318" s="4" t="s">
        <v>2221</v>
      </c>
      <c r="J1318" t="s">
        <v>49</v>
      </c>
    </row>
    <row r="1319" spans="1:10" x14ac:dyDescent="0.3">
      <c r="A1319" t="s">
        <v>2222</v>
      </c>
      <c r="B1319" t="s">
        <v>2223</v>
      </c>
      <c r="D1319" s="6">
        <v>1000</v>
      </c>
      <c r="G1319" s="7">
        <v>9.5</v>
      </c>
      <c r="H1319" s="4" t="s">
        <v>2224</v>
      </c>
      <c r="J1319" t="s">
        <v>59</v>
      </c>
    </row>
    <row r="1320" spans="1:10" x14ac:dyDescent="0.3">
      <c r="A1320" t="s">
        <v>2225</v>
      </c>
      <c r="B1320" t="s">
        <v>2226</v>
      </c>
      <c r="D1320" s="6">
        <v>1000</v>
      </c>
      <c r="G1320" s="7">
        <v>9.5</v>
      </c>
      <c r="H1320" s="4" t="s">
        <v>1200</v>
      </c>
      <c r="J1320" t="s">
        <v>59</v>
      </c>
    </row>
    <row r="1321" spans="1:10" x14ac:dyDescent="0.3">
      <c r="A1321" t="s">
        <v>2227</v>
      </c>
      <c r="B1321" t="s">
        <v>2228</v>
      </c>
      <c r="D1321" s="6">
        <v>1000</v>
      </c>
      <c r="G1321" s="7" t="s">
        <v>65</v>
      </c>
      <c r="H1321" s="4" t="s">
        <v>2229</v>
      </c>
      <c r="J1321" t="s">
        <v>49</v>
      </c>
    </row>
    <row r="1322" spans="1:10" x14ac:dyDescent="0.3">
      <c r="A1322" t="s">
        <v>2230</v>
      </c>
      <c r="B1322" t="s">
        <v>2231</v>
      </c>
      <c r="D1322" s="6">
        <v>1000</v>
      </c>
      <c r="G1322" s="7" t="s">
        <v>65</v>
      </c>
      <c r="H1322" s="4" t="s">
        <v>2232</v>
      </c>
      <c r="J1322" t="s">
        <v>49</v>
      </c>
    </row>
    <row r="1323" spans="1:10" x14ac:dyDescent="0.3">
      <c r="A1323" t="s">
        <v>2233</v>
      </c>
      <c r="B1323" t="s">
        <v>2234</v>
      </c>
      <c r="D1323" s="6">
        <v>1000</v>
      </c>
      <c r="G1323" s="7" t="s">
        <v>65</v>
      </c>
      <c r="H1323" s="4" t="s">
        <v>2235</v>
      </c>
      <c r="J1323" t="s">
        <v>49</v>
      </c>
    </row>
    <row r="1324" spans="1:10" x14ac:dyDescent="0.3">
      <c r="A1324" t="s">
        <v>2236</v>
      </c>
      <c r="B1324" t="s">
        <v>2237</v>
      </c>
      <c r="D1324" s="6">
        <v>1000</v>
      </c>
      <c r="G1324" s="7">
        <v>8.75</v>
      </c>
      <c r="H1324" s="4" t="s">
        <v>1184</v>
      </c>
      <c r="J1324" t="s">
        <v>59</v>
      </c>
    </row>
    <row r="1325" spans="1:10" x14ac:dyDescent="0.3">
      <c r="A1325" t="s">
        <v>2238</v>
      </c>
      <c r="B1325" t="s">
        <v>2239</v>
      </c>
      <c r="D1325" s="6">
        <v>1000</v>
      </c>
      <c r="G1325" s="7" t="s">
        <v>65</v>
      </c>
      <c r="H1325" s="4" t="s">
        <v>2240</v>
      </c>
      <c r="J1325" t="s">
        <v>49</v>
      </c>
    </row>
    <row r="1326" spans="1:10" x14ac:dyDescent="0.3">
      <c r="A1326" t="s">
        <v>2241</v>
      </c>
      <c r="B1326" t="s">
        <v>2242</v>
      </c>
      <c r="D1326" s="6">
        <v>1000</v>
      </c>
      <c r="G1326" s="7">
        <v>9</v>
      </c>
      <c r="H1326" s="4" t="s">
        <v>2243</v>
      </c>
      <c r="J1326" t="s">
        <v>59</v>
      </c>
    </row>
    <row r="1327" spans="1:10" x14ac:dyDescent="0.3">
      <c r="A1327" t="s">
        <v>2244</v>
      </c>
      <c r="B1327" t="s">
        <v>2245</v>
      </c>
      <c r="D1327" s="6">
        <v>1000</v>
      </c>
      <c r="G1327" s="7" t="s">
        <v>65</v>
      </c>
      <c r="H1327" s="4" t="s">
        <v>2246</v>
      </c>
      <c r="J1327" t="s">
        <v>49</v>
      </c>
    </row>
    <row r="1328" spans="1:10" x14ac:dyDescent="0.3">
      <c r="A1328" t="s">
        <v>2247</v>
      </c>
      <c r="B1328" t="s">
        <v>2248</v>
      </c>
      <c r="D1328" s="6">
        <v>1000</v>
      </c>
      <c r="G1328" s="7" t="s">
        <v>65</v>
      </c>
      <c r="H1328" s="4" t="s">
        <v>2249</v>
      </c>
      <c r="J1328" t="s">
        <v>49</v>
      </c>
    </row>
    <row r="1329" spans="1:10" x14ac:dyDescent="0.3">
      <c r="A1329" t="s">
        <v>2250</v>
      </c>
      <c r="B1329" t="s">
        <v>2251</v>
      </c>
      <c r="D1329" s="6">
        <v>1000</v>
      </c>
      <c r="G1329" s="7" t="s">
        <v>65</v>
      </c>
      <c r="H1329" s="4" t="s">
        <v>492</v>
      </c>
      <c r="J1329" t="s">
        <v>49</v>
      </c>
    </row>
    <row r="1330" spans="1:10" x14ac:dyDescent="0.3">
      <c r="A1330" t="s">
        <v>2252</v>
      </c>
      <c r="B1330" t="s">
        <v>2253</v>
      </c>
      <c r="D1330" s="6">
        <v>1000</v>
      </c>
      <c r="G1330" s="7" t="s">
        <v>65</v>
      </c>
      <c r="H1330" s="4" t="s">
        <v>2254</v>
      </c>
      <c r="J1330" t="s">
        <v>49</v>
      </c>
    </row>
    <row r="1331" spans="1:10" x14ac:dyDescent="0.3">
      <c r="A1331" t="s">
        <v>2255</v>
      </c>
      <c r="B1331" t="s">
        <v>2256</v>
      </c>
      <c r="D1331" s="6">
        <v>1000</v>
      </c>
      <c r="G1331" s="7" t="s">
        <v>65</v>
      </c>
      <c r="H1331" s="4" t="s">
        <v>2257</v>
      </c>
      <c r="J1331" t="s">
        <v>49</v>
      </c>
    </row>
    <row r="1332" spans="1:10" x14ac:dyDescent="0.3">
      <c r="A1332" t="s">
        <v>2258</v>
      </c>
      <c r="B1332" t="s">
        <v>2259</v>
      </c>
      <c r="D1332" s="6">
        <v>1000</v>
      </c>
      <c r="G1332" s="7">
        <v>8.75</v>
      </c>
      <c r="H1332" s="4" t="s">
        <v>2260</v>
      </c>
      <c r="J1332" t="s">
        <v>72</v>
      </c>
    </row>
    <row r="1333" spans="1:10" x14ac:dyDescent="0.3">
      <c r="A1333" t="s">
        <v>2261</v>
      </c>
      <c r="B1333" t="s">
        <v>2262</v>
      </c>
      <c r="D1333" s="6">
        <v>1000</v>
      </c>
      <c r="G1333" s="7">
        <v>9.25</v>
      </c>
      <c r="H1333" s="4" t="s">
        <v>2263</v>
      </c>
      <c r="J1333" t="s">
        <v>72</v>
      </c>
    </row>
    <row r="1334" spans="1:10" x14ac:dyDescent="0.3">
      <c r="A1334" t="s">
        <v>2264</v>
      </c>
      <c r="B1334" t="s">
        <v>2265</v>
      </c>
      <c r="D1334" s="6">
        <v>1000</v>
      </c>
      <c r="G1334" s="7">
        <v>10</v>
      </c>
      <c r="H1334" s="4" t="s">
        <v>2266</v>
      </c>
      <c r="J1334" t="s">
        <v>72</v>
      </c>
    </row>
    <row r="1335" spans="1:10" x14ac:dyDescent="0.3">
      <c r="A1335" t="s">
        <v>2267</v>
      </c>
      <c r="B1335" t="s">
        <v>2268</v>
      </c>
      <c r="D1335" s="6">
        <v>1000</v>
      </c>
      <c r="G1335" s="7" t="s">
        <v>65</v>
      </c>
      <c r="H1335" s="4" t="s">
        <v>2269</v>
      </c>
      <c r="J1335" t="s">
        <v>49</v>
      </c>
    </row>
    <row r="1336" spans="1:10" x14ac:dyDescent="0.3">
      <c r="A1336" t="s">
        <v>2270</v>
      </c>
      <c r="B1336" t="s">
        <v>2271</v>
      </c>
      <c r="D1336" s="6">
        <v>1000</v>
      </c>
      <c r="G1336" s="7">
        <v>9.25</v>
      </c>
      <c r="H1336" s="4" t="s">
        <v>2272</v>
      </c>
      <c r="J1336" t="s">
        <v>59</v>
      </c>
    </row>
    <row r="1337" spans="1:10" x14ac:dyDescent="0.3">
      <c r="A1337" t="s">
        <v>2273</v>
      </c>
      <c r="B1337" t="s">
        <v>2274</v>
      </c>
      <c r="D1337" s="6">
        <v>1000</v>
      </c>
      <c r="G1337" s="7" t="s">
        <v>65</v>
      </c>
      <c r="H1337" s="4" t="s">
        <v>2275</v>
      </c>
      <c r="J1337" t="s">
        <v>49</v>
      </c>
    </row>
    <row r="1338" spans="1:10" x14ac:dyDescent="0.3">
      <c r="A1338" t="s">
        <v>2276</v>
      </c>
      <c r="B1338" t="s">
        <v>2277</v>
      </c>
      <c r="D1338" s="6">
        <v>1000</v>
      </c>
      <c r="G1338" s="7" t="s">
        <v>65</v>
      </c>
      <c r="H1338" s="4" t="s">
        <v>2278</v>
      </c>
      <c r="J1338" t="s">
        <v>49</v>
      </c>
    </row>
    <row r="1339" spans="1:10" x14ac:dyDescent="0.3">
      <c r="A1339" t="s">
        <v>2279</v>
      </c>
      <c r="B1339" t="s">
        <v>2280</v>
      </c>
      <c r="D1339" s="6">
        <v>1000</v>
      </c>
      <c r="G1339" s="7" t="s">
        <v>65</v>
      </c>
      <c r="H1339" s="4" t="s">
        <v>2181</v>
      </c>
      <c r="J1339" t="s">
        <v>49</v>
      </c>
    </row>
    <row r="1340" spans="1:10" x14ac:dyDescent="0.3">
      <c r="A1340" t="s">
        <v>2281</v>
      </c>
      <c r="B1340" t="s">
        <v>2282</v>
      </c>
      <c r="D1340" s="6">
        <v>1000</v>
      </c>
      <c r="G1340" s="7" t="s">
        <v>65</v>
      </c>
      <c r="H1340" s="4" t="s">
        <v>2283</v>
      </c>
      <c r="J1340" t="s">
        <v>49</v>
      </c>
    </row>
    <row r="1341" spans="1:10" x14ac:dyDescent="0.3">
      <c r="A1341" t="s">
        <v>2284</v>
      </c>
      <c r="B1341" t="s">
        <v>2285</v>
      </c>
      <c r="D1341" s="6">
        <v>1000</v>
      </c>
      <c r="G1341" s="7">
        <v>10</v>
      </c>
      <c r="H1341" s="4" t="s">
        <v>2286</v>
      </c>
      <c r="J1341" t="s">
        <v>59</v>
      </c>
    </row>
    <row r="1342" spans="1:10" x14ac:dyDescent="0.3">
      <c r="A1342" t="s">
        <v>2287</v>
      </c>
      <c r="B1342" t="s">
        <v>2288</v>
      </c>
      <c r="D1342" s="6">
        <v>1000</v>
      </c>
      <c r="G1342" s="7">
        <v>8.75</v>
      </c>
      <c r="H1342" s="4" t="s">
        <v>2289</v>
      </c>
      <c r="J1342" t="s">
        <v>59</v>
      </c>
    </row>
    <row r="1343" spans="1:10" x14ac:dyDescent="0.3">
      <c r="A1343" t="s">
        <v>2290</v>
      </c>
      <c r="B1343" t="s">
        <v>2291</v>
      </c>
      <c r="D1343" s="6">
        <v>1000</v>
      </c>
      <c r="G1343" s="7">
        <v>8.75</v>
      </c>
      <c r="H1343" s="4" t="s">
        <v>1821</v>
      </c>
      <c r="J1343" t="s">
        <v>59</v>
      </c>
    </row>
    <row r="1344" spans="1:10" x14ac:dyDescent="0.3">
      <c r="A1344" t="s">
        <v>2292</v>
      </c>
      <c r="B1344" t="s">
        <v>2293</v>
      </c>
      <c r="D1344" s="6">
        <v>1000</v>
      </c>
      <c r="G1344" s="7" t="s">
        <v>65</v>
      </c>
      <c r="H1344" s="4" t="s">
        <v>393</v>
      </c>
      <c r="J1344" t="s">
        <v>49</v>
      </c>
    </row>
    <row r="1345" spans="1:10" x14ac:dyDescent="0.3">
      <c r="A1345" t="s">
        <v>2294</v>
      </c>
      <c r="B1345" t="s">
        <v>2295</v>
      </c>
      <c r="D1345" s="6">
        <v>1000</v>
      </c>
      <c r="G1345" s="7" t="s">
        <v>65</v>
      </c>
      <c r="H1345" s="4" t="s">
        <v>2296</v>
      </c>
      <c r="J1345" t="s">
        <v>49</v>
      </c>
    </row>
    <row r="1346" spans="1:10" x14ac:dyDescent="0.3">
      <c r="A1346" t="s">
        <v>2297</v>
      </c>
      <c r="B1346" t="s">
        <v>2298</v>
      </c>
      <c r="D1346" s="6">
        <v>1000</v>
      </c>
      <c r="G1346" s="7" t="s">
        <v>65</v>
      </c>
      <c r="H1346" s="4" t="s">
        <v>2299</v>
      </c>
      <c r="J1346" t="s">
        <v>49</v>
      </c>
    </row>
    <row r="1347" spans="1:10" x14ac:dyDescent="0.3">
      <c r="A1347" t="s">
        <v>2300</v>
      </c>
      <c r="B1347" t="s">
        <v>2301</v>
      </c>
      <c r="D1347" s="6">
        <v>1000</v>
      </c>
      <c r="G1347" s="7" t="s">
        <v>65</v>
      </c>
      <c r="H1347" s="4" t="s">
        <v>2302</v>
      </c>
      <c r="J1347" t="s">
        <v>49</v>
      </c>
    </row>
    <row r="1348" spans="1:10" x14ac:dyDescent="0.3">
      <c r="A1348" t="s">
        <v>2303</v>
      </c>
      <c r="B1348" t="s">
        <v>2304</v>
      </c>
      <c r="D1348" s="6">
        <v>1000</v>
      </c>
      <c r="G1348" s="7" t="s">
        <v>65</v>
      </c>
      <c r="H1348" s="4" t="s">
        <v>2305</v>
      </c>
      <c r="J1348" t="s">
        <v>49</v>
      </c>
    </row>
    <row r="1349" spans="1:10" x14ac:dyDescent="0.3">
      <c r="A1349" t="s">
        <v>2306</v>
      </c>
      <c r="B1349" t="s">
        <v>2307</v>
      </c>
      <c r="D1349" s="6">
        <v>1000</v>
      </c>
      <c r="G1349" s="7">
        <v>9.5</v>
      </c>
      <c r="H1349" s="4" t="s">
        <v>2308</v>
      </c>
      <c r="J1349" t="s">
        <v>59</v>
      </c>
    </row>
    <row r="1350" spans="1:10" x14ac:dyDescent="0.3">
      <c r="A1350" t="s">
        <v>2309</v>
      </c>
      <c r="B1350" t="s">
        <v>2310</v>
      </c>
      <c r="D1350" s="6">
        <v>1000</v>
      </c>
      <c r="G1350" s="7">
        <v>10</v>
      </c>
      <c r="H1350" s="4" t="s">
        <v>1828</v>
      </c>
      <c r="J1350" t="s">
        <v>59</v>
      </c>
    </row>
    <row r="1351" spans="1:10" x14ac:dyDescent="0.3">
      <c r="A1351" t="s">
        <v>2311</v>
      </c>
      <c r="B1351" t="s">
        <v>2312</v>
      </c>
      <c r="D1351" s="6">
        <v>1000</v>
      </c>
      <c r="G1351" s="7" t="s">
        <v>65</v>
      </c>
      <c r="H1351" s="4" t="s">
        <v>242</v>
      </c>
      <c r="J1351" t="s">
        <v>46</v>
      </c>
    </row>
    <row r="1352" spans="1:10" x14ac:dyDescent="0.3">
      <c r="A1352" t="s">
        <v>2313</v>
      </c>
      <c r="B1352" t="s">
        <v>2314</v>
      </c>
      <c r="D1352" s="6">
        <v>1000</v>
      </c>
      <c r="G1352" s="7" t="s">
        <v>65</v>
      </c>
      <c r="H1352" s="4" t="s">
        <v>2315</v>
      </c>
      <c r="J1352" t="s">
        <v>46</v>
      </c>
    </row>
    <row r="1353" spans="1:10" x14ac:dyDescent="0.3">
      <c r="A1353" t="s">
        <v>2316</v>
      </c>
      <c r="B1353" t="s">
        <v>2317</v>
      </c>
      <c r="D1353" s="6">
        <v>1000</v>
      </c>
      <c r="G1353" s="7" t="s">
        <v>65</v>
      </c>
      <c r="H1353" s="4" t="s">
        <v>2318</v>
      </c>
      <c r="J1353" t="s">
        <v>46</v>
      </c>
    </row>
    <row r="1354" spans="1:10" x14ac:dyDescent="0.3">
      <c r="A1354" t="s">
        <v>2319</v>
      </c>
      <c r="B1354" t="s">
        <v>2320</v>
      </c>
      <c r="D1354" s="6">
        <v>1000</v>
      </c>
      <c r="G1354" s="7" t="s">
        <v>65</v>
      </c>
      <c r="H1354" s="4" t="s">
        <v>2321</v>
      </c>
      <c r="J1354" t="s">
        <v>46</v>
      </c>
    </row>
    <row r="1355" spans="1:10" x14ac:dyDescent="0.3">
      <c r="A1355" t="s">
        <v>2322</v>
      </c>
      <c r="B1355" t="s">
        <v>2323</v>
      </c>
      <c r="D1355" s="6">
        <v>1000</v>
      </c>
      <c r="G1355" s="7" t="s">
        <v>65</v>
      </c>
      <c r="H1355" s="4" t="s">
        <v>2324</v>
      </c>
      <c r="J1355" t="s">
        <v>46</v>
      </c>
    </row>
    <row r="1356" spans="1:10" x14ac:dyDescent="0.3">
      <c r="A1356" t="s">
        <v>2325</v>
      </c>
      <c r="B1356" t="s">
        <v>2326</v>
      </c>
      <c r="D1356" s="6">
        <v>1000</v>
      </c>
      <c r="G1356" s="7">
        <v>9.25</v>
      </c>
      <c r="H1356" s="4" t="s">
        <v>2327</v>
      </c>
      <c r="J1356" t="s">
        <v>72</v>
      </c>
    </row>
    <row r="1357" spans="1:10" x14ac:dyDescent="0.3">
      <c r="A1357" t="s">
        <v>2328</v>
      </c>
      <c r="B1357" t="s">
        <v>2329</v>
      </c>
      <c r="D1357" s="6">
        <v>1000</v>
      </c>
      <c r="G1357" s="7">
        <v>10</v>
      </c>
      <c r="H1357" s="4" t="s">
        <v>2330</v>
      </c>
      <c r="J1357" t="s">
        <v>72</v>
      </c>
    </row>
    <row r="1358" spans="1:10" x14ac:dyDescent="0.3">
      <c r="A1358" t="s">
        <v>2331</v>
      </c>
      <c r="B1358" t="s">
        <v>2332</v>
      </c>
      <c r="D1358" s="6">
        <v>1000</v>
      </c>
      <c r="G1358" s="7">
        <v>10.25</v>
      </c>
      <c r="H1358" s="4" t="s">
        <v>2333</v>
      </c>
      <c r="J1358" t="s">
        <v>72</v>
      </c>
    </row>
    <row r="1359" spans="1:10" x14ac:dyDescent="0.3">
      <c r="A1359" t="s">
        <v>2334</v>
      </c>
      <c r="B1359" t="s">
        <v>2335</v>
      </c>
      <c r="D1359" s="6">
        <v>1000</v>
      </c>
      <c r="G1359" s="7">
        <v>10</v>
      </c>
      <c r="H1359" s="4" t="s">
        <v>2336</v>
      </c>
      <c r="J1359" t="s">
        <v>59</v>
      </c>
    </row>
    <row r="1360" spans="1:10" x14ac:dyDescent="0.3">
      <c r="A1360" t="s">
        <v>2337</v>
      </c>
      <c r="B1360" t="s">
        <v>2338</v>
      </c>
      <c r="D1360" s="6">
        <v>1000</v>
      </c>
      <c r="G1360" s="7" t="s">
        <v>65</v>
      </c>
      <c r="H1360" s="4" t="s">
        <v>2336</v>
      </c>
      <c r="J1360" t="s">
        <v>49</v>
      </c>
    </row>
    <row r="1361" spans="1:10" x14ac:dyDescent="0.3">
      <c r="A1361" t="s">
        <v>2339</v>
      </c>
      <c r="B1361" t="s">
        <v>2340</v>
      </c>
      <c r="D1361" s="6">
        <v>1000</v>
      </c>
      <c r="G1361" s="7">
        <v>10.25</v>
      </c>
      <c r="H1361" s="4" t="s">
        <v>2341</v>
      </c>
      <c r="J1361" t="s">
        <v>59</v>
      </c>
    </row>
    <row r="1362" spans="1:10" x14ac:dyDescent="0.3">
      <c r="A1362" t="s">
        <v>2342</v>
      </c>
      <c r="B1362" t="s">
        <v>2343</v>
      </c>
      <c r="D1362" s="6">
        <v>1000</v>
      </c>
      <c r="G1362" s="7" t="s">
        <v>65</v>
      </c>
      <c r="H1362" s="4" t="s">
        <v>2341</v>
      </c>
      <c r="J1362" t="s">
        <v>49</v>
      </c>
    </row>
    <row r="1363" spans="1:10" x14ac:dyDescent="0.3">
      <c r="A1363" t="s">
        <v>2344</v>
      </c>
      <c r="B1363" t="s">
        <v>2345</v>
      </c>
      <c r="D1363" s="6">
        <v>1000</v>
      </c>
      <c r="G1363" s="7">
        <v>10.25</v>
      </c>
      <c r="H1363" s="4" t="s">
        <v>2346</v>
      </c>
      <c r="J1363" t="s">
        <v>59</v>
      </c>
    </row>
    <row r="1364" spans="1:10" x14ac:dyDescent="0.3">
      <c r="A1364" t="s">
        <v>2347</v>
      </c>
      <c r="B1364" t="s">
        <v>2348</v>
      </c>
      <c r="D1364" s="6">
        <v>1000</v>
      </c>
      <c r="G1364" s="7" t="s">
        <v>65</v>
      </c>
      <c r="H1364" s="4" t="s">
        <v>2346</v>
      </c>
      <c r="J1364" t="s">
        <v>49</v>
      </c>
    </row>
    <row r="1365" spans="1:10" x14ac:dyDescent="0.3">
      <c r="A1365" t="s">
        <v>2349</v>
      </c>
      <c r="B1365" t="s">
        <v>2350</v>
      </c>
      <c r="D1365" s="6">
        <v>1000</v>
      </c>
      <c r="G1365" s="7">
        <v>10.25</v>
      </c>
      <c r="H1365" s="4" t="s">
        <v>2351</v>
      </c>
      <c r="J1365" t="s">
        <v>59</v>
      </c>
    </row>
    <row r="1366" spans="1:10" x14ac:dyDescent="0.3">
      <c r="A1366" t="s">
        <v>2352</v>
      </c>
      <c r="B1366" t="s">
        <v>2353</v>
      </c>
      <c r="D1366" s="6">
        <v>1000</v>
      </c>
      <c r="G1366" s="7" t="s">
        <v>65</v>
      </c>
      <c r="H1366" s="4" t="s">
        <v>2351</v>
      </c>
      <c r="J1366" t="s">
        <v>49</v>
      </c>
    </row>
    <row r="1367" spans="1:10" x14ac:dyDescent="0.3">
      <c r="A1367" t="s">
        <v>2354</v>
      </c>
      <c r="B1367" t="s">
        <v>2355</v>
      </c>
      <c r="D1367" s="6">
        <v>1000</v>
      </c>
      <c r="G1367" s="7">
        <v>10.25</v>
      </c>
      <c r="H1367" s="4" t="s">
        <v>2356</v>
      </c>
      <c r="J1367" t="s">
        <v>59</v>
      </c>
    </row>
    <row r="1368" spans="1:10" x14ac:dyDescent="0.3">
      <c r="A1368" t="s">
        <v>2357</v>
      </c>
      <c r="B1368" t="s">
        <v>2358</v>
      </c>
      <c r="D1368" s="6">
        <v>1000</v>
      </c>
      <c r="G1368" s="7" t="s">
        <v>65</v>
      </c>
      <c r="H1368" s="4" t="s">
        <v>2356</v>
      </c>
      <c r="J1368" t="s">
        <v>49</v>
      </c>
    </row>
    <row r="1369" spans="1:10" x14ac:dyDescent="0.3">
      <c r="A1369" t="s">
        <v>2359</v>
      </c>
      <c r="B1369" t="s">
        <v>2360</v>
      </c>
      <c r="D1369" s="6">
        <v>1000</v>
      </c>
      <c r="G1369" s="7">
        <v>10.25</v>
      </c>
      <c r="H1369" s="4" t="s">
        <v>2361</v>
      </c>
      <c r="J1369" t="s">
        <v>59</v>
      </c>
    </row>
    <row r="1370" spans="1:10" x14ac:dyDescent="0.3">
      <c r="A1370" t="s">
        <v>2362</v>
      </c>
      <c r="B1370" t="s">
        <v>2363</v>
      </c>
      <c r="D1370" s="6">
        <v>1000</v>
      </c>
      <c r="G1370" s="7" t="s">
        <v>65</v>
      </c>
      <c r="H1370" s="4" t="s">
        <v>2361</v>
      </c>
      <c r="J1370" t="s">
        <v>49</v>
      </c>
    </row>
    <row r="1371" spans="1:10" x14ac:dyDescent="0.3">
      <c r="A1371" t="s">
        <v>2364</v>
      </c>
      <c r="B1371" t="s">
        <v>2365</v>
      </c>
      <c r="D1371" s="6">
        <v>1000</v>
      </c>
      <c r="G1371" s="7">
        <v>10.25</v>
      </c>
      <c r="H1371" s="4" t="s">
        <v>2366</v>
      </c>
      <c r="J1371" t="s">
        <v>59</v>
      </c>
    </row>
    <row r="1372" spans="1:10" x14ac:dyDescent="0.3">
      <c r="A1372" t="s">
        <v>2367</v>
      </c>
      <c r="B1372" t="s">
        <v>2368</v>
      </c>
      <c r="D1372" s="6">
        <v>1000</v>
      </c>
      <c r="G1372" s="7" t="s">
        <v>65</v>
      </c>
      <c r="H1372" s="4" t="s">
        <v>2369</v>
      </c>
      <c r="J1372" t="s">
        <v>49</v>
      </c>
    </row>
    <row r="1373" spans="1:10" x14ac:dyDescent="0.3">
      <c r="A1373" t="s">
        <v>2370</v>
      </c>
      <c r="B1373" t="s">
        <v>2371</v>
      </c>
      <c r="C1373" t="s">
        <v>54</v>
      </c>
      <c r="D1373" s="9">
        <v>1000</v>
      </c>
      <c r="E1373" t="s">
        <v>1027</v>
      </c>
      <c r="F1373" t="s">
        <v>1106</v>
      </c>
      <c r="G1373">
        <v>9.6</v>
      </c>
      <c r="H1373" t="s">
        <v>613</v>
      </c>
      <c r="I1373" t="s">
        <v>2372</v>
      </c>
      <c r="J1373" t="s">
        <v>49</v>
      </c>
    </row>
    <row r="1374" spans="1:10" x14ac:dyDescent="0.3">
      <c r="A1374" t="s">
        <v>2370</v>
      </c>
      <c r="B1374" t="s">
        <v>2373</v>
      </c>
      <c r="D1374" s="6">
        <v>1000</v>
      </c>
      <c r="G1374" s="7">
        <v>9.6</v>
      </c>
      <c r="H1374" s="4" t="s">
        <v>613</v>
      </c>
      <c r="J1374" t="s">
        <v>49</v>
      </c>
    </row>
    <row r="1375" spans="1:10" x14ac:dyDescent="0.3">
      <c r="A1375" t="s">
        <v>2370</v>
      </c>
      <c r="B1375" t="s">
        <v>2373</v>
      </c>
      <c r="D1375" s="6">
        <v>1000</v>
      </c>
      <c r="G1375" s="7">
        <v>9.6</v>
      </c>
      <c r="H1375" s="4" t="s">
        <v>613</v>
      </c>
      <c r="J1375" t="s">
        <v>49</v>
      </c>
    </row>
    <row r="1376" spans="1:10" x14ac:dyDescent="0.3">
      <c r="A1376" t="s">
        <v>2374</v>
      </c>
      <c r="B1376" t="s">
        <v>2371</v>
      </c>
      <c r="C1376" t="s">
        <v>48</v>
      </c>
      <c r="D1376" s="9">
        <v>1000</v>
      </c>
      <c r="E1376" t="s">
        <v>2375</v>
      </c>
      <c r="F1376" t="s">
        <v>2376</v>
      </c>
      <c r="G1376">
        <v>9.57</v>
      </c>
      <c r="H1376" t="s">
        <v>685</v>
      </c>
      <c r="I1376" t="s">
        <v>2377</v>
      </c>
      <c r="J1376" t="s">
        <v>59</v>
      </c>
    </row>
    <row r="1377" spans="1:10" x14ac:dyDescent="0.3">
      <c r="A1377" t="s">
        <v>2374</v>
      </c>
      <c r="B1377" t="s">
        <v>2378</v>
      </c>
      <c r="D1377" s="6">
        <v>1000</v>
      </c>
      <c r="G1377" s="7">
        <v>9.5699999999999985</v>
      </c>
      <c r="H1377" s="4" t="s">
        <v>685</v>
      </c>
      <c r="J1377" t="s">
        <v>59</v>
      </c>
    </row>
    <row r="1378" spans="1:10" x14ac:dyDescent="0.3">
      <c r="A1378" t="s">
        <v>2374</v>
      </c>
      <c r="B1378" t="s">
        <v>2378</v>
      </c>
      <c r="D1378" s="6">
        <v>1000</v>
      </c>
      <c r="G1378" s="7">
        <v>9.5699999999999985</v>
      </c>
      <c r="H1378" s="4" t="s">
        <v>685</v>
      </c>
      <c r="J1378" t="s">
        <v>59</v>
      </c>
    </row>
    <row r="1379" spans="1:10" x14ac:dyDescent="0.3">
      <c r="A1379" t="s">
        <v>2379</v>
      </c>
      <c r="B1379" t="s">
        <v>2371</v>
      </c>
      <c r="C1379" t="s">
        <v>44</v>
      </c>
      <c r="D1379" s="9">
        <v>1000</v>
      </c>
      <c r="E1379" t="s">
        <v>1146</v>
      </c>
      <c r="F1379" t="s">
        <v>2380</v>
      </c>
      <c r="G1379">
        <v>9.2100000000000009</v>
      </c>
      <c r="H1379" t="s">
        <v>613</v>
      </c>
      <c r="I1379" t="s">
        <v>2381</v>
      </c>
      <c r="J1379" t="s">
        <v>59</v>
      </c>
    </row>
    <row r="1380" spans="1:10" x14ac:dyDescent="0.3">
      <c r="A1380" t="s">
        <v>2379</v>
      </c>
      <c r="B1380" t="s">
        <v>2382</v>
      </c>
      <c r="D1380" s="6">
        <v>1000</v>
      </c>
      <c r="G1380" s="7">
        <v>9.2100000000000009</v>
      </c>
      <c r="H1380" s="4" t="s">
        <v>613</v>
      </c>
      <c r="J1380" t="s">
        <v>59</v>
      </c>
    </row>
    <row r="1381" spans="1:10" x14ac:dyDescent="0.3">
      <c r="A1381" t="s">
        <v>2379</v>
      </c>
      <c r="B1381" t="s">
        <v>2382</v>
      </c>
      <c r="D1381" s="6">
        <v>1000</v>
      </c>
      <c r="G1381" s="7">
        <v>9.2100000000000009</v>
      </c>
      <c r="H1381" s="4" t="s">
        <v>613</v>
      </c>
      <c r="J1381" t="s">
        <v>59</v>
      </c>
    </row>
    <row r="1382" spans="1:10" x14ac:dyDescent="0.3">
      <c r="A1382" t="s">
        <v>2383</v>
      </c>
      <c r="B1382" t="s">
        <v>2371</v>
      </c>
      <c r="C1382" t="s">
        <v>340</v>
      </c>
      <c r="D1382" s="9">
        <v>1000</v>
      </c>
      <c r="E1382" t="s">
        <v>1165</v>
      </c>
      <c r="F1382" t="s">
        <v>2384</v>
      </c>
      <c r="G1382">
        <v>10.5</v>
      </c>
      <c r="H1382" t="s">
        <v>673</v>
      </c>
      <c r="I1382" t="s">
        <v>2385</v>
      </c>
      <c r="J1382" t="s">
        <v>49</v>
      </c>
    </row>
    <row r="1383" spans="1:10" x14ac:dyDescent="0.3">
      <c r="A1383" t="s">
        <v>2383</v>
      </c>
      <c r="B1383" t="s">
        <v>2386</v>
      </c>
      <c r="D1383" s="6">
        <v>1000</v>
      </c>
      <c r="G1383" s="7">
        <v>10.5</v>
      </c>
      <c r="H1383" s="4" t="s">
        <v>673</v>
      </c>
      <c r="J1383" t="s">
        <v>49</v>
      </c>
    </row>
    <row r="1384" spans="1:10" x14ac:dyDescent="0.3">
      <c r="A1384" t="s">
        <v>2383</v>
      </c>
      <c r="B1384" t="s">
        <v>2386</v>
      </c>
      <c r="D1384" s="6">
        <v>1000</v>
      </c>
      <c r="G1384" s="7">
        <v>10.5</v>
      </c>
      <c r="H1384" s="4" t="s">
        <v>673</v>
      </c>
      <c r="J1384" t="s">
        <v>49</v>
      </c>
    </row>
    <row r="1385" spans="1:10" x14ac:dyDescent="0.3">
      <c r="A1385" t="s">
        <v>2387</v>
      </c>
      <c r="B1385" t="s">
        <v>2371</v>
      </c>
      <c r="C1385" t="s">
        <v>275</v>
      </c>
      <c r="D1385" s="9">
        <v>1000</v>
      </c>
      <c r="E1385" t="s">
        <v>1165</v>
      </c>
      <c r="F1385" t="s">
        <v>2388</v>
      </c>
      <c r="G1385">
        <v>10.029999999999999</v>
      </c>
      <c r="H1385" t="s">
        <v>673</v>
      </c>
      <c r="I1385" t="s">
        <v>2389</v>
      </c>
      <c r="J1385" t="s">
        <v>59</v>
      </c>
    </row>
    <row r="1386" spans="1:10" x14ac:dyDescent="0.3">
      <c r="A1386" t="s">
        <v>2387</v>
      </c>
      <c r="B1386" t="s">
        <v>2390</v>
      </c>
      <c r="D1386" s="6">
        <v>1000</v>
      </c>
      <c r="G1386" s="7">
        <v>10.029999999999999</v>
      </c>
      <c r="H1386" s="4" t="s">
        <v>673</v>
      </c>
      <c r="J1386" t="s">
        <v>59</v>
      </c>
    </row>
    <row r="1387" spans="1:10" x14ac:dyDescent="0.3">
      <c r="A1387" t="s">
        <v>2387</v>
      </c>
      <c r="B1387" t="s">
        <v>2390</v>
      </c>
      <c r="D1387" s="6">
        <v>1000</v>
      </c>
      <c r="G1387" s="7">
        <v>10.029999999999999</v>
      </c>
      <c r="H1387" s="4" t="s">
        <v>673</v>
      </c>
      <c r="J1387" t="s">
        <v>59</v>
      </c>
    </row>
    <row r="1388" spans="1:10" x14ac:dyDescent="0.3">
      <c r="A1388" t="s">
        <v>2391</v>
      </c>
      <c r="B1388" t="s">
        <v>2371</v>
      </c>
      <c r="C1388" t="s">
        <v>51</v>
      </c>
      <c r="D1388" s="9">
        <v>1000</v>
      </c>
      <c r="E1388" t="s">
        <v>2392</v>
      </c>
      <c r="F1388" t="s">
        <v>993</v>
      </c>
      <c r="G1388">
        <v>10</v>
      </c>
      <c r="H1388" t="s">
        <v>685</v>
      </c>
      <c r="I1388" t="s">
        <v>2393</v>
      </c>
      <c r="J1388" t="s">
        <v>49</v>
      </c>
    </row>
    <row r="1389" spans="1:10" x14ac:dyDescent="0.3">
      <c r="A1389" t="s">
        <v>2391</v>
      </c>
      <c r="B1389" t="s">
        <v>2394</v>
      </c>
      <c r="D1389" s="6">
        <v>1000</v>
      </c>
      <c r="G1389" s="7">
        <v>10</v>
      </c>
      <c r="H1389" s="4" t="s">
        <v>685</v>
      </c>
      <c r="J1389" t="s">
        <v>49</v>
      </c>
    </row>
    <row r="1390" spans="1:10" x14ac:dyDescent="0.3">
      <c r="A1390" t="s">
        <v>2391</v>
      </c>
      <c r="B1390" t="s">
        <v>2394</v>
      </c>
      <c r="D1390" s="6">
        <v>1000</v>
      </c>
      <c r="G1390" s="7">
        <v>10</v>
      </c>
      <c r="H1390" s="4" t="s">
        <v>685</v>
      </c>
      <c r="J1390" t="s">
        <v>49</v>
      </c>
    </row>
    <row r="1391" spans="1:10" x14ac:dyDescent="0.3">
      <c r="A1391" t="s">
        <v>2395</v>
      </c>
      <c r="B1391" t="s">
        <v>2396</v>
      </c>
      <c r="D1391" s="6">
        <v>1000</v>
      </c>
      <c r="G1391" s="7">
        <v>9.1999999999999993</v>
      </c>
      <c r="H1391" s="4" t="s">
        <v>2397</v>
      </c>
      <c r="J1391" t="s">
        <v>59</v>
      </c>
    </row>
    <row r="1392" spans="1:10" x14ac:dyDescent="0.3">
      <c r="A1392" t="s">
        <v>2395</v>
      </c>
      <c r="B1392" t="s">
        <v>2396</v>
      </c>
      <c r="D1392" s="6">
        <v>1000</v>
      </c>
      <c r="G1392" s="7">
        <v>9.1999999999999993</v>
      </c>
      <c r="H1392" s="4" t="s">
        <v>2397</v>
      </c>
      <c r="J1392" t="s">
        <v>59</v>
      </c>
    </row>
    <row r="1393" spans="1:10" x14ac:dyDescent="0.3">
      <c r="A1393" t="s">
        <v>2398</v>
      </c>
      <c r="B1393" t="s">
        <v>2399</v>
      </c>
      <c r="D1393" s="6">
        <v>1000</v>
      </c>
      <c r="G1393" s="7">
        <v>10</v>
      </c>
      <c r="H1393" s="4" t="s">
        <v>2400</v>
      </c>
      <c r="J1393" t="s">
        <v>101</v>
      </c>
    </row>
    <row r="1394" spans="1:10" x14ac:dyDescent="0.3">
      <c r="A1394" t="s">
        <v>2398</v>
      </c>
      <c r="B1394" t="s">
        <v>2399</v>
      </c>
      <c r="D1394" s="6">
        <v>1000</v>
      </c>
      <c r="G1394" s="7">
        <v>10</v>
      </c>
      <c r="H1394" s="4" t="s">
        <v>2400</v>
      </c>
      <c r="J1394" t="s">
        <v>101</v>
      </c>
    </row>
    <row r="1395" spans="1:10" x14ac:dyDescent="0.3">
      <c r="A1395" t="s">
        <v>2401</v>
      </c>
      <c r="B1395" t="s">
        <v>2402</v>
      </c>
      <c r="D1395" s="6">
        <v>1000</v>
      </c>
      <c r="G1395" s="7">
        <v>10.029999999999999</v>
      </c>
      <c r="H1395" s="4" t="s">
        <v>2403</v>
      </c>
      <c r="J1395" t="s">
        <v>59</v>
      </c>
    </row>
    <row r="1396" spans="1:10" x14ac:dyDescent="0.3">
      <c r="A1396" t="s">
        <v>2401</v>
      </c>
      <c r="B1396" t="s">
        <v>2402</v>
      </c>
      <c r="D1396" s="6">
        <v>1000</v>
      </c>
      <c r="G1396" s="7">
        <v>10.029999999999999</v>
      </c>
      <c r="H1396" s="4" t="s">
        <v>2403</v>
      </c>
      <c r="J1396" t="s">
        <v>59</v>
      </c>
    </row>
    <row r="1397" spans="1:10" x14ac:dyDescent="0.3">
      <c r="A1397" t="s">
        <v>2404</v>
      </c>
      <c r="B1397" t="s">
        <v>2405</v>
      </c>
      <c r="D1397" s="6">
        <v>1000</v>
      </c>
      <c r="G1397" s="7">
        <v>10.5</v>
      </c>
      <c r="H1397" s="4" t="s">
        <v>2403</v>
      </c>
      <c r="J1397" t="s">
        <v>101</v>
      </c>
    </row>
    <row r="1398" spans="1:10" x14ac:dyDescent="0.3">
      <c r="A1398" t="s">
        <v>2404</v>
      </c>
      <c r="B1398" t="s">
        <v>2405</v>
      </c>
      <c r="D1398" s="6">
        <v>1000</v>
      </c>
      <c r="G1398" s="7">
        <v>10.5</v>
      </c>
      <c r="H1398" s="4" t="s">
        <v>2403</v>
      </c>
      <c r="J1398" t="s">
        <v>101</v>
      </c>
    </row>
    <row r="1399" spans="1:10" x14ac:dyDescent="0.3">
      <c r="A1399" t="s">
        <v>2406</v>
      </c>
      <c r="B1399" t="s">
        <v>2407</v>
      </c>
      <c r="D1399" s="6">
        <v>1000</v>
      </c>
      <c r="G1399" s="7">
        <v>9.5699999999999985</v>
      </c>
      <c r="H1399" s="4" t="s">
        <v>2400</v>
      </c>
      <c r="J1399" t="s">
        <v>59</v>
      </c>
    </row>
    <row r="1400" spans="1:10" x14ac:dyDescent="0.3">
      <c r="A1400" t="s">
        <v>2406</v>
      </c>
      <c r="B1400" t="s">
        <v>2407</v>
      </c>
      <c r="D1400" s="6">
        <v>1000</v>
      </c>
      <c r="G1400" s="7">
        <v>9.5699999999999985</v>
      </c>
      <c r="H1400" s="4" t="s">
        <v>2400</v>
      </c>
      <c r="J1400" t="s">
        <v>59</v>
      </c>
    </row>
    <row r="1401" spans="1:10" x14ac:dyDescent="0.3">
      <c r="A1401" t="s">
        <v>2408</v>
      </c>
      <c r="B1401" t="s">
        <v>2409</v>
      </c>
      <c r="D1401" s="6">
        <v>1000</v>
      </c>
      <c r="G1401" s="7">
        <v>9.6</v>
      </c>
      <c r="H1401" s="4" t="s">
        <v>2397</v>
      </c>
      <c r="J1401" t="s">
        <v>101</v>
      </c>
    </row>
    <row r="1402" spans="1:10" x14ac:dyDescent="0.3">
      <c r="A1402" t="s">
        <v>2408</v>
      </c>
      <c r="B1402" t="s">
        <v>2409</v>
      </c>
      <c r="D1402" s="6">
        <v>1000</v>
      </c>
      <c r="G1402" s="7">
        <v>9.6</v>
      </c>
      <c r="H1402" s="4" t="s">
        <v>2397</v>
      </c>
      <c r="J1402" t="s">
        <v>101</v>
      </c>
    </row>
    <row r="1403" spans="1:10" x14ac:dyDescent="0.3">
      <c r="A1403" t="s">
        <v>2410</v>
      </c>
      <c r="B1403" t="s">
        <v>2411</v>
      </c>
      <c r="D1403" t="s">
        <v>460</v>
      </c>
      <c r="G1403" s="7" t="s">
        <v>460</v>
      </c>
      <c r="H1403" s="4" t="s">
        <v>460</v>
      </c>
      <c r="J1403" t="s">
        <v>460</v>
      </c>
    </row>
    <row r="1404" spans="1:10" x14ac:dyDescent="0.3">
      <c r="A1404" t="s">
        <v>2412</v>
      </c>
      <c r="B1404" t="s">
        <v>2413</v>
      </c>
      <c r="D1404" t="s">
        <v>460</v>
      </c>
      <c r="G1404" s="7" t="s">
        <v>460</v>
      </c>
      <c r="H1404" s="4" t="s">
        <v>460</v>
      </c>
      <c r="J1404" t="s">
        <v>460</v>
      </c>
    </row>
    <row r="1405" spans="1:10" x14ac:dyDescent="0.3">
      <c r="A1405" t="s">
        <v>2414</v>
      </c>
      <c r="B1405" t="s">
        <v>2415</v>
      </c>
      <c r="D1405" s="6">
        <v>1000</v>
      </c>
      <c r="G1405" s="7" t="s">
        <v>65</v>
      </c>
      <c r="H1405" s="4" t="s">
        <v>71</v>
      </c>
      <c r="J1405" t="s">
        <v>49</v>
      </c>
    </row>
    <row r="1406" spans="1:10" x14ac:dyDescent="0.3">
      <c r="A1406" t="s">
        <v>2416</v>
      </c>
      <c r="B1406" t="s">
        <v>2417</v>
      </c>
      <c r="D1406" s="6">
        <v>1000</v>
      </c>
      <c r="G1406" s="7">
        <v>9.75</v>
      </c>
      <c r="H1406" s="4" t="s">
        <v>2418</v>
      </c>
      <c r="J1406" t="s">
        <v>59</v>
      </c>
    </row>
    <row r="1407" spans="1:10" x14ac:dyDescent="0.3">
      <c r="A1407" t="s">
        <v>2419</v>
      </c>
      <c r="B1407" t="s">
        <v>2420</v>
      </c>
      <c r="D1407" s="6">
        <v>1000</v>
      </c>
      <c r="G1407" s="7">
        <v>10</v>
      </c>
      <c r="H1407" s="4" t="s">
        <v>2418</v>
      </c>
      <c r="J1407" t="s">
        <v>62</v>
      </c>
    </row>
    <row r="1408" spans="1:10" x14ac:dyDescent="0.3">
      <c r="A1408" t="s">
        <v>2421</v>
      </c>
      <c r="B1408" t="s">
        <v>2422</v>
      </c>
      <c r="D1408" s="6">
        <v>1000</v>
      </c>
      <c r="G1408" s="7" t="s">
        <v>65</v>
      </c>
      <c r="H1408" s="4" t="s">
        <v>2418</v>
      </c>
      <c r="J1408" t="s">
        <v>49</v>
      </c>
    </row>
    <row r="1409" spans="1:10" x14ac:dyDescent="0.3">
      <c r="A1409" t="s">
        <v>2423</v>
      </c>
      <c r="B1409" t="s">
        <v>2424</v>
      </c>
      <c r="D1409" s="6">
        <v>1000</v>
      </c>
      <c r="G1409" s="7" t="s">
        <v>65</v>
      </c>
      <c r="H1409" s="4" t="s">
        <v>2425</v>
      </c>
      <c r="J1409" t="s">
        <v>49</v>
      </c>
    </row>
    <row r="1410" spans="1:10" x14ac:dyDescent="0.3">
      <c r="A1410" t="s">
        <v>2426</v>
      </c>
      <c r="B1410" t="s">
        <v>2427</v>
      </c>
      <c r="D1410" s="6">
        <v>1000</v>
      </c>
      <c r="G1410" s="7" t="s">
        <v>65</v>
      </c>
      <c r="H1410" s="4" t="s">
        <v>2121</v>
      </c>
      <c r="J1410" t="s">
        <v>49</v>
      </c>
    </row>
    <row r="1411" spans="1:10" x14ac:dyDescent="0.3">
      <c r="A1411" t="s">
        <v>2428</v>
      </c>
      <c r="B1411" t="s">
        <v>2429</v>
      </c>
      <c r="D1411" s="6">
        <v>1000</v>
      </c>
      <c r="G1411" s="7" t="s">
        <v>65</v>
      </c>
      <c r="H1411" s="4" t="s">
        <v>2430</v>
      </c>
      <c r="J1411" t="s">
        <v>49</v>
      </c>
    </row>
    <row r="1412" spans="1:10" x14ac:dyDescent="0.3">
      <c r="A1412" t="s">
        <v>2431</v>
      </c>
      <c r="B1412" t="s">
        <v>2432</v>
      </c>
      <c r="D1412" s="6">
        <v>1000</v>
      </c>
      <c r="G1412" s="7">
        <v>9.75</v>
      </c>
      <c r="H1412" s="4" t="s">
        <v>2121</v>
      </c>
      <c r="J1412" t="s">
        <v>59</v>
      </c>
    </row>
    <row r="1413" spans="1:10" x14ac:dyDescent="0.3">
      <c r="A1413" t="s">
        <v>2433</v>
      </c>
      <c r="B1413" t="s">
        <v>2434</v>
      </c>
      <c r="D1413" s="6">
        <v>1000</v>
      </c>
      <c r="G1413" s="7">
        <v>10</v>
      </c>
      <c r="H1413" s="4" t="s">
        <v>2121</v>
      </c>
      <c r="J1413" t="s">
        <v>62</v>
      </c>
    </row>
    <row r="1414" spans="1:10" x14ac:dyDescent="0.3">
      <c r="A1414" t="s">
        <v>2435</v>
      </c>
      <c r="B1414" t="s">
        <v>2436</v>
      </c>
      <c r="D1414" s="6">
        <v>1000</v>
      </c>
      <c r="G1414" s="7">
        <v>7.5</v>
      </c>
      <c r="H1414" s="4" t="s">
        <v>318</v>
      </c>
      <c r="J1414" t="s">
        <v>59</v>
      </c>
    </row>
    <row r="1415" spans="1:10" x14ac:dyDescent="0.3">
      <c r="A1415" t="s">
        <v>2437</v>
      </c>
      <c r="B1415" t="s">
        <v>2438</v>
      </c>
      <c r="D1415" s="6">
        <v>1000</v>
      </c>
      <c r="G1415" s="7">
        <v>7.75</v>
      </c>
      <c r="H1415" s="4" t="s">
        <v>318</v>
      </c>
      <c r="J1415" t="s">
        <v>62</v>
      </c>
    </row>
    <row r="1416" spans="1:10" x14ac:dyDescent="0.3">
      <c r="A1416" t="s">
        <v>2439</v>
      </c>
      <c r="B1416" t="s">
        <v>2440</v>
      </c>
      <c r="D1416" s="6">
        <v>1000</v>
      </c>
      <c r="G1416" s="7" t="s">
        <v>65</v>
      </c>
      <c r="H1416" s="4" t="s">
        <v>318</v>
      </c>
      <c r="J1416" t="s">
        <v>49</v>
      </c>
    </row>
    <row r="1417" spans="1:10" x14ac:dyDescent="0.3">
      <c r="A1417" t="s">
        <v>2441</v>
      </c>
      <c r="B1417" t="s">
        <v>2442</v>
      </c>
      <c r="D1417" s="6">
        <v>1000</v>
      </c>
      <c r="G1417" s="7">
        <v>7.1</v>
      </c>
      <c r="H1417" s="4" t="s">
        <v>2443</v>
      </c>
      <c r="J1417" t="s">
        <v>59</v>
      </c>
    </row>
    <row r="1418" spans="1:10" x14ac:dyDescent="0.3">
      <c r="A1418" t="s">
        <v>2444</v>
      </c>
      <c r="B1418" t="s">
        <v>2445</v>
      </c>
      <c r="D1418" s="6">
        <v>1000</v>
      </c>
      <c r="G1418" s="7">
        <v>7.35</v>
      </c>
      <c r="H1418" s="4" t="s">
        <v>2443</v>
      </c>
      <c r="J1418" t="s">
        <v>62</v>
      </c>
    </row>
    <row r="1419" spans="1:10" x14ac:dyDescent="0.3">
      <c r="A1419" t="s">
        <v>2446</v>
      </c>
      <c r="B1419" t="s">
        <v>2447</v>
      </c>
      <c r="D1419" s="6">
        <v>1000</v>
      </c>
      <c r="G1419" s="7" t="s">
        <v>65</v>
      </c>
      <c r="H1419" s="4" t="s">
        <v>2443</v>
      </c>
      <c r="J1419" t="s">
        <v>49</v>
      </c>
    </row>
    <row r="1420" spans="1:10" x14ac:dyDescent="0.3">
      <c r="A1420" t="s">
        <v>2448</v>
      </c>
      <c r="B1420" t="s">
        <v>2449</v>
      </c>
      <c r="D1420" s="6">
        <v>1000</v>
      </c>
      <c r="G1420" s="7">
        <v>7.35</v>
      </c>
      <c r="H1420" s="4" t="s">
        <v>2450</v>
      </c>
      <c r="J1420" t="s">
        <v>59</v>
      </c>
    </row>
    <row r="1421" spans="1:10" x14ac:dyDescent="0.3">
      <c r="A1421" t="s">
        <v>2451</v>
      </c>
      <c r="B1421" t="s">
        <v>2452</v>
      </c>
      <c r="D1421" s="6">
        <v>1000</v>
      </c>
      <c r="G1421" s="7">
        <v>7.6</v>
      </c>
      <c r="H1421" s="4" t="s">
        <v>2450</v>
      </c>
      <c r="J1421" t="s">
        <v>62</v>
      </c>
    </row>
    <row r="1422" spans="1:10" x14ac:dyDescent="0.3">
      <c r="A1422" t="s">
        <v>2453</v>
      </c>
      <c r="B1422" t="s">
        <v>2454</v>
      </c>
      <c r="D1422" s="6">
        <v>1000</v>
      </c>
      <c r="G1422" s="7">
        <v>8</v>
      </c>
      <c r="H1422" s="4" t="s">
        <v>2455</v>
      </c>
      <c r="J1422" t="s">
        <v>62</v>
      </c>
    </row>
    <row r="1423" spans="1:10" x14ac:dyDescent="0.3">
      <c r="A1423" t="s">
        <v>2456</v>
      </c>
      <c r="B1423" t="s">
        <v>2457</v>
      </c>
      <c r="D1423" s="6">
        <v>1000</v>
      </c>
      <c r="G1423" s="7" t="s">
        <v>65</v>
      </c>
      <c r="H1423" s="4" t="s">
        <v>2450</v>
      </c>
      <c r="J1423" t="s">
        <v>49</v>
      </c>
    </row>
    <row r="1424" spans="1:10" x14ac:dyDescent="0.3">
      <c r="A1424" t="s">
        <v>2458</v>
      </c>
      <c r="B1424" t="s">
        <v>2459</v>
      </c>
      <c r="D1424" s="6">
        <v>1000</v>
      </c>
      <c r="G1424" s="7">
        <v>6.5</v>
      </c>
      <c r="H1424" s="4" t="s">
        <v>2460</v>
      </c>
      <c r="J1424" t="s">
        <v>59</v>
      </c>
    </row>
    <row r="1425" spans="1:10" x14ac:dyDescent="0.3">
      <c r="A1425" t="s">
        <v>2461</v>
      </c>
      <c r="B1425" t="s">
        <v>2462</v>
      </c>
      <c r="D1425" s="6">
        <v>1000</v>
      </c>
      <c r="G1425" s="7">
        <v>6.75</v>
      </c>
      <c r="H1425" s="4" t="s">
        <v>2463</v>
      </c>
      <c r="J1425" t="s">
        <v>59</v>
      </c>
    </row>
    <row r="1426" spans="1:10" x14ac:dyDescent="0.3">
      <c r="A1426" t="s">
        <v>2464</v>
      </c>
      <c r="B1426" t="s">
        <v>2465</v>
      </c>
      <c r="D1426" s="6">
        <v>1000</v>
      </c>
      <c r="G1426" s="7">
        <v>6.75</v>
      </c>
      <c r="H1426" s="4" t="s">
        <v>2460</v>
      </c>
      <c r="J1426" t="s">
        <v>62</v>
      </c>
    </row>
    <row r="1427" spans="1:10" x14ac:dyDescent="0.3">
      <c r="A1427" t="s">
        <v>2466</v>
      </c>
      <c r="B1427" t="s">
        <v>2467</v>
      </c>
      <c r="D1427" s="6">
        <v>1000</v>
      </c>
      <c r="G1427" s="7">
        <v>7.0000000000000009</v>
      </c>
      <c r="H1427" s="4" t="s">
        <v>2463</v>
      </c>
      <c r="J1427" t="s">
        <v>62</v>
      </c>
    </row>
    <row r="1428" spans="1:10" x14ac:dyDescent="0.3">
      <c r="A1428" t="s">
        <v>2468</v>
      </c>
      <c r="B1428" t="s">
        <v>2469</v>
      </c>
      <c r="D1428" s="6">
        <v>1000</v>
      </c>
      <c r="G1428" s="7">
        <v>7.2499999999999991</v>
      </c>
      <c r="H1428" s="4" t="s">
        <v>2470</v>
      </c>
      <c r="J1428" t="s">
        <v>62</v>
      </c>
    </row>
    <row r="1429" spans="1:10" x14ac:dyDescent="0.3">
      <c r="A1429" t="s">
        <v>2471</v>
      </c>
      <c r="B1429" t="s">
        <v>2472</v>
      </c>
      <c r="D1429" s="6">
        <v>1000</v>
      </c>
      <c r="G1429" s="7">
        <v>7.5</v>
      </c>
      <c r="H1429" s="4" t="s">
        <v>2473</v>
      </c>
      <c r="J1429" t="s">
        <v>62</v>
      </c>
    </row>
    <row r="1430" spans="1:10" x14ac:dyDescent="0.3">
      <c r="A1430" t="s">
        <v>2474</v>
      </c>
      <c r="B1430" t="s">
        <v>2475</v>
      </c>
      <c r="D1430" s="6">
        <v>1000</v>
      </c>
      <c r="G1430" s="7" t="s">
        <v>65</v>
      </c>
      <c r="H1430" s="4" t="s">
        <v>2460</v>
      </c>
      <c r="J1430" t="s">
        <v>49</v>
      </c>
    </row>
    <row r="1431" spans="1:10" x14ac:dyDescent="0.3">
      <c r="A1431" t="s">
        <v>2476</v>
      </c>
      <c r="B1431" t="s">
        <v>2477</v>
      </c>
      <c r="D1431" s="6">
        <v>1000</v>
      </c>
      <c r="G1431" s="7" t="s">
        <v>65</v>
      </c>
      <c r="H1431" s="4" t="s">
        <v>2463</v>
      </c>
      <c r="J1431" t="s">
        <v>49</v>
      </c>
    </row>
    <row r="1432" spans="1:10" x14ac:dyDescent="0.3">
      <c r="A1432" t="s">
        <v>2478</v>
      </c>
      <c r="B1432" t="s">
        <v>2479</v>
      </c>
      <c r="D1432" s="6">
        <v>1000</v>
      </c>
      <c r="G1432" s="7">
        <v>6.75</v>
      </c>
      <c r="H1432" s="4" t="s">
        <v>791</v>
      </c>
      <c r="J1432" t="s">
        <v>59</v>
      </c>
    </row>
    <row r="1433" spans="1:10" x14ac:dyDescent="0.3">
      <c r="A1433" t="s">
        <v>2480</v>
      </c>
      <c r="B1433" t="s">
        <v>2481</v>
      </c>
      <c r="D1433" s="6">
        <v>1000</v>
      </c>
      <c r="G1433" s="7">
        <v>7.0000000000000009</v>
      </c>
      <c r="H1433" s="4" t="s">
        <v>2482</v>
      </c>
      <c r="J1433" t="s">
        <v>59</v>
      </c>
    </row>
    <row r="1434" spans="1:10" x14ac:dyDescent="0.3">
      <c r="A1434" t="s">
        <v>2483</v>
      </c>
      <c r="B1434" t="s">
        <v>2484</v>
      </c>
      <c r="D1434" s="6">
        <v>1000</v>
      </c>
      <c r="G1434" s="7">
        <v>7.0000000000000009</v>
      </c>
      <c r="H1434" s="4" t="s">
        <v>791</v>
      </c>
      <c r="J1434" t="s">
        <v>62</v>
      </c>
    </row>
    <row r="1435" spans="1:10" x14ac:dyDescent="0.3">
      <c r="A1435" t="s">
        <v>2485</v>
      </c>
      <c r="B1435" t="s">
        <v>2486</v>
      </c>
      <c r="D1435" s="6">
        <v>1000</v>
      </c>
      <c r="G1435" s="7">
        <v>7.5</v>
      </c>
      <c r="H1435" s="4" t="s">
        <v>788</v>
      </c>
      <c r="J1435" t="s">
        <v>62</v>
      </c>
    </row>
    <row r="1436" spans="1:10" x14ac:dyDescent="0.3">
      <c r="A1436" t="s">
        <v>2487</v>
      </c>
      <c r="B1436" t="s">
        <v>2488</v>
      </c>
      <c r="D1436" s="6">
        <v>1000</v>
      </c>
      <c r="G1436" s="7" t="s">
        <v>65</v>
      </c>
      <c r="H1436" s="4" t="s">
        <v>791</v>
      </c>
      <c r="J1436" t="s">
        <v>49</v>
      </c>
    </row>
    <row r="1437" spans="1:10" x14ac:dyDescent="0.3">
      <c r="A1437" t="s">
        <v>2489</v>
      </c>
      <c r="B1437" t="s">
        <v>2490</v>
      </c>
      <c r="D1437" s="6">
        <v>1000</v>
      </c>
      <c r="G1437" s="7" t="s">
        <v>65</v>
      </c>
      <c r="H1437" s="4" t="s">
        <v>2482</v>
      </c>
      <c r="J1437" t="s">
        <v>49</v>
      </c>
    </row>
    <row r="1438" spans="1:10" x14ac:dyDescent="0.3">
      <c r="A1438" t="s">
        <v>2491</v>
      </c>
      <c r="B1438" t="s">
        <v>2492</v>
      </c>
      <c r="D1438" s="6">
        <v>1000</v>
      </c>
      <c r="G1438" s="7">
        <v>7.0000000000000009</v>
      </c>
      <c r="H1438" s="4" t="s">
        <v>1091</v>
      </c>
      <c r="J1438" t="s">
        <v>59</v>
      </c>
    </row>
    <row r="1439" spans="1:10" x14ac:dyDescent="0.3">
      <c r="A1439" t="s">
        <v>2493</v>
      </c>
      <c r="B1439" t="s">
        <v>2494</v>
      </c>
      <c r="D1439" s="6">
        <v>1000</v>
      </c>
      <c r="G1439" s="7">
        <v>7.2499999999999991</v>
      </c>
      <c r="H1439" s="4" t="s">
        <v>1268</v>
      </c>
      <c r="J1439" t="s">
        <v>59</v>
      </c>
    </row>
    <row r="1440" spans="1:10" x14ac:dyDescent="0.3">
      <c r="A1440" t="s">
        <v>2495</v>
      </c>
      <c r="B1440" t="s">
        <v>2496</v>
      </c>
      <c r="D1440" s="6">
        <v>1000</v>
      </c>
      <c r="G1440" s="7">
        <v>7.0000000000000009</v>
      </c>
      <c r="H1440" s="4" t="s">
        <v>1251</v>
      </c>
      <c r="J1440" t="s">
        <v>62</v>
      </c>
    </row>
    <row r="1441" spans="1:10" x14ac:dyDescent="0.3">
      <c r="A1441" t="s">
        <v>2497</v>
      </c>
      <c r="B1441" t="s">
        <v>2498</v>
      </c>
      <c r="D1441" s="6">
        <v>1000</v>
      </c>
      <c r="G1441" s="7">
        <v>7.2499999999999991</v>
      </c>
      <c r="H1441" s="4" t="s">
        <v>1091</v>
      </c>
      <c r="J1441" t="s">
        <v>62</v>
      </c>
    </row>
    <row r="1442" spans="1:10" x14ac:dyDescent="0.3">
      <c r="A1442" t="s">
        <v>2499</v>
      </c>
      <c r="B1442" t="s">
        <v>2500</v>
      </c>
      <c r="D1442" s="6">
        <v>1000</v>
      </c>
      <c r="G1442" s="7">
        <v>7.5</v>
      </c>
      <c r="H1442" s="4" t="s">
        <v>1268</v>
      </c>
      <c r="J1442" t="s">
        <v>62</v>
      </c>
    </row>
    <row r="1443" spans="1:10" x14ac:dyDescent="0.3">
      <c r="A1443" t="s">
        <v>2501</v>
      </c>
      <c r="B1443" t="s">
        <v>2502</v>
      </c>
      <c r="D1443" s="6">
        <v>1000</v>
      </c>
      <c r="G1443" s="7" t="s">
        <v>65</v>
      </c>
      <c r="H1443" s="4" t="s">
        <v>1268</v>
      </c>
      <c r="J1443" t="s">
        <v>49</v>
      </c>
    </row>
    <row r="1444" spans="1:10" x14ac:dyDescent="0.3">
      <c r="A1444" t="s">
        <v>2503</v>
      </c>
      <c r="B1444" t="s">
        <v>2504</v>
      </c>
      <c r="D1444" s="6">
        <v>1000</v>
      </c>
      <c r="G1444" s="7" t="s">
        <v>65</v>
      </c>
      <c r="H1444" s="4" t="s">
        <v>1091</v>
      </c>
      <c r="J1444" t="s">
        <v>49</v>
      </c>
    </row>
    <row r="1445" spans="1:10" x14ac:dyDescent="0.3">
      <c r="A1445" t="s">
        <v>2505</v>
      </c>
      <c r="B1445" t="s">
        <v>2506</v>
      </c>
      <c r="D1445" s="6">
        <v>1000</v>
      </c>
      <c r="G1445" s="7">
        <v>7.35</v>
      </c>
      <c r="H1445" s="4" t="s">
        <v>2507</v>
      </c>
      <c r="J1445" t="s">
        <v>59</v>
      </c>
    </row>
    <row r="1446" spans="1:10" x14ac:dyDescent="0.3">
      <c r="A1446" t="s">
        <v>2508</v>
      </c>
      <c r="B1446" t="s">
        <v>2509</v>
      </c>
      <c r="D1446" s="6">
        <v>1000</v>
      </c>
      <c r="G1446" s="7">
        <v>7.2499999999999991</v>
      </c>
      <c r="H1446" s="4" t="s">
        <v>358</v>
      </c>
      <c r="J1446" t="s">
        <v>62</v>
      </c>
    </row>
    <row r="1447" spans="1:10" x14ac:dyDescent="0.3">
      <c r="A1447" t="s">
        <v>2510</v>
      </c>
      <c r="B1447" t="s">
        <v>2511</v>
      </c>
      <c r="D1447" s="6">
        <v>1000</v>
      </c>
      <c r="G1447" s="7">
        <v>7.6</v>
      </c>
      <c r="H1447" s="4" t="s">
        <v>2507</v>
      </c>
      <c r="J1447" t="s">
        <v>62</v>
      </c>
    </row>
    <row r="1448" spans="1:10" x14ac:dyDescent="0.3">
      <c r="A1448" t="s">
        <v>2512</v>
      </c>
      <c r="B1448" t="s">
        <v>2513</v>
      </c>
      <c r="D1448" s="6">
        <v>1000</v>
      </c>
      <c r="G1448" s="7">
        <v>7.75</v>
      </c>
      <c r="H1448" s="4" t="s">
        <v>869</v>
      </c>
      <c r="J1448" t="s">
        <v>62</v>
      </c>
    </row>
    <row r="1449" spans="1:10" x14ac:dyDescent="0.3">
      <c r="A1449" t="s">
        <v>2514</v>
      </c>
      <c r="B1449" t="s">
        <v>2515</v>
      </c>
      <c r="D1449" s="6">
        <v>1000</v>
      </c>
      <c r="G1449" s="7" t="s">
        <v>65</v>
      </c>
      <c r="H1449" s="4" t="s">
        <v>2507</v>
      </c>
      <c r="J1449" t="s">
        <v>49</v>
      </c>
    </row>
    <row r="1450" spans="1:10" x14ac:dyDescent="0.3">
      <c r="A1450" t="s">
        <v>2516</v>
      </c>
      <c r="B1450" t="s">
        <v>2517</v>
      </c>
      <c r="D1450" s="6">
        <v>1000</v>
      </c>
      <c r="G1450" s="7" t="s">
        <v>65</v>
      </c>
      <c r="H1450" s="4" t="s">
        <v>869</v>
      </c>
      <c r="J1450" t="s">
        <v>49</v>
      </c>
    </row>
    <row r="1451" spans="1:10" x14ac:dyDescent="0.3">
      <c r="A1451" t="s">
        <v>2518</v>
      </c>
      <c r="B1451" t="s">
        <v>2519</v>
      </c>
      <c r="D1451" s="6">
        <v>1000</v>
      </c>
      <c r="G1451" s="7">
        <v>7.5</v>
      </c>
      <c r="H1451" s="4" t="s">
        <v>869</v>
      </c>
      <c r="J1451" t="s">
        <v>59</v>
      </c>
    </row>
    <row r="1452" spans="1:10" x14ac:dyDescent="0.3">
      <c r="A1452" t="s">
        <v>2520</v>
      </c>
      <c r="B1452" t="s">
        <v>2521</v>
      </c>
      <c r="D1452" s="6">
        <v>1000</v>
      </c>
      <c r="G1452" s="7">
        <v>7.75</v>
      </c>
      <c r="H1452" s="4" t="s">
        <v>2522</v>
      </c>
      <c r="J1452" t="s">
        <v>59</v>
      </c>
    </row>
    <row r="1453" spans="1:10" x14ac:dyDescent="0.3">
      <c r="A1453" t="s">
        <v>2523</v>
      </c>
      <c r="B1453" t="s">
        <v>2524</v>
      </c>
      <c r="D1453" s="6">
        <v>1000</v>
      </c>
      <c r="G1453" s="7">
        <v>7.85</v>
      </c>
      <c r="H1453" s="4" t="s">
        <v>2525</v>
      </c>
      <c r="J1453" t="s">
        <v>59</v>
      </c>
    </row>
    <row r="1454" spans="1:10" x14ac:dyDescent="0.3">
      <c r="A1454" t="s">
        <v>2526</v>
      </c>
      <c r="B1454" t="s">
        <v>2527</v>
      </c>
      <c r="D1454" s="6">
        <v>1000</v>
      </c>
      <c r="G1454" s="7">
        <v>7.75</v>
      </c>
      <c r="H1454" s="4" t="s">
        <v>2528</v>
      </c>
      <c r="J1454" t="s">
        <v>62</v>
      </c>
    </row>
    <row r="1455" spans="1:10" x14ac:dyDescent="0.3">
      <c r="A1455" t="s">
        <v>2529</v>
      </c>
      <c r="B1455" t="s">
        <v>2530</v>
      </c>
      <c r="D1455" s="6">
        <v>1000</v>
      </c>
      <c r="G1455" s="7" t="s">
        <v>65</v>
      </c>
      <c r="H1455" s="4" t="s">
        <v>2525</v>
      </c>
      <c r="J1455" t="s">
        <v>49</v>
      </c>
    </row>
    <row r="1456" spans="1:10" x14ac:dyDescent="0.3">
      <c r="A1456" t="s">
        <v>2531</v>
      </c>
      <c r="B1456" t="s">
        <v>2532</v>
      </c>
      <c r="D1456" s="6">
        <v>1000</v>
      </c>
      <c r="G1456" s="7" t="s">
        <v>65</v>
      </c>
      <c r="H1456" s="4" t="s">
        <v>2522</v>
      </c>
      <c r="J1456" t="s">
        <v>49</v>
      </c>
    </row>
    <row r="1457" spans="1:10" x14ac:dyDescent="0.3">
      <c r="A1457" t="s">
        <v>2533</v>
      </c>
      <c r="B1457" t="s">
        <v>2534</v>
      </c>
      <c r="D1457" s="6">
        <v>1000</v>
      </c>
      <c r="G1457" s="7">
        <v>8.1</v>
      </c>
      <c r="H1457" s="4" t="s">
        <v>2525</v>
      </c>
      <c r="J1457" t="s">
        <v>62</v>
      </c>
    </row>
    <row r="1458" spans="1:10" x14ac:dyDescent="0.3">
      <c r="A1458" t="s">
        <v>2535</v>
      </c>
      <c r="B1458" t="s">
        <v>2536</v>
      </c>
      <c r="D1458" s="6">
        <v>1000</v>
      </c>
      <c r="G1458" s="7">
        <v>8</v>
      </c>
      <c r="H1458" s="4" t="s">
        <v>2522</v>
      </c>
      <c r="J1458" t="s">
        <v>62</v>
      </c>
    </row>
    <row r="1459" spans="1:10" x14ac:dyDescent="0.3">
      <c r="A1459" t="s">
        <v>2537</v>
      </c>
      <c r="B1459" t="s">
        <v>2538</v>
      </c>
      <c r="D1459" s="6">
        <v>1000</v>
      </c>
      <c r="G1459" s="7">
        <v>7.75</v>
      </c>
      <c r="H1459" s="4" t="s">
        <v>2539</v>
      </c>
      <c r="J1459" t="s">
        <v>59</v>
      </c>
    </row>
    <row r="1460" spans="1:10" x14ac:dyDescent="0.3">
      <c r="A1460" t="s">
        <v>2540</v>
      </c>
      <c r="B1460" t="s">
        <v>2541</v>
      </c>
      <c r="D1460" s="6">
        <v>1000</v>
      </c>
      <c r="G1460" s="7">
        <v>7.85</v>
      </c>
      <c r="H1460" s="4" t="s">
        <v>2542</v>
      </c>
      <c r="J1460" t="s">
        <v>59</v>
      </c>
    </row>
    <row r="1461" spans="1:10" x14ac:dyDescent="0.3">
      <c r="A1461" t="s">
        <v>2543</v>
      </c>
      <c r="B1461" t="s">
        <v>2544</v>
      </c>
      <c r="D1461" s="6">
        <v>1000</v>
      </c>
      <c r="G1461" s="7">
        <v>7.75</v>
      </c>
      <c r="H1461" s="4" t="s">
        <v>2545</v>
      </c>
      <c r="J1461" t="s">
        <v>62</v>
      </c>
    </row>
    <row r="1462" spans="1:10" x14ac:dyDescent="0.3">
      <c r="A1462" t="s">
        <v>2546</v>
      </c>
      <c r="B1462" t="s">
        <v>2547</v>
      </c>
      <c r="D1462" s="6">
        <v>1000</v>
      </c>
      <c r="G1462" s="7">
        <v>8</v>
      </c>
      <c r="H1462" s="4" t="s">
        <v>2539</v>
      </c>
      <c r="J1462" t="s">
        <v>62</v>
      </c>
    </row>
    <row r="1463" spans="1:10" x14ac:dyDescent="0.3">
      <c r="A1463" t="s">
        <v>2548</v>
      </c>
      <c r="B1463" t="s">
        <v>2549</v>
      </c>
      <c r="D1463" s="6">
        <v>1000</v>
      </c>
      <c r="G1463" s="7">
        <v>8.1</v>
      </c>
      <c r="H1463" s="4" t="s">
        <v>2542</v>
      </c>
      <c r="J1463" t="s">
        <v>62</v>
      </c>
    </row>
    <row r="1464" spans="1:10" x14ac:dyDescent="0.3">
      <c r="A1464" t="s">
        <v>2550</v>
      </c>
      <c r="B1464" t="s">
        <v>2551</v>
      </c>
      <c r="D1464" s="6">
        <v>1000</v>
      </c>
      <c r="G1464" s="7" t="s">
        <v>65</v>
      </c>
      <c r="H1464" s="4" t="s">
        <v>2539</v>
      </c>
      <c r="J1464" t="s">
        <v>49</v>
      </c>
    </row>
    <row r="1465" spans="1:10" x14ac:dyDescent="0.3">
      <c r="A1465" t="s">
        <v>2552</v>
      </c>
      <c r="B1465" t="s">
        <v>2553</v>
      </c>
      <c r="D1465" s="6">
        <v>1000</v>
      </c>
      <c r="G1465" s="7" t="s">
        <v>65</v>
      </c>
      <c r="H1465" s="4" t="s">
        <v>2542</v>
      </c>
      <c r="J1465" t="s">
        <v>49</v>
      </c>
    </row>
    <row r="1466" spans="1:10" x14ac:dyDescent="0.3">
      <c r="A1466" t="s">
        <v>2554</v>
      </c>
      <c r="B1466" t="s">
        <v>2555</v>
      </c>
      <c r="D1466" s="6">
        <v>1000</v>
      </c>
      <c r="G1466" s="7" t="s">
        <v>65</v>
      </c>
      <c r="H1466" s="4" t="s">
        <v>2556</v>
      </c>
      <c r="J1466" t="s">
        <v>49</v>
      </c>
    </row>
    <row r="1467" spans="1:10" x14ac:dyDescent="0.3">
      <c r="A1467" t="s">
        <v>2557</v>
      </c>
      <c r="B1467" t="s">
        <v>2558</v>
      </c>
      <c r="D1467" s="6">
        <v>1000</v>
      </c>
      <c r="G1467" s="7">
        <v>7.75</v>
      </c>
      <c r="H1467" s="4" t="s">
        <v>2559</v>
      </c>
      <c r="J1467" t="s">
        <v>59</v>
      </c>
    </row>
    <row r="1468" spans="1:10" x14ac:dyDescent="0.3">
      <c r="A1468" t="s">
        <v>2560</v>
      </c>
      <c r="B1468" t="s">
        <v>2561</v>
      </c>
      <c r="D1468" s="6">
        <v>1000</v>
      </c>
      <c r="G1468" s="7">
        <v>7.75</v>
      </c>
      <c r="H1468" s="4" t="s">
        <v>2556</v>
      </c>
      <c r="J1468" t="s">
        <v>59</v>
      </c>
    </row>
    <row r="1469" spans="1:10" x14ac:dyDescent="0.3">
      <c r="A1469" t="s">
        <v>2562</v>
      </c>
      <c r="B1469" t="s">
        <v>2563</v>
      </c>
      <c r="D1469" s="6">
        <v>1000</v>
      </c>
      <c r="G1469" s="7">
        <v>7.75</v>
      </c>
      <c r="H1469" s="4" t="s">
        <v>2564</v>
      </c>
      <c r="J1469" t="s">
        <v>62</v>
      </c>
    </row>
    <row r="1470" spans="1:10" x14ac:dyDescent="0.3">
      <c r="A1470" t="s">
        <v>2565</v>
      </c>
      <c r="B1470" t="s">
        <v>2566</v>
      </c>
      <c r="D1470" s="6">
        <v>1000</v>
      </c>
      <c r="G1470" s="7">
        <v>8</v>
      </c>
      <c r="H1470" s="4" t="s">
        <v>2559</v>
      </c>
      <c r="J1470" t="s">
        <v>62</v>
      </c>
    </row>
    <row r="1471" spans="1:10" x14ac:dyDescent="0.3">
      <c r="A1471" t="s">
        <v>2567</v>
      </c>
      <c r="B1471" t="s">
        <v>2568</v>
      </c>
      <c r="D1471" s="6">
        <v>1000</v>
      </c>
      <c r="G1471" s="7">
        <v>8</v>
      </c>
      <c r="H1471" s="4" t="s">
        <v>2556</v>
      </c>
      <c r="J1471" t="s">
        <v>62</v>
      </c>
    </row>
    <row r="1472" spans="1:10" x14ac:dyDescent="0.3">
      <c r="A1472" t="s">
        <v>2569</v>
      </c>
      <c r="B1472" t="s">
        <v>2570</v>
      </c>
      <c r="D1472" s="6">
        <v>1000</v>
      </c>
      <c r="G1472" s="7" t="s">
        <v>65</v>
      </c>
      <c r="H1472" s="4" t="s">
        <v>2559</v>
      </c>
      <c r="J1472" t="s">
        <v>49</v>
      </c>
    </row>
    <row r="1473" spans="1:10" x14ac:dyDescent="0.3">
      <c r="A1473" t="s">
        <v>2571</v>
      </c>
      <c r="B1473" t="s">
        <v>2572</v>
      </c>
      <c r="D1473" s="6">
        <v>1000</v>
      </c>
      <c r="G1473" s="7">
        <v>8.25</v>
      </c>
      <c r="H1473" s="4" t="s">
        <v>2573</v>
      </c>
      <c r="J1473" t="s">
        <v>59</v>
      </c>
    </row>
    <row r="1474" spans="1:10" x14ac:dyDescent="0.3">
      <c r="A1474" t="s">
        <v>2574</v>
      </c>
      <c r="B1474" t="s">
        <v>2575</v>
      </c>
      <c r="D1474" s="6">
        <v>1000</v>
      </c>
      <c r="G1474" s="7">
        <v>8.25</v>
      </c>
      <c r="H1474" s="4" t="s">
        <v>2576</v>
      </c>
      <c r="J1474" t="s">
        <v>62</v>
      </c>
    </row>
    <row r="1475" spans="1:10" x14ac:dyDescent="0.3">
      <c r="A1475" t="s">
        <v>2577</v>
      </c>
      <c r="B1475" t="s">
        <v>2578</v>
      </c>
      <c r="D1475" s="6">
        <v>1000</v>
      </c>
      <c r="G1475" s="7">
        <v>8.5</v>
      </c>
      <c r="H1475" s="4" t="s">
        <v>2579</v>
      </c>
      <c r="J1475" t="s">
        <v>62</v>
      </c>
    </row>
    <row r="1476" spans="1:10" x14ac:dyDescent="0.3">
      <c r="A1476" t="s">
        <v>2580</v>
      </c>
      <c r="B1476" t="s">
        <v>2581</v>
      </c>
      <c r="D1476" s="6">
        <v>1000</v>
      </c>
      <c r="G1476" s="7">
        <v>8.25</v>
      </c>
      <c r="H1476" s="4" t="s">
        <v>2579</v>
      </c>
      <c r="J1476" t="s">
        <v>59</v>
      </c>
    </row>
    <row r="1477" spans="1:10" x14ac:dyDescent="0.3">
      <c r="A1477" t="s">
        <v>2582</v>
      </c>
      <c r="B1477" t="s">
        <v>2583</v>
      </c>
      <c r="D1477" s="6">
        <v>1000</v>
      </c>
      <c r="G1477" s="7" t="s">
        <v>65</v>
      </c>
      <c r="H1477" s="4" t="s">
        <v>2573</v>
      </c>
      <c r="J1477" t="s">
        <v>49</v>
      </c>
    </row>
    <row r="1478" spans="1:10" x14ac:dyDescent="0.3">
      <c r="A1478" t="s">
        <v>2584</v>
      </c>
      <c r="B1478" t="s">
        <v>2585</v>
      </c>
      <c r="D1478" s="6">
        <v>1000</v>
      </c>
      <c r="G1478" s="7" t="s">
        <v>65</v>
      </c>
      <c r="H1478" s="4" t="s">
        <v>2579</v>
      </c>
      <c r="J1478" t="s">
        <v>49</v>
      </c>
    </row>
    <row r="1479" spans="1:10" x14ac:dyDescent="0.3">
      <c r="A1479" t="s">
        <v>2586</v>
      </c>
      <c r="B1479" t="s">
        <v>2587</v>
      </c>
      <c r="D1479" s="6">
        <v>1000</v>
      </c>
      <c r="G1479" s="7">
        <v>8.5</v>
      </c>
      <c r="H1479" s="4" t="s">
        <v>2573</v>
      </c>
      <c r="J1479" t="s">
        <v>62</v>
      </c>
    </row>
    <row r="1480" spans="1:10" x14ac:dyDescent="0.3">
      <c r="A1480" t="s">
        <v>2588</v>
      </c>
      <c r="B1480" t="s">
        <v>2589</v>
      </c>
      <c r="D1480" s="6">
        <v>1000</v>
      </c>
      <c r="G1480" s="7" t="s">
        <v>65</v>
      </c>
      <c r="H1480" s="4" t="s">
        <v>2590</v>
      </c>
      <c r="J1480" t="s">
        <v>49</v>
      </c>
    </row>
    <row r="1481" spans="1:10" x14ac:dyDescent="0.3">
      <c r="A1481" t="s">
        <v>2591</v>
      </c>
      <c r="B1481" t="s">
        <v>2592</v>
      </c>
      <c r="D1481" s="6">
        <v>1000</v>
      </c>
      <c r="G1481" s="7" t="s">
        <v>65</v>
      </c>
      <c r="H1481" s="4" t="s">
        <v>2593</v>
      </c>
      <c r="J1481" t="s">
        <v>49</v>
      </c>
    </row>
    <row r="1482" spans="1:10" x14ac:dyDescent="0.3">
      <c r="A1482" t="s">
        <v>2594</v>
      </c>
      <c r="B1482" t="s">
        <v>2595</v>
      </c>
      <c r="D1482" s="6">
        <v>1000</v>
      </c>
      <c r="G1482" s="7">
        <v>9.32</v>
      </c>
      <c r="H1482" s="4" t="s">
        <v>2596</v>
      </c>
      <c r="J1482" t="s">
        <v>1048</v>
      </c>
    </row>
    <row r="1483" spans="1:10" x14ac:dyDescent="0.3">
      <c r="A1483" t="s">
        <v>2594</v>
      </c>
      <c r="B1483" t="s">
        <v>2595</v>
      </c>
      <c r="D1483" s="6">
        <v>1000</v>
      </c>
      <c r="G1483" s="7">
        <v>9.32</v>
      </c>
      <c r="H1483" s="4" t="s">
        <v>2596</v>
      </c>
      <c r="J1483" t="s">
        <v>1048</v>
      </c>
    </row>
    <row r="1484" spans="1:10" x14ac:dyDescent="0.3">
      <c r="A1484" t="s">
        <v>2597</v>
      </c>
      <c r="B1484" t="s">
        <v>2598</v>
      </c>
      <c r="D1484" s="6">
        <v>1000</v>
      </c>
      <c r="G1484" s="7">
        <v>9.65</v>
      </c>
      <c r="H1484" s="4" t="s">
        <v>2596</v>
      </c>
      <c r="J1484" t="s">
        <v>62</v>
      </c>
    </row>
    <row r="1485" spans="1:10" x14ac:dyDescent="0.3">
      <c r="A1485" t="s">
        <v>2597</v>
      </c>
      <c r="B1485" t="s">
        <v>2598</v>
      </c>
      <c r="D1485" s="6">
        <v>1000</v>
      </c>
      <c r="G1485" s="7">
        <v>9.65</v>
      </c>
      <c r="H1485" s="4" t="s">
        <v>2596</v>
      </c>
      <c r="J1485" t="s">
        <v>62</v>
      </c>
    </row>
    <row r="1486" spans="1:10" x14ac:dyDescent="0.3">
      <c r="A1486" t="s">
        <v>2599</v>
      </c>
      <c r="B1486" t="s">
        <v>2600</v>
      </c>
      <c r="D1486" s="6">
        <v>1000</v>
      </c>
      <c r="G1486" s="7">
        <v>9.56</v>
      </c>
      <c r="H1486" s="4" t="s">
        <v>2601</v>
      </c>
      <c r="J1486" t="s">
        <v>1048</v>
      </c>
    </row>
    <row r="1487" spans="1:10" x14ac:dyDescent="0.3">
      <c r="A1487" t="s">
        <v>2599</v>
      </c>
      <c r="B1487" t="s">
        <v>2600</v>
      </c>
      <c r="D1487" s="6">
        <v>1000</v>
      </c>
      <c r="G1487" s="7">
        <v>9.56</v>
      </c>
      <c r="H1487" s="4" t="s">
        <v>2601</v>
      </c>
      <c r="J1487" t="s">
        <v>1048</v>
      </c>
    </row>
    <row r="1488" spans="1:10" x14ac:dyDescent="0.3">
      <c r="A1488" t="s">
        <v>2602</v>
      </c>
      <c r="B1488" t="s">
        <v>2603</v>
      </c>
      <c r="D1488" s="6">
        <v>1000</v>
      </c>
      <c r="G1488" s="7">
        <v>9.9</v>
      </c>
      <c r="H1488" s="4" t="s">
        <v>2601</v>
      </c>
      <c r="J1488" t="s">
        <v>62</v>
      </c>
    </row>
    <row r="1489" spans="1:10" x14ac:dyDescent="0.3">
      <c r="A1489" t="s">
        <v>2602</v>
      </c>
      <c r="B1489" t="s">
        <v>2603</v>
      </c>
      <c r="D1489" s="6">
        <v>1000</v>
      </c>
      <c r="G1489" s="7">
        <v>9.9</v>
      </c>
      <c r="H1489" s="4" t="s">
        <v>2601</v>
      </c>
      <c r="J1489" t="s">
        <v>62</v>
      </c>
    </row>
    <row r="1490" spans="1:10" x14ac:dyDescent="0.3">
      <c r="A1490" t="s">
        <v>2604</v>
      </c>
      <c r="B1490" t="s">
        <v>2605</v>
      </c>
      <c r="D1490" s="6">
        <v>1000</v>
      </c>
      <c r="G1490" s="7">
        <v>9.25</v>
      </c>
      <c r="H1490" s="4" t="s">
        <v>2606</v>
      </c>
      <c r="J1490" t="s">
        <v>62</v>
      </c>
    </row>
    <row r="1491" spans="1:10" x14ac:dyDescent="0.3">
      <c r="A1491" t="s">
        <v>2604</v>
      </c>
      <c r="B1491" t="s">
        <v>2605</v>
      </c>
      <c r="D1491" s="6">
        <v>1000</v>
      </c>
      <c r="G1491" s="7">
        <v>9.25</v>
      </c>
      <c r="H1491" s="4" t="s">
        <v>2606</v>
      </c>
      <c r="J1491" t="s">
        <v>62</v>
      </c>
    </row>
    <row r="1492" spans="1:10" x14ac:dyDescent="0.3">
      <c r="A1492" t="s">
        <v>2607</v>
      </c>
      <c r="B1492" t="s">
        <v>2608</v>
      </c>
      <c r="D1492" s="6">
        <v>1000</v>
      </c>
      <c r="G1492" s="7" t="s">
        <v>65</v>
      </c>
      <c r="H1492" s="4" t="s">
        <v>2606</v>
      </c>
      <c r="J1492" t="s">
        <v>49</v>
      </c>
    </row>
    <row r="1493" spans="1:10" x14ac:dyDescent="0.3">
      <c r="A1493" t="s">
        <v>2607</v>
      </c>
      <c r="B1493" t="s">
        <v>2608</v>
      </c>
      <c r="D1493" s="6">
        <v>1000</v>
      </c>
      <c r="G1493" s="7" t="s">
        <v>65</v>
      </c>
      <c r="H1493" s="4" t="s">
        <v>2606</v>
      </c>
      <c r="J1493" t="s">
        <v>49</v>
      </c>
    </row>
    <row r="1494" spans="1:10" x14ac:dyDescent="0.3">
      <c r="A1494" t="s">
        <v>2609</v>
      </c>
      <c r="B1494" t="s">
        <v>2610</v>
      </c>
      <c r="D1494" s="6">
        <v>1000</v>
      </c>
      <c r="G1494" s="7" t="s">
        <v>65</v>
      </c>
      <c r="H1494" s="4" t="s">
        <v>2596</v>
      </c>
      <c r="J1494" t="s">
        <v>49</v>
      </c>
    </row>
    <row r="1495" spans="1:10" x14ac:dyDescent="0.3">
      <c r="A1495" t="s">
        <v>2609</v>
      </c>
      <c r="B1495" t="s">
        <v>2610</v>
      </c>
      <c r="D1495" s="6">
        <v>1000</v>
      </c>
      <c r="G1495" s="7" t="s">
        <v>65</v>
      </c>
      <c r="H1495" s="4" t="s">
        <v>2596</v>
      </c>
      <c r="J1495" t="s">
        <v>49</v>
      </c>
    </row>
    <row r="1496" spans="1:10" x14ac:dyDescent="0.3">
      <c r="A1496" t="s">
        <v>2611</v>
      </c>
      <c r="B1496" t="s">
        <v>2612</v>
      </c>
      <c r="D1496" s="6">
        <v>1000</v>
      </c>
      <c r="G1496" s="7" t="s">
        <v>65</v>
      </c>
      <c r="H1496" s="4" t="s">
        <v>2601</v>
      </c>
      <c r="J1496" t="s">
        <v>49</v>
      </c>
    </row>
    <row r="1497" spans="1:10" x14ac:dyDescent="0.3">
      <c r="A1497" t="s">
        <v>2611</v>
      </c>
      <c r="B1497" t="s">
        <v>2612</v>
      </c>
      <c r="D1497" s="6">
        <v>1000</v>
      </c>
      <c r="G1497" s="7" t="s">
        <v>65</v>
      </c>
      <c r="H1497" s="4" t="s">
        <v>2601</v>
      </c>
      <c r="J1497" t="s">
        <v>49</v>
      </c>
    </row>
    <row r="1498" spans="1:10" x14ac:dyDescent="0.3">
      <c r="A1498" t="s">
        <v>2613</v>
      </c>
      <c r="B1498" t="s">
        <v>2614</v>
      </c>
      <c r="C1498" t="s">
        <v>384</v>
      </c>
      <c r="D1498" s="9">
        <v>1000</v>
      </c>
      <c r="E1498" t="s">
        <v>2615</v>
      </c>
      <c r="F1498" t="s">
        <v>2616</v>
      </c>
      <c r="G1498">
        <v>8.25</v>
      </c>
      <c r="H1498" t="s">
        <v>2617</v>
      </c>
      <c r="I1498" t="s">
        <v>954</v>
      </c>
      <c r="J1498" t="s">
        <v>62</v>
      </c>
    </row>
    <row r="1499" spans="1:10" x14ac:dyDescent="0.3">
      <c r="A1499" t="s">
        <v>2613</v>
      </c>
      <c r="B1499" t="s">
        <v>2618</v>
      </c>
      <c r="D1499" s="6">
        <v>1000</v>
      </c>
      <c r="G1499" s="7">
        <v>8.25</v>
      </c>
      <c r="H1499" s="4" t="s">
        <v>2617</v>
      </c>
      <c r="J1499" t="s">
        <v>62</v>
      </c>
    </row>
    <row r="1500" spans="1:10" x14ac:dyDescent="0.3">
      <c r="A1500" t="s">
        <v>2613</v>
      </c>
      <c r="B1500" t="s">
        <v>2618</v>
      </c>
      <c r="D1500" s="6">
        <v>1000</v>
      </c>
      <c r="G1500" s="7">
        <v>8.25</v>
      </c>
      <c r="H1500" s="4" t="s">
        <v>2617</v>
      </c>
      <c r="J1500" t="s">
        <v>62</v>
      </c>
    </row>
    <row r="1501" spans="1:10" x14ac:dyDescent="0.3">
      <c r="A1501" t="s">
        <v>2619</v>
      </c>
      <c r="B1501" t="s">
        <v>2614</v>
      </c>
      <c r="C1501" t="s">
        <v>415</v>
      </c>
      <c r="D1501" s="9">
        <v>1000</v>
      </c>
      <c r="E1501" t="s">
        <v>2620</v>
      </c>
      <c r="F1501" t="s">
        <v>662</v>
      </c>
      <c r="G1501" s="12">
        <v>0</v>
      </c>
      <c r="H1501" t="s">
        <v>2617</v>
      </c>
      <c r="I1501" t="s">
        <v>2621</v>
      </c>
      <c r="J1501" t="s">
        <v>49</v>
      </c>
    </row>
    <row r="1502" spans="1:10" x14ac:dyDescent="0.3">
      <c r="A1502" t="s">
        <v>2619</v>
      </c>
      <c r="B1502" t="s">
        <v>2622</v>
      </c>
      <c r="D1502" s="6">
        <v>1000</v>
      </c>
      <c r="G1502" s="7" t="s">
        <v>65</v>
      </c>
      <c r="H1502" s="4" t="s">
        <v>2617</v>
      </c>
      <c r="J1502" t="s">
        <v>49</v>
      </c>
    </row>
    <row r="1503" spans="1:10" x14ac:dyDescent="0.3">
      <c r="A1503" t="s">
        <v>2619</v>
      </c>
      <c r="B1503" t="s">
        <v>2622</v>
      </c>
      <c r="D1503" s="6">
        <v>1000</v>
      </c>
      <c r="G1503" s="7" t="s">
        <v>65</v>
      </c>
      <c r="H1503" s="4" t="s">
        <v>2617</v>
      </c>
      <c r="J1503" t="s">
        <v>49</v>
      </c>
    </row>
    <row r="1504" spans="1:10" x14ac:dyDescent="0.3">
      <c r="A1504" t="s">
        <v>2623</v>
      </c>
      <c r="B1504" t="s">
        <v>2614</v>
      </c>
      <c r="C1504" t="s">
        <v>288</v>
      </c>
      <c r="D1504" s="9">
        <v>1000</v>
      </c>
      <c r="E1504" t="s">
        <v>45</v>
      </c>
      <c r="F1504" t="s">
        <v>45</v>
      </c>
      <c r="G1504">
        <v>8.1999999999999993</v>
      </c>
      <c r="H1504" t="s">
        <v>2624</v>
      </c>
      <c r="I1504" t="s">
        <v>2625</v>
      </c>
      <c r="J1504" t="s">
        <v>59</v>
      </c>
    </row>
    <row r="1505" spans="1:10" x14ac:dyDescent="0.3">
      <c r="A1505" t="s">
        <v>2623</v>
      </c>
      <c r="B1505" t="s">
        <v>2626</v>
      </c>
      <c r="D1505" s="6">
        <v>1000</v>
      </c>
      <c r="G1505" s="7">
        <v>8.2000000000000011</v>
      </c>
      <c r="H1505" s="4" t="s">
        <v>2624</v>
      </c>
      <c r="J1505" t="s">
        <v>59</v>
      </c>
    </row>
    <row r="1506" spans="1:10" x14ac:dyDescent="0.3">
      <c r="A1506" t="s">
        <v>2623</v>
      </c>
      <c r="B1506" t="s">
        <v>2626</v>
      </c>
      <c r="D1506" s="6">
        <v>1000</v>
      </c>
      <c r="G1506" s="7">
        <v>8.2000000000000011</v>
      </c>
      <c r="H1506" s="4" t="s">
        <v>2624</v>
      </c>
      <c r="J1506" t="s">
        <v>59</v>
      </c>
    </row>
    <row r="1507" spans="1:10" x14ac:dyDescent="0.3">
      <c r="A1507" t="s">
        <v>2627</v>
      </c>
      <c r="B1507" t="s">
        <v>2614</v>
      </c>
      <c r="C1507" t="s">
        <v>292</v>
      </c>
      <c r="D1507" s="9">
        <v>1000</v>
      </c>
      <c r="E1507" t="s">
        <v>2628</v>
      </c>
      <c r="F1507" t="s">
        <v>332</v>
      </c>
      <c r="G1507">
        <v>8.5</v>
      </c>
      <c r="H1507" t="s">
        <v>2624</v>
      </c>
      <c r="I1507" t="s">
        <v>1123</v>
      </c>
      <c r="J1507" t="s">
        <v>62</v>
      </c>
    </row>
    <row r="1508" spans="1:10" x14ac:dyDescent="0.3">
      <c r="A1508" t="s">
        <v>2627</v>
      </c>
      <c r="B1508" t="s">
        <v>2629</v>
      </c>
      <c r="D1508" s="6">
        <v>1000</v>
      </c>
      <c r="G1508" s="7">
        <v>8.5</v>
      </c>
      <c r="H1508" s="4" t="s">
        <v>2624</v>
      </c>
      <c r="J1508" t="s">
        <v>62</v>
      </c>
    </row>
    <row r="1509" spans="1:10" x14ac:dyDescent="0.3">
      <c r="A1509" t="s">
        <v>2627</v>
      </c>
      <c r="B1509" t="s">
        <v>2629</v>
      </c>
      <c r="D1509" s="6">
        <v>1000</v>
      </c>
      <c r="G1509" s="7">
        <v>8.5</v>
      </c>
      <c r="H1509" s="4" t="s">
        <v>2624</v>
      </c>
      <c r="J1509" t="s">
        <v>62</v>
      </c>
    </row>
    <row r="1510" spans="1:10" x14ac:dyDescent="0.3">
      <c r="A1510" t="s">
        <v>2630</v>
      </c>
      <c r="B1510" t="s">
        <v>2614</v>
      </c>
      <c r="C1510" t="s">
        <v>389</v>
      </c>
      <c r="D1510" s="9">
        <v>1000</v>
      </c>
      <c r="E1510" t="s">
        <v>45</v>
      </c>
      <c r="F1510" t="s">
        <v>45</v>
      </c>
      <c r="G1510" s="12">
        <v>0</v>
      </c>
      <c r="H1510" t="s">
        <v>2624</v>
      </c>
      <c r="I1510" t="s">
        <v>2630</v>
      </c>
      <c r="J1510" t="s">
        <v>361</v>
      </c>
    </row>
    <row r="1511" spans="1:10" x14ac:dyDescent="0.3">
      <c r="A1511" t="s">
        <v>2630</v>
      </c>
      <c r="B1511" t="s">
        <v>2631</v>
      </c>
      <c r="D1511" s="6">
        <v>1000</v>
      </c>
      <c r="G1511" s="7" t="s">
        <v>65</v>
      </c>
      <c r="H1511" s="4" t="s">
        <v>2624</v>
      </c>
      <c r="J1511" t="s">
        <v>49</v>
      </c>
    </row>
    <row r="1512" spans="1:10" x14ac:dyDescent="0.3">
      <c r="A1512" t="s">
        <v>2630</v>
      </c>
      <c r="B1512" t="s">
        <v>2631</v>
      </c>
      <c r="D1512" s="6">
        <v>1000</v>
      </c>
      <c r="G1512" s="7" t="s">
        <v>65</v>
      </c>
      <c r="H1512" s="4" t="s">
        <v>2624</v>
      </c>
      <c r="J1512" t="s">
        <v>49</v>
      </c>
    </row>
    <row r="1513" spans="1:10" x14ac:dyDescent="0.3">
      <c r="A1513" t="s">
        <v>2632</v>
      </c>
      <c r="B1513" t="s">
        <v>2614</v>
      </c>
      <c r="C1513" t="s">
        <v>297</v>
      </c>
      <c r="D1513" s="9">
        <v>1000</v>
      </c>
      <c r="E1513" t="s">
        <v>45</v>
      </c>
      <c r="F1513" t="s">
        <v>45</v>
      </c>
      <c r="G1513">
        <v>8.43</v>
      </c>
      <c r="H1513" t="s">
        <v>2633</v>
      </c>
      <c r="I1513" t="s">
        <v>2634</v>
      </c>
      <c r="J1513" t="s">
        <v>59</v>
      </c>
    </row>
    <row r="1514" spans="1:10" x14ac:dyDescent="0.3">
      <c r="A1514" t="s">
        <v>2632</v>
      </c>
      <c r="B1514" t="s">
        <v>2635</v>
      </c>
      <c r="D1514" s="6">
        <v>1000</v>
      </c>
      <c r="G1514" s="7">
        <v>8.43</v>
      </c>
      <c r="H1514" s="4" t="s">
        <v>2633</v>
      </c>
      <c r="J1514" t="s">
        <v>59</v>
      </c>
    </row>
    <row r="1515" spans="1:10" x14ac:dyDescent="0.3">
      <c r="A1515" t="s">
        <v>2632</v>
      </c>
      <c r="B1515" t="s">
        <v>2635</v>
      </c>
      <c r="D1515" s="6">
        <v>1000</v>
      </c>
      <c r="G1515" s="7">
        <v>8.43</v>
      </c>
      <c r="H1515" s="4" t="s">
        <v>2633</v>
      </c>
      <c r="J1515" t="s">
        <v>59</v>
      </c>
    </row>
    <row r="1516" spans="1:10" x14ac:dyDescent="0.3">
      <c r="A1516" t="s">
        <v>2636</v>
      </c>
      <c r="B1516" t="s">
        <v>2614</v>
      </c>
      <c r="C1516" t="s">
        <v>302</v>
      </c>
      <c r="D1516" s="9">
        <v>1000</v>
      </c>
      <c r="E1516" t="s">
        <v>2637</v>
      </c>
      <c r="F1516" t="s">
        <v>442</v>
      </c>
      <c r="G1516">
        <v>8.75</v>
      </c>
      <c r="H1516" t="s">
        <v>2633</v>
      </c>
      <c r="I1516" t="s">
        <v>1136</v>
      </c>
      <c r="J1516" t="s">
        <v>62</v>
      </c>
    </row>
    <row r="1517" spans="1:10" x14ac:dyDescent="0.3">
      <c r="A1517" t="s">
        <v>2636</v>
      </c>
      <c r="B1517" t="s">
        <v>2638</v>
      </c>
      <c r="D1517" s="6">
        <v>1000</v>
      </c>
      <c r="G1517" s="7">
        <v>8.75</v>
      </c>
      <c r="H1517" s="4" t="s">
        <v>2633</v>
      </c>
      <c r="J1517" t="s">
        <v>62</v>
      </c>
    </row>
    <row r="1518" spans="1:10" x14ac:dyDescent="0.3">
      <c r="A1518" t="s">
        <v>2636</v>
      </c>
      <c r="B1518" t="s">
        <v>2638</v>
      </c>
      <c r="D1518" s="6">
        <v>1000</v>
      </c>
      <c r="G1518" s="7">
        <v>8.75</v>
      </c>
      <c r="H1518" s="4" t="s">
        <v>2633</v>
      </c>
      <c r="J1518" t="s">
        <v>62</v>
      </c>
    </row>
    <row r="1519" spans="1:10" x14ac:dyDescent="0.3">
      <c r="A1519" t="s">
        <v>2639</v>
      </c>
      <c r="B1519" t="s">
        <v>2614</v>
      </c>
      <c r="C1519" t="s">
        <v>605</v>
      </c>
      <c r="D1519" s="9">
        <v>1000</v>
      </c>
      <c r="E1519" t="s">
        <v>2640</v>
      </c>
      <c r="F1519" t="s">
        <v>2641</v>
      </c>
      <c r="G1519" s="12">
        <v>0</v>
      </c>
      <c r="H1519" t="s">
        <v>2633</v>
      </c>
      <c r="I1519" t="s">
        <v>2642</v>
      </c>
      <c r="J1519" t="s">
        <v>49</v>
      </c>
    </row>
    <row r="1520" spans="1:10" x14ac:dyDescent="0.3">
      <c r="A1520" t="s">
        <v>2639</v>
      </c>
      <c r="B1520" t="s">
        <v>2643</v>
      </c>
      <c r="D1520" s="6">
        <v>1000</v>
      </c>
      <c r="G1520" s="7" t="s">
        <v>65</v>
      </c>
      <c r="H1520" s="4" t="s">
        <v>2633</v>
      </c>
      <c r="J1520" t="s">
        <v>49</v>
      </c>
    </row>
    <row r="1521" spans="1:10" x14ac:dyDescent="0.3">
      <c r="A1521" t="s">
        <v>2639</v>
      </c>
      <c r="B1521" t="s">
        <v>2643</v>
      </c>
      <c r="D1521" s="6">
        <v>1000</v>
      </c>
      <c r="G1521" s="7" t="s">
        <v>65</v>
      </c>
      <c r="H1521" s="4" t="s">
        <v>2633</v>
      </c>
      <c r="J1521" t="s">
        <v>49</v>
      </c>
    </row>
    <row r="1522" spans="1:10" x14ac:dyDescent="0.3">
      <c r="A1522" t="s">
        <v>2644</v>
      </c>
      <c r="B1522" t="s">
        <v>2614</v>
      </c>
      <c r="C1522" t="s">
        <v>275</v>
      </c>
      <c r="D1522" s="9">
        <v>1000</v>
      </c>
      <c r="E1522" t="s">
        <v>2645</v>
      </c>
      <c r="F1522" t="s">
        <v>640</v>
      </c>
      <c r="G1522">
        <v>10</v>
      </c>
      <c r="H1522" t="s">
        <v>1096</v>
      </c>
      <c r="I1522" t="s">
        <v>2646</v>
      </c>
      <c r="J1522" t="s">
        <v>62</v>
      </c>
    </row>
    <row r="1523" spans="1:10" x14ac:dyDescent="0.3">
      <c r="A1523" t="s">
        <v>2644</v>
      </c>
      <c r="B1523" t="s">
        <v>2647</v>
      </c>
      <c r="D1523" s="6">
        <v>1000</v>
      </c>
      <c r="G1523" s="7">
        <v>10</v>
      </c>
      <c r="H1523" s="4" t="s">
        <v>1096</v>
      </c>
      <c r="J1523" t="s">
        <v>62</v>
      </c>
    </row>
    <row r="1524" spans="1:10" x14ac:dyDescent="0.3">
      <c r="A1524" t="s">
        <v>2644</v>
      </c>
      <c r="B1524" t="s">
        <v>2647</v>
      </c>
      <c r="D1524" s="6">
        <v>1000</v>
      </c>
      <c r="G1524" s="7">
        <v>10</v>
      </c>
      <c r="H1524" s="4" t="s">
        <v>1096</v>
      </c>
      <c r="J1524" t="s">
        <v>62</v>
      </c>
    </row>
    <row r="1525" spans="1:10" x14ac:dyDescent="0.3">
      <c r="A1525" t="s">
        <v>2648</v>
      </c>
      <c r="B1525" t="s">
        <v>2614</v>
      </c>
      <c r="C1525" t="s">
        <v>340</v>
      </c>
      <c r="D1525" s="9">
        <v>1000</v>
      </c>
      <c r="E1525" t="s">
        <v>45</v>
      </c>
      <c r="F1525" t="s">
        <v>45</v>
      </c>
      <c r="G1525">
        <v>9.6</v>
      </c>
      <c r="H1525" t="s">
        <v>1096</v>
      </c>
      <c r="I1525" t="s">
        <v>2649</v>
      </c>
      <c r="J1525" t="s">
        <v>59</v>
      </c>
    </row>
    <row r="1526" spans="1:10" x14ac:dyDescent="0.3">
      <c r="A1526" t="s">
        <v>2648</v>
      </c>
      <c r="B1526" t="s">
        <v>2650</v>
      </c>
      <c r="D1526" s="6">
        <v>1000</v>
      </c>
      <c r="G1526" s="7">
        <v>9.6</v>
      </c>
      <c r="H1526" s="4" t="s">
        <v>1096</v>
      </c>
      <c r="J1526" t="s">
        <v>59</v>
      </c>
    </row>
    <row r="1527" spans="1:10" x14ac:dyDescent="0.3">
      <c r="A1527" t="s">
        <v>2648</v>
      </c>
      <c r="B1527" t="s">
        <v>2650</v>
      </c>
      <c r="D1527" s="6">
        <v>1000</v>
      </c>
      <c r="G1527" s="7">
        <v>9.6</v>
      </c>
      <c r="H1527" s="4" t="s">
        <v>1096</v>
      </c>
      <c r="J1527" t="s">
        <v>59</v>
      </c>
    </row>
    <row r="1528" spans="1:10" x14ac:dyDescent="0.3">
      <c r="A1528" t="s">
        <v>2651</v>
      </c>
      <c r="B1528" t="s">
        <v>2614</v>
      </c>
      <c r="C1528" t="s">
        <v>281</v>
      </c>
      <c r="D1528" s="9">
        <v>1000</v>
      </c>
      <c r="E1528" t="s">
        <v>45</v>
      </c>
      <c r="F1528" t="s">
        <v>45</v>
      </c>
      <c r="G1528" s="12">
        <v>0</v>
      </c>
      <c r="H1528" t="s">
        <v>1096</v>
      </c>
      <c r="I1528" t="s">
        <v>2651</v>
      </c>
      <c r="J1528" t="s">
        <v>62</v>
      </c>
    </row>
    <row r="1529" spans="1:10" x14ac:dyDescent="0.3">
      <c r="A1529" t="s">
        <v>2651</v>
      </c>
      <c r="B1529" t="s">
        <v>2652</v>
      </c>
      <c r="D1529" s="6">
        <v>1000</v>
      </c>
      <c r="G1529" s="7" t="s">
        <v>65</v>
      </c>
      <c r="H1529" s="4" t="s">
        <v>1096</v>
      </c>
      <c r="J1529" t="s">
        <v>49</v>
      </c>
    </row>
    <row r="1530" spans="1:10" x14ac:dyDescent="0.3">
      <c r="A1530" t="s">
        <v>2651</v>
      </c>
      <c r="B1530" t="s">
        <v>2652</v>
      </c>
      <c r="D1530" s="6">
        <v>1000</v>
      </c>
      <c r="G1530" s="7" t="s">
        <v>65</v>
      </c>
      <c r="H1530" s="4" t="s">
        <v>1096</v>
      </c>
      <c r="J1530" t="s">
        <v>49</v>
      </c>
    </row>
    <row r="1531" spans="1:10" x14ac:dyDescent="0.3">
      <c r="A1531" t="s">
        <v>2653</v>
      </c>
      <c r="B1531" t="s">
        <v>2654</v>
      </c>
      <c r="D1531" t="s">
        <v>460</v>
      </c>
      <c r="G1531" s="7" t="s">
        <v>460</v>
      </c>
      <c r="H1531" s="4" t="s">
        <v>460</v>
      </c>
      <c r="J1531" t="s">
        <v>460</v>
      </c>
    </row>
    <row r="1532" spans="1:10" x14ac:dyDescent="0.3">
      <c r="A1532" t="s">
        <v>2655</v>
      </c>
      <c r="B1532" t="s">
        <v>2656</v>
      </c>
      <c r="D1532" t="s">
        <v>460</v>
      </c>
      <c r="G1532" s="7" t="s">
        <v>460</v>
      </c>
      <c r="H1532" s="4" t="s">
        <v>460</v>
      </c>
      <c r="J1532" t="s">
        <v>460</v>
      </c>
    </row>
    <row r="1533" spans="1:10" x14ac:dyDescent="0.3">
      <c r="A1533" t="s">
        <v>2657</v>
      </c>
      <c r="B1533" t="s">
        <v>2658</v>
      </c>
      <c r="D1533" t="s">
        <v>460</v>
      </c>
      <c r="G1533" s="7" t="s">
        <v>460</v>
      </c>
      <c r="H1533" s="4" t="s">
        <v>460</v>
      </c>
      <c r="J1533" t="s">
        <v>460</v>
      </c>
    </row>
    <row r="1534" spans="1:10" x14ac:dyDescent="0.3">
      <c r="A1534" t="s">
        <v>2659</v>
      </c>
      <c r="B1534" t="s">
        <v>2660</v>
      </c>
      <c r="D1534" s="6">
        <v>100000</v>
      </c>
      <c r="G1534" s="7" t="s">
        <v>65</v>
      </c>
      <c r="H1534" s="4" t="s">
        <v>2661</v>
      </c>
      <c r="J1534" t="s">
        <v>46</v>
      </c>
    </row>
    <row r="1535" spans="1:10" x14ac:dyDescent="0.3">
      <c r="A1535" t="s">
        <v>2662</v>
      </c>
      <c r="B1535" t="s">
        <v>2663</v>
      </c>
      <c r="C1535" t="s">
        <v>281</v>
      </c>
      <c r="D1535" s="9" t="s">
        <v>45</v>
      </c>
      <c r="E1535" t="s">
        <v>45</v>
      </c>
      <c r="F1535" t="s">
        <v>45</v>
      </c>
      <c r="G1535" s="12">
        <v>0</v>
      </c>
      <c r="H1535" t="s">
        <v>45</v>
      </c>
      <c r="I1535" t="s">
        <v>2662</v>
      </c>
      <c r="J1535" t="s">
        <v>62</v>
      </c>
    </row>
    <row r="1536" spans="1:10" x14ac:dyDescent="0.3">
      <c r="A1536" t="s">
        <v>2662</v>
      </c>
      <c r="B1536" t="s">
        <v>2664</v>
      </c>
      <c r="D1536" s="6">
        <v>1000</v>
      </c>
      <c r="G1536" s="7">
        <v>10.27</v>
      </c>
      <c r="H1536" s="4" t="s">
        <v>2665</v>
      </c>
      <c r="J1536" t="s">
        <v>59</v>
      </c>
    </row>
    <row r="1537" spans="1:10" x14ac:dyDescent="0.3">
      <c r="A1537" t="s">
        <v>2662</v>
      </c>
      <c r="B1537" t="s">
        <v>2664</v>
      </c>
      <c r="D1537" s="6">
        <v>1000</v>
      </c>
      <c r="G1537" s="7">
        <v>10.27</v>
      </c>
      <c r="H1537" s="4" t="s">
        <v>2665</v>
      </c>
      <c r="J1537" t="s">
        <v>59</v>
      </c>
    </row>
    <row r="1538" spans="1:10" x14ac:dyDescent="0.3">
      <c r="A1538" t="s">
        <v>2666</v>
      </c>
      <c r="B1538" t="s">
        <v>2667</v>
      </c>
      <c r="D1538" s="6">
        <v>1000</v>
      </c>
      <c r="G1538" s="7">
        <v>10.75</v>
      </c>
      <c r="H1538" s="4" t="s">
        <v>2665</v>
      </c>
      <c r="J1538" t="s">
        <v>62</v>
      </c>
    </row>
    <row r="1539" spans="1:10" x14ac:dyDescent="0.3">
      <c r="A1539" t="s">
        <v>2666</v>
      </c>
      <c r="B1539" t="s">
        <v>2667</v>
      </c>
      <c r="D1539" s="6">
        <v>1000</v>
      </c>
      <c r="G1539" s="7">
        <v>10.75</v>
      </c>
      <c r="H1539" s="4" t="s">
        <v>2665</v>
      </c>
      <c r="J1539" t="s">
        <v>62</v>
      </c>
    </row>
    <row r="1540" spans="1:10" x14ac:dyDescent="0.3">
      <c r="A1540" t="s">
        <v>2668</v>
      </c>
      <c r="B1540" t="s">
        <v>2669</v>
      </c>
      <c r="C1540" t="s">
        <v>340</v>
      </c>
      <c r="D1540" s="9">
        <v>1000</v>
      </c>
      <c r="E1540" t="s">
        <v>45</v>
      </c>
      <c r="F1540" t="s">
        <v>45</v>
      </c>
      <c r="G1540">
        <v>8.25</v>
      </c>
      <c r="H1540" t="s">
        <v>2670</v>
      </c>
      <c r="I1540" t="s">
        <v>2671</v>
      </c>
      <c r="J1540" t="s">
        <v>62</v>
      </c>
    </row>
    <row r="1541" spans="1:10" x14ac:dyDescent="0.3">
      <c r="A1541" t="s">
        <v>2672</v>
      </c>
      <c r="B1541" t="s">
        <v>2669</v>
      </c>
      <c r="C1541" t="s">
        <v>384</v>
      </c>
      <c r="D1541" s="9">
        <v>1000</v>
      </c>
      <c r="E1541" t="s">
        <v>45</v>
      </c>
      <c r="F1541" t="s">
        <v>45</v>
      </c>
      <c r="G1541">
        <v>8.5</v>
      </c>
      <c r="H1541" t="s">
        <v>2673</v>
      </c>
      <c r="I1541" t="s">
        <v>1123</v>
      </c>
      <c r="J1541" t="s">
        <v>62</v>
      </c>
    </row>
    <row r="1542" spans="1:10" x14ac:dyDescent="0.3">
      <c r="A1542" t="s">
        <v>2672</v>
      </c>
      <c r="B1542" t="s">
        <v>2674</v>
      </c>
      <c r="D1542" s="6">
        <v>1000</v>
      </c>
      <c r="G1542" s="7">
        <v>8.5</v>
      </c>
      <c r="H1542" s="4" t="s">
        <v>2673</v>
      </c>
      <c r="J1542" t="s">
        <v>62</v>
      </c>
    </row>
    <row r="1543" spans="1:10" x14ac:dyDescent="0.3">
      <c r="A1543" t="s">
        <v>2672</v>
      </c>
      <c r="B1543" t="s">
        <v>2674</v>
      </c>
      <c r="D1543" s="6">
        <v>1000</v>
      </c>
      <c r="G1543" s="7">
        <v>8.5</v>
      </c>
      <c r="H1543" s="4" t="s">
        <v>2673</v>
      </c>
      <c r="J1543" t="s">
        <v>62</v>
      </c>
    </row>
    <row r="1544" spans="1:10" x14ac:dyDescent="0.3">
      <c r="A1544" t="s">
        <v>2675</v>
      </c>
      <c r="B1544" t="s">
        <v>2669</v>
      </c>
      <c r="C1544" t="s">
        <v>288</v>
      </c>
      <c r="D1544" s="9">
        <v>1000</v>
      </c>
      <c r="E1544" t="s">
        <v>45</v>
      </c>
      <c r="F1544" t="s">
        <v>45</v>
      </c>
      <c r="G1544">
        <v>8.75</v>
      </c>
      <c r="H1544" t="s">
        <v>2676</v>
      </c>
      <c r="I1544" t="s">
        <v>2677</v>
      </c>
      <c r="J1544" t="s">
        <v>62</v>
      </c>
    </row>
    <row r="1545" spans="1:10" x14ac:dyDescent="0.3">
      <c r="A1545" t="s">
        <v>2675</v>
      </c>
      <c r="B1545" t="s">
        <v>2678</v>
      </c>
      <c r="D1545" s="6">
        <v>1000</v>
      </c>
      <c r="G1545" s="7">
        <v>8.75</v>
      </c>
      <c r="H1545" s="4" t="s">
        <v>2676</v>
      </c>
      <c r="J1545" t="s">
        <v>62</v>
      </c>
    </row>
    <row r="1546" spans="1:10" x14ac:dyDescent="0.3">
      <c r="A1546" t="s">
        <v>2675</v>
      </c>
      <c r="B1546" t="s">
        <v>2678</v>
      </c>
      <c r="D1546" s="6">
        <v>1000</v>
      </c>
      <c r="G1546" s="7">
        <v>8.75</v>
      </c>
      <c r="H1546" s="4" t="s">
        <v>2676</v>
      </c>
      <c r="J1546" t="s">
        <v>62</v>
      </c>
    </row>
    <row r="1547" spans="1:10" x14ac:dyDescent="0.3">
      <c r="A1547" t="s">
        <v>2679</v>
      </c>
      <c r="B1547" t="s">
        <v>2669</v>
      </c>
      <c r="C1547" t="s">
        <v>281</v>
      </c>
      <c r="D1547" s="9">
        <v>1000</v>
      </c>
      <c r="E1547" t="s">
        <v>2680</v>
      </c>
      <c r="F1547" t="s">
        <v>651</v>
      </c>
      <c r="G1547">
        <v>8.5</v>
      </c>
      <c r="H1547" t="s">
        <v>2670</v>
      </c>
      <c r="I1547" t="s">
        <v>2681</v>
      </c>
      <c r="J1547" t="s">
        <v>62</v>
      </c>
    </row>
    <row r="1548" spans="1:10" x14ac:dyDescent="0.3">
      <c r="A1548" t="s">
        <v>2682</v>
      </c>
      <c r="B1548" t="s">
        <v>2669</v>
      </c>
      <c r="C1548" t="s">
        <v>415</v>
      </c>
      <c r="D1548" s="9">
        <v>1000</v>
      </c>
      <c r="E1548" t="s">
        <v>2683</v>
      </c>
      <c r="F1548" t="s">
        <v>283</v>
      </c>
      <c r="G1548">
        <v>8.75</v>
      </c>
      <c r="H1548" t="s">
        <v>2673</v>
      </c>
      <c r="I1548" t="s">
        <v>2684</v>
      </c>
      <c r="J1548" t="s">
        <v>62</v>
      </c>
    </row>
    <row r="1549" spans="1:10" x14ac:dyDescent="0.3">
      <c r="A1549" t="s">
        <v>2682</v>
      </c>
      <c r="B1549" t="s">
        <v>2685</v>
      </c>
      <c r="D1549" s="6">
        <v>1000</v>
      </c>
      <c r="G1549" s="7">
        <v>8.75</v>
      </c>
      <c r="H1549" s="4" t="s">
        <v>2673</v>
      </c>
      <c r="J1549" t="s">
        <v>62</v>
      </c>
    </row>
    <row r="1550" spans="1:10" x14ac:dyDescent="0.3">
      <c r="A1550" t="s">
        <v>2682</v>
      </c>
      <c r="B1550" t="s">
        <v>2685</v>
      </c>
      <c r="D1550" s="6">
        <v>1000</v>
      </c>
      <c r="G1550" s="7">
        <v>8.75</v>
      </c>
      <c r="H1550" s="4" t="s">
        <v>2673</v>
      </c>
      <c r="J1550" t="s">
        <v>62</v>
      </c>
    </row>
    <row r="1551" spans="1:10" x14ac:dyDescent="0.3">
      <c r="A1551" t="s">
        <v>2686</v>
      </c>
      <c r="B1551" t="s">
        <v>2669</v>
      </c>
      <c r="C1551" t="s">
        <v>292</v>
      </c>
      <c r="D1551" s="9">
        <v>1000</v>
      </c>
      <c r="E1551" t="s">
        <v>45</v>
      </c>
      <c r="F1551" t="s">
        <v>45</v>
      </c>
      <c r="G1551">
        <v>9</v>
      </c>
      <c r="H1551" t="s">
        <v>2676</v>
      </c>
      <c r="I1551" t="s">
        <v>2687</v>
      </c>
      <c r="J1551" t="s">
        <v>62</v>
      </c>
    </row>
    <row r="1552" spans="1:10" x14ac:dyDescent="0.3">
      <c r="A1552" t="s">
        <v>2686</v>
      </c>
      <c r="B1552" t="s">
        <v>2688</v>
      </c>
      <c r="D1552" s="6">
        <v>1000</v>
      </c>
      <c r="G1552" s="7">
        <v>9</v>
      </c>
      <c r="H1552" s="4" t="s">
        <v>2676</v>
      </c>
      <c r="J1552" t="s">
        <v>62</v>
      </c>
    </row>
    <row r="1553" spans="1:10" x14ac:dyDescent="0.3">
      <c r="A1553" t="s">
        <v>2686</v>
      </c>
      <c r="B1553" t="s">
        <v>2688</v>
      </c>
      <c r="D1553" s="6">
        <v>1000</v>
      </c>
      <c r="G1553" s="7">
        <v>9</v>
      </c>
      <c r="H1553" s="4" t="s">
        <v>2676</v>
      </c>
      <c r="J1553" t="s">
        <v>62</v>
      </c>
    </row>
    <row r="1554" spans="1:10" x14ac:dyDescent="0.3">
      <c r="A1554" t="s">
        <v>2689</v>
      </c>
      <c r="B1554" t="s">
        <v>2690</v>
      </c>
      <c r="D1554" s="6">
        <v>1000</v>
      </c>
      <c r="G1554" s="7" t="s">
        <v>65</v>
      </c>
      <c r="H1554" s="4" t="s">
        <v>2156</v>
      </c>
      <c r="J1554" t="s">
        <v>49</v>
      </c>
    </row>
    <row r="1555" spans="1:10" x14ac:dyDescent="0.3">
      <c r="A1555" t="s">
        <v>2691</v>
      </c>
      <c r="B1555" t="s">
        <v>2692</v>
      </c>
      <c r="D1555" s="6">
        <v>1000</v>
      </c>
      <c r="G1555" s="7" t="s">
        <v>65</v>
      </c>
      <c r="H1555" s="4" t="s">
        <v>2346</v>
      </c>
      <c r="J1555" t="s">
        <v>49</v>
      </c>
    </row>
    <row r="1556" spans="1:10" x14ac:dyDescent="0.3">
      <c r="A1556" t="s">
        <v>2693</v>
      </c>
      <c r="B1556" t="s">
        <v>2694</v>
      </c>
      <c r="D1556" s="6">
        <v>1000</v>
      </c>
      <c r="G1556" s="7" t="s">
        <v>65</v>
      </c>
      <c r="H1556" s="4" t="s">
        <v>233</v>
      </c>
      <c r="J1556" t="s">
        <v>49</v>
      </c>
    </row>
    <row r="1557" spans="1:10" x14ac:dyDescent="0.3">
      <c r="A1557" t="s">
        <v>2695</v>
      </c>
      <c r="B1557" t="s">
        <v>2696</v>
      </c>
      <c r="D1557" s="6">
        <v>1000</v>
      </c>
      <c r="G1557" s="7" t="s">
        <v>65</v>
      </c>
      <c r="H1557" s="4" t="s">
        <v>2697</v>
      </c>
      <c r="J1557" t="s">
        <v>49</v>
      </c>
    </row>
    <row r="1558" spans="1:10" x14ac:dyDescent="0.3">
      <c r="A1558" t="s">
        <v>2698</v>
      </c>
      <c r="B1558" t="s">
        <v>2699</v>
      </c>
      <c r="D1558" s="6">
        <v>1000</v>
      </c>
      <c r="G1558" s="7">
        <v>9.9</v>
      </c>
      <c r="H1558" s="4" t="s">
        <v>2697</v>
      </c>
      <c r="J1558" t="s">
        <v>62</v>
      </c>
    </row>
    <row r="1559" spans="1:10" x14ac:dyDescent="0.3">
      <c r="A1559" t="s">
        <v>2700</v>
      </c>
      <c r="B1559" t="s">
        <v>2701</v>
      </c>
      <c r="D1559" s="6">
        <v>1000</v>
      </c>
      <c r="G1559" s="7">
        <v>9.48</v>
      </c>
      <c r="H1559" s="4" t="s">
        <v>2697</v>
      </c>
      <c r="J1559" t="s">
        <v>59</v>
      </c>
    </row>
    <row r="1560" spans="1:10" x14ac:dyDescent="0.3">
      <c r="A1560" t="s">
        <v>2702</v>
      </c>
      <c r="B1560" t="s">
        <v>2703</v>
      </c>
      <c r="D1560" s="6">
        <v>1000</v>
      </c>
      <c r="G1560" s="7">
        <v>10</v>
      </c>
      <c r="H1560" s="4" t="s">
        <v>2704</v>
      </c>
      <c r="J1560" t="s">
        <v>62</v>
      </c>
    </row>
    <row r="1561" spans="1:10" x14ac:dyDescent="0.3">
      <c r="A1561" t="s">
        <v>2705</v>
      </c>
      <c r="B1561" t="s">
        <v>2706</v>
      </c>
      <c r="D1561" s="6">
        <v>1000</v>
      </c>
      <c r="G1561" s="7">
        <v>9.5699999999999985</v>
      </c>
      <c r="H1561" s="4" t="s">
        <v>2704</v>
      </c>
      <c r="J1561" t="s">
        <v>59</v>
      </c>
    </row>
    <row r="1562" spans="1:10" x14ac:dyDescent="0.3">
      <c r="A1562" t="s">
        <v>2707</v>
      </c>
      <c r="B1562" t="s">
        <v>2708</v>
      </c>
      <c r="D1562" s="6">
        <v>1000</v>
      </c>
      <c r="G1562" s="7" t="s">
        <v>65</v>
      </c>
      <c r="H1562" s="4" t="s">
        <v>2661</v>
      </c>
      <c r="J1562" t="s">
        <v>62</v>
      </c>
    </row>
    <row r="1563" spans="1:10" x14ac:dyDescent="0.3">
      <c r="A1563" t="s">
        <v>2709</v>
      </c>
      <c r="B1563" t="s">
        <v>2710</v>
      </c>
      <c r="D1563" s="6">
        <v>1000</v>
      </c>
      <c r="G1563" s="7">
        <v>8.2000000000000011</v>
      </c>
      <c r="H1563" s="4" t="s">
        <v>2711</v>
      </c>
      <c r="J1563" t="s">
        <v>62</v>
      </c>
    </row>
    <row r="1564" spans="1:10" x14ac:dyDescent="0.3">
      <c r="A1564" t="s">
        <v>2712</v>
      </c>
      <c r="B1564" t="s">
        <v>2713</v>
      </c>
      <c r="D1564" s="6">
        <v>1000</v>
      </c>
      <c r="G1564" s="7">
        <v>7.91</v>
      </c>
      <c r="H1564" s="4" t="s">
        <v>2711</v>
      </c>
      <c r="J1564" t="s">
        <v>59</v>
      </c>
    </row>
    <row r="1565" spans="1:10" x14ac:dyDescent="0.3">
      <c r="A1565" t="s">
        <v>2714</v>
      </c>
      <c r="B1565" t="s">
        <v>2715</v>
      </c>
      <c r="D1565" s="6">
        <v>1000</v>
      </c>
      <c r="G1565" s="7">
        <v>8.3000000000000007</v>
      </c>
      <c r="H1565" s="4" t="s">
        <v>2716</v>
      </c>
      <c r="J1565" t="s">
        <v>62</v>
      </c>
    </row>
    <row r="1566" spans="1:10" x14ac:dyDescent="0.3">
      <c r="A1566" t="s">
        <v>2717</v>
      </c>
      <c r="B1566" t="s">
        <v>2718</v>
      </c>
      <c r="D1566" s="6">
        <v>1000</v>
      </c>
      <c r="G1566" s="7">
        <v>8.7999999999999989</v>
      </c>
      <c r="H1566" s="4" t="s">
        <v>2209</v>
      </c>
      <c r="J1566" t="s">
        <v>59</v>
      </c>
    </row>
    <row r="1567" spans="1:10" x14ac:dyDescent="0.3">
      <c r="A1567" t="s">
        <v>2719</v>
      </c>
      <c r="B1567" t="s">
        <v>2720</v>
      </c>
      <c r="D1567" s="6">
        <v>1000</v>
      </c>
      <c r="G1567" s="7">
        <v>9.15</v>
      </c>
      <c r="H1567" s="4" t="s">
        <v>2209</v>
      </c>
      <c r="J1567" t="s">
        <v>62</v>
      </c>
    </row>
    <row r="1568" spans="1:10" x14ac:dyDescent="0.3">
      <c r="A1568" t="s">
        <v>2721</v>
      </c>
      <c r="B1568" t="s">
        <v>2722</v>
      </c>
      <c r="D1568" s="6">
        <v>1000</v>
      </c>
      <c r="G1568" s="7" t="s">
        <v>65</v>
      </c>
      <c r="H1568" s="4" t="s">
        <v>2209</v>
      </c>
      <c r="J1568" t="s">
        <v>49</v>
      </c>
    </row>
    <row r="1569" spans="1:10" x14ac:dyDescent="0.3">
      <c r="A1569" t="s">
        <v>2723</v>
      </c>
      <c r="B1569" t="s">
        <v>2724</v>
      </c>
      <c r="D1569" s="6">
        <v>1000</v>
      </c>
      <c r="G1569" s="7">
        <v>9.16</v>
      </c>
      <c r="H1569" s="4" t="s">
        <v>2215</v>
      </c>
      <c r="J1569" t="s">
        <v>59</v>
      </c>
    </row>
    <row r="1570" spans="1:10" x14ac:dyDescent="0.3">
      <c r="A1570" t="s">
        <v>2725</v>
      </c>
      <c r="B1570" t="s">
        <v>2726</v>
      </c>
      <c r="D1570" s="6">
        <v>1000</v>
      </c>
      <c r="G1570" s="7" t="s">
        <v>65</v>
      </c>
      <c r="H1570" s="4" t="s">
        <v>2215</v>
      </c>
      <c r="J1570" t="s">
        <v>49</v>
      </c>
    </row>
    <row r="1571" spans="1:10" x14ac:dyDescent="0.3">
      <c r="A1571" t="s">
        <v>2727</v>
      </c>
      <c r="B1571" t="s">
        <v>2728</v>
      </c>
      <c r="D1571" s="6">
        <v>1000</v>
      </c>
      <c r="G1571" s="7">
        <v>9.9500000000000011</v>
      </c>
      <c r="H1571" s="4" t="s">
        <v>2729</v>
      </c>
      <c r="J1571" t="s">
        <v>62</v>
      </c>
    </row>
    <row r="1572" spans="1:10" x14ac:dyDescent="0.3">
      <c r="A1572" t="s">
        <v>2730</v>
      </c>
      <c r="B1572" t="s">
        <v>2731</v>
      </c>
      <c r="D1572" s="6">
        <v>1000</v>
      </c>
      <c r="G1572" s="7">
        <v>9.5299999999999994</v>
      </c>
      <c r="H1572" s="4" t="s">
        <v>2729</v>
      </c>
      <c r="J1572" t="s">
        <v>59</v>
      </c>
    </row>
    <row r="1573" spans="1:10" x14ac:dyDescent="0.3">
      <c r="A1573" t="s">
        <v>2732</v>
      </c>
      <c r="B1573" t="s">
        <v>2733</v>
      </c>
      <c r="D1573" s="6">
        <v>1000</v>
      </c>
      <c r="G1573" s="7">
        <v>9.5500000000000007</v>
      </c>
      <c r="H1573" s="4" t="s">
        <v>2215</v>
      </c>
      <c r="J1573" t="s">
        <v>62</v>
      </c>
    </row>
    <row r="1574" spans="1:10" x14ac:dyDescent="0.3">
      <c r="A1574" t="s">
        <v>2734</v>
      </c>
      <c r="B1574" t="s">
        <v>2735</v>
      </c>
      <c r="C1574" t="s">
        <v>340</v>
      </c>
      <c r="D1574" s="9">
        <v>1000</v>
      </c>
      <c r="E1574" t="s">
        <v>2736</v>
      </c>
      <c r="F1574" t="s">
        <v>651</v>
      </c>
      <c r="G1574">
        <v>8.8800000000000008</v>
      </c>
      <c r="H1574" t="s">
        <v>2737</v>
      </c>
      <c r="I1574" t="s">
        <v>2738</v>
      </c>
      <c r="J1574" t="s">
        <v>59</v>
      </c>
    </row>
    <row r="1575" spans="1:10" x14ac:dyDescent="0.3">
      <c r="A1575" t="s">
        <v>2734</v>
      </c>
      <c r="B1575" t="s">
        <v>2739</v>
      </c>
      <c r="D1575" s="6">
        <v>1000</v>
      </c>
      <c r="G1575" s="7">
        <v>8.8800000000000008</v>
      </c>
      <c r="H1575" s="4" t="s">
        <v>2737</v>
      </c>
      <c r="J1575" t="s">
        <v>59</v>
      </c>
    </row>
    <row r="1576" spans="1:10" x14ac:dyDescent="0.3">
      <c r="A1576" t="s">
        <v>2734</v>
      </c>
      <c r="B1576" t="s">
        <v>2739</v>
      </c>
      <c r="D1576" s="6">
        <v>1000</v>
      </c>
      <c r="G1576" s="7">
        <v>8.8800000000000008</v>
      </c>
      <c r="H1576" s="4" t="s">
        <v>2737</v>
      </c>
      <c r="J1576" t="s">
        <v>59</v>
      </c>
    </row>
    <row r="1577" spans="1:10" x14ac:dyDescent="0.3">
      <c r="A1577" t="s">
        <v>2740</v>
      </c>
      <c r="B1577" t="s">
        <v>2735</v>
      </c>
      <c r="C1577" t="s">
        <v>281</v>
      </c>
      <c r="D1577" s="9">
        <v>1000</v>
      </c>
      <c r="E1577" t="s">
        <v>45</v>
      </c>
      <c r="F1577" t="s">
        <v>45</v>
      </c>
      <c r="G1577">
        <v>9.25</v>
      </c>
      <c r="H1577" t="s">
        <v>2737</v>
      </c>
      <c r="I1577" t="s">
        <v>2741</v>
      </c>
      <c r="J1577" t="s">
        <v>62</v>
      </c>
    </row>
    <row r="1578" spans="1:10" x14ac:dyDescent="0.3">
      <c r="A1578" t="s">
        <v>2740</v>
      </c>
      <c r="B1578" t="s">
        <v>2742</v>
      </c>
      <c r="D1578" s="6">
        <v>1000</v>
      </c>
      <c r="G1578" s="7">
        <v>9.25</v>
      </c>
      <c r="H1578" s="4" t="s">
        <v>2737</v>
      </c>
      <c r="J1578" t="s">
        <v>62</v>
      </c>
    </row>
    <row r="1579" spans="1:10" x14ac:dyDescent="0.3">
      <c r="A1579" t="s">
        <v>2740</v>
      </c>
      <c r="B1579" t="s">
        <v>2742</v>
      </c>
      <c r="D1579" s="6">
        <v>1000</v>
      </c>
      <c r="G1579" s="7">
        <v>9.25</v>
      </c>
      <c r="H1579" s="4" t="s">
        <v>2737</v>
      </c>
      <c r="J1579" t="s">
        <v>62</v>
      </c>
    </row>
    <row r="1580" spans="1:10" x14ac:dyDescent="0.3">
      <c r="A1580" t="s">
        <v>2743</v>
      </c>
      <c r="B1580" t="s">
        <v>2744</v>
      </c>
      <c r="C1580" t="s">
        <v>360</v>
      </c>
      <c r="D1580" s="9">
        <v>1000</v>
      </c>
      <c r="E1580" t="s">
        <v>45</v>
      </c>
      <c r="F1580" t="s">
        <v>45</v>
      </c>
      <c r="G1580">
        <v>8.5</v>
      </c>
      <c r="H1580" t="s">
        <v>2745</v>
      </c>
      <c r="I1580" t="s">
        <v>2681</v>
      </c>
      <c r="J1580" t="s">
        <v>62</v>
      </c>
    </row>
    <row r="1581" spans="1:10" x14ac:dyDescent="0.3">
      <c r="A1581" t="s">
        <v>2743</v>
      </c>
      <c r="B1581" t="s">
        <v>2746</v>
      </c>
      <c r="D1581" s="6">
        <v>1000</v>
      </c>
      <c r="G1581" s="7">
        <v>8.5</v>
      </c>
      <c r="H1581" s="4" t="s">
        <v>2745</v>
      </c>
      <c r="J1581" t="s">
        <v>62</v>
      </c>
    </row>
    <row r="1582" spans="1:10" x14ac:dyDescent="0.3">
      <c r="A1582" t="s">
        <v>2743</v>
      </c>
      <c r="B1582" t="s">
        <v>2746</v>
      </c>
      <c r="D1582" s="6">
        <v>1000</v>
      </c>
      <c r="G1582" s="7">
        <v>8.5</v>
      </c>
      <c r="H1582" s="4" t="s">
        <v>2745</v>
      </c>
      <c r="J1582" t="s">
        <v>62</v>
      </c>
    </row>
    <row r="1583" spans="1:10" x14ac:dyDescent="0.3">
      <c r="A1583" t="s">
        <v>2747</v>
      </c>
      <c r="B1583" t="s">
        <v>2744</v>
      </c>
      <c r="C1583" t="s">
        <v>638</v>
      </c>
      <c r="D1583" s="9">
        <v>1000</v>
      </c>
      <c r="E1583" t="s">
        <v>2748</v>
      </c>
      <c r="F1583" t="s">
        <v>2749</v>
      </c>
      <c r="G1583" s="12">
        <v>0</v>
      </c>
      <c r="H1583" t="s">
        <v>2745</v>
      </c>
      <c r="I1583" t="s">
        <v>2747</v>
      </c>
      <c r="J1583" t="s">
        <v>361</v>
      </c>
    </row>
    <row r="1584" spans="1:10" x14ac:dyDescent="0.3">
      <c r="A1584" t="s">
        <v>2747</v>
      </c>
      <c r="B1584" t="s">
        <v>2750</v>
      </c>
      <c r="D1584" s="6">
        <v>1000</v>
      </c>
      <c r="G1584" s="7" t="s">
        <v>65</v>
      </c>
      <c r="H1584" s="4" t="s">
        <v>2745</v>
      </c>
      <c r="J1584" t="s">
        <v>49</v>
      </c>
    </row>
    <row r="1585" spans="1:10" x14ac:dyDescent="0.3">
      <c r="A1585" t="s">
        <v>2747</v>
      </c>
      <c r="B1585" t="s">
        <v>2750</v>
      </c>
      <c r="D1585" s="6">
        <v>1000</v>
      </c>
      <c r="G1585" s="7" t="s">
        <v>65</v>
      </c>
      <c r="H1585" s="4" t="s">
        <v>2745</v>
      </c>
      <c r="J1585" t="s">
        <v>49</v>
      </c>
    </row>
    <row r="1586" spans="1:10" x14ac:dyDescent="0.3">
      <c r="A1586" t="s">
        <v>2751</v>
      </c>
      <c r="B1586" t="s">
        <v>2744</v>
      </c>
      <c r="C1586" t="s">
        <v>366</v>
      </c>
      <c r="D1586" s="9">
        <v>1000</v>
      </c>
      <c r="E1586" t="s">
        <v>2752</v>
      </c>
      <c r="F1586" t="s">
        <v>2753</v>
      </c>
      <c r="G1586">
        <v>8.42</v>
      </c>
      <c r="H1586" t="s">
        <v>2754</v>
      </c>
      <c r="I1586" t="s">
        <v>2755</v>
      </c>
      <c r="J1586" t="s">
        <v>59</v>
      </c>
    </row>
    <row r="1587" spans="1:10" x14ac:dyDescent="0.3">
      <c r="A1587" t="s">
        <v>2751</v>
      </c>
      <c r="B1587" t="s">
        <v>2756</v>
      </c>
      <c r="D1587" s="6">
        <v>1000</v>
      </c>
      <c r="G1587" s="7">
        <v>8.42</v>
      </c>
      <c r="H1587" s="4" t="s">
        <v>2754</v>
      </c>
      <c r="J1587" t="s">
        <v>59</v>
      </c>
    </row>
    <row r="1588" spans="1:10" x14ac:dyDescent="0.3">
      <c r="A1588" t="s">
        <v>2751</v>
      </c>
      <c r="B1588" t="s">
        <v>2756</v>
      </c>
      <c r="D1588" s="6">
        <v>1000</v>
      </c>
      <c r="G1588" s="7">
        <v>8.42</v>
      </c>
      <c r="H1588" s="4" t="s">
        <v>2754</v>
      </c>
      <c r="J1588" t="s">
        <v>59</v>
      </c>
    </row>
    <row r="1589" spans="1:10" x14ac:dyDescent="0.3">
      <c r="A1589" t="s">
        <v>2757</v>
      </c>
      <c r="B1589" t="s">
        <v>2744</v>
      </c>
      <c r="C1589" t="s">
        <v>480</v>
      </c>
      <c r="D1589" s="9">
        <v>1000</v>
      </c>
      <c r="E1589" t="s">
        <v>1165</v>
      </c>
      <c r="F1589" t="s">
        <v>2758</v>
      </c>
      <c r="G1589">
        <v>8.75</v>
      </c>
      <c r="H1589" t="s">
        <v>2754</v>
      </c>
      <c r="I1589" t="s">
        <v>2759</v>
      </c>
      <c r="J1589" t="s">
        <v>62</v>
      </c>
    </row>
    <row r="1590" spans="1:10" x14ac:dyDescent="0.3">
      <c r="A1590" t="s">
        <v>2757</v>
      </c>
      <c r="B1590" t="s">
        <v>2760</v>
      </c>
      <c r="D1590" s="6">
        <v>1000</v>
      </c>
      <c r="G1590" s="7">
        <v>8.75</v>
      </c>
      <c r="H1590" s="4" t="s">
        <v>2754</v>
      </c>
      <c r="J1590" t="s">
        <v>62</v>
      </c>
    </row>
    <row r="1591" spans="1:10" x14ac:dyDescent="0.3">
      <c r="A1591" t="s">
        <v>2757</v>
      </c>
      <c r="B1591" t="s">
        <v>2760</v>
      </c>
      <c r="D1591" s="6">
        <v>1000</v>
      </c>
      <c r="G1591" s="7">
        <v>8.75</v>
      </c>
      <c r="H1591" s="4" t="s">
        <v>2754</v>
      </c>
      <c r="J1591" t="s">
        <v>62</v>
      </c>
    </row>
    <row r="1592" spans="1:10" x14ac:dyDescent="0.3">
      <c r="A1592" t="s">
        <v>2761</v>
      </c>
      <c r="B1592" t="s">
        <v>2744</v>
      </c>
      <c r="C1592" t="s">
        <v>372</v>
      </c>
      <c r="D1592" s="9">
        <v>1000</v>
      </c>
      <c r="E1592" t="s">
        <v>45</v>
      </c>
      <c r="F1592" t="s">
        <v>45</v>
      </c>
      <c r="G1592" s="12">
        <v>0</v>
      </c>
      <c r="H1592" t="s">
        <v>2754</v>
      </c>
      <c r="I1592" t="s">
        <v>2761</v>
      </c>
      <c r="J1592" t="s">
        <v>59</v>
      </c>
    </row>
    <row r="1593" spans="1:10" x14ac:dyDescent="0.3">
      <c r="A1593" t="s">
        <v>2761</v>
      </c>
      <c r="B1593" t="s">
        <v>2762</v>
      </c>
      <c r="D1593" s="6">
        <v>1000</v>
      </c>
      <c r="G1593" s="7" t="s">
        <v>65</v>
      </c>
      <c r="H1593" s="4" t="s">
        <v>2754</v>
      </c>
      <c r="J1593" t="s">
        <v>49</v>
      </c>
    </row>
    <row r="1594" spans="1:10" x14ac:dyDescent="0.3">
      <c r="A1594" t="s">
        <v>2761</v>
      </c>
      <c r="B1594" t="s">
        <v>2762</v>
      </c>
      <c r="D1594" s="6">
        <v>1000</v>
      </c>
      <c r="G1594" s="7" t="s">
        <v>65</v>
      </c>
      <c r="H1594" s="4" t="s">
        <v>2754</v>
      </c>
      <c r="J1594" t="s">
        <v>49</v>
      </c>
    </row>
    <row r="1595" spans="1:10" x14ac:dyDescent="0.3">
      <c r="A1595" t="s">
        <v>2763</v>
      </c>
      <c r="B1595" t="s">
        <v>2744</v>
      </c>
      <c r="C1595" t="s">
        <v>660</v>
      </c>
      <c r="D1595" s="9">
        <v>1000</v>
      </c>
      <c r="E1595" t="s">
        <v>2764</v>
      </c>
      <c r="F1595" t="s">
        <v>442</v>
      </c>
      <c r="G1595">
        <v>8.5</v>
      </c>
      <c r="H1595" t="s">
        <v>2765</v>
      </c>
      <c r="I1595" t="s">
        <v>2766</v>
      </c>
      <c r="J1595" t="s">
        <v>62</v>
      </c>
    </row>
    <row r="1596" spans="1:10" x14ac:dyDescent="0.3">
      <c r="A1596" t="s">
        <v>2763</v>
      </c>
      <c r="B1596" t="s">
        <v>2767</v>
      </c>
      <c r="D1596" s="6">
        <v>1000</v>
      </c>
      <c r="G1596" s="7">
        <v>8.5</v>
      </c>
      <c r="H1596" s="4" t="s">
        <v>2765</v>
      </c>
      <c r="J1596" t="s">
        <v>62</v>
      </c>
    </row>
    <row r="1597" spans="1:10" x14ac:dyDescent="0.3">
      <c r="A1597" t="s">
        <v>2763</v>
      </c>
      <c r="B1597" t="s">
        <v>2767</v>
      </c>
      <c r="D1597" s="6">
        <v>1000</v>
      </c>
      <c r="G1597" s="7">
        <v>8.5</v>
      </c>
      <c r="H1597" s="4" t="s">
        <v>2765</v>
      </c>
      <c r="J1597" t="s">
        <v>62</v>
      </c>
    </row>
    <row r="1598" spans="1:10" x14ac:dyDescent="0.3">
      <c r="A1598" t="s">
        <v>2768</v>
      </c>
      <c r="B1598" t="s">
        <v>2744</v>
      </c>
      <c r="C1598" t="s">
        <v>1145</v>
      </c>
      <c r="D1598" s="9">
        <v>1000</v>
      </c>
      <c r="E1598" t="s">
        <v>2769</v>
      </c>
      <c r="F1598" t="s">
        <v>2770</v>
      </c>
      <c r="G1598">
        <v>9</v>
      </c>
      <c r="H1598" t="s">
        <v>2771</v>
      </c>
      <c r="I1598" t="s">
        <v>2772</v>
      </c>
      <c r="J1598" t="s">
        <v>62</v>
      </c>
    </row>
    <row r="1599" spans="1:10" x14ac:dyDescent="0.3">
      <c r="A1599" t="s">
        <v>2768</v>
      </c>
      <c r="B1599" t="s">
        <v>2773</v>
      </c>
      <c r="D1599" s="6">
        <v>1000</v>
      </c>
      <c r="G1599" s="7">
        <v>9</v>
      </c>
      <c r="H1599" s="4" t="s">
        <v>2771</v>
      </c>
      <c r="J1599" t="s">
        <v>62</v>
      </c>
    </row>
    <row r="1600" spans="1:10" x14ac:dyDescent="0.3">
      <c r="A1600" t="s">
        <v>2768</v>
      </c>
      <c r="B1600" t="s">
        <v>2773</v>
      </c>
      <c r="D1600" s="6">
        <v>1000</v>
      </c>
      <c r="G1600" s="7">
        <v>9</v>
      </c>
      <c r="H1600" s="4" t="s">
        <v>2771</v>
      </c>
      <c r="J1600" t="s">
        <v>62</v>
      </c>
    </row>
    <row r="1601" spans="1:10" x14ac:dyDescent="0.3">
      <c r="A1601" t="s">
        <v>2774</v>
      </c>
      <c r="B1601" t="s">
        <v>2744</v>
      </c>
      <c r="C1601" t="s">
        <v>1480</v>
      </c>
      <c r="D1601" s="9">
        <v>1000</v>
      </c>
      <c r="E1601" t="s">
        <v>932</v>
      </c>
      <c r="F1601" t="s">
        <v>1506</v>
      </c>
      <c r="G1601" s="12">
        <v>0</v>
      </c>
      <c r="H1601" t="s">
        <v>2771</v>
      </c>
      <c r="I1601" t="s">
        <v>2774</v>
      </c>
      <c r="J1601" t="s">
        <v>361</v>
      </c>
    </row>
    <row r="1602" spans="1:10" x14ac:dyDescent="0.3">
      <c r="A1602" t="s">
        <v>2774</v>
      </c>
      <c r="B1602" t="s">
        <v>2775</v>
      </c>
      <c r="D1602" s="6">
        <v>1000</v>
      </c>
      <c r="G1602" s="7" t="s">
        <v>65</v>
      </c>
      <c r="H1602" s="4" t="s">
        <v>2771</v>
      </c>
      <c r="J1602" t="s">
        <v>49</v>
      </c>
    </row>
    <row r="1603" spans="1:10" x14ac:dyDescent="0.3">
      <c r="A1603" t="s">
        <v>2774</v>
      </c>
      <c r="B1603" t="s">
        <v>2775</v>
      </c>
      <c r="D1603" s="6">
        <v>1000</v>
      </c>
      <c r="G1603" s="7" t="s">
        <v>65</v>
      </c>
      <c r="H1603" s="4" t="s">
        <v>2771</v>
      </c>
      <c r="J1603" t="s">
        <v>49</v>
      </c>
    </row>
    <row r="1604" spans="1:10" x14ac:dyDescent="0.3">
      <c r="A1604" t="s">
        <v>2776</v>
      </c>
      <c r="B1604" t="s">
        <v>2744</v>
      </c>
      <c r="C1604" t="s">
        <v>1134</v>
      </c>
      <c r="D1604" s="9">
        <v>1000</v>
      </c>
      <c r="E1604" t="s">
        <v>2777</v>
      </c>
      <c r="F1604" t="s">
        <v>947</v>
      </c>
      <c r="G1604" s="12">
        <v>0</v>
      </c>
      <c r="H1604" t="s">
        <v>2778</v>
      </c>
      <c r="I1604" t="s">
        <v>2776</v>
      </c>
      <c r="J1604" t="s">
        <v>128</v>
      </c>
    </row>
    <row r="1605" spans="1:10" x14ac:dyDescent="0.3">
      <c r="A1605" t="s">
        <v>2776</v>
      </c>
      <c r="B1605" t="s">
        <v>2779</v>
      </c>
      <c r="D1605" s="6">
        <v>1000</v>
      </c>
      <c r="G1605" s="7" t="s">
        <v>65</v>
      </c>
      <c r="H1605" s="4" t="s">
        <v>2778</v>
      </c>
      <c r="J1605" t="s">
        <v>49</v>
      </c>
    </row>
    <row r="1606" spans="1:10" x14ac:dyDescent="0.3">
      <c r="A1606" t="s">
        <v>2776</v>
      </c>
      <c r="B1606" t="s">
        <v>2779</v>
      </c>
      <c r="D1606" s="6">
        <v>1000</v>
      </c>
      <c r="G1606" s="7" t="s">
        <v>65</v>
      </c>
      <c r="H1606" s="4" t="s">
        <v>2778</v>
      </c>
      <c r="J1606" t="s">
        <v>49</v>
      </c>
    </row>
    <row r="1607" spans="1:10" x14ac:dyDescent="0.3">
      <c r="A1607" t="s">
        <v>2780</v>
      </c>
      <c r="B1607" t="s">
        <v>2744</v>
      </c>
      <c r="C1607" t="s">
        <v>1131</v>
      </c>
      <c r="D1607" s="9">
        <v>1000</v>
      </c>
      <c r="E1607" t="s">
        <v>1111</v>
      </c>
      <c r="F1607" t="s">
        <v>651</v>
      </c>
      <c r="G1607">
        <v>8.75</v>
      </c>
      <c r="H1607" t="s">
        <v>2778</v>
      </c>
      <c r="I1607" t="s">
        <v>2781</v>
      </c>
      <c r="J1607" t="s">
        <v>62</v>
      </c>
    </row>
    <row r="1608" spans="1:10" x14ac:dyDescent="0.3">
      <c r="A1608" t="s">
        <v>2780</v>
      </c>
      <c r="B1608" t="s">
        <v>2782</v>
      </c>
      <c r="D1608" s="6">
        <v>1000</v>
      </c>
      <c r="G1608" s="7">
        <v>8.75</v>
      </c>
      <c r="H1608" s="4" t="s">
        <v>2778</v>
      </c>
      <c r="J1608" t="s">
        <v>62</v>
      </c>
    </row>
    <row r="1609" spans="1:10" x14ac:dyDescent="0.3">
      <c r="A1609" t="s">
        <v>2780</v>
      </c>
      <c r="B1609" t="s">
        <v>2782</v>
      </c>
      <c r="D1609" s="6">
        <v>1000</v>
      </c>
      <c r="G1609" s="7">
        <v>8.75</v>
      </c>
      <c r="H1609" s="4" t="s">
        <v>2778</v>
      </c>
      <c r="J1609" t="s">
        <v>62</v>
      </c>
    </row>
    <row r="1610" spans="1:10" x14ac:dyDescent="0.3">
      <c r="A1610" t="s">
        <v>2783</v>
      </c>
      <c r="B1610" t="s">
        <v>2744</v>
      </c>
      <c r="C1610" t="s">
        <v>1460</v>
      </c>
      <c r="D1610" s="9">
        <v>1000</v>
      </c>
      <c r="E1610" t="s">
        <v>2784</v>
      </c>
      <c r="F1610" t="s">
        <v>1794</v>
      </c>
      <c r="G1610" s="12">
        <v>0</v>
      </c>
      <c r="H1610" t="s">
        <v>2765</v>
      </c>
      <c r="I1610" t="s">
        <v>2783</v>
      </c>
      <c r="J1610" t="s">
        <v>59</v>
      </c>
    </row>
    <row r="1611" spans="1:10" x14ac:dyDescent="0.3">
      <c r="A1611" t="s">
        <v>2783</v>
      </c>
      <c r="B1611" t="s">
        <v>2785</v>
      </c>
      <c r="D1611" s="6">
        <v>1000</v>
      </c>
      <c r="G1611" s="7" t="s">
        <v>65</v>
      </c>
      <c r="H1611" s="4" t="s">
        <v>2765</v>
      </c>
      <c r="J1611" t="s">
        <v>49</v>
      </c>
    </row>
    <row r="1612" spans="1:10" x14ac:dyDescent="0.3">
      <c r="A1612" t="s">
        <v>2783</v>
      </c>
      <c r="B1612" t="s">
        <v>2785</v>
      </c>
      <c r="D1612" s="6">
        <v>1000</v>
      </c>
      <c r="G1612" s="7" t="s">
        <v>65</v>
      </c>
      <c r="H1612" s="4" t="s">
        <v>2765</v>
      </c>
      <c r="J1612" t="s">
        <v>49</v>
      </c>
    </row>
    <row r="1613" spans="1:10" x14ac:dyDescent="0.3">
      <c r="A1613" t="s">
        <v>2786</v>
      </c>
      <c r="B1613" t="s">
        <v>2744</v>
      </c>
      <c r="C1613" t="s">
        <v>1139</v>
      </c>
      <c r="D1613" s="9">
        <v>1000</v>
      </c>
      <c r="E1613" t="s">
        <v>2787</v>
      </c>
      <c r="F1613" t="s">
        <v>625</v>
      </c>
      <c r="G1613">
        <v>8.65</v>
      </c>
      <c r="H1613" t="s">
        <v>2771</v>
      </c>
      <c r="I1613" t="s">
        <v>2788</v>
      </c>
      <c r="J1613" t="s">
        <v>59</v>
      </c>
    </row>
    <row r="1614" spans="1:10" x14ac:dyDescent="0.3">
      <c r="A1614" t="s">
        <v>2786</v>
      </c>
      <c r="B1614" t="s">
        <v>2789</v>
      </c>
      <c r="D1614" s="6">
        <v>1000</v>
      </c>
      <c r="G1614" s="7">
        <v>8.6499999999999986</v>
      </c>
      <c r="H1614" s="4" t="s">
        <v>2771</v>
      </c>
      <c r="J1614" t="s">
        <v>59</v>
      </c>
    </row>
    <row r="1615" spans="1:10" x14ac:dyDescent="0.3">
      <c r="A1615" t="s">
        <v>2786</v>
      </c>
      <c r="B1615" t="s">
        <v>2789</v>
      </c>
      <c r="D1615" s="6">
        <v>1000</v>
      </c>
      <c r="G1615" s="7">
        <v>8.6499999999999986</v>
      </c>
      <c r="H1615" s="4" t="s">
        <v>2771</v>
      </c>
      <c r="J1615" t="s">
        <v>59</v>
      </c>
    </row>
    <row r="1616" spans="1:10" x14ac:dyDescent="0.3">
      <c r="A1616" t="s">
        <v>2790</v>
      </c>
      <c r="B1616" t="s">
        <v>2744</v>
      </c>
      <c r="C1616" t="s">
        <v>1485</v>
      </c>
      <c r="D1616" s="9">
        <v>1000</v>
      </c>
      <c r="E1616" t="s">
        <v>2791</v>
      </c>
      <c r="F1616" t="s">
        <v>442</v>
      </c>
      <c r="G1616">
        <v>8.35</v>
      </c>
      <c r="H1616" t="s">
        <v>2792</v>
      </c>
      <c r="I1616" t="s">
        <v>2793</v>
      </c>
      <c r="J1616" t="s">
        <v>62</v>
      </c>
    </row>
    <row r="1617" spans="1:10" x14ac:dyDescent="0.3">
      <c r="A1617" t="s">
        <v>2790</v>
      </c>
      <c r="B1617" t="s">
        <v>2794</v>
      </c>
      <c r="D1617" s="6">
        <v>1000</v>
      </c>
      <c r="G1617" s="7">
        <v>8.35</v>
      </c>
      <c r="H1617" s="4" t="s">
        <v>2792</v>
      </c>
      <c r="J1617" t="s">
        <v>62</v>
      </c>
    </row>
    <row r="1618" spans="1:10" x14ac:dyDescent="0.3">
      <c r="A1618" t="s">
        <v>2790</v>
      </c>
      <c r="B1618" t="s">
        <v>2794</v>
      </c>
      <c r="D1618" s="6">
        <v>1000</v>
      </c>
      <c r="G1618" s="7">
        <v>8.35</v>
      </c>
      <c r="H1618" s="4" t="s">
        <v>2792</v>
      </c>
      <c r="J1618" t="s">
        <v>62</v>
      </c>
    </row>
    <row r="1619" spans="1:10" x14ac:dyDescent="0.3">
      <c r="A1619" t="s">
        <v>2795</v>
      </c>
      <c r="B1619" t="s">
        <v>2744</v>
      </c>
      <c r="C1619" t="s">
        <v>1493</v>
      </c>
      <c r="D1619" s="9">
        <v>1000</v>
      </c>
      <c r="E1619" t="s">
        <v>2796</v>
      </c>
      <c r="F1619" t="s">
        <v>442</v>
      </c>
      <c r="G1619">
        <v>8.5</v>
      </c>
      <c r="H1619" t="s">
        <v>2797</v>
      </c>
      <c r="I1619" t="s">
        <v>2798</v>
      </c>
      <c r="J1619" t="s">
        <v>62</v>
      </c>
    </row>
    <row r="1620" spans="1:10" x14ac:dyDescent="0.3">
      <c r="A1620" t="s">
        <v>2795</v>
      </c>
      <c r="B1620" t="s">
        <v>2799</v>
      </c>
      <c r="D1620" s="6">
        <v>1000</v>
      </c>
      <c r="G1620" s="7">
        <v>8.5</v>
      </c>
      <c r="H1620" s="4" t="s">
        <v>2797</v>
      </c>
      <c r="J1620" t="s">
        <v>62</v>
      </c>
    </row>
    <row r="1621" spans="1:10" x14ac:dyDescent="0.3">
      <c r="A1621" t="s">
        <v>2795</v>
      </c>
      <c r="B1621" t="s">
        <v>2799</v>
      </c>
      <c r="D1621" s="6">
        <v>1000</v>
      </c>
      <c r="G1621" s="7">
        <v>8.5</v>
      </c>
      <c r="H1621" s="4" t="s">
        <v>2797</v>
      </c>
      <c r="J1621" t="s">
        <v>62</v>
      </c>
    </row>
    <row r="1622" spans="1:10" x14ac:dyDescent="0.3">
      <c r="A1622" t="s">
        <v>2800</v>
      </c>
      <c r="B1622" t="s">
        <v>2744</v>
      </c>
      <c r="C1622" t="s">
        <v>1496</v>
      </c>
      <c r="D1622" s="9">
        <v>1000</v>
      </c>
      <c r="E1622" t="s">
        <v>2801</v>
      </c>
      <c r="F1622" t="s">
        <v>442</v>
      </c>
      <c r="G1622" s="12">
        <v>0</v>
      </c>
      <c r="H1622" t="s">
        <v>2797</v>
      </c>
      <c r="I1622" t="s">
        <v>2800</v>
      </c>
      <c r="J1622" t="s">
        <v>361</v>
      </c>
    </row>
    <row r="1623" spans="1:10" x14ac:dyDescent="0.3">
      <c r="A1623" t="s">
        <v>2800</v>
      </c>
      <c r="B1623" t="s">
        <v>2802</v>
      </c>
      <c r="D1623" s="6">
        <v>1000</v>
      </c>
      <c r="G1623" s="7" t="s">
        <v>65</v>
      </c>
      <c r="H1623" s="4" t="s">
        <v>2797</v>
      </c>
      <c r="J1623" t="s">
        <v>49</v>
      </c>
    </row>
    <row r="1624" spans="1:10" x14ac:dyDescent="0.3">
      <c r="A1624" t="s">
        <v>2800</v>
      </c>
      <c r="B1624" t="s">
        <v>2802</v>
      </c>
      <c r="D1624" s="6">
        <v>1000</v>
      </c>
      <c r="G1624" s="7" t="s">
        <v>65</v>
      </c>
      <c r="H1624" s="4" t="s">
        <v>2797</v>
      </c>
      <c r="J1624" t="s">
        <v>49</v>
      </c>
    </row>
    <row r="1625" spans="1:10" x14ac:dyDescent="0.3">
      <c r="A1625" t="s">
        <v>2803</v>
      </c>
      <c r="B1625" t="s">
        <v>2744</v>
      </c>
      <c r="C1625" t="s">
        <v>1505</v>
      </c>
      <c r="D1625" s="9">
        <v>1000</v>
      </c>
      <c r="E1625" t="s">
        <v>2804</v>
      </c>
      <c r="F1625" t="s">
        <v>442</v>
      </c>
      <c r="G1625" s="12">
        <v>0</v>
      </c>
      <c r="H1625" t="s">
        <v>2805</v>
      </c>
      <c r="I1625" t="s">
        <v>2803</v>
      </c>
      <c r="J1625" t="s">
        <v>62</v>
      </c>
    </row>
    <row r="1626" spans="1:10" x14ac:dyDescent="0.3">
      <c r="A1626" t="s">
        <v>2803</v>
      </c>
      <c r="B1626" t="s">
        <v>2806</v>
      </c>
      <c r="D1626" s="6">
        <v>1000</v>
      </c>
      <c r="G1626" s="7" t="s">
        <v>65</v>
      </c>
      <c r="H1626" s="4" t="s">
        <v>2805</v>
      </c>
      <c r="J1626" t="s">
        <v>49</v>
      </c>
    </row>
    <row r="1627" spans="1:10" x14ac:dyDescent="0.3">
      <c r="A1627" t="s">
        <v>2803</v>
      </c>
      <c r="B1627" t="s">
        <v>2806</v>
      </c>
      <c r="D1627" s="6">
        <v>1000</v>
      </c>
      <c r="G1627" s="7" t="s">
        <v>65</v>
      </c>
      <c r="H1627" s="4" t="s">
        <v>2805</v>
      </c>
      <c r="J1627" t="s">
        <v>49</v>
      </c>
    </row>
    <row r="1628" spans="1:10" x14ac:dyDescent="0.3">
      <c r="A1628" t="s">
        <v>2807</v>
      </c>
      <c r="B1628" t="s">
        <v>2744</v>
      </c>
      <c r="C1628" t="s">
        <v>2808</v>
      </c>
      <c r="D1628" s="9">
        <v>1000</v>
      </c>
      <c r="E1628" t="s">
        <v>2809</v>
      </c>
      <c r="F1628" t="s">
        <v>442</v>
      </c>
      <c r="G1628">
        <v>9</v>
      </c>
      <c r="H1628" t="s">
        <v>2805</v>
      </c>
      <c r="I1628" t="s">
        <v>2772</v>
      </c>
      <c r="J1628" t="s">
        <v>62</v>
      </c>
    </row>
    <row r="1629" spans="1:10" x14ac:dyDescent="0.3">
      <c r="A1629" t="s">
        <v>2807</v>
      </c>
      <c r="B1629" t="s">
        <v>2810</v>
      </c>
      <c r="D1629" s="6">
        <v>1000</v>
      </c>
      <c r="G1629" s="7">
        <v>9</v>
      </c>
      <c r="H1629" s="4" t="s">
        <v>2805</v>
      </c>
      <c r="J1629" t="s">
        <v>62</v>
      </c>
    </row>
    <row r="1630" spans="1:10" x14ac:dyDescent="0.3">
      <c r="A1630" t="s">
        <v>2807</v>
      </c>
      <c r="B1630" t="s">
        <v>2810</v>
      </c>
      <c r="D1630" s="6">
        <v>1000</v>
      </c>
      <c r="G1630" s="7">
        <v>9</v>
      </c>
      <c r="H1630" s="4" t="s">
        <v>2805</v>
      </c>
      <c r="J1630" t="s">
        <v>62</v>
      </c>
    </row>
    <row r="1631" spans="1:10" x14ac:dyDescent="0.3">
      <c r="A1631" t="s">
        <v>2811</v>
      </c>
      <c r="B1631" t="s">
        <v>2744</v>
      </c>
      <c r="C1631" t="s">
        <v>1500</v>
      </c>
      <c r="D1631" s="9">
        <v>1000</v>
      </c>
      <c r="E1631" t="s">
        <v>2812</v>
      </c>
      <c r="F1631" t="s">
        <v>651</v>
      </c>
      <c r="G1631">
        <v>8.65</v>
      </c>
      <c r="H1631" t="s">
        <v>2805</v>
      </c>
      <c r="I1631" t="s">
        <v>2788</v>
      </c>
      <c r="J1631" t="s">
        <v>59</v>
      </c>
    </row>
    <row r="1632" spans="1:10" x14ac:dyDescent="0.3">
      <c r="A1632" t="s">
        <v>2811</v>
      </c>
      <c r="B1632" t="s">
        <v>2813</v>
      </c>
      <c r="D1632" s="6">
        <v>1000</v>
      </c>
      <c r="G1632" s="7">
        <v>8.6499999999999986</v>
      </c>
      <c r="H1632" s="4" t="s">
        <v>2805</v>
      </c>
      <c r="J1632" t="s">
        <v>59</v>
      </c>
    </row>
    <row r="1633" spans="1:10" x14ac:dyDescent="0.3">
      <c r="A1633" t="s">
        <v>2811</v>
      </c>
      <c r="B1633" t="s">
        <v>2813</v>
      </c>
      <c r="D1633" s="6">
        <v>1000</v>
      </c>
      <c r="G1633" s="7">
        <v>8.6499999999999986</v>
      </c>
      <c r="H1633" s="4" t="s">
        <v>2805</v>
      </c>
      <c r="J1633" t="s">
        <v>59</v>
      </c>
    </row>
    <row r="1634" spans="1:10" x14ac:dyDescent="0.3">
      <c r="A1634" t="s">
        <v>2814</v>
      </c>
      <c r="B1634" t="s">
        <v>2744</v>
      </c>
      <c r="C1634" t="s">
        <v>1489</v>
      </c>
      <c r="D1634" s="9">
        <v>1000</v>
      </c>
      <c r="E1634" t="s">
        <v>1417</v>
      </c>
      <c r="F1634" t="s">
        <v>283</v>
      </c>
      <c r="G1634" s="12">
        <v>0</v>
      </c>
      <c r="H1634" t="s">
        <v>2792</v>
      </c>
      <c r="I1634" t="s">
        <v>2814</v>
      </c>
      <c r="J1634" t="s">
        <v>62</v>
      </c>
    </row>
    <row r="1635" spans="1:10" x14ac:dyDescent="0.3">
      <c r="A1635" t="s">
        <v>2814</v>
      </c>
      <c r="B1635" t="s">
        <v>2815</v>
      </c>
      <c r="D1635" s="6">
        <v>1000</v>
      </c>
      <c r="G1635" s="7" t="s">
        <v>65</v>
      </c>
      <c r="H1635" s="4" t="s">
        <v>2792</v>
      </c>
      <c r="J1635" t="s">
        <v>49</v>
      </c>
    </row>
    <row r="1636" spans="1:10" x14ac:dyDescent="0.3">
      <c r="A1636" t="s">
        <v>2814</v>
      </c>
      <c r="B1636" t="s">
        <v>2815</v>
      </c>
      <c r="D1636" s="6">
        <v>1000</v>
      </c>
      <c r="G1636" s="7" t="s">
        <v>65</v>
      </c>
      <c r="H1636" s="4" t="s">
        <v>2792</v>
      </c>
      <c r="J1636" t="s">
        <v>49</v>
      </c>
    </row>
    <row r="1637" spans="1:10" x14ac:dyDescent="0.3">
      <c r="A1637" t="s">
        <v>2816</v>
      </c>
      <c r="B1637" t="s">
        <v>2817</v>
      </c>
      <c r="D1637" t="s">
        <v>460</v>
      </c>
      <c r="G1637" s="7" t="s">
        <v>460</v>
      </c>
      <c r="H1637" s="4" t="s">
        <v>460</v>
      </c>
      <c r="J1637" t="s">
        <v>460</v>
      </c>
    </row>
    <row r="1638" spans="1:10" x14ac:dyDescent="0.3">
      <c r="A1638" t="s">
        <v>2818</v>
      </c>
      <c r="B1638" t="s">
        <v>2744</v>
      </c>
      <c r="C1638" t="s">
        <v>605</v>
      </c>
      <c r="D1638" s="9">
        <v>1000</v>
      </c>
      <c r="E1638" t="s">
        <v>1567</v>
      </c>
      <c r="F1638" t="s">
        <v>619</v>
      </c>
      <c r="G1638">
        <v>10</v>
      </c>
      <c r="H1638" t="s">
        <v>2819</v>
      </c>
      <c r="I1638" t="s">
        <v>2820</v>
      </c>
      <c r="J1638" t="s">
        <v>62</v>
      </c>
    </row>
    <row r="1639" spans="1:10" x14ac:dyDescent="0.3">
      <c r="A1639" t="s">
        <v>2818</v>
      </c>
      <c r="B1639" t="s">
        <v>2821</v>
      </c>
      <c r="D1639" s="6">
        <v>1000</v>
      </c>
      <c r="G1639" s="7">
        <v>10</v>
      </c>
      <c r="H1639" s="4" t="s">
        <v>2819</v>
      </c>
      <c r="J1639" t="s">
        <v>62</v>
      </c>
    </row>
    <row r="1640" spans="1:10" x14ac:dyDescent="0.3">
      <c r="A1640" t="s">
        <v>2818</v>
      </c>
      <c r="B1640" t="s">
        <v>2821</v>
      </c>
      <c r="D1640" s="6">
        <v>1000</v>
      </c>
      <c r="G1640" s="7">
        <v>10</v>
      </c>
      <c r="H1640" s="4" t="s">
        <v>2819</v>
      </c>
      <c r="J1640" t="s">
        <v>62</v>
      </c>
    </row>
    <row r="1641" spans="1:10" x14ac:dyDescent="0.3">
      <c r="A1641" t="s">
        <v>2822</v>
      </c>
      <c r="B1641" t="s">
        <v>2744</v>
      </c>
      <c r="C1641" t="s">
        <v>309</v>
      </c>
      <c r="D1641" s="9">
        <v>1000</v>
      </c>
      <c r="E1641" t="s">
        <v>2823</v>
      </c>
      <c r="F1641" t="s">
        <v>1568</v>
      </c>
      <c r="G1641">
        <v>9.6</v>
      </c>
      <c r="H1641" t="s">
        <v>2819</v>
      </c>
      <c r="I1641" t="s">
        <v>2824</v>
      </c>
      <c r="J1641" t="s">
        <v>59</v>
      </c>
    </row>
    <row r="1642" spans="1:10" x14ac:dyDescent="0.3">
      <c r="A1642" t="s">
        <v>2822</v>
      </c>
      <c r="B1642" t="s">
        <v>2825</v>
      </c>
      <c r="D1642" s="6">
        <v>1000</v>
      </c>
      <c r="G1642" s="7">
        <v>9.6</v>
      </c>
      <c r="H1642" s="4" t="s">
        <v>2819</v>
      </c>
      <c r="J1642" t="s">
        <v>59</v>
      </c>
    </row>
    <row r="1643" spans="1:10" x14ac:dyDescent="0.3">
      <c r="A1643" t="s">
        <v>2822</v>
      </c>
      <c r="B1643" t="s">
        <v>2825</v>
      </c>
      <c r="D1643" s="6">
        <v>1000</v>
      </c>
      <c r="G1643" s="7">
        <v>9.6</v>
      </c>
      <c r="H1643" s="4" t="s">
        <v>2819</v>
      </c>
      <c r="J1643" t="s">
        <v>59</v>
      </c>
    </row>
    <row r="1644" spans="1:10" x14ac:dyDescent="0.3">
      <c r="A1644" t="s">
        <v>2826</v>
      </c>
      <c r="B1644" t="s">
        <v>2827</v>
      </c>
      <c r="D1644" s="9">
        <v>1000</v>
      </c>
      <c r="G1644">
        <v>0</v>
      </c>
      <c r="H1644" s="4">
        <v>46928</v>
      </c>
      <c r="I1644" t="s">
        <v>2826</v>
      </c>
      <c r="J1644" t="s">
        <v>49</v>
      </c>
    </row>
    <row r="1645" spans="1:10" x14ac:dyDescent="0.3">
      <c r="A1645" t="s">
        <v>2826</v>
      </c>
      <c r="B1645" t="s">
        <v>2828</v>
      </c>
      <c r="D1645" s="6">
        <v>1000</v>
      </c>
      <c r="G1645" s="7" t="s">
        <v>65</v>
      </c>
      <c r="H1645" s="4" t="s">
        <v>2819</v>
      </c>
      <c r="J1645" t="s">
        <v>49</v>
      </c>
    </row>
    <row r="1646" spans="1:10" x14ac:dyDescent="0.3">
      <c r="A1646" t="s">
        <v>2826</v>
      </c>
      <c r="B1646" t="s">
        <v>2828</v>
      </c>
      <c r="D1646" s="6">
        <v>1000</v>
      </c>
      <c r="G1646" s="7" t="s">
        <v>65</v>
      </c>
      <c r="H1646" s="4" t="s">
        <v>2819</v>
      </c>
      <c r="J1646" t="s">
        <v>49</v>
      </c>
    </row>
    <row r="1647" spans="1:10" x14ac:dyDescent="0.3">
      <c r="A1647" t="s">
        <v>2829</v>
      </c>
      <c r="B1647" t="s">
        <v>2830</v>
      </c>
      <c r="C1647" t="s">
        <v>340</v>
      </c>
      <c r="D1647" s="9">
        <v>1000</v>
      </c>
      <c r="E1647" t="s">
        <v>2831</v>
      </c>
      <c r="F1647" t="s">
        <v>2832</v>
      </c>
      <c r="G1647" s="7">
        <v>9.57</v>
      </c>
      <c r="H1647" s="4">
        <v>46222</v>
      </c>
      <c r="I1647" t="s">
        <v>45</v>
      </c>
      <c r="J1647" t="s">
        <v>59</v>
      </c>
    </row>
    <row r="1648" spans="1:10" x14ac:dyDescent="0.3">
      <c r="A1648" t="s">
        <v>2829</v>
      </c>
      <c r="B1648" t="s">
        <v>2833</v>
      </c>
      <c r="D1648" s="6">
        <v>1000</v>
      </c>
      <c r="G1648" s="7">
        <v>9.5699999999999985</v>
      </c>
      <c r="H1648" s="4" t="s">
        <v>2834</v>
      </c>
      <c r="J1648" t="s">
        <v>59</v>
      </c>
    </row>
    <row r="1649" spans="1:10" x14ac:dyDescent="0.3">
      <c r="A1649" t="s">
        <v>2829</v>
      </c>
      <c r="B1649" t="s">
        <v>2833</v>
      </c>
      <c r="D1649" s="6">
        <v>1000</v>
      </c>
      <c r="G1649" s="7">
        <v>9.5699999999999985</v>
      </c>
      <c r="H1649" s="4" t="s">
        <v>2834</v>
      </c>
      <c r="J1649" t="s">
        <v>59</v>
      </c>
    </row>
    <row r="1650" spans="1:10" x14ac:dyDescent="0.3">
      <c r="A1650" t="s">
        <v>2835</v>
      </c>
      <c r="B1650" t="s">
        <v>2830</v>
      </c>
      <c r="C1650" t="s">
        <v>281</v>
      </c>
      <c r="D1650" s="9">
        <v>1000</v>
      </c>
      <c r="G1650" s="7">
        <v>10</v>
      </c>
      <c r="H1650" s="5">
        <v>46222</v>
      </c>
      <c r="I1650" t="s">
        <v>2835</v>
      </c>
      <c r="J1650" t="s">
        <v>62</v>
      </c>
    </row>
    <row r="1651" spans="1:10" x14ac:dyDescent="0.3">
      <c r="A1651" t="s">
        <v>2835</v>
      </c>
      <c r="B1651" t="s">
        <v>2836</v>
      </c>
      <c r="D1651" s="6">
        <v>1000</v>
      </c>
      <c r="G1651" s="7">
        <v>10</v>
      </c>
      <c r="H1651" s="4" t="s">
        <v>2834</v>
      </c>
      <c r="J1651" t="s">
        <v>62</v>
      </c>
    </row>
    <row r="1652" spans="1:10" x14ac:dyDescent="0.3">
      <c r="A1652" t="s">
        <v>2835</v>
      </c>
      <c r="B1652" t="s">
        <v>2836</v>
      </c>
      <c r="D1652" s="6">
        <v>1000</v>
      </c>
      <c r="G1652" s="7">
        <v>10</v>
      </c>
      <c r="H1652" s="4" t="s">
        <v>2834</v>
      </c>
      <c r="J1652" t="s">
        <v>62</v>
      </c>
    </row>
    <row r="1653" spans="1:10" x14ac:dyDescent="0.3">
      <c r="A1653" t="s">
        <v>2837</v>
      </c>
      <c r="B1653" t="s">
        <v>2830</v>
      </c>
      <c r="C1653" t="s">
        <v>384</v>
      </c>
      <c r="D1653" s="9" t="s">
        <v>45</v>
      </c>
      <c r="E1653" t="s">
        <v>2838</v>
      </c>
      <c r="F1653" t="s">
        <v>332</v>
      </c>
      <c r="G1653" s="12">
        <v>0</v>
      </c>
      <c r="H1653" t="s">
        <v>45</v>
      </c>
      <c r="I1653" t="s">
        <v>2837</v>
      </c>
      <c r="J1653" t="s">
        <v>59</v>
      </c>
    </row>
    <row r="1654" spans="1:10" x14ac:dyDescent="0.3">
      <c r="A1654" t="s">
        <v>2837</v>
      </c>
      <c r="B1654" t="s">
        <v>2839</v>
      </c>
      <c r="D1654" s="6">
        <v>1000</v>
      </c>
      <c r="G1654" s="7" t="s">
        <v>65</v>
      </c>
      <c r="H1654" s="4" t="s">
        <v>2834</v>
      </c>
      <c r="J1654" t="s">
        <v>49</v>
      </c>
    </row>
    <row r="1655" spans="1:10" x14ac:dyDescent="0.3">
      <c r="A1655" t="s">
        <v>2837</v>
      </c>
      <c r="B1655" t="s">
        <v>2839</v>
      </c>
      <c r="D1655" s="6">
        <v>1000</v>
      </c>
      <c r="G1655" s="7" t="s">
        <v>65</v>
      </c>
      <c r="H1655" s="4" t="s">
        <v>2834</v>
      </c>
      <c r="J1655" t="s">
        <v>49</v>
      </c>
    </row>
    <row r="1656" spans="1:10" x14ac:dyDescent="0.3">
      <c r="A1656" t="s">
        <v>2840</v>
      </c>
      <c r="B1656" t="s">
        <v>2841</v>
      </c>
      <c r="D1656" s="6">
        <v>1000</v>
      </c>
      <c r="G1656" s="7">
        <v>8.6999999999999993</v>
      </c>
      <c r="H1656" s="4" t="s">
        <v>1910</v>
      </c>
      <c r="J1656" t="s">
        <v>59</v>
      </c>
    </row>
    <row r="1657" spans="1:10" x14ac:dyDescent="0.3">
      <c r="A1657" t="s">
        <v>2842</v>
      </c>
      <c r="B1657" t="s">
        <v>2843</v>
      </c>
      <c r="D1657" s="6">
        <v>1000</v>
      </c>
      <c r="G1657" s="7">
        <v>9.0499999999999989</v>
      </c>
      <c r="H1657" s="4" t="s">
        <v>1910</v>
      </c>
      <c r="J1657" t="s">
        <v>62</v>
      </c>
    </row>
    <row r="1658" spans="1:10" x14ac:dyDescent="0.3">
      <c r="A1658" t="s">
        <v>2844</v>
      </c>
      <c r="B1658" t="s">
        <v>2845</v>
      </c>
      <c r="D1658" s="6">
        <v>1000</v>
      </c>
      <c r="G1658" s="7" t="s">
        <v>65</v>
      </c>
      <c r="H1658" s="4" t="s">
        <v>1910</v>
      </c>
      <c r="J1658" t="s">
        <v>49</v>
      </c>
    </row>
    <row r="1659" spans="1:10" x14ac:dyDescent="0.3">
      <c r="A1659" t="s">
        <v>2846</v>
      </c>
      <c r="B1659" t="s">
        <v>2847</v>
      </c>
      <c r="D1659" s="6">
        <v>1000</v>
      </c>
      <c r="G1659" s="7">
        <v>9.15</v>
      </c>
      <c r="H1659" s="4" t="s">
        <v>1920</v>
      </c>
      <c r="J1659" t="s">
        <v>59</v>
      </c>
    </row>
    <row r="1660" spans="1:10" x14ac:dyDescent="0.3">
      <c r="A1660" t="s">
        <v>2848</v>
      </c>
      <c r="B1660" t="s">
        <v>2849</v>
      </c>
      <c r="D1660" s="6">
        <v>1000</v>
      </c>
      <c r="G1660" s="7">
        <v>9.5500000000000007</v>
      </c>
      <c r="H1660" s="4" t="s">
        <v>1920</v>
      </c>
      <c r="J1660" t="s">
        <v>62</v>
      </c>
    </row>
    <row r="1661" spans="1:10" x14ac:dyDescent="0.3">
      <c r="A1661" t="s">
        <v>2850</v>
      </c>
      <c r="B1661" t="s">
        <v>2851</v>
      </c>
      <c r="D1661" s="6">
        <v>1000</v>
      </c>
      <c r="G1661" s="7" t="s">
        <v>65</v>
      </c>
      <c r="H1661" s="4" t="s">
        <v>1920</v>
      </c>
      <c r="J1661" t="s">
        <v>49</v>
      </c>
    </row>
    <row r="1662" spans="1:10" x14ac:dyDescent="0.3">
      <c r="A1662" t="s">
        <v>2852</v>
      </c>
      <c r="B1662" t="s">
        <v>2853</v>
      </c>
      <c r="D1662" s="6">
        <v>1000</v>
      </c>
      <c r="G1662" s="7">
        <v>9.3000000000000007</v>
      </c>
      <c r="H1662" s="4" t="s">
        <v>2854</v>
      </c>
      <c r="J1662" t="s">
        <v>59</v>
      </c>
    </row>
    <row r="1663" spans="1:10" x14ac:dyDescent="0.3">
      <c r="A1663" t="s">
        <v>2855</v>
      </c>
      <c r="B1663" t="s">
        <v>2856</v>
      </c>
      <c r="D1663" s="6">
        <v>1000</v>
      </c>
      <c r="G1663" s="7">
        <v>9.7000000000000011</v>
      </c>
      <c r="H1663" s="4" t="s">
        <v>2854</v>
      </c>
      <c r="J1663" t="s">
        <v>62</v>
      </c>
    </row>
    <row r="1664" spans="1:10" x14ac:dyDescent="0.3">
      <c r="A1664" t="s">
        <v>2857</v>
      </c>
      <c r="B1664" t="s">
        <v>2858</v>
      </c>
      <c r="D1664" s="6">
        <v>1000</v>
      </c>
      <c r="G1664" s="7" t="s">
        <v>65</v>
      </c>
      <c r="H1664" s="4" t="s">
        <v>917</v>
      </c>
      <c r="J1664" t="s">
        <v>49</v>
      </c>
    </row>
    <row r="1665" spans="1:10" x14ac:dyDescent="0.3">
      <c r="A1665" t="s">
        <v>2859</v>
      </c>
      <c r="B1665" t="s">
        <v>2860</v>
      </c>
      <c r="D1665" s="6">
        <v>1000</v>
      </c>
      <c r="G1665" s="7">
        <v>10.45</v>
      </c>
      <c r="H1665" s="4" t="s">
        <v>2861</v>
      </c>
      <c r="J1665" t="s">
        <v>62</v>
      </c>
    </row>
    <row r="1666" spans="1:10" x14ac:dyDescent="0.3">
      <c r="A1666" t="s">
        <v>2862</v>
      </c>
      <c r="B1666" t="s">
        <v>2863</v>
      </c>
      <c r="D1666" s="6">
        <v>1000</v>
      </c>
      <c r="G1666" s="7" t="s">
        <v>65</v>
      </c>
      <c r="H1666" s="4" t="s">
        <v>2864</v>
      </c>
      <c r="J1666" t="s">
        <v>49</v>
      </c>
    </row>
    <row r="1667" spans="1:10" x14ac:dyDescent="0.3">
      <c r="A1667" t="s">
        <v>2865</v>
      </c>
      <c r="B1667" t="s">
        <v>2866</v>
      </c>
      <c r="D1667" s="6">
        <v>1000</v>
      </c>
      <c r="G1667" s="7">
        <v>9.1999999999999993</v>
      </c>
      <c r="H1667" s="4" t="s">
        <v>2864</v>
      </c>
      <c r="J1667" t="s">
        <v>59</v>
      </c>
    </row>
    <row r="1668" spans="1:10" x14ac:dyDescent="0.3">
      <c r="A1668" t="s">
        <v>2867</v>
      </c>
      <c r="B1668" t="s">
        <v>2868</v>
      </c>
      <c r="D1668" s="6">
        <v>1000</v>
      </c>
      <c r="G1668" s="7" t="s">
        <v>65</v>
      </c>
      <c r="H1668" s="4" t="s">
        <v>2869</v>
      </c>
      <c r="J1668" t="s">
        <v>49</v>
      </c>
    </row>
    <row r="1669" spans="1:10" x14ac:dyDescent="0.3">
      <c r="A1669" t="s">
        <v>2870</v>
      </c>
      <c r="B1669" t="s">
        <v>2871</v>
      </c>
      <c r="D1669" s="6">
        <v>1000</v>
      </c>
      <c r="G1669" s="7">
        <v>10</v>
      </c>
      <c r="H1669" s="4" t="s">
        <v>2861</v>
      </c>
      <c r="J1669" t="s">
        <v>59</v>
      </c>
    </row>
    <row r="1670" spans="1:10" x14ac:dyDescent="0.3">
      <c r="A1670" t="s">
        <v>2872</v>
      </c>
      <c r="B1670" t="s">
        <v>2873</v>
      </c>
      <c r="D1670" s="6">
        <v>1000</v>
      </c>
      <c r="G1670" s="7">
        <v>8.9499999999999993</v>
      </c>
      <c r="H1670" s="4" t="s">
        <v>2869</v>
      </c>
      <c r="J1670" t="s">
        <v>62</v>
      </c>
    </row>
    <row r="1671" spans="1:10" x14ac:dyDescent="0.3">
      <c r="A1671" t="s">
        <v>2874</v>
      </c>
      <c r="B1671" t="s">
        <v>2875</v>
      </c>
      <c r="D1671" s="6">
        <v>1000</v>
      </c>
      <c r="G1671" s="7">
        <v>9.6</v>
      </c>
      <c r="H1671" s="4" t="s">
        <v>2864</v>
      </c>
      <c r="J1671" t="s">
        <v>62</v>
      </c>
    </row>
    <row r="1672" spans="1:10" x14ac:dyDescent="0.3">
      <c r="A1672" t="s">
        <v>2876</v>
      </c>
      <c r="B1672" t="s">
        <v>2877</v>
      </c>
      <c r="D1672" s="6">
        <v>1000</v>
      </c>
      <c r="G1672" s="7">
        <v>9.67</v>
      </c>
      <c r="H1672" s="4" t="s">
        <v>917</v>
      </c>
      <c r="J1672" t="s">
        <v>59</v>
      </c>
    </row>
    <row r="1673" spans="1:10" x14ac:dyDescent="0.3">
      <c r="A1673" t="s">
        <v>2878</v>
      </c>
      <c r="B1673" t="s">
        <v>2879</v>
      </c>
      <c r="D1673" s="6">
        <v>1000</v>
      </c>
      <c r="G1673" s="7">
        <v>10.100000000000001</v>
      </c>
      <c r="H1673" s="4" t="s">
        <v>917</v>
      </c>
      <c r="J1673" t="s">
        <v>62</v>
      </c>
    </row>
    <row r="1674" spans="1:10" x14ac:dyDescent="0.3">
      <c r="A1674" t="s">
        <v>2880</v>
      </c>
      <c r="B1674" t="s">
        <v>2881</v>
      </c>
      <c r="D1674" s="6">
        <v>1000</v>
      </c>
      <c r="G1674" s="7">
        <v>10.5</v>
      </c>
      <c r="H1674" s="4" t="s">
        <v>2882</v>
      </c>
      <c r="J1674" t="s">
        <v>62</v>
      </c>
    </row>
    <row r="1675" spans="1:10" x14ac:dyDescent="0.3">
      <c r="A1675" t="s">
        <v>2883</v>
      </c>
      <c r="B1675" t="s">
        <v>2884</v>
      </c>
      <c r="D1675" s="6">
        <v>1000</v>
      </c>
      <c r="G1675" s="7" t="s">
        <v>65</v>
      </c>
      <c r="H1675" s="4" t="s">
        <v>2885</v>
      </c>
      <c r="J1675" t="s">
        <v>49</v>
      </c>
    </row>
    <row r="1676" spans="1:10" x14ac:dyDescent="0.3">
      <c r="A1676" t="s">
        <v>2886</v>
      </c>
      <c r="B1676" t="s">
        <v>2887</v>
      </c>
      <c r="D1676" s="6">
        <v>1000</v>
      </c>
      <c r="G1676" s="7">
        <v>10.029999999999999</v>
      </c>
      <c r="H1676" s="4" t="s">
        <v>2882</v>
      </c>
      <c r="J1676" t="s">
        <v>59</v>
      </c>
    </row>
    <row r="1677" spans="1:10" x14ac:dyDescent="0.3">
      <c r="A1677" t="s">
        <v>2888</v>
      </c>
      <c r="B1677" t="s">
        <v>2889</v>
      </c>
      <c r="D1677" s="6">
        <v>1000</v>
      </c>
      <c r="G1677" s="7">
        <v>10.26</v>
      </c>
      <c r="H1677" s="4" t="s">
        <v>2890</v>
      </c>
      <c r="J1677" t="s">
        <v>59</v>
      </c>
    </row>
    <row r="1678" spans="1:10" x14ac:dyDescent="0.3">
      <c r="A1678" t="s">
        <v>2891</v>
      </c>
      <c r="B1678" t="s">
        <v>2892</v>
      </c>
      <c r="D1678" s="6">
        <v>1000</v>
      </c>
      <c r="G1678" s="7">
        <v>10.75</v>
      </c>
      <c r="H1678" s="4" t="s">
        <v>2890</v>
      </c>
      <c r="J1678" t="s">
        <v>49</v>
      </c>
    </row>
    <row r="1679" spans="1:10" x14ac:dyDescent="0.3">
      <c r="A1679" t="s">
        <v>2893</v>
      </c>
      <c r="B1679" t="s">
        <v>2894</v>
      </c>
      <c r="D1679" s="6">
        <v>1000</v>
      </c>
      <c r="G1679" s="7" t="s">
        <v>65</v>
      </c>
      <c r="H1679" s="4" t="s">
        <v>2895</v>
      </c>
      <c r="J1679" t="s">
        <v>49</v>
      </c>
    </row>
    <row r="1680" spans="1:10" x14ac:dyDescent="0.3">
      <c r="A1680" t="s">
        <v>2896</v>
      </c>
      <c r="B1680" t="s">
        <v>2897</v>
      </c>
      <c r="D1680" s="6">
        <v>1000</v>
      </c>
      <c r="G1680" s="7">
        <v>9.5</v>
      </c>
      <c r="H1680" s="4" t="s">
        <v>2885</v>
      </c>
      <c r="J1680" t="s">
        <v>62</v>
      </c>
    </row>
    <row r="1681" spans="1:10" x14ac:dyDescent="0.3">
      <c r="A1681" t="s">
        <v>2898</v>
      </c>
      <c r="B1681" t="s">
        <v>2899</v>
      </c>
      <c r="D1681" s="6">
        <v>1000</v>
      </c>
      <c r="G1681" s="7">
        <v>10</v>
      </c>
      <c r="H1681" s="4" t="s">
        <v>2895</v>
      </c>
      <c r="J1681" t="s">
        <v>62</v>
      </c>
    </row>
    <row r="1682" spans="1:10" x14ac:dyDescent="0.3">
      <c r="A1682" t="s">
        <v>2900</v>
      </c>
      <c r="B1682" t="s">
        <v>2901</v>
      </c>
      <c r="D1682" s="6">
        <v>1000</v>
      </c>
      <c r="G1682" s="7" t="s">
        <v>65</v>
      </c>
      <c r="H1682" s="4" t="s">
        <v>2882</v>
      </c>
      <c r="J1682" t="s">
        <v>49</v>
      </c>
    </row>
    <row r="1683" spans="1:10" x14ac:dyDescent="0.3">
      <c r="A1683" t="s">
        <v>2902</v>
      </c>
      <c r="B1683" t="s">
        <v>2903</v>
      </c>
      <c r="D1683" s="6">
        <v>1000</v>
      </c>
      <c r="G1683" s="7">
        <v>9.58</v>
      </c>
      <c r="H1683" s="4" t="s">
        <v>2895</v>
      </c>
      <c r="J1683" t="s">
        <v>59</v>
      </c>
    </row>
    <row r="1684" spans="1:10" x14ac:dyDescent="0.3">
      <c r="A1684" t="s">
        <v>2904</v>
      </c>
      <c r="B1684" t="s">
        <v>2905</v>
      </c>
      <c r="D1684" s="6">
        <v>1000</v>
      </c>
      <c r="G1684" s="7">
        <v>9.5</v>
      </c>
      <c r="H1684" s="4" t="s">
        <v>2906</v>
      </c>
      <c r="J1684" t="s">
        <v>101</v>
      </c>
    </row>
    <row r="1685" spans="1:10" x14ac:dyDescent="0.3">
      <c r="A1685" t="s">
        <v>2907</v>
      </c>
      <c r="B1685" t="s">
        <v>2908</v>
      </c>
      <c r="D1685" s="6">
        <v>1000</v>
      </c>
      <c r="G1685" s="7">
        <v>10.5</v>
      </c>
      <c r="H1685" s="4" t="s">
        <v>2909</v>
      </c>
      <c r="J1685" t="s">
        <v>101</v>
      </c>
    </row>
    <row r="1686" spans="1:10" x14ac:dyDescent="0.3">
      <c r="A1686" t="s">
        <v>2910</v>
      </c>
      <c r="B1686" t="s">
        <v>2911</v>
      </c>
      <c r="D1686" s="6">
        <v>1000</v>
      </c>
      <c r="G1686" s="7">
        <v>10.029999999999999</v>
      </c>
      <c r="H1686" s="4" t="s">
        <v>2909</v>
      </c>
      <c r="J1686" t="s">
        <v>59</v>
      </c>
    </row>
    <row r="1687" spans="1:10" x14ac:dyDescent="0.3">
      <c r="A1687" t="s">
        <v>2912</v>
      </c>
      <c r="B1687" t="s">
        <v>2913</v>
      </c>
      <c r="D1687" s="6">
        <v>1000</v>
      </c>
      <c r="G1687" s="7">
        <v>10</v>
      </c>
      <c r="H1687" s="4" t="s">
        <v>2914</v>
      </c>
      <c r="J1687" t="s">
        <v>101</v>
      </c>
    </row>
    <row r="1688" spans="1:10" x14ac:dyDescent="0.3">
      <c r="A1688" t="s">
        <v>2915</v>
      </c>
      <c r="B1688" t="s">
        <v>2916</v>
      </c>
      <c r="D1688" s="6">
        <v>1000</v>
      </c>
      <c r="G1688" s="7">
        <v>10.26</v>
      </c>
      <c r="H1688" s="4" t="s">
        <v>2917</v>
      </c>
      <c r="J1688" t="s">
        <v>59</v>
      </c>
    </row>
    <row r="1689" spans="1:10" x14ac:dyDescent="0.3">
      <c r="A1689" t="s">
        <v>2918</v>
      </c>
      <c r="B1689" t="s">
        <v>2919</v>
      </c>
      <c r="D1689" s="6">
        <v>1000</v>
      </c>
      <c r="G1689" s="7">
        <v>10.75</v>
      </c>
      <c r="H1689" s="4" t="s">
        <v>2917</v>
      </c>
      <c r="J1689" t="s">
        <v>101</v>
      </c>
    </row>
    <row r="1690" spans="1:10" x14ac:dyDescent="0.3">
      <c r="A1690" t="s">
        <v>2920</v>
      </c>
      <c r="B1690" t="s">
        <v>2921</v>
      </c>
      <c r="D1690" s="6">
        <v>1000</v>
      </c>
      <c r="G1690" s="7">
        <v>9.58</v>
      </c>
      <c r="H1690" s="4" t="s">
        <v>2914</v>
      </c>
      <c r="J1690" t="s">
        <v>59</v>
      </c>
    </row>
    <row r="1691" spans="1:10" x14ac:dyDescent="0.3">
      <c r="A1691" t="s">
        <v>2922</v>
      </c>
      <c r="B1691" t="s">
        <v>2923</v>
      </c>
      <c r="D1691" s="6">
        <v>1000</v>
      </c>
      <c r="G1691" s="7" t="s">
        <v>65</v>
      </c>
      <c r="H1691" s="4" t="s">
        <v>2914</v>
      </c>
      <c r="J1691" t="s">
        <v>49</v>
      </c>
    </row>
    <row r="1692" spans="1:10" x14ac:dyDescent="0.3">
      <c r="A1692" t="s">
        <v>2924</v>
      </c>
      <c r="B1692" t="s">
        <v>2925</v>
      </c>
      <c r="D1692" s="6">
        <v>1000</v>
      </c>
      <c r="G1692" s="7" t="s">
        <v>65</v>
      </c>
      <c r="H1692" s="4" t="s">
        <v>2906</v>
      </c>
      <c r="J1692" t="s">
        <v>49</v>
      </c>
    </row>
    <row r="1693" spans="1:10" x14ac:dyDescent="0.3">
      <c r="A1693" t="s">
        <v>2926</v>
      </c>
      <c r="B1693" t="s">
        <v>2927</v>
      </c>
      <c r="D1693" s="6">
        <v>1000</v>
      </c>
      <c r="G1693" s="7" t="s">
        <v>65</v>
      </c>
      <c r="H1693" s="4" t="s">
        <v>2909</v>
      </c>
      <c r="J1693" t="s">
        <v>49</v>
      </c>
    </row>
    <row r="1694" spans="1:10" x14ac:dyDescent="0.3">
      <c r="A1694" t="s">
        <v>2928</v>
      </c>
      <c r="B1694" t="s">
        <v>2929</v>
      </c>
      <c r="D1694" s="6">
        <v>1000</v>
      </c>
      <c r="G1694" s="7">
        <v>9.39</v>
      </c>
      <c r="H1694" s="4" t="s">
        <v>2930</v>
      </c>
      <c r="J1694" t="s">
        <v>59</v>
      </c>
    </row>
    <row r="1695" spans="1:10" x14ac:dyDescent="0.3">
      <c r="A1695" t="s">
        <v>2931</v>
      </c>
      <c r="B1695" t="s">
        <v>2932</v>
      </c>
      <c r="D1695" s="6">
        <v>1000</v>
      </c>
      <c r="G1695" s="7">
        <v>9.8000000000000007</v>
      </c>
      <c r="H1695" s="4" t="s">
        <v>2930</v>
      </c>
      <c r="J1695" t="s">
        <v>62</v>
      </c>
    </row>
    <row r="1696" spans="1:10" x14ac:dyDescent="0.3">
      <c r="A1696" t="s">
        <v>2933</v>
      </c>
      <c r="B1696" t="s">
        <v>2934</v>
      </c>
      <c r="D1696" s="6">
        <v>1000</v>
      </c>
      <c r="G1696" s="7" t="s">
        <v>65</v>
      </c>
      <c r="H1696" s="4" t="s">
        <v>2930</v>
      </c>
      <c r="J1696" t="s">
        <v>49</v>
      </c>
    </row>
    <row r="1697" spans="1:10" x14ac:dyDescent="0.3">
      <c r="A1697" t="s">
        <v>2935</v>
      </c>
      <c r="B1697" t="s">
        <v>2936</v>
      </c>
      <c r="D1697" s="6">
        <v>1000</v>
      </c>
      <c r="G1697" s="7">
        <v>9.5299999999999994</v>
      </c>
      <c r="H1697" s="4" t="s">
        <v>2937</v>
      </c>
      <c r="J1697" t="s">
        <v>59</v>
      </c>
    </row>
    <row r="1698" spans="1:10" x14ac:dyDescent="0.3">
      <c r="A1698" t="s">
        <v>2938</v>
      </c>
      <c r="B1698" t="s">
        <v>2939</v>
      </c>
      <c r="D1698" s="6">
        <v>1000</v>
      </c>
      <c r="G1698" s="7">
        <v>9.9500000000000011</v>
      </c>
      <c r="H1698" s="4" t="s">
        <v>2937</v>
      </c>
      <c r="J1698" t="s">
        <v>62</v>
      </c>
    </row>
    <row r="1699" spans="1:10" x14ac:dyDescent="0.3">
      <c r="A1699" t="s">
        <v>2940</v>
      </c>
      <c r="B1699" t="s">
        <v>2941</v>
      </c>
      <c r="D1699" s="6">
        <v>1000</v>
      </c>
      <c r="G1699" s="7">
        <v>9.16</v>
      </c>
      <c r="H1699" s="4" t="s">
        <v>1915</v>
      </c>
      <c r="J1699" t="s">
        <v>59</v>
      </c>
    </row>
    <row r="1700" spans="1:10" x14ac:dyDescent="0.3">
      <c r="A1700" t="s">
        <v>2942</v>
      </c>
      <c r="B1700" t="s">
        <v>2943</v>
      </c>
      <c r="D1700" s="6">
        <v>1000</v>
      </c>
      <c r="G1700" s="7">
        <v>9.5500000000000007</v>
      </c>
      <c r="H1700" s="4" t="s">
        <v>1915</v>
      </c>
      <c r="J1700" t="s">
        <v>62</v>
      </c>
    </row>
    <row r="1701" spans="1:10" x14ac:dyDescent="0.3">
      <c r="A1701" t="s">
        <v>2944</v>
      </c>
      <c r="B1701" t="s">
        <v>2945</v>
      </c>
      <c r="D1701" s="6">
        <v>1000</v>
      </c>
      <c r="G1701" s="7" t="s">
        <v>65</v>
      </c>
      <c r="H1701" s="4" t="s">
        <v>1915</v>
      </c>
      <c r="J1701" t="s">
        <v>49</v>
      </c>
    </row>
    <row r="1702" spans="1:10" x14ac:dyDescent="0.3">
      <c r="A1702" t="s">
        <v>2946</v>
      </c>
      <c r="B1702" t="s">
        <v>2947</v>
      </c>
      <c r="D1702" s="6">
        <v>1000</v>
      </c>
      <c r="G1702" s="7">
        <v>9.3000000000000007</v>
      </c>
      <c r="H1702" s="4" t="s">
        <v>2948</v>
      </c>
      <c r="J1702" t="s">
        <v>59</v>
      </c>
    </row>
    <row r="1703" spans="1:10" x14ac:dyDescent="0.3">
      <c r="A1703" t="s">
        <v>2949</v>
      </c>
      <c r="B1703" t="s">
        <v>2950</v>
      </c>
      <c r="D1703" s="6">
        <v>1000</v>
      </c>
      <c r="G1703" s="7">
        <v>9.7000000000000011</v>
      </c>
      <c r="H1703" s="4" t="s">
        <v>2948</v>
      </c>
      <c r="J1703" t="s">
        <v>62</v>
      </c>
    </row>
    <row r="1704" spans="1:10" x14ac:dyDescent="0.3">
      <c r="A1704" t="s">
        <v>2951</v>
      </c>
      <c r="B1704" t="s">
        <v>2952</v>
      </c>
      <c r="D1704" s="6">
        <v>1000</v>
      </c>
      <c r="G1704" s="7">
        <v>9.15</v>
      </c>
      <c r="H1704" s="4" t="s">
        <v>2953</v>
      </c>
      <c r="J1704" t="s">
        <v>59</v>
      </c>
    </row>
    <row r="1705" spans="1:10" x14ac:dyDescent="0.3">
      <c r="A1705" t="s">
        <v>2954</v>
      </c>
      <c r="B1705" t="s">
        <v>2955</v>
      </c>
      <c r="D1705" s="6">
        <v>1000</v>
      </c>
      <c r="G1705" s="7">
        <v>9.5500000000000007</v>
      </c>
      <c r="H1705" s="4" t="s">
        <v>2953</v>
      </c>
      <c r="J1705" t="s">
        <v>62</v>
      </c>
    </row>
    <row r="1706" spans="1:10" x14ac:dyDescent="0.3">
      <c r="A1706" t="s">
        <v>2956</v>
      </c>
      <c r="B1706" t="s">
        <v>2957</v>
      </c>
      <c r="D1706" s="6">
        <v>1000</v>
      </c>
      <c r="G1706" s="7" t="s">
        <v>65</v>
      </c>
      <c r="H1706" s="4" t="s">
        <v>2953</v>
      </c>
      <c r="J1706" t="s">
        <v>49</v>
      </c>
    </row>
    <row r="1707" spans="1:10" x14ac:dyDescent="0.3">
      <c r="A1707" t="s">
        <v>2958</v>
      </c>
      <c r="B1707" t="s">
        <v>2959</v>
      </c>
      <c r="D1707" s="6">
        <v>1000</v>
      </c>
      <c r="G1707" s="7">
        <v>9.3000000000000007</v>
      </c>
      <c r="H1707" s="4" t="s">
        <v>2960</v>
      </c>
      <c r="J1707" t="s">
        <v>59</v>
      </c>
    </row>
    <row r="1708" spans="1:10" x14ac:dyDescent="0.3">
      <c r="A1708" t="s">
        <v>2961</v>
      </c>
      <c r="B1708" t="s">
        <v>2962</v>
      </c>
      <c r="D1708" s="6">
        <v>1000</v>
      </c>
      <c r="G1708" s="7">
        <v>9.7000000000000011</v>
      </c>
      <c r="H1708" s="4" t="s">
        <v>2960</v>
      </c>
      <c r="J1708" t="s">
        <v>62</v>
      </c>
    </row>
    <row r="1709" spans="1:10" x14ac:dyDescent="0.3">
      <c r="A1709" t="s">
        <v>2963</v>
      </c>
      <c r="B1709" t="s">
        <v>2964</v>
      </c>
      <c r="D1709" s="6">
        <v>1000</v>
      </c>
      <c r="G1709" s="7">
        <v>8.75</v>
      </c>
      <c r="H1709" s="4" t="s">
        <v>1281</v>
      </c>
      <c r="J1709" t="s">
        <v>59</v>
      </c>
    </row>
    <row r="1710" spans="1:10" x14ac:dyDescent="0.3">
      <c r="A1710" t="s">
        <v>2965</v>
      </c>
      <c r="B1710" t="s">
        <v>2966</v>
      </c>
      <c r="D1710" s="6">
        <v>1000</v>
      </c>
      <c r="G1710" s="7">
        <v>9.1</v>
      </c>
      <c r="H1710" s="4" t="s">
        <v>1281</v>
      </c>
      <c r="J1710" t="s">
        <v>62</v>
      </c>
    </row>
    <row r="1711" spans="1:10" x14ac:dyDescent="0.3">
      <c r="A1711" t="s">
        <v>2967</v>
      </c>
      <c r="B1711" t="s">
        <v>2968</v>
      </c>
      <c r="D1711" s="6">
        <v>1000</v>
      </c>
      <c r="G1711" s="7" t="s">
        <v>65</v>
      </c>
      <c r="H1711" s="4" t="s">
        <v>1281</v>
      </c>
      <c r="J1711" t="s">
        <v>49</v>
      </c>
    </row>
    <row r="1712" spans="1:10" x14ac:dyDescent="0.3">
      <c r="A1712" t="s">
        <v>2969</v>
      </c>
      <c r="B1712" t="s">
        <v>2970</v>
      </c>
      <c r="D1712" s="6">
        <v>1000</v>
      </c>
      <c r="G1712" s="7">
        <v>9.15</v>
      </c>
      <c r="H1712" s="4" t="s">
        <v>2971</v>
      </c>
      <c r="J1712" t="s">
        <v>59</v>
      </c>
    </row>
    <row r="1713" spans="1:10" x14ac:dyDescent="0.3">
      <c r="A1713" t="s">
        <v>2972</v>
      </c>
      <c r="B1713" t="s">
        <v>2973</v>
      </c>
      <c r="D1713" s="6">
        <v>1000</v>
      </c>
      <c r="G1713" s="7">
        <v>9.5500000000000007</v>
      </c>
      <c r="H1713" s="4" t="s">
        <v>2971</v>
      </c>
      <c r="J1713" t="s">
        <v>62</v>
      </c>
    </row>
    <row r="1714" spans="1:10" x14ac:dyDescent="0.3">
      <c r="A1714" t="s">
        <v>2974</v>
      </c>
      <c r="B1714" t="s">
        <v>2975</v>
      </c>
      <c r="D1714" s="6">
        <v>1000</v>
      </c>
      <c r="G1714" s="7" t="s">
        <v>65</v>
      </c>
      <c r="H1714" s="4" t="s">
        <v>2971</v>
      </c>
      <c r="J1714" t="s">
        <v>49</v>
      </c>
    </row>
    <row r="1715" spans="1:10" x14ac:dyDescent="0.3">
      <c r="A1715" t="s">
        <v>2976</v>
      </c>
      <c r="B1715" t="s">
        <v>2977</v>
      </c>
      <c r="D1715" s="6">
        <v>1000</v>
      </c>
      <c r="G1715" s="7">
        <v>9.3000000000000007</v>
      </c>
      <c r="H1715" s="4" t="s">
        <v>2978</v>
      </c>
      <c r="J1715" t="s">
        <v>59</v>
      </c>
    </row>
    <row r="1716" spans="1:10" x14ac:dyDescent="0.3">
      <c r="A1716" t="s">
        <v>2979</v>
      </c>
      <c r="B1716" t="s">
        <v>2980</v>
      </c>
      <c r="D1716" s="6">
        <v>1000</v>
      </c>
      <c r="G1716" s="7">
        <v>9.7000000000000011</v>
      </c>
      <c r="H1716" s="4" t="s">
        <v>2978</v>
      </c>
      <c r="J1716" t="s">
        <v>62</v>
      </c>
    </row>
    <row r="1717" spans="1:10" x14ac:dyDescent="0.3">
      <c r="A1717" t="s">
        <v>2981</v>
      </c>
      <c r="B1717" t="s">
        <v>2982</v>
      </c>
      <c r="D1717" s="6">
        <v>1000</v>
      </c>
      <c r="G1717" s="7">
        <v>8.85</v>
      </c>
      <c r="H1717" s="4" t="s">
        <v>2983</v>
      </c>
      <c r="J1717" t="s">
        <v>62</v>
      </c>
    </row>
    <row r="1718" spans="1:10" x14ac:dyDescent="0.3">
      <c r="A1718" t="s">
        <v>2984</v>
      </c>
      <c r="B1718" t="s">
        <v>2985</v>
      </c>
      <c r="D1718" s="6">
        <v>1000</v>
      </c>
      <c r="G1718" s="7" t="s">
        <v>65</v>
      </c>
      <c r="H1718" s="4" t="s">
        <v>2983</v>
      </c>
      <c r="J1718" t="s">
        <v>49</v>
      </c>
    </row>
    <row r="1719" spans="1:10" x14ac:dyDescent="0.3">
      <c r="A1719" t="s">
        <v>2986</v>
      </c>
      <c r="B1719" t="s">
        <v>2987</v>
      </c>
      <c r="D1719" s="6">
        <v>1000</v>
      </c>
      <c r="G1719" s="7">
        <v>8.9</v>
      </c>
      <c r="H1719" s="4" t="s">
        <v>2988</v>
      </c>
      <c r="J1719" t="s">
        <v>59</v>
      </c>
    </row>
    <row r="1720" spans="1:10" x14ac:dyDescent="0.3">
      <c r="A1720" t="s">
        <v>2989</v>
      </c>
      <c r="B1720" t="s">
        <v>2990</v>
      </c>
      <c r="D1720" s="6">
        <v>1000</v>
      </c>
      <c r="G1720" s="7">
        <v>9.25</v>
      </c>
      <c r="H1720" s="4" t="s">
        <v>2988</v>
      </c>
      <c r="J1720" t="s">
        <v>62</v>
      </c>
    </row>
    <row r="1721" spans="1:10" x14ac:dyDescent="0.3">
      <c r="A1721" t="s">
        <v>2991</v>
      </c>
      <c r="B1721" t="s">
        <v>2992</v>
      </c>
      <c r="D1721" s="6">
        <v>1000</v>
      </c>
      <c r="G1721" s="7" t="s">
        <v>65</v>
      </c>
      <c r="H1721" s="4" t="s">
        <v>2988</v>
      </c>
      <c r="J1721" t="s">
        <v>49</v>
      </c>
    </row>
    <row r="1722" spans="1:10" x14ac:dyDescent="0.3">
      <c r="A1722" t="s">
        <v>2993</v>
      </c>
      <c r="B1722" t="s">
        <v>2994</v>
      </c>
      <c r="D1722" s="6">
        <v>1000</v>
      </c>
      <c r="G1722" s="7" t="s">
        <v>65</v>
      </c>
      <c r="H1722" s="4" t="s">
        <v>2995</v>
      </c>
      <c r="J1722" t="s">
        <v>49</v>
      </c>
    </row>
    <row r="1723" spans="1:10" x14ac:dyDescent="0.3">
      <c r="A1723" t="s">
        <v>2996</v>
      </c>
      <c r="B1723" t="s">
        <v>2997</v>
      </c>
      <c r="D1723" s="6">
        <v>1000</v>
      </c>
      <c r="G1723" s="7">
        <v>9.35</v>
      </c>
      <c r="H1723" s="4" t="s">
        <v>2995</v>
      </c>
      <c r="J1723" t="s">
        <v>59</v>
      </c>
    </row>
    <row r="1724" spans="1:10" x14ac:dyDescent="0.3">
      <c r="A1724" t="s">
        <v>2998</v>
      </c>
      <c r="B1724" t="s">
        <v>2999</v>
      </c>
      <c r="D1724" s="6">
        <v>1000</v>
      </c>
      <c r="G1724" s="7">
        <v>9.75</v>
      </c>
      <c r="H1724" s="4" t="s">
        <v>2995</v>
      </c>
      <c r="J1724" t="s">
        <v>62</v>
      </c>
    </row>
    <row r="1725" spans="1:10" x14ac:dyDescent="0.3">
      <c r="A1725" t="s">
        <v>3000</v>
      </c>
      <c r="B1725" t="s">
        <v>3001</v>
      </c>
      <c r="D1725" s="6">
        <v>1000</v>
      </c>
      <c r="G1725" s="7">
        <v>9.65</v>
      </c>
      <c r="H1725" s="4" t="s">
        <v>3002</v>
      </c>
      <c r="J1725" t="s">
        <v>59</v>
      </c>
    </row>
    <row r="1726" spans="1:10" x14ac:dyDescent="0.3">
      <c r="A1726" t="s">
        <v>3003</v>
      </c>
      <c r="B1726" t="s">
        <v>3004</v>
      </c>
      <c r="D1726" s="6">
        <v>1000</v>
      </c>
      <c r="G1726" s="7">
        <v>10.100000000000001</v>
      </c>
      <c r="H1726" s="4" t="s">
        <v>3002</v>
      </c>
      <c r="J1726" t="s">
        <v>62</v>
      </c>
    </row>
    <row r="1727" spans="1:10" x14ac:dyDescent="0.3">
      <c r="A1727" t="s">
        <v>3005</v>
      </c>
      <c r="B1727" t="s">
        <v>3006</v>
      </c>
      <c r="D1727" s="6">
        <v>1000</v>
      </c>
      <c r="G1727" s="7">
        <v>9</v>
      </c>
      <c r="H1727" s="4" t="s">
        <v>3007</v>
      </c>
      <c r="J1727" t="s">
        <v>62</v>
      </c>
    </row>
    <row r="1728" spans="1:10" x14ac:dyDescent="0.3">
      <c r="A1728" t="s">
        <v>3008</v>
      </c>
      <c r="B1728" t="s">
        <v>3009</v>
      </c>
      <c r="D1728" s="6">
        <v>1000</v>
      </c>
      <c r="G1728" s="7" t="s">
        <v>65</v>
      </c>
      <c r="H1728" s="4" t="s">
        <v>3010</v>
      </c>
      <c r="J1728" t="s">
        <v>49</v>
      </c>
    </row>
    <row r="1729" spans="1:10" x14ac:dyDescent="0.3">
      <c r="A1729" t="s">
        <v>3011</v>
      </c>
      <c r="B1729" t="s">
        <v>3012</v>
      </c>
      <c r="D1729" s="6">
        <v>1000</v>
      </c>
      <c r="G1729" s="7">
        <v>10</v>
      </c>
      <c r="H1729" s="4" t="s">
        <v>3013</v>
      </c>
      <c r="J1729" t="s">
        <v>59</v>
      </c>
    </row>
    <row r="1730" spans="1:10" x14ac:dyDescent="0.3">
      <c r="A1730" t="s">
        <v>3014</v>
      </c>
      <c r="B1730" t="s">
        <v>3015</v>
      </c>
      <c r="D1730" s="6">
        <v>1000</v>
      </c>
      <c r="G1730" s="7">
        <v>10.45</v>
      </c>
      <c r="H1730" s="4" t="s">
        <v>3013</v>
      </c>
      <c r="J1730" t="s">
        <v>62</v>
      </c>
    </row>
    <row r="1731" spans="1:10" x14ac:dyDescent="0.3">
      <c r="A1731" t="s">
        <v>3016</v>
      </c>
      <c r="B1731" t="s">
        <v>3017</v>
      </c>
      <c r="D1731" s="6">
        <v>1000</v>
      </c>
      <c r="G1731" s="7">
        <v>10.100000000000001</v>
      </c>
      <c r="H1731" s="4" t="s">
        <v>3010</v>
      </c>
      <c r="J1731" t="s">
        <v>62</v>
      </c>
    </row>
    <row r="1732" spans="1:10" x14ac:dyDescent="0.3">
      <c r="A1732" t="s">
        <v>3018</v>
      </c>
      <c r="B1732" t="s">
        <v>3019</v>
      </c>
      <c r="D1732" s="6">
        <v>1000</v>
      </c>
      <c r="G1732" s="7">
        <v>9.67</v>
      </c>
      <c r="H1732" s="4" t="s">
        <v>3010</v>
      </c>
      <c r="J1732" t="s">
        <v>59</v>
      </c>
    </row>
    <row r="1733" spans="1:10" x14ac:dyDescent="0.3">
      <c r="A1733" t="s">
        <v>3020</v>
      </c>
      <c r="B1733" t="s">
        <v>3021</v>
      </c>
      <c r="D1733" s="6">
        <v>1000</v>
      </c>
      <c r="G1733" s="7" t="s">
        <v>65</v>
      </c>
      <c r="H1733" s="4" t="s">
        <v>3022</v>
      </c>
      <c r="J1733" t="s">
        <v>49</v>
      </c>
    </row>
    <row r="1734" spans="1:10" x14ac:dyDescent="0.3">
      <c r="A1734" t="s">
        <v>3023</v>
      </c>
      <c r="B1734" t="s">
        <v>3024</v>
      </c>
      <c r="D1734" s="6">
        <v>1000</v>
      </c>
      <c r="G1734" s="7">
        <v>9.1999999999999993</v>
      </c>
      <c r="H1734" s="4" t="s">
        <v>3022</v>
      </c>
      <c r="J1734" t="s">
        <v>59</v>
      </c>
    </row>
    <row r="1735" spans="1:10" x14ac:dyDescent="0.3">
      <c r="A1735" t="s">
        <v>3025</v>
      </c>
      <c r="B1735" t="s">
        <v>3026</v>
      </c>
      <c r="D1735" s="6">
        <v>1000</v>
      </c>
      <c r="G1735" s="7">
        <v>9.6</v>
      </c>
      <c r="H1735" s="4" t="s">
        <v>3022</v>
      </c>
      <c r="J1735" t="s">
        <v>62</v>
      </c>
    </row>
    <row r="1736" spans="1:10" x14ac:dyDescent="0.3">
      <c r="A1736" t="s">
        <v>3027</v>
      </c>
      <c r="B1736" t="s">
        <v>3028</v>
      </c>
      <c r="D1736" s="6">
        <v>1000</v>
      </c>
      <c r="G1736" s="7" t="s">
        <v>65</v>
      </c>
      <c r="H1736" s="4" t="s">
        <v>3007</v>
      </c>
      <c r="J1736" t="s">
        <v>49</v>
      </c>
    </row>
    <row r="1737" spans="1:10" x14ac:dyDescent="0.3">
      <c r="A1737" t="s">
        <v>3029</v>
      </c>
      <c r="B1737" t="s">
        <v>3030</v>
      </c>
      <c r="D1737" s="6">
        <v>1000</v>
      </c>
      <c r="G1737" s="7">
        <v>9.1999999999999993</v>
      </c>
      <c r="H1737" s="4" t="s">
        <v>3031</v>
      </c>
      <c r="J1737" t="s">
        <v>59</v>
      </c>
    </row>
    <row r="1738" spans="1:10" x14ac:dyDescent="0.3">
      <c r="A1738" t="s">
        <v>3032</v>
      </c>
      <c r="B1738" t="s">
        <v>3033</v>
      </c>
      <c r="D1738" s="6">
        <v>1000</v>
      </c>
      <c r="G1738" s="7">
        <v>8.9499999999999993</v>
      </c>
      <c r="H1738" s="4" t="s">
        <v>3034</v>
      </c>
      <c r="J1738" t="s">
        <v>62</v>
      </c>
    </row>
    <row r="1739" spans="1:10" x14ac:dyDescent="0.3">
      <c r="A1739" t="s">
        <v>3035</v>
      </c>
      <c r="B1739" t="s">
        <v>3036</v>
      </c>
      <c r="D1739" s="6">
        <v>1000</v>
      </c>
      <c r="G1739" s="7" t="s">
        <v>65</v>
      </c>
      <c r="H1739" s="4" t="s">
        <v>3034</v>
      </c>
      <c r="J1739" t="s">
        <v>49</v>
      </c>
    </row>
    <row r="1740" spans="1:10" x14ac:dyDescent="0.3">
      <c r="A1740" t="s">
        <v>3037</v>
      </c>
      <c r="B1740" t="s">
        <v>3038</v>
      </c>
      <c r="D1740" s="6">
        <v>1000</v>
      </c>
      <c r="G1740" s="7">
        <v>9.6</v>
      </c>
      <c r="H1740" s="4" t="s">
        <v>3031</v>
      </c>
      <c r="J1740" t="s">
        <v>62</v>
      </c>
    </row>
    <row r="1741" spans="1:10" x14ac:dyDescent="0.3">
      <c r="A1741" t="s">
        <v>3039</v>
      </c>
      <c r="B1741" t="s">
        <v>3040</v>
      </c>
      <c r="D1741" s="6">
        <v>1000</v>
      </c>
      <c r="G1741" s="7">
        <v>9.67</v>
      </c>
      <c r="H1741" s="4" t="s">
        <v>3041</v>
      </c>
      <c r="J1741" t="s">
        <v>59</v>
      </c>
    </row>
    <row r="1742" spans="1:10" x14ac:dyDescent="0.3">
      <c r="A1742" t="s">
        <v>3042</v>
      </c>
      <c r="B1742" t="s">
        <v>3043</v>
      </c>
      <c r="D1742" s="6">
        <v>1000</v>
      </c>
      <c r="G1742" s="7" t="s">
        <v>65</v>
      </c>
      <c r="H1742" s="4" t="s">
        <v>3031</v>
      </c>
      <c r="J1742" t="s">
        <v>49</v>
      </c>
    </row>
    <row r="1743" spans="1:10" x14ac:dyDescent="0.3">
      <c r="A1743" t="s">
        <v>3044</v>
      </c>
      <c r="B1743" t="s">
        <v>3045</v>
      </c>
      <c r="D1743" s="6">
        <v>1000</v>
      </c>
      <c r="G1743" s="7">
        <v>10.100000000000001</v>
      </c>
      <c r="H1743" s="4" t="s">
        <v>3041</v>
      </c>
      <c r="J1743" t="s">
        <v>62</v>
      </c>
    </row>
    <row r="1744" spans="1:10" x14ac:dyDescent="0.3">
      <c r="A1744" t="s">
        <v>3046</v>
      </c>
      <c r="B1744" t="s">
        <v>3047</v>
      </c>
      <c r="D1744" s="6">
        <v>1000</v>
      </c>
      <c r="G1744" s="7" t="s">
        <v>65</v>
      </c>
      <c r="H1744" s="4" t="s">
        <v>3041</v>
      </c>
      <c r="J1744" t="s">
        <v>49</v>
      </c>
    </row>
    <row r="1745" spans="1:10" x14ac:dyDescent="0.3">
      <c r="A1745" t="s">
        <v>3048</v>
      </c>
      <c r="B1745" t="s">
        <v>3049</v>
      </c>
      <c r="D1745" s="6">
        <v>1000</v>
      </c>
      <c r="G1745" s="7">
        <v>10</v>
      </c>
      <c r="H1745" s="4" t="s">
        <v>3050</v>
      </c>
      <c r="J1745" t="s">
        <v>59</v>
      </c>
    </row>
    <row r="1746" spans="1:10" x14ac:dyDescent="0.3">
      <c r="A1746" t="s">
        <v>3051</v>
      </c>
      <c r="B1746" t="s">
        <v>3052</v>
      </c>
      <c r="D1746" s="6">
        <v>1000</v>
      </c>
      <c r="G1746" s="7">
        <v>10.45</v>
      </c>
      <c r="H1746" s="4" t="s">
        <v>3050</v>
      </c>
      <c r="J1746" t="s">
        <v>62</v>
      </c>
    </row>
    <row r="1747" spans="1:10" x14ac:dyDescent="0.3">
      <c r="A1747" t="s">
        <v>3053</v>
      </c>
      <c r="B1747" t="s">
        <v>3054</v>
      </c>
      <c r="D1747" s="6">
        <v>1000</v>
      </c>
      <c r="G1747" s="7">
        <v>10.45</v>
      </c>
      <c r="H1747" s="4" t="s">
        <v>3055</v>
      </c>
      <c r="J1747" t="s">
        <v>62</v>
      </c>
    </row>
    <row r="1748" spans="1:10" x14ac:dyDescent="0.3">
      <c r="A1748" t="s">
        <v>3056</v>
      </c>
      <c r="B1748" t="s">
        <v>3057</v>
      </c>
      <c r="D1748" s="6">
        <v>1000</v>
      </c>
      <c r="G1748" s="7">
        <v>8.9499999999999993</v>
      </c>
      <c r="H1748" s="4" t="s">
        <v>3058</v>
      </c>
      <c r="J1748" t="s">
        <v>62</v>
      </c>
    </row>
    <row r="1749" spans="1:10" x14ac:dyDescent="0.3">
      <c r="A1749" t="s">
        <v>3059</v>
      </c>
      <c r="B1749" t="s">
        <v>3060</v>
      </c>
      <c r="D1749" s="6">
        <v>1000</v>
      </c>
      <c r="G1749" s="7" t="s">
        <v>65</v>
      </c>
      <c r="H1749" s="4" t="s">
        <v>3058</v>
      </c>
      <c r="J1749" t="s">
        <v>49</v>
      </c>
    </row>
    <row r="1750" spans="1:10" x14ac:dyDescent="0.3">
      <c r="A1750" t="s">
        <v>3061</v>
      </c>
      <c r="B1750" t="s">
        <v>3062</v>
      </c>
      <c r="D1750" s="6">
        <v>1000</v>
      </c>
      <c r="G1750" s="7">
        <v>9.1999999999999993</v>
      </c>
      <c r="H1750" s="4" t="s">
        <v>3063</v>
      </c>
      <c r="J1750" t="s">
        <v>59</v>
      </c>
    </row>
    <row r="1751" spans="1:10" x14ac:dyDescent="0.3">
      <c r="A1751" t="s">
        <v>3064</v>
      </c>
      <c r="B1751" t="s">
        <v>3065</v>
      </c>
      <c r="D1751" s="6">
        <v>1000</v>
      </c>
      <c r="G1751" s="7">
        <v>9.6</v>
      </c>
      <c r="H1751" s="4" t="s">
        <v>3063</v>
      </c>
      <c r="J1751" t="s">
        <v>62</v>
      </c>
    </row>
    <row r="1752" spans="1:10" x14ac:dyDescent="0.3">
      <c r="A1752" t="s">
        <v>3066</v>
      </c>
      <c r="B1752" t="s">
        <v>3067</v>
      </c>
      <c r="D1752" s="6">
        <v>1000</v>
      </c>
      <c r="G1752" s="7" t="s">
        <v>65</v>
      </c>
      <c r="H1752" s="4" t="s">
        <v>3063</v>
      </c>
      <c r="J1752" t="s">
        <v>49</v>
      </c>
    </row>
    <row r="1753" spans="1:10" x14ac:dyDescent="0.3">
      <c r="A1753" t="s">
        <v>3068</v>
      </c>
      <c r="B1753" t="s">
        <v>3069</v>
      </c>
      <c r="D1753" s="6">
        <v>1000</v>
      </c>
      <c r="G1753" s="7" t="s">
        <v>65</v>
      </c>
      <c r="H1753" s="4" t="s">
        <v>3070</v>
      </c>
      <c r="J1753" t="s">
        <v>49</v>
      </c>
    </row>
    <row r="1754" spans="1:10" x14ac:dyDescent="0.3">
      <c r="A1754" t="s">
        <v>3071</v>
      </c>
      <c r="B1754" t="s">
        <v>3072</v>
      </c>
      <c r="D1754" s="6">
        <v>1000</v>
      </c>
      <c r="G1754" s="7">
        <v>9.67</v>
      </c>
      <c r="H1754" s="4" t="s">
        <v>3070</v>
      </c>
      <c r="J1754" t="s">
        <v>59</v>
      </c>
    </row>
    <row r="1755" spans="1:10" x14ac:dyDescent="0.3">
      <c r="A1755" t="s">
        <v>3073</v>
      </c>
      <c r="B1755" t="s">
        <v>3074</v>
      </c>
      <c r="D1755" s="6">
        <v>1000</v>
      </c>
      <c r="G1755" s="7">
        <v>10.100000000000001</v>
      </c>
      <c r="H1755" s="4" t="s">
        <v>3070</v>
      </c>
      <c r="J1755" t="s">
        <v>62</v>
      </c>
    </row>
    <row r="1756" spans="1:10" x14ac:dyDescent="0.3">
      <c r="A1756" t="s">
        <v>3075</v>
      </c>
      <c r="B1756" t="s">
        <v>3076</v>
      </c>
      <c r="D1756" s="6">
        <v>1000</v>
      </c>
      <c r="G1756" s="7">
        <v>10</v>
      </c>
      <c r="H1756" s="4" t="s">
        <v>3055</v>
      </c>
      <c r="J1756" t="s">
        <v>59</v>
      </c>
    </row>
    <row r="1757" spans="1:10" x14ac:dyDescent="0.3">
      <c r="A1757" t="s">
        <v>3077</v>
      </c>
      <c r="B1757" t="s">
        <v>3078</v>
      </c>
      <c r="D1757" s="6">
        <v>1000</v>
      </c>
      <c r="G1757" s="7">
        <v>8.9499999999999993</v>
      </c>
      <c r="H1757" s="4" t="s">
        <v>3079</v>
      </c>
      <c r="J1757" t="s">
        <v>62</v>
      </c>
    </row>
    <row r="1758" spans="1:10" x14ac:dyDescent="0.3">
      <c r="A1758" t="s">
        <v>3080</v>
      </c>
      <c r="B1758" t="s">
        <v>3081</v>
      </c>
      <c r="D1758" s="6">
        <v>1000</v>
      </c>
      <c r="G1758" s="7">
        <v>10.45</v>
      </c>
      <c r="H1758" s="4" t="s">
        <v>3082</v>
      </c>
      <c r="J1758" t="s">
        <v>62</v>
      </c>
    </row>
    <row r="1759" spans="1:10" x14ac:dyDescent="0.3">
      <c r="A1759" t="s">
        <v>3083</v>
      </c>
      <c r="B1759" t="s">
        <v>3084</v>
      </c>
      <c r="D1759" s="6">
        <v>1000</v>
      </c>
      <c r="G1759" s="7">
        <v>10</v>
      </c>
      <c r="H1759" s="4" t="s">
        <v>3082</v>
      </c>
      <c r="J1759" t="s">
        <v>59</v>
      </c>
    </row>
    <row r="1760" spans="1:10" x14ac:dyDescent="0.3">
      <c r="A1760" t="s">
        <v>3085</v>
      </c>
      <c r="B1760" t="s">
        <v>3086</v>
      </c>
      <c r="D1760" s="6">
        <v>1000</v>
      </c>
      <c r="G1760" s="7">
        <v>10.100000000000001</v>
      </c>
      <c r="H1760" s="4" t="s">
        <v>3087</v>
      </c>
      <c r="J1760" t="s">
        <v>62</v>
      </c>
    </row>
    <row r="1761" spans="1:10" x14ac:dyDescent="0.3">
      <c r="A1761" t="s">
        <v>3088</v>
      </c>
      <c r="B1761" t="s">
        <v>3089</v>
      </c>
      <c r="D1761" s="6">
        <v>1000</v>
      </c>
      <c r="G1761" s="7" t="s">
        <v>65</v>
      </c>
      <c r="H1761" s="4" t="s">
        <v>3087</v>
      </c>
      <c r="J1761" t="s">
        <v>49</v>
      </c>
    </row>
    <row r="1762" spans="1:10" x14ac:dyDescent="0.3">
      <c r="A1762" t="s">
        <v>3090</v>
      </c>
      <c r="B1762" t="s">
        <v>3091</v>
      </c>
      <c r="D1762" s="6">
        <v>1000</v>
      </c>
      <c r="G1762" s="7">
        <v>9.67</v>
      </c>
      <c r="H1762" s="4" t="s">
        <v>3087</v>
      </c>
      <c r="J1762" t="s">
        <v>59</v>
      </c>
    </row>
    <row r="1763" spans="1:10" x14ac:dyDescent="0.3">
      <c r="A1763" t="s">
        <v>3092</v>
      </c>
      <c r="B1763" t="s">
        <v>3093</v>
      </c>
      <c r="D1763" s="6">
        <v>1000</v>
      </c>
      <c r="G1763" s="7">
        <v>9.6</v>
      </c>
      <c r="H1763" s="4" t="s">
        <v>3094</v>
      </c>
      <c r="J1763" t="s">
        <v>62</v>
      </c>
    </row>
    <row r="1764" spans="1:10" x14ac:dyDescent="0.3">
      <c r="A1764" t="s">
        <v>3095</v>
      </c>
      <c r="B1764" t="s">
        <v>3096</v>
      </c>
      <c r="D1764" s="6">
        <v>1000</v>
      </c>
      <c r="G1764" s="7">
        <v>9.1999999999999993</v>
      </c>
      <c r="H1764" s="4" t="s">
        <v>3094</v>
      </c>
      <c r="J1764" t="s">
        <v>59</v>
      </c>
    </row>
    <row r="1765" spans="1:10" x14ac:dyDescent="0.3">
      <c r="A1765" t="s">
        <v>3097</v>
      </c>
      <c r="B1765" t="s">
        <v>3098</v>
      </c>
      <c r="D1765" s="6">
        <v>1000</v>
      </c>
      <c r="G1765" s="7" t="s">
        <v>65</v>
      </c>
      <c r="H1765" s="4" t="s">
        <v>3079</v>
      </c>
      <c r="J1765" t="s">
        <v>49</v>
      </c>
    </row>
    <row r="1766" spans="1:10" x14ac:dyDescent="0.3">
      <c r="A1766" t="s">
        <v>3099</v>
      </c>
      <c r="B1766" t="s">
        <v>3100</v>
      </c>
      <c r="D1766" s="6">
        <v>1000</v>
      </c>
      <c r="G1766" s="7" t="s">
        <v>65</v>
      </c>
      <c r="H1766" s="4" t="s">
        <v>3094</v>
      </c>
      <c r="J1766" t="s">
        <v>49</v>
      </c>
    </row>
    <row r="1767" spans="1:10" x14ac:dyDescent="0.3">
      <c r="A1767" t="s">
        <v>3101</v>
      </c>
      <c r="B1767" t="s">
        <v>3102</v>
      </c>
      <c r="D1767" s="6">
        <v>1000</v>
      </c>
      <c r="G1767" s="7">
        <v>8.9499999999999993</v>
      </c>
      <c r="H1767" s="4" t="s">
        <v>3103</v>
      </c>
      <c r="J1767" t="s">
        <v>62</v>
      </c>
    </row>
    <row r="1768" spans="1:10" x14ac:dyDescent="0.3">
      <c r="A1768" t="s">
        <v>3104</v>
      </c>
      <c r="B1768" t="s">
        <v>3105</v>
      </c>
      <c r="D1768" s="6">
        <v>1000</v>
      </c>
      <c r="G1768" s="7">
        <v>9.1999999999999993</v>
      </c>
      <c r="H1768" s="4" t="s">
        <v>3106</v>
      </c>
      <c r="J1768" t="s">
        <v>59</v>
      </c>
    </row>
    <row r="1769" spans="1:10" x14ac:dyDescent="0.3">
      <c r="A1769" t="s">
        <v>3107</v>
      </c>
      <c r="B1769" t="s">
        <v>3108</v>
      </c>
      <c r="D1769" s="6">
        <v>1000</v>
      </c>
      <c r="G1769" s="7" t="s">
        <v>65</v>
      </c>
      <c r="H1769" s="4" t="s">
        <v>3103</v>
      </c>
      <c r="J1769" t="s">
        <v>49</v>
      </c>
    </row>
    <row r="1770" spans="1:10" x14ac:dyDescent="0.3">
      <c r="A1770" t="s">
        <v>3109</v>
      </c>
      <c r="B1770" t="s">
        <v>3110</v>
      </c>
      <c r="D1770" s="6">
        <v>1000</v>
      </c>
      <c r="G1770" s="7">
        <v>9.6</v>
      </c>
      <c r="H1770" s="4" t="s">
        <v>3106</v>
      </c>
      <c r="J1770" t="s">
        <v>62</v>
      </c>
    </row>
    <row r="1771" spans="1:10" x14ac:dyDescent="0.3">
      <c r="A1771" t="s">
        <v>3111</v>
      </c>
      <c r="B1771" t="s">
        <v>3112</v>
      </c>
      <c r="D1771" s="6">
        <v>1000</v>
      </c>
      <c r="G1771" s="7" t="s">
        <v>65</v>
      </c>
      <c r="H1771" s="4" t="s">
        <v>3106</v>
      </c>
      <c r="J1771" t="s">
        <v>49</v>
      </c>
    </row>
    <row r="1772" spans="1:10" x14ac:dyDescent="0.3">
      <c r="A1772" t="s">
        <v>3113</v>
      </c>
      <c r="B1772" t="s">
        <v>3114</v>
      </c>
      <c r="D1772" s="6">
        <v>1000</v>
      </c>
      <c r="G1772" s="7">
        <v>9.67</v>
      </c>
      <c r="H1772" s="4" t="s">
        <v>3115</v>
      </c>
      <c r="J1772" t="s">
        <v>59</v>
      </c>
    </row>
    <row r="1773" spans="1:10" x14ac:dyDescent="0.3">
      <c r="A1773" t="s">
        <v>3116</v>
      </c>
      <c r="B1773" t="s">
        <v>3117</v>
      </c>
      <c r="D1773" s="6">
        <v>1000</v>
      </c>
      <c r="G1773" s="7">
        <v>10.100000000000001</v>
      </c>
      <c r="H1773" s="4" t="s">
        <v>3115</v>
      </c>
      <c r="J1773" t="s">
        <v>62</v>
      </c>
    </row>
    <row r="1774" spans="1:10" x14ac:dyDescent="0.3">
      <c r="A1774" t="s">
        <v>3118</v>
      </c>
      <c r="B1774" t="s">
        <v>3119</v>
      </c>
      <c r="D1774" s="6">
        <v>1000</v>
      </c>
      <c r="G1774" s="7" t="s">
        <v>65</v>
      </c>
      <c r="H1774" s="4" t="s">
        <v>3115</v>
      </c>
      <c r="J1774" t="s">
        <v>49</v>
      </c>
    </row>
    <row r="1775" spans="1:10" x14ac:dyDescent="0.3">
      <c r="A1775" t="s">
        <v>3120</v>
      </c>
      <c r="B1775" t="s">
        <v>3121</v>
      </c>
      <c r="D1775" s="6">
        <v>1000</v>
      </c>
      <c r="G1775" s="7">
        <v>10</v>
      </c>
      <c r="H1775" s="4" t="s">
        <v>3122</v>
      </c>
      <c r="J1775" t="s">
        <v>59</v>
      </c>
    </row>
    <row r="1776" spans="1:10" x14ac:dyDescent="0.3">
      <c r="A1776" t="s">
        <v>3123</v>
      </c>
      <c r="B1776" t="s">
        <v>3124</v>
      </c>
      <c r="D1776" s="6">
        <v>1000</v>
      </c>
      <c r="G1776" s="7">
        <v>10.45</v>
      </c>
      <c r="H1776" s="4" t="s">
        <v>3122</v>
      </c>
      <c r="J1776" t="s">
        <v>62</v>
      </c>
    </row>
    <row r="1777" spans="1:10" x14ac:dyDescent="0.3">
      <c r="A1777" t="s">
        <v>3125</v>
      </c>
      <c r="B1777" t="s">
        <v>3126</v>
      </c>
      <c r="D1777" s="6">
        <v>1000</v>
      </c>
      <c r="G1777" s="7">
        <v>10</v>
      </c>
      <c r="H1777" s="4" t="s">
        <v>3127</v>
      </c>
      <c r="J1777" t="s">
        <v>59</v>
      </c>
    </row>
    <row r="1778" spans="1:10" x14ac:dyDescent="0.3">
      <c r="A1778" t="s">
        <v>3128</v>
      </c>
      <c r="B1778" t="s">
        <v>3129</v>
      </c>
      <c r="D1778" s="6">
        <v>1000</v>
      </c>
      <c r="G1778" s="7" t="s">
        <v>65</v>
      </c>
      <c r="H1778" s="4" t="s">
        <v>1915</v>
      </c>
      <c r="J1778" t="s">
        <v>49</v>
      </c>
    </row>
    <row r="1779" spans="1:10" x14ac:dyDescent="0.3">
      <c r="A1779" t="s">
        <v>3130</v>
      </c>
      <c r="B1779" t="s">
        <v>3131</v>
      </c>
      <c r="D1779" s="6">
        <v>1000</v>
      </c>
      <c r="G1779" s="7">
        <v>9</v>
      </c>
      <c r="H1779" s="4" t="s">
        <v>1915</v>
      </c>
      <c r="J1779" t="s">
        <v>101</v>
      </c>
    </row>
    <row r="1780" spans="1:10" x14ac:dyDescent="0.3">
      <c r="A1780" t="s">
        <v>3132</v>
      </c>
      <c r="B1780" t="s">
        <v>3133</v>
      </c>
      <c r="D1780" s="6">
        <v>1000</v>
      </c>
      <c r="G1780" s="7">
        <v>10.45</v>
      </c>
      <c r="H1780" s="4" t="s">
        <v>3127</v>
      </c>
      <c r="J1780" t="s">
        <v>101</v>
      </c>
    </row>
    <row r="1781" spans="1:10" x14ac:dyDescent="0.3">
      <c r="A1781" t="s">
        <v>3134</v>
      </c>
      <c r="B1781" t="s">
        <v>3135</v>
      </c>
      <c r="D1781" s="6">
        <v>1000</v>
      </c>
      <c r="G1781" s="7" t="s">
        <v>65</v>
      </c>
      <c r="H1781" s="4" t="s">
        <v>3136</v>
      </c>
      <c r="J1781" t="s">
        <v>49</v>
      </c>
    </row>
    <row r="1782" spans="1:10" x14ac:dyDescent="0.3">
      <c r="A1782" t="s">
        <v>3137</v>
      </c>
      <c r="B1782" t="s">
        <v>3138</v>
      </c>
      <c r="D1782" s="6">
        <v>1000</v>
      </c>
      <c r="G1782" s="7">
        <v>10.100000000000001</v>
      </c>
      <c r="H1782" s="4" t="s">
        <v>3136</v>
      </c>
      <c r="J1782" t="s">
        <v>101</v>
      </c>
    </row>
    <row r="1783" spans="1:10" x14ac:dyDescent="0.3">
      <c r="A1783" t="s">
        <v>3139</v>
      </c>
      <c r="B1783" t="s">
        <v>3140</v>
      </c>
      <c r="D1783" s="6">
        <v>1000</v>
      </c>
      <c r="G1783" s="7">
        <v>10.45</v>
      </c>
      <c r="H1783" s="4" t="s">
        <v>3127</v>
      </c>
      <c r="J1783" t="s">
        <v>101</v>
      </c>
    </row>
    <row r="1784" spans="1:10" x14ac:dyDescent="0.3">
      <c r="A1784" t="s">
        <v>3141</v>
      </c>
      <c r="B1784" t="s">
        <v>3142</v>
      </c>
      <c r="D1784" s="6">
        <v>1000</v>
      </c>
      <c r="G1784" s="7">
        <v>9.1999999999999993</v>
      </c>
      <c r="H1784" s="4" t="s">
        <v>1920</v>
      </c>
      <c r="J1784" t="s">
        <v>59</v>
      </c>
    </row>
    <row r="1785" spans="1:10" x14ac:dyDescent="0.3">
      <c r="A1785" t="s">
        <v>3143</v>
      </c>
      <c r="B1785" t="s">
        <v>3144</v>
      </c>
      <c r="D1785" s="6">
        <v>1000</v>
      </c>
      <c r="G1785" s="7">
        <v>9.6</v>
      </c>
      <c r="H1785" s="4" t="s">
        <v>1920</v>
      </c>
      <c r="J1785" t="s">
        <v>101</v>
      </c>
    </row>
    <row r="1786" spans="1:10" x14ac:dyDescent="0.3">
      <c r="A1786" t="s">
        <v>3145</v>
      </c>
      <c r="B1786" t="s">
        <v>3146</v>
      </c>
      <c r="D1786" s="6">
        <v>1000</v>
      </c>
      <c r="G1786" s="7" t="s">
        <v>65</v>
      </c>
      <c r="H1786" s="4" t="s">
        <v>1920</v>
      </c>
      <c r="J1786" t="s">
        <v>49</v>
      </c>
    </row>
    <row r="1787" spans="1:10" x14ac:dyDescent="0.3">
      <c r="A1787" t="s">
        <v>3147</v>
      </c>
      <c r="B1787" t="s">
        <v>3148</v>
      </c>
      <c r="D1787" s="6">
        <v>1000</v>
      </c>
      <c r="G1787" s="7">
        <v>9.67</v>
      </c>
      <c r="H1787" s="4" t="s">
        <v>3136</v>
      </c>
      <c r="J1787" t="s">
        <v>59</v>
      </c>
    </row>
    <row r="1788" spans="1:10" x14ac:dyDescent="0.3">
      <c r="A1788" t="s">
        <v>3149</v>
      </c>
      <c r="B1788" t="s">
        <v>3150</v>
      </c>
      <c r="D1788" s="6">
        <v>1000</v>
      </c>
      <c r="G1788" s="7">
        <v>10.100000000000001</v>
      </c>
      <c r="H1788" s="4" t="s">
        <v>3136</v>
      </c>
      <c r="J1788" t="s">
        <v>101</v>
      </c>
    </row>
    <row r="1789" spans="1:10" x14ac:dyDescent="0.3">
      <c r="A1789" t="s">
        <v>3151</v>
      </c>
      <c r="B1789" t="s">
        <v>3152</v>
      </c>
      <c r="D1789" s="6">
        <v>1000</v>
      </c>
      <c r="G1789" s="7">
        <v>9.5</v>
      </c>
      <c r="H1789" s="4" t="s">
        <v>3153</v>
      </c>
      <c r="J1789" t="s">
        <v>65</v>
      </c>
    </row>
    <row r="1790" spans="1:10" x14ac:dyDescent="0.3">
      <c r="A1790" t="s">
        <v>3154</v>
      </c>
      <c r="B1790" t="s">
        <v>3155</v>
      </c>
      <c r="D1790" s="6">
        <v>1000</v>
      </c>
      <c r="G1790" s="7" t="s">
        <v>65</v>
      </c>
      <c r="H1790" s="4" t="s">
        <v>3153</v>
      </c>
      <c r="J1790" t="s">
        <v>65</v>
      </c>
    </row>
    <row r="1791" spans="1:10" x14ac:dyDescent="0.3">
      <c r="A1791" t="s">
        <v>3156</v>
      </c>
      <c r="B1791" t="s">
        <v>3157</v>
      </c>
      <c r="D1791" s="6">
        <v>1000</v>
      </c>
      <c r="G1791" s="7">
        <v>9.5699999999999985</v>
      </c>
      <c r="H1791" s="4" t="s">
        <v>3158</v>
      </c>
      <c r="J1791" t="s">
        <v>65</v>
      </c>
    </row>
    <row r="1792" spans="1:10" x14ac:dyDescent="0.3">
      <c r="A1792" t="s">
        <v>3159</v>
      </c>
      <c r="B1792" t="s">
        <v>3160</v>
      </c>
      <c r="D1792" s="6">
        <v>1000</v>
      </c>
      <c r="G1792" s="7">
        <v>10</v>
      </c>
      <c r="H1792" s="4" t="s">
        <v>3158</v>
      </c>
      <c r="J1792" t="s">
        <v>65</v>
      </c>
    </row>
    <row r="1793" spans="1:10" x14ac:dyDescent="0.3">
      <c r="A1793" t="s">
        <v>3161</v>
      </c>
      <c r="B1793" t="s">
        <v>3162</v>
      </c>
      <c r="D1793" s="6">
        <v>1000</v>
      </c>
      <c r="G1793" s="7" t="s">
        <v>65</v>
      </c>
      <c r="H1793" s="4" t="s">
        <v>3158</v>
      </c>
      <c r="J1793" t="s">
        <v>65</v>
      </c>
    </row>
    <row r="1794" spans="1:10" x14ac:dyDescent="0.3">
      <c r="A1794" t="s">
        <v>3163</v>
      </c>
      <c r="B1794" t="s">
        <v>3164</v>
      </c>
      <c r="D1794" s="6">
        <v>1000</v>
      </c>
      <c r="G1794" s="7">
        <v>10.040000000000001</v>
      </c>
      <c r="H1794" s="4" t="s">
        <v>3165</v>
      </c>
      <c r="J1794" t="s">
        <v>65</v>
      </c>
    </row>
    <row r="1795" spans="1:10" x14ac:dyDescent="0.3">
      <c r="A1795" t="s">
        <v>3166</v>
      </c>
      <c r="B1795" t="s">
        <v>3167</v>
      </c>
      <c r="D1795" s="6">
        <v>1000</v>
      </c>
      <c r="G1795" s="7">
        <v>10.5</v>
      </c>
      <c r="H1795" s="4" t="s">
        <v>3165</v>
      </c>
      <c r="J1795" t="s">
        <v>65</v>
      </c>
    </row>
    <row r="1796" spans="1:10" x14ac:dyDescent="0.3">
      <c r="A1796" t="s">
        <v>3168</v>
      </c>
      <c r="B1796" t="s">
        <v>3169</v>
      </c>
      <c r="D1796" s="6">
        <v>1000</v>
      </c>
      <c r="G1796" s="7" t="s">
        <v>65</v>
      </c>
      <c r="H1796" s="4" t="s">
        <v>3165</v>
      </c>
      <c r="J1796" t="s">
        <v>65</v>
      </c>
    </row>
    <row r="1797" spans="1:10" x14ac:dyDescent="0.3">
      <c r="A1797" t="s">
        <v>3170</v>
      </c>
      <c r="B1797" t="s">
        <v>3171</v>
      </c>
      <c r="D1797" s="6">
        <v>1000</v>
      </c>
      <c r="G1797" s="7">
        <v>11</v>
      </c>
      <c r="H1797" s="4" t="s">
        <v>3172</v>
      </c>
      <c r="J1797" t="s">
        <v>65</v>
      </c>
    </row>
    <row r="1798" spans="1:10" x14ac:dyDescent="0.3">
      <c r="A1798" t="s">
        <v>3173</v>
      </c>
      <c r="B1798" t="s">
        <v>3174</v>
      </c>
      <c r="D1798" s="6">
        <v>1000</v>
      </c>
      <c r="G1798" s="7">
        <v>11</v>
      </c>
      <c r="H1798" s="4" t="s">
        <v>3172</v>
      </c>
      <c r="J1798" t="s">
        <v>65</v>
      </c>
    </row>
    <row r="1799" spans="1:10" x14ac:dyDescent="0.3">
      <c r="A1799" t="s">
        <v>3175</v>
      </c>
      <c r="B1799" t="s">
        <v>3176</v>
      </c>
      <c r="D1799" s="6">
        <v>1000</v>
      </c>
      <c r="G1799" s="7">
        <v>10.489999999999998</v>
      </c>
      <c r="H1799" s="4" t="s">
        <v>3172</v>
      </c>
      <c r="J1799" t="s">
        <v>65</v>
      </c>
    </row>
    <row r="1800" spans="1:10" x14ac:dyDescent="0.3">
      <c r="A1800" t="s">
        <v>3177</v>
      </c>
      <c r="B1800" t="s">
        <v>3178</v>
      </c>
      <c r="D1800" s="6">
        <v>1000</v>
      </c>
      <c r="G1800" s="7">
        <v>10.5</v>
      </c>
      <c r="H1800" s="4" t="s">
        <v>3165</v>
      </c>
      <c r="J1800" t="s">
        <v>65</v>
      </c>
    </row>
    <row r="1801" spans="1:10" x14ac:dyDescent="0.3">
      <c r="A1801" t="s">
        <v>3179</v>
      </c>
      <c r="B1801" t="s">
        <v>3180</v>
      </c>
      <c r="D1801" s="6">
        <v>1000</v>
      </c>
      <c r="G1801" s="7">
        <v>9.35</v>
      </c>
      <c r="H1801" s="4" t="s">
        <v>2159</v>
      </c>
      <c r="J1801" t="s">
        <v>59</v>
      </c>
    </row>
    <row r="1802" spans="1:10" x14ac:dyDescent="0.3">
      <c r="A1802" t="s">
        <v>3181</v>
      </c>
      <c r="B1802" t="s">
        <v>3182</v>
      </c>
      <c r="D1802" s="6">
        <v>1000</v>
      </c>
      <c r="G1802" s="7">
        <v>9.75</v>
      </c>
      <c r="H1802" s="4" t="s">
        <v>2159</v>
      </c>
      <c r="J1802" t="s">
        <v>62</v>
      </c>
    </row>
    <row r="1803" spans="1:10" x14ac:dyDescent="0.3">
      <c r="A1803" t="s">
        <v>3183</v>
      </c>
      <c r="B1803" t="s">
        <v>3184</v>
      </c>
      <c r="D1803" s="6">
        <v>1000</v>
      </c>
      <c r="G1803" s="7">
        <v>9.5</v>
      </c>
      <c r="H1803" s="4" t="s">
        <v>3185</v>
      </c>
      <c r="J1803" t="s">
        <v>59</v>
      </c>
    </row>
    <row r="1804" spans="1:10" x14ac:dyDescent="0.3">
      <c r="A1804" t="s">
        <v>3186</v>
      </c>
      <c r="B1804" t="s">
        <v>3187</v>
      </c>
      <c r="D1804" s="6">
        <v>1000</v>
      </c>
      <c r="G1804" s="7">
        <v>10</v>
      </c>
      <c r="H1804" s="4" t="s">
        <v>3185</v>
      </c>
      <c r="J1804" t="s">
        <v>62</v>
      </c>
    </row>
    <row r="1805" spans="1:10" x14ac:dyDescent="0.3">
      <c r="A1805" t="s">
        <v>3188</v>
      </c>
      <c r="B1805" t="s">
        <v>3189</v>
      </c>
      <c r="D1805" s="6">
        <v>1000</v>
      </c>
      <c r="G1805" s="7" t="s">
        <v>65</v>
      </c>
      <c r="H1805" s="4" t="s">
        <v>3185</v>
      </c>
      <c r="J1805" t="s">
        <v>49</v>
      </c>
    </row>
    <row r="1806" spans="1:10" x14ac:dyDescent="0.3">
      <c r="A1806" t="s">
        <v>3190</v>
      </c>
      <c r="B1806" t="s">
        <v>3191</v>
      </c>
      <c r="D1806" s="6">
        <v>1000</v>
      </c>
      <c r="G1806" s="7">
        <v>9.25</v>
      </c>
      <c r="H1806" s="4" t="s">
        <v>2269</v>
      </c>
      <c r="J1806" t="s">
        <v>59</v>
      </c>
    </row>
    <row r="1807" spans="1:10" x14ac:dyDescent="0.3">
      <c r="A1807" t="s">
        <v>3192</v>
      </c>
      <c r="B1807" t="s">
        <v>3193</v>
      </c>
      <c r="D1807" s="6">
        <v>1000</v>
      </c>
      <c r="G1807" s="7">
        <v>9.75</v>
      </c>
      <c r="H1807" s="4" t="s">
        <v>2269</v>
      </c>
      <c r="J1807" t="s">
        <v>62</v>
      </c>
    </row>
    <row r="1808" spans="1:10" x14ac:dyDescent="0.3">
      <c r="A1808" t="s">
        <v>3194</v>
      </c>
      <c r="B1808" t="s">
        <v>3195</v>
      </c>
      <c r="D1808" s="6">
        <v>1000</v>
      </c>
      <c r="G1808" s="7" t="s">
        <v>65</v>
      </c>
      <c r="H1808" s="4" t="s">
        <v>2269</v>
      </c>
      <c r="J1808" t="s">
        <v>49</v>
      </c>
    </row>
    <row r="1809" spans="1:10" x14ac:dyDescent="0.3">
      <c r="A1809" t="s">
        <v>3196</v>
      </c>
      <c r="B1809" t="s">
        <v>3197</v>
      </c>
      <c r="D1809" s="6">
        <v>1000</v>
      </c>
      <c r="G1809" s="7">
        <v>9.15</v>
      </c>
      <c r="H1809" s="4" t="s">
        <v>3198</v>
      </c>
      <c r="J1809" t="s">
        <v>59</v>
      </c>
    </row>
    <row r="1810" spans="1:10" x14ac:dyDescent="0.3">
      <c r="A1810" t="s">
        <v>3199</v>
      </c>
      <c r="B1810" t="s">
        <v>3200</v>
      </c>
      <c r="D1810" s="6">
        <v>1000</v>
      </c>
      <c r="G1810" s="7">
        <v>9.6</v>
      </c>
      <c r="H1810" s="4" t="s">
        <v>3198</v>
      </c>
      <c r="J1810" t="s">
        <v>62</v>
      </c>
    </row>
    <row r="1811" spans="1:10" x14ac:dyDescent="0.3">
      <c r="A1811" t="s">
        <v>3201</v>
      </c>
      <c r="B1811" t="s">
        <v>3202</v>
      </c>
      <c r="D1811" s="6">
        <v>1000</v>
      </c>
      <c r="G1811" s="7" t="s">
        <v>65</v>
      </c>
      <c r="H1811" s="4" t="s">
        <v>3198</v>
      </c>
      <c r="J1811" t="s">
        <v>49</v>
      </c>
    </row>
    <row r="1812" spans="1:10" x14ac:dyDescent="0.3">
      <c r="A1812" t="s">
        <v>3203</v>
      </c>
      <c r="B1812" t="s">
        <v>3204</v>
      </c>
      <c r="D1812" s="6">
        <v>1000</v>
      </c>
      <c r="G1812" s="7">
        <v>8.75</v>
      </c>
      <c r="H1812" s="4" t="s">
        <v>3103</v>
      </c>
      <c r="J1812" t="s">
        <v>59</v>
      </c>
    </row>
    <row r="1813" spans="1:10" x14ac:dyDescent="0.3">
      <c r="A1813" t="s">
        <v>3205</v>
      </c>
      <c r="B1813" t="s">
        <v>3206</v>
      </c>
      <c r="D1813" s="6">
        <v>1000</v>
      </c>
      <c r="G1813" s="7" t="s">
        <v>65</v>
      </c>
      <c r="H1813" s="4" t="s">
        <v>3103</v>
      </c>
      <c r="J1813" t="s">
        <v>49</v>
      </c>
    </row>
    <row r="1814" spans="1:10" x14ac:dyDescent="0.3">
      <c r="A1814" t="s">
        <v>3207</v>
      </c>
      <c r="B1814" t="s">
        <v>3208</v>
      </c>
      <c r="D1814" s="6">
        <v>1000</v>
      </c>
      <c r="G1814" s="7">
        <v>8.75</v>
      </c>
      <c r="H1814" s="4" t="s">
        <v>420</v>
      </c>
      <c r="J1814" t="s">
        <v>59</v>
      </c>
    </row>
    <row r="1815" spans="1:10" x14ac:dyDescent="0.3">
      <c r="A1815" t="s">
        <v>3209</v>
      </c>
      <c r="B1815" t="s">
        <v>3210</v>
      </c>
      <c r="D1815" s="6">
        <v>1000</v>
      </c>
      <c r="G1815" s="7" t="s">
        <v>65</v>
      </c>
      <c r="H1815" s="4" t="s">
        <v>420</v>
      </c>
      <c r="J1815" t="s">
        <v>49</v>
      </c>
    </row>
    <row r="1816" spans="1:10" x14ac:dyDescent="0.3">
      <c r="A1816" t="s">
        <v>3211</v>
      </c>
      <c r="B1816" t="s">
        <v>3212</v>
      </c>
      <c r="D1816" s="6">
        <v>1000</v>
      </c>
      <c r="G1816" s="7">
        <v>8.75</v>
      </c>
      <c r="H1816" s="4" t="s">
        <v>3213</v>
      </c>
      <c r="J1816" t="s">
        <v>59</v>
      </c>
    </row>
    <row r="1817" spans="1:10" x14ac:dyDescent="0.3">
      <c r="A1817" t="s">
        <v>3214</v>
      </c>
      <c r="B1817" t="s">
        <v>3215</v>
      </c>
      <c r="D1817" s="6">
        <v>1000</v>
      </c>
      <c r="G1817" s="7" t="s">
        <v>65</v>
      </c>
      <c r="H1817" s="4" t="s">
        <v>3213</v>
      </c>
      <c r="J1817" t="s">
        <v>49</v>
      </c>
    </row>
    <row r="1818" spans="1:10" x14ac:dyDescent="0.3">
      <c r="A1818" t="s">
        <v>3216</v>
      </c>
      <c r="B1818" t="s">
        <v>3217</v>
      </c>
      <c r="D1818" s="6">
        <v>1000</v>
      </c>
      <c r="G1818" s="7">
        <v>8.5</v>
      </c>
      <c r="H1818" s="4" t="s">
        <v>1281</v>
      </c>
      <c r="J1818" t="s">
        <v>59</v>
      </c>
    </row>
    <row r="1819" spans="1:10" x14ac:dyDescent="0.3">
      <c r="A1819" t="s">
        <v>3218</v>
      </c>
      <c r="B1819" t="s">
        <v>3219</v>
      </c>
      <c r="D1819" s="6">
        <v>1000</v>
      </c>
      <c r="G1819" s="7">
        <v>8.75</v>
      </c>
      <c r="H1819" s="4" t="s">
        <v>3220</v>
      </c>
      <c r="J1819" t="s">
        <v>59</v>
      </c>
    </row>
    <row r="1820" spans="1:10" x14ac:dyDescent="0.3">
      <c r="A1820" t="s">
        <v>3221</v>
      </c>
      <c r="B1820" t="s">
        <v>3222</v>
      </c>
      <c r="D1820" s="6">
        <v>1000</v>
      </c>
      <c r="G1820" s="7" t="s">
        <v>65</v>
      </c>
      <c r="H1820" s="4" t="s">
        <v>1281</v>
      </c>
      <c r="J1820" t="s">
        <v>49</v>
      </c>
    </row>
    <row r="1821" spans="1:10" x14ac:dyDescent="0.3">
      <c r="A1821" t="s">
        <v>3223</v>
      </c>
      <c r="B1821" t="s">
        <v>3224</v>
      </c>
      <c r="D1821" s="6">
        <v>1000</v>
      </c>
      <c r="G1821" s="7" t="s">
        <v>65</v>
      </c>
      <c r="H1821" s="4" t="s">
        <v>3220</v>
      </c>
      <c r="J1821" t="s">
        <v>49</v>
      </c>
    </row>
    <row r="1822" spans="1:10" x14ac:dyDescent="0.3">
      <c r="A1822" t="s">
        <v>3225</v>
      </c>
      <c r="B1822" t="s">
        <v>3226</v>
      </c>
      <c r="D1822" s="6">
        <v>1000</v>
      </c>
      <c r="G1822" s="7">
        <v>8.25</v>
      </c>
      <c r="H1822" s="4" t="s">
        <v>3227</v>
      </c>
      <c r="J1822" t="s">
        <v>59</v>
      </c>
    </row>
    <row r="1823" spans="1:10" x14ac:dyDescent="0.3">
      <c r="A1823" t="s">
        <v>3228</v>
      </c>
      <c r="B1823" t="s">
        <v>3229</v>
      </c>
      <c r="D1823" s="6">
        <v>1000</v>
      </c>
      <c r="G1823" s="7">
        <v>8.5</v>
      </c>
      <c r="H1823" s="4" t="s">
        <v>3230</v>
      </c>
      <c r="J1823" t="s">
        <v>59</v>
      </c>
    </row>
    <row r="1824" spans="1:10" x14ac:dyDescent="0.3">
      <c r="A1824" t="s">
        <v>3231</v>
      </c>
      <c r="B1824" t="s">
        <v>3232</v>
      </c>
      <c r="D1824" s="6">
        <v>1000</v>
      </c>
      <c r="G1824" s="7">
        <v>8.75</v>
      </c>
      <c r="H1824" s="4" t="s">
        <v>1775</v>
      </c>
      <c r="J1824" t="s">
        <v>59</v>
      </c>
    </row>
    <row r="1825" spans="1:10" x14ac:dyDescent="0.3">
      <c r="A1825" t="s">
        <v>3233</v>
      </c>
      <c r="B1825" t="s">
        <v>3234</v>
      </c>
      <c r="D1825" s="6">
        <v>1000</v>
      </c>
      <c r="G1825" s="7">
        <v>9</v>
      </c>
      <c r="H1825" s="4" t="s">
        <v>3235</v>
      </c>
      <c r="J1825" t="s">
        <v>59</v>
      </c>
    </row>
    <row r="1826" spans="1:10" x14ac:dyDescent="0.3">
      <c r="A1826" t="s">
        <v>3236</v>
      </c>
      <c r="B1826" t="s">
        <v>3237</v>
      </c>
      <c r="D1826" s="6">
        <v>1000</v>
      </c>
      <c r="G1826" s="7" t="s">
        <v>65</v>
      </c>
      <c r="H1826" s="4" t="s">
        <v>3227</v>
      </c>
      <c r="J1826" t="s">
        <v>49</v>
      </c>
    </row>
    <row r="1827" spans="1:10" x14ac:dyDescent="0.3">
      <c r="A1827" t="s">
        <v>3238</v>
      </c>
      <c r="B1827" t="s">
        <v>3239</v>
      </c>
      <c r="D1827" s="6">
        <v>1000</v>
      </c>
      <c r="G1827" s="7" t="s">
        <v>65</v>
      </c>
      <c r="H1827" s="4" t="s">
        <v>3230</v>
      </c>
      <c r="J1827" t="s">
        <v>49</v>
      </c>
    </row>
    <row r="1828" spans="1:10" x14ac:dyDescent="0.3">
      <c r="A1828" t="s">
        <v>3240</v>
      </c>
      <c r="B1828" t="s">
        <v>3241</v>
      </c>
      <c r="D1828" s="6">
        <v>1000</v>
      </c>
      <c r="G1828" s="7" t="s">
        <v>65</v>
      </c>
      <c r="H1828" s="4" t="s">
        <v>1775</v>
      </c>
      <c r="J1828" t="s">
        <v>49</v>
      </c>
    </row>
    <row r="1829" spans="1:10" x14ac:dyDescent="0.3">
      <c r="A1829" t="s">
        <v>3242</v>
      </c>
      <c r="B1829" t="s">
        <v>3243</v>
      </c>
      <c r="D1829" s="6">
        <v>1000</v>
      </c>
      <c r="G1829" s="7" t="s">
        <v>65</v>
      </c>
      <c r="H1829" s="4" t="s">
        <v>3235</v>
      </c>
      <c r="J1829" t="s">
        <v>49</v>
      </c>
    </row>
    <row r="1830" spans="1:10" x14ac:dyDescent="0.3">
      <c r="A1830" t="s">
        <v>3244</v>
      </c>
      <c r="B1830" t="s">
        <v>3245</v>
      </c>
      <c r="D1830" s="6">
        <v>1000</v>
      </c>
      <c r="G1830" s="7" t="s">
        <v>65</v>
      </c>
      <c r="H1830" s="4" t="s">
        <v>3246</v>
      </c>
      <c r="J1830" t="s">
        <v>49</v>
      </c>
    </row>
    <row r="1831" spans="1:10" x14ac:dyDescent="0.3">
      <c r="A1831" t="s">
        <v>3247</v>
      </c>
      <c r="B1831" t="s">
        <v>3248</v>
      </c>
      <c r="D1831" s="6">
        <v>1000</v>
      </c>
      <c r="G1831" s="7" t="s">
        <v>65</v>
      </c>
      <c r="H1831" s="4" t="s">
        <v>3249</v>
      </c>
      <c r="J1831" t="s">
        <v>49</v>
      </c>
    </row>
    <row r="1832" spans="1:10" x14ac:dyDescent="0.3">
      <c r="A1832" t="s">
        <v>3250</v>
      </c>
      <c r="B1832" t="s">
        <v>3251</v>
      </c>
      <c r="D1832" s="6">
        <v>1000</v>
      </c>
      <c r="G1832" s="7" t="s">
        <v>65</v>
      </c>
      <c r="H1832" s="4" t="s">
        <v>318</v>
      </c>
      <c r="J1832" t="s">
        <v>49</v>
      </c>
    </row>
    <row r="1833" spans="1:10" x14ac:dyDescent="0.3">
      <c r="A1833" t="s">
        <v>3252</v>
      </c>
      <c r="B1833" t="s">
        <v>3253</v>
      </c>
      <c r="D1833" s="6">
        <v>1000</v>
      </c>
      <c r="G1833" s="7" t="s">
        <v>65</v>
      </c>
      <c r="H1833" s="4" t="s">
        <v>3254</v>
      </c>
      <c r="J1833" t="s">
        <v>49</v>
      </c>
    </row>
    <row r="1834" spans="1:10" x14ac:dyDescent="0.3">
      <c r="A1834" t="s">
        <v>3255</v>
      </c>
      <c r="B1834" t="s">
        <v>3256</v>
      </c>
      <c r="D1834" s="6">
        <v>1000</v>
      </c>
      <c r="G1834" s="7">
        <v>8.35</v>
      </c>
      <c r="H1834" s="4" t="s">
        <v>3249</v>
      </c>
      <c r="J1834" t="s">
        <v>59</v>
      </c>
    </row>
    <row r="1835" spans="1:10" x14ac:dyDescent="0.3">
      <c r="A1835" t="s">
        <v>3257</v>
      </c>
      <c r="B1835" t="s">
        <v>3258</v>
      </c>
      <c r="D1835" s="6">
        <v>1000</v>
      </c>
      <c r="G1835" s="7">
        <v>8.25</v>
      </c>
      <c r="H1835" s="4" t="s">
        <v>318</v>
      </c>
      <c r="J1835" t="s">
        <v>59</v>
      </c>
    </row>
    <row r="1836" spans="1:10" x14ac:dyDescent="0.3">
      <c r="A1836" t="s">
        <v>3259</v>
      </c>
      <c r="B1836" t="s">
        <v>3260</v>
      </c>
      <c r="D1836" s="6">
        <v>1000</v>
      </c>
      <c r="G1836" s="7">
        <v>8</v>
      </c>
      <c r="H1836" s="4" t="s">
        <v>3254</v>
      </c>
      <c r="J1836" t="s">
        <v>59</v>
      </c>
    </row>
    <row r="1837" spans="1:10" x14ac:dyDescent="0.3">
      <c r="A1837" t="s">
        <v>3261</v>
      </c>
      <c r="B1837" t="s">
        <v>3262</v>
      </c>
      <c r="D1837" s="6">
        <v>1000</v>
      </c>
      <c r="G1837" s="7" t="s">
        <v>65</v>
      </c>
      <c r="H1837" s="4" t="s">
        <v>3263</v>
      </c>
      <c r="J1837" t="s">
        <v>49</v>
      </c>
    </row>
    <row r="1838" spans="1:10" x14ac:dyDescent="0.3">
      <c r="A1838" t="s">
        <v>3264</v>
      </c>
      <c r="B1838" t="s">
        <v>3265</v>
      </c>
      <c r="D1838" s="6">
        <v>1000</v>
      </c>
      <c r="G1838" s="7" t="s">
        <v>65</v>
      </c>
      <c r="H1838" s="4" t="s">
        <v>2018</v>
      </c>
      <c r="J1838" t="s">
        <v>49</v>
      </c>
    </row>
    <row r="1839" spans="1:10" x14ac:dyDescent="0.3">
      <c r="A1839" t="s">
        <v>3266</v>
      </c>
      <c r="B1839" t="s">
        <v>3267</v>
      </c>
      <c r="D1839" s="6">
        <v>1000</v>
      </c>
      <c r="G1839" s="7">
        <v>8.6999999999999993</v>
      </c>
      <c r="H1839" s="4" t="s">
        <v>3230</v>
      </c>
      <c r="J1839" t="s">
        <v>62</v>
      </c>
    </row>
    <row r="1840" spans="1:10" x14ac:dyDescent="0.3">
      <c r="A1840" t="s">
        <v>3268</v>
      </c>
      <c r="B1840" t="s">
        <v>3269</v>
      </c>
      <c r="D1840" s="6">
        <v>1000</v>
      </c>
      <c r="G1840" s="7">
        <v>8.25</v>
      </c>
      <c r="H1840" s="4" t="s">
        <v>3263</v>
      </c>
      <c r="J1840" t="s">
        <v>59</v>
      </c>
    </row>
    <row r="1841" spans="1:10" x14ac:dyDescent="0.3">
      <c r="A1841" t="s">
        <v>3270</v>
      </c>
      <c r="B1841" t="s">
        <v>3271</v>
      </c>
      <c r="D1841" s="6">
        <v>1000</v>
      </c>
      <c r="G1841" s="7">
        <v>8.5</v>
      </c>
      <c r="H1841" s="4" t="s">
        <v>1775</v>
      </c>
      <c r="J1841" t="s">
        <v>59</v>
      </c>
    </row>
    <row r="1842" spans="1:10" x14ac:dyDescent="0.3">
      <c r="A1842" t="s">
        <v>3272</v>
      </c>
      <c r="B1842" t="s">
        <v>3273</v>
      </c>
      <c r="D1842" s="6">
        <v>1000</v>
      </c>
      <c r="G1842" s="7">
        <v>8.1</v>
      </c>
      <c r="H1842" s="4" t="s">
        <v>2018</v>
      </c>
      <c r="J1842" t="s">
        <v>59</v>
      </c>
    </row>
    <row r="1843" spans="1:10" x14ac:dyDescent="0.3">
      <c r="A1843" t="s">
        <v>3274</v>
      </c>
      <c r="B1843" t="s">
        <v>3275</v>
      </c>
      <c r="D1843" s="6">
        <v>1000</v>
      </c>
      <c r="G1843" s="7">
        <v>8.7999999999999989</v>
      </c>
      <c r="H1843" s="4" t="s">
        <v>1775</v>
      </c>
      <c r="J1843" t="s">
        <v>62</v>
      </c>
    </row>
    <row r="1844" spans="1:10" x14ac:dyDescent="0.3">
      <c r="A1844" t="s">
        <v>3276</v>
      </c>
      <c r="B1844" t="s">
        <v>3277</v>
      </c>
      <c r="D1844" s="6">
        <v>1000</v>
      </c>
      <c r="G1844" s="7">
        <v>8.4</v>
      </c>
      <c r="H1844" s="4" t="s">
        <v>3230</v>
      </c>
      <c r="J1844" t="s">
        <v>59</v>
      </c>
    </row>
    <row r="1845" spans="1:10" x14ac:dyDescent="0.3">
      <c r="A1845" t="s">
        <v>3278</v>
      </c>
      <c r="B1845" t="s">
        <v>3279</v>
      </c>
      <c r="D1845" s="6">
        <v>1000</v>
      </c>
      <c r="G1845" s="7" t="s">
        <v>65</v>
      </c>
      <c r="H1845" s="4" t="s">
        <v>3280</v>
      </c>
      <c r="J1845" t="s">
        <v>49</v>
      </c>
    </row>
    <row r="1846" spans="1:10" x14ac:dyDescent="0.3">
      <c r="A1846" t="s">
        <v>3281</v>
      </c>
      <c r="B1846" t="s">
        <v>3282</v>
      </c>
      <c r="D1846" s="6">
        <v>1000</v>
      </c>
      <c r="G1846" s="7" t="s">
        <v>65</v>
      </c>
      <c r="H1846" s="4" t="s">
        <v>519</v>
      </c>
      <c r="J1846" t="s">
        <v>49</v>
      </c>
    </row>
    <row r="1847" spans="1:10" x14ac:dyDescent="0.3">
      <c r="A1847" t="s">
        <v>3283</v>
      </c>
      <c r="B1847" t="s">
        <v>3284</v>
      </c>
      <c r="D1847" s="6">
        <v>1000</v>
      </c>
      <c r="G1847" s="7" t="s">
        <v>65</v>
      </c>
      <c r="H1847" s="4" t="s">
        <v>3285</v>
      </c>
      <c r="J1847" t="s">
        <v>49</v>
      </c>
    </row>
    <row r="1848" spans="1:10" x14ac:dyDescent="0.3">
      <c r="A1848" t="s">
        <v>3286</v>
      </c>
      <c r="B1848" t="s">
        <v>3287</v>
      </c>
      <c r="D1848" s="6">
        <v>1000</v>
      </c>
      <c r="G1848" s="7">
        <v>9.15</v>
      </c>
      <c r="H1848" s="4" t="s">
        <v>911</v>
      </c>
      <c r="J1848" t="s">
        <v>62</v>
      </c>
    </row>
    <row r="1849" spans="1:10" x14ac:dyDescent="0.3">
      <c r="A1849" t="s">
        <v>3288</v>
      </c>
      <c r="B1849" t="s">
        <v>3289</v>
      </c>
      <c r="D1849" s="6">
        <v>1000</v>
      </c>
      <c r="G1849" s="7">
        <v>9</v>
      </c>
      <c r="H1849" s="4" t="s">
        <v>3280</v>
      </c>
      <c r="J1849" t="s">
        <v>59</v>
      </c>
    </row>
    <row r="1850" spans="1:10" x14ac:dyDescent="0.3">
      <c r="A1850" t="s">
        <v>3290</v>
      </c>
      <c r="B1850" t="s">
        <v>3291</v>
      </c>
      <c r="D1850" s="6">
        <v>1000</v>
      </c>
      <c r="G1850" s="7">
        <v>8.7999999999999989</v>
      </c>
      <c r="H1850" s="4" t="s">
        <v>911</v>
      </c>
      <c r="J1850" t="s">
        <v>59</v>
      </c>
    </row>
    <row r="1851" spans="1:10" x14ac:dyDescent="0.3">
      <c r="A1851" t="s">
        <v>3292</v>
      </c>
      <c r="B1851" t="s">
        <v>3293</v>
      </c>
      <c r="D1851" s="6">
        <v>1000</v>
      </c>
      <c r="G1851" s="7">
        <v>8.6499999999999986</v>
      </c>
      <c r="H1851" s="4" t="s">
        <v>519</v>
      </c>
      <c r="J1851" t="s">
        <v>59</v>
      </c>
    </row>
    <row r="1852" spans="1:10" x14ac:dyDescent="0.3">
      <c r="A1852" t="s">
        <v>3294</v>
      </c>
      <c r="B1852" t="s">
        <v>3295</v>
      </c>
      <c r="D1852" s="6">
        <v>1000</v>
      </c>
      <c r="G1852" s="7">
        <v>8.4</v>
      </c>
      <c r="H1852" s="4" t="s">
        <v>3285</v>
      </c>
      <c r="J1852" t="s">
        <v>59</v>
      </c>
    </row>
    <row r="1853" spans="1:10" x14ac:dyDescent="0.3">
      <c r="A1853" t="s">
        <v>3296</v>
      </c>
      <c r="B1853" t="s">
        <v>3297</v>
      </c>
      <c r="D1853" s="6">
        <v>1000</v>
      </c>
      <c r="G1853" s="7" t="s">
        <v>65</v>
      </c>
      <c r="H1853" s="4" t="s">
        <v>3298</v>
      </c>
      <c r="J1853" t="s">
        <v>49</v>
      </c>
    </row>
    <row r="1854" spans="1:10" x14ac:dyDescent="0.3">
      <c r="A1854" t="s">
        <v>3299</v>
      </c>
      <c r="B1854" t="s">
        <v>3300</v>
      </c>
      <c r="D1854" s="6">
        <v>1000</v>
      </c>
      <c r="G1854" s="7">
        <v>8.6499999999999986</v>
      </c>
      <c r="H1854" s="4" t="s">
        <v>3301</v>
      </c>
      <c r="J1854" t="s">
        <v>59</v>
      </c>
    </row>
    <row r="1855" spans="1:10" x14ac:dyDescent="0.3">
      <c r="A1855" t="s">
        <v>3302</v>
      </c>
      <c r="B1855" t="s">
        <v>3303</v>
      </c>
      <c r="D1855" s="6">
        <v>1000</v>
      </c>
      <c r="G1855" s="7" t="s">
        <v>65</v>
      </c>
      <c r="H1855" s="4" t="s">
        <v>3304</v>
      </c>
      <c r="J1855" t="s">
        <v>49</v>
      </c>
    </row>
    <row r="1856" spans="1:10" x14ac:dyDescent="0.3">
      <c r="A1856" t="s">
        <v>3305</v>
      </c>
      <c r="B1856" t="s">
        <v>3306</v>
      </c>
      <c r="D1856" s="6">
        <v>1000</v>
      </c>
      <c r="G1856" s="7" t="s">
        <v>65</v>
      </c>
      <c r="H1856" s="4" t="s">
        <v>3301</v>
      </c>
      <c r="J1856" t="s">
        <v>49</v>
      </c>
    </row>
    <row r="1857" spans="1:10" x14ac:dyDescent="0.3">
      <c r="A1857" t="s">
        <v>3307</v>
      </c>
      <c r="B1857" t="s">
        <v>3308</v>
      </c>
      <c r="D1857" s="6">
        <v>1000</v>
      </c>
      <c r="G1857" s="7">
        <v>9.44</v>
      </c>
      <c r="H1857" s="4" t="s">
        <v>3309</v>
      </c>
      <c r="J1857" t="s">
        <v>62</v>
      </c>
    </row>
    <row r="1858" spans="1:10" x14ac:dyDescent="0.3">
      <c r="A1858" t="s">
        <v>3310</v>
      </c>
      <c r="B1858" t="s">
        <v>3311</v>
      </c>
      <c r="D1858" s="6">
        <v>1000</v>
      </c>
      <c r="G1858" s="7" t="s">
        <v>65</v>
      </c>
      <c r="H1858" s="4" t="s">
        <v>3309</v>
      </c>
      <c r="J1858" t="s">
        <v>49</v>
      </c>
    </row>
    <row r="1859" spans="1:10" x14ac:dyDescent="0.3">
      <c r="A1859" t="s">
        <v>3312</v>
      </c>
      <c r="B1859" t="s">
        <v>3313</v>
      </c>
      <c r="D1859" s="6">
        <v>1000</v>
      </c>
      <c r="G1859" s="7">
        <v>9.27</v>
      </c>
      <c r="H1859" s="4" t="s">
        <v>3304</v>
      </c>
      <c r="J1859" t="s">
        <v>62</v>
      </c>
    </row>
    <row r="1860" spans="1:10" x14ac:dyDescent="0.3">
      <c r="A1860" t="s">
        <v>3314</v>
      </c>
      <c r="B1860" t="s">
        <v>3315</v>
      </c>
      <c r="D1860" s="6">
        <v>1000</v>
      </c>
      <c r="G1860" s="7">
        <v>9</v>
      </c>
      <c r="H1860" s="4" t="s">
        <v>3301</v>
      </c>
      <c r="J1860" t="s">
        <v>62</v>
      </c>
    </row>
    <row r="1861" spans="1:10" x14ac:dyDescent="0.3">
      <c r="A1861" t="s">
        <v>3316</v>
      </c>
      <c r="B1861" t="s">
        <v>3317</v>
      </c>
      <c r="D1861" s="6">
        <v>1000</v>
      </c>
      <c r="G1861" s="7">
        <v>9.0499999999999989</v>
      </c>
      <c r="H1861" s="4" t="s">
        <v>3309</v>
      </c>
      <c r="J1861" t="s">
        <v>59</v>
      </c>
    </row>
    <row r="1862" spans="1:10" x14ac:dyDescent="0.3">
      <c r="A1862" t="s">
        <v>3318</v>
      </c>
      <c r="B1862" t="s">
        <v>3319</v>
      </c>
      <c r="D1862" s="6">
        <v>1000</v>
      </c>
      <c r="G1862" s="7">
        <v>8.9</v>
      </c>
      <c r="H1862" s="4" t="s">
        <v>3304</v>
      </c>
      <c r="J1862" t="s">
        <v>59</v>
      </c>
    </row>
    <row r="1863" spans="1:10" x14ac:dyDescent="0.3">
      <c r="A1863" t="s">
        <v>3320</v>
      </c>
      <c r="B1863" t="s">
        <v>3321</v>
      </c>
      <c r="D1863" s="6">
        <v>1000</v>
      </c>
      <c r="G1863" s="7">
        <v>8.6499999999999986</v>
      </c>
      <c r="H1863" s="4" t="s">
        <v>516</v>
      </c>
      <c r="J1863" t="s">
        <v>59</v>
      </c>
    </row>
    <row r="1864" spans="1:10" x14ac:dyDescent="0.3">
      <c r="A1864" t="s">
        <v>3322</v>
      </c>
      <c r="B1864" t="s">
        <v>3323</v>
      </c>
      <c r="D1864" s="6">
        <v>1000</v>
      </c>
      <c r="G1864" s="7">
        <v>8.9</v>
      </c>
      <c r="H1864" s="4" t="s">
        <v>3324</v>
      </c>
      <c r="J1864" t="s">
        <v>59</v>
      </c>
    </row>
    <row r="1865" spans="1:10" x14ac:dyDescent="0.3">
      <c r="A1865" t="s">
        <v>3325</v>
      </c>
      <c r="B1865" t="s">
        <v>3326</v>
      </c>
      <c r="D1865" s="6">
        <v>1000</v>
      </c>
      <c r="G1865" s="7">
        <v>9.0499999999999989</v>
      </c>
      <c r="H1865" s="4" t="s">
        <v>3327</v>
      </c>
      <c r="J1865" t="s">
        <v>59</v>
      </c>
    </row>
    <row r="1866" spans="1:10" x14ac:dyDescent="0.3">
      <c r="A1866" t="s">
        <v>3328</v>
      </c>
      <c r="B1866" t="s">
        <v>3329</v>
      </c>
      <c r="D1866" s="6">
        <v>1000</v>
      </c>
      <c r="G1866" s="7">
        <v>9</v>
      </c>
      <c r="H1866" s="4" t="s">
        <v>516</v>
      </c>
      <c r="J1866" t="s">
        <v>62</v>
      </c>
    </row>
    <row r="1867" spans="1:10" x14ac:dyDescent="0.3">
      <c r="A1867" t="s">
        <v>3330</v>
      </c>
      <c r="B1867" t="s">
        <v>3331</v>
      </c>
      <c r="D1867" s="6">
        <v>1000</v>
      </c>
      <c r="G1867" s="7">
        <v>9.27</v>
      </c>
      <c r="H1867" s="4" t="s">
        <v>3324</v>
      </c>
      <c r="J1867" t="s">
        <v>62</v>
      </c>
    </row>
    <row r="1868" spans="1:10" x14ac:dyDescent="0.3">
      <c r="A1868" t="s">
        <v>3332</v>
      </c>
      <c r="B1868" t="s">
        <v>3333</v>
      </c>
      <c r="D1868" s="6">
        <v>1000</v>
      </c>
      <c r="G1868" s="7">
        <v>9.44</v>
      </c>
      <c r="H1868" s="4" t="s">
        <v>3327</v>
      </c>
      <c r="J1868" t="s">
        <v>62</v>
      </c>
    </row>
    <row r="1869" spans="1:10" x14ac:dyDescent="0.3">
      <c r="A1869" t="s">
        <v>3334</v>
      </c>
      <c r="B1869" t="s">
        <v>3335</v>
      </c>
      <c r="D1869" s="6">
        <v>1000</v>
      </c>
      <c r="G1869" s="7" t="s">
        <v>65</v>
      </c>
      <c r="H1869" s="4" t="s">
        <v>516</v>
      </c>
      <c r="J1869" t="s">
        <v>49</v>
      </c>
    </row>
    <row r="1870" spans="1:10" x14ac:dyDescent="0.3">
      <c r="A1870" t="s">
        <v>3336</v>
      </c>
      <c r="B1870" t="s">
        <v>3337</v>
      </c>
      <c r="D1870" s="6">
        <v>1000</v>
      </c>
      <c r="G1870" s="7" t="s">
        <v>65</v>
      </c>
      <c r="H1870" s="4" t="s">
        <v>3324</v>
      </c>
      <c r="J1870" t="s">
        <v>49</v>
      </c>
    </row>
    <row r="1871" spans="1:10" x14ac:dyDescent="0.3">
      <c r="A1871" t="s">
        <v>3338</v>
      </c>
      <c r="B1871" t="s">
        <v>3339</v>
      </c>
      <c r="D1871" s="6">
        <v>1000</v>
      </c>
      <c r="G1871" s="7" t="s">
        <v>65</v>
      </c>
      <c r="H1871" s="4" t="s">
        <v>3327</v>
      </c>
      <c r="J1871" t="s">
        <v>49</v>
      </c>
    </row>
    <row r="1872" spans="1:10" x14ac:dyDescent="0.3">
      <c r="A1872" t="s">
        <v>3340</v>
      </c>
      <c r="B1872" t="s">
        <v>3341</v>
      </c>
      <c r="D1872" s="6">
        <v>1000</v>
      </c>
      <c r="G1872" s="7" t="s">
        <v>65</v>
      </c>
      <c r="H1872" s="4" t="s">
        <v>3342</v>
      </c>
      <c r="J1872" t="s">
        <v>49</v>
      </c>
    </row>
    <row r="1873" spans="1:10" x14ac:dyDescent="0.3">
      <c r="A1873" t="s">
        <v>3343</v>
      </c>
      <c r="B1873" t="s">
        <v>3344</v>
      </c>
      <c r="D1873" s="6">
        <v>1000</v>
      </c>
      <c r="G1873" s="7" t="s">
        <v>65</v>
      </c>
      <c r="H1873" s="4" t="s">
        <v>3345</v>
      </c>
      <c r="J1873" t="s">
        <v>49</v>
      </c>
    </row>
    <row r="1874" spans="1:10" x14ac:dyDescent="0.3">
      <c r="A1874" t="s">
        <v>3346</v>
      </c>
      <c r="B1874" t="s">
        <v>3347</v>
      </c>
      <c r="D1874" s="6">
        <v>1000</v>
      </c>
      <c r="G1874" s="7">
        <v>9.25</v>
      </c>
      <c r="H1874" s="4" t="s">
        <v>1005</v>
      </c>
      <c r="J1874" t="s">
        <v>62</v>
      </c>
    </row>
    <row r="1875" spans="1:10" x14ac:dyDescent="0.3">
      <c r="A1875" t="s">
        <v>3348</v>
      </c>
      <c r="B1875" t="s">
        <v>3349</v>
      </c>
      <c r="D1875" s="6">
        <v>1000</v>
      </c>
      <c r="G1875" s="7">
        <v>9.5</v>
      </c>
      <c r="H1875" s="4" t="s">
        <v>1012</v>
      </c>
      <c r="J1875" t="s">
        <v>62</v>
      </c>
    </row>
    <row r="1876" spans="1:10" x14ac:dyDescent="0.3">
      <c r="A1876" t="s">
        <v>3350</v>
      </c>
      <c r="B1876" t="s">
        <v>3351</v>
      </c>
      <c r="D1876" s="6">
        <v>1000</v>
      </c>
      <c r="G1876" s="7">
        <v>9.75</v>
      </c>
      <c r="H1876" s="4" t="s">
        <v>1017</v>
      </c>
      <c r="J1876" t="s">
        <v>62</v>
      </c>
    </row>
    <row r="1877" spans="1:10" x14ac:dyDescent="0.3">
      <c r="A1877" t="s">
        <v>3352</v>
      </c>
      <c r="B1877" t="s">
        <v>3353</v>
      </c>
      <c r="D1877" s="6">
        <v>1000</v>
      </c>
      <c r="G1877" s="7">
        <v>9.35</v>
      </c>
      <c r="H1877" s="4" t="s">
        <v>1017</v>
      </c>
      <c r="J1877" t="s">
        <v>59</v>
      </c>
    </row>
    <row r="1878" spans="1:10" x14ac:dyDescent="0.3">
      <c r="A1878" t="s">
        <v>3354</v>
      </c>
      <c r="B1878" t="s">
        <v>3355</v>
      </c>
      <c r="D1878" s="6">
        <v>1000</v>
      </c>
      <c r="G1878" s="7">
        <v>9.15</v>
      </c>
      <c r="H1878" s="4" t="s">
        <v>1012</v>
      </c>
      <c r="J1878" t="s">
        <v>59</v>
      </c>
    </row>
    <row r="1879" spans="1:10" x14ac:dyDescent="0.3">
      <c r="A1879" t="s">
        <v>3356</v>
      </c>
      <c r="B1879" t="s">
        <v>3357</v>
      </c>
      <c r="D1879" s="6">
        <v>1000</v>
      </c>
      <c r="G1879" s="7" t="s">
        <v>65</v>
      </c>
      <c r="H1879" s="4" t="s">
        <v>1005</v>
      </c>
      <c r="J1879" t="s">
        <v>49</v>
      </c>
    </row>
    <row r="1880" spans="1:10" x14ac:dyDescent="0.3">
      <c r="A1880" t="s">
        <v>3358</v>
      </c>
      <c r="B1880" t="s">
        <v>3359</v>
      </c>
      <c r="D1880" s="6">
        <v>1000</v>
      </c>
      <c r="G1880" s="7" t="s">
        <v>65</v>
      </c>
      <c r="H1880" s="4" t="s">
        <v>1012</v>
      </c>
      <c r="J1880" t="s">
        <v>49</v>
      </c>
    </row>
    <row r="1881" spans="1:10" x14ac:dyDescent="0.3">
      <c r="A1881" t="s">
        <v>3360</v>
      </c>
      <c r="B1881" t="s">
        <v>3361</v>
      </c>
      <c r="D1881" s="6">
        <v>1000</v>
      </c>
      <c r="G1881" s="7" t="s">
        <v>65</v>
      </c>
      <c r="H1881" s="4" t="s">
        <v>1017</v>
      </c>
      <c r="J1881" t="s">
        <v>49</v>
      </c>
    </row>
    <row r="1882" spans="1:10" x14ac:dyDescent="0.3">
      <c r="A1882" t="s">
        <v>3362</v>
      </c>
      <c r="B1882" t="s">
        <v>3363</v>
      </c>
      <c r="D1882" s="6">
        <v>1000</v>
      </c>
      <c r="G1882" s="7">
        <v>8.9</v>
      </c>
      <c r="H1882" s="4" t="s">
        <v>1005</v>
      </c>
      <c r="J1882" t="s">
        <v>59</v>
      </c>
    </row>
    <row r="1883" spans="1:10" x14ac:dyDescent="0.3">
      <c r="A1883" t="s">
        <v>3364</v>
      </c>
      <c r="B1883" t="s">
        <v>3365</v>
      </c>
      <c r="D1883" s="6">
        <v>1000</v>
      </c>
      <c r="G1883" s="7" t="s">
        <v>65</v>
      </c>
      <c r="H1883" s="4" t="s">
        <v>3366</v>
      </c>
      <c r="J1883" t="s">
        <v>49</v>
      </c>
    </row>
    <row r="1884" spans="1:10" x14ac:dyDescent="0.3">
      <c r="A1884" t="s">
        <v>3367</v>
      </c>
      <c r="B1884" t="s">
        <v>3368</v>
      </c>
      <c r="D1884" s="6">
        <v>1000</v>
      </c>
      <c r="G1884" s="7">
        <v>9.5</v>
      </c>
      <c r="H1884" s="4" t="s">
        <v>3369</v>
      </c>
      <c r="J1884" t="s">
        <v>101</v>
      </c>
    </row>
    <row r="1885" spans="1:10" x14ac:dyDescent="0.3">
      <c r="A1885" t="s">
        <v>3370</v>
      </c>
      <c r="B1885" t="s">
        <v>3371</v>
      </c>
      <c r="D1885" s="6">
        <v>1000</v>
      </c>
      <c r="G1885" s="7">
        <v>9.25</v>
      </c>
      <c r="H1885" s="4" t="s">
        <v>3372</v>
      </c>
      <c r="J1885" t="s">
        <v>101</v>
      </c>
    </row>
    <row r="1886" spans="1:10" x14ac:dyDescent="0.3">
      <c r="A1886" t="s">
        <v>3373</v>
      </c>
      <c r="B1886" t="s">
        <v>3374</v>
      </c>
      <c r="D1886" s="6">
        <v>1000</v>
      </c>
      <c r="G1886" s="7">
        <v>9.75</v>
      </c>
      <c r="H1886" s="4" t="s">
        <v>3375</v>
      </c>
      <c r="J1886" t="s">
        <v>101</v>
      </c>
    </row>
    <row r="1887" spans="1:10" x14ac:dyDescent="0.3">
      <c r="A1887" t="s">
        <v>3376</v>
      </c>
      <c r="B1887" t="s">
        <v>3377</v>
      </c>
      <c r="D1887" s="6">
        <v>1000</v>
      </c>
      <c r="G1887" s="7">
        <v>10</v>
      </c>
      <c r="H1887" s="4" t="s">
        <v>3366</v>
      </c>
      <c r="J1887" t="s">
        <v>101</v>
      </c>
    </row>
    <row r="1888" spans="1:10" x14ac:dyDescent="0.3">
      <c r="A1888" t="s">
        <v>3378</v>
      </c>
      <c r="B1888" t="s">
        <v>3379</v>
      </c>
      <c r="D1888" s="6">
        <v>1000</v>
      </c>
      <c r="G1888" s="7" t="s">
        <v>65</v>
      </c>
      <c r="H1888" s="4" t="s">
        <v>3372</v>
      </c>
      <c r="J1888" t="s">
        <v>49</v>
      </c>
    </row>
    <row r="1889" spans="1:10" x14ac:dyDescent="0.3">
      <c r="A1889" t="s">
        <v>3380</v>
      </c>
      <c r="B1889" t="s">
        <v>3381</v>
      </c>
      <c r="D1889" s="6">
        <v>1000</v>
      </c>
      <c r="G1889" s="7" t="s">
        <v>65</v>
      </c>
      <c r="H1889" s="4" t="s">
        <v>3369</v>
      </c>
      <c r="J1889" t="s">
        <v>49</v>
      </c>
    </row>
    <row r="1890" spans="1:10" x14ac:dyDescent="0.3">
      <c r="A1890" t="s">
        <v>3382</v>
      </c>
      <c r="B1890" t="s">
        <v>3383</v>
      </c>
      <c r="D1890" s="6">
        <v>1000</v>
      </c>
      <c r="G1890" s="7" t="s">
        <v>65</v>
      </c>
      <c r="H1890" s="4" t="s">
        <v>3375</v>
      </c>
      <c r="J1890" t="s">
        <v>49</v>
      </c>
    </row>
    <row r="1891" spans="1:10" x14ac:dyDescent="0.3">
      <c r="A1891" t="s">
        <v>3384</v>
      </c>
      <c r="B1891" t="s">
        <v>3385</v>
      </c>
      <c r="D1891" s="6">
        <v>1000</v>
      </c>
      <c r="G1891" s="7">
        <v>9.5500000000000007</v>
      </c>
      <c r="H1891" s="4" t="s">
        <v>3366</v>
      </c>
      <c r="J1891" t="s">
        <v>59</v>
      </c>
    </row>
    <row r="1892" spans="1:10" x14ac:dyDescent="0.3">
      <c r="A1892" t="s">
        <v>3386</v>
      </c>
      <c r="B1892" t="s">
        <v>3387</v>
      </c>
      <c r="D1892" s="6">
        <v>1000</v>
      </c>
      <c r="G1892" s="7">
        <v>9.35</v>
      </c>
      <c r="H1892" s="4" t="s">
        <v>3375</v>
      </c>
      <c r="J1892" t="s">
        <v>59</v>
      </c>
    </row>
    <row r="1893" spans="1:10" x14ac:dyDescent="0.3">
      <c r="A1893" t="s">
        <v>3388</v>
      </c>
      <c r="B1893" t="s">
        <v>3389</v>
      </c>
      <c r="D1893" s="6">
        <v>1000</v>
      </c>
      <c r="G1893" s="7">
        <v>8.9</v>
      </c>
      <c r="H1893" s="4" t="s">
        <v>3372</v>
      </c>
      <c r="J1893" t="s">
        <v>59</v>
      </c>
    </row>
    <row r="1894" spans="1:10" x14ac:dyDescent="0.3">
      <c r="A1894" t="s">
        <v>3390</v>
      </c>
      <c r="B1894" t="s">
        <v>3391</v>
      </c>
      <c r="D1894" s="6">
        <v>1000</v>
      </c>
      <c r="G1894" s="7" t="s">
        <v>65</v>
      </c>
      <c r="H1894" s="4" t="s">
        <v>3392</v>
      </c>
      <c r="J1894" t="s">
        <v>49</v>
      </c>
    </row>
    <row r="1895" spans="1:10" x14ac:dyDescent="0.3">
      <c r="A1895" t="s">
        <v>3393</v>
      </c>
      <c r="B1895" t="s">
        <v>3394</v>
      </c>
      <c r="D1895" s="6">
        <v>1000</v>
      </c>
      <c r="G1895" s="7">
        <v>9.15</v>
      </c>
      <c r="H1895" s="4" t="s">
        <v>3369</v>
      </c>
      <c r="J1895" t="s">
        <v>59</v>
      </c>
    </row>
    <row r="1896" spans="1:10" x14ac:dyDescent="0.3">
      <c r="A1896" t="s">
        <v>3395</v>
      </c>
      <c r="B1896" t="s">
        <v>3396</v>
      </c>
      <c r="D1896" s="6">
        <v>1000</v>
      </c>
      <c r="G1896" s="7">
        <v>9</v>
      </c>
      <c r="H1896" s="4" t="s">
        <v>3397</v>
      </c>
      <c r="J1896" t="s">
        <v>59</v>
      </c>
    </row>
    <row r="1897" spans="1:10" x14ac:dyDescent="0.3">
      <c r="A1897" t="s">
        <v>3398</v>
      </c>
      <c r="B1897" t="s">
        <v>3399</v>
      </c>
      <c r="D1897" s="6">
        <v>1000</v>
      </c>
      <c r="G1897" s="7" t="s">
        <v>65</v>
      </c>
      <c r="H1897" s="4" t="s">
        <v>3400</v>
      </c>
      <c r="J1897" t="s">
        <v>49</v>
      </c>
    </row>
    <row r="1898" spans="1:10" x14ac:dyDescent="0.3">
      <c r="A1898" t="s">
        <v>3401</v>
      </c>
      <c r="B1898" t="s">
        <v>3402</v>
      </c>
      <c r="D1898" s="6">
        <v>1000</v>
      </c>
      <c r="G1898" s="7">
        <v>10.100000000000001</v>
      </c>
      <c r="H1898" s="4" t="s">
        <v>3403</v>
      </c>
      <c r="J1898" t="s">
        <v>62</v>
      </c>
    </row>
    <row r="1899" spans="1:10" x14ac:dyDescent="0.3">
      <c r="A1899" t="s">
        <v>3404</v>
      </c>
      <c r="B1899" t="s">
        <v>3405</v>
      </c>
      <c r="D1899" s="6">
        <v>1000</v>
      </c>
      <c r="G1899" s="7">
        <v>9.25</v>
      </c>
      <c r="H1899" s="4" t="s">
        <v>3400</v>
      </c>
      <c r="J1899" t="s">
        <v>59</v>
      </c>
    </row>
    <row r="1900" spans="1:10" x14ac:dyDescent="0.3">
      <c r="A1900" t="s">
        <v>3406</v>
      </c>
      <c r="B1900" t="s">
        <v>3407</v>
      </c>
      <c r="D1900" s="6">
        <v>1000</v>
      </c>
      <c r="G1900" s="7" t="s">
        <v>65</v>
      </c>
      <c r="H1900" s="4" t="s">
        <v>3408</v>
      </c>
      <c r="J1900" t="s">
        <v>49</v>
      </c>
    </row>
    <row r="1901" spans="1:10" x14ac:dyDescent="0.3">
      <c r="A1901" t="s">
        <v>3409</v>
      </c>
      <c r="B1901" t="s">
        <v>3410</v>
      </c>
      <c r="D1901" s="6">
        <v>1000</v>
      </c>
      <c r="G1901" s="7">
        <v>9.65</v>
      </c>
      <c r="H1901" s="4" t="s">
        <v>3400</v>
      </c>
      <c r="J1901" t="s">
        <v>62</v>
      </c>
    </row>
    <row r="1902" spans="1:10" x14ac:dyDescent="0.3">
      <c r="A1902" t="s">
        <v>3411</v>
      </c>
      <c r="B1902" t="s">
        <v>3412</v>
      </c>
      <c r="D1902" s="6">
        <v>1000</v>
      </c>
      <c r="G1902" s="7" t="s">
        <v>65</v>
      </c>
      <c r="H1902" s="4" t="s">
        <v>3403</v>
      </c>
      <c r="J1902" t="s">
        <v>49</v>
      </c>
    </row>
    <row r="1903" spans="1:10" x14ac:dyDescent="0.3">
      <c r="A1903" t="s">
        <v>3413</v>
      </c>
      <c r="B1903" t="s">
        <v>3414</v>
      </c>
      <c r="D1903" s="6">
        <v>1000</v>
      </c>
      <c r="G1903" s="7">
        <v>9.9</v>
      </c>
      <c r="H1903" s="4" t="s">
        <v>3408</v>
      </c>
      <c r="J1903" t="s">
        <v>62</v>
      </c>
    </row>
    <row r="1904" spans="1:10" x14ac:dyDescent="0.3">
      <c r="A1904" t="s">
        <v>3415</v>
      </c>
      <c r="B1904" t="s">
        <v>3416</v>
      </c>
      <c r="D1904" s="6">
        <v>1000</v>
      </c>
      <c r="G1904" s="7">
        <v>9.4</v>
      </c>
      <c r="H1904" s="4" t="s">
        <v>3397</v>
      </c>
      <c r="J1904" t="s">
        <v>62</v>
      </c>
    </row>
    <row r="1905" spans="1:10" x14ac:dyDescent="0.3">
      <c r="A1905" t="s">
        <v>3417</v>
      </c>
      <c r="B1905" t="s">
        <v>3418</v>
      </c>
      <c r="D1905" s="6">
        <v>1000</v>
      </c>
      <c r="G1905" s="7">
        <v>9.65</v>
      </c>
      <c r="H1905" s="4" t="s">
        <v>3403</v>
      </c>
      <c r="J1905" t="s">
        <v>59</v>
      </c>
    </row>
    <row r="1906" spans="1:10" x14ac:dyDescent="0.3">
      <c r="A1906" t="s">
        <v>3419</v>
      </c>
      <c r="B1906" t="s">
        <v>3420</v>
      </c>
      <c r="D1906" s="6">
        <v>1000</v>
      </c>
      <c r="G1906" s="7" t="s">
        <v>65</v>
      </c>
      <c r="H1906" s="4" t="s">
        <v>3421</v>
      </c>
      <c r="J1906" t="s">
        <v>49</v>
      </c>
    </row>
    <row r="1907" spans="1:10" x14ac:dyDescent="0.3">
      <c r="A1907" t="s">
        <v>3422</v>
      </c>
      <c r="B1907" t="s">
        <v>3423</v>
      </c>
      <c r="D1907" s="6">
        <v>1000</v>
      </c>
      <c r="G1907" s="7">
        <v>9.4499999999999993</v>
      </c>
      <c r="H1907" s="4" t="s">
        <v>3408</v>
      </c>
      <c r="J1907" t="s">
        <v>59</v>
      </c>
    </row>
    <row r="1908" spans="1:10" x14ac:dyDescent="0.3">
      <c r="A1908" t="s">
        <v>3424</v>
      </c>
      <c r="B1908" t="s">
        <v>3425</v>
      </c>
      <c r="D1908" s="6">
        <v>1000</v>
      </c>
      <c r="G1908" s="7" t="s">
        <v>65</v>
      </c>
      <c r="H1908" s="4" t="s">
        <v>3397</v>
      </c>
      <c r="J1908" t="s">
        <v>49</v>
      </c>
    </row>
    <row r="1909" spans="1:10" x14ac:dyDescent="0.3">
      <c r="A1909" t="s">
        <v>3426</v>
      </c>
      <c r="B1909" t="s">
        <v>3427</v>
      </c>
      <c r="D1909" s="6">
        <v>1000</v>
      </c>
      <c r="G1909" s="7">
        <v>9</v>
      </c>
      <c r="H1909" s="4" t="s">
        <v>3106</v>
      </c>
      <c r="J1909" t="s">
        <v>59</v>
      </c>
    </row>
    <row r="1910" spans="1:10" x14ac:dyDescent="0.3">
      <c r="A1910" t="s">
        <v>3428</v>
      </c>
      <c r="B1910" t="s">
        <v>3429</v>
      </c>
      <c r="D1910" s="6">
        <v>1000</v>
      </c>
      <c r="G1910" s="7">
        <v>9.4</v>
      </c>
      <c r="H1910" s="4" t="s">
        <v>3106</v>
      </c>
      <c r="J1910" t="s">
        <v>62</v>
      </c>
    </row>
    <row r="1911" spans="1:10" x14ac:dyDescent="0.3">
      <c r="A1911" t="s">
        <v>3430</v>
      </c>
      <c r="B1911" t="s">
        <v>3431</v>
      </c>
      <c r="D1911" s="6">
        <v>1000</v>
      </c>
      <c r="G1911" s="7" t="s">
        <v>65</v>
      </c>
      <c r="H1911" s="4" t="s">
        <v>3106</v>
      </c>
      <c r="J1911" t="s">
        <v>49</v>
      </c>
    </row>
    <row r="1912" spans="1:10" x14ac:dyDescent="0.3">
      <c r="A1912" t="s">
        <v>3432</v>
      </c>
      <c r="B1912" t="s">
        <v>3433</v>
      </c>
      <c r="D1912" s="6">
        <v>1000</v>
      </c>
      <c r="G1912" s="7">
        <v>9</v>
      </c>
      <c r="H1912" s="4" t="s">
        <v>914</v>
      </c>
      <c r="J1912" t="s">
        <v>59</v>
      </c>
    </row>
    <row r="1913" spans="1:10" x14ac:dyDescent="0.3">
      <c r="A1913" t="s">
        <v>3434</v>
      </c>
      <c r="B1913" t="s">
        <v>3435</v>
      </c>
      <c r="D1913" s="6">
        <v>1000</v>
      </c>
      <c r="G1913" s="7">
        <v>9.4</v>
      </c>
      <c r="H1913" s="4" t="s">
        <v>914</v>
      </c>
      <c r="J1913" t="s">
        <v>62</v>
      </c>
    </row>
    <row r="1914" spans="1:10" x14ac:dyDescent="0.3">
      <c r="A1914" t="s">
        <v>3436</v>
      </c>
      <c r="B1914" t="s">
        <v>3437</v>
      </c>
      <c r="D1914" s="6">
        <v>1000</v>
      </c>
      <c r="G1914" s="7" t="s">
        <v>65</v>
      </c>
      <c r="H1914" s="4" t="s">
        <v>914</v>
      </c>
      <c r="J1914" t="s">
        <v>49</v>
      </c>
    </row>
    <row r="1915" spans="1:10" x14ac:dyDescent="0.3">
      <c r="A1915" t="s">
        <v>3438</v>
      </c>
      <c r="B1915" t="s">
        <v>3439</v>
      </c>
      <c r="D1915" s="6">
        <v>1000</v>
      </c>
      <c r="G1915" s="7">
        <v>9.5</v>
      </c>
      <c r="H1915" s="4" t="s">
        <v>3440</v>
      </c>
      <c r="J1915" t="s">
        <v>59</v>
      </c>
    </row>
    <row r="1916" spans="1:10" x14ac:dyDescent="0.3">
      <c r="A1916" t="s">
        <v>3441</v>
      </c>
      <c r="B1916" t="s">
        <v>3442</v>
      </c>
      <c r="D1916" s="6">
        <v>1000</v>
      </c>
      <c r="G1916" s="7">
        <v>9.75</v>
      </c>
      <c r="H1916" s="4" t="s">
        <v>3443</v>
      </c>
      <c r="J1916" t="s">
        <v>59</v>
      </c>
    </row>
    <row r="1917" spans="1:10" x14ac:dyDescent="0.3">
      <c r="A1917" t="s">
        <v>3444</v>
      </c>
      <c r="B1917" t="s">
        <v>3445</v>
      </c>
      <c r="D1917" s="6">
        <v>1000</v>
      </c>
      <c r="G1917" s="7" t="s">
        <v>65</v>
      </c>
      <c r="H1917" s="4" t="s">
        <v>3443</v>
      </c>
      <c r="J1917" t="s">
        <v>49</v>
      </c>
    </row>
    <row r="1918" spans="1:10" x14ac:dyDescent="0.3">
      <c r="A1918" t="s">
        <v>3446</v>
      </c>
      <c r="B1918" t="s">
        <v>3447</v>
      </c>
      <c r="D1918" s="6">
        <v>1000</v>
      </c>
      <c r="G1918" s="7">
        <v>9.5</v>
      </c>
      <c r="H1918" s="4" t="s">
        <v>860</v>
      </c>
      <c r="J1918" t="s">
        <v>59</v>
      </c>
    </row>
    <row r="1919" spans="1:10" x14ac:dyDescent="0.3">
      <c r="A1919" t="s">
        <v>3448</v>
      </c>
      <c r="B1919" t="s">
        <v>3449</v>
      </c>
      <c r="D1919" s="6">
        <v>1000</v>
      </c>
      <c r="G1919" s="7">
        <v>9.75</v>
      </c>
      <c r="H1919" s="4" t="s">
        <v>3115</v>
      </c>
      <c r="J1919" t="s">
        <v>59</v>
      </c>
    </row>
    <row r="1920" spans="1:10" x14ac:dyDescent="0.3">
      <c r="A1920" t="s">
        <v>3450</v>
      </c>
      <c r="B1920" t="s">
        <v>3451</v>
      </c>
      <c r="D1920" s="6">
        <v>1000</v>
      </c>
      <c r="G1920" s="7" t="s">
        <v>65</v>
      </c>
      <c r="H1920" s="4" t="s">
        <v>3115</v>
      </c>
      <c r="J1920" t="s">
        <v>49</v>
      </c>
    </row>
    <row r="1921" spans="1:10" x14ac:dyDescent="0.3">
      <c r="A1921" t="s">
        <v>3452</v>
      </c>
      <c r="B1921" t="s">
        <v>3453</v>
      </c>
      <c r="C1921" t="s">
        <v>48</v>
      </c>
      <c r="D1921" s="9">
        <v>5000</v>
      </c>
      <c r="E1921" t="s">
        <v>45</v>
      </c>
      <c r="F1921" t="s">
        <v>45</v>
      </c>
      <c r="G1921">
        <v>8.6300000000000008</v>
      </c>
      <c r="H1921" t="s">
        <v>402</v>
      </c>
      <c r="I1921" t="s">
        <v>3454</v>
      </c>
      <c r="J1921" t="s">
        <v>62</v>
      </c>
    </row>
    <row r="1922" spans="1:10" x14ac:dyDescent="0.3">
      <c r="A1922" t="s">
        <v>3455</v>
      </c>
      <c r="B1922" t="s">
        <v>3453</v>
      </c>
      <c r="C1922" t="s">
        <v>51</v>
      </c>
      <c r="D1922" s="9">
        <v>5000</v>
      </c>
      <c r="E1922" t="s">
        <v>3456</v>
      </c>
      <c r="F1922" t="s">
        <v>442</v>
      </c>
      <c r="G1922">
        <v>8.76</v>
      </c>
      <c r="H1922" t="s">
        <v>405</v>
      </c>
      <c r="I1922" t="s">
        <v>3457</v>
      </c>
      <c r="J1922" t="s">
        <v>62</v>
      </c>
    </row>
    <row r="1923" spans="1:10" x14ac:dyDescent="0.3">
      <c r="A1923" t="s">
        <v>3458</v>
      </c>
      <c r="B1923" t="s">
        <v>3453</v>
      </c>
      <c r="C1923" t="s">
        <v>340</v>
      </c>
      <c r="D1923" s="9">
        <v>5000</v>
      </c>
      <c r="E1923" t="s">
        <v>3459</v>
      </c>
      <c r="F1923" t="s">
        <v>651</v>
      </c>
      <c r="G1923">
        <v>8.8800000000000008</v>
      </c>
      <c r="H1923" t="s">
        <v>402</v>
      </c>
      <c r="I1923" t="s">
        <v>3460</v>
      </c>
      <c r="J1923" t="s">
        <v>62</v>
      </c>
    </row>
    <row r="1924" spans="1:10" x14ac:dyDescent="0.3">
      <c r="A1924" t="s">
        <v>3458</v>
      </c>
      <c r="B1924" t="s">
        <v>3461</v>
      </c>
      <c r="D1924" s="6">
        <v>5000</v>
      </c>
      <c r="G1924" s="7">
        <v>8.8800000000000008</v>
      </c>
      <c r="H1924" s="4" t="s">
        <v>402</v>
      </c>
      <c r="J1924" t="s">
        <v>62</v>
      </c>
    </row>
    <row r="1925" spans="1:10" x14ac:dyDescent="0.3">
      <c r="A1925" t="s">
        <v>3462</v>
      </c>
      <c r="B1925" t="s">
        <v>3453</v>
      </c>
      <c r="C1925" t="s">
        <v>281</v>
      </c>
      <c r="D1925" s="9">
        <v>5000</v>
      </c>
      <c r="E1925" t="s">
        <v>3463</v>
      </c>
      <c r="F1925" t="s">
        <v>283</v>
      </c>
      <c r="G1925">
        <v>9.01</v>
      </c>
      <c r="H1925" t="s">
        <v>405</v>
      </c>
      <c r="I1925" t="s">
        <v>3464</v>
      </c>
      <c r="J1925" t="s">
        <v>62</v>
      </c>
    </row>
    <row r="1926" spans="1:10" x14ac:dyDescent="0.3">
      <c r="A1926" t="s">
        <v>3462</v>
      </c>
      <c r="B1926" t="s">
        <v>3465</v>
      </c>
      <c r="D1926" s="6">
        <v>5000</v>
      </c>
      <c r="G1926" s="7">
        <v>9.01</v>
      </c>
      <c r="H1926" s="4" t="s">
        <v>405</v>
      </c>
      <c r="J1926" t="s">
        <v>62</v>
      </c>
    </row>
    <row r="1927" spans="1:10" x14ac:dyDescent="0.3">
      <c r="A1927" t="s">
        <v>3466</v>
      </c>
      <c r="B1927" t="s">
        <v>3467</v>
      </c>
      <c r="C1927" t="s">
        <v>51</v>
      </c>
      <c r="D1927" s="9">
        <v>5000</v>
      </c>
      <c r="E1927" t="s">
        <v>45</v>
      </c>
      <c r="F1927" t="s">
        <v>45</v>
      </c>
      <c r="G1927">
        <v>8.68</v>
      </c>
      <c r="H1927" t="s">
        <v>298</v>
      </c>
      <c r="I1927" t="s">
        <v>3468</v>
      </c>
      <c r="J1927" t="s">
        <v>62</v>
      </c>
    </row>
    <row r="1928" spans="1:10" x14ac:dyDescent="0.3">
      <c r="A1928" t="s">
        <v>3466</v>
      </c>
      <c r="B1928" t="s">
        <v>3469</v>
      </c>
      <c r="D1928" s="6">
        <v>5000</v>
      </c>
      <c r="G1928" s="7">
        <v>8.68</v>
      </c>
      <c r="H1928" s="4" t="s">
        <v>298</v>
      </c>
      <c r="J1928" t="s">
        <v>62</v>
      </c>
    </row>
    <row r="1929" spans="1:10" x14ac:dyDescent="0.3">
      <c r="A1929" t="s">
        <v>3470</v>
      </c>
      <c r="B1929" t="s">
        <v>3467</v>
      </c>
      <c r="C1929" t="s">
        <v>275</v>
      </c>
      <c r="D1929" s="9">
        <v>5000</v>
      </c>
      <c r="E1929" t="s">
        <v>45</v>
      </c>
      <c r="F1929" t="s">
        <v>45</v>
      </c>
      <c r="G1929">
        <v>8.65</v>
      </c>
      <c r="H1929" t="s">
        <v>305</v>
      </c>
      <c r="I1929" t="s">
        <v>3471</v>
      </c>
      <c r="J1929" t="s">
        <v>62</v>
      </c>
    </row>
    <row r="1930" spans="1:10" x14ac:dyDescent="0.3">
      <c r="A1930" t="s">
        <v>3470</v>
      </c>
      <c r="B1930" t="s">
        <v>3472</v>
      </c>
      <c r="D1930" s="6">
        <v>5000</v>
      </c>
      <c r="G1930" s="7">
        <v>8.6499999999999986</v>
      </c>
      <c r="H1930" s="4" t="s">
        <v>305</v>
      </c>
      <c r="J1930" t="s">
        <v>62</v>
      </c>
    </row>
    <row r="1931" spans="1:10" x14ac:dyDescent="0.3">
      <c r="A1931" t="s">
        <v>3473</v>
      </c>
      <c r="B1931" t="s">
        <v>3467</v>
      </c>
      <c r="C1931" t="s">
        <v>281</v>
      </c>
      <c r="D1931" s="9">
        <v>5000</v>
      </c>
      <c r="E1931" t="s">
        <v>45</v>
      </c>
      <c r="F1931" t="s">
        <v>45</v>
      </c>
      <c r="G1931">
        <v>8.93</v>
      </c>
      <c r="H1931" t="s">
        <v>298</v>
      </c>
      <c r="I1931" t="s">
        <v>3474</v>
      </c>
      <c r="J1931" t="s">
        <v>62</v>
      </c>
    </row>
    <row r="1932" spans="1:10" x14ac:dyDescent="0.3">
      <c r="A1932" t="s">
        <v>3473</v>
      </c>
      <c r="B1932" t="s">
        <v>3475</v>
      </c>
      <c r="D1932" s="6">
        <v>5000</v>
      </c>
      <c r="G1932" s="7">
        <v>8.93</v>
      </c>
      <c r="H1932" s="4" t="s">
        <v>298</v>
      </c>
      <c r="J1932" t="s">
        <v>62</v>
      </c>
    </row>
    <row r="1933" spans="1:10" x14ac:dyDescent="0.3">
      <c r="A1933" t="s">
        <v>3476</v>
      </c>
      <c r="B1933" t="s">
        <v>3467</v>
      </c>
      <c r="C1933" t="s">
        <v>384</v>
      </c>
      <c r="D1933" s="9">
        <v>5000</v>
      </c>
      <c r="E1933" t="s">
        <v>3477</v>
      </c>
      <c r="F1933" t="s">
        <v>651</v>
      </c>
      <c r="G1933">
        <v>8.9</v>
      </c>
      <c r="H1933" t="s">
        <v>305</v>
      </c>
      <c r="I1933" t="s">
        <v>3478</v>
      </c>
      <c r="J1933" t="s">
        <v>62</v>
      </c>
    </row>
    <row r="1934" spans="1:10" x14ac:dyDescent="0.3">
      <c r="A1934" t="s">
        <v>3476</v>
      </c>
      <c r="B1934" t="s">
        <v>3479</v>
      </c>
      <c r="D1934" s="6">
        <v>5000</v>
      </c>
      <c r="G1934" s="7">
        <v>8.9</v>
      </c>
      <c r="H1934" s="4" t="s">
        <v>305</v>
      </c>
      <c r="J1934" t="s">
        <v>62</v>
      </c>
    </row>
    <row r="1935" spans="1:10" x14ac:dyDescent="0.3">
      <c r="A1935" t="s">
        <v>3480</v>
      </c>
      <c r="B1935" t="s">
        <v>3481</v>
      </c>
      <c r="C1935" t="s">
        <v>51</v>
      </c>
      <c r="D1935" s="9">
        <v>1000</v>
      </c>
      <c r="E1935" t="s">
        <v>45</v>
      </c>
      <c r="F1935" t="s">
        <v>45</v>
      </c>
      <c r="G1935">
        <v>10.15</v>
      </c>
      <c r="H1935" t="s">
        <v>3482</v>
      </c>
      <c r="I1935" t="s">
        <v>3483</v>
      </c>
      <c r="J1935" t="s">
        <v>59</v>
      </c>
    </row>
    <row r="1936" spans="1:10" x14ac:dyDescent="0.3">
      <c r="A1936" t="s">
        <v>3484</v>
      </c>
      <c r="B1936" t="s">
        <v>3481</v>
      </c>
      <c r="C1936" t="s">
        <v>275</v>
      </c>
      <c r="D1936" s="9">
        <v>1000</v>
      </c>
      <c r="E1936" t="s">
        <v>45</v>
      </c>
      <c r="F1936" t="s">
        <v>45</v>
      </c>
      <c r="G1936">
        <v>10.4</v>
      </c>
      <c r="H1936" t="s">
        <v>2460</v>
      </c>
      <c r="I1936" t="s">
        <v>3485</v>
      </c>
      <c r="J1936" t="s">
        <v>59</v>
      </c>
    </row>
    <row r="1937" spans="1:10" x14ac:dyDescent="0.3">
      <c r="A1937" t="s">
        <v>3484</v>
      </c>
      <c r="B1937" t="s">
        <v>3486</v>
      </c>
      <c r="D1937" s="6">
        <v>1000</v>
      </c>
      <c r="G1937" s="7">
        <v>10.4</v>
      </c>
      <c r="H1937" s="4" t="s">
        <v>2460</v>
      </c>
      <c r="J1937" t="s">
        <v>59</v>
      </c>
    </row>
    <row r="1938" spans="1:10" x14ac:dyDescent="0.3">
      <c r="A1938" t="s">
        <v>3484</v>
      </c>
      <c r="B1938" t="s">
        <v>3486</v>
      </c>
      <c r="D1938" s="6">
        <v>1000</v>
      </c>
      <c r="G1938" s="7">
        <v>10.4</v>
      </c>
      <c r="H1938" s="4" t="s">
        <v>2460</v>
      </c>
      <c r="J1938" t="s">
        <v>59</v>
      </c>
    </row>
    <row r="1939" spans="1:10" x14ac:dyDescent="0.3">
      <c r="A1939" t="s">
        <v>3487</v>
      </c>
      <c r="B1939" t="s">
        <v>3481</v>
      </c>
      <c r="C1939" t="s">
        <v>281</v>
      </c>
      <c r="D1939" s="9">
        <v>1000</v>
      </c>
      <c r="E1939" t="s">
        <v>45</v>
      </c>
      <c r="F1939" t="s">
        <v>45</v>
      </c>
      <c r="G1939">
        <v>10.35</v>
      </c>
      <c r="H1939" t="s">
        <v>3488</v>
      </c>
      <c r="I1939" t="s">
        <v>3489</v>
      </c>
      <c r="J1939" t="s">
        <v>1048</v>
      </c>
    </row>
    <row r="1940" spans="1:10" x14ac:dyDescent="0.3">
      <c r="A1940" t="s">
        <v>3487</v>
      </c>
      <c r="B1940" t="s">
        <v>3490</v>
      </c>
      <c r="D1940" s="6">
        <v>1000</v>
      </c>
      <c r="G1940" s="7">
        <v>10.35</v>
      </c>
      <c r="H1940" s="4" t="s">
        <v>3488</v>
      </c>
      <c r="J1940" t="s">
        <v>1048</v>
      </c>
    </row>
    <row r="1941" spans="1:10" x14ac:dyDescent="0.3">
      <c r="A1941" t="s">
        <v>3487</v>
      </c>
      <c r="B1941" t="s">
        <v>3490</v>
      </c>
      <c r="D1941" s="6">
        <v>1000</v>
      </c>
      <c r="G1941" s="7">
        <v>10.35</v>
      </c>
      <c r="H1941" s="4" t="s">
        <v>3488</v>
      </c>
      <c r="J1941" t="s">
        <v>1048</v>
      </c>
    </row>
    <row r="1942" spans="1:10" x14ac:dyDescent="0.3">
      <c r="A1942" t="s">
        <v>3491</v>
      </c>
      <c r="B1942" t="s">
        <v>3481</v>
      </c>
      <c r="C1942" t="s">
        <v>384</v>
      </c>
      <c r="D1942" s="9">
        <v>1000</v>
      </c>
      <c r="E1942" t="s">
        <v>45</v>
      </c>
      <c r="F1942" t="s">
        <v>45</v>
      </c>
      <c r="G1942">
        <v>10.5</v>
      </c>
      <c r="H1942" t="s">
        <v>1370</v>
      </c>
      <c r="I1942" t="s">
        <v>3492</v>
      </c>
      <c r="J1942" t="s">
        <v>59</v>
      </c>
    </row>
    <row r="1943" spans="1:10" x14ac:dyDescent="0.3">
      <c r="A1943" t="s">
        <v>3491</v>
      </c>
      <c r="B1943" t="s">
        <v>3493</v>
      </c>
      <c r="D1943" s="6">
        <v>1000</v>
      </c>
      <c r="G1943" s="7">
        <v>10.5</v>
      </c>
      <c r="H1943" s="4" t="s">
        <v>1370</v>
      </c>
      <c r="J1943" t="s">
        <v>59</v>
      </c>
    </row>
    <row r="1944" spans="1:10" x14ac:dyDescent="0.3">
      <c r="A1944" t="s">
        <v>3491</v>
      </c>
      <c r="B1944" t="s">
        <v>3493</v>
      </c>
      <c r="D1944" s="6">
        <v>1000</v>
      </c>
      <c r="G1944" s="7">
        <v>10.5</v>
      </c>
      <c r="H1944" s="4" t="s">
        <v>1370</v>
      </c>
      <c r="J1944" t="s">
        <v>59</v>
      </c>
    </row>
    <row r="1945" spans="1:10" x14ac:dyDescent="0.3">
      <c r="A1945" t="s">
        <v>3494</v>
      </c>
      <c r="B1945" t="s">
        <v>3481</v>
      </c>
      <c r="C1945" t="s">
        <v>415</v>
      </c>
      <c r="D1945" s="9">
        <v>1000</v>
      </c>
      <c r="E1945" t="s">
        <v>3495</v>
      </c>
      <c r="F1945" t="s">
        <v>1284</v>
      </c>
      <c r="G1945">
        <v>10.25</v>
      </c>
      <c r="H1945" t="s">
        <v>3496</v>
      </c>
      <c r="I1945" t="s">
        <v>3497</v>
      </c>
      <c r="J1945" t="s">
        <v>59</v>
      </c>
    </row>
    <row r="1946" spans="1:10" x14ac:dyDescent="0.3">
      <c r="A1946" t="s">
        <v>3494</v>
      </c>
      <c r="B1946" t="s">
        <v>3498</v>
      </c>
      <c r="D1946" s="6">
        <v>1000</v>
      </c>
      <c r="G1946" s="7">
        <v>10.25</v>
      </c>
      <c r="H1946" s="4" t="s">
        <v>3496</v>
      </c>
      <c r="J1946" t="s">
        <v>59</v>
      </c>
    </row>
    <row r="1947" spans="1:10" x14ac:dyDescent="0.3">
      <c r="A1947" t="s">
        <v>3494</v>
      </c>
      <c r="B1947" t="s">
        <v>3498</v>
      </c>
      <c r="D1947" s="6">
        <v>1000</v>
      </c>
      <c r="G1947" s="7">
        <v>10.25</v>
      </c>
      <c r="H1947" s="4" t="s">
        <v>3496</v>
      </c>
      <c r="J1947" t="s">
        <v>59</v>
      </c>
    </row>
    <row r="1948" spans="1:10" x14ac:dyDescent="0.3">
      <c r="A1948" t="s">
        <v>3499</v>
      </c>
      <c r="B1948" t="s">
        <v>3481</v>
      </c>
      <c r="C1948" t="s">
        <v>288</v>
      </c>
      <c r="D1948" s="9">
        <v>1000</v>
      </c>
      <c r="E1948" t="s">
        <v>3500</v>
      </c>
      <c r="F1948" t="s">
        <v>640</v>
      </c>
      <c r="G1948">
        <v>10.75</v>
      </c>
      <c r="H1948" t="s">
        <v>3496</v>
      </c>
      <c r="I1948" t="s">
        <v>3501</v>
      </c>
      <c r="J1948" t="s">
        <v>62</v>
      </c>
    </row>
    <row r="1949" spans="1:10" x14ac:dyDescent="0.3">
      <c r="A1949" t="s">
        <v>3499</v>
      </c>
      <c r="B1949" t="s">
        <v>3502</v>
      </c>
      <c r="D1949" s="6">
        <v>1000</v>
      </c>
      <c r="G1949" s="7">
        <v>10.75</v>
      </c>
      <c r="H1949" s="4" t="s">
        <v>3496</v>
      </c>
      <c r="J1949" t="s">
        <v>62</v>
      </c>
    </row>
    <row r="1950" spans="1:10" x14ac:dyDescent="0.3">
      <c r="A1950" t="s">
        <v>3499</v>
      </c>
      <c r="B1950" t="s">
        <v>3502</v>
      </c>
      <c r="D1950" s="6">
        <v>1000</v>
      </c>
      <c r="G1950" s="7">
        <v>10.75</v>
      </c>
      <c r="H1950" s="4" t="s">
        <v>3496</v>
      </c>
      <c r="J1950" t="s">
        <v>62</v>
      </c>
    </row>
    <row r="1951" spans="1:10" x14ac:dyDescent="0.3">
      <c r="A1951" t="s">
        <v>3503</v>
      </c>
      <c r="B1951" t="s">
        <v>3481</v>
      </c>
      <c r="C1951" t="s">
        <v>292</v>
      </c>
      <c r="D1951" s="9">
        <v>1000</v>
      </c>
      <c r="E1951" t="s">
        <v>3504</v>
      </c>
      <c r="F1951" t="s">
        <v>3505</v>
      </c>
      <c r="G1951">
        <v>10.35</v>
      </c>
      <c r="H1951" t="s">
        <v>1951</v>
      </c>
      <c r="I1951" t="s">
        <v>3506</v>
      </c>
      <c r="J1951" t="s">
        <v>128</v>
      </c>
    </row>
    <row r="1952" spans="1:10" x14ac:dyDescent="0.3">
      <c r="A1952" t="s">
        <v>3503</v>
      </c>
      <c r="B1952" t="s">
        <v>3507</v>
      </c>
      <c r="D1952" s="6">
        <v>1000</v>
      </c>
      <c r="G1952" s="7">
        <v>10.35</v>
      </c>
      <c r="H1952" s="4" t="s">
        <v>1951</v>
      </c>
      <c r="J1952" t="s">
        <v>128</v>
      </c>
    </row>
    <row r="1953" spans="1:10" x14ac:dyDescent="0.3">
      <c r="A1953" t="s">
        <v>3503</v>
      </c>
      <c r="B1953" t="s">
        <v>3507</v>
      </c>
      <c r="D1953" s="6">
        <v>1000</v>
      </c>
      <c r="G1953" s="7">
        <v>10.35</v>
      </c>
      <c r="H1953" s="4" t="s">
        <v>1951</v>
      </c>
      <c r="J1953" t="s">
        <v>128</v>
      </c>
    </row>
    <row r="1954" spans="1:10" x14ac:dyDescent="0.3">
      <c r="A1954" t="s">
        <v>3508</v>
      </c>
      <c r="B1954" t="s">
        <v>3481</v>
      </c>
      <c r="C1954" t="s">
        <v>297</v>
      </c>
      <c r="D1954" s="9">
        <v>1000</v>
      </c>
      <c r="E1954" t="s">
        <v>1140</v>
      </c>
      <c r="F1954" t="s">
        <v>651</v>
      </c>
      <c r="G1954">
        <v>11</v>
      </c>
      <c r="H1954" t="s">
        <v>733</v>
      </c>
      <c r="I1954" t="s">
        <v>3509</v>
      </c>
      <c r="J1954" t="s">
        <v>62</v>
      </c>
    </row>
    <row r="1955" spans="1:10" x14ac:dyDescent="0.3">
      <c r="A1955" t="s">
        <v>3508</v>
      </c>
      <c r="B1955" t="s">
        <v>3510</v>
      </c>
      <c r="D1955" s="6">
        <v>1000</v>
      </c>
      <c r="G1955" s="7">
        <v>11</v>
      </c>
      <c r="H1955" s="4" t="s">
        <v>733</v>
      </c>
      <c r="J1955" t="s">
        <v>62</v>
      </c>
    </row>
    <row r="1956" spans="1:10" x14ac:dyDescent="0.3">
      <c r="A1956" t="s">
        <v>3508</v>
      </c>
      <c r="B1956" t="s">
        <v>3510</v>
      </c>
      <c r="D1956" s="6">
        <v>1000</v>
      </c>
      <c r="G1956" s="7">
        <v>11</v>
      </c>
      <c r="H1956" s="4" t="s">
        <v>733</v>
      </c>
      <c r="J1956" t="s">
        <v>62</v>
      </c>
    </row>
    <row r="1957" spans="1:10" x14ac:dyDescent="0.3">
      <c r="A1957" t="s">
        <v>3511</v>
      </c>
      <c r="B1957" t="s">
        <v>3481</v>
      </c>
      <c r="C1957" t="s">
        <v>389</v>
      </c>
      <c r="D1957" s="9">
        <v>1000</v>
      </c>
      <c r="E1957" t="s">
        <v>3512</v>
      </c>
      <c r="F1957" t="s">
        <v>3513</v>
      </c>
      <c r="G1957">
        <v>10.5</v>
      </c>
      <c r="H1957" t="s">
        <v>733</v>
      </c>
      <c r="I1957" t="s">
        <v>3514</v>
      </c>
      <c r="J1957" t="s">
        <v>59</v>
      </c>
    </row>
    <row r="1958" spans="1:10" x14ac:dyDescent="0.3">
      <c r="A1958" t="s">
        <v>3511</v>
      </c>
      <c r="B1958" t="s">
        <v>3515</v>
      </c>
      <c r="D1958" s="6">
        <v>1000</v>
      </c>
      <c r="G1958" s="7">
        <v>10.5</v>
      </c>
      <c r="H1958" s="4" t="s">
        <v>733</v>
      </c>
      <c r="J1958" t="s">
        <v>59</v>
      </c>
    </row>
    <row r="1959" spans="1:10" x14ac:dyDescent="0.3">
      <c r="A1959" t="s">
        <v>3511</v>
      </c>
      <c r="B1959" t="s">
        <v>3515</v>
      </c>
      <c r="D1959" s="6">
        <v>1000</v>
      </c>
      <c r="G1959" s="7">
        <v>10.5</v>
      </c>
      <c r="H1959" s="4" t="s">
        <v>733</v>
      </c>
      <c r="J1959" t="s">
        <v>59</v>
      </c>
    </row>
    <row r="1960" spans="1:10" x14ac:dyDescent="0.3">
      <c r="A1960" t="s">
        <v>3516</v>
      </c>
      <c r="B1960" t="s">
        <v>3517</v>
      </c>
      <c r="D1960" s="6">
        <v>100000</v>
      </c>
      <c r="G1960" s="7" t="s">
        <v>65</v>
      </c>
      <c r="H1960" s="4" t="s">
        <v>3518</v>
      </c>
      <c r="J1960" t="s">
        <v>65</v>
      </c>
    </row>
    <row r="1961" spans="1:10" x14ac:dyDescent="0.3">
      <c r="A1961" t="s">
        <v>3519</v>
      </c>
      <c r="B1961" t="s">
        <v>3520</v>
      </c>
      <c r="C1961" t="s">
        <v>309</v>
      </c>
      <c r="D1961" s="9">
        <v>1000</v>
      </c>
      <c r="E1961" t="s">
        <v>45</v>
      </c>
      <c r="F1961" t="s">
        <v>45</v>
      </c>
      <c r="G1961">
        <v>10.130000000000001</v>
      </c>
      <c r="H1961" t="s">
        <v>3521</v>
      </c>
      <c r="I1961" t="s">
        <v>3522</v>
      </c>
      <c r="J1961" t="s">
        <v>59</v>
      </c>
    </row>
    <row r="1962" spans="1:10" x14ac:dyDescent="0.3">
      <c r="A1962" t="s">
        <v>3523</v>
      </c>
      <c r="B1962" t="s">
        <v>3520</v>
      </c>
      <c r="C1962" t="s">
        <v>617</v>
      </c>
      <c r="D1962" s="9">
        <v>1000</v>
      </c>
      <c r="E1962" t="s">
        <v>45</v>
      </c>
      <c r="F1962" t="s">
        <v>45</v>
      </c>
      <c r="G1962">
        <v>10.61</v>
      </c>
      <c r="H1962" t="s">
        <v>3521</v>
      </c>
      <c r="I1962" t="s">
        <v>3524</v>
      </c>
      <c r="J1962" t="s">
        <v>62</v>
      </c>
    </row>
    <row r="1963" spans="1:10" x14ac:dyDescent="0.3">
      <c r="A1963" t="s">
        <v>3525</v>
      </c>
      <c r="B1963" t="s">
        <v>3520</v>
      </c>
      <c r="C1963" t="s">
        <v>330</v>
      </c>
      <c r="D1963" s="9">
        <v>1000</v>
      </c>
      <c r="E1963" t="s">
        <v>45</v>
      </c>
      <c r="F1963" t="s">
        <v>45</v>
      </c>
      <c r="G1963" s="12">
        <v>0</v>
      </c>
      <c r="H1963" t="s">
        <v>3521</v>
      </c>
      <c r="I1963" t="s">
        <v>3525</v>
      </c>
      <c r="J1963" t="s">
        <v>62</v>
      </c>
    </row>
    <row r="1964" spans="1:10" x14ac:dyDescent="0.3">
      <c r="A1964" t="s">
        <v>3526</v>
      </c>
      <c r="B1964" t="s">
        <v>3520</v>
      </c>
      <c r="C1964" t="s">
        <v>660</v>
      </c>
      <c r="D1964" s="9">
        <v>1000</v>
      </c>
      <c r="E1964" t="s">
        <v>45</v>
      </c>
      <c r="F1964" t="s">
        <v>45</v>
      </c>
      <c r="G1964">
        <v>10.039999999999999</v>
      </c>
      <c r="H1964" t="s">
        <v>3527</v>
      </c>
      <c r="I1964" t="s">
        <v>3528</v>
      </c>
      <c r="J1964" t="s">
        <v>59</v>
      </c>
    </row>
    <row r="1965" spans="1:10" x14ac:dyDescent="0.3">
      <c r="A1965" t="s">
        <v>3529</v>
      </c>
      <c r="B1965" t="s">
        <v>3520</v>
      </c>
      <c r="C1965" t="s">
        <v>1460</v>
      </c>
      <c r="D1965" s="9">
        <v>1000</v>
      </c>
      <c r="E1965" t="s">
        <v>45</v>
      </c>
      <c r="F1965" t="s">
        <v>45</v>
      </c>
      <c r="G1965">
        <v>10.52</v>
      </c>
      <c r="H1965" t="s">
        <v>3527</v>
      </c>
      <c r="I1965" t="s">
        <v>3530</v>
      </c>
      <c r="J1965" t="s">
        <v>62</v>
      </c>
    </row>
    <row r="1966" spans="1:10" x14ac:dyDescent="0.3">
      <c r="A1966" t="s">
        <v>3531</v>
      </c>
      <c r="B1966" t="s">
        <v>3520</v>
      </c>
      <c r="C1966" t="s">
        <v>1131</v>
      </c>
      <c r="D1966" s="9">
        <v>1000</v>
      </c>
      <c r="E1966" t="s">
        <v>45</v>
      </c>
      <c r="F1966" t="s">
        <v>45</v>
      </c>
      <c r="G1966" s="7">
        <v>0</v>
      </c>
      <c r="H1966" s="5" t="s">
        <v>3527</v>
      </c>
      <c r="I1966" t="s">
        <v>3531</v>
      </c>
      <c r="J1966" t="s">
        <v>59</v>
      </c>
    </row>
    <row r="1967" spans="1:10" x14ac:dyDescent="0.3">
      <c r="A1967" t="s">
        <v>3532</v>
      </c>
      <c r="B1967" t="s">
        <v>3520</v>
      </c>
      <c r="C1967" t="s">
        <v>1485</v>
      </c>
      <c r="D1967" s="9">
        <v>1000</v>
      </c>
      <c r="E1967" t="s">
        <v>45</v>
      </c>
      <c r="F1967" t="s">
        <v>45</v>
      </c>
      <c r="G1967">
        <v>11</v>
      </c>
      <c r="H1967" t="s">
        <v>3533</v>
      </c>
      <c r="I1967" t="s">
        <v>3534</v>
      </c>
      <c r="J1967" t="s">
        <v>62</v>
      </c>
    </row>
    <row r="1968" spans="1:10" x14ac:dyDescent="0.3">
      <c r="A1968" t="s">
        <v>3532</v>
      </c>
      <c r="B1968" t="s">
        <v>3535</v>
      </c>
      <c r="D1968" s="6">
        <v>1000</v>
      </c>
      <c r="G1968" s="7">
        <v>11</v>
      </c>
      <c r="H1968" s="4" t="s">
        <v>3533</v>
      </c>
      <c r="J1968" t="s">
        <v>62</v>
      </c>
    </row>
    <row r="1969" spans="1:10" x14ac:dyDescent="0.3">
      <c r="A1969" t="s">
        <v>3532</v>
      </c>
      <c r="B1969" t="s">
        <v>3535</v>
      </c>
      <c r="D1969" s="6">
        <v>1000</v>
      </c>
      <c r="G1969" s="7">
        <v>11</v>
      </c>
      <c r="H1969" s="4" t="s">
        <v>3533</v>
      </c>
      <c r="J1969" t="s">
        <v>62</v>
      </c>
    </row>
    <row r="1970" spans="1:10" x14ac:dyDescent="0.3">
      <c r="A1970" t="s">
        <v>3536</v>
      </c>
      <c r="B1970" t="s">
        <v>3520</v>
      </c>
      <c r="C1970" t="s">
        <v>1489</v>
      </c>
      <c r="D1970" s="9">
        <v>1000</v>
      </c>
      <c r="E1970" t="s">
        <v>45</v>
      </c>
      <c r="F1970" t="s">
        <v>45</v>
      </c>
      <c r="G1970" s="12">
        <v>0</v>
      </c>
      <c r="H1970" t="s">
        <v>3533</v>
      </c>
      <c r="I1970" t="s">
        <v>3536</v>
      </c>
      <c r="J1970" t="s">
        <v>62</v>
      </c>
    </row>
    <row r="1971" spans="1:10" x14ac:dyDescent="0.3">
      <c r="A1971" t="s">
        <v>3536</v>
      </c>
      <c r="B1971" t="s">
        <v>3537</v>
      </c>
      <c r="D1971" s="6">
        <v>1000</v>
      </c>
      <c r="G1971" s="7" t="s">
        <v>65</v>
      </c>
      <c r="H1971" s="4" t="s">
        <v>3533</v>
      </c>
      <c r="J1971" t="s">
        <v>49</v>
      </c>
    </row>
    <row r="1972" spans="1:10" x14ac:dyDescent="0.3">
      <c r="A1972" t="s">
        <v>3536</v>
      </c>
      <c r="B1972" t="s">
        <v>3537</v>
      </c>
      <c r="D1972" s="6">
        <v>1000</v>
      </c>
      <c r="G1972" s="7" t="s">
        <v>65</v>
      </c>
      <c r="H1972" s="4" t="s">
        <v>3533</v>
      </c>
      <c r="J1972" t="s">
        <v>49</v>
      </c>
    </row>
    <row r="1973" spans="1:10" x14ac:dyDescent="0.3">
      <c r="A1973" t="s">
        <v>3538</v>
      </c>
      <c r="B1973" t="s">
        <v>3520</v>
      </c>
      <c r="C1973" t="s">
        <v>1493</v>
      </c>
      <c r="D1973" s="9">
        <v>1000</v>
      </c>
      <c r="E1973" t="s">
        <v>45</v>
      </c>
      <c r="F1973" t="s">
        <v>45</v>
      </c>
      <c r="G1973">
        <v>10.49</v>
      </c>
      <c r="H1973" t="s">
        <v>3533</v>
      </c>
      <c r="I1973" t="s">
        <v>3539</v>
      </c>
      <c r="J1973" t="s">
        <v>59</v>
      </c>
    </row>
    <row r="1974" spans="1:10" x14ac:dyDescent="0.3">
      <c r="A1974" t="s">
        <v>3538</v>
      </c>
      <c r="B1974" t="s">
        <v>3540</v>
      </c>
      <c r="D1974" s="6">
        <v>1000</v>
      </c>
      <c r="G1974" s="7">
        <v>10.489999999999998</v>
      </c>
      <c r="H1974" s="4" t="s">
        <v>3533</v>
      </c>
      <c r="J1974" t="s">
        <v>59</v>
      </c>
    </row>
    <row r="1975" spans="1:10" x14ac:dyDescent="0.3">
      <c r="A1975" t="s">
        <v>3538</v>
      </c>
      <c r="B1975" t="s">
        <v>3540</v>
      </c>
      <c r="D1975" s="6">
        <v>1000</v>
      </c>
      <c r="G1975" s="7">
        <v>10.489999999999998</v>
      </c>
      <c r="H1975" s="4" t="s">
        <v>3533</v>
      </c>
      <c r="J1975" t="s">
        <v>59</v>
      </c>
    </row>
    <row r="1976" spans="1:10" x14ac:dyDescent="0.3">
      <c r="A1976" t="s">
        <v>3541</v>
      </c>
      <c r="B1976" t="s">
        <v>3520</v>
      </c>
      <c r="C1976" t="s">
        <v>1150</v>
      </c>
      <c r="D1976" s="9">
        <v>1000</v>
      </c>
      <c r="E1976" t="s">
        <v>45</v>
      </c>
      <c r="F1976" t="s">
        <v>45</v>
      </c>
      <c r="G1976" s="12">
        <v>0</v>
      </c>
      <c r="H1976" s="5" t="s">
        <v>3542</v>
      </c>
      <c r="I1976" t="s">
        <v>3541</v>
      </c>
      <c r="J1976" t="s">
        <v>49</v>
      </c>
    </row>
    <row r="1977" spans="1:10" x14ac:dyDescent="0.3">
      <c r="A1977" t="s">
        <v>3541</v>
      </c>
      <c r="B1977" t="s">
        <v>3543</v>
      </c>
      <c r="D1977" s="6">
        <v>1000</v>
      </c>
      <c r="G1977" s="7" t="s">
        <v>65</v>
      </c>
      <c r="H1977" s="4" t="s">
        <v>3542</v>
      </c>
      <c r="J1977" t="s">
        <v>49</v>
      </c>
    </row>
    <row r="1978" spans="1:10" x14ac:dyDescent="0.3">
      <c r="A1978" t="s">
        <v>3541</v>
      </c>
      <c r="B1978" t="s">
        <v>3543</v>
      </c>
      <c r="D1978" s="6">
        <v>1000</v>
      </c>
      <c r="G1978" s="7" t="s">
        <v>65</v>
      </c>
      <c r="H1978" s="4" t="s">
        <v>3542</v>
      </c>
      <c r="J1978" t="s">
        <v>49</v>
      </c>
    </row>
    <row r="1979" spans="1:10" x14ac:dyDescent="0.3">
      <c r="A1979" t="s">
        <v>3544</v>
      </c>
      <c r="B1979" t="s">
        <v>3520</v>
      </c>
      <c r="C1979" t="s">
        <v>1517</v>
      </c>
      <c r="D1979" s="9">
        <v>1000</v>
      </c>
      <c r="E1979" t="s">
        <v>45</v>
      </c>
      <c r="F1979" t="s">
        <v>45</v>
      </c>
      <c r="G1979">
        <v>11</v>
      </c>
      <c r="H1979" t="s">
        <v>3542</v>
      </c>
      <c r="I1979" t="s">
        <v>3534</v>
      </c>
      <c r="J1979" t="s">
        <v>62</v>
      </c>
    </row>
    <row r="1980" spans="1:10" x14ac:dyDescent="0.3">
      <c r="A1980" t="s">
        <v>3544</v>
      </c>
      <c r="B1980" t="s">
        <v>3545</v>
      </c>
      <c r="D1980" s="6">
        <v>1000</v>
      </c>
      <c r="G1980" s="7">
        <v>11</v>
      </c>
      <c r="H1980" s="4" t="s">
        <v>3542</v>
      </c>
      <c r="J1980" t="s">
        <v>62</v>
      </c>
    </row>
    <row r="1981" spans="1:10" x14ac:dyDescent="0.3">
      <c r="A1981" t="s">
        <v>3544</v>
      </c>
      <c r="B1981" t="s">
        <v>3545</v>
      </c>
      <c r="D1981" s="6">
        <v>1000</v>
      </c>
      <c r="G1981" s="7">
        <v>11</v>
      </c>
      <c r="H1981" s="4" t="s">
        <v>3542</v>
      </c>
      <c r="J1981" t="s">
        <v>62</v>
      </c>
    </row>
    <row r="1982" spans="1:10" x14ac:dyDescent="0.3">
      <c r="A1982" t="s">
        <v>3546</v>
      </c>
      <c r="B1982" t="s">
        <v>3520</v>
      </c>
      <c r="C1982" t="s">
        <v>1154</v>
      </c>
      <c r="D1982" s="9">
        <v>1000</v>
      </c>
      <c r="E1982" t="s">
        <v>45</v>
      </c>
      <c r="F1982" t="s">
        <v>45</v>
      </c>
      <c r="G1982">
        <v>10.49</v>
      </c>
      <c r="H1982" t="s">
        <v>3542</v>
      </c>
      <c r="I1982" t="s">
        <v>3539</v>
      </c>
      <c r="J1982" t="s">
        <v>59</v>
      </c>
    </row>
    <row r="1983" spans="1:10" x14ac:dyDescent="0.3">
      <c r="A1983" t="s">
        <v>3546</v>
      </c>
      <c r="B1983" t="s">
        <v>3547</v>
      </c>
      <c r="D1983" s="6">
        <v>1000</v>
      </c>
      <c r="G1983" s="7">
        <v>10.489999999999998</v>
      </c>
      <c r="H1983" s="4" t="s">
        <v>3542</v>
      </c>
      <c r="J1983" t="s">
        <v>59</v>
      </c>
    </row>
    <row r="1984" spans="1:10" x14ac:dyDescent="0.3">
      <c r="A1984" t="s">
        <v>3546</v>
      </c>
      <c r="B1984" t="s">
        <v>3547</v>
      </c>
      <c r="D1984" s="6">
        <v>1000</v>
      </c>
      <c r="G1984" s="7">
        <v>10.489999999999998</v>
      </c>
      <c r="H1984" s="4" t="s">
        <v>3542</v>
      </c>
      <c r="J1984" t="s">
        <v>59</v>
      </c>
    </row>
    <row r="1985" spans="1:10" x14ac:dyDescent="0.3">
      <c r="A1985" t="s">
        <v>3548</v>
      </c>
      <c r="B1985" t="s">
        <v>3549</v>
      </c>
      <c r="D1985" s="6">
        <v>1000</v>
      </c>
      <c r="G1985" s="7">
        <v>9.75</v>
      </c>
      <c r="H1985" s="4" t="s">
        <v>3550</v>
      </c>
      <c r="J1985" t="s">
        <v>62</v>
      </c>
    </row>
    <row r="1986" spans="1:10" x14ac:dyDescent="0.3">
      <c r="A1986" t="s">
        <v>3551</v>
      </c>
      <c r="B1986" t="s">
        <v>3552</v>
      </c>
      <c r="D1986" s="6">
        <v>1000</v>
      </c>
      <c r="G1986" s="7">
        <v>9.34</v>
      </c>
      <c r="H1986" s="4" t="s">
        <v>3550</v>
      </c>
      <c r="J1986" t="s">
        <v>59</v>
      </c>
    </row>
    <row r="1987" spans="1:10" x14ac:dyDescent="0.3">
      <c r="A1987" t="s">
        <v>3553</v>
      </c>
      <c r="B1987" t="s">
        <v>3554</v>
      </c>
      <c r="D1987" s="6">
        <v>1000</v>
      </c>
      <c r="G1987" s="7">
        <v>10.25</v>
      </c>
      <c r="H1987" s="4" t="s">
        <v>3555</v>
      </c>
      <c r="J1987" t="s">
        <v>62</v>
      </c>
    </row>
    <row r="1988" spans="1:10" x14ac:dyDescent="0.3">
      <c r="A1988" t="s">
        <v>3556</v>
      </c>
      <c r="B1988" t="s">
        <v>3557</v>
      </c>
      <c r="D1988" s="6">
        <v>1000</v>
      </c>
      <c r="G1988" s="7">
        <v>9.81</v>
      </c>
      <c r="H1988" s="4" t="s">
        <v>3555</v>
      </c>
      <c r="J1988" t="s">
        <v>59</v>
      </c>
    </row>
    <row r="1989" spans="1:10" x14ac:dyDescent="0.3">
      <c r="A1989" t="s">
        <v>3558</v>
      </c>
      <c r="B1989" t="s">
        <v>3559</v>
      </c>
      <c r="D1989" s="6">
        <v>1000</v>
      </c>
      <c r="G1989" s="7" t="s">
        <v>65</v>
      </c>
      <c r="H1989" s="4" t="s">
        <v>3560</v>
      </c>
      <c r="J1989" t="s">
        <v>49</v>
      </c>
    </row>
    <row r="1990" spans="1:10" x14ac:dyDescent="0.3">
      <c r="A1990" t="s">
        <v>3561</v>
      </c>
      <c r="B1990" t="s">
        <v>3562</v>
      </c>
      <c r="C1990" t="s">
        <v>1544</v>
      </c>
      <c r="D1990" s="9">
        <v>1000</v>
      </c>
      <c r="E1990" t="s">
        <v>3563</v>
      </c>
      <c r="F1990" t="s">
        <v>283</v>
      </c>
      <c r="G1990" s="12">
        <v>9.0299999999999994</v>
      </c>
      <c r="H1990" s="4">
        <v>46946</v>
      </c>
      <c r="I1990" t="s">
        <v>45</v>
      </c>
      <c r="J1990" t="s">
        <v>59</v>
      </c>
    </row>
    <row r="1991" spans="1:10" x14ac:dyDescent="0.3">
      <c r="A1991" t="s">
        <v>3561</v>
      </c>
      <c r="B1991" t="s">
        <v>3564</v>
      </c>
      <c r="D1991" s="6">
        <v>1000</v>
      </c>
      <c r="G1991" s="7">
        <v>9.0300000000000011</v>
      </c>
      <c r="H1991" s="4" t="s">
        <v>3565</v>
      </c>
      <c r="J1991" t="s">
        <v>59</v>
      </c>
    </row>
    <row r="1992" spans="1:10" x14ac:dyDescent="0.3">
      <c r="A1992" t="s">
        <v>3561</v>
      </c>
      <c r="B1992" t="s">
        <v>3564</v>
      </c>
      <c r="D1992" s="6">
        <v>1000</v>
      </c>
      <c r="G1992" s="7">
        <v>9.0300000000000011</v>
      </c>
      <c r="H1992" s="4" t="s">
        <v>3565</v>
      </c>
      <c r="J1992" t="s">
        <v>59</v>
      </c>
    </row>
    <row r="1993" spans="1:10" x14ac:dyDescent="0.3">
      <c r="A1993" t="s">
        <v>3566</v>
      </c>
      <c r="B1993" t="s">
        <v>3562</v>
      </c>
      <c r="C1993" t="s">
        <v>1183</v>
      </c>
      <c r="D1993" s="9" t="s">
        <v>45</v>
      </c>
      <c r="E1993" t="s">
        <v>45</v>
      </c>
      <c r="F1993" t="s">
        <v>45</v>
      </c>
      <c r="G1993" s="12">
        <v>0</v>
      </c>
      <c r="H1993" t="s">
        <v>45</v>
      </c>
      <c r="I1993" t="s">
        <v>45</v>
      </c>
      <c r="J1993" t="s">
        <v>62</v>
      </c>
    </row>
    <row r="1994" spans="1:10" x14ac:dyDescent="0.3">
      <c r="A1994" t="s">
        <v>3566</v>
      </c>
      <c r="B1994" t="s">
        <v>3567</v>
      </c>
      <c r="D1994" s="6">
        <v>1000</v>
      </c>
      <c r="G1994" s="7">
        <v>9.4</v>
      </c>
      <c r="H1994" s="4" t="s">
        <v>3565</v>
      </c>
      <c r="J1994" t="s">
        <v>62</v>
      </c>
    </row>
    <row r="1995" spans="1:10" x14ac:dyDescent="0.3">
      <c r="A1995" t="s">
        <v>3566</v>
      </c>
      <c r="B1995" t="s">
        <v>3567</v>
      </c>
      <c r="D1995" s="6">
        <v>1000</v>
      </c>
      <c r="G1995" s="7">
        <v>9.4</v>
      </c>
      <c r="H1995" s="4" t="s">
        <v>3565</v>
      </c>
      <c r="J1995" t="s">
        <v>62</v>
      </c>
    </row>
    <row r="1996" spans="1:10" x14ac:dyDescent="0.3">
      <c r="A1996" t="s">
        <v>3568</v>
      </c>
      <c r="B1996" t="s">
        <v>3562</v>
      </c>
      <c r="C1996" t="s">
        <v>1196</v>
      </c>
      <c r="D1996" s="9" t="s">
        <v>45</v>
      </c>
      <c r="E1996" t="s">
        <v>3569</v>
      </c>
      <c r="F1996" t="s">
        <v>311</v>
      </c>
      <c r="G1996" s="12">
        <v>0</v>
      </c>
      <c r="H1996" t="s">
        <v>45</v>
      </c>
      <c r="I1996" t="s">
        <v>3568</v>
      </c>
      <c r="J1996" t="s">
        <v>62</v>
      </c>
    </row>
    <row r="1997" spans="1:10" x14ac:dyDescent="0.3">
      <c r="A1997" t="s">
        <v>3568</v>
      </c>
      <c r="B1997" t="s">
        <v>3570</v>
      </c>
      <c r="D1997" s="6">
        <v>1000</v>
      </c>
      <c r="G1997" s="7">
        <v>9.3000000000000007</v>
      </c>
      <c r="H1997" s="4" t="s">
        <v>3571</v>
      </c>
      <c r="J1997" t="s">
        <v>59</v>
      </c>
    </row>
    <row r="1998" spans="1:10" x14ac:dyDescent="0.3">
      <c r="A1998" t="s">
        <v>3568</v>
      </c>
      <c r="B1998" t="s">
        <v>3570</v>
      </c>
      <c r="D1998" s="6">
        <v>1000</v>
      </c>
      <c r="G1998" s="7">
        <v>9.3000000000000007</v>
      </c>
      <c r="H1998" s="4" t="s">
        <v>3571</v>
      </c>
      <c r="J1998" t="s">
        <v>59</v>
      </c>
    </row>
    <row r="1999" spans="1:10" x14ac:dyDescent="0.3">
      <c r="A1999" t="s">
        <v>3572</v>
      </c>
      <c r="B1999" t="s">
        <v>3562</v>
      </c>
      <c r="C1999" t="s">
        <v>1205</v>
      </c>
      <c r="D1999" s="9" t="s">
        <v>45</v>
      </c>
      <c r="E1999" t="s">
        <v>45</v>
      </c>
      <c r="F1999" t="s">
        <v>45</v>
      </c>
      <c r="G1999" s="12">
        <v>0</v>
      </c>
      <c r="H1999" t="s">
        <v>45</v>
      </c>
      <c r="I1999" t="s">
        <v>3572</v>
      </c>
      <c r="J1999" t="s">
        <v>361</v>
      </c>
    </row>
    <row r="2000" spans="1:10" x14ac:dyDescent="0.3">
      <c r="A2000" t="s">
        <v>3572</v>
      </c>
      <c r="B2000" t="s">
        <v>3573</v>
      </c>
      <c r="D2000" s="6">
        <v>1000</v>
      </c>
      <c r="G2000" s="7">
        <v>9.7000000000000011</v>
      </c>
      <c r="H2000" s="4" t="s">
        <v>3571</v>
      </c>
      <c r="J2000" t="s">
        <v>62</v>
      </c>
    </row>
    <row r="2001" spans="1:10" x14ac:dyDescent="0.3">
      <c r="A2001" t="s">
        <v>3572</v>
      </c>
      <c r="B2001" t="s">
        <v>3573</v>
      </c>
      <c r="D2001" s="6">
        <v>1000</v>
      </c>
      <c r="G2001" s="7">
        <v>9.7000000000000011</v>
      </c>
      <c r="H2001" s="4" t="s">
        <v>3571</v>
      </c>
      <c r="J2001" t="s">
        <v>62</v>
      </c>
    </row>
    <row r="2002" spans="1:10" x14ac:dyDescent="0.3">
      <c r="A2002" t="s">
        <v>3574</v>
      </c>
      <c r="B2002" t="s">
        <v>3575</v>
      </c>
      <c r="D2002" s="6">
        <v>1000</v>
      </c>
      <c r="G2002" s="7">
        <v>9.3000000000000007</v>
      </c>
      <c r="H2002" s="4" t="s">
        <v>3576</v>
      </c>
      <c r="J2002" t="s">
        <v>59</v>
      </c>
    </row>
    <row r="2003" spans="1:10" x14ac:dyDescent="0.3">
      <c r="A2003" t="s">
        <v>3574</v>
      </c>
      <c r="B2003" t="s">
        <v>3575</v>
      </c>
      <c r="D2003" s="6">
        <v>1000</v>
      </c>
      <c r="G2003" s="7">
        <v>9.3000000000000007</v>
      </c>
      <c r="H2003" s="4" t="s">
        <v>3576</v>
      </c>
      <c r="J2003" t="s">
        <v>59</v>
      </c>
    </row>
    <row r="2004" spans="1:10" x14ac:dyDescent="0.3">
      <c r="A2004" t="s">
        <v>3577</v>
      </c>
      <c r="B2004" t="s">
        <v>3562</v>
      </c>
      <c r="C2004" t="s">
        <v>1239</v>
      </c>
      <c r="D2004" s="9" t="s">
        <v>45</v>
      </c>
      <c r="E2004" t="s">
        <v>45</v>
      </c>
      <c r="F2004" t="s">
        <v>45</v>
      </c>
      <c r="G2004" s="12">
        <v>0</v>
      </c>
      <c r="H2004" t="s">
        <v>45</v>
      </c>
      <c r="I2004" t="s">
        <v>3577</v>
      </c>
      <c r="J2004" t="s">
        <v>361</v>
      </c>
    </row>
    <row r="2005" spans="1:10" x14ac:dyDescent="0.3">
      <c r="A2005" t="s">
        <v>3577</v>
      </c>
      <c r="B2005" t="s">
        <v>3578</v>
      </c>
      <c r="D2005" s="6">
        <v>1000</v>
      </c>
      <c r="G2005" s="7">
        <v>9.7000000000000011</v>
      </c>
      <c r="H2005" s="4" t="s">
        <v>3576</v>
      </c>
      <c r="J2005" t="s">
        <v>62</v>
      </c>
    </row>
    <row r="2006" spans="1:10" x14ac:dyDescent="0.3">
      <c r="A2006" t="s">
        <v>3577</v>
      </c>
      <c r="B2006" t="s">
        <v>3578</v>
      </c>
      <c r="D2006" s="6">
        <v>1000</v>
      </c>
      <c r="G2006" s="7">
        <v>9.7000000000000011</v>
      </c>
      <c r="H2006" s="4" t="s">
        <v>3576</v>
      </c>
      <c r="J2006" t="s">
        <v>62</v>
      </c>
    </row>
    <row r="2007" spans="1:10" x14ac:dyDescent="0.3">
      <c r="A2007" t="s">
        <v>3579</v>
      </c>
      <c r="B2007" t="s">
        <v>3580</v>
      </c>
      <c r="D2007" s="6">
        <v>1000</v>
      </c>
      <c r="G2007" s="7">
        <v>9.31</v>
      </c>
      <c r="H2007" s="4" t="s">
        <v>3581</v>
      </c>
      <c r="J2007" t="s">
        <v>59</v>
      </c>
    </row>
    <row r="2008" spans="1:10" x14ac:dyDescent="0.3">
      <c r="A2008" t="s">
        <v>3579</v>
      </c>
      <c r="B2008" t="s">
        <v>3580</v>
      </c>
      <c r="D2008" s="6">
        <v>1000</v>
      </c>
      <c r="G2008" s="7">
        <v>9.31</v>
      </c>
      <c r="H2008" s="4" t="s">
        <v>3581</v>
      </c>
      <c r="J2008" t="s">
        <v>59</v>
      </c>
    </row>
    <row r="2009" spans="1:10" x14ac:dyDescent="0.3">
      <c r="A2009" t="s">
        <v>3582</v>
      </c>
      <c r="B2009" t="s">
        <v>3583</v>
      </c>
      <c r="D2009" s="6">
        <v>1000</v>
      </c>
      <c r="G2009" s="7">
        <v>9.7000000000000011</v>
      </c>
      <c r="H2009" s="4" t="s">
        <v>3581</v>
      </c>
      <c r="J2009" t="s">
        <v>62</v>
      </c>
    </row>
    <row r="2010" spans="1:10" x14ac:dyDescent="0.3">
      <c r="A2010" t="s">
        <v>3582</v>
      </c>
      <c r="B2010" t="s">
        <v>3583</v>
      </c>
      <c r="D2010" s="6">
        <v>1000</v>
      </c>
      <c r="G2010" s="7">
        <v>9.7000000000000011</v>
      </c>
      <c r="H2010" s="4" t="s">
        <v>3581</v>
      </c>
      <c r="J2010" t="s">
        <v>62</v>
      </c>
    </row>
    <row r="2011" spans="1:10" x14ac:dyDescent="0.3">
      <c r="A2011" t="s">
        <v>3584</v>
      </c>
      <c r="B2011" t="s">
        <v>3585</v>
      </c>
      <c r="D2011" s="6">
        <v>1000</v>
      </c>
      <c r="G2011" s="7" t="s">
        <v>65</v>
      </c>
      <c r="H2011" s="4" t="s">
        <v>3581</v>
      </c>
      <c r="J2011" t="s">
        <v>49</v>
      </c>
    </row>
    <row r="2012" spans="1:10" x14ac:dyDescent="0.3">
      <c r="A2012" t="s">
        <v>3584</v>
      </c>
      <c r="B2012" t="s">
        <v>3585</v>
      </c>
      <c r="D2012" s="6">
        <v>1000</v>
      </c>
      <c r="G2012" s="7" t="s">
        <v>65</v>
      </c>
      <c r="H2012" s="4" t="s">
        <v>3581</v>
      </c>
      <c r="J2012" t="s">
        <v>49</v>
      </c>
    </row>
    <row r="2013" spans="1:10" x14ac:dyDescent="0.3">
      <c r="A2013" t="s">
        <v>3586</v>
      </c>
      <c r="B2013" t="s">
        <v>3587</v>
      </c>
      <c r="D2013" s="6">
        <v>1000</v>
      </c>
      <c r="G2013" s="7">
        <v>8.66</v>
      </c>
      <c r="H2013" s="4" t="s">
        <v>3588</v>
      </c>
      <c r="J2013" t="s">
        <v>59</v>
      </c>
    </row>
    <row r="2014" spans="1:10" x14ac:dyDescent="0.3">
      <c r="A2014" t="s">
        <v>3586</v>
      </c>
      <c r="B2014" t="s">
        <v>3587</v>
      </c>
      <c r="D2014" s="6">
        <v>1000</v>
      </c>
      <c r="G2014" s="7">
        <v>8.66</v>
      </c>
      <c r="H2014" s="4" t="s">
        <v>3588</v>
      </c>
      <c r="J2014" t="s">
        <v>59</v>
      </c>
    </row>
    <row r="2015" spans="1:10" x14ac:dyDescent="0.3">
      <c r="A2015" t="s">
        <v>3589</v>
      </c>
      <c r="B2015" t="s">
        <v>3590</v>
      </c>
      <c r="D2015" s="6">
        <v>1000</v>
      </c>
      <c r="G2015" s="7">
        <v>8.75</v>
      </c>
      <c r="H2015" s="4" t="s">
        <v>3591</v>
      </c>
      <c r="J2015" t="s">
        <v>59</v>
      </c>
    </row>
    <row r="2016" spans="1:10" x14ac:dyDescent="0.3">
      <c r="A2016" t="s">
        <v>3589</v>
      </c>
      <c r="B2016" t="s">
        <v>3590</v>
      </c>
      <c r="D2016" s="6">
        <v>1000</v>
      </c>
      <c r="G2016" s="7">
        <v>8.75</v>
      </c>
      <c r="H2016" s="4" t="s">
        <v>3591</v>
      </c>
      <c r="J2016" t="s">
        <v>59</v>
      </c>
    </row>
    <row r="2017" spans="1:10" x14ac:dyDescent="0.3">
      <c r="A2017" t="s">
        <v>3592</v>
      </c>
      <c r="B2017" t="s">
        <v>3593</v>
      </c>
      <c r="D2017" s="6">
        <v>1000</v>
      </c>
      <c r="G2017" s="7">
        <v>9</v>
      </c>
      <c r="H2017" s="4" t="s">
        <v>3588</v>
      </c>
      <c r="J2017" t="s">
        <v>62</v>
      </c>
    </row>
    <row r="2018" spans="1:10" x14ac:dyDescent="0.3">
      <c r="A2018" t="s">
        <v>3592</v>
      </c>
      <c r="B2018" t="s">
        <v>3593</v>
      </c>
      <c r="D2018" s="6">
        <v>1000</v>
      </c>
      <c r="G2018" s="7">
        <v>9</v>
      </c>
      <c r="H2018" s="4" t="s">
        <v>3588</v>
      </c>
      <c r="J2018" t="s">
        <v>62</v>
      </c>
    </row>
    <row r="2019" spans="1:10" x14ac:dyDescent="0.3">
      <c r="A2019" t="s">
        <v>3594</v>
      </c>
      <c r="B2019" t="s">
        <v>3595</v>
      </c>
      <c r="D2019" s="6">
        <v>1000</v>
      </c>
      <c r="G2019" s="7">
        <v>9.1</v>
      </c>
      <c r="H2019" s="4" t="s">
        <v>3591</v>
      </c>
      <c r="J2019" t="s">
        <v>62</v>
      </c>
    </row>
    <row r="2020" spans="1:10" x14ac:dyDescent="0.3">
      <c r="A2020" t="s">
        <v>3594</v>
      </c>
      <c r="B2020" t="s">
        <v>3595</v>
      </c>
      <c r="D2020" s="6">
        <v>1000</v>
      </c>
      <c r="G2020" s="7">
        <v>9.1</v>
      </c>
      <c r="H2020" s="4" t="s">
        <v>3591</v>
      </c>
      <c r="J2020" t="s">
        <v>62</v>
      </c>
    </row>
    <row r="2021" spans="1:10" x14ac:dyDescent="0.3">
      <c r="A2021" t="s">
        <v>3596</v>
      </c>
      <c r="B2021" t="s">
        <v>3597</v>
      </c>
      <c r="D2021" s="6">
        <v>1000</v>
      </c>
      <c r="G2021" s="7" t="s">
        <v>65</v>
      </c>
      <c r="H2021" s="4" t="s">
        <v>3588</v>
      </c>
      <c r="J2021" t="s">
        <v>49</v>
      </c>
    </row>
    <row r="2022" spans="1:10" x14ac:dyDescent="0.3">
      <c r="A2022" t="s">
        <v>3596</v>
      </c>
      <c r="B2022" t="s">
        <v>3597</v>
      </c>
      <c r="D2022" s="6">
        <v>1000</v>
      </c>
      <c r="G2022" s="7" t="s">
        <v>65</v>
      </c>
      <c r="H2022" s="4" t="s">
        <v>3588</v>
      </c>
      <c r="J2022" t="s">
        <v>49</v>
      </c>
    </row>
    <row r="2023" spans="1:10" x14ac:dyDescent="0.3">
      <c r="A2023" t="s">
        <v>3598</v>
      </c>
      <c r="B2023" t="s">
        <v>3599</v>
      </c>
      <c r="C2023" t="s">
        <v>48</v>
      </c>
      <c r="D2023" s="9">
        <v>1000</v>
      </c>
      <c r="E2023" t="s">
        <v>3600</v>
      </c>
      <c r="F2023" t="s">
        <v>311</v>
      </c>
      <c r="G2023">
        <v>8.48</v>
      </c>
      <c r="H2023" t="s">
        <v>3601</v>
      </c>
      <c r="I2023" t="s">
        <v>3602</v>
      </c>
      <c r="J2023" t="s">
        <v>62</v>
      </c>
    </row>
    <row r="2024" spans="1:10" x14ac:dyDescent="0.3">
      <c r="A2024" t="s">
        <v>3598</v>
      </c>
      <c r="B2024" t="s">
        <v>3603</v>
      </c>
      <c r="D2024" s="6">
        <v>1000</v>
      </c>
      <c r="G2024" s="7">
        <v>8.48</v>
      </c>
      <c r="H2024" s="4" t="s">
        <v>3601</v>
      </c>
      <c r="J2024" t="s">
        <v>62</v>
      </c>
    </row>
    <row r="2025" spans="1:10" x14ac:dyDescent="0.3">
      <c r="A2025" t="s">
        <v>3604</v>
      </c>
      <c r="B2025" t="s">
        <v>3599</v>
      </c>
      <c r="C2025" t="s">
        <v>51</v>
      </c>
      <c r="D2025" s="9">
        <v>1000</v>
      </c>
      <c r="E2025" t="s">
        <v>3605</v>
      </c>
      <c r="F2025" t="s">
        <v>396</v>
      </c>
      <c r="G2025">
        <v>8.66</v>
      </c>
      <c r="H2025" t="s">
        <v>3606</v>
      </c>
      <c r="I2025" t="s">
        <v>3607</v>
      </c>
      <c r="J2025" t="s">
        <v>62</v>
      </c>
    </row>
    <row r="2026" spans="1:10" x14ac:dyDescent="0.3">
      <c r="A2026" t="s">
        <v>3604</v>
      </c>
      <c r="B2026" t="s">
        <v>3608</v>
      </c>
      <c r="D2026" s="6">
        <v>1000</v>
      </c>
      <c r="G2026" s="7">
        <v>8.66</v>
      </c>
      <c r="H2026" s="4" t="s">
        <v>3606</v>
      </c>
      <c r="J2026" t="s">
        <v>62</v>
      </c>
    </row>
    <row r="2027" spans="1:10" x14ac:dyDescent="0.3">
      <c r="A2027" t="s">
        <v>3609</v>
      </c>
      <c r="B2027" t="s">
        <v>3599</v>
      </c>
      <c r="D2027" s="9">
        <v>1000</v>
      </c>
      <c r="G2027">
        <v>8.73</v>
      </c>
      <c r="H2027" s="4">
        <v>47103</v>
      </c>
      <c r="I2027" t="s">
        <v>3609</v>
      </c>
      <c r="J2027" t="s">
        <v>62</v>
      </c>
    </row>
    <row r="2028" spans="1:10" x14ac:dyDescent="0.3">
      <c r="A2028" t="s">
        <v>3609</v>
      </c>
      <c r="B2028" t="s">
        <v>3610</v>
      </c>
      <c r="D2028" s="6">
        <v>1000</v>
      </c>
      <c r="G2028" s="7">
        <v>8.73</v>
      </c>
      <c r="H2028" s="4" t="s">
        <v>3601</v>
      </c>
      <c r="J2028" t="s">
        <v>62</v>
      </c>
    </row>
    <row r="2029" spans="1:10" x14ac:dyDescent="0.3">
      <c r="A2029" t="s">
        <v>3611</v>
      </c>
      <c r="B2029" t="s">
        <v>3599</v>
      </c>
      <c r="C2029" t="s">
        <v>281</v>
      </c>
      <c r="D2029" s="9">
        <v>1000</v>
      </c>
      <c r="E2029" t="s">
        <v>45</v>
      </c>
      <c r="F2029" t="s">
        <v>45</v>
      </c>
      <c r="G2029">
        <v>8.91</v>
      </c>
      <c r="H2029" t="s">
        <v>3606</v>
      </c>
      <c r="I2029" t="s">
        <v>3612</v>
      </c>
      <c r="J2029" t="s">
        <v>62</v>
      </c>
    </row>
    <row r="2030" spans="1:10" x14ac:dyDescent="0.3">
      <c r="A2030" t="s">
        <v>3611</v>
      </c>
      <c r="B2030" t="s">
        <v>3613</v>
      </c>
      <c r="D2030" s="6">
        <v>1000</v>
      </c>
      <c r="G2030" s="7">
        <v>8.91</v>
      </c>
      <c r="H2030" s="4" t="s">
        <v>3606</v>
      </c>
      <c r="J2030" t="s">
        <v>62</v>
      </c>
    </row>
    <row r="2031" spans="1:10" x14ac:dyDescent="0.3">
      <c r="A2031" t="s">
        <v>3614</v>
      </c>
      <c r="B2031" t="s">
        <v>3599</v>
      </c>
      <c r="C2031" t="s">
        <v>384</v>
      </c>
      <c r="D2031" s="9">
        <v>5</v>
      </c>
      <c r="E2031" t="s">
        <v>45</v>
      </c>
      <c r="F2031" t="s">
        <v>45</v>
      </c>
      <c r="G2031">
        <v>8.49</v>
      </c>
      <c r="H2031" t="s">
        <v>3615</v>
      </c>
      <c r="I2031" t="s">
        <v>3616</v>
      </c>
      <c r="J2031" t="s">
        <v>62</v>
      </c>
    </row>
    <row r="2032" spans="1:10" x14ac:dyDescent="0.3">
      <c r="A2032" t="s">
        <v>3614</v>
      </c>
      <c r="B2032" t="s">
        <v>3617</v>
      </c>
      <c r="D2032">
        <v>10</v>
      </c>
      <c r="G2032" s="7">
        <v>8.49</v>
      </c>
      <c r="H2032" s="4" t="s">
        <v>3615</v>
      </c>
      <c r="J2032" t="s">
        <v>62</v>
      </c>
    </row>
    <row r="2033" spans="1:10" x14ac:dyDescent="0.3">
      <c r="A2033" t="s">
        <v>3614</v>
      </c>
      <c r="B2033" t="s">
        <v>3617</v>
      </c>
      <c r="D2033">
        <v>10</v>
      </c>
      <c r="G2033" s="7">
        <v>8.49</v>
      </c>
      <c r="H2033" s="4" t="s">
        <v>3615</v>
      </c>
      <c r="J2033" t="s">
        <v>62</v>
      </c>
    </row>
    <row r="2034" spans="1:10" x14ac:dyDescent="0.3">
      <c r="A2034" t="s">
        <v>3618</v>
      </c>
      <c r="B2034" t="s">
        <v>3599</v>
      </c>
      <c r="C2034" t="s">
        <v>415</v>
      </c>
      <c r="D2034" s="9">
        <v>1000</v>
      </c>
      <c r="E2034" t="s">
        <v>3619</v>
      </c>
      <c r="F2034" t="s">
        <v>283</v>
      </c>
      <c r="G2034">
        <v>7.11</v>
      </c>
      <c r="H2034" t="s">
        <v>3620</v>
      </c>
      <c r="I2034" t="s">
        <v>3621</v>
      </c>
      <c r="J2034" t="s">
        <v>62</v>
      </c>
    </row>
    <row r="2035" spans="1:10" x14ac:dyDescent="0.3">
      <c r="A2035" t="s">
        <v>3622</v>
      </c>
      <c r="B2035" t="s">
        <v>3599</v>
      </c>
      <c r="C2035" t="s">
        <v>288</v>
      </c>
      <c r="D2035" s="9">
        <v>1000</v>
      </c>
      <c r="E2035" t="s">
        <v>3623</v>
      </c>
      <c r="F2035" t="s">
        <v>283</v>
      </c>
      <c r="G2035">
        <v>7.28</v>
      </c>
      <c r="H2035" t="s">
        <v>3624</v>
      </c>
      <c r="I2035" t="s">
        <v>3625</v>
      </c>
      <c r="J2035" t="s">
        <v>62</v>
      </c>
    </row>
    <row r="2036" spans="1:10" x14ac:dyDescent="0.3">
      <c r="A2036" t="s">
        <v>3626</v>
      </c>
      <c r="B2036" t="s">
        <v>3599</v>
      </c>
      <c r="C2036" t="s">
        <v>292</v>
      </c>
      <c r="D2036" s="9">
        <v>1000</v>
      </c>
      <c r="E2036" t="s">
        <v>45</v>
      </c>
      <c r="F2036" t="s">
        <v>45</v>
      </c>
      <c r="G2036">
        <v>7.37</v>
      </c>
      <c r="H2036" t="s">
        <v>3627</v>
      </c>
      <c r="I2036" t="s">
        <v>3628</v>
      </c>
      <c r="J2036" t="s">
        <v>62</v>
      </c>
    </row>
    <row r="2037" spans="1:10" x14ac:dyDescent="0.3">
      <c r="A2037" t="s">
        <v>3629</v>
      </c>
      <c r="B2037" t="s">
        <v>3599</v>
      </c>
      <c r="C2037" t="s">
        <v>389</v>
      </c>
      <c r="D2037" s="9">
        <v>1000</v>
      </c>
      <c r="E2037" t="s">
        <v>3630</v>
      </c>
      <c r="F2037" t="s">
        <v>1106</v>
      </c>
      <c r="G2037">
        <v>7.36</v>
      </c>
      <c r="H2037" t="s">
        <v>3620</v>
      </c>
      <c r="I2037" t="s">
        <v>3631</v>
      </c>
      <c r="J2037" t="s">
        <v>62</v>
      </c>
    </row>
    <row r="2038" spans="1:10" x14ac:dyDescent="0.3">
      <c r="A2038" t="s">
        <v>3632</v>
      </c>
      <c r="B2038" t="s">
        <v>3599</v>
      </c>
      <c r="C2038" t="s">
        <v>297</v>
      </c>
      <c r="D2038" s="9">
        <v>1000</v>
      </c>
      <c r="E2038" t="s">
        <v>3633</v>
      </c>
      <c r="F2038" t="s">
        <v>311</v>
      </c>
      <c r="G2038">
        <v>7.53</v>
      </c>
      <c r="H2038" t="s">
        <v>3624</v>
      </c>
      <c r="I2038" t="s">
        <v>3634</v>
      </c>
      <c r="J2038" t="s">
        <v>62</v>
      </c>
    </row>
    <row r="2039" spans="1:10" x14ac:dyDescent="0.3">
      <c r="A2039" t="s">
        <v>3635</v>
      </c>
      <c r="B2039" t="s">
        <v>3599</v>
      </c>
      <c r="C2039" t="s">
        <v>302</v>
      </c>
      <c r="D2039" s="9">
        <v>1000</v>
      </c>
      <c r="E2039" t="s">
        <v>45</v>
      </c>
      <c r="F2039" t="s">
        <v>45</v>
      </c>
      <c r="G2039">
        <v>7.62</v>
      </c>
      <c r="H2039" t="s">
        <v>3627</v>
      </c>
      <c r="I2039" t="s">
        <v>3636</v>
      </c>
      <c r="J2039" t="s">
        <v>62</v>
      </c>
    </row>
    <row r="2040" spans="1:10" x14ac:dyDescent="0.3">
      <c r="A2040" t="s">
        <v>3637</v>
      </c>
      <c r="B2040" t="s">
        <v>3638</v>
      </c>
      <c r="C2040" t="s">
        <v>48</v>
      </c>
      <c r="D2040" s="9">
        <v>1000</v>
      </c>
      <c r="E2040" t="s">
        <v>3639</v>
      </c>
      <c r="F2040" t="s">
        <v>640</v>
      </c>
      <c r="G2040" s="12">
        <v>0</v>
      </c>
      <c r="H2040" t="s">
        <v>3640</v>
      </c>
      <c r="I2040" t="s">
        <v>3637</v>
      </c>
      <c r="J2040" t="s">
        <v>49</v>
      </c>
    </row>
    <row r="2041" spans="1:10" x14ac:dyDescent="0.3">
      <c r="A2041" t="s">
        <v>3637</v>
      </c>
      <c r="B2041" t="s">
        <v>3641</v>
      </c>
      <c r="D2041" s="6">
        <v>1000</v>
      </c>
      <c r="G2041" s="7" t="s">
        <v>65</v>
      </c>
      <c r="H2041" s="4" t="s">
        <v>3640</v>
      </c>
      <c r="J2041" t="s">
        <v>49</v>
      </c>
    </row>
    <row r="2042" spans="1:10" x14ac:dyDescent="0.3">
      <c r="A2042" t="s">
        <v>3637</v>
      </c>
      <c r="B2042" t="s">
        <v>3641</v>
      </c>
      <c r="D2042" s="6">
        <v>1000</v>
      </c>
      <c r="G2042" s="7" t="s">
        <v>65</v>
      </c>
      <c r="H2042" s="4" t="s">
        <v>3640</v>
      </c>
      <c r="J2042" t="s">
        <v>49</v>
      </c>
    </row>
    <row r="2043" spans="1:10" x14ac:dyDescent="0.3">
      <c r="A2043" t="s">
        <v>3642</v>
      </c>
      <c r="B2043" t="s">
        <v>3638</v>
      </c>
      <c r="C2043" t="s">
        <v>54</v>
      </c>
      <c r="D2043" s="9">
        <v>1000</v>
      </c>
      <c r="E2043" t="s">
        <v>3643</v>
      </c>
      <c r="F2043" t="s">
        <v>619</v>
      </c>
      <c r="G2043">
        <v>9.4499999999999993</v>
      </c>
      <c r="H2043" t="s">
        <v>3640</v>
      </c>
      <c r="I2043" t="s">
        <v>3644</v>
      </c>
      <c r="J2043" t="s">
        <v>59</v>
      </c>
    </row>
    <row r="2044" spans="1:10" x14ac:dyDescent="0.3">
      <c r="A2044" t="s">
        <v>3642</v>
      </c>
      <c r="B2044" t="s">
        <v>3645</v>
      </c>
      <c r="D2044" s="6">
        <v>1000</v>
      </c>
      <c r="G2044" s="7">
        <v>9.4499999999999993</v>
      </c>
      <c r="H2044" s="4" t="s">
        <v>3640</v>
      </c>
      <c r="J2044" t="s">
        <v>59</v>
      </c>
    </row>
    <row r="2045" spans="1:10" x14ac:dyDescent="0.3">
      <c r="A2045" t="s">
        <v>3642</v>
      </c>
      <c r="B2045" t="s">
        <v>3645</v>
      </c>
      <c r="D2045" s="6">
        <v>1000</v>
      </c>
      <c r="G2045" s="7">
        <v>9.4499999999999993</v>
      </c>
      <c r="H2045" s="4" t="s">
        <v>3640</v>
      </c>
      <c r="J2045" t="s">
        <v>59</v>
      </c>
    </row>
    <row r="2046" spans="1:10" x14ac:dyDescent="0.3">
      <c r="A2046" t="s">
        <v>3646</v>
      </c>
      <c r="B2046" t="s">
        <v>3638</v>
      </c>
      <c r="C2046" t="s">
        <v>51</v>
      </c>
      <c r="D2046" s="9">
        <v>1000</v>
      </c>
      <c r="E2046" t="s">
        <v>1140</v>
      </c>
      <c r="F2046" t="s">
        <v>283</v>
      </c>
      <c r="G2046">
        <v>9.6</v>
      </c>
      <c r="H2046" t="s">
        <v>3647</v>
      </c>
      <c r="I2046" t="s">
        <v>3648</v>
      </c>
      <c r="J2046" t="s">
        <v>59</v>
      </c>
    </row>
    <row r="2047" spans="1:10" x14ac:dyDescent="0.3">
      <c r="A2047" t="s">
        <v>3646</v>
      </c>
      <c r="B2047" t="s">
        <v>3649</v>
      </c>
      <c r="D2047" s="6">
        <v>1000</v>
      </c>
      <c r="G2047" s="7">
        <v>9.6</v>
      </c>
      <c r="H2047" s="4" t="s">
        <v>3647</v>
      </c>
      <c r="J2047" t="s">
        <v>59</v>
      </c>
    </row>
    <row r="2048" spans="1:10" x14ac:dyDescent="0.3">
      <c r="A2048" t="s">
        <v>3646</v>
      </c>
      <c r="B2048" t="s">
        <v>3649</v>
      </c>
      <c r="D2048" s="6">
        <v>1000</v>
      </c>
      <c r="G2048" s="7">
        <v>9.6</v>
      </c>
      <c r="H2048" s="4" t="s">
        <v>3647</v>
      </c>
      <c r="J2048" t="s">
        <v>59</v>
      </c>
    </row>
    <row r="2049" spans="1:10" x14ac:dyDescent="0.3">
      <c r="A2049" t="s">
        <v>3650</v>
      </c>
      <c r="B2049" t="s">
        <v>3638</v>
      </c>
      <c r="C2049" t="s">
        <v>275</v>
      </c>
      <c r="D2049" s="9">
        <v>1000</v>
      </c>
      <c r="E2049" t="s">
        <v>45</v>
      </c>
      <c r="F2049" t="s">
        <v>45</v>
      </c>
      <c r="G2049" s="12">
        <v>0</v>
      </c>
      <c r="H2049" t="s">
        <v>3647</v>
      </c>
      <c r="I2049" t="s">
        <v>3650</v>
      </c>
      <c r="J2049" t="s">
        <v>65</v>
      </c>
    </row>
    <row r="2050" spans="1:10" x14ac:dyDescent="0.3">
      <c r="A2050" t="s">
        <v>3650</v>
      </c>
      <c r="B2050" t="s">
        <v>3651</v>
      </c>
      <c r="D2050" s="6">
        <v>1000</v>
      </c>
      <c r="G2050" s="7" t="s">
        <v>65</v>
      </c>
      <c r="H2050" s="4" t="s">
        <v>3647</v>
      </c>
      <c r="J2050" t="s">
        <v>49</v>
      </c>
    </row>
    <row r="2051" spans="1:10" x14ac:dyDescent="0.3">
      <c r="A2051" t="s">
        <v>3650</v>
      </c>
      <c r="B2051" t="s">
        <v>3651</v>
      </c>
      <c r="D2051" s="6">
        <v>1000</v>
      </c>
      <c r="G2051" s="7" t="s">
        <v>65</v>
      </c>
      <c r="H2051" s="4" t="s">
        <v>3647</v>
      </c>
      <c r="J2051" t="s">
        <v>49</v>
      </c>
    </row>
    <row r="2052" spans="1:10" x14ac:dyDescent="0.3">
      <c r="A2052" t="s">
        <v>3652</v>
      </c>
      <c r="B2052" t="s">
        <v>3638</v>
      </c>
      <c r="C2052" t="s">
        <v>340</v>
      </c>
      <c r="D2052" s="9">
        <v>1000</v>
      </c>
      <c r="E2052" t="s">
        <v>3653</v>
      </c>
      <c r="F2052" t="s">
        <v>3654</v>
      </c>
      <c r="G2052">
        <v>10</v>
      </c>
      <c r="H2052" t="s">
        <v>3655</v>
      </c>
      <c r="I2052" t="s">
        <v>3656</v>
      </c>
      <c r="J2052" t="s">
        <v>59</v>
      </c>
    </row>
    <row r="2053" spans="1:10" x14ac:dyDescent="0.3">
      <c r="A2053" t="s">
        <v>3652</v>
      </c>
      <c r="B2053" t="s">
        <v>3657</v>
      </c>
      <c r="D2053" s="6">
        <v>1000</v>
      </c>
      <c r="G2053" s="7">
        <v>10</v>
      </c>
      <c r="H2053" s="4" t="s">
        <v>3655</v>
      </c>
      <c r="J2053" t="s">
        <v>59</v>
      </c>
    </row>
    <row r="2054" spans="1:10" x14ac:dyDescent="0.3">
      <c r="A2054" t="s">
        <v>3652</v>
      </c>
      <c r="B2054" t="s">
        <v>3657</v>
      </c>
      <c r="D2054" s="6">
        <v>1000</v>
      </c>
      <c r="G2054" s="7">
        <v>10</v>
      </c>
      <c r="H2054" s="4" t="s">
        <v>3655</v>
      </c>
      <c r="J2054" t="s">
        <v>59</v>
      </c>
    </row>
    <row r="2055" spans="1:10" x14ac:dyDescent="0.3">
      <c r="A2055" t="s">
        <v>3658</v>
      </c>
      <c r="B2055" t="s">
        <v>3638</v>
      </c>
      <c r="C2055" t="s">
        <v>281</v>
      </c>
      <c r="D2055" s="9">
        <v>1000</v>
      </c>
      <c r="E2055" t="s">
        <v>45</v>
      </c>
      <c r="F2055" t="s">
        <v>45</v>
      </c>
      <c r="G2055" s="12">
        <v>0</v>
      </c>
      <c r="H2055" s="5" t="s">
        <v>3655</v>
      </c>
      <c r="I2055" t="s">
        <v>3658</v>
      </c>
      <c r="J2055" t="s">
        <v>62</v>
      </c>
    </row>
    <row r="2056" spans="1:10" x14ac:dyDescent="0.3">
      <c r="A2056" t="s">
        <v>3658</v>
      </c>
      <c r="B2056" t="s">
        <v>3659</v>
      </c>
      <c r="D2056" s="6">
        <v>1000</v>
      </c>
      <c r="G2056" s="7" t="s">
        <v>65</v>
      </c>
      <c r="H2056" s="4" t="s">
        <v>3655</v>
      </c>
      <c r="J2056" t="s">
        <v>49</v>
      </c>
    </row>
    <row r="2057" spans="1:10" x14ac:dyDescent="0.3">
      <c r="A2057" t="s">
        <v>3658</v>
      </c>
      <c r="B2057" t="s">
        <v>3659</v>
      </c>
      <c r="D2057" s="6">
        <v>1000</v>
      </c>
      <c r="G2057" s="7" t="s">
        <v>65</v>
      </c>
      <c r="H2057" s="4" t="s">
        <v>3655</v>
      </c>
      <c r="J2057" t="s">
        <v>49</v>
      </c>
    </row>
    <row r="2058" spans="1:10" x14ac:dyDescent="0.3">
      <c r="A2058" t="s">
        <v>3660</v>
      </c>
      <c r="B2058" t="s">
        <v>3638</v>
      </c>
      <c r="C2058" t="s">
        <v>384</v>
      </c>
      <c r="D2058" s="9">
        <v>1000</v>
      </c>
      <c r="E2058" t="s">
        <v>2072</v>
      </c>
      <c r="F2058" t="s">
        <v>332</v>
      </c>
      <c r="G2058">
        <v>9.1</v>
      </c>
      <c r="H2058" t="s">
        <v>3661</v>
      </c>
      <c r="I2058" t="s">
        <v>3662</v>
      </c>
      <c r="J2058" t="s">
        <v>72</v>
      </c>
    </row>
    <row r="2059" spans="1:10" x14ac:dyDescent="0.3">
      <c r="A2059" t="s">
        <v>3660</v>
      </c>
      <c r="B2059" t="s">
        <v>3663</v>
      </c>
      <c r="D2059" s="6">
        <v>1000</v>
      </c>
      <c r="G2059" s="7">
        <v>9.1</v>
      </c>
      <c r="H2059" s="4" t="s">
        <v>3661</v>
      </c>
      <c r="J2059" t="s">
        <v>72</v>
      </c>
    </row>
    <row r="2060" spans="1:10" x14ac:dyDescent="0.3">
      <c r="A2060" t="s">
        <v>3660</v>
      </c>
      <c r="B2060" t="s">
        <v>3663</v>
      </c>
      <c r="D2060" s="6">
        <v>1000</v>
      </c>
      <c r="G2060" s="7">
        <v>9.1</v>
      </c>
      <c r="H2060" s="4" t="s">
        <v>3661</v>
      </c>
      <c r="J2060" t="s">
        <v>72</v>
      </c>
    </row>
    <row r="2061" spans="1:10" x14ac:dyDescent="0.3">
      <c r="A2061" t="s">
        <v>3664</v>
      </c>
      <c r="B2061" t="s">
        <v>3638</v>
      </c>
      <c r="C2061" t="s">
        <v>292</v>
      </c>
      <c r="D2061" s="9">
        <v>1000</v>
      </c>
      <c r="E2061" t="s">
        <v>45</v>
      </c>
      <c r="F2061" t="s">
        <v>45</v>
      </c>
      <c r="G2061" s="12">
        <v>0</v>
      </c>
      <c r="H2061" t="s">
        <v>3665</v>
      </c>
      <c r="I2061" t="s">
        <v>3664</v>
      </c>
      <c r="J2061" t="s">
        <v>361</v>
      </c>
    </row>
    <row r="2062" spans="1:10" x14ac:dyDescent="0.3">
      <c r="A2062" t="s">
        <v>3664</v>
      </c>
      <c r="B2062" t="s">
        <v>3666</v>
      </c>
      <c r="D2062" s="6">
        <v>1000</v>
      </c>
      <c r="G2062" s="7" t="s">
        <v>65</v>
      </c>
      <c r="H2062" s="4" t="s">
        <v>3665</v>
      </c>
      <c r="J2062" t="s">
        <v>49</v>
      </c>
    </row>
    <row r="2063" spans="1:10" x14ac:dyDescent="0.3">
      <c r="A2063" t="s">
        <v>3664</v>
      </c>
      <c r="B2063" t="s">
        <v>3666</v>
      </c>
      <c r="D2063" s="6">
        <v>1000</v>
      </c>
      <c r="G2063" s="7" t="s">
        <v>65</v>
      </c>
      <c r="H2063" s="4" t="s">
        <v>3665</v>
      </c>
      <c r="J2063" t="s">
        <v>49</v>
      </c>
    </row>
    <row r="2064" spans="1:10" x14ac:dyDescent="0.3">
      <c r="A2064" t="s">
        <v>3667</v>
      </c>
      <c r="B2064" t="s">
        <v>3638</v>
      </c>
      <c r="C2064" t="s">
        <v>605</v>
      </c>
      <c r="D2064" s="9">
        <v>1000</v>
      </c>
      <c r="E2064" t="s">
        <v>45</v>
      </c>
      <c r="F2064" t="s">
        <v>45</v>
      </c>
      <c r="G2064" s="12">
        <v>0</v>
      </c>
      <c r="H2064" t="s">
        <v>3668</v>
      </c>
      <c r="I2064" t="s">
        <v>3667</v>
      </c>
      <c r="J2064" t="s">
        <v>46</v>
      </c>
    </row>
    <row r="2065" spans="1:10" x14ac:dyDescent="0.3">
      <c r="A2065" t="s">
        <v>3667</v>
      </c>
      <c r="B2065" t="s">
        <v>3669</v>
      </c>
      <c r="D2065" s="6">
        <v>1000</v>
      </c>
      <c r="G2065" s="7" t="s">
        <v>65</v>
      </c>
      <c r="H2065" s="4" t="s">
        <v>3668</v>
      </c>
      <c r="J2065" t="s">
        <v>49</v>
      </c>
    </row>
    <row r="2066" spans="1:10" x14ac:dyDescent="0.3">
      <c r="A2066" t="s">
        <v>3667</v>
      </c>
      <c r="B2066" t="s">
        <v>3669</v>
      </c>
      <c r="D2066" s="6">
        <v>1000</v>
      </c>
      <c r="G2066" s="7" t="s">
        <v>65</v>
      </c>
      <c r="H2066" s="4" t="s">
        <v>3668</v>
      </c>
      <c r="J2066" t="s">
        <v>49</v>
      </c>
    </row>
    <row r="2067" spans="1:10" x14ac:dyDescent="0.3">
      <c r="A2067" t="s">
        <v>3670</v>
      </c>
      <c r="B2067" t="s">
        <v>3638</v>
      </c>
      <c r="C2067" t="s">
        <v>297</v>
      </c>
      <c r="D2067" s="9">
        <v>1000</v>
      </c>
      <c r="E2067" t="s">
        <v>45</v>
      </c>
      <c r="F2067" t="s">
        <v>45</v>
      </c>
      <c r="G2067" s="12">
        <v>0</v>
      </c>
      <c r="H2067" t="s">
        <v>3671</v>
      </c>
      <c r="I2067" t="s">
        <v>3670</v>
      </c>
      <c r="J2067" t="s">
        <v>361</v>
      </c>
    </row>
    <row r="2068" spans="1:10" x14ac:dyDescent="0.3">
      <c r="A2068" t="s">
        <v>3670</v>
      </c>
      <c r="B2068" t="s">
        <v>3672</v>
      </c>
      <c r="D2068" s="6">
        <v>1000</v>
      </c>
      <c r="G2068" s="7" t="s">
        <v>65</v>
      </c>
      <c r="H2068" s="4" t="s">
        <v>3671</v>
      </c>
      <c r="J2068" t="s">
        <v>49</v>
      </c>
    </row>
    <row r="2069" spans="1:10" x14ac:dyDescent="0.3">
      <c r="A2069" t="s">
        <v>3670</v>
      </c>
      <c r="B2069" t="s">
        <v>3672</v>
      </c>
      <c r="D2069" s="6">
        <v>1000</v>
      </c>
      <c r="G2069" s="7" t="s">
        <v>65</v>
      </c>
      <c r="H2069" s="4" t="s">
        <v>3671</v>
      </c>
      <c r="J2069" t="s">
        <v>49</v>
      </c>
    </row>
    <row r="2070" spans="1:10" x14ac:dyDescent="0.3">
      <c r="A2070" t="s">
        <v>3673</v>
      </c>
      <c r="B2070" t="s">
        <v>3638</v>
      </c>
      <c r="C2070" t="s">
        <v>415</v>
      </c>
      <c r="D2070" s="9">
        <v>1000</v>
      </c>
      <c r="E2070" t="s">
        <v>661</v>
      </c>
      <c r="F2070" t="s">
        <v>442</v>
      </c>
      <c r="G2070" s="12">
        <v>0</v>
      </c>
      <c r="H2070" s="5" t="s">
        <v>3661</v>
      </c>
      <c r="I2070" t="s">
        <v>3673</v>
      </c>
      <c r="J2070" t="s">
        <v>62</v>
      </c>
    </row>
    <row r="2071" spans="1:10" x14ac:dyDescent="0.3">
      <c r="A2071" t="s">
        <v>3673</v>
      </c>
      <c r="B2071" t="s">
        <v>3674</v>
      </c>
      <c r="D2071" s="6">
        <v>1000</v>
      </c>
      <c r="G2071" s="7" t="s">
        <v>65</v>
      </c>
      <c r="H2071" s="4" t="s">
        <v>3661</v>
      </c>
      <c r="J2071" t="s">
        <v>49</v>
      </c>
    </row>
    <row r="2072" spans="1:10" x14ac:dyDescent="0.3">
      <c r="A2072" t="s">
        <v>3673</v>
      </c>
      <c r="B2072" t="s">
        <v>3674</v>
      </c>
      <c r="D2072" s="6">
        <v>1000</v>
      </c>
      <c r="G2072" s="7" t="s">
        <v>65</v>
      </c>
      <c r="H2072" s="4" t="s">
        <v>3661</v>
      </c>
      <c r="J2072" t="s">
        <v>49</v>
      </c>
    </row>
    <row r="2073" spans="1:10" x14ac:dyDescent="0.3">
      <c r="A2073" t="s">
        <v>3675</v>
      </c>
      <c r="B2073" t="s">
        <v>3638</v>
      </c>
      <c r="C2073" t="s">
        <v>302</v>
      </c>
      <c r="D2073" s="9">
        <v>1000</v>
      </c>
      <c r="E2073" t="s">
        <v>3676</v>
      </c>
      <c r="F2073" t="s">
        <v>662</v>
      </c>
      <c r="G2073">
        <v>9.6999999999999993</v>
      </c>
      <c r="H2073" t="s">
        <v>3668</v>
      </c>
      <c r="I2073" t="s">
        <v>3677</v>
      </c>
      <c r="J2073" t="s">
        <v>72</v>
      </c>
    </row>
    <row r="2074" spans="1:10" x14ac:dyDescent="0.3">
      <c r="A2074" t="s">
        <v>3675</v>
      </c>
      <c r="B2074" t="s">
        <v>3678</v>
      </c>
      <c r="D2074" s="6">
        <v>1000</v>
      </c>
      <c r="G2074" s="7">
        <v>9.7000000000000011</v>
      </c>
      <c r="H2074" s="4" t="s">
        <v>3668</v>
      </c>
      <c r="J2074" t="s">
        <v>72</v>
      </c>
    </row>
    <row r="2075" spans="1:10" x14ac:dyDescent="0.3">
      <c r="A2075" t="s">
        <v>3675</v>
      </c>
      <c r="B2075" t="s">
        <v>3678</v>
      </c>
      <c r="D2075" s="6">
        <v>1000</v>
      </c>
      <c r="G2075" s="7">
        <v>9.7000000000000011</v>
      </c>
      <c r="H2075" s="4" t="s">
        <v>3668</v>
      </c>
      <c r="J2075" t="s">
        <v>72</v>
      </c>
    </row>
    <row r="2076" spans="1:10" x14ac:dyDescent="0.3">
      <c r="A2076" t="s">
        <v>3679</v>
      </c>
      <c r="B2076" t="s">
        <v>3638</v>
      </c>
      <c r="C2076" t="s">
        <v>389</v>
      </c>
      <c r="D2076" s="9">
        <v>1000</v>
      </c>
      <c r="E2076" t="s">
        <v>45</v>
      </c>
      <c r="F2076" t="s">
        <v>45</v>
      </c>
      <c r="G2076">
        <v>9.4</v>
      </c>
      <c r="H2076" t="s">
        <v>3671</v>
      </c>
      <c r="I2076" t="s">
        <v>3680</v>
      </c>
      <c r="J2076" t="s">
        <v>72</v>
      </c>
    </row>
    <row r="2077" spans="1:10" x14ac:dyDescent="0.3">
      <c r="A2077" t="s">
        <v>3679</v>
      </c>
      <c r="B2077" t="s">
        <v>3681</v>
      </c>
      <c r="D2077" s="6">
        <v>1000</v>
      </c>
      <c r="G2077" s="7">
        <v>9.4</v>
      </c>
      <c r="H2077" s="4" t="s">
        <v>3671</v>
      </c>
      <c r="J2077" t="s">
        <v>72</v>
      </c>
    </row>
    <row r="2078" spans="1:10" x14ac:dyDescent="0.3">
      <c r="A2078" t="s">
        <v>3679</v>
      </c>
      <c r="B2078" t="s">
        <v>3681</v>
      </c>
      <c r="D2078" s="6">
        <v>1000</v>
      </c>
      <c r="G2078" s="7">
        <v>9.4</v>
      </c>
      <c r="H2078" s="4" t="s">
        <v>3671</v>
      </c>
      <c r="J2078" t="s">
        <v>72</v>
      </c>
    </row>
    <row r="2079" spans="1:10" x14ac:dyDescent="0.3">
      <c r="A2079" t="s">
        <v>3682</v>
      </c>
      <c r="B2079" t="s">
        <v>3638</v>
      </c>
      <c r="C2079" t="s">
        <v>288</v>
      </c>
      <c r="D2079" s="9">
        <v>1000</v>
      </c>
      <c r="E2079" t="s">
        <v>45</v>
      </c>
      <c r="F2079" t="s">
        <v>45</v>
      </c>
      <c r="G2079">
        <v>9.25</v>
      </c>
      <c r="H2079" t="s">
        <v>3665</v>
      </c>
      <c r="I2079" t="s">
        <v>3683</v>
      </c>
      <c r="J2079" t="s">
        <v>72</v>
      </c>
    </row>
    <row r="2080" spans="1:10" x14ac:dyDescent="0.3">
      <c r="A2080" t="s">
        <v>3682</v>
      </c>
      <c r="B2080" t="s">
        <v>3684</v>
      </c>
      <c r="D2080" s="6">
        <v>1000</v>
      </c>
      <c r="G2080" s="7">
        <v>9.25</v>
      </c>
      <c r="H2080" s="4" t="s">
        <v>3665</v>
      </c>
      <c r="J2080" t="s">
        <v>72</v>
      </c>
    </row>
    <row r="2081" spans="1:10" x14ac:dyDescent="0.3">
      <c r="A2081" t="s">
        <v>3682</v>
      </c>
      <c r="B2081" t="s">
        <v>3684</v>
      </c>
      <c r="D2081" s="6">
        <v>1000</v>
      </c>
      <c r="G2081" s="7">
        <v>9.25</v>
      </c>
      <c r="H2081" s="4" t="s">
        <v>3665</v>
      </c>
      <c r="J2081" t="s">
        <v>72</v>
      </c>
    </row>
    <row r="2082" spans="1:10" x14ac:dyDescent="0.3">
      <c r="A2082" t="s">
        <v>3685</v>
      </c>
      <c r="B2082" t="s">
        <v>3686</v>
      </c>
      <c r="D2082" s="6">
        <v>1000</v>
      </c>
      <c r="G2082" s="7">
        <v>9.1999999999999993</v>
      </c>
      <c r="H2082" s="4" t="s">
        <v>1852</v>
      </c>
      <c r="J2082" t="s">
        <v>62</v>
      </c>
    </row>
    <row r="2083" spans="1:10" x14ac:dyDescent="0.3">
      <c r="A2083" t="s">
        <v>3687</v>
      </c>
      <c r="B2083" t="s">
        <v>3688</v>
      </c>
      <c r="D2083" s="6">
        <v>1000</v>
      </c>
      <c r="G2083" s="7">
        <v>9.3000000000000007</v>
      </c>
      <c r="H2083" s="4" t="s">
        <v>1852</v>
      </c>
      <c r="J2083" t="s">
        <v>62</v>
      </c>
    </row>
    <row r="2084" spans="1:10" x14ac:dyDescent="0.3">
      <c r="A2084" t="s">
        <v>3689</v>
      </c>
      <c r="B2084" t="s">
        <v>3690</v>
      </c>
      <c r="D2084" s="6">
        <v>100000</v>
      </c>
      <c r="G2084" s="7">
        <v>8.25</v>
      </c>
      <c r="H2084" s="4" t="s">
        <v>3691</v>
      </c>
      <c r="J2084" t="s">
        <v>248</v>
      </c>
    </row>
    <row r="2085" spans="1:10" x14ac:dyDescent="0.3">
      <c r="A2085" t="s">
        <v>3692</v>
      </c>
      <c r="B2085" t="s">
        <v>3693</v>
      </c>
      <c r="D2085" s="6">
        <v>1000</v>
      </c>
      <c r="G2085" s="7">
        <v>8.5299999999999994</v>
      </c>
      <c r="H2085" s="4" t="s">
        <v>3694</v>
      </c>
      <c r="J2085" t="s">
        <v>1048</v>
      </c>
    </row>
    <row r="2086" spans="1:10" x14ac:dyDescent="0.3">
      <c r="A2086" t="s">
        <v>3695</v>
      </c>
      <c r="B2086" t="s">
        <v>3696</v>
      </c>
      <c r="D2086" s="6">
        <v>1000</v>
      </c>
      <c r="G2086" s="7">
        <v>8.7200000000000006</v>
      </c>
      <c r="H2086" s="4" t="s">
        <v>3694</v>
      </c>
      <c r="J2086" t="s">
        <v>1048</v>
      </c>
    </row>
    <row r="2087" spans="1:10" x14ac:dyDescent="0.3">
      <c r="A2087" t="s">
        <v>3695</v>
      </c>
      <c r="B2087" t="s">
        <v>3696</v>
      </c>
      <c r="D2087" s="6">
        <v>1000</v>
      </c>
      <c r="G2087" s="7">
        <v>8.7200000000000006</v>
      </c>
      <c r="H2087" s="4" t="s">
        <v>3694</v>
      </c>
      <c r="J2087" t="s">
        <v>1048</v>
      </c>
    </row>
    <row r="2088" spans="1:10" x14ac:dyDescent="0.3">
      <c r="A2088" t="s">
        <v>3697</v>
      </c>
      <c r="B2088" t="s">
        <v>3698</v>
      </c>
      <c r="D2088" s="6">
        <v>1000</v>
      </c>
      <c r="G2088" s="7">
        <v>8.7999999999999989</v>
      </c>
      <c r="H2088" s="4" t="s">
        <v>3694</v>
      </c>
      <c r="J2088" t="s">
        <v>62</v>
      </c>
    </row>
    <row r="2089" spans="1:10" x14ac:dyDescent="0.3">
      <c r="A2089" t="s">
        <v>3699</v>
      </c>
      <c r="B2089" t="s">
        <v>3700</v>
      </c>
      <c r="D2089" s="6">
        <v>1000</v>
      </c>
      <c r="G2089" s="7">
        <v>9</v>
      </c>
      <c r="H2089" s="4" t="s">
        <v>3694</v>
      </c>
      <c r="J2089" t="s">
        <v>62</v>
      </c>
    </row>
    <row r="2090" spans="1:10" x14ac:dyDescent="0.3">
      <c r="A2090" t="s">
        <v>3699</v>
      </c>
      <c r="B2090" t="s">
        <v>3701</v>
      </c>
      <c r="D2090" s="6">
        <v>1000</v>
      </c>
      <c r="G2090" s="7">
        <v>9</v>
      </c>
      <c r="H2090" s="4" t="s">
        <v>3694</v>
      </c>
      <c r="J2090" t="s">
        <v>62</v>
      </c>
    </row>
    <row r="2091" spans="1:10" x14ac:dyDescent="0.3">
      <c r="A2091" t="s">
        <v>3699</v>
      </c>
      <c r="B2091" t="s">
        <v>3702</v>
      </c>
      <c r="D2091" s="6">
        <v>1000</v>
      </c>
      <c r="G2091" s="7">
        <v>9</v>
      </c>
      <c r="H2091" s="4" t="s">
        <v>3694</v>
      </c>
      <c r="J2091" t="s">
        <v>62</v>
      </c>
    </row>
    <row r="2092" spans="1:10" x14ac:dyDescent="0.3">
      <c r="A2092" t="s">
        <v>3703</v>
      </c>
      <c r="B2092" t="s">
        <v>3704</v>
      </c>
      <c r="D2092" s="6">
        <v>1000</v>
      </c>
      <c r="G2092" s="7" t="s">
        <v>65</v>
      </c>
      <c r="H2092" s="4" t="s">
        <v>3694</v>
      </c>
      <c r="J2092" t="s">
        <v>49</v>
      </c>
    </row>
    <row r="2093" spans="1:10" x14ac:dyDescent="0.3">
      <c r="A2093" t="s">
        <v>3705</v>
      </c>
      <c r="B2093" t="s">
        <v>3706</v>
      </c>
      <c r="D2093" s="6">
        <v>1000</v>
      </c>
      <c r="G2093" s="7" t="s">
        <v>65</v>
      </c>
      <c r="H2093" s="4" t="s">
        <v>3694</v>
      </c>
      <c r="J2093" t="s">
        <v>49</v>
      </c>
    </row>
    <row r="2094" spans="1:10" x14ac:dyDescent="0.3">
      <c r="A2094" t="s">
        <v>3705</v>
      </c>
      <c r="B2094" t="s">
        <v>3707</v>
      </c>
      <c r="D2094" s="6">
        <v>1000</v>
      </c>
      <c r="G2094" s="7" t="s">
        <v>65</v>
      </c>
      <c r="H2094" s="4" t="s">
        <v>3694</v>
      </c>
      <c r="J2094" t="s">
        <v>49</v>
      </c>
    </row>
    <row r="2095" spans="1:10" x14ac:dyDescent="0.3">
      <c r="A2095" t="s">
        <v>3708</v>
      </c>
      <c r="B2095" t="s">
        <v>3709</v>
      </c>
      <c r="D2095" s="6">
        <v>1000</v>
      </c>
      <c r="G2095" s="7">
        <v>7.9</v>
      </c>
      <c r="H2095" s="4" t="s">
        <v>3710</v>
      </c>
      <c r="J2095" t="s">
        <v>62</v>
      </c>
    </row>
    <row r="2096" spans="1:10" x14ac:dyDescent="0.3">
      <c r="A2096" t="s">
        <v>3711</v>
      </c>
      <c r="B2096" t="s">
        <v>3712</v>
      </c>
      <c r="D2096" s="6">
        <v>1000</v>
      </c>
      <c r="G2096" s="7">
        <v>8</v>
      </c>
      <c r="H2096" s="4" t="s">
        <v>3710</v>
      </c>
      <c r="J2096" t="s">
        <v>62</v>
      </c>
    </row>
    <row r="2097" spans="1:10" x14ac:dyDescent="0.3">
      <c r="A2097" t="s">
        <v>3713</v>
      </c>
      <c r="B2097" t="s">
        <v>3714</v>
      </c>
      <c r="D2097" s="6">
        <v>1000</v>
      </c>
      <c r="G2097" s="7">
        <v>7.95</v>
      </c>
      <c r="H2097" s="4" t="s">
        <v>3715</v>
      </c>
      <c r="J2097" t="s">
        <v>62</v>
      </c>
    </row>
    <row r="2098" spans="1:10" x14ac:dyDescent="0.3">
      <c r="A2098" t="s">
        <v>3716</v>
      </c>
      <c r="B2098" t="s">
        <v>3717</v>
      </c>
      <c r="D2098" s="6">
        <v>1000</v>
      </c>
      <c r="G2098" s="7">
        <v>8.0500000000000007</v>
      </c>
      <c r="H2098" s="4" t="s">
        <v>3715</v>
      </c>
      <c r="J2098" t="s">
        <v>62</v>
      </c>
    </row>
    <row r="2099" spans="1:10" x14ac:dyDescent="0.3">
      <c r="A2099" t="s">
        <v>3718</v>
      </c>
      <c r="B2099" t="s">
        <v>3719</v>
      </c>
      <c r="D2099" s="6">
        <v>1000</v>
      </c>
      <c r="G2099" s="7">
        <v>9.35</v>
      </c>
      <c r="H2099" s="4" t="s">
        <v>1847</v>
      </c>
      <c r="J2099" t="s">
        <v>62</v>
      </c>
    </row>
    <row r="2100" spans="1:10" x14ac:dyDescent="0.3">
      <c r="A2100" t="s">
        <v>3720</v>
      </c>
      <c r="B2100" t="s">
        <v>3721</v>
      </c>
      <c r="D2100" s="6">
        <v>1000</v>
      </c>
      <c r="G2100" s="7">
        <v>9.5</v>
      </c>
      <c r="H2100" s="4" t="s">
        <v>1847</v>
      </c>
      <c r="J2100" t="s">
        <v>62</v>
      </c>
    </row>
    <row r="2101" spans="1:10" x14ac:dyDescent="0.3">
      <c r="A2101" t="s">
        <v>3722</v>
      </c>
      <c r="B2101" t="s">
        <v>3723</v>
      </c>
      <c r="C2101" t="s">
        <v>54</v>
      </c>
      <c r="D2101" s="9" t="s">
        <v>45</v>
      </c>
      <c r="E2101" t="s">
        <v>3724</v>
      </c>
      <c r="F2101" t="s">
        <v>651</v>
      </c>
      <c r="G2101" s="12">
        <v>0</v>
      </c>
      <c r="H2101" t="s">
        <v>45</v>
      </c>
      <c r="I2101" t="s">
        <v>3722</v>
      </c>
      <c r="J2101" t="s">
        <v>55</v>
      </c>
    </row>
    <row r="2102" spans="1:10" x14ac:dyDescent="0.3">
      <c r="A2102" t="s">
        <v>3725</v>
      </c>
      <c r="B2102" t="s">
        <v>3723</v>
      </c>
      <c r="C2102" t="s">
        <v>51</v>
      </c>
      <c r="D2102" s="9" t="s">
        <v>45</v>
      </c>
      <c r="E2102" t="s">
        <v>45</v>
      </c>
      <c r="F2102" t="s">
        <v>45</v>
      </c>
      <c r="G2102" s="12">
        <v>0</v>
      </c>
      <c r="H2102" t="s">
        <v>45</v>
      </c>
      <c r="I2102" t="s">
        <v>3725</v>
      </c>
      <c r="J2102" t="s">
        <v>62</v>
      </c>
    </row>
    <row r="2103" spans="1:10" x14ac:dyDescent="0.3">
      <c r="A2103" t="s">
        <v>3725</v>
      </c>
      <c r="B2103" t="s">
        <v>3726</v>
      </c>
      <c r="D2103" s="6">
        <v>1000</v>
      </c>
      <c r="G2103" s="7">
        <v>8.66</v>
      </c>
      <c r="H2103" s="4" t="s">
        <v>3727</v>
      </c>
      <c r="J2103" t="s">
        <v>62</v>
      </c>
    </row>
    <row r="2104" spans="1:10" x14ac:dyDescent="0.3">
      <c r="A2104" t="s">
        <v>3725</v>
      </c>
      <c r="B2104" t="s">
        <v>3728</v>
      </c>
      <c r="D2104" s="6">
        <v>1000</v>
      </c>
      <c r="G2104" s="7">
        <v>8.66</v>
      </c>
      <c r="H2104" s="4" t="s">
        <v>3727</v>
      </c>
      <c r="J2104" t="s">
        <v>62</v>
      </c>
    </row>
    <row r="2105" spans="1:10" x14ac:dyDescent="0.3">
      <c r="A2105" t="s">
        <v>3729</v>
      </c>
      <c r="B2105" t="s">
        <v>3730</v>
      </c>
      <c r="D2105" s="6">
        <v>1000</v>
      </c>
      <c r="G2105" s="7">
        <v>8.91</v>
      </c>
      <c r="H2105" s="4" t="s">
        <v>3727</v>
      </c>
      <c r="J2105" t="s">
        <v>62</v>
      </c>
    </row>
    <row r="2106" spans="1:10" x14ac:dyDescent="0.3">
      <c r="A2106" t="s">
        <v>3729</v>
      </c>
      <c r="B2106" t="s">
        <v>3731</v>
      </c>
      <c r="D2106" s="6">
        <v>1000</v>
      </c>
      <c r="G2106" s="7">
        <v>8.91</v>
      </c>
      <c r="H2106" s="4" t="s">
        <v>3727</v>
      </c>
      <c r="J2106" t="s">
        <v>62</v>
      </c>
    </row>
    <row r="2107" spans="1:10" x14ac:dyDescent="0.3">
      <c r="A2107" t="s">
        <v>3732</v>
      </c>
      <c r="B2107" t="s">
        <v>3733</v>
      </c>
      <c r="C2107" t="s">
        <v>360</v>
      </c>
      <c r="D2107" s="9">
        <v>1000</v>
      </c>
      <c r="E2107" t="s">
        <v>45</v>
      </c>
      <c r="F2107" t="s">
        <v>45</v>
      </c>
      <c r="G2107">
        <v>9.43</v>
      </c>
      <c r="H2107" t="s">
        <v>2318</v>
      </c>
      <c r="I2107" t="s">
        <v>3734</v>
      </c>
      <c r="J2107" t="s">
        <v>59</v>
      </c>
    </row>
    <row r="2108" spans="1:10" x14ac:dyDescent="0.3">
      <c r="A2108" t="s">
        <v>3732</v>
      </c>
      <c r="B2108" t="s">
        <v>3735</v>
      </c>
      <c r="D2108" s="6">
        <v>1000</v>
      </c>
      <c r="G2108" s="7">
        <v>9.43</v>
      </c>
      <c r="H2108" s="4" t="s">
        <v>2318</v>
      </c>
      <c r="J2108" t="s">
        <v>59</v>
      </c>
    </row>
    <row r="2109" spans="1:10" x14ac:dyDescent="0.3">
      <c r="A2109" t="s">
        <v>3732</v>
      </c>
      <c r="B2109" t="s">
        <v>3735</v>
      </c>
      <c r="D2109" s="6">
        <v>1000</v>
      </c>
      <c r="G2109" s="7">
        <v>9.43</v>
      </c>
      <c r="H2109" s="4" t="s">
        <v>2318</v>
      </c>
      <c r="J2109" t="s">
        <v>59</v>
      </c>
    </row>
    <row r="2110" spans="1:10" x14ac:dyDescent="0.3">
      <c r="A2110" t="s">
        <v>3736</v>
      </c>
      <c r="B2110" t="s">
        <v>3733</v>
      </c>
      <c r="C2110" t="s">
        <v>638</v>
      </c>
      <c r="D2110" s="9">
        <v>1000</v>
      </c>
      <c r="E2110" t="s">
        <v>45</v>
      </c>
      <c r="F2110" t="s">
        <v>45</v>
      </c>
      <c r="G2110">
        <v>9.85</v>
      </c>
      <c r="H2110" t="s">
        <v>2318</v>
      </c>
      <c r="I2110" t="s">
        <v>3737</v>
      </c>
      <c r="J2110" t="s">
        <v>62</v>
      </c>
    </row>
    <row r="2111" spans="1:10" x14ac:dyDescent="0.3">
      <c r="A2111" t="s">
        <v>3736</v>
      </c>
      <c r="B2111" t="s">
        <v>3738</v>
      </c>
      <c r="D2111" s="6">
        <v>1000</v>
      </c>
      <c r="G2111" s="7">
        <v>9.85</v>
      </c>
      <c r="H2111" s="4" t="s">
        <v>2318</v>
      </c>
      <c r="J2111" t="s">
        <v>62</v>
      </c>
    </row>
    <row r="2112" spans="1:10" x14ac:dyDescent="0.3">
      <c r="A2112" t="s">
        <v>3736</v>
      </c>
      <c r="B2112" t="s">
        <v>3738</v>
      </c>
      <c r="D2112" s="6">
        <v>1000</v>
      </c>
      <c r="G2112" s="7">
        <v>9.85</v>
      </c>
      <c r="H2112" s="4" t="s">
        <v>2318</v>
      </c>
      <c r="J2112" t="s">
        <v>62</v>
      </c>
    </row>
    <row r="2113" spans="1:10" x14ac:dyDescent="0.3">
      <c r="A2113" t="s">
        <v>3739</v>
      </c>
      <c r="B2113" t="s">
        <v>3733</v>
      </c>
      <c r="C2113" t="s">
        <v>1134</v>
      </c>
      <c r="D2113" s="9">
        <v>1000</v>
      </c>
      <c r="E2113" t="s">
        <v>45</v>
      </c>
      <c r="F2113" t="s">
        <v>45</v>
      </c>
      <c r="G2113">
        <v>10.15</v>
      </c>
      <c r="H2113" t="s">
        <v>3740</v>
      </c>
      <c r="I2113" t="s">
        <v>3741</v>
      </c>
      <c r="J2113" t="s">
        <v>59</v>
      </c>
    </row>
    <row r="2114" spans="1:10" x14ac:dyDescent="0.3">
      <c r="A2114" t="s">
        <v>3739</v>
      </c>
      <c r="B2114" t="s">
        <v>3742</v>
      </c>
      <c r="D2114" s="6">
        <v>1000</v>
      </c>
      <c r="G2114" s="7">
        <v>10.15</v>
      </c>
      <c r="H2114" s="4" t="s">
        <v>3740</v>
      </c>
      <c r="J2114" t="s">
        <v>59</v>
      </c>
    </row>
    <row r="2115" spans="1:10" x14ac:dyDescent="0.3">
      <c r="A2115" t="s">
        <v>3739</v>
      </c>
      <c r="B2115" t="s">
        <v>3742</v>
      </c>
      <c r="D2115" s="6">
        <v>1000</v>
      </c>
      <c r="G2115" s="7">
        <v>10.15</v>
      </c>
      <c r="H2115" s="4" t="s">
        <v>3740</v>
      </c>
      <c r="J2115" t="s">
        <v>59</v>
      </c>
    </row>
    <row r="2116" spans="1:10" x14ac:dyDescent="0.3">
      <c r="A2116" t="s">
        <v>3743</v>
      </c>
      <c r="B2116" t="s">
        <v>3733</v>
      </c>
      <c r="C2116" t="s">
        <v>1139</v>
      </c>
      <c r="D2116" s="9">
        <v>1000</v>
      </c>
      <c r="E2116" t="s">
        <v>3744</v>
      </c>
      <c r="F2116" t="s">
        <v>332</v>
      </c>
      <c r="G2116">
        <v>10.6</v>
      </c>
      <c r="H2116" t="s">
        <v>3740</v>
      </c>
      <c r="I2116" t="s">
        <v>3745</v>
      </c>
      <c r="J2116" t="s">
        <v>62</v>
      </c>
    </row>
    <row r="2117" spans="1:10" x14ac:dyDescent="0.3">
      <c r="A2117" t="s">
        <v>3743</v>
      </c>
      <c r="B2117" t="s">
        <v>3746</v>
      </c>
      <c r="D2117" s="6">
        <v>1000</v>
      </c>
      <c r="G2117" s="7">
        <v>10.6</v>
      </c>
      <c r="H2117" s="4" t="s">
        <v>3740</v>
      </c>
      <c r="J2117" t="s">
        <v>62</v>
      </c>
    </row>
    <row r="2118" spans="1:10" x14ac:dyDescent="0.3">
      <c r="A2118" t="s">
        <v>3743</v>
      </c>
      <c r="B2118" t="s">
        <v>3746</v>
      </c>
      <c r="D2118" s="6">
        <v>1000</v>
      </c>
      <c r="G2118" s="7">
        <v>10.6</v>
      </c>
      <c r="H2118" s="4" t="s">
        <v>3740</v>
      </c>
      <c r="J2118" t="s">
        <v>62</v>
      </c>
    </row>
    <row r="2119" spans="1:10" x14ac:dyDescent="0.3">
      <c r="A2119" t="s">
        <v>3747</v>
      </c>
      <c r="B2119" t="s">
        <v>3748</v>
      </c>
      <c r="D2119" s="6">
        <v>1000</v>
      </c>
      <c r="G2119" s="7">
        <v>9.9500000000000011</v>
      </c>
      <c r="H2119" s="4" t="s">
        <v>3749</v>
      </c>
      <c r="J2119" t="s">
        <v>59</v>
      </c>
    </row>
    <row r="2120" spans="1:10" x14ac:dyDescent="0.3">
      <c r="A2120" t="s">
        <v>3750</v>
      </c>
      <c r="B2120" t="s">
        <v>3751</v>
      </c>
      <c r="D2120" s="6">
        <v>1000</v>
      </c>
      <c r="G2120" s="7">
        <v>10.4</v>
      </c>
      <c r="H2120" s="4" t="s">
        <v>3749</v>
      </c>
      <c r="J2120" t="s">
        <v>62</v>
      </c>
    </row>
    <row r="2121" spans="1:10" x14ac:dyDescent="0.3">
      <c r="A2121" t="s">
        <v>3752</v>
      </c>
      <c r="B2121" t="s">
        <v>3753</v>
      </c>
      <c r="D2121" s="6">
        <v>1000</v>
      </c>
      <c r="G2121" s="7">
        <v>9.9500000000000011</v>
      </c>
      <c r="H2121" s="4" t="s">
        <v>3754</v>
      </c>
      <c r="J2121" t="s">
        <v>59</v>
      </c>
    </row>
    <row r="2122" spans="1:10" x14ac:dyDescent="0.3">
      <c r="A2122" t="s">
        <v>3755</v>
      </c>
      <c r="B2122" t="s">
        <v>3756</v>
      </c>
      <c r="D2122" s="6">
        <v>1000</v>
      </c>
      <c r="G2122" s="7">
        <v>10.4</v>
      </c>
      <c r="H2122" s="4" t="s">
        <v>3754</v>
      </c>
      <c r="J2122" t="s">
        <v>62</v>
      </c>
    </row>
    <row r="2123" spans="1:10" x14ac:dyDescent="0.3">
      <c r="A2123" t="s">
        <v>3757</v>
      </c>
      <c r="B2123" t="s">
        <v>3758</v>
      </c>
      <c r="D2123" s="6">
        <v>1000</v>
      </c>
      <c r="G2123" s="7" t="s">
        <v>65</v>
      </c>
      <c r="H2123" s="4" t="s">
        <v>3754</v>
      </c>
      <c r="J2123" t="s">
        <v>49</v>
      </c>
    </row>
    <row r="2124" spans="1:10" x14ac:dyDescent="0.3">
      <c r="A2124" t="s">
        <v>3759</v>
      </c>
      <c r="B2124" t="s">
        <v>3760</v>
      </c>
      <c r="D2124" s="6">
        <v>1000</v>
      </c>
      <c r="G2124" s="7">
        <v>9.9500000000000011</v>
      </c>
      <c r="H2124" s="4" t="s">
        <v>3761</v>
      </c>
      <c r="J2124" t="s">
        <v>59</v>
      </c>
    </row>
    <row r="2125" spans="1:10" x14ac:dyDescent="0.3">
      <c r="A2125" t="s">
        <v>3762</v>
      </c>
      <c r="B2125" t="s">
        <v>3763</v>
      </c>
      <c r="D2125" s="6">
        <v>1000</v>
      </c>
      <c r="G2125" s="7">
        <v>10.4</v>
      </c>
      <c r="H2125" s="4" t="s">
        <v>3761</v>
      </c>
      <c r="J2125" t="s">
        <v>62</v>
      </c>
    </row>
    <row r="2126" spans="1:10" x14ac:dyDescent="0.3">
      <c r="A2126" t="s">
        <v>3764</v>
      </c>
      <c r="B2126" t="s">
        <v>3765</v>
      </c>
      <c r="C2126" t="s">
        <v>48</v>
      </c>
      <c r="D2126" s="9">
        <v>1000</v>
      </c>
      <c r="E2126" t="s">
        <v>45</v>
      </c>
      <c r="F2126" t="s">
        <v>45</v>
      </c>
      <c r="G2126">
        <v>8.5399999999999991</v>
      </c>
      <c r="H2126" t="s">
        <v>3571</v>
      </c>
      <c r="I2126" t="s">
        <v>3766</v>
      </c>
      <c r="J2126" t="s">
        <v>62</v>
      </c>
    </row>
    <row r="2127" spans="1:10" x14ac:dyDescent="0.3">
      <c r="A2127" t="s">
        <v>3767</v>
      </c>
      <c r="B2127" t="s">
        <v>3765</v>
      </c>
      <c r="C2127" t="s">
        <v>51</v>
      </c>
      <c r="D2127" s="9">
        <v>1000</v>
      </c>
      <c r="E2127" t="s">
        <v>3768</v>
      </c>
      <c r="F2127" t="s">
        <v>1506</v>
      </c>
      <c r="G2127">
        <v>8.67</v>
      </c>
      <c r="H2127" t="s">
        <v>3769</v>
      </c>
      <c r="I2127" t="s">
        <v>3770</v>
      </c>
      <c r="J2127" t="s">
        <v>62</v>
      </c>
    </row>
    <row r="2128" spans="1:10" x14ac:dyDescent="0.3">
      <c r="A2128" t="s">
        <v>3767</v>
      </c>
      <c r="B2128" t="s">
        <v>3771</v>
      </c>
      <c r="D2128" s="6">
        <v>1000</v>
      </c>
      <c r="G2128" s="7">
        <v>8.67</v>
      </c>
      <c r="H2128" s="4" t="s">
        <v>3769</v>
      </c>
      <c r="J2128" t="s">
        <v>62</v>
      </c>
    </row>
    <row r="2129" spans="1:10" x14ac:dyDescent="0.3">
      <c r="A2129" t="s">
        <v>3772</v>
      </c>
      <c r="B2129" t="s">
        <v>3765</v>
      </c>
      <c r="C2129" t="s">
        <v>340</v>
      </c>
      <c r="D2129" s="9">
        <v>1000</v>
      </c>
      <c r="E2129" t="s">
        <v>3773</v>
      </c>
      <c r="F2129" t="s">
        <v>3774</v>
      </c>
      <c r="G2129">
        <v>8.7899999999999991</v>
      </c>
      <c r="H2129" t="s">
        <v>3571</v>
      </c>
      <c r="I2129" t="s">
        <v>3775</v>
      </c>
      <c r="J2129" t="s">
        <v>62</v>
      </c>
    </row>
    <row r="2130" spans="1:10" x14ac:dyDescent="0.3">
      <c r="A2130" t="s">
        <v>3772</v>
      </c>
      <c r="B2130" t="s">
        <v>3776</v>
      </c>
      <c r="D2130" s="6">
        <v>1000</v>
      </c>
      <c r="G2130" s="7">
        <v>8.7900000000000009</v>
      </c>
      <c r="H2130" s="4" t="s">
        <v>3571</v>
      </c>
      <c r="J2130" t="s">
        <v>62</v>
      </c>
    </row>
    <row r="2131" spans="1:10" x14ac:dyDescent="0.3">
      <c r="A2131" t="s">
        <v>3777</v>
      </c>
      <c r="B2131" t="s">
        <v>3765</v>
      </c>
      <c r="C2131" t="s">
        <v>281</v>
      </c>
      <c r="D2131" s="9">
        <v>1000</v>
      </c>
      <c r="E2131" t="s">
        <v>3778</v>
      </c>
      <c r="F2131" t="s">
        <v>1284</v>
      </c>
      <c r="G2131">
        <v>8.92</v>
      </c>
      <c r="H2131" t="s">
        <v>3769</v>
      </c>
      <c r="I2131" t="s">
        <v>3779</v>
      </c>
      <c r="J2131" t="s">
        <v>62</v>
      </c>
    </row>
    <row r="2132" spans="1:10" x14ac:dyDescent="0.3">
      <c r="A2132" t="s">
        <v>3777</v>
      </c>
      <c r="B2132" t="s">
        <v>3780</v>
      </c>
      <c r="D2132" s="6">
        <v>1000</v>
      </c>
      <c r="G2132" s="7">
        <v>8.92</v>
      </c>
      <c r="H2132" s="4" t="s">
        <v>3769</v>
      </c>
      <c r="J2132" t="s">
        <v>62</v>
      </c>
    </row>
    <row r="2133" spans="1:10" x14ac:dyDescent="0.3">
      <c r="A2133" t="s">
        <v>3781</v>
      </c>
      <c r="B2133" t="s">
        <v>3782</v>
      </c>
      <c r="C2133" t="s">
        <v>275</v>
      </c>
      <c r="D2133" s="9">
        <v>1000</v>
      </c>
      <c r="E2133" t="s">
        <v>3563</v>
      </c>
      <c r="F2133" t="s">
        <v>3783</v>
      </c>
      <c r="G2133">
        <v>7.8</v>
      </c>
      <c r="H2133" t="s">
        <v>3784</v>
      </c>
      <c r="I2133" t="s">
        <v>3785</v>
      </c>
      <c r="J2133" t="s">
        <v>59</v>
      </c>
    </row>
    <row r="2134" spans="1:10" x14ac:dyDescent="0.3">
      <c r="A2134" t="s">
        <v>3781</v>
      </c>
      <c r="B2134" t="s">
        <v>3786</v>
      </c>
      <c r="D2134" s="6">
        <v>1000</v>
      </c>
      <c r="G2134" s="7">
        <v>7.8</v>
      </c>
      <c r="H2134" s="4" t="s">
        <v>3784</v>
      </c>
      <c r="J2134" t="s">
        <v>59</v>
      </c>
    </row>
    <row r="2135" spans="1:10" x14ac:dyDescent="0.3">
      <c r="A2135" t="s">
        <v>3781</v>
      </c>
      <c r="B2135" t="s">
        <v>3786</v>
      </c>
      <c r="D2135" s="6">
        <v>1000</v>
      </c>
      <c r="G2135" s="7">
        <v>7.8</v>
      </c>
      <c r="H2135" s="4" t="s">
        <v>3784</v>
      </c>
      <c r="J2135" t="s">
        <v>59</v>
      </c>
    </row>
    <row r="2136" spans="1:10" x14ac:dyDescent="0.3">
      <c r="A2136" t="s">
        <v>3787</v>
      </c>
      <c r="B2136" t="s">
        <v>3782</v>
      </c>
      <c r="C2136" t="s">
        <v>44</v>
      </c>
      <c r="D2136" s="9">
        <v>1000</v>
      </c>
      <c r="E2136" t="s">
        <v>3788</v>
      </c>
      <c r="F2136" t="s">
        <v>311</v>
      </c>
      <c r="G2136">
        <v>8</v>
      </c>
      <c r="H2136" t="s">
        <v>3789</v>
      </c>
      <c r="I2136" t="s">
        <v>3790</v>
      </c>
      <c r="J2136" t="s">
        <v>62</v>
      </c>
    </row>
    <row r="2137" spans="1:10" x14ac:dyDescent="0.3">
      <c r="A2137" t="s">
        <v>3787</v>
      </c>
      <c r="B2137" t="s">
        <v>3791</v>
      </c>
      <c r="D2137" s="6">
        <v>1000</v>
      </c>
      <c r="G2137" s="7">
        <v>8</v>
      </c>
      <c r="H2137" s="4" t="s">
        <v>3789</v>
      </c>
      <c r="J2137" t="s">
        <v>62</v>
      </c>
    </row>
    <row r="2138" spans="1:10" x14ac:dyDescent="0.3">
      <c r="A2138" t="s">
        <v>3787</v>
      </c>
      <c r="B2138" t="s">
        <v>3791</v>
      </c>
      <c r="D2138" s="6">
        <v>1000</v>
      </c>
      <c r="G2138" s="7">
        <v>8</v>
      </c>
      <c r="H2138" s="4" t="s">
        <v>3789</v>
      </c>
      <c r="J2138" t="s">
        <v>62</v>
      </c>
    </row>
    <row r="2139" spans="1:10" x14ac:dyDescent="0.3">
      <c r="A2139" t="s">
        <v>3792</v>
      </c>
      <c r="B2139" t="s">
        <v>3782</v>
      </c>
      <c r="C2139" t="s">
        <v>54</v>
      </c>
      <c r="D2139" s="9">
        <v>1000</v>
      </c>
      <c r="E2139" t="s">
        <v>45</v>
      </c>
      <c r="F2139" t="s">
        <v>45</v>
      </c>
      <c r="G2139" s="12">
        <v>0</v>
      </c>
      <c r="H2139" t="s">
        <v>3789</v>
      </c>
      <c r="I2139" t="s">
        <v>3792</v>
      </c>
      <c r="J2139" t="s">
        <v>55</v>
      </c>
    </row>
    <row r="2140" spans="1:10" x14ac:dyDescent="0.3">
      <c r="A2140" t="s">
        <v>3792</v>
      </c>
      <c r="B2140" t="s">
        <v>3793</v>
      </c>
      <c r="D2140" s="6">
        <v>1000</v>
      </c>
      <c r="G2140" s="7" t="s">
        <v>65</v>
      </c>
      <c r="H2140" s="4" t="s">
        <v>3789</v>
      </c>
      <c r="J2140" t="s">
        <v>49</v>
      </c>
    </row>
    <row r="2141" spans="1:10" x14ac:dyDescent="0.3">
      <c r="A2141" t="s">
        <v>3792</v>
      </c>
      <c r="B2141" t="s">
        <v>3793</v>
      </c>
      <c r="D2141" s="6">
        <v>1000</v>
      </c>
      <c r="G2141" s="7" t="s">
        <v>65</v>
      </c>
      <c r="H2141" s="4" t="s">
        <v>3789</v>
      </c>
      <c r="J2141" t="s">
        <v>49</v>
      </c>
    </row>
    <row r="2142" spans="1:10" x14ac:dyDescent="0.3">
      <c r="A2142" t="s">
        <v>3794</v>
      </c>
      <c r="B2142" t="s">
        <v>3782</v>
      </c>
      <c r="C2142" t="s">
        <v>340</v>
      </c>
      <c r="D2142" s="9">
        <v>1000</v>
      </c>
      <c r="E2142" t="s">
        <v>981</v>
      </c>
      <c r="F2142" t="s">
        <v>311</v>
      </c>
      <c r="G2142">
        <v>8.1</v>
      </c>
      <c r="H2142" t="s">
        <v>3784</v>
      </c>
      <c r="I2142" t="s">
        <v>3795</v>
      </c>
      <c r="J2142" t="s">
        <v>49</v>
      </c>
    </row>
    <row r="2143" spans="1:10" x14ac:dyDescent="0.3">
      <c r="A2143" t="s">
        <v>3794</v>
      </c>
      <c r="B2143" t="s">
        <v>3796</v>
      </c>
      <c r="D2143" s="6">
        <v>1000</v>
      </c>
      <c r="G2143" s="7">
        <v>8.1</v>
      </c>
      <c r="H2143" s="4" t="s">
        <v>3784</v>
      </c>
      <c r="J2143" t="s">
        <v>49</v>
      </c>
    </row>
    <row r="2144" spans="1:10" x14ac:dyDescent="0.3">
      <c r="A2144" t="s">
        <v>3794</v>
      </c>
      <c r="B2144" t="s">
        <v>3796</v>
      </c>
      <c r="D2144" s="6">
        <v>1000</v>
      </c>
      <c r="G2144" s="7">
        <v>8.1</v>
      </c>
      <c r="H2144" s="4" t="s">
        <v>3784</v>
      </c>
      <c r="J2144" t="s">
        <v>49</v>
      </c>
    </row>
    <row r="2145" spans="1:10" x14ac:dyDescent="0.3">
      <c r="A2145" t="s">
        <v>3797</v>
      </c>
      <c r="B2145" t="s">
        <v>3782</v>
      </c>
      <c r="C2145" t="s">
        <v>48</v>
      </c>
      <c r="D2145" s="9">
        <v>1000</v>
      </c>
      <c r="E2145" t="s">
        <v>969</v>
      </c>
      <c r="F2145" t="s">
        <v>3798</v>
      </c>
      <c r="G2145">
        <v>8.0500000000000007</v>
      </c>
      <c r="H2145" t="s">
        <v>3799</v>
      </c>
      <c r="I2145" t="s">
        <v>3800</v>
      </c>
      <c r="J2145" t="s">
        <v>62</v>
      </c>
    </row>
    <row r="2146" spans="1:10" x14ac:dyDescent="0.3">
      <c r="A2146" t="s">
        <v>3797</v>
      </c>
      <c r="B2146" t="s">
        <v>3801</v>
      </c>
      <c r="D2146" s="6">
        <v>1000</v>
      </c>
      <c r="G2146" s="7">
        <v>8.0500000000000007</v>
      </c>
      <c r="H2146" s="4" t="s">
        <v>3799</v>
      </c>
      <c r="J2146" t="s">
        <v>62</v>
      </c>
    </row>
    <row r="2147" spans="1:10" x14ac:dyDescent="0.3">
      <c r="A2147" t="s">
        <v>3797</v>
      </c>
      <c r="B2147" t="s">
        <v>3801</v>
      </c>
      <c r="D2147" s="6">
        <v>1000</v>
      </c>
      <c r="G2147" s="7">
        <v>8.0500000000000007</v>
      </c>
      <c r="H2147" s="4" t="s">
        <v>3799</v>
      </c>
      <c r="J2147" t="s">
        <v>62</v>
      </c>
    </row>
    <row r="2148" spans="1:10" x14ac:dyDescent="0.3">
      <c r="A2148" t="s">
        <v>3802</v>
      </c>
      <c r="B2148" t="s">
        <v>3782</v>
      </c>
      <c r="C2148" t="s">
        <v>51</v>
      </c>
      <c r="D2148" s="9">
        <v>1000</v>
      </c>
      <c r="E2148" t="s">
        <v>45</v>
      </c>
      <c r="F2148" t="s">
        <v>45</v>
      </c>
      <c r="G2148" s="12">
        <v>0</v>
      </c>
      <c r="H2148" t="s">
        <v>3799</v>
      </c>
      <c r="I2148" t="s">
        <v>3802</v>
      </c>
      <c r="J2148" t="s">
        <v>62</v>
      </c>
    </row>
    <row r="2149" spans="1:10" x14ac:dyDescent="0.3">
      <c r="A2149" t="s">
        <v>3802</v>
      </c>
      <c r="B2149" t="s">
        <v>3803</v>
      </c>
      <c r="D2149" s="6">
        <v>1000</v>
      </c>
      <c r="G2149" s="7" t="s">
        <v>65</v>
      </c>
      <c r="H2149" s="4" t="s">
        <v>3799</v>
      </c>
      <c r="J2149" t="s">
        <v>49</v>
      </c>
    </row>
    <row r="2150" spans="1:10" x14ac:dyDescent="0.3">
      <c r="A2150" t="s">
        <v>3802</v>
      </c>
      <c r="B2150" t="s">
        <v>3803</v>
      </c>
      <c r="D2150" s="6">
        <v>1000</v>
      </c>
      <c r="G2150" s="7" t="s">
        <v>65</v>
      </c>
      <c r="H2150" s="4" t="s">
        <v>3799</v>
      </c>
      <c r="J2150" t="s">
        <v>49</v>
      </c>
    </row>
    <row r="2151" spans="1:10" x14ac:dyDescent="0.3">
      <c r="A2151" t="s">
        <v>3804</v>
      </c>
      <c r="B2151" t="s">
        <v>3805</v>
      </c>
      <c r="D2151" s="6">
        <v>100000</v>
      </c>
      <c r="G2151" s="7">
        <v>8.16</v>
      </c>
      <c r="H2151" s="4" t="s">
        <v>3806</v>
      </c>
      <c r="J2151" t="s">
        <v>248</v>
      </c>
    </row>
    <row r="2152" spans="1:10" x14ac:dyDescent="0.3">
      <c r="A2152" t="s">
        <v>3807</v>
      </c>
      <c r="B2152" t="s">
        <v>2744</v>
      </c>
      <c r="C2152" t="s">
        <v>281</v>
      </c>
      <c r="D2152" s="9">
        <v>1000</v>
      </c>
      <c r="E2152" t="s">
        <v>1146</v>
      </c>
      <c r="F2152" t="s">
        <v>3808</v>
      </c>
      <c r="G2152">
        <v>10</v>
      </c>
      <c r="H2152" t="s">
        <v>3809</v>
      </c>
      <c r="I2152" t="s">
        <v>3810</v>
      </c>
      <c r="J2152" t="s">
        <v>59</v>
      </c>
    </row>
    <row r="2153" spans="1:10" x14ac:dyDescent="0.3">
      <c r="A2153" t="s">
        <v>3807</v>
      </c>
      <c r="B2153" t="s">
        <v>3811</v>
      </c>
      <c r="D2153" s="6">
        <v>1000</v>
      </c>
      <c r="G2153" s="7">
        <v>10</v>
      </c>
      <c r="H2153" s="4" t="s">
        <v>3809</v>
      </c>
      <c r="J2153" t="s">
        <v>59</v>
      </c>
    </row>
    <row r="2154" spans="1:10" x14ac:dyDescent="0.3">
      <c r="A2154" t="s">
        <v>3807</v>
      </c>
      <c r="B2154" t="s">
        <v>3811</v>
      </c>
      <c r="D2154" s="6">
        <v>1000</v>
      </c>
      <c r="G2154" s="7">
        <v>10</v>
      </c>
      <c r="H2154" s="4" t="s">
        <v>3809</v>
      </c>
      <c r="J2154" t="s">
        <v>59</v>
      </c>
    </row>
    <row r="2155" spans="1:10" x14ac:dyDescent="0.3">
      <c r="A2155" t="s">
        <v>3812</v>
      </c>
      <c r="B2155" t="s">
        <v>2744</v>
      </c>
      <c r="C2155" t="s">
        <v>384</v>
      </c>
      <c r="D2155" s="9">
        <v>1000</v>
      </c>
      <c r="E2155" t="s">
        <v>45</v>
      </c>
      <c r="F2155" t="s">
        <v>45</v>
      </c>
      <c r="G2155">
        <v>10.5</v>
      </c>
      <c r="H2155" t="s">
        <v>3809</v>
      </c>
      <c r="I2155" t="s">
        <v>3813</v>
      </c>
      <c r="J2155" t="s">
        <v>62</v>
      </c>
    </row>
    <row r="2156" spans="1:10" x14ac:dyDescent="0.3">
      <c r="A2156" t="s">
        <v>3812</v>
      </c>
      <c r="B2156" t="s">
        <v>3814</v>
      </c>
      <c r="D2156" s="6">
        <v>1000</v>
      </c>
      <c r="G2156" s="7">
        <v>10.5</v>
      </c>
      <c r="H2156" s="4" t="s">
        <v>3809</v>
      </c>
      <c r="J2156" t="s">
        <v>62</v>
      </c>
    </row>
    <row r="2157" spans="1:10" x14ac:dyDescent="0.3">
      <c r="A2157" t="s">
        <v>3812</v>
      </c>
      <c r="B2157" t="s">
        <v>3814</v>
      </c>
      <c r="D2157" s="6">
        <v>1000</v>
      </c>
      <c r="G2157" s="7">
        <v>10.5</v>
      </c>
      <c r="H2157" s="4" t="s">
        <v>3809</v>
      </c>
      <c r="J2157" t="s">
        <v>62</v>
      </c>
    </row>
    <row r="2158" spans="1:10" x14ac:dyDescent="0.3">
      <c r="A2158" t="s">
        <v>3815</v>
      </c>
      <c r="B2158" t="s">
        <v>2744</v>
      </c>
      <c r="C2158" t="s">
        <v>297</v>
      </c>
      <c r="D2158" s="9">
        <v>1000</v>
      </c>
      <c r="E2158" t="s">
        <v>3816</v>
      </c>
      <c r="F2158" t="s">
        <v>396</v>
      </c>
      <c r="G2158">
        <v>10</v>
      </c>
      <c r="H2158" t="s">
        <v>3817</v>
      </c>
      <c r="I2158" t="s">
        <v>3818</v>
      </c>
      <c r="J2158" t="s">
        <v>59</v>
      </c>
    </row>
    <row r="2159" spans="1:10" x14ac:dyDescent="0.3">
      <c r="A2159" t="s">
        <v>3815</v>
      </c>
      <c r="B2159" t="s">
        <v>3819</v>
      </c>
      <c r="D2159" s="6">
        <v>1000</v>
      </c>
      <c r="G2159" s="7">
        <v>10</v>
      </c>
      <c r="H2159" s="4" t="s">
        <v>3817</v>
      </c>
      <c r="J2159" t="s">
        <v>59</v>
      </c>
    </row>
    <row r="2160" spans="1:10" x14ac:dyDescent="0.3">
      <c r="A2160" t="s">
        <v>3815</v>
      </c>
      <c r="B2160" t="s">
        <v>3819</v>
      </c>
      <c r="D2160" s="6">
        <v>1000</v>
      </c>
      <c r="G2160" s="7">
        <v>10</v>
      </c>
      <c r="H2160" s="4" t="s">
        <v>3817</v>
      </c>
      <c r="J2160" t="s">
        <v>59</v>
      </c>
    </row>
    <row r="2161" spans="1:10" x14ac:dyDescent="0.3">
      <c r="A2161" t="s">
        <v>3820</v>
      </c>
      <c r="B2161" t="s">
        <v>2744</v>
      </c>
      <c r="D2161" s="9">
        <v>1000</v>
      </c>
      <c r="G2161">
        <v>0</v>
      </c>
      <c r="H2161" s="4">
        <v>45814</v>
      </c>
      <c r="I2161" t="s">
        <v>3820</v>
      </c>
      <c r="J2161" t="s">
        <v>49</v>
      </c>
    </row>
    <row r="2162" spans="1:10" x14ac:dyDescent="0.3">
      <c r="A2162" t="s">
        <v>3820</v>
      </c>
      <c r="B2162" t="s">
        <v>3821</v>
      </c>
      <c r="D2162" s="6">
        <v>1000</v>
      </c>
      <c r="G2162" s="7" t="s">
        <v>65</v>
      </c>
      <c r="H2162" s="4" t="s">
        <v>3817</v>
      </c>
      <c r="J2162" t="s">
        <v>49</v>
      </c>
    </row>
    <row r="2163" spans="1:10" x14ac:dyDescent="0.3">
      <c r="A2163" t="s">
        <v>3820</v>
      </c>
      <c r="B2163" t="s">
        <v>3821</v>
      </c>
      <c r="D2163" s="6">
        <v>1000</v>
      </c>
      <c r="G2163" s="7" t="s">
        <v>65</v>
      </c>
      <c r="H2163" s="4" t="s">
        <v>3817</v>
      </c>
      <c r="J2163" t="s">
        <v>49</v>
      </c>
    </row>
    <row r="2164" spans="1:10" x14ac:dyDescent="0.3">
      <c r="A2164" t="s">
        <v>3822</v>
      </c>
      <c r="B2164" t="s">
        <v>3823</v>
      </c>
      <c r="C2164" t="s">
        <v>48</v>
      </c>
      <c r="D2164" s="9">
        <v>1000</v>
      </c>
      <c r="E2164" t="s">
        <v>45</v>
      </c>
      <c r="F2164" t="s">
        <v>45</v>
      </c>
      <c r="G2164">
        <v>8.3000000000000007</v>
      </c>
      <c r="H2164" t="s">
        <v>2579</v>
      </c>
      <c r="I2164" t="s">
        <v>3824</v>
      </c>
      <c r="J2164" t="s">
        <v>62</v>
      </c>
    </row>
    <row r="2165" spans="1:10" x14ac:dyDescent="0.3">
      <c r="A2165" t="s">
        <v>3825</v>
      </c>
      <c r="B2165" t="s">
        <v>3823</v>
      </c>
      <c r="C2165" t="s">
        <v>340</v>
      </c>
      <c r="D2165" s="9">
        <v>1000</v>
      </c>
      <c r="E2165" t="s">
        <v>45</v>
      </c>
      <c r="F2165" t="s">
        <v>45</v>
      </c>
      <c r="G2165">
        <v>8.5</v>
      </c>
      <c r="H2165" t="s">
        <v>3826</v>
      </c>
      <c r="I2165" t="s">
        <v>3827</v>
      </c>
      <c r="J2165" t="s">
        <v>62</v>
      </c>
    </row>
    <row r="2166" spans="1:10" x14ac:dyDescent="0.3">
      <c r="A2166" t="s">
        <v>3825</v>
      </c>
      <c r="B2166" t="s">
        <v>3828</v>
      </c>
      <c r="D2166" s="6">
        <v>1000</v>
      </c>
      <c r="G2166" s="7">
        <v>8.5</v>
      </c>
      <c r="H2166" s="4" t="s">
        <v>3826</v>
      </c>
      <c r="J2166" t="s">
        <v>62</v>
      </c>
    </row>
    <row r="2167" spans="1:10" x14ac:dyDescent="0.3">
      <c r="A2167" t="s">
        <v>3825</v>
      </c>
      <c r="B2167" t="s">
        <v>3828</v>
      </c>
      <c r="D2167" s="6">
        <v>1000</v>
      </c>
      <c r="G2167" s="7">
        <v>8.5</v>
      </c>
      <c r="H2167" s="4" t="s">
        <v>3826</v>
      </c>
      <c r="J2167" t="s">
        <v>62</v>
      </c>
    </row>
    <row r="2168" spans="1:10" x14ac:dyDescent="0.3">
      <c r="A2168" t="s">
        <v>3829</v>
      </c>
      <c r="B2168" t="s">
        <v>3823</v>
      </c>
      <c r="C2168" t="s">
        <v>281</v>
      </c>
      <c r="D2168" s="9">
        <v>1000</v>
      </c>
      <c r="E2168" t="s">
        <v>45</v>
      </c>
      <c r="F2168" t="s">
        <v>45</v>
      </c>
      <c r="G2168">
        <v>8.75</v>
      </c>
      <c r="H2168" t="s">
        <v>3826</v>
      </c>
      <c r="I2168" t="s">
        <v>3830</v>
      </c>
      <c r="J2168" t="s">
        <v>62</v>
      </c>
    </row>
    <row r="2169" spans="1:10" x14ac:dyDescent="0.3">
      <c r="A2169" t="s">
        <v>3829</v>
      </c>
      <c r="B2169" t="s">
        <v>3831</v>
      </c>
      <c r="D2169" s="6">
        <v>1000</v>
      </c>
      <c r="G2169" s="7">
        <v>8.75</v>
      </c>
      <c r="H2169" s="4" t="s">
        <v>3826</v>
      </c>
      <c r="J2169" t="s">
        <v>62</v>
      </c>
    </row>
    <row r="2170" spans="1:10" x14ac:dyDescent="0.3">
      <c r="A2170" t="s">
        <v>3829</v>
      </c>
      <c r="B2170" t="s">
        <v>3832</v>
      </c>
      <c r="D2170" s="6">
        <v>1000</v>
      </c>
      <c r="G2170" s="7">
        <v>8.75</v>
      </c>
      <c r="H2170" s="4" t="s">
        <v>3826</v>
      </c>
      <c r="J2170" t="s">
        <v>62</v>
      </c>
    </row>
    <row r="2171" spans="1:10" x14ac:dyDescent="0.3">
      <c r="A2171" t="s">
        <v>3829</v>
      </c>
      <c r="B2171" t="s">
        <v>3832</v>
      </c>
      <c r="D2171" s="6">
        <v>1000</v>
      </c>
      <c r="G2171" s="7">
        <v>8.75</v>
      </c>
      <c r="H2171" s="4" t="s">
        <v>3826</v>
      </c>
      <c r="J2171" t="s">
        <v>62</v>
      </c>
    </row>
    <row r="2172" spans="1:10" x14ac:dyDescent="0.3">
      <c r="A2172" t="s">
        <v>3833</v>
      </c>
      <c r="B2172" t="s">
        <v>3823</v>
      </c>
      <c r="C2172" t="s">
        <v>384</v>
      </c>
      <c r="D2172" s="9">
        <v>1000</v>
      </c>
      <c r="E2172" t="s">
        <v>45</v>
      </c>
      <c r="F2172" t="s">
        <v>45</v>
      </c>
      <c r="G2172">
        <v>7.14</v>
      </c>
      <c r="H2172" t="s">
        <v>2443</v>
      </c>
      <c r="I2172" t="s">
        <v>3834</v>
      </c>
      <c r="J2172" t="s">
        <v>62</v>
      </c>
    </row>
    <row r="2173" spans="1:10" x14ac:dyDescent="0.3">
      <c r="A2173" t="s">
        <v>3833</v>
      </c>
      <c r="B2173" t="s">
        <v>3835</v>
      </c>
      <c r="D2173" s="6">
        <v>1000</v>
      </c>
      <c r="G2173" s="7">
        <v>7.1400000000000006</v>
      </c>
      <c r="H2173" s="4" t="s">
        <v>2443</v>
      </c>
      <c r="J2173" t="s">
        <v>62</v>
      </c>
    </row>
    <row r="2174" spans="1:10" x14ac:dyDescent="0.3">
      <c r="A2174" t="s">
        <v>3836</v>
      </c>
      <c r="B2174" t="s">
        <v>3823</v>
      </c>
      <c r="C2174" t="s">
        <v>415</v>
      </c>
      <c r="D2174" s="9">
        <v>1000</v>
      </c>
      <c r="E2174" t="s">
        <v>45</v>
      </c>
      <c r="F2174" t="s">
        <v>45</v>
      </c>
      <c r="G2174">
        <v>7.39</v>
      </c>
      <c r="H2174" t="s">
        <v>2443</v>
      </c>
      <c r="I2174" t="s">
        <v>3837</v>
      </c>
      <c r="J2174" t="s">
        <v>62</v>
      </c>
    </row>
    <row r="2175" spans="1:10" x14ac:dyDescent="0.3">
      <c r="A2175" t="s">
        <v>3836</v>
      </c>
      <c r="B2175" t="s">
        <v>3838</v>
      </c>
      <c r="D2175" s="6">
        <v>1000</v>
      </c>
      <c r="G2175" s="7">
        <v>7.39</v>
      </c>
      <c r="H2175" s="4" t="s">
        <v>2443</v>
      </c>
      <c r="J2175" t="s">
        <v>62</v>
      </c>
    </row>
    <row r="2176" spans="1:10" x14ac:dyDescent="0.3">
      <c r="A2176" t="s">
        <v>3839</v>
      </c>
      <c r="B2176" t="s">
        <v>3823</v>
      </c>
      <c r="C2176" t="s">
        <v>288</v>
      </c>
      <c r="D2176" s="9">
        <v>1000</v>
      </c>
      <c r="E2176" t="s">
        <v>3840</v>
      </c>
      <c r="F2176" t="s">
        <v>2106</v>
      </c>
      <c r="G2176">
        <v>7.35</v>
      </c>
      <c r="H2176" t="s">
        <v>3841</v>
      </c>
      <c r="I2176" t="s">
        <v>3842</v>
      </c>
      <c r="J2176" t="s">
        <v>62</v>
      </c>
    </row>
    <row r="2177" spans="1:10" x14ac:dyDescent="0.3">
      <c r="A2177" t="s">
        <v>3839</v>
      </c>
      <c r="B2177" t="s">
        <v>3843</v>
      </c>
      <c r="D2177" s="6">
        <v>1000</v>
      </c>
      <c r="G2177" s="7">
        <v>7.35</v>
      </c>
      <c r="H2177" s="4" t="s">
        <v>3841</v>
      </c>
      <c r="J2177" t="s">
        <v>62</v>
      </c>
    </row>
    <row r="2178" spans="1:10" x14ac:dyDescent="0.3">
      <c r="A2178" t="s">
        <v>3839</v>
      </c>
      <c r="B2178" t="s">
        <v>3844</v>
      </c>
      <c r="D2178" s="6">
        <v>1000</v>
      </c>
      <c r="G2178" s="7">
        <v>7.35</v>
      </c>
      <c r="H2178" s="4" t="s">
        <v>3841</v>
      </c>
      <c r="J2178" t="s">
        <v>62</v>
      </c>
    </row>
    <row r="2179" spans="1:10" x14ac:dyDescent="0.3">
      <c r="A2179" t="s">
        <v>3845</v>
      </c>
      <c r="B2179" t="s">
        <v>3823</v>
      </c>
      <c r="C2179" t="s">
        <v>292</v>
      </c>
      <c r="D2179" s="9">
        <v>1000</v>
      </c>
      <c r="E2179" t="s">
        <v>45</v>
      </c>
      <c r="F2179" t="s">
        <v>45</v>
      </c>
      <c r="G2179">
        <v>7.6</v>
      </c>
      <c r="H2179" t="s">
        <v>3841</v>
      </c>
      <c r="I2179" t="s">
        <v>3846</v>
      </c>
      <c r="J2179" t="s">
        <v>62</v>
      </c>
    </row>
    <row r="2180" spans="1:10" x14ac:dyDescent="0.3">
      <c r="A2180" t="s">
        <v>3845</v>
      </c>
      <c r="B2180" t="s">
        <v>3847</v>
      </c>
      <c r="D2180" s="6">
        <v>1000</v>
      </c>
      <c r="G2180" s="7">
        <v>7.6</v>
      </c>
      <c r="H2180" s="4" t="s">
        <v>3841</v>
      </c>
      <c r="J2180" t="s">
        <v>62</v>
      </c>
    </row>
    <row r="2181" spans="1:10" x14ac:dyDescent="0.3">
      <c r="A2181" t="s">
        <v>3845</v>
      </c>
      <c r="B2181" t="s">
        <v>3848</v>
      </c>
      <c r="D2181" s="6">
        <v>1000</v>
      </c>
      <c r="G2181" s="7">
        <v>7.6</v>
      </c>
      <c r="H2181" s="4" t="s">
        <v>3841</v>
      </c>
      <c r="J2181" t="s">
        <v>62</v>
      </c>
    </row>
    <row r="2182" spans="1:10" x14ac:dyDescent="0.3">
      <c r="A2182" t="s">
        <v>3849</v>
      </c>
      <c r="B2182" t="s">
        <v>3850</v>
      </c>
      <c r="D2182" s="6">
        <v>1000</v>
      </c>
      <c r="G2182" s="7">
        <v>7.04</v>
      </c>
      <c r="H2182" s="4" t="s">
        <v>201</v>
      </c>
      <c r="J2182" t="s">
        <v>62</v>
      </c>
    </row>
    <row r="2183" spans="1:10" x14ac:dyDescent="0.3">
      <c r="A2183" t="s">
        <v>3851</v>
      </c>
      <c r="B2183" t="s">
        <v>3823</v>
      </c>
      <c r="C2183" t="s">
        <v>297</v>
      </c>
      <c r="D2183" s="9">
        <v>1000</v>
      </c>
      <c r="E2183" t="s">
        <v>45</v>
      </c>
      <c r="F2183" t="s">
        <v>45</v>
      </c>
      <c r="G2183">
        <v>7.29</v>
      </c>
      <c r="H2183" t="s">
        <v>201</v>
      </c>
      <c r="I2183" t="s">
        <v>3852</v>
      </c>
      <c r="J2183" t="s">
        <v>62</v>
      </c>
    </row>
    <row r="2184" spans="1:10" x14ac:dyDescent="0.3">
      <c r="A2184" t="s">
        <v>3851</v>
      </c>
      <c r="B2184" t="s">
        <v>3853</v>
      </c>
      <c r="D2184" s="6">
        <v>1000</v>
      </c>
      <c r="G2184" s="7">
        <v>7.2900000000000009</v>
      </c>
      <c r="H2184" s="4" t="s">
        <v>201</v>
      </c>
      <c r="J2184" t="s">
        <v>62</v>
      </c>
    </row>
    <row r="2185" spans="1:10" x14ac:dyDescent="0.3">
      <c r="A2185" t="s">
        <v>3854</v>
      </c>
      <c r="B2185" t="s">
        <v>3823</v>
      </c>
      <c r="C2185" t="s">
        <v>302</v>
      </c>
      <c r="D2185" s="9">
        <v>1000</v>
      </c>
      <c r="E2185" t="s">
        <v>3600</v>
      </c>
      <c r="F2185" t="s">
        <v>993</v>
      </c>
      <c r="G2185">
        <v>7.39</v>
      </c>
      <c r="H2185" t="s">
        <v>3855</v>
      </c>
      <c r="I2185" t="s">
        <v>3856</v>
      </c>
      <c r="J2185" t="s">
        <v>62</v>
      </c>
    </row>
    <row r="2186" spans="1:10" x14ac:dyDescent="0.3">
      <c r="A2186" t="s">
        <v>3854</v>
      </c>
      <c r="B2186" t="s">
        <v>3857</v>
      </c>
      <c r="D2186" s="6">
        <v>1000</v>
      </c>
      <c r="G2186" s="7">
        <v>7.39</v>
      </c>
      <c r="H2186" s="4" t="s">
        <v>3855</v>
      </c>
      <c r="J2186" t="s">
        <v>62</v>
      </c>
    </row>
    <row r="2187" spans="1:10" x14ac:dyDescent="0.3">
      <c r="A2187" t="s">
        <v>3858</v>
      </c>
      <c r="B2187" t="s">
        <v>3823</v>
      </c>
      <c r="C2187" t="s">
        <v>605</v>
      </c>
      <c r="D2187" s="9">
        <v>1000</v>
      </c>
      <c r="E2187" t="s">
        <v>3859</v>
      </c>
      <c r="F2187" t="s">
        <v>3860</v>
      </c>
      <c r="G2187">
        <v>7.69</v>
      </c>
      <c r="H2187" t="s">
        <v>3855</v>
      </c>
      <c r="I2187" t="s">
        <v>3861</v>
      </c>
      <c r="J2187" t="s">
        <v>62</v>
      </c>
    </row>
    <row r="2188" spans="1:10" x14ac:dyDescent="0.3">
      <c r="A2188" t="s">
        <v>3858</v>
      </c>
      <c r="B2188" t="s">
        <v>3862</v>
      </c>
      <c r="D2188" s="6">
        <v>1000</v>
      </c>
      <c r="G2188" s="7">
        <v>7.6899999999999995</v>
      </c>
      <c r="H2188" s="4" t="s">
        <v>3855</v>
      </c>
      <c r="J2188" t="s">
        <v>62</v>
      </c>
    </row>
    <row r="2189" spans="1:10" x14ac:dyDescent="0.3">
      <c r="A2189" t="s">
        <v>3858</v>
      </c>
      <c r="B2189" t="s">
        <v>3863</v>
      </c>
      <c r="D2189" s="6">
        <v>1000</v>
      </c>
      <c r="G2189" s="7">
        <v>7.6899999999999995</v>
      </c>
      <c r="H2189" s="4" t="s">
        <v>3855</v>
      </c>
      <c r="J2189" t="s">
        <v>62</v>
      </c>
    </row>
    <row r="2190" spans="1:10" x14ac:dyDescent="0.3">
      <c r="A2190" t="s">
        <v>3858</v>
      </c>
      <c r="B2190" t="s">
        <v>3863</v>
      </c>
      <c r="D2190" s="6">
        <v>1000</v>
      </c>
      <c r="G2190" s="7">
        <v>7.6899999999999995</v>
      </c>
      <c r="H2190" s="4" t="s">
        <v>3855</v>
      </c>
      <c r="J2190" t="s">
        <v>62</v>
      </c>
    </row>
    <row r="2191" spans="1:10" x14ac:dyDescent="0.3">
      <c r="A2191" t="s">
        <v>3864</v>
      </c>
      <c r="B2191" t="s">
        <v>3865</v>
      </c>
      <c r="D2191" s="6">
        <v>1000</v>
      </c>
      <c r="G2191" s="7">
        <v>10.25</v>
      </c>
      <c r="H2191" s="4" t="s">
        <v>3866</v>
      </c>
      <c r="J2191" t="s">
        <v>62</v>
      </c>
    </row>
    <row r="2192" spans="1:10" x14ac:dyDescent="0.3">
      <c r="A2192" t="s">
        <v>3867</v>
      </c>
      <c r="B2192" t="s">
        <v>3868</v>
      </c>
      <c r="D2192" s="6">
        <v>1000</v>
      </c>
      <c r="G2192" s="7" t="s">
        <v>65</v>
      </c>
      <c r="H2192" s="4" t="s">
        <v>3866</v>
      </c>
      <c r="J2192" t="s">
        <v>49</v>
      </c>
    </row>
    <row r="2193" spans="1:10" x14ac:dyDescent="0.3">
      <c r="A2193" t="s">
        <v>3869</v>
      </c>
      <c r="B2193" t="s">
        <v>3870</v>
      </c>
      <c r="D2193" s="6">
        <v>1000</v>
      </c>
      <c r="G2193" s="7">
        <v>9.8000000000000007</v>
      </c>
      <c r="H2193" s="4" t="s">
        <v>3871</v>
      </c>
      <c r="J2193" t="s">
        <v>59</v>
      </c>
    </row>
    <row r="2194" spans="1:10" x14ac:dyDescent="0.3">
      <c r="A2194" t="s">
        <v>3872</v>
      </c>
      <c r="B2194" t="s">
        <v>3873</v>
      </c>
      <c r="D2194" s="6">
        <v>1000</v>
      </c>
      <c r="G2194" s="7">
        <v>10.25</v>
      </c>
      <c r="H2194" s="4" t="s">
        <v>3871</v>
      </c>
      <c r="J2194" t="s">
        <v>62</v>
      </c>
    </row>
    <row r="2195" spans="1:10" x14ac:dyDescent="0.3">
      <c r="A2195" t="s">
        <v>3874</v>
      </c>
      <c r="B2195" t="s">
        <v>3875</v>
      </c>
      <c r="D2195" t="s">
        <v>460</v>
      </c>
      <c r="G2195" s="7" t="s">
        <v>460</v>
      </c>
      <c r="H2195" s="4" t="s">
        <v>460</v>
      </c>
      <c r="J2195" t="s">
        <v>460</v>
      </c>
    </row>
    <row r="2196" spans="1:10" x14ac:dyDescent="0.3">
      <c r="A2196" t="s">
        <v>292</v>
      </c>
      <c r="B2196" t="s">
        <v>1759</v>
      </c>
      <c r="C2196" t="s">
        <v>1134</v>
      </c>
      <c r="D2196" s="9">
        <v>1000</v>
      </c>
      <c r="E2196" t="s">
        <v>292</v>
      </c>
      <c r="F2196" t="s">
        <v>292</v>
      </c>
      <c r="G2196">
        <v>9.57</v>
      </c>
      <c r="H2196" t="s">
        <v>1808</v>
      </c>
      <c r="I2196" t="s">
        <v>292</v>
      </c>
      <c r="J2196" t="s">
        <v>292</v>
      </c>
    </row>
    <row r="2197" spans="1:10" x14ac:dyDescent="0.3">
      <c r="A2197" t="s">
        <v>292</v>
      </c>
      <c r="B2197" t="s">
        <v>1372</v>
      </c>
      <c r="C2197" t="s">
        <v>2808</v>
      </c>
      <c r="D2197" s="9">
        <v>1000</v>
      </c>
      <c r="E2197" t="s">
        <v>292</v>
      </c>
      <c r="F2197" t="s">
        <v>292</v>
      </c>
      <c r="G2197">
        <v>9.25</v>
      </c>
      <c r="H2197" t="s">
        <v>486</v>
      </c>
      <c r="I2197" t="s">
        <v>292</v>
      </c>
      <c r="J2197" t="s">
        <v>292</v>
      </c>
    </row>
    <row r="2198" spans="1:10" x14ac:dyDescent="0.3">
      <c r="A2198" t="s">
        <v>292</v>
      </c>
      <c r="B2198" t="s">
        <v>266</v>
      </c>
      <c r="C2198" t="s">
        <v>617</v>
      </c>
      <c r="D2198" s="9">
        <v>1000</v>
      </c>
      <c r="E2198" t="s">
        <v>292</v>
      </c>
      <c r="F2198" t="s">
        <v>292</v>
      </c>
      <c r="G2198">
        <v>8.86</v>
      </c>
      <c r="H2198" t="s">
        <v>305</v>
      </c>
      <c r="I2198" t="s">
        <v>292</v>
      </c>
      <c r="J2198" t="s">
        <v>292</v>
      </c>
    </row>
    <row r="2199" spans="1:10" x14ac:dyDescent="0.3">
      <c r="A2199" t="s">
        <v>292</v>
      </c>
      <c r="B2199" t="s">
        <v>3599</v>
      </c>
      <c r="C2199" t="s">
        <v>340</v>
      </c>
      <c r="D2199" s="9">
        <v>1000</v>
      </c>
      <c r="E2199" t="s">
        <v>292</v>
      </c>
      <c r="F2199" t="s">
        <v>292</v>
      </c>
      <c r="G2199">
        <v>8.73</v>
      </c>
      <c r="H2199" t="s">
        <v>3601</v>
      </c>
      <c r="I2199" t="s">
        <v>292</v>
      </c>
      <c r="J2199" t="s">
        <v>292</v>
      </c>
    </row>
    <row r="2200" spans="1:10" x14ac:dyDescent="0.3">
      <c r="A2200" t="s">
        <v>292</v>
      </c>
      <c r="B2200" t="s">
        <v>581</v>
      </c>
      <c r="C2200" t="s">
        <v>275</v>
      </c>
      <c r="D2200" s="9">
        <v>1000</v>
      </c>
      <c r="E2200" t="s">
        <v>292</v>
      </c>
      <c r="F2200" t="s">
        <v>292</v>
      </c>
      <c r="G2200">
        <v>7.34</v>
      </c>
      <c r="H2200" t="s">
        <v>588</v>
      </c>
      <c r="I2200" t="s">
        <v>292</v>
      </c>
      <c r="J2200" t="s">
        <v>292</v>
      </c>
    </row>
    <row r="2201" spans="1:10" x14ac:dyDescent="0.3">
      <c r="A2201" t="s">
        <v>292</v>
      </c>
      <c r="B2201" t="s">
        <v>3707</v>
      </c>
      <c r="C2201" t="s">
        <v>48</v>
      </c>
      <c r="D2201" s="9" t="s">
        <v>45</v>
      </c>
      <c r="E2201" t="s">
        <v>292</v>
      </c>
      <c r="F2201" t="s">
        <v>292</v>
      </c>
      <c r="G2201" s="12">
        <v>0</v>
      </c>
      <c r="H2201" t="s">
        <v>45</v>
      </c>
      <c r="I2201" t="s">
        <v>292</v>
      </c>
      <c r="J2201" t="s">
        <v>292</v>
      </c>
    </row>
    <row r="2202" spans="1:10" x14ac:dyDescent="0.3">
      <c r="A2202" t="s">
        <v>292</v>
      </c>
      <c r="B2202" t="s">
        <v>3723</v>
      </c>
      <c r="C2202" t="s">
        <v>275</v>
      </c>
      <c r="D2202" s="9" t="s">
        <v>45</v>
      </c>
      <c r="E2202" t="s">
        <v>292</v>
      </c>
      <c r="F2202" t="s">
        <v>292</v>
      </c>
      <c r="G2202" s="12">
        <v>0</v>
      </c>
      <c r="H2202" t="s">
        <v>45</v>
      </c>
      <c r="I2202" t="s">
        <v>292</v>
      </c>
      <c r="J2202" t="s">
        <v>292</v>
      </c>
    </row>
    <row r="2203" spans="1:10" x14ac:dyDescent="0.3">
      <c r="A2203" t="s">
        <v>292</v>
      </c>
      <c r="B2203" t="s">
        <v>2744</v>
      </c>
      <c r="C2203" t="s">
        <v>302</v>
      </c>
      <c r="D2203" s="9">
        <v>1000</v>
      </c>
      <c r="E2203" t="s">
        <v>292</v>
      </c>
      <c r="F2203" t="s">
        <v>292</v>
      </c>
      <c r="G2203" s="12">
        <v>0</v>
      </c>
      <c r="H2203" t="s">
        <v>3817</v>
      </c>
      <c r="I2203" t="s">
        <v>292</v>
      </c>
      <c r="J2203" t="s">
        <v>292</v>
      </c>
    </row>
    <row r="2204" spans="1:10" x14ac:dyDescent="0.3">
      <c r="A2204" t="s">
        <v>292</v>
      </c>
      <c r="B2204" t="s">
        <v>1995</v>
      </c>
      <c r="C2204" t="s">
        <v>292</v>
      </c>
      <c r="D2204" s="9" t="s">
        <v>45</v>
      </c>
      <c r="E2204" t="s">
        <v>292</v>
      </c>
      <c r="F2204" t="s">
        <v>292</v>
      </c>
      <c r="G2204" s="12">
        <v>0</v>
      </c>
      <c r="H2204" t="s">
        <v>45</v>
      </c>
      <c r="I2204" t="s">
        <v>292</v>
      </c>
      <c r="J2204" t="s">
        <v>292</v>
      </c>
    </row>
    <row r="2205" spans="1:10" x14ac:dyDescent="0.3">
      <c r="A2205" t="s">
        <v>292</v>
      </c>
      <c r="B2205" t="s">
        <v>3562</v>
      </c>
      <c r="C2205" t="s">
        <v>1221</v>
      </c>
      <c r="D2205" s="9" t="s">
        <v>45</v>
      </c>
      <c r="E2205" t="s">
        <v>292</v>
      </c>
      <c r="F2205" t="s">
        <v>292</v>
      </c>
      <c r="G2205" s="12">
        <v>0</v>
      </c>
      <c r="H2205" t="s">
        <v>45</v>
      </c>
      <c r="I2205" t="s">
        <v>292</v>
      </c>
      <c r="J2205" t="s">
        <v>292</v>
      </c>
    </row>
    <row r="2206" spans="1:10" x14ac:dyDescent="0.3">
      <c r="A2206" t="s">
        <v>292</v>
      </c>
      <c r="B2206" t="s">
        <v>339</v>
      </c>
      <c r="C2206" t="s">
        <v>384</v>
      </c>
      <c r="D2206" s="9" t="s">
        <v>45</v>
      </c>
      <c r="E2206" t="s">
        <v>292</v>
      </c>
      <c r="F2206" t="s">
        <v>292</v>
      </c>
      <c r="G2206" s="12">
        <v>0</v>
      </c>
      <c r="H2206" t="s">
        <v>45</v>
      </c>
      <c r="I2206" t="s">
        <v>292</v>
      </c>
      <c r="J2206" t="s">
        <v>292</v>
      </c>
    </row>
    <row r="2207" spans="1:10" x14ac:dyDescent="0.3">
      <c r="A2207" t="s">
        <v>292</v>
      </c>
      <c r="B2207" t="s">
        <v>2744</v>
      </c>
      <c r="C2207" t="s">
        <v>617</v>
      </c>
      <c r="D2207" s="9">
        <v>1000</v>
      </c>
      <c r="E2207" t="s">
        <v>292</v>
      </c>
      <c r="F2207" t="s">
        <v>292</v>
      </c>
      <c r="G2207" s="12">
        <v>0</v>
      </c>
      <c r="H2207" t="s">
        <v>2819</v>
      </c>
      <c r="I2207" t="s">
        <v>292</v>
      </c>
      <c r="J2207" t="s">
        <v>292</v>
      </c>
    </row>
    <row r="2208" spans="1:10" x14ac:dyDescent="0.3">
      <c r="A2208" t="s">
        <v>292</v>
      </c>
      <c r="B2208" t="s">
        <v>375</v>
      </c>
      <c r="C2208" t="s">
        <v>605</v>
      </c>
      <c r="D2208" s="9" t="s">
        <v>45</v>
      </c>
      <c r="E2208" t="s">
        <v>292</v>
      </c>
      <c r="F2208" t="s">
        <v>292</v>
      </c>
      <c r="G2208" s="12">
        <v>0</v>
      </c>
      <c r="H2208" t="s">
        <v>45</v>
      </c>
      <c r="I2208" t="s">
        <v>292</v>
      </c>
      <c r="J2208" t="s">
        <v>292</v>
      </c>
    </row>
    <row r="2209" spans="1:10" x14ac:dyDescent="0.3">
      <c r="A2209" t="s">
        <v>292</v>
      </c>
      <c r="B2209" t="s">
        <v>3707</v>
      </c>
      <c r="C2209" t="s">
        <v>54</v>
      </c>
      <c r="D2209" s="9" t="s">
        <v>45</v>
      </c>
      <c r="E2209" t="s">
        <v>292</v>
      </c>
      <c r="F2209" t="s">
        <v>292</v>
      </c>
      <c r="G2209" s="12">
        <v>0</v>
      </c>
      <c r="H2209" t="s">
        <v>45</v>
      </c>
      <c r="I2209" t="s">
        <v>292</v>
      </c>
      <c r="J2209" t="s">
        <v>292</v>
      </c>
    </row>
    <row r="2210" spans="1:10" x14ac:dyDescent="0.3">
      <c r="A2210" t="s">
        <v>292</v>
      </c>
      <c r="B2210" t="s">
        <v>3707</v>
      </c>
      <c r="C2210" t="s">
        <v>51</v>
      </c>
      <c r="D2210" s="9" t="s">
        <v>45</v>
      </c>
      <c r="E2210" t="s">
        <v>292</v>
      </c>
      <c r="F2210" t="s">
        <v>292</v>
      </c>
      <c r="G2210" s="12">
        <v>0</v>
      </c>
      <c r="H2210" t="s">
        <v>45</v>
      </c>
      <c r="I2210" t="s">
        <v>292</v>
      </c>
      <c r="J2210" t="s">
        <v>292</v>
      </c>
    </row>
    <row r="2211" spans="1:10" x14ac:dyDescent="0.3">
      <c r="A2211" t="s">
        <v>292</v>
      </c>
      <c r="B2211" t="s">
        <v>931</v>
      </c>
      <c r="C2211" t="s">
        <v>480</v>
      </c>
      <c r="D2211" s="9">
        <v>1000</v>
      </c>
      <c r="E2211" t="s">
        <v>292</v>
      </c>
      <c r="F2211" t="s">
        <v>292</v>
      </c>
      <c r="G2211" s="12">
        <v>0</v>
      </c>
      <c r="H2211" s="5" t="s">
        <v>1012</v>
      </c>
      <c r="I2211" t="s">
        <v>292</v>
      </c>
      <c r="J2211" t="s">
        <v>292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Poddar</dc:creator>
  <cp:lastModifiedBy>Aditya Poddar</cp:lastModifiedBy>
  <dcterms:created xsi:type="dcterms:W3CDTF">2024-10-10T04:23:56Z</dcterms:created>
  <dcterms:modified xsi:type="dcterms:W3CDTF">2024-10-16T14:10:11Z</dcterms:modified>
</cp:coreProperties>
</file>